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printerSettings/printerSettings1.bin" ContentType="application/vnd.openxmlformats-officedocument.spreadsheetml.printerSettings"/>
  <Override PartName="/xl/printerSettings/printerSettings10.bin" ContentType="application/vnd.openxmlformats-officedocument.spreadsheetml.printerSettings"/>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Default Extension="wmf" ContentType="image/x-wmf"/>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heets/sheet6.xml" ContentType="application/vnd.openxmlformats-officedocument.spreadsheetml.chartsheet+xml"/>
  <Override PartName="/xl/printerSettings/printerSettings8.bin" ContentType="application/vnd.openxmlformats-officedocument.spreadsheetml.printerSettings"/>
  <Override PartName="/xl/worksheets/sheet1.xml" ContentType="application/vnd.openxmlformats-officedocument.spreadsheetml.worksheet+xml"/>
  <Override PartName="/xl/chartsheets/sheet4.xml" ContentType="application/vnd.openxmlformats-officedocument.spreadsheetml.chartsheet+xml"/>
  <Override PartName="/xl/printerSettings/printerSettings6.bin" ContentType="application/vnd.openxmlformats-officedocument.spreadsheetml.printerSettings"/>
  <Override PartName="/xl/printerSettings/printerSettings15.bin" ContentType="application/vnd.openxmlformats-officedocument.spreadsheetml.printerSettings"/>
  <Override PartName="/xl/worksheets/sheet19.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oleObject"/>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emf" ContentType="image/x-emf"/>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hartsheets/sheet7.xml" ContentType="application/vnd.openxmlformats-officedocument.spreadsheetml.chartsheet+xml"/>
  <Override PartName="/xl/drawings/drawing1.xml" ContentType="application/vnd.openxmlformats-officedocument.drawing+xml"/>
  <Override PartName="/xl/printerSettings/printerSettings9.bin" ContentType="application/vnd.openxmlformats-officedocument.spreadsheetml.printerSettings"/>
  <Override PartName="/xl/chartsheets/sheet5.xml" ContentType="application/vnd.openxmlformats-officedocument.spreadsheetml.chartsheet+xml"/>
  <Default Extension="vml" ContentType="application/vnd.openxmlformats-officedocument.vmlDrawing"/>
  <Override PartName="/xl/printerSettings/printerSettings7.bin" ContentType="application/vnd.openxmlformats-officedocument.spreadsheetml.printerSettings"/>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630" yWindow="-15" windowWidth="8685" windowHeight="6210" firstSheet="10" activeTab="11"/>
  </bookViews>
  <sheets>
    <sheet name="TnSPLINE" sheetId="21" state="hidden" r:id="rId1"/>
    <sheet name="TnSplint" sheetId="22" state="hidden" r:id="rId2"/>
    <sheet name="TxSPLINE" sheetId="19" state="hidden" r:id="rId3"/>
    <sheet name="TxSplint" sheetId="20" state="hidden" r:id="rId4"/>
    <sheet name="PMSPLINE" sheetId="4" state="hidden" r:id="rId5"/>
    <sheet name="PMSplint" sheetId="5" state="hidden" r:id="rId6"/>
    <sheet name="RnSPLINE" sheetId="6" state="hidden" r:id="rId7"/>
    <sheet name="RnSplint" sheetId="7" state="hidden" r:id="rId8"/>
    <sheet name="KcSPLINE" sheetId="49" state="hidden" r:id="rId9"/>
    <sheet name="KcSplint" sheetId="50" state="hidden" r:id="rId10"/>
    <sheet name="Notes" sheetId="46" r:id="rId11"/>
    <sheet name="Help" sheetId="44" r:id="rId12"/>
    <sheet name="Title" sheetId="28" r:id="rId13"/>
    <sheet name="Kc_Info" sheetId="29" r:id="rId14"/>
    <sheet name="Climate" sheetId="8" r:id="rId15"/>
    <sheet name="Weather" sheetId="26" r:id="rId16"/>
    <sheet name="DailyMet" sheetId="38" r:id="rId17"/>
    <sheet name="CropList" sheetId="37" r:id="rId18"/>
    <sheet name="YTD" sheetId="48" r:id="rId19"/>
    <sheet name="Irrig" sheetId="52" r:id="rId20"/>
    <sheet name="Input" sheetId="1" r:id="rId21"/>
    <sheet name="ETo" sheetId="43" r:id="rId22"/>
    <sheet name="Kc" sheetId="47" r:id="rId23"/>
    <sheet name="ETc" sheetId="41" r:id="rId24"/>
    <sheet name="CETc" sheetId="42" r:id="rId25"/>
    <sheet name="Daily" sheetId="53" r:id="rId26"/>
    <sheet name="Weekly" sheetId="54" r:id="rId27"/>
    <sheet name="Monthly" sheetId="55" r:id="rId28"/>
    <sheet name="Immature" sheetId="27" r:id="rId29"/>
    <sheet name="Kc_A_DD" sheetId="23" r:id="rId30"/>
    <sheet name="Kc_T_DD" sheetId="24" r:id="rId31"/>
    <sheet name="STvsAM" sheetId="56" r:id="rId32"/>
  </sheets>
  <calcPr calcId="125725"/>
</workbook>
</file>

<file path=xl/calcChain.xml><?xml version="1.0" encoding="utf-8"?>
<calcChain xmlns="http://schemas.openxmlformats.org/spreadsheetml/2006/main">
  <c r="J4" i="1"/>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B27" i="37"/>
  <c r="B26"/>
  <c r="B24"/>
  <c r="B23"/>
  <c r="B20"/>
  <c r="B18"/>
  <c r="B17"/>
  <c r="B13"/>
  <c r="B12"/>
  <c r="B11"/>
  <c r="B8"/>
  <c r="B7"/>
  <c r="B6"/>
  <c r="B5"/>
  <c r="B4"/>
  <c r="BF599" i="1"/>
  <c r="BH599" s="1"/>
  <c r="BG599"/>
  <c r="BI599" s="1"/>
  <c r="N582" i="38"/>
  <c r="N581"/>
  <c r="N580"/>
  <c r="N579"/>
  <c r="N578"/>
  <c r="N577"/>
  <c r="N576"/>
  <c r="N575"/>
  <c r="N574"/>
  <c r="N573"/>
  <c r="N572"/>
  <c r="N571"/>
  <c r="N570"/>
  <c r="N569"/>
  <c r="N568"/>
  <c r="N567"/>
  <c r="N566"/>
  <c r="N565"/>
  <c r="N564"/>
  <c r="N563"/>
  <c r="N562"/>
  <c r="N561"/>
  <c r="N560"/>
  <c r="N559"/>
  <c r="N558"/>
  <c r="N557"/>
  <c r="N556"/>
  <c r="N555"/>
  <c r="N554"/>
  <c r="N553"/>
  <c r="N552"/>
  <c r="N551"/>
  <c r="N550"/>
  <c r="N549"/>
  <c r="N548"/>
  <c r="N547"/>
  <c r="N546"/>
  <c r="N545"/>
  <c r="N544"/>
  <c r="N543"/>
  <c r="N542"/>
  <c r="N541"/>
  <c r="N540"/>
  <c r="N539"/>
  <c r="N538"/>
  <c r="N537"/>
  <c r="N535"/>
  <c r="N534"/>
  <c r="N533"/>
  <c r="N532"/>
  <c r="N531"/>
  <c r="N530"/>
  <c r="N529"/>
  <c r="N528"/>
  <c r="N527"/>
  <c r="N526"/>
  <c r="N525"/>
  <c r="N524"/>
  <c r="N523"/>
  <c r="N522"/>
  <c r="N521"/>
  <c r="N520"/>
  <c r="N519"/>
  <c r="N518"/>
  <c r="N515"/>
  <c r="N514"/>
  <c r="N513"/>
  <c r="N512"/>
  <c r="N511"/>
  <c r="N510"/>
  <c r="N509"/>
  <c r="N508"/>
  <c r="N507"/>
  <c r="N506"/>
  <c r="N505"/>
  <c r="N504"/>
  <c r="N503"/>
  <c r="N502"/>
  <c r="N501"/>
  <c r="N500"/>
  <c r="N499"/>
  <c r="N498"/>
  <c r="N497"/>
  <c r="N496"/>
  <c r="N495"/>
  <c r="N494"/>
  <c r="N493"/>
  <c r="N492"/>
  <c r="N491"/>
  <c r="N490"/>
  <c r="N489"/>
  <c r="N488"/>
  <c r="N487"/>
  <c r="N486"/>
  <c r="N485"/>
  <c r="N484"/>
  <c r="N483"/>
  <c r="N482"/>
  <c r="N481"/>
  <c r="N480"/>
  <c r="N479"/>
  <c r="N478"/>
  <c r="N477"/>
  <c r="N476"/>
  <c r="N475"/>
  <c r="N474"/>
  <c r="N473"/>
  <c r="N472"/>
  <c r="N471"/>
  <c r="N470"/>
  <c r="N469"/>
  <c r="N468"/>
  <c r="N467"/>
  <c r="N466"/>
  <c r="N465"/>
  <c r="N464"/>
  <c r="N463"/>
  <c r="N462"/>
  <c r="N461"/>
  <c r="N460"/>
  <c r="N459"/>
  <c r="N458"/>
  <c r="N457"/>
  <c r="N456"/>
  <c r="N455"/>
  <c r="N454"/>
  <c r="N453"/>
  <c r="N452"/>
  <c r="N451"/>
  <c r="N450"/>
  <c r="N449"/>
  <c r="N448"/>
  <c r="N447"/>
  <c r="N446"/>
  <c r="N445"/>
  <c r="N444"/>
  <c r="N443"/>
  <c r="N442"/>
  <c r="N441"/>
  <c r="N440"/>
  <c r="N439"/>
  <c r="N438"/>
  <c r="N437"/>
  <c r="N436"/>
  <c r="N435"/>
  <c r="N434"/>
  <c r="N433"/>
  <c r="N432"/>
  <c r="N431"/>
  <c r="N430"/>
  <c r="N429"/>
  <c r="N428"/>
  <c r="N427"/>
  <c r="N426"/>
  <c r="N425"/>
  <c r="N424"/>
  <c r="N423"/>
  <c r="N422"/>
  <c r="N421"/>
  <c r="N420"/>
  <c r="N419"/>
  <c r="N418"/>
  <c r="N417"/>
  <c r="N416"/>
  <c r="N415"/>
  <c r="N414"/>
  <c r="N413"/>
  <c r="N412"/>
  <c r="N411"/>
  <c r="N410"/>
  <c r="N409"/>
  <c r="N408"/>
  <c r="N407"/>
  <c r="N406"/>
  <c r="N405"/>
  <c r="N404"/>
  <c r="N403"/>
  <c r="N402"/>
  <c r="N401"/>
  <c r="N400"/>
  <c r="N399"/>
  <c r="N398"/>
  <c r="N397"/>
  <c r="N396"/>
  <c r="N395"/>
  <c r="N394"/>
  <c r="N393"/>
  <c r="N392"/>
  <c r="N391"/>
  <c r="N390"/>
  <c r="N389"/>
  <c r="N388"/>
  <c r="N387"/>
  <c r="N386"/>
  <c r="N385"/>
  <c r="N384"/>
  <c r="N383"/>
  <c r="N382"/>
  <c r="N381"/>
  <c r="N380"/>
  <c r="N379"/>
  <c r="N378"/>
  <c r="N377"/>
  <c r="N376"/>
  <c r="N375"/>
  <c r="N374"/>
  <c r="N373"/>
  <c r="N372"/>
  <c r="N371"/>
  <c r="AT531"/>
  <c r="AW531"/>
  <c r="AX531"/>
  <c r="BC531"/>
  <c r="AT532"/>
  <c r="AW532"/>
  <c r="BE532" s="1"/>
  <c r="AX532"/>
  <c r="BC532"/>
  <c r="AT533"/>
  <c r="AW533"/>
  <c r="AX533"/>
  <c r="BC533"/>
  <c r="AT534"/>
  <c r="AW534"/>
  <c r="AX534"/>
  <c r="BC534"/>
  <c r="AT535"/>
  <c r="AW535"/>
  <c r="AX535"/>
  <c r="BC535"/>
  <c r="AT536"/>
  <c r="AW536"/>
  <c r="BE536" s="1"/>
  <c r="AX536"/>
  <c r="BC536"/>
  <c r="AT537"/>
  <c r="AW537"/>
  <c r="BE537" s="1"/>
  <c r="AX537"/>
  <c r="BC537"/>
  <c r="AT538"/>
  <c r="AW538"/>
  <c r="BE538" s="1"/>
  <c r="AX538"/>
  <c r="BC538"/>
  <c r="AT539"/>
  <c r="AW539"/>
  <c r="BE539" s="1"/>
  <c r="AX539"/>
  <c r="BC539"/>
  <c r="AT540"/>
  <c r="AW540"/>
  <c r="AX540"/>
  <c r="BC540"/>
  <c r="AT541"/>
  <c r="AW541"/>
  <c r="AX541"/>
  <c r="BC541"/>
  <c r="AT542"/>
  <c r="AW542"/>
  <c r="BE542" s="1"/>
  <c r="AX542"/>
  <c r="BC542"/>
  <c r="AT543"/>
  <c r="AW543"/>
  <c r="AX543"/>
  <c r="BC543"/>
  <c r="AT544"/>
  <c r="AW544"/>
  <c r="BE544" s="1"/>
  <c r="AX544"/>
  <c r="BC544"/>
  <c r="AT545"/>
  <c r="AW545"/>
  <c r="AX545"/>
  <c r="BC545"/>
  <c r="AT546"/>
  <c r="AW546"/>
  <c r="AX546"/>
  <c r="BC546"/>
  <c r="AT547"/>
  <c r="AW547"/>
  <c r="BE547" s="1"/>
  <c r="AX547"/>
  <c r="BC547"/>
  <c r="AT548"/>
  <c r="AW548"/>
  <c r="AX548"/>
  <c r="BC548"/>
  <c r="AT549"/>
  <c r="AW549"/>
  <c r="BE549" s="1"/>
  <c r="AX549"/>
  <c r="BC549"/>
  <c r="AT550"/>
  <c r="AW550"/>
  <c r="AX550"/>
  <c r="BC550"/>
  <c r="AT551"/>
  <c r="AW551"/>
  <c r="AX551"/>
  <c r="BC551"/>
  <c r="AT552"/>
  <c r="AW552"/>
  <c r="AX552"/>
  <c r="BC552"/>
  <c r="AT553"/>
  <c r="AW553"/>
  <c r="BE553" s="1"/>
  <c r="AX553"/>
  <c r="BC553"/>
  <c r="AT554"/>
  <c r="AW554"/>
  <c r="BE554" s="1"/>
  <c r="AX554"/>
  <c r="BC554"/>
  <c r="AT555"/>
  <c r="AW555"/>
  <c r="AX555"/>
  <c r="BC555"/>
  <c r="AT556"/>
  <c r="AW556"/>
  <c r="AX556"/>
  <c r="BC556"/>
  <c r="AT557"/>
  <c r="AW557"/>
  <c r="AX557"/>
  <c r="BC557"/>
  <c r="AT558"/>
  <c r="AW558"/>
  <c r="BE558" s="1"/>
  <c r="AX558"/>
  <c r="BC558"/>
  <c r="AT559"/>
  <c r="AW559"/>
  <c r="BE559" s="1"/>
  <c r="AX559"/>
  <c r="BC559"/>
  <c r="AT560"/>
  <c r="AW560"/>
  <c r="AX560"/>
  <c r="BC560"/>
  <c r="AT561"/>
  <c r="AW561"/>
  <c r="AX561"/>
  <c r="BC561"/>
  <c r="AT562"/>
  <c r="AW562"/>
  <c r="BE562" s="1"/>
  <c r="AX562"/>
  <c r="BC562"/>
  <c r="AT563"/>
  <c r="AW563"/>
  <c r="BE563" s="1"/>
  <c r="AX563"/>
  <c r="BC563"/>
  <c r="AT564"/>
  <c r="AW564"/>
  <c r="BE564" s="1"/>
  <c r="AX564"/>
  <c r="BC564"/>
  <c r="AT565"/>
  <c r="AW565"/>
  <c r="BE565" s="1"/>
  <c r="AX565"/>
  <c r="BC565"/>
  <c r="AT566"/>
  <c r="AW566"/>
  <c r="BE566" s="1"/>
  <c r="AX566"/>
  <c r="BC566"/>
  <c r="AT567"/>
  <c r="AW567"/>
  <c r="BE567" s="1"/>
  <c r="AX567"/>
  <c r="BC567"/>
  <c r="AT568"/>
  <c r="AW568"/>
  <c r="BE568" s="1"/>
  <c r="AX568"/>
  <c r="BC568"/>
  <c r="AT569"/>
  <c r="AW569"/>
  <c r="BE569" s="1"/>
  <c r="AX569"/>
  <c r="BC569"/>
  <c r="AT570"/>
  <c r="AW570"/>
  <c r="AX570"/>
  <c r="BC570"/>
  <c r="AT571"/>
  <c r="AW571"/>
  <c r="BE571" s="1"/>
  <c r="AX571"/>
  <c r="BC571"/>
  <c r="AT572"/>
  <c r="AW572"/>
  <c r="BE572" s="1"/>
  <c r="AX572"/>
  <c r="BC572"/>
  <c r="AT573"/>
  <c r="AW573"/>
  <c r="AX573"/>
  <c r="BC573"/>
  <c r="AT574"/>
  <c r="AW574"/>
  <c r="BE574" s="1"/>
  <c r="AX574"/>
  <c r="BC574"/>
  <c r="AT575"/>
  <c r="AW575"/>
  <c r="BE575" s="1"/>
  <c r="AX575"/>
  <c r="BC575"/>
  <c r="AT576"/>
  <c r="AW576"/>
  <c r="BE576" s="1"/>
  <c r="AX576"/>
  <c r="BC576"/>
  <c r="AT577"/>
  <c r="AW577"/>
  <c r="BE577" s="1"/>
  <c r="AX577"/>
  <c r="BC577"/>
  <c r="AT578"/>
  <c r="AW578"/>
  <c r="BE578" s="1"/>
  <c r="AX578"/>
  <c r="BC578"/>
  <c r="AT579"/>
  <c r="AW579"/>
  <c r="AX579"/>
  <c r="BC579"/>
  <c r="AT580"/>
  <c r="AW580"/>
  <c r="AX580"/>
  <c r="BC580"/>
  <c r="AT581"/>
  <c r="AW581"/>
  <c r="AX581"/>
  <c r="BC581"/>
  <c r="AT582"/>
  <c r="AW582"/>
  <c r="AX582"/>
  <c r="BC582"/>
  <c r="AT6"/>
  <c r="AW6"/>
  <c r="AX6"/>
  <c r="BC6"/>
  <c r="AT7"/>
  <c r="AW7"/>
  <c r="AX7"/>
  <c r="BC7"/>
  <c r="AT8"/>
  <c r="AW8"/>
  <c r="AX8"/>
  <c r="BC8"/>
  <c r="AT9"/>
  <c r="AW9"/>
  <c r="BE9" s="1"/>
  <c r="AX9"/>
  <c r="BC9"/>
  <c r="AT10"/>
  <c r="AW10"/>
  <c r="AX10"/>
  <c r="BC10"/>
  <c r="AT11"/>
  <c r="AW11"/>
  <c r="AX11"/>
  <c r="BC11"/>
  <c r="AT12"/>
  <c r="AW12"/>
  <c r="AX12"/>
  <c r="BC12"/>
  <c r="AT13"/>
  <c r="AW13"/>
  <c r="BE13" s="1"/>
  <c r="AX13"/>
  <c r="BC13"/>
  <c r="AT14"/>
  <c r="AW14"/>
  <c r="BE14" s="1"/>
  <c r="AX14"/>
  <c r="BC14"/>
  <c r="AT15"/>
  <c r="AW15"/>
  <c r="AX15"/>
  <c r="BC15"/>
  <c r="AT16"/>
  <c r="AW16"/>
  <c r="BE16" s="1"/>
  <c r="AX16"/>
  <c r="BC16"/>
  <c r="AT17"/>
  <c r="AW17"/>
  <c r="AX17"/>
  <c r="BC17"/>
  <c r="AT18"/>
  <c r="AW18"/>
  <c r="BE18" s="1"/>
  <c r="BG18" s="1"/>
  <c r="AX18"/>
  <c r="BC18"/>
  <c r="AT19"/>
  <c r="AW19"/>
  <c r="AX19"/>
  <c r="BC19"/>
  <c r="AT20"/>
  <c r="AW20"/>
  <c r="BE20" s="1"/>
  <c r="AX20"/>
  <c r="BC20"/>
  <c r="AT21"/>
  <c r="AW21"/>
  <c r="AX21"/>
  <c r="BC21"/>
  <c r="AT22"/>
  <c r="AW22"/>
  <c r="BE22" s="1"/>
  <c r="AX22"/>
  <c r="BC22"/>
  <c r="AT23"/>
  <c r="AW23"/>
  <c r="BE23" s="1"/>
  <c r="AX23"/>
  <c r="BC23"/>
  <c r="AT24"/>
  <c r="AW24"/>
  <c r="AX24"/>
  <c r="BC24"/>
  <c r="AT25"/>
  <c r="AW25"/>
  <c r="AX25"/>
  <c r="BC25"/>
  <c r="AT26"/>
  <c r="AW26"/>
  <c r="AX26"/>
  <c r="BC26"/>
  <c r="AT27"/>
  <c r="AW27"/>
  <c r="AX27"/>
  <c r="BC27"/>
  <c r="AT28"/>
  <c r="AW28"/>
  <c r="AX28"/>
  <c r="BC28"/>
  <c r="AT29"/>
  <c r="AW29"/>
  <c r="AX29"/>
  <c r="BC29"/>
  <c r="AT30"/>
  <c r="AW30"/>
  <c r="AX30"/>
  <c r="BC30"/>
  <c r="AT31"/>
  <c r="AW31"/>
  <c r="AX31"/>
  <c r="BC31"/>
  <c r="AT32"/>
  <c r="AW32"/>
  <c r="AX32"/>
  <c r="BC32"/>
  <c r="AT33"/>
  <c r="AW33"/>
  <c r="AX33"/>
  <c r="BC33"/>
  <c r="AT34"/>
  <c r="AW34"/>
  <c r="AX34"/>
  <c r="BC34"/>
  <c r="AT35"/>
  <c r="AW35"/>
  <c r="AX35"/>
  <c r="BC35"/>
  <c r="AT36"/>
  <c r="AW36"/>
  <c r="AX36"/>
  <c r="BC36"/>
  <c r="AT37"/>
  <c r="AW37"/>
  <c r="AX37"/>
  <c r="BC37"/>
  <c r="AT38"/>
  <c r="AW38"/>
  <c r="AX38"/>
  <c r="BC38"/>
  <c r="AT39"/>
  <c r="AW39"/>
  <c r="AX39"/>
  <c r="BC39"/>
  <c r="AT40"/>
  <c r="AW40"/>
  <c r="AX40"/>
  <c r="BC40"/>
  <c r="AT41"/>
  <c r="AW41"/>
  <c r="AX41"/>
  <c r="BC41"/>
  <c r="AT42"/>
  <c r="AW42"/>
  <c r="AX42"/>
  <c r="BC42"/>
  <c r="AT43"/>
  <c r="AW43"/>
  <c r="AX43"/>
  <c r="BC43"/>
  <c r="AT44"/>
  <c r="AW44"/>
  <c r="AX44"/>
  <c r="BC44"/>
  <c r="AT45"/>
  <c r="AW45"/>
  <c r="AX45"/>
  <c r="BC45"/>
  <c r="AT46"/>
  <c r="AW46"/>
  <c r="AX46"/>
  <c r="BC46"/>
  <c r="AT47"/>
  <c r="AW47"/>
  <c r="AX47"/>
  <c r="BC47"/>
  <c r="AT48"/>
  <c r="AW48"/>
  <c r="BE48" s="1"/>
  <c r="AX48"/>
  <c r="BC48"/>
  <c r="AT49"/>
  <c r="AW49"/>
  <c r="AX49"/>
  <c r="BC49"/>
  <c r="AT50"/>
  <c r="AW50"/>
  <c r="AX50"/>
  <c r="BC50"/>
  <c r="AT51"/>
  <c r="AW51"/>
  <c r="AX51"/>
  <c r="BC51"/>
  <c r="AT52"/>
  <c r="AW52"/>
  <c r="BE52" s="1"/>
  <c r="AX52"/>
  <c r="BC52"/>
  <c r="AT53"/>
  <c r="AW53"/>
  <c r="AX53"/>
  <c r="BC53"/>
  <c r="AT54"/>
  <c r="AW54"/>
  <c r="AX54"/>
  <c r="BC54"/>
  <c r="AT55"/>
  <c r="AW55"/>
  <c r="AX55"/>
  <c r="BC55"/>
  <c r="AT56"/>
  <c r="AW56"/>
  <c r="AX56"/>
  <c r="BC56"/>
  <c r="AT57"/>
  <c r="AW57"/>
  <c r="AX57"/>
  <c r="BC57"/>
  <c r="AT58"/>
  <c r="AW58"/>
  <c r="AX58"/>
  <c r="BC58"/>
  <c r="AT59"/>
  <c r="AW59"/>
  <c r="BE59" s="1"/>
  <c r="AX59"/>
  <c r="BC59"/>
  <c r="AT60"/>
  <c r="AW60"/>
  <c r="BE60" s="1"/>
  <c r="AX60"/>
  <c r="BC60"/>
  <c r="AT61"/>
  <c r="AW61"/>
  <c r="AX61"/>
  <c r="BC61"/>
  <c r="AT62"/>
  <c r="AW62"/>
  <c r="AX62"/>
  <c r="BC62"/>
  <c r="AT63"/>
  <c r="AW63"/>
  <c r="AX63"/>
  <c r="BC63"/>
  <c r="AT64"/>
  <c r="AW64"/>
  <c r="BE64" s="1"/>
  <c r="BG64" s="1"/>
  <c r="AX64"/>
  <c r="BC64"/>
  <c r="AT65"/>
  <c r="AW65"/>
  <c r="AX65"/>
  <c r="BC65"/>
  <c r="AT66"/>
  <c r="AW66"/>
  <c r="AX66"/>
  <c r="BC66"/>
  <c r="AT67"/>
  <c r="AW67"/>
  <c r="AX67"/>
  <c r="BC67"/>
  <c r="AT68"/>
  <c r="AW68"/>
  <c r="BE68" s="1"/>
  <c r="AX68"/>
  <c r="BC68"/>
  <c r="AT69"/>
  <c r="AW69"/>
  <c r="AX69"/>
  <c r="BC69"/>
  <c r="AT70"/>
  <c r="AW70"/>
  <c r="AX70"/>
  <c r="BC70"/>
  <c r="AT71"/>
  <c r="AW71"/>
  <c r="AX71"/>
  <c r="BC71"/>
  <c r="AT72"/>
  <c r="AW72"/>
  <c r="AX72"/>
  <c r="BC72"/>
  <c r="AT73"/>
  <c r="AW73"/>
  <c r="AX73"/>
  <c r="BC73"/>
  <c r="AT74"/>
  <c r="AW74"/>
  <c r="AX74"/>
  <c r="BC74"/>
  <c r="AT75"/>
  <c r="AW75"/>
  <c r="AX75"/>
  <c r="BE75" s="1"/>
  <c r="BC75"/>
  <c r="AT76"/>
  <c r="AW76"/>
  <c r="AX76"/>
  <c r="BC76"/>
  <c r="AT77"/>
  <c r="AW77"/>
  <c r="AX77"/>
  <c r="BC77"/>
  <c r="AT78"/>
  <c r="AW78"/>
  <c r="AX78"/>
  <c r="BC78"/>
  <c r="AT79"/>
  <c r="AW79"/>
  <c r="AX79"/>
  <c r="BC79"/>
  <c r="AT80"/>
  <c r="AW80"/>
  <c r="AX80"/>
  <c r="BC80"/>
  <c r="AT81"/>
  <c r="AW81"/>
  <c r="AX81"/>
  <c r="BC81"/>
  <c r="AT82"/>
  <c r="AW82"/>
  <c r="AX82"/>
  <c r="BC82"/>
  <c r="AT83"/>
  <c r="AW83"/>
  <c r="AX83"/>
  <c r="BC83"/>
  <c r="AT84"/>
  <c r="AW84"/>
  <c r="AX84"/>
  <c r="BC84"/>
  <c r="AT85"/>
  <c r="AW85"/>
  <c r="AX85"/>
  <c r="BC85"/>
  <c r="AT86"/>
  <c r="AW86"/>
  <c r="AX86"/>
  <c r="BC86"/>
  <c r="AT87"/>
  <c r="AW87"/>
  <c r="AX87"/>
  <c r="BC87"/>
  <c r="AT88"/>
  <c r="AW88"/>
  <c r="BE88" s="1"/>
  <c r="AX88"/>
  <c r="BC88"/>
  <c r="AT89"/>
  <c r="AW89"/>
  <c r="BE89" s="1"/>
  <c r="AX89"/>
  <c r="BC89"/>
  <c r="AT90"/>
  <c r="AW90"/>
  <c r="AX90"/>
  <c r="BC90"/>
  <c r="AT91"/>
  <c r="AW91"/>
  <c r="AX91"/>
  <c r="BC91"/>
  <c r="AT92"/>
  <c r="AW92"/>
  <c r="AX92"/>
  <c r="BC92"/>
  <c r="AT93"/>
  <c r="AW93"/>
  <c r="AX93"/>
  <c r="BC93"/>
  <c r="AT94"/>
  <c r="AW94"/>
  <c r="AX94"/>
  <c r="BC94"/>
  <c r="AT95"/>
  <c r="AW95"/>
  <c r="AX95"/>
  <c r="BC95"/>
  <c r="AT96"/>
  <c r="AW96"/>
  <c r="AX96"/>
  <c r="BE96" s="1"/>
  <c r="BC96"/>
  <c r="AT97"/>
  <c r="AW97"/>
  <c r="AX97"/>
  <c r="BC97"/>
  <c r="AT98"/>
  <c r="AW98"/>
  <c r="AX98"/>
  <c r="BC98"/>
  <c r="AT99"/>
  <c r="AW99"/>
  <c r="AX99"/>
  <c r="BC99"/>
  <c r="AT100"/>
  <c r="AW100"/>
  <c r="AX100"/>
  <c r="BC100"/>
  <c r="AT101"/>
  <c r="AW101"/>
  <c r="AX101"/>
  <c r="BC101"/>
  <c r="AT102"/>
  <c r="AW102"/>
  <c r="AX102"/>
  <c r="BC102"/>
  <c r="AT103"/>
  <c r="AW103"/>
  <c r="AX103"/>
  <c r="BE103" s="1"/>
  <c r="BC103"/>
  <c r="AT104"/>
  <c r="AW104"/>
  <c r="AX104"/>
  <c r="BC104"/>
  <c r="AT105"/>
  <c r="AW105"/>
  <c r="AX105"/>
  <c r="BC105"/>
  <c r="AT106"/>
  <c r="AW106"/>
  <c r="AX106"/>
  <c r="BC106"/>
  <c r="AT107"/>
  <c r="AW107"/>
  <c r="AX107"/>
  <c r="BC107"/>
  <c r="AT108"/>
  <c r="AW108"/>
  <c r="AX108"/>
  <c r="BC108"/>
  <c r="AT109"/>
  <c r="AW109"/>
  <c r="AX109"/>
  <c r="BC109"/>
  <c r="AT110"/>
  <c r="AW110"/>
  <c r="AX110"/>
  <c r="BC110"/>
  <c r="AT111"/>
  <c r="AW111"/>
  <c r="AX111"/>
  <c r="BC111"/>
  <c r="AT112"/>
  <c r="AW112"/>
  <c r="AX112"/>
  <c r="BC112"/>
  <c r="AT113"/>
  <c r="AW113"/>
  <c r="AX113"/>
  <c r="BC113"/>
  <c r="AT114"/>
  <c r="AW114"/>
  <c r="AX114"/>
  <c r="BC114"/>
  <c r="AT115"/>
  <c r="AW115"/>
  <c r="AX115"/>
  <c r="BC115"/>
  <c r="AT116"/>
  <c r="AW116"/>
  <c r="BE116" s="1"/>
  <c r="BG116" s="1"/>
  <c r="AX116"/>
  <c r="BC116"/>
  <c r="AT117"/>
  <c r="AW117"/>
  <c r="AX117"/>
  <c r="BC117"/>
  <c r="AT118"/>
  <c r="AW118"/>
  <c r="AX118"/>
  <c r="BC118"/>
  <c r="AT119"/>
  <c r="AW119"/>
  <c r="AX119"/>
  <c r="BC119"/>
  <c r="AT120"/>
  <c r="AW120"/>
  <c r="BE120" s="1"/>
  <c r="AX120"/>
  <c r="BC120"/>
  <c r="AT121"/>
  <c r="AW121"/>
  <c r="AX121"/>
  <c r="BC121"/>
  <c r="AT122"/>
  <c r="AW122"/>
  <c r="AX122"/>
  <c r="BC122"/>
  <c r="AT123"/>
  <c r="AW123"/>
  <c r="AX123"/>
  <c r="BC123"/>
  <c r="AT124"/>
  <c r="AW124"/>
  <c r="AX124"/>
  <c r="BC124"/>
  <c r="AT125"/>
  <c r="AW125"/>
  <c r="AX125"/>
  <c r="BC125"/>
  <c r="AT126"/>
  <c r="AW126"/>
  <c r="AX126"/>
  <c r="BC126"/>
  <c r="AT127"/>
  <c r="AW127"/>
  <c r="AX127"/>
  <c r="BC127"/>
  <c r="AT128"/>
  <c r="AW128"/>
  <c r="AX128"/>
  <c r="BC128"/>
  <c r="AT129"/>
  <c r="AW129"/>
  <c r="AX129"/>
  <c r="BC129"/>
  <c r="AT130"/>
  <c r="AW130"/>
  <c r="AX130"/>
  <c r="BC130"/>
  <c r="AT131"/>
  <c r="AW131"/>
  <c r="AX131"/>
  <c r="BC131"/>
  <c r="AT132"/>
  <c r="AW132"/>
  <c r="AX132"/>
  <c r="BC132"/>
  <c r="AT133"/>
  <c r="AW133"/>
  <c r="AX133"/>
  <c r="BC133"/>
  <c r="AT134"/>
  <c r="AW134"/>
  <c r="BE134" s="1"/>
  <c r="BG134" s="1"/>
  <c r="AX134"/>
  <c r="BC134"/>
  <c r="AT135"/>
  <c r="AW135"/>
  <c r="AX135"/>
  <c r="BC135"/>
  <c r="AT136"/>
  <c r="AW136"/>
  <c r="AX136"/>
  <c r="BC136"/>
  <c r="AT137"/>
  <c r="AW137"/>
  <c r="AX137"/>
  <c r="BC137"/>
  <c r="AT138"/>
  <c r="AW138"/>
  <c r="AX138"/>
  <c r="BC138"/>
  <c r="AT139"/>
  <c r="AW139"/>
  <c r="AX139"/>
  <c r="BC139"/>
  <c r="AT140"/>
  <c r="AW140"/>
  <c r="AX140"/>
  <c r="BC140"/>
  <c r="AT141"/>
  <c r="AW141"/>
  <c r="AX141"/>
  <c r="BC141"/>
  <c r="AT142"/>
  <c r="AW142"/>
  <c r="BE142" s="1"/>
  <c r="AX142"/>
  <c r="BC142"/>
  <c r="AT143"/>
  <c r="AW143"/>
  <c r="BE143" s="1"/>
  <c r="AX143"/>
  <c r="BC143"/>
  <c r="AT144"/>
  <c r="AW144"/>
  <c r="AX144"/>
  <c r="BC144"/>
  <c r="AT145"/>
  <c r="AW145"/>
  <c r="AX145"/>
  <c r="BC145"/>
  <c r="AT146"/>
  <c r="AW146"/>
  <c r="AX146"/>
  <c r="BC146"/>
  <c r="AT147"/>
  <c r="AW147"/>
  <c r="BE147" s="1"/>
  <c r="AX147"/>
  <c r="BC147"/>
  <c r="AT148"/>
  <c r="AW148"/>
  <c r="AX148"/>
  <c r="BC148"/>
  <c r="AT149"/>
  <c r="AW149"/>
  <c r="AX149"/>
  <c r="BC149"/>
  <c r="AT150"/>
  <c r="AW150"/>
  <c r="BE150" s="1"/>
  <c r="AX150"/>
  <c r="BC150"/>
  <c r="AT151"/>
  <c r="AW151"/>
  <c r="AX151"/>
  <c r="BC151"/>
  <c r="AT152"/>
  <c r="AW152"/>
  <c r="AX152"/>
  <c r="BC152"/>
  <c r="AT153"/>
  <c r="AW153"/>
  <c r="AX153"/>
  <c r="BC153"/>
  <c r="AT154"/>
  <c r="AW154"/>
  <c r="BE154" s="1"/>
  <c r="AX154"/>
  <c r="BC154"/>
  <c r="AT155"/>
  <c r="AW155"/>
  <c r="AX155"/>
  <c r="BC155"/>
  <c r="AT156"/>
  <c r="AW156"/>
  <c r="AX156"/>
  <c r="BC156"/>
  <c r="AT157"/>
  <c r="AW157"/>
  <c r="AX157"/>
  <c r="BC157"/>
  <c r="AT158"/>
  <c r="AW158"/>
  <c r="AX158"/>
  <c r="BC158"/>
  <c r="AT159"/>
  <c r="AW159"/>
  <c r="AX159"/>
  <c r="BC159"/>
  <c r="AT160"/>
  <c r="AW160"/>
  <c r="AX160"/>
  <c r="BC160"/>
  <c r="AT161"/>
  <c r="AW161"/>
  <c r="BE161" s="1"/>
  <c r="AX161"/>
  <c r="BC161"/>
  <c r="AT162"/>
  <c r="AW162"/>
  <c r="AX162"/>
  <c r="BC162"/>
  <c r="AT163"/>
  <c r="AW163"/>
  <c r="AX163"/>
  <c r="BC163"/>
  <c r="AT164"/>
  <c r="AW164"/>
  <c r="AX164"/>
  <c r="BC164"/>
  <c r="AT165"/>
  <c r="AW165"/>
  <c r="BE165" s="1"/>
  <c r="AX165"/>
  <c r="BC165"/>
  <c r="AT166"/>
  <c r="AW166"/>
  <c r="BE166" s="1"/>
  <c r="AX166"/>
  <c r="BC166"/>
  <c r="AT167"/>
  <c r="AW167"/>
  <c r="BE167" s="1"/>
  <c r="AX167"/>
  <c r="BC167"/>
  <c r="AT168"/>
  <c r="AW168"/>
  <c r="BE168" s="1"/>
  <c r="AX168"/>
  <c r="BC168"/>
  <c r="AT169"/>
  <c r="AW169"/>
  <c r="BE169" s="1"/>
  <c r="AX169"/>
  <c r="BC169"/>
  <c r="AT170"/>
  <c r="AW170"/>
  <c r="BE170" s="1"/>
  <c r="BG170" s="1"/>
  <c r="AX170"/>
  <c r="BC170"/>
  <c r="AT171"/>
  <c r="AW171"/>
  <c r="AX171"/>
  <c r="BC171"/>
  <c r="AT172"/>
  <c r="AW172"/>
  <c r="BE172" s="1"/>
  <c r="AX172"/>
  <c r="BC172"/>
  <c r="AT173"/>
  <c r="AW173"/>
  <c r="AX173"/>
  <c r="BC173"/>
  <c r="AT174"/>
  <c r="AW174"/>
  <c r="BE174" s="1"/>
  <c r="AX174"/>
  <c r="BC174"/>
  <c r="AT175"/>
  <c r="AW175"/>
  <c r="BE175" s="1"/>
  <c r="AX175"/>
  <c r="BC175"/>
  <c r="AT176"/>
  <c r="AW176"/>
  <c r="BE176" s="1"/>
  <c r="AX176"/>
  <c r="BC176"/>
  <c r="AT177"/>
  <c r="AW177"/>
  <c r="AX177"/>
  <c r="BC177"/>
  <c r="AT178"/>
  <c r="AW178"/>
  <c r="AX178"/>
  <c r="BC178"/>
  <c r="AT179"/>
  <c r="AW179"/>
  <c r="AX179"/>
  <c r="BC179"/>
  <c r="AT180"/>
  <c r="AW180"/>
  <c r="BE180" s="1"/>
  <c r="AX180"/>
  <c r="BC180"/>
  <c r="AT181"/>
  <c r="AW181"/>
  <c r="AX181"/>
  <c r="BC181"/>
  <c r="AT182"/>
  <c r="AW182"/>
  <c r="BE182" s="1"/>
  <c r="AX182"/>
  <c r="BC182"/>
  <c r="AT183"/>
  <c r="AW183"/>
  <c r="BE183" s="1"/>
  <c r="AX183"/>
  <c r="BC183"/>
  <c r="AT184"/>
  <c r="AW184"/>
  <c r="AX184"/>
  <c r="BC184"/>
  <c r="AT185"/>
  <c r="AW185"/>
  <c r="AX185"/>
  <c r="BC185"/>
  <c r="AT186"/>
  <c r="AW186"/>
  <c r="BE186" s="1"/>
  <c r="AX186"/>
  <c r="BC186"/>
  <c r="AT187"/>
  <c r="AW187"/>
  <c r="BE187" s="1"/>
  <c r="AX187"/>
  <c r="BC187"/>
  <c r="AT188"/>
  <c r="AW188"/>
  <c r="AX188"/>
  <c r="BC188"/>
  <c r="AT189"/>
  <c r="AW189"/>
  <c r="AX189"/>
  <c r="BC189"/>
  <c r="AT190"/>
  <c r="AW190"/>
  <c r="AX190"/>
  <c r="BC190"/>
  <c r="AT191"/>
  <c r="AW191"/>
  <c r="BE191" s="1"/>
  <c r="AX191"/>
  <c r="BC191"/>
  <c r="AT192"/>
  <c r="AW192"/>
  <c r="AX192"/>
  <c r="BC192"/>
  <c r="AT193"/>
  <c r="AW193"/>
  <c r="AX193"/>
  <c r="BC193"/>
  <c r="AT194"/>
  <c r="AW194"/>
  <c r="AX194"/>
  <c r="BC194"/>
  <c r="AT195"/>
  <c r="AW195"/>
  <c r="AX195"/>
  <c r="BC195"/>
  <c r="AT196"/>
  <c r="AW196"/>
  <c r="AX196"/>
  <c r="BC196"/>
  <c r="AT197"/>
  <c r="AW197"/>
  <c r="AX197"/>
  <c r="BC197"/>
  <c r="AT198"/>
  <c r="AW198"/>
  <c r="AX198"/>
  <c r="BC198"/>
  <c r="AT199"/>
  <c r="AW199"/>
  <c r="AX199"/>
  <c r="BC199"/>
  <c r="AT200"/>
  <c r="AW200"/>
  <c r="AX200"/>
  <c r="BC200"/>
  <c r="AT201"/>
  <c r="AW201"/>
  <c r="AX201"/>
  <c r="BC201"/>
  <c r="AT202"/>
  <c r="AW202"/>
  <c r="AX202"/>
  <c r="BC202"/>
  <c r="AT203"/>
  <c r="AW203"/>
  <c r="AX203"/>
  <c r="BC203"/>
  <c r="AT204"/>
  <c r="AW204"/>
  <c r="AX204"/>
  <c r="BC204"/>
  <c r="AT205"/>
  <c r="AW205"/>
  <c r="AX205"/>
  <c r="BC205"/>
  <c r="AT206"/>
  <c r="AW206"/>
  <c r="AX206"/>
  <c r="BC206"/>
  <c r="AT207"/>
  <c r="AW207"/>
  <c r="BE207" s="1"/>
  <c r="AX207"/>
  <c r="BC207"/>
  <c r="AT208"/>
  <c r="AW208"/>
  <c r="AX208"/>
  <c r="BC208"/>
  <c r="AT209"/>
  <c r="AW209"/>
  <c r="AX209"/>
  <c r="BC209"/>
  <c r="AT210"/>
  <c r="AW210"/>
  <c r="AX210"/>
  <c r="BC210"/>
  <c r="AT211"/>
  <c r="AW211"/>
  <c r="AX211"/>
  <c r="BC211"/>
  <c r="AT212"/>
  <c r="AW212"/>
  <c r="BE212" s="1"/>
  <c r="AX212"/>
  <c r="BC212"/>
  <c r="AT213"/>
  <c r="AW213"/>
  <c r="AX213"/>
  <c r="BC213"/>
  <c r="AT214"/>
  <c r="AW214"/>
  <c r="AX214"/>
  <c r="BC214"/>
  <c r="AT215"/>
  <c r="AW215"/>
  <c r="AX215"/>
  <c r="BC215"/>
  <c r="AT216"/>
  <c r="AW216"/>
  <c r="BE216" s="1"/>
  <c r="AX216"/>
  <c r="BC216"/>
  <c r="AT217"/>
  <c r="AW217"/>
  <c r="AX217"/>
  <c r="BC217"/>
  <c r="AT218"/>
  <c r="AW218"/>
  <c r="AX218"/>
  <c r="BC218"/>
  <c r="AT219"/>
  <c r="AW219"/>
  <c r="AX219"/>
  <c r="BC219"/>
  <c r="AT220"/>
  <c r="AW220"/>
  <c r="AX220"/>
  <c r="BC220"/>
  <c r="AT221"/>
  <c r="AW221"/>
  <c r="AX221"/>
  <c r="BC221"/>
  <c r="AT222"/>
  <c r="AW222"/>
  <c r="AX222"/>
  <c r="BC222"/>
  <c r="AT223"/>
  <c r="AW223"/>
  <c r="AX223"/>
  <c r="BC223"/>
  <c r="AT224"/>
  <c r="AW224"/>
  <c r="AX224"/>
  <c r="BC224"/>
  <c r="AT225"/>
  <c r="AW225"/>
  <c r="AX225"/>
  <c r="BC225"/>
  <c r="AT226"/>
  <c r="AW226"/>
  <c r="AX226"/>
  <c r="BC226"/>
  <c r="AT227"/>
  <c r="AW227"/>
  <c r="AX227"/>
  <c r="BC227"/>
  <c r="AT228"/>
  <c r="AW228"/>
  <c r="AX228"/>
  <c r="BC228"/>
  <c r="AT229"/>
  <c r="AW229"/>
  <c r="AX229"/>
  <c r="BC229"/>
  <c r="AT230"/>
  <c r="AW230"/>
  <c r="AX230"/>
  <c r="BC230"/>
  <c r="AT231"/>
  <c r="AW231"/>
  <c r="AX231"/>
  <c r="BC231"/>
  <c r="AT232"/>
  <c r="AW232"/>
  <c r="AX232"/>
  <c r="BC232"/>
  <c r="AT233"/>
  <c r="AW233"/>
  <c r="AX233"/>
  <c r="BC233"/>
  <c r="AT234"/>
  <c r="AW234"/>
  <c r="AX234"/>
  <c r="BC234"/>
  <c r="AT235"/>
  <c r="AW235"/>
  <c r="AX235"/>
  <c r="BC235"/>
  <c r="AT236"/>
  <c r="AW236"/>
  <c r="AX236"/>
  <c r="BC236"/>
  <c r="AT237"/>
  <c r="AW237"/>
  <c r="AX237"/>
  <c r="BC237"/>
  <c r="AT238"/>
  <c r="AW238"/>
  <c r="AX238"/>
  <c r="BC238"/>
  <c r="AT239"/>
  <c r="AW239"/>
  <c r="AX239"/>
  <c r="BC239"/>
  <c r="AT240"/>
  <c r="AW240"/>
  <c r="AX240"/>
  <c r="BC240"/>
  <c r="AT241"/>
  <c r="AW241"/>
  <c r="AX241"/>
  <c r="BC241"/>
  <c r="AT242"/>
  <c r="AW242"/>
  <c r="AX242"/>
  <c r="BC242"/>
  <c r="AT243"/>
  <c r="AW243"/>
  <c r="AX243"/>
  <c r="BC243"/>
  <c r="AT244"/>
  <c r="AW244"/>
  <c r="AX244"/>
  <c r="BC244"/>
  <c r="AT245"/>
  <c r="AW245"/>
  <c r="AX245"/>
  <c r="BC245"/>
  <c r="AT246"/>
  <c r="AW246"/>
  <c r="AX246"/>
  <c r="BC246"/>
  <c r="AT247"/>
  <c r="AW247"/>
  <c r="AX247"/>
  <c r="BC247"/>
  <c r="AT248"/>
  <c r="AW248"/>
  <c r="AX248"/>
  <c r="BC248"/>
  <c r="AT249"/>
  <c r="AW249"/>
  <c r="AX249"/>
  <c r="BC249"/>
  <c r="AT250"/>
  <c r="AW250"/>
  <c r="AX250"/>
  <c r="BC250"/>
  <c r="AT251"/>
  <c r="AW251"/>
  <c r="AX251"/>
  <c r="BC251"/>
  <c r="AT252"/>
  <c r="AW252"/>
  <c r="AX252"/>
  <c r="BC252"/>
  <c r="AT253"/>
  <c r="AW253"/>
  <c r="AX253"/>
  <c r="BC253"/>
  <c r="AT254"/>
  <c r="AW254"/>
  <c r="AX254"/>
  <c r="BC254"/>
  <c r="AT255"/>
  <c r="AW255"/>
  <c r="AX255"/>
  <c r="BC255"/>
  <c r="AT256"/>
  <c r="AW256"/>
  <c r="AX256"/>
  <c r="BC256"/>
  <c r="AT257"/>
  <c r="AW257"/>
  <c r="AX257"/>
  <c r="BC257"/>
  <c r="AT258"/>
  <c r="AW258"/>
  <c r="AX258"/>
  <c r="BC258"/>
  <c r="AT259"/>
  <c r="AW259"/>
  <c r="AX259"/>
  <c r="BC259"/>
  <c r="AT260"/>
  <c r="AW260"/>
  <c r="AX260"/>
  <c r="BC260"/>
  <c r="AT261"/>
  <c r="AW261"/>
  <c r="AX261"/>
  <c r="BC261"/>
  <c r="AT262"/>
  <c r="AW262"/>
  <c r="AX262"/>
  <c r="BC262"/>
  <c r="AT263"/>
  <c r="AW263"/>
  <c r="AX263"/>
  <c r="BC263"/>
  <c r="AT264"/>
  <c r="AW264"/>
  <c r="AX264"/>
  <c r="BC264"/>
  <c r="AT265"/>
  <c r="AW265"/>
  <c r="AX265"/>
  <c r="BC265"/>
  <c r="AT266"/>
  <c r="AW266"/>
  <c r="AX266"/>
  <c r="BC266"/>
  <c r="AT267"/>
  <c r="AW267"/>
  <c r="AX267"/>
  <c r="BC267"/>
  <c r="AT268"/>
  <c r="AW268"/>
  <c r="AX268"/>
  <c r="BC268"/>
  <c r="AT269"/>
  <c r="AW269"/>
  <c r="AX269"/>
  <c r="BC269"/>
  <c r="AT270"/>
  <c r="AW270"/>
  <c r="AX270"/>
  <c r="BC270"/>
  <c r="AT271"/>
  <c r="AW271"/>
  <c r="AX271"/>
  <c r="BC271"/>
  <c r="AT272"/>
  <c r="AW272"/>
  <c r="AX272"/>
  <c r="BC272"/>
  <c r="AT273"/>
  <c r="AW273"/>
  <c r="AX273"/>
  <c r="BC273"/>
  <c r="AT274"/>
  <c r="AW274"/>
  <c r="AX274"/>
  <c r="BC274"/>
  <c r="AT275"/>
  <c r="AW275"/>
  <c r="AX275"/>
  <c r="BC275"/>
  <c r="AT276"/>
  <c r="AW276"/>
  <c r="AX276"/>
  <c r="BC276"/>
  <c r="AT277"/>
  <c r="AW277"/>
  <c r="AX277"/>
  <c r="BC277"/>
  <c r="AT278"/>
  <c r="AW278"/>
  <c r="AX278"/>
  <c r="BC278"/>
  <c r="AT279"/>
  <c r="AW279"/>
  <c r="AX279"/>
  <c r="BC279"/>
  <c r="AT280"/>
  <c r="AW280"/>
  <c r="AX280"/>
  <c r="BC280"/>
  <c r="AT281"/>
  <c r="AW281"/>
  <c r="AX281"/>
  <c r="BC281"/>
  <c r="AT282"/>
  <c r="AW282"/>
  <c r="AX282"/>
  <c r="BC282"/>
  <c r="AT283"/>
  <c r="AW283"/>
  <c r="AX283"/>
  <c r="BC283"/>
  <c r="AT284"/>
  <c r="AW284"/>
  <c r="AX284"/>
  <c r="BC284"/>
  <c r="AT285"/>
  <c r="AW285"/>
  <c r="AX285"/>
  <c r="BC285"/>
  <c r="AT286"/>
  <c r="AW286"/>
  <c r="AX286"/>
  <c r="BC286"/>
  <c r="AT287"/>
  <c r="AW287"/>
  <c r="AX287"/>
  <c r="BC287"/>
  <c r="AT288"/>
  <c r="AW288"/>
  <c r="AX288"/>
  <c r="BC288"/>
  <c r="AT289"/>
  <c r="AW289"/>
  <c r="AX289"/>
  <c r="BC289"/>
  <c r="AT290"/>
  <c r="AW290"/>
  <c r="AX290"/>
  <c r="BC290"/>
  <c r="AT291"/>
  <c r="AW291"/>
  <c r="AX291"/>
  <c r="BC291"/>
  <c r="AT292"/>
  <c r="AW292"/>
  <c r="AX292"/>
  <c r="BC292"/>
  <c r="AT293"/>
  <c r="AW293"/>
  <c r="AX293"/>
  <c r="BC293"/>
  <c r="AT294"/>
  <c r="AW294"/>
  <c r="AX294"/>
  <c r="BC294"/>
  <c r="AT295"/>
  <c r="AW295"/>
  <c r="AX295"/>
  <c r="BC295"/>
  <c r="AT296"/>
  <c r="AW296"/>
  <c r="AX296"/>
  <c r="BC296"/>
  <c r="AT297"/>
  <c r="AW297"/>
  <c r="AX297"/>
  <c r="BC297"/>
  <c r="AT298"/>
  <c r="AW298"/>
  <c r="AX298"/>
  <c r="BC298"/>
  <c r="AT299"/>
  <c r="AW299"/>
  <c r="AX299"/>
  <c r="BC299"/>
  <c r="AT300"/>
  <c r="AW300"/>
  <c r="AX300"/>
  <c r="BC300"/>
  <c r="AT301"/>
  <c r="AW301"/>
  <c r="AX301"/>
  <c r="BC301"/>
  <c r="AT302"/>
  <c r="AW302"/>
  <c r="BE302" s="1"/>
  <c r="AX302"/>
  <c r="BC302"/>
  <c r="AT303"/>
  <c r="AW303"/>
  <c r="BE303" s="1"/>
  <c r="AX303"/>
  <c r="BC303"/>
  <c r="AT304"/>
  <c r="AW304"/>
  <c r="AX304"/>
  <c r="BC304"/>
  <c r="AT305"/>
  <c r="AW305"/>
  <c r="BE305" s="1"/>
  <c r="AX305"/>
  <c r="BC305"/>
  <c r="AT306"/>
  <c r="AW306"/>
  <c r="BE306" s="1"/>
  <c r="AX306"/>
  <c r="BC306"/>
  <c r="AT307"/>
  <c r="AW307"/>
  <c r="AX307"/>
  <c r="BC307"/>
  <c r="AT308"/>
  <c r="AW308"/>
  <c r="AX308"/>
  <c r="BC308"/>
  <c r="AT309"/>
  <c r="AW309"/>
  <c r="BE309" s="1"/>
  <c r="AX309"/>
  <c r="BC309"/>
  <c r="AT310"/>
  <c r="AW310"/>
  <c r="BE310" s="1"/>
  <c r="AX310"/>
  <c r="BC310"/>
  <c r="AT311"/>
  <c r="AW311"/>
  <c r="BE311" s="1"/>
  <c r="AX311"/>
  <c r="BC311"/>
  <c r="AT312"/>
  <c r="AW312"/>
  <c r="AX312"/>
  <c r="BC312"/>
  <c r="AT313"/>
  <c r="AW313"/>
  <c r="BE313" s="1"/>
  <c r="AX313"/>
  <c r="BC313"/>
  <c r="AT314"/>
  <c r="AW314"/>
  <c r="AX314"/>
  <c r="BC314"/>
  <c r="AT315"/>
  <c r="AW315"/>
  <c r="BE315" s="1"/>
  <c r="BG315" s="1"/>
  <c r="AX315"/>
  <c r="BC315"/>
  <c r="AT316"/>
  <c r="AW316"/>
  <c r="AX316"/>
  <c r="BC316"/>
  <c r="AT317"/>
  <c r="AW317"/>
  <c r="AX317"/>
  <c r="BC317"/>
  <c r="AT318"/>
  <c r="AW318"/>
  <c r="AX318"/>
  <c r="BC318"/>
  <c r="AT319"/>
  <c r="AW319"/>
  <c r="BE319" s="1"/>
  <c r="AX319"/>
  <c r="BC319"/>
  <c r="AT320"/>
  <c r="AW320"/>
  <c r="AX320"/>
  <c r="BC320"/>
  <c r="AT321"/>
  <c r="AW321"/>
  <c r="AX321"/>
  <c r="BC321"/>
  <c r="AT322"/>
  <c r="AW322"/>
  <c r="AX322"/>
  <c r="BC322"/>
  <c r="AT323"/>
  <c r="AW323"/>
  <c r="AX323"/>
  <c r="BE323" s="1"/>
  <c r="BC323"/>
  <c r="AT324"/>
  <c r="AW324"/>
  <c r="AX324"/>
  <c r="BC324"/>
  <c r="AT325"/>
  <c r="AW325"/>
  <c r="AX325"/>
  <c r="BC325"/>
  <c r="AT326"/>
  <c r="AW326"/>
  <c r="AX326"/>
  <c r="BE326" s="1"/>
  <c r="BC326"/>
  <c r="AT327"/>
  <c r="AW327"/>
  <c r="AX327"/>
  <c r="BE327" s="1"/>
  <c r="BC327"/>
  <c r="AT328"/>
  <c r="AW328"/>
  <c r="AX328"/>
  <c r="BC328"/>
  <c r="AT329"/>
  <c r="AW329"/>
  <c r="AX329"/>
  <c r="BC329"/>
  <c r="AT330"/>
  <c r="AW330"/>
  <c r="AX330"/>
  <c r="BE330" s="1"/>
  <c r="BC330"/>
  <c r="AT331"/>
  <c r="AW331"/>
  <c r="AX331"/>
  <c r="BE331" s="1"/>
  <c r="BC331"/>
  <c r="AT332"/>
  <c r="AW332"/>
  <c r="AX332"/>
  <c r="BC332"/>
  <c r="AT333"/>
  <c r="AW333"/>
  <c r="AX333"/>
  <c r="BC333"/>
  <c r="AT334"/>
  <c r="AW334"/>
  <c r="AX334"/>
  <c r="BE334" s="1"/>
  <c r="BC334"/>
  <c r="AT335"/>
  <c r="AW335"/>
  <c r="AX335"/>
  <c r="BE335" s="1"/>
  <c r="BC335"/>
  <c r="AT336"/>
  <c r="AW336"/>
  <c r="AX336"/>
  <c r="BC336"/>
  <c r="AT337"/>
  <c r="AW337"/>
  <c r="AX337"/>
  <c r="BC337"/>
  <c r="AT338"/>
  <c r="AW338"/>
  <c r="AX338"/>
  <c r="BE338" s="1"/>
  <c r="BC338"/>
  <c r="AT339"/>
  <c r="AW339"/>
  <c r="AX339"/>
  <c r="BC339"/>
  <c r="AT340"/>
  <c r="AW340"/>
  <c r="AX340"/>
  <c r="BC340"/>
  <c r="AT341"/>
  <c r="AW341"/>
  <c r="AX341"/>
  <c r="BC341"/>
  <c r="AT342"/>
  <c r="AW342"/>
  <c r="AX342"/>
  <c r="BE342" s="1"/>
  <c r="BC342"/>
  <c r="AT343"/>
  <c r="AW343"/>
  <c r="AX343"/>
  <c r="BC343"/>
  <c r="AT344"/>
  <c r="AW344"/>
  <c r="AX344"/>
  <c r="BC344"/>
  <c r="AT345"/>
  <c r="AW345"/>
  <c r="AX345"/>
  <c r="BE345" s="1"/>
  <c r="BC345"/>
  <c r="AT346"/>
  <c r="AW346"/>
  <c r="AX346"/>
  <c r="BC346"/>
  <c r="AT347"/>
  <c r="AW347"/>
  <c r="AX347"/>
  <c r="BC347"/>
  <c r="AT348"/>
  <c r="AW348"/>
  <c r="AX348"/>
  <c r="BE348" s="1"/>
  <c r="BC348"/>
  <c r="AT349"/>
  <c r="AW349"/>
  <c r="AX349"/>
  <c r="BC349"/>
  <c r="AT350"/>
  <c r="AW350"/>
  <c r="AX350"/>
  <c r="BC350"/>
  <c r="AT351"/>
  <c r="AW351"/>
  <c r="AX351"/>
  <c r="BC351"/>
  <c r="AT352"/>
  <c r="AW352"/>
  <c r="AX352"/>
  <c r="BC352"/>
  <c r="AT353"/>
  <c r="AW353"/>
  <c r="AX353"/>
  <c r="BC353"/>
  <c r="AT354"/>
  <c r="AW354"/>
  <c r="AX354"/>
  <c r="BC354"/>
  <c r="AT355"/>
  <c r="AW355"/>
  <c r="AX355"/>
  <c r="BC355"/>
  <c r="AT356"/>
  <c r="AW356"/>
  <c r="AX356"/>
  <c r="BC356"/>
  <c r="AT357"/>
  <c r="AW357"/>
  <c r="AX357"/>
  <c r="BC357"/>
  <c r="AT358"/>
  <c r="AW358"/>
  <c r="AX358"/>
  <c r="BC358"/>
  <c r="AT359"/>
  <c r="AW359"/>
  <c r="AX359"/>
  <c r="BC359"/>
  <c r="AT360"/>
  <c r="AW360"/>
  <c r="AX360"/>
  <c r="BC360"/>
  <c r="AT361"/>
  <c r="AW361"/>
  <c r="AX361"/>
  <c r="BC361"/>
  <c r="AT362"/>
  <c r="AW362"/>
  <c r="AX362"/>
  <c r="BC362"/>
  <c r="AT363"/>
  <c r="AW363"/>
  <c r="AX363"/>
  <c r="BC363"/>
  <c r="AT364"/>
  <c r="AW364"/>
  <c r="AX364"/>
  <c r="BC364"/>
  <c r="AT365"/>
  <c r="AW365"/>
  <c r="AX365"/>
  <c r="BC365"/>
  <c r="AT366"/>
  <c r="AW366"/>
  <c r="AX366"/>
  <c r="BC366"/>
  <c r="AT367"/>
  <c r="AW367"/>
  <c r="AX367"/>
  <c r="BC367"/>
  <c r="AT368"/>
  <c r="AW368"/>
  <c r="AX368"/>
  <c r="BC368"/>
  <c r="AT369"/>
  <c r="AW369"/>
  <c r="AX369"/>
  <c r="BC369"/>
  <c r="AT370"/>
  <c r="AW370"/>
  <c r="AX370"/>
  <c r="BC370"/>
  <c r="AT371"/>
  <c r="AW371"/>
  <c r="AX371"/>
  <c r="BC371"/>
  <c r="AT372"/>
  <c r="AW372"/>
  <c r="AX372"/>
  <c r="BC372"/>
  <c r="AT373"/>
  <c r="AW373"/>
  <c r="AX373"/>
  <c r="BC373"/>
  <c r="AT374"/>
  <c r="AW374"/>
  <c r="AX374"/>
  <c r="BC374"/>
  <c r="AT375"/>
  <c r="AW375"/>
  <c r="AX375"/>
  <c r="BC375"/>
  <c r="AT376"/>
  <c r="AW376"/>
  <c r="AX376"/>
  <c r="BC376"/>
  <c r="AT377"/>
  <c r="AW377"/>
  <c r="AX377"/>
  <c r="BC377"/>
  <c r="AT378"/>
  <c r="AW378"/>
  <c r="AX378"/>
  <c r="BC378"/>
  <c r="AT379"/>
  <c r="AW379"/>
  <c r="AX379"/>
  <c r="BC379"/>
  <c r="AT380"/>
  <c r="AW380"/>
  <c r="AX380"/>
  <c r="BC380"/>
  <c r="AT381"/>
  <c r="AW381"/>
  <c r="AX381"/>
  <c r="BC381"/>
  <c r="AT382"/>
  <c r="AW382"/>
  <c r="AX382"/>
  <c r="BC382"/>
  <c r="AT383"/>
  <c r="AW383"/>
  <c r="AX383"/>
  <c r="BC383"/>
  <c r="AT384"/>
  <c r="AW384"/>
  <c r="AX384"/>
  <c r="BC384"/>
  <c r="AT385"/>
  <c r="AW385"/>
  <c r="AX385"/>
  <c r="BC385"/>
  <c r="AT386"/>
  <c r="AW386"/>
  <c r="AX386"/>
  <c r="BC386"/>
  <c r="AT387"/>
  <c r="AW387"/>
  <c r="AX387"/>
  <c r="BC387"/>
  <c r="AT388"/>
  <c r="AW388"/>
  <c r="AX388"/>
  <c r="BC388"/>
  <c r="AT389"/>
  <c r="AW389"/>
  <c r="AX389"/>
  <c r="BC389"/>
  <c r="AT390"/>
  <c r="AW390"/>
  <c r="AX390"/>
  <c r="BC390"/>
  <c r="AT391"/>
  <c r="AW391"/>
  <c r="AX391"/>
  <c r="BC391"/>
  <c r="AT392"/>
  <c r="AW392"/>
  <c r="AX392"/>
  <c r="BC392"/>
  <c r="AT393"/>
  <c r="AW393"/>
  <c r="AX393"/>
  <c r="BC393"/>
  <c r="AT394"/>
  <c r="AW394"/>
  <c r="AX394"/>
  <c r="BC394"/>
  <c r="AT395"/>
  <c r="AW395"/>
  <c r="AX395"/>
  <c r="BC395"/>
  <c r="AT396"/>
  <c r="AW396"/>
  <c r="AX396"/>
  <c r="BE396" s="1"/>
  <c r="BG396" s="1"/>
  <c r="BC396"/>
  <c r="AT397"/>
  <c r="AW397"/>
  <c r="AX397"/>
  <c r="BC397"/>
  <c r="AT398"/>
  <c r="AW398"/>
  <c r="AX398"/>
  <c r="BC398"/>
  <c r="AT399"/>
  <c r="AW399"/>
  <c r="AX399"/>
  <c r="BC399"/>
  <c r="AT400"/>
  <c r="AW400"/>
  <c r="AX400"/>
  <c r="BC400"/>
  <c r="AT401"/>
  <c r="AW401"/>
  <c r="AX401"/>
  <c r="BC401"/>
  <c r="AT402"/>
  <c r="AW402"/>
  <c r="AX402"/>
  <c r="BC402"/>
  <c r="AT403"/>
  <c r="AW403"/>
  <c r="AX403"/>
  <c r="BC403"/>
  <c r="AT404"/>
  <c r="AW404"/>
  <c r="AX404"/>
  <c r="BC404"/>
  <c r="AT405"/>
  <c r="AW405"/>
  <c r="AX405"/>
  <c r="BC405"/>
  <c r="AT406"/>
  <c r="AW406"/>
  <c r="AX406"/>
  <c r="BC406"/>
  <c r="AT407"/>
  <c r="AW407"/>
  <c r="AX407"/>
  <c r="BC407"/>
  <c r="AT408"/>
  <c r="AW408"/>
  <c r="AX408"/>
  <c r="BC408"/>
  <c r="AT409"/>
  <c r="AW409"/>
  <c r="AX409"/>
  <c r="BC409"/>
  <c r="AT410"/>
  <c r="AW410"/>
  <c r="AX410"/>
  <c r="BC410"/>
  <c r="AT411"/>
  <c r="AW411"/>
  <c r="AX411"/>
  <c r="BC411"/>
  <c r="AT412"/>
  <c r="AW412"/>
  <c r="AX412"/>
  <c r="BC412"/>
  <c r="AT413"/>
  <c r="AW413"/>
  <c r="AX413"/>
  <c r="BC413"/>
  <c r="AT414"/>
  <c r="AW414"/>
  <c r="AX414"/>
  <c r="BC414"/>
  <c r="AT415"/>
  <c r="AW415"/>
  <c r="AX415"/>
  <c r="BC415"/>
  <c r="AT416"/>
  <c r="AW416"/>
  <c r="AX416"/>
  <c r="BC416"/>
  <c r="AT417"/>
  <c r="AW417"/>
  <c r="AX417"/>
  <c r="BE417" s="1"/>
  <c r="BC417"/>
  <c r="AT418"/>
  <c r="AW418"/>
  <c r="AX418"/>
  <c r="BC418"/>
  <c r="AT419"/>
  <c r="AW419"/>
  <c r="AX419"/>
  <c r="BC419"/>
  <c r="AT420"/>
  <c r="AW420"/>
  <c r="BE420" s="1"/>
  <c r="AX420"/>
  <c r="BC420"/>
  <c r="AT421"/>
  <c r="AW421"/>
  <c r="AX421"/>
  <c r="BC421"/>
  <c r="AT422"/>
  <c r="AW422"/>
  <c r="BE422" s="1"/>
  <c r="AX422"/>
  <c r="BC422"/>
  <c r="AT423"/>
  <c r="AW423"/>
  <c r="AX423"/>
  <c r="BC423"/>
  <c r="AT424"/>
  <c r="AW424"/>
  <c r="BE424" s="1"/>
  <c r="AX424"/>
  <c r="BC424"/>
  <c r="AT425"/>
  <c r="AW425"/>
  <c r="AX425"/>
  <c r="BC425"/>
  <c r="AT426"/>
  <c r="AW426"/>
  <c r="AX426"/>
  <c r="BC426"/>
  <c r="AT427"/>
  <c r="AW427"/>
  <c r="AX427"/>
  <c r="BC427"/>
  <c r="AT428"/>
  <c r="AW428"/>
  <c r="AX428"/>
  <c r="BC428"/>
  <c r="AT429"/>
  <c r="AW429"/>
  <c r="AX429"/>
  <c r="BC429"/>
  <c r="AT430"/>
  <c r="AW430"/>
  <c r="BE430" s="1"/>
  <c r="AX430"/>
  <c r="BC430"/>
  <c r="AT431"/>
  <c r="AW431"/>
  <c r="BE431" s="1"/>
  <c r="BG431" s="1"/>
  <c r="AX431"/>
  <c r="BC431"/>
  <c r="AT432"/>
  <c r="AW432"/>
  <c r="BE432" s="1"/>
  <c r="AX432"/>
  <c r="BC432"/>
  <c r="AT433"/>
  <c r="AW433"/>
  <c r="BE433" s="1"/>
  <c r="AX433"/>
  <c r="BC433"/>
  <c r="AT434"/>
  <c r="AW434"/>
  <c r="BE434" s="1"/>
  <c r="AX434"/>
  <c r="BC434"/>
  <c r="AT435"/>
  <c r="AW435"/>
  <c r="BE435" s="1"/>
  <c r="AX435"/>
  <c r="BC435"/>
  <c r="AT436"/>
  <c r="AW436"/>
  <c r="BE436" s="1"/>
  <c r="AX436"/>
  <c r="BC436"/>
  <c r="AT437"/>
  <c r="AW437"/>
  <c r="BE437" s="1"/>
  <c r="AX437"/>
  <c r="BC437"/>
  <c r="AT438"/>
  <c r="AW438"/>
  <c r="AX438"/>
  <c r="BC438"/>
  <c r="AT439"/>
  <c r="AW439"/>
  <c r="BE439" s="1"/>
  <c r="AX439"/>
  <c r="BC439"/>
  <c r="AT440"/>
  <c r="AW440"/>
  <c r="AX440"/>
  <c r="BC440"/>
  <c r="AT441"/>
  <c r="AW441"/>
  <c r="BE441" s="1"/>
  <c r="AX441"/>
  <c r="BC441"/>
  <c r="AT442"/>
  <c r="AW442"/>
  <c r="AX442"/>
  <c r="BC442"/>
  <c r="AT443"/>
  <c r="AW443"/>
  <c r="BE443" s="1"/>
  <c r="AX443"/>
  <c r="BC443"/>
  <c r="AT444"/>
  <c r="AW444"/>
  <c r="AX444"/>
  <c r="BC444"/>
  <c r="AT445"/>
  <c r="AW445"/>
  <c r="AX445"/>
  <c r="BC445"/>
  <c r="AT446"/>
  <c r="AW446"/>
  <c r="AX446"/>
  <c r="BC446"/>
  <c r="AT447"/>
  <c r="AW447"/>
  <c r="BE447" s="1"/>
  <c r="AX447"/>
  <c r="BC447"/>
  <c r="AT448"/>
  <c r="AW448"/>
  <c r="AX448"/>
  <c r="BC448"/>
  <c r="AT449"/>
  <c r="AW449"/>
  <c r="BE449" s="1"/>
  <c r="AX449"/>
  <c r="BC449"/>
  <c r="AT450"/>
  <c r="AW450"/>
  <c r="BE450" s="1"/>
  <c r="AX450"/>
  <c r="BC450"/>
  <c r="AT451"/>
  <c r="AW451"/>
  <c r="BE451" s="1"/>
  <c r="AX451"/>
  <c r="BC451"/>
  <c r="AT452"/>
  <c r="AW452"/>
  <c r="BE452" s="1"/>
  <c r="AX452"/>
  <c r="BC452"/>
  <c r="AT453"/>
  <c r="AW453"/>
  <c r="AX453"/>
  <c r="BC453"/>
  <c r="AT454"/>
  <c r="AW454"/>
  <c r="BE454" s="1"/>
  <c r="AX454"/>
  <c r="BC454"/>
  <c r="AT455"/>
  <c r="AW455"/>
  <c r="AX455"/>
  <c r="BC455"/>
  <c r="AT456"/>
  <c r="AW456"/>
  <c r="BE456" s="1"/>
  <c r="AX456"/>
  <c r="BC456"/>
  <c r="AT457"/>
  <c r="AW457"/>
  <c r="AX457"/>
  <c r="BC457"/>
  <c r="AT458"/>
  <c r="AW458"/>
  <c r="BE458" s="1"/>
  <c r="AX458"/>
  <c r="BC458"/>
  <c r="AT459"/>
  <c r="AW459"/>
  <c r="AX459"/>
  <c r="BC459"/>
  <c r="AT460"/>
  <c r="AW460"/>
  <c r="AX460"/>
  <c r="BC460"/>
  <c r="AT461"/>
  <c r="AW461"/>
  <c r="AX461"/>
  <c r="BC461"/>
  <c r="AT462"/>
  <c r="AW462"/>
  <c r="BE462" s="1"/>
  <c r="AX462"/>
  <c r="BC462"/>
  <c r="AT463"/>
  <c r="AW463"/>
  <c r="AX463"/>
  <c r="BC463"/>
  <c r="AT464"/>
  <c r="AW464"/>
  <c r="BE464" s="1"/>
  <c r="AX464"/>
  <c r="BC464"/>
  <c r="AT465"/>
  <c r="AW465"/>
  <c r="AX465"/>
  <c r="BC465"/>
  <c r="AT466"/>
  <c r="AW466"/>
  <c r="BE466" s="1"/>
  <c r="AX466"/>
  <c r="BC466"/>
  <c r="AT467"/>
  <c r="AW467"/>
  <c r="AX467"/>
  <c r="BC467"/>
  <c r="AT468"/>
  <c r="AW468"/>
  <c r="BE468" s="1"/>
  <c r="AX468"/>
  <c r="BC468"/>
  <c r="AT469"/>
  <c r="AW469"/>
  <c r="AX469"/>
  <c r="BC469"/>
  <c r="AT470"/>
  <c r="AW470"/>
  <c r="BE470" s="1"/>
  <c r="AX470"/>
  <c r="BC470"/>
  <c r="AT471"/>
  <c r="AW471"/>
  <c r="AX471"/>
  <c r="BC471"/>
  <c r="AT472"/>
  <c r="AW472"/>
  <c r="AX472"/>
  <c r="BC472"/>
  <c r="AT473"/>
  <c r="AW473"/>
  <c r="AX473"/>
  <c r="BC473"/>
  <c r="AT474"/>
  <c r="AW474"/>
  <c r="BE474" s="1"/>
  <c r="AX474"/>
  <c r="BC474"/>
  <c r="AT475"/>
  <c r="AW475"/>
  <c r="AX475"/>
  <c r="BC475"/>
  <c r="AT476"/>
  <c r="AW476"/>
  <c r="AX476"/>
  <c r="BC476"/>
  <c r="AT477"/>
  <c r="AW477"/>
  <c r="AX477"/>
  <c r="BC477"/>
  <c r="AT478"/>
  <c r="AW478"/>
  <c r="AX478"/>
  <c r="BC478"/>
  <c r="AT479"/>
  <c r="AW479"/>
  <c r="AX479"/>
  <c r="BC479"/>
  <c r="AT480"/>
  <c r="AW480"/>
  <c r="BE480" s="1"/>
  <c r="AX480"/>
  <c r="BC480"/>
  <c r="AT481"/>
  <c r="AW481"/>
  <c r="BE481" s="1"/>
  <c r="AX481"/>
  <c r="BC481"/>
  <c r="AT482"/>
  <c r="AW482"/>
  <c r="BE482" s="1"/>
  <c r="AX482"/>
  <c r="BC482"/>
  <c r="AT483"/>
  <c r="AW483"/>
  <c r="BE483" s="1"/>
  <c r="AX483"/>
  <c r="BC483"/>
  <c r="AT484"/>
  <c r="AW484"/>
  <c r="AX484"/>
  <c r="BC484"/>
  <c r="AT485"/>
  <c r="AW485"/>
  <c r="AX485"/>
  <c r="BC485"/>
  <c r="AT486"/>
  <c r="AW486"/>
  <c r="BE486" s="1"/>
  <c r="AX486"/>
  <c r="BC486"/>
  <c r="AT487"/>
  <c r="AW487"/>
  <c r="BE487" s="1"/>
  <c r="AX487"/>
  <c r="BC487"/>
  <c r="AT488"/>
  <c r="AW488"/>
  <c r="BE488" s="1"/>
  <c r="AX488"/>
  <c r="BC488"/>
  <c r="AT489"/>
  <c r="AW489"/>
  <c r="BE489" s="1"/>
  <c r="AX489"/>
  <c r="BC489"/>
  <c r="AT490"/>
  <c r="AW490"/>
  <c r="BE490" s="1"/>
  <c r="AX490"/>
  <c r="BC490"/>
  <c r="AT491"/>
  <c r="AW491"/>
  <c r="AX491"/>
  <c r="BC491"/>
  <c r="AT492"/>
  <c r="AW492"/>
  <c r="BE492" s="1"/>
  <c r="AX492"/>
  <c r="BC492"/>
  <c r="AT493"/>
  <c r="AW493"/>
  <c r="BE493" s="1"/>
  <c r="AX493"/>
  <c r="BC493"/>
  <c r="AT494"/>
  <c r="AW494"/>
  <c r="AX494"/>
  <c r="BC494"/>
  <c r="AT495"/>
  <c r="AW495"/>
  <c r="AX495"/>
  <c r="BC495"/>
  <c r="AT496"/>
  <c r="AW496"/>
  <c r="BE496" s="1"/>
  <c r="AX496"/>
  <c r="BC496"/>
  <c r="AT497"/>
  <c r="AW497"/>
  <c r="AX497"/>
  <c r="BC497"/>
  <c r="AT498"/>
  <c r="AW498"/>
  <c r="AX498"/>
  <c r="BC498"/>
  <c r="AT499"/>
  <c r="AW499"/>
  <c r="AX499"/>
  <c r="BC499"/>
  <c r="AT500"/>
  <c r="AW500"/>
  <c r="BE500" s="1"/>
  <c r="AX500"/>
  <c r="BC500"/>
  <c r="AT501"/>
  <c r="AW501"/>
  <c r="AX501"/>
  <c r="BC501"/>
  <c r="AT502"/>
  <c r="AW502"/>
  <c r="AX502"/>
  <c r="BC502"/>
  <c r="AT503"/>
  <c r="AW503"/>
  <c r="AX503"/>
  <c r="BC503"/>
  <c r="AT504"/>
  <c r="AW504"/>
  <c r="AX504"/>
  <c r="BC504"/>
  <c r="AT505"/>
  <c r="AW505"/>
  <c r="AX505"/>
  <c r="BC505"/>
  <c r="AT506"/>
  <c r="AW506"/>
  <c r="AX506"/>
  <c r="BC506"/>
  <c r="AT507"/>
  <c r="AW507"/>
  <c r="BE507" s="1"/>
  <c r="AX507"/>
  <c r="BC507"/>
  <c r="AT508"/>
  <c r="AW508"/>
  <c r="BE508" s="1"/>
  <c r="AX508"/>
  <c r="BC508"/>
  <c r="AT509"/>
  <c r="AW509"/>
  <c r="AX509"/>
  <c r="BC509"/>
  <c r="AT510"/>
  <c r="AW510"/>
  <c r="AX510"/>
  <c r="BC510"/>
  <c r="AT511"/>
  <c r="AW511"/>
  <c r="AX511"/>
  <c r="BC511"/>
  <c r="AT512"/>
  <c r="AW512"/>
  <c r="AX512"/>
  <c r="BC512"/>
  <c r="AT513"/>
  <c r="AW513"/>
  <c r="AX513"/>
  <c r="BC513"/>
  <c r="AT514"/>
  <c r="AW514"/>
  <c r="AX514"/>
  <c r="BC514"/>
  <c r="AT515"/>
  <c r="AW515"/>
  <c r="AX515"/>
  <c r="BC515"/>
  <c r="AT516"/>
  <c r="AW516"/>
  <c r="AX516"/>
  <c r="BC516"/>
  <c r="AT517"/>
  <c r="AW517"/>
  <c r="AX517"/>
  <c r="BC517"/>
  <c r="AT518"/>
  <c r="AW518"/>
  <c r="BE518" s="1"/>
  <c r="AX518"/>
  <c r="BC518"/>
  <c r="AT519"/>
  <c r="AW519"/>
  <c r="AX519"/>
  <c r="BC519"/>
  <c r="AT520"/>
  <c r="AW520"/>
  <c r="BE520" s="1"/>
  <c r="AX520"/>
  <c r="BC520"/>
  <c r="AT521"/>
  <c r="AW521"/>
  <c r="BE521" s="1"/>
  <c r="AX521"/>
  <c r="BC521"/>
  <c r="AT522"/>
  <c r="AW522"/>
  <c r="BE522" s="1"/>
  <c r="AX522"/>
  <c r="BC522"/>
  <c r="AT523"/>
  <c r="AW523"/>
  <c r="AX523"/>
  <c r="BC523"/>
  <c r="AT524"/>
  <c r="AW524"/>
  <c r="AX524"/>
  <c r="BC524"/>
  <c r="AT525"/>
  <c r="AW525"/>
  <c r="AX525"/>
  <c r="BC525"/>
  <c r="AT526"/>
  <c r="AW526"/>
  <c r="BE526" s="1"/>
  <c r="AX526"/>
  <c r="BC526"/>
  <c r="AT527"/>
  <c r="AW527"/>
  <c r="BE527" s="1"/>
  <c r="AX527"/>
  <c r="BC527"/>
  <c r="AT528"/>
  <c r="AW528"/>
  <c r="AX528"/>
  <c r="BC528"/>
  <c r="AT529"/>
  <c r="AW529"/>
  <c r="BE529" s="1"/>
  <c r="AX529"/>
  <c r="BC529"/>
  <c r="AT530"/>
  <c r="AW530"/>
  <c r="BE530" s="1"/>
  <c r="AX530"/>
  <c r="BC530"/>
  <c r="BC5"/>
  <c r="AX5"/>
  <c r="AW5"/>
  <c r="AT5"/>
  <c r="BA1"/>
  <c r="BL599" i="1" l="1"/>
  <c r="BJ599"/>
  <c r="BM599"/>
  <c r="BE416" i="38"/>
  <c r="BE411"/>
  <c r="BE408"/>
  <c r="BE407"/>
  <c r="BG407" s="1"/>
  <c r="BE406"/>
  <c r="BE405"/>
  <c r="BE404"/>
  <c r="BE399"/>
  <c r="BE288"/>
  <c r="BG288" s="1"/>
  <c r="BE266"/>
  <c r="BG266" s="1"/>
  <c r="BE259"/>
  <c r="BE246"/>
  <c r="BE238"/>
  <c r="BE231"/>
  <c r="BE230"/>
  <c r="BE223"/>
  <c r="BG223" s="1"/>
  <c r="BE47"/>
  <c r="BE39"/>
  <c r="BE38"/>
  <c r="BE35"/>
  <c r="BE31"/>
  <c r="BE30"/>
  <c r="BE29"/>
  <c r="BE25"/>
  <c r="BE114"/>
  <c r="BE106"/>
  <c r="BE104"/>
  <c r="BE82"/>
  <c r="BE476"/>
  <c r="BE322"/>
  <c r="BE429"/>
  <c r="BG429" s="1"/>
  <c r="BE427"/>
  <c r="BE426"/>
  <c r="BE394"/>
  <c r="BE392"/>
  <c r="BE382"/>
  <c r="BE380"/>
  <c r="BE361"/>
  <c r="BE357"/>
  <c r="BE355"/>
  <c r="BE300"/>
  <c r="BG300" s="1"/>
  <c r="BE298"/>
  <c r="BG298" s="1"/>
  <c r="BE296"/>
  <c r="BE294"/>
  <c r="BG294" s="1"/>
  <c r="BE282"/>
  <c r="BE271"/>
  <c r="BE263"/>
  <c r="BE247"/>
  <c r="BE243"/>
  <c r="BE240"/>
  <c r="BE235"/>
  <c r="BE232"/>
  <c r="BE203"/>
  <c r="BE171"/>
  <c r="BE24"/>
  <c r="BE17"/>
  <c r="BE412"/>
  <c r="BE146"/>
  <c r="BE80"/>
  <c r="BE76"/>
  <c r="BE56"/>
  <c r="BG56" s="1"/>
  <c r="BE55"/>
  <c r="BE582"/>
  <c r="BE570"/>
  <c r="BE545"/>
  <c r="BE504"/>
  <c r="BE135"/>
  <c r="BE131"/>
  <c r="BE128"/>
  <c r="BE127"/>
  <c r="BE124"/>
  <c r="BE119"/>
  <c r="BE115"/>
  <c r="BE111"/>
  <c r="BE477"/>
  <c r="BE448"/>
  <c r="BE49"/>
  <c r="BG47"/>
  <c r="BE494"/>
  <c r="BG494" s="1"/>
  <c r="BE484"/>
  <c r="BE467"/>
  <c r="BE465"/>
  <c r="BE461"/>
  <c r="BE459"/>
  <c r="BE457"/>
  <c r="BE453"/>
  <c r="BE444"/>
  <c r="BE442"/>
  <c r="BE440"/>
  <c r="BE438"/>
  <c r="BE423"/>
  <c r="BG423" s="1"/>
  <c r="BE421"/>
  <c r="BE410"/>
  <c r="BG410" s="1"/>
  <c r="BE400"/>
  <c r="BE395"/>
  <c r="BE393"/>
  <c r="BE383"/>
  <c r="BE381"/>
  <c r="BE369"/>
  <c r="BE365"/>
  <c r="BE363"/>
  <c r="BE501"/>
  <c r="BE478"/>
  <c r="BG478" s="1"/>
  <c r="BE460"/>
  <c r="BG426"/>
  <c r="BE409"/>
  <c r="BE497"/>
  <c r="BE425"/>
  <c r="BE362"/>
  <c r="BE356"/>
  <c r="BE280"/>
  <c r="BG280" s="1"/>
  <c r="BE353"/>
  <c r="BE349"/>
  <c r="BE347"/>
  <c r="BE287"/>
  <c r="BE278"/>
  <c r="BE276"/>
  <c r="BG276" s="1"/>
  <c r="BE274"/>
  <c r="BG274" s="1"/>
  <c r="BE272"/>
  <c r="BG272" s="1"/>
  <c r="BE270"/>
  <c r="BE268"/>
  <c r="BG268" s="1"/>
  <c r="BE264"/>
  <c r="BG264" s="1"/>
  <c r="BE262"/>
  <c r="BE260"/>
  <c r="BE256"/>
  <c r="BG256" s="1"/>
  <c r="BE252"/>
  <c r="BG252" s="1"/>
  <c r="BE248"/>
  <c r="BE227"/>
  <c r="BE225"/>
  <c r="BG225" s="1"/>
  <c r="BE219"/>
  <c r="BG219" s="1"/>
  <c r="BE209"/>
  <c r="BE160"/>
  <c r="BE125"/>
  <c r="BE123"/>
  <c r="BE121"/>
  <c r="BG121" s="1"/>
  <c r="BE107"/>
  <c r="BE90"/>
  <c r="BE84"/>
  <c r="BG84" s="1"/>
  <c r="BE71"/>
  <c r="BG71" s="1"/>
  <c r="BE69"/>
  <c r="BE136"/>
  <c r="BE97"/>
  <c r="BG80"/>
  <c r="BE44"/>
  <c r="BE42"/>
  <c r="BE292"/>
  <c r="BE290"/>
  <c r="BG290" s="1"/>
  <c r="BE239"/>
  <c r="BE202"/>
  <c r="BG202" s="1"/>
  <c r="BE155"/>
  <c r="BE153"/>
  <c r="BE145"/>
  <c r="BG103"/>
  <c r="BE100"/>
  <c r="BG100" s="1"/>
  <c r="BG88"/>
  <c r="BE87"/>
  <c r="BE79"/>
  <c r="BE27"/>
  <c r="BE8"/>
  <c r="BE6"/>
  <c r="BE581"/>
  <c r="BE573"/>
  <c r="BE543"/>
  <c r="BE541"/>
  <c r="BE531"/>
  <c r="BG558"/>
  <c r="BG554"/>
  <c r="BE557"/>
  <c r="BE370"/>
  <c r="BE528"/>
  <c r="BE525"/>
  <c r="BE517"/>
  <c r="BG482"/>
  <c r="BE516"/>
  <c r="BE515"/>
  <c r="BE524"/>
  <c r="BE523"/>
  <c r="BE514"/>
  <c r="BE513"/>
  <c r="BE512"/>
  <c r="BE511"/>
  <c r="BE510"/>
  <c r="BE505"/>
  <c r="BE499"/>
  <c r="BE498"/>
  <c r="BE479"/>
  <c r="BE475"/>
  <c r="BE469"/>
  <c r="BE463"/>
  <c r="BE446"/>
  <c r="BG427"/>
  <c r="BE509"/>
  <c r="BE506"/>
  <c r="BE503"/>
  <c r="BE502"/>
  <c r="BG502" s="1"/>
  <c r="BE495"/>
  <c r="BE491"/>
  <c r="BE485"/>
  <c r="BE473"/>
  <c r="BE472"/>
  <c r="BE471"/>
  <c r="BE519"/>
  <c r="BE455"/>
  <c r="BE445"/>
  <c r="BE419"/>
  <c r="BE418"/>
  <c r="BG418" s="1"/>
  <c r="BE415"/>
  <c r="BE414"/>
  <c r="BE413"/>
  <c r="BE398"/>
  <c r="BE428"/>
  <c r="BG411"/>
  <c r="BE403"/>
  <c r="BG403" s="1"/>
  <c r="BE402"/>
  <c r="BE401"/>
  <c r="BE397"/>
  <c r="BE391"/>
  <c r="BE390"/>
  <c r="BE389"/>
  <c r="BE388"/>
  <c r="BE379"/>
  <c r="BE378"/>
  <c r="BE377"/>
  <c r="BE376"/>
  <c r="BE560"/>
  <c r="BG560" s="1"/>
  <c r="BE534"/>
  <c r="BE387"/>
  <c r="BE386"/>
  <c r="BE385"/>
  <c r="BE384"/>
  <c r="BG384" s="1"/>
  <c r="BE375"/>
  <c r="BE374"/>
  <c r="BE373"/>
  <c r="BE372"/>
  <c r="BG372" s="1"/>
  <c r="BE580"/>
  <c r="BE556"/>
  <c r="BE555"/>
  <c r="BE548"/>
  <c r="BG548" s="1"/>
  <c r="BE533"/>
  <c r="BG533" s="1"/>
  <c r="BE371"/>
  <c r="BE579"/>
  <c r="BE561"/>
  <c r="BG561" s="1"/>
  <c r="BE552"/>
  <c r="BG552" s="1"/>
  <c r="BE551"/>
  <c r="BE550"/>
  <c r="BE546"/>
  <c r="BE540"/>
  <c r="BE535"/>
  <c r="BG450"/>
  <c r="BG424"/>
  <c r="BG412"/>
  <c r="BG408"/>
  <c r="BG400"/>
  <c r="BG416"/>
  <c r="BE364"/>
  <c r="BG364" s="1"/>
  <c r="BG319"/>
  <c r="BE318"/>
  <c r="BG282"/>
  <c r="BE236"/>
  <c r="BG236" s="1"/>
  <c r="BE234"/>
  <c r="BE214"/>
  <c r="BE210"/>
  <c r="BE199"/>
  <c r="BG199" s="1"/>
  <c r="BE195"/>
  <c r="BE189"/>
  <c r="BE185"/>
  <c r="BE179"/>
  <c r="BG179" s="1"/>
  <c r="BE157"/>
  <c r="BE141"/>
  <c r="BG141" s="1"/>
  <c r="BE139"/>
  <c r="BE138"/>
  <c r="BG138" s="1"/>
  <c r="BE132"/>
  <c r="BE129"/>
  <c r="BG96"/>
  <c r="BE95"/>
  <c r="BE67"/>
  <c r="BE51"/>
  <c r="BG565"/>
  <c r="BE354"/>
  <c r="BE343"/>
  <c r="BE339"/>
  <c r="BE314"/>
  <c r="BE297"/>
  <c r="BG297" s="1"/>
  <c r="BE293"/>
  <c r="BE286"/>
  <c r="BG286" s="1"/>
  <c r="BE284"/>
  <c r="BG284" s="1"/>
  <c r="BE279"/>
  <c r="BG279" s="1"/>
  <c r="BE255"/>
  <c r="BE251"/>
  <c r="BE249"/>
  <c r="BG249" s="1"/>
  <c r="BE244"/>
  <c r="BG244" s="1"/>
  <c r="BE242"/>
  <c r="BE228"/>
  <c r="BE221"/>
  <c r="BG221" s="1"/>
  <c r="BE215"/>
  <c r="BG215" s="1"/>
  <c r="BE211"/>
  <c r="BG211" s="1"/>
  <c r="BE200"/>
  <c r="BE196"/>
  <c r="BG196" s="1"/>
  <c r="BE194"/>
  <c r="BG194" s="1"/>
  <c r="BE192"/>
  <c r="BG192" s="1"/>
  <c r="BE162"/>
  <c r="BG162" s="1"/>
  <c r="BE151"/>
  <c r="BE149"/>
  <c r="BE137"/>
  <c r="BE130"/>
  <c r="BG130" s="1"/>
  <c r="BE98"/>
  <c r="BE92"/>
  <c r="BG92" s="1"/>
  <c r="BE81"/>
  <c r="BE72"/>
  <c r="BE63"/>
  <c r="BE61"/>
  <c r="BG61" s="1"/>
  <c r="BE45"/>
  <c r="BE43"/>
  <c r="BG43" s="1"/>
  <c r="BE34"/>
  <c r="BE32"/>
  <c r="BG32" s="1"/>
  <c r="BE12"/>
  <c r="BE10"/>
  <c r="BE346"/>
  <c r="BG260"/>
  <c r="BG180"/>
  <c r="BG176"/>
  <c r="BE133"/>
  <c r="BE126"/>
  <c r="BG126" s="1"/>
  <c r="BG537"/>
  <c r="BG510"/>
  <c r="BG514"/>
  <c r="BG486"/>
  <c r="BG526"/>
  <c r="BG462"/>
  <c r="BG530"/>
  <c r="BG466"/>
  <c r="BG506"/>
  <c r="BG498"/>
  <c r="BG454"/>
  <c r="BG522"/>
  <c r="BG458"/>
  <c r="BG518"/>
  <c r="BG470"/>
  <c r="BG490"/>
  <c r="BG474"/>
  <c r="BG442"/>
  <c r="BG335"/>
  <c r="BG331"/>
  <c r="BG327"/>
  <c r="BG323"/>
  <c r="BE5"/>
  <c r="BG438"/>
  <c r="BG432"/>
  <c r="BG343"/>
  <c r="BG339"/>
  <c r="BG434"/>
  <c r="BG420"/>
  <c r="BE366"/>
  <c r="BG366" s="1"/>
  <c r="BE358"/>
  <c r="BE350"/>
  <c r="BG278"/>
  <c r="BG404"/>
  <c r="BG392"/>
  <c r="BG388"/>
  <c r="BG380"/>
  <c r="BG376"/>
  <c r="BE368"/>
  <c r="BE360"/>
  <c r="BG360" s="1"/>
  <c r="BE352"/>
  <c r="BG270"/>
  <c r="BE367"/>
  <c r="BE359"/>
  <c r="BE351"/>
  <c r="BE344"/>
  <c r="BE340"/>
  <c r="BG340" s="1"/>
  <c r="BG262"/>
  <c r="BE336"/>
  <c r="BE332"/>
  <c r="BE328"/>
  <c r="BG328" s="1"/>
  <c r="BE324"/>
  <c r="BE320"/>
  <c r="BE316"/>
  <c r="BE312"/>
  <c r="BE301"/>
  <c r="BE299"/>
  <c r="BE291"/>
  <c r="BE275"/>
  <c r="BG275" s="1"/>
  <c r="BE254"/>
  <c r="BG254" s="1"/>
  <c r="BE245"/>
  <c r="BE241"/>
  <c r="BE237"/>
  <c r="BG237" s="1"/>
  <c r="BE233"/>
  <c r="BE229"/>
  <c r="BE226"/>
  <c r="BE224"/>
  <c r="BG224" s="1"/>
  <c r="BE222"/>
  <c r="BE220"/>
  <c r="BE213"/>
  <c r="BG213" s="1"/>
  <c r="BE206"/>
  <c r="BE190"/>
  <c r="BE188"/>
  <c r="BG303"/>
  <c r="BE258"/>
  <c r="BG258" s="1"/>
  <c r="BE250"/>
  <c r="BE218"/>
  <c r="BG209"/>
  <c r="BG207"/>
  <c r="BE198"/>
  <c r="BG198" s="1"/>
  <c r="BE193"/>
  <c r="BE177"/>
  <c r="BG177" s="1"/>
  <c r="BG172"/>
  <c r="BE307"/>
  <c r="BG307" s="1"/>
  <c r="BE295"/>
  <c r="BE283"/>
  <c r="BG283" s="1"/>
  <c r="BE267"/>
  <c r="BG311"/>
  <c r="BE217"/>
  <c r="BG217" s="1"/>
  <c r="BE208"/>
  <c r="BG208" s="1"/>
  <c r="BE204"/>
  <c r="BE184"/>
  <c r="BE178"/>
  <c r="BG31"/>
  <c r="BE181"/>
  <c r="BE173"/>
  <c r="BG167"/>
  <c r="BE163"/>
  <c r="BE159"/>
  <c r="BE158"/>
  <c r="BE108"/>
  <c r="BE101"/>
  <c r="BE94"/>
  <c r="BE91"/>
  <c r="BE85"/>
  <c r="BE78"/>
  <c r="BG78" s="1"/>
  <c r="BE73"/>
  <c r="BE41"/>
  <c r="BE156"/>
  <c r="BE152"/>
  <c r="BE148"/>
  <c r="BE144"/>
  <c r="BG144" s="1"/>
  <c r="BE140"/>
  <c r="BE122"/>
  <c r="BE113"/>
  <c r="BE112"/>
  <c r="BG112" s="1"/>
  <c r="BE102"/>
  <c r="BE99"/>
  <c r="BE93"/>
  <c r="BE86"/>
  <c r="BG86" s="1"/>
  <c r="BE83"/>
  <c r="BE74"/>
  <c r="BE50"/>
  <c r="BE46"/>
  <c r="BG46" s="1"/>
  <c r="BE28"/>
  <c r="BG155"/>
  <c r="BG151"/>
  <c r="BG147"/>
  <c r="BG123"/>
  <c r="BG104"/>
  <c r="BG76"/>
  <c r="BE62"/>
  <c r="BE53"/>
  <c r="BE40"/>
  <c r="BG553"/>
  <c r="BG551"/>
  <c r="BE37"/>
  <c r="BE36"/>
  <c r="BE33"/>
  <c r="BE26"/>
  <c r="BE21"/>
  <c r="BE19"/>
  <c r="BE11"/>
  <c r="BG549"/>
  <c r="BG545"/>
  <c r="BG541"/>
  <c r="BE15"/>
  <c r="BG15" s="1"/>
  <c r="BE7"/>
  <c r="BG581"/>
  <c r="BG577"/>
  <c r="BG573"/>
  <c r="BG569"/>
  <c r="BG580"/>
  <c r="BG572"/>
  <c r="BG564"/>
  <c r="BG579"/>
  <c r="BG571"/>
  <c r="BG563"/>
  <c r="BG576"/>
  <c r="BG568"/>
  <c r="BG575"/>
  <c r="BG567"/>
  <c r="BG559"/>
  <c r="BG582"/>
  <c r="BG578"/>
  <c r="BG574"/>
  <c r="BG570"/>
  <c r="BG566"/>
  <c r="BG562"/>
  <c r="BG557"/>
  <c r="BG555"/>
  <c r="BG542"/>
  <c r="BG534"/>
  <c r="BG550"/>
  <c r="BG544"/>
  <c r="BG536"/>
  <c r="BG546"/>
  <c r="BG538"/>
  <c r="BG532"/>
  <c r="BG540"/>
  <c r="BG547"/>
  <c r="BG543"/>
  <c r="BG539"/>
  <c r="BG535"/>
  <c r="BG531"/>
  <c r="BG487"/>
  <c r="BG523"/>
  <c r="BG519"/>
  <c r="BG513"/>
  <c r="BG505"/>
  <c r="BG483"/>
  <c r="BG471"/>
  <c r="BG465"/>
  <c r="BG459"/>
  <c r="BG451"/>
  <c r="BG443"/>
  <c r="BG435"/>
  <c r="BG430"/>
  <c r="BG515"/>
  <c r="BG507"/>
  <c r="BG499"/>
  <c r="BG493"/>
  <c r="BG477"/>
  <c r="BG467"/>
  <c r="BG461"/>
  <c r="BG453"/>
  <c r="BG445"/>
  <c r="BG437"/>
  <c r="BG414"/>
  <c r="BG406"/>
  <c r="BG529"/>
  <c r="BG525"/>
  <c r="BG501"/>
  <c r="BG495"/>
  <c r="BG489"/>
  <c r="BG485"/>
  <c r="BG479"/>
  <c r="BG473"/>
  <c r="BG463"/>
  <c r="BG455"/>
  <c r="BG447"/>
  <c r="BG439"/>
  <c r="BG509"/>
  <c r="BG527"/>
  <c r="BG521"/>
  <c r="BG517"/>
  <c r="BG511"/>
  <c r="BG503"/>
  <c r="BG497"/>
  <c r="BG491"/>
  <c r="BG481"/>
  <c r="BG475"/>
  <c r="BG469"/>
  <c r="BG457"/>
  <c r="BG449"/>
  <c r="BG441"/>
  <c r="BG433"/>
  <c r="BG422"/>
  <c r="BG428"/>
  <c r="BG421"/>
  <c r="BG390"/>
  <c r="BG382"/>
  <c r="BG374"/>
  <c r="BG362"/>
  <c r="BG354"/>
  <c r="BG346"/>
  <c r="BG520"/>
  <c r="BG516"/>
  <c r="BG512"/>
  <c r="BG508"/>
  <c r="BG504"/>
  <c r="BG500"/>
  <c r="BG496"/>
  <c r="BG492"/>
  <c r="BG488"/>
  <c r="BG484"/>
  <c r="BG480"/>
  <c r="BG476"/>
  <c r="BG472"/>
  <c r="BG468"/>
  <c r="BG464"/>
  <c r="BG460"/>
  <c r="BG456"/>
  <c r="BG452"/>
  <c r="BG448"/>
  <c r="BG444"/>
  <c r="BG440"/>
  <c r="BG436"/>
  <c r="BG425"/>
  <c r="BG409"/>
  <c r="BG395"/>
  <c r="BG387"/>
  <c r="BG379"/>
  <c r="BG371"/>
  <c r="BG367"/>
  <c r="BG359"/>
  <c r="BG356"/>
  <c r="BG351"/>
  <c r="BG348"/>
  <c r="BG344"/>
  <c r="BG336"/>
  <c r="BG332"/>
  <c r="BG324"/>
  <c r="BG320"/>
  <c r="BG316"/>
  <c r="BG528"/>
  <c r="BG524"/>
  <c r="BG413"/>
  <c r="BG386"/>
  <c r="BG378"/>
  <c r="BG370"/>
  <c r="BG358"/>
  <c r="BG350"/>
  <c r="BG417"/>
  <c r="BG402"/>
  <c r="BG399"/>
  <c r="BG391"/>
  <c r="BG383"/>
  <c r="BG375"/>
  <c r="BG368"/>
  <c r="BG363"/>
  <c r="BG355"/>
  <c r="BG352"/>
  <c r="BG347"/>
  <c r="BG405"/>
  <c r="BG401"/>
  <c r="BG397"/>
  <c r="BG393"/>
  <c r="BG389"/>
  <c r="BG385"/>
  <c r="BG381"/>
  <c r="BG377"/>
  <c r="BG373"/>
  <c r="BG369"/>
  <c r="BG365"/>
  <c r="BG361"/>
  <c r="BG357"/>
  <c r="BG353"/>
  <c r="BG349"/>
  <c r="BG345"/>
  <c r="BE304"/>
  <c r="BG295"/>
  <c r="BG267"/>
  <c r="BG398"/>
  <c r="BG394"/>
  <c r="BG342"/>
  <c r="BG338"/>
  <c r="BG334"/>
  <c r="BG330"/>
  <c r="BG326"/>
  <c r="BG322"/>
  <c r="BG318"/>
  <c r="BG306"/>
  <c r="BG292"/>
  <c r="BG287"/>
  <c r="BG271"/>
  <c r="BG310"/>
  <c r="BG309"/>
  <c r="BG305"/>
  <c r="BG302"/>
  <c r="BG299"/>
  <c r="BG291"/>
  <c r="BE341"/>
  <c r="BE337"/>
  <c r="BE333"/>
  <c r="BE329"/>
  <c r="BE325"/>
  <c r="BE321"/>
  <c r="BE317"/>
  <c r="BG314"/>
  <c r="BG313"/>
  <c r="BE308"/>
  <c r="BG301"/>
  <c r="BG296"/>
  <c r="BG293"/>
  <c r="BG263"/>
  <c r="BE289"/>
  <c r="BE285"/>
  <c r="BE281"/>
  <c r="BE277"/>
  <c r="BE273"/>
  <c r="BE269"/>
  <c r="BE265"/>
  <c r="BE261"/>
  <c r="BG259"/>
  <c r="BE257"/>
  <c r="BG255"/>
  <c r="BE253"/>
  <c r="BG251"/>
  <c r="BG245"/>
  <c r="BG241"/>
  <c r="BG233"/>
  <c r="BG229"/>
  <c r="BG226"/>
  <c r="BG216"/>
  <c r="BG200"/>
  <c r="BG222"/>
  <c r="BG214"/>
  <c r="BG204"/>
  <c r="BG248"/>
  <c r="BG220"/>
  <c r="BG212"/>
  <c r="BG206"/>
  <c r="BG246"/>
  <c r="BG242"/>
  <c r="BG238"/>
  <c r="BG234"/>
  <c r="BG230"/>
  <c r="BG218"/>
  <c r="BG210"/>
  <c r="BG247"/>
  <c r="BG243"/>
  <c r="BG239"/>
  <c r="BG235"/>
  <c r="BG231"/>
  <c r="BG187"/>
  <c r="BG185"/>
  <c r="BG166"/>
  <c r="BG240"/>
  <c r="BG232"/>
  <c r="BG228"/>
  <c r="BG178"/>
  <c r="BG158"/>
  <c r="BG227"/>
  <c r="BG195"/>
  <c r="BG193"/>
  <c r="BG190"/>
  <c r="BG181"/>
  <c r="BG173"/>
  <c r="BE205"/>
  <c r="BG203"/>
  <c r="BE201"/>
  <c r="BE197"/>
  <c r="BG191"/>
  <c r="BG189"/>
  <c r="BG186"/>
  <c r="BG182"/>
  <c r="BG174"/>
  <c r="BG183"/>
  <c r="BG175"/>
  <c r="BG171"/>
  <c r="BE164"/>
  <c r="BG143"/>
  <c r="BG135"/>
  <c r="BG127"/>
  <c r="BG169"/>
  <c r="BG168"/>
  <c r="BG161"/>
  <c r="BG160"/>
  <c r="BG154"/>
  <c r="BG153"/>
  <c r="BG150"/>
  <c r="BG149"/>
  <c r="BG146"/>
  <c r="BG145"/>
  <c r="BG156"/>
  <c r="BG152"/>
  <c r="BG148"/>
  <c r="BG139"/>
  <c r="BG131"/>
  <c r="BG165"/>
  <c r="BG157"/>
  <c r="BG140"/>
  <c r="BG120"/>
  <c r="BG142"/>
  <c r="BG137"/>
  <c r="BG133"/>
  <c r="BG129"/>
  <c r="BG125"/>
  <c r="BG122"/>
  <c r="BE117"/>
  <c r="BG115"/>
  <c r="BG114"/>
  <c r="BE105"/>
  <c r="BG101"/>
  <c r="BG97"/>
  <c r="BG93"/>
  <c r="BG89"/>
  <c r="BG85"/>
  <c r="BG81"/>
  <c r="BG136"/>
  <c r="BG132"/>
  <c r="BG128"/>
  <c r="BG124"/>
  <c r="BG107"/>
  <c r="BG102"/>
  <c r="BG119"/>
  <c r="BG111"/>
  <c r="BG106"/>
  <c r="BG99"/>
  <c r="BG95"/>
  <c r="BG91"/>
  <c r="BG87"/>
  <c r="BG83"/>
  <c r="BG79"/>
  <c r="BE118"/>
  <c r="BE110"/>
  <c r="BE109"/>
  <c r="BG60"/>
  <c r="BG75"/>
  <c r="BG98"/>
  <c r="BG94"/>
  <c r="BG90"/>
  <c r="BG82"/>
  <c r="BE77"/>
  <c r="BG74"/>
  <c r="BG73"/>
  <c r="BG72"/>
  <c r="BG69"/>
  <c r="BG68"/>
  <c r="BE65"/>
  <c r="BG63"/>
  <c r="BG62"/>
  <c r="BE57"/>
  <c r="BG55"/>
  <c r="BG52"/>
  <c r="BG51"/>
  <c r="BG50"/>
  <c r="BG37"/>
  <c r="BG67"/>
  <c r="BG59"/>
  <c r="BG49"/>
  <c r="BG45"/>
  <c r="BE70"/>
  <c r="BE66"/>
  <c r="BE58"/>
  <c r="BE54"/>
  <c r="BG41"/>
  <c r="BG48"/>
  <c r="BG44"/>
  <c r="BG39"/>
  <c r="BG35"/>
  <c r="BG28"/>
  <c r="BG42"/>
  <c r="BG38"/>
  <c r="BG21"/>
  <c r="BG34"/>
  <c r="BG29"/>
  <c r="BG30"/>
  <c r="BG19"/>
  <c r="BG16"/>
  <c r="BG14"/>
  <c r="BG8"/>
  <c r="BG6"/>
  <c r="BG27"/>
  <c r="BG25"/>
  <c r="BG24"/>
  <c r="BG20"/>
  <c r="BG11"/>
  <c r="BG23"/>
  <c r="BG12"/>
  <c r="BG10"/>
  <c r="BG22"/>
  <c r="BG7"/>
  <c r="BG17"/>
  <c r="BG13"/>
  <c r="BG9"/>
  <c r="BG5"/>
  <c r="BN599" i="1" l="1"/>
  <c r="BG556" i="38"/>
  <c r="BG419"/>
  <c r="BG415"/>
  <c r="BG446"/>
  <c r="BG33"/>
  <c r="BG108"/>
  <c r="BG159"/>
  <c r="BG184"/>
  <c r="BG40"/>
  <c r="BG113"/>
  <c r="BG163"/>
  <c r="BG250"/>
  <c r="BG188"/>
  <c r="BG26"/>
  <c r="BG36"/>
  <c r="BG53"/>
  <c r="BG312"/>
  <c r="BG54"/>
  <c r="BG58"/>
  <c r="BG77"/>
  <c r="BG109"/>
  <c r="BG164"/>
  <c r="BG308"/>
  <c r="BG321"/>
  <c r="BG337"/>
  <c r="BG304"/>
  <c r="BG110"/>
  <c r="BG197"/>
  <c r="BG201"/>
  <c r="BG205"/>
  <c r="BG253"/>
  <c r="BG325"/>
  <c r="BG341"/>
  <c r="BG66"/>
  <c r="BG70"/>
  <c r="BG65"/>
  <c r="BG117"/>
  <c r="BG257"/>
  <c r="BG329"/>
  <c r="BG57"/>
  <c r="BG118"/>
  <c r="BG105"/>
  <c r="BG261"/>
  <c r="BG265"/>
  <c r="BG269"/>
  <c r="BG273"/>
  <c r="BG277"/>
  <c r="BG281"/>
  <c r="BG285"/>
  <c r="BG289"/>
  <c r="BG317"/>
  <c r="BG333"/>
  <c r="R369"/>
  <c r="T369" s="1"/>
  <c r="Q369"/>
  <c r="S369" s="1"/>
  <c r="R368"/>
  <c r="T368" s="1"/>
  <c r="Q368"/>
  <c r="S368" s="1"/>
  <c r="R367"/>
  <c r="T367" s="1"/>
  <c r="Q367"/>
  <c r="S367" s="1"/>
  <c r="R366"/>
  <c r="T366" s="1"/>
  <c r="Q366"/>
  <c r="S366" s="1"/>
  <c r="R365"/>
  <c r="T365" s="1"/>
  <c r="Q365"/>
  <c r="S365" s="1"/>
  <c r="R364"/>
  <c r="T364" s="1"/>
  <c r="Q364"/>
  <c r="S364" s="1"/>
  <c r="R363"/>
  <c r="T363" s="1"/>
  <c r="Q363"/>
  <c r="S363" s="1"/>
  <c r="R362"/>
  <c r="T362" s="1"/>
  <c r="Q362"/>
  <c r="S362" s="1"/>
  <c r="R361"/>
  <c r="T361" s="1"/>
  <c r="Q361"/>
  <c r="S361" s="1"/>
  <c r="R360"/>
  <c r="T360" s="1"/>
  <c r="Q360"/>
  <c r="R359"/>
  <c r="T359" s="1"/>
  <c r="Q359"/>
  <c r="S359" s="1"/>
  <c r="R358"/>
  <c r="T358" s="1"/>
  <c r="Q358"/>
  <c r="S358" s="1"/>
  <c r="R357"/>
  <c r="T357" s="1"/>
  <c r="Q357"/>
  <c r="S357" s="1"/>
  <c r="R356"/>
  <c r="T356" s="1"/>
  <c r="Q356"/>
  <c r="S356" s="1"/>
  <c r="R355"/>
  <c r="T355" s="1"/>
  <c r="Q355"/>
  <c r="S355" s="1"/>
  <c r="R354"/>
  <c r="T354" s="1"/>
  <c r="Q354"/>
  <c r="S354" s="1"/>
  <c r="R353"/>
  <c r="T353" s="1"/>
  <c r="Q353"/>
  <c r="S353" s="1"/>
  <c r="R352"/>
  <c r="T352" s="1"/>
  <c r="Q352"/>
  <c r="S352" s="1"/>
  <c r="R351"/>
  <c r="T351" s="1"/>
  <c r="Q351"/>
  <c r="S351" s="1"/>
  <c r="R350"/>
  <c r="T350" s="1"/>
  <c r="Q350"/>
  <c r="S350" s="1"/>
  <c r="R349"/>
  <c r="T349" s="1"/>
  <c r="Q349"/>
  <c r="S349" s="1"/>
  <c r="R348"/>
  <c r="T348" s="1"/>
  <c r="Q348"/>
  <c r="S348" s="1"/>
  <c r="R347"/>
  <c r="T347" s="1"/>
  <c r="Q347"/>
  <c r="S347" s="1"/>
  <c r="R346"/>
  <c r="T346" s="1"/>
  <c r="Q346"/>
  <c r="S346" s="1"/>
  <c r="R345"/>
  <c r="T345" s="1"/>
  <c r="Q345"/>
  <c r="S345" s="1"/>
  <c r="R344"/>
  <c r="T344" s="1"/>
  <c r="Q344"/>
  <c r="S344" s="1"/>
  <c r="R343"/>
  <c r="T343" s="1"/>
  <c r="Q343"/>
  <c r="S343" s="1"/>
  <c r="R342"/>
  <c r="T342" s="1"/>
  <c r="Q342"/>
  <c r="S342" s="1"/>
  <c r="R341"/>
  <c r="T341" s="1"/>
  <c r="Q341"/>
  <c r="S341" s="1"/>
  <c r="R340"/>
  <c r="T340" s="1"/>
  <c r="Q340"/>
  <c r="S340" s="1"/>
  <c r="R339"/>
  <c r="T339" s="1"/>
  <c r="Q339"/>
  <c r="S339" s="1"/>
  <c r="R338"/>
  <c r="T338" s="1"/>
  <c r="Q338"/>
  <c r="S338" s="1"/>
  <c r="R337"/>
  <c r="T337" s="1"/>
  <c r="Q337"/>
  <c r="S337" s="1"/>
  <c r="R336"/>
  <c r="T336" s="1"/>
  <c r="Q336"/>
  <c r="S336" s="1"/>
  <c r="R335"/>
  <c r="T335" s="1"/>
  <c r="Q335"/>
  <c r="S335" s="1"/>
  <c r="R334"/>
  <c r="T334" s="1"/>
  <c r="Q334"/>
  <c r="S334" s="1"/>
  <c r="R333"/>
  <c r="T333" s="1"/>
  <c r="Q333"/>
  <c r="S333" s="1"/>
  <c r="R332"/>
  <c r="T332" s="1"/>
  <c r="Q332"/>
  <c r="S332" s="1"/>
  <c r="R331"/>
  <c r="T331" s="1"/>
  <c r="Q331"/>
  <c r="S331" s="1"/>
  <c r="R330"/>
  <c r="T330" s="1"/>
  <c r="Q330"/>
  <c r="S330" s="1"/>
  <c r="R329"/>
  <c r="T329" s="1"/>
  <c r="Q329"/>
  <c r="S329" s="1"/>
  <c r="R328"/>
  <c r="T328" s="1"/>
  <c r="Q328"/>
  <c r="S328" s="1"/>
  <c r="R327"/>
  <c r="T327" s="1"/>
  <c r="Q327"/>
  <c r="S327" s="1"/>
  <c r="R326"/>
  <c r="T326" s="1"/>
  <c r="Q326"/>
  <c r="S326" s="1"/>
  <c r="R325"/>
  <c r="T325" s="1"/>
  <c r="Q325"/>
  <c r="S325" s="1"/>
  <c r="R324"/>
  <c r="T324" s="1"/>
  <c r="Q324"/>
  <c r="S324" s="1"/>
  <c r="R323"/>
  <c r="T323" s="1"/>
  <c r="Q323"/>
  <c r="S323" s="1"/>
  <c r="R322"/>
  <c r="T322" s="1"/>
  <c r="Q322"/>
  <c r="S322" s="1"/>
  <c r="R321"/>
  <c r="T321" s="1"/>
  <c r="Q321"/>
  <c r="S321" s="1"/>
  <c r="R320"/>
  <c r="T320" s="1"/>
  <c r="Q320"/>
  <c r="S320" s="1"/>
  <c r="R319"/>
  <c r="T319" s="1"/>
  <c r="Q319"/>
  <c r="S319" s="1"/>
  <c r="R318"/>
  <c r="T318" s="1"/>
  <c r="Q318"/>
  <c r="S318" s="1"/>
  <c r="R317"/>
  <c r="T317" s="1"/>
  <c r="Q317"/>
  <c r="S317" s="1"/>
  <c r="R316"/>
  <c r="T316" s="1"/>
  <c r="Q316"/>
  <c r="S316" s="1"/>
  <c r="R315"/>
  <c r="T315" s="1"/>
  <c r="Q315"/>
  <c r="S315" s="1"/>
  <c r="R314"/>
  <c r="T314" s="1"/>
  <c r="Q314"/>
  <c r="S314" s="1"/>
  <c r="R313"/>
  <c r="T313" s="1"/>
  <c r="Q313"/>
  <c r="S313" s="1"/>
  <c r="R312"/>
  <c r="T312" s="1"/>
  <c r="Q312"/>
  <c r="S312" s="1"/>
  <c r="R311"/>
  <c r="T311" s="1"/>
  <c r="Q311"/>
  <c r="S311" s="1"/>
  <c r="R310"/>
  <c r="T310" s="1"/>
  <c r="Q310"/>
  <c r="S310" s="1"/>
  <c r="R309"/>
  <c r="T309" s="1"/>
  <c r="Q309"/>
  <c r="S309" s="1"/>
  <c r="R308"/>
  <c r="T308" s="1"/>
  <c r="Q308"/>
  <c r="S308" s="1"/>
  <c r="R307"/>
  <c r="T307" s="1"/>
  <c r="Q307"/>
  <c r="S307" s="1"/>
  <c r="R306"/>
  <c r="T306" s="1"/>
  <c r="Q306"/>
  <c r="S306" s="1"/>
  <c r="R305"/>
  <c r="T305" s="1"/>
  <c r="Q305"/>
  <c r="S305" s="1"/>
  <c r="R304"/>
  <c r="T304" s="1"/>
  <c r="Q304"/>
  <c r="S304" s="1"/>
  <c r="R303"/>
  <c r="T303" s="1"/>
  <c r="Q303"/>
  <c r="S303" s="1"/>
  <c r="U303" s="1"/>
  <c r="V303" s="1"/>
  <c r="W303" s="1"/>
  <c r="X303" s="1"/>
  <c r="AY303" s="1"/>
  <c r="R302"/>
  <c r="T302" s="1"/>
  <c r="Q302"/>
  <c r="S302" s="1"/>
  <c r="R301"/>
  <c r="T301" s="1"/>
  <c r="Q301"/>
  <c r="S301" s="1"/>
  <c r="R300"/>
  <c r="T300" s="1"/>
  <c r="Q300"/>
  <c r="S300" s="1"/>
  <c r="R299"/>
  <c r="T299" s="1"/>
  <c r="Q299"/>
  <c r="S299" s="1"/>
  <c r="R298"/>
  <c r="T298" s="1"/>
  <c r="Q298"/>
  <c r="S298" s="1"/>
  <c r="R297"/>
  <c r="T297" s="1"/>
  <c r="Q297"/>
  <c r="S297" s="1"/>
  <c r="R296"/>
  <c r="T296" s="1"/>
  <c r="Q296"/>
  <c r="S296" s="1"/>
  <c r="R295"/>
  <c r="T295" s="1"/>
  <c r="Q295"/>
  <c r="S295" s="1"/>
  <c r="R294"/>
  <c r="T294" s="1"/>
  <c r="Q294"/>
  <c r="S294" s="1"/>
  <c r="R293"/>
  <c r="T293" s="1"/>
  <c r="Q293"/>
  <c r="S293" s="1"/>
  <c r="R292"/>
  <c r="T292" s="1"/>
  <c r="Q292"/>
  <c r="S292" s="1"/>
  <c r="R291"/>
  <c r="T291" s="1"/>
  <c r="Q291"/>
  <c r="S291" s="1"/>
  <c r="R290"/>
  <c r="T290" s="1"/>
  <c r="Q290"/>
  <c r="S290" s="1"/>
  <c r="R289"/>
  <c r="T289" s="1"/>
  <c r="Q289"/>
  <c r="S289" s="1"/>
  <c r="R288"/>
  <c r="T288" s="1"/>
  <c r="Q288"/>
  <c r="S288" s="1"/>
  <c r="R287"/>
  <c r="T287" s="1"/>
  <c r="Q287"/>
  <c r="S287" s="1"/>
  <c r="R286"/>
  <c r="T286" s="1"/>
  <c r="Q286"/>
  <c r="S286" s="1"/>
  <c r="R285"/>
  <c r="T285" s="1"/>
  <c r="Q285"/>
  <c r="S285" s="1"/>
  <c r="R284"/>
  <c r="T284" s="1"/>
  <c r="Q284"/>
  <c r="S284" s="1"/>
  <c r="R283"/>
  <c r="T283" s="1"/>
  <c r="Q283"/>
  <c r="S283" s="1"/>
  <c r="R282"/>
  <c r="T282" s="1"/>
  <c r="Q282"/>
  <c r="S282" s="1"/>
  <c r="R281"/>
  <c r="T281" s="1"/>
  <c r="Q281"/>
  <c r="S281" s="1"/>
  <c r="R280"/>
  <c r="T280" s="1"/>
  <c r="Q280"/>
  <c r="S280" s="1"/>
  <c r="R279"/>
  <c r="T279" s="1"/>
  <c r="Q279"/>
  <c r="S279" s="1"/>
  <c r="R278"/>
  <c r="T278" s="1"/>
  <c r="Q278"/>
  <c r="S278" s="1"/>
  <c r="R277"/>
  <c r="T277" s="1"/>
  <c r="Q277"/>
  <c r="S277" s="1"/>
  <c r="R276"/>
  <c r="T276" s="1"/>
  <c r="Q276"/>
  <c r="S276" s="1"/>
  <c r="R275"/>
  <c r="T275" s="1"/>
  <c r="Q275"/>
  <c r="S275" s="1"/>
  <c r="R274"/>
  <c r="T274" s="1"/>
  <c r="Q274"/>
  <c r="S274" s="1"/>
  <c r="R273"/>
  <c r="T273" s="1"/>
  <c r="Q273"/>
  <c r="S273" s="1"/>
  <c r="R272"/>
  <c r="T272" s="1"/>
  <c r="Q272"/>
  <c r="S272" s="1"/>
  <c r="R271"/>
  <c r="T271" s="1"/>
  <c r="Q271"/>
  <c r="S271" s="1"/>
  <c r="R270"/>
  <c r="T270" s="1"/>
  <c r="Q270"/>
  <c r="S270" s="1"/>
  <c r="R269"/>
  <c r="T269" s="1"/>
  <c r="Q269"/>
  <c r="S269" s="1"/>
  <c r="R268"/>
  <c r="T268" s="1"/>
  <c r="Q268"/>
  <c r="S268" s="1"/>
  <c r="R267"/>
  <c r="T267" s="1"/>
  <c r="Q267"/>
  <c r="S267" s="1"/>
  <c r="R266"/>
  <c r="T266" s="1"/>
  <c r="Q266"/>
  <c r="S266" s="1"/>
  <c r="R265"/>
  <c r="T265" s="1"/>
  <c r="Q265"/>
  <c r="S265" s="1"/>
  <c r="R264"/>
  <c r="T264" s="1"/>
  <c r="Q264"/>
  <c r="S264" s="1"/>
  <c r="R263"/>
  <c r="T263" s="1"/>
  <c r="Q263"/>
  <c r="S263" s="1"/>
  <c r="R262"/>
  <c r="T262" s="1"/>
  <c r="Q262"/>
  <c r="S262" s="1"/>
  <c r="R261"/>
  <c r="T261" s="1"/>
  <c r="Q261"/>
  <c r="S261" s="1"/>
  <c r="R260"/>
  <c r="T260" s="1"/>
  <c r="Q260"/>
  <c r="S260" s="1"/>
  <c r="R259"/>
  <c r="T259" s="1"/>
  <c r="Q259"/>
  <c r="S259" s="1"/>
  <c r="R258"/>
  <c r="T258" s="1"/>
  <c r="Q258"/>
  <c r="S258" s="1"/>
  <c r="R257"/>
  <c r="T257" s="1"/>
  <c r="Q257"/>
  <c r="S257" s="1"/>
  <c r="R256"/>
  <c r="T256" s="1"/>
  <c r="Q256"/>
  <c r="S256" s="1"/>
  <c r="R255"/>
  <c r="T255" s="1"/>
  <c r="Q255"/>
  <c r="S255" s="1"/>
  <c r="R254"/>
  <c r="T254" s="1"/>
  <c r="Q254"/>
  <c r="S254" s="1"/>
  <c r="R253"/>
  <c r="T253" s="1"/>
  <c r="Q253"/>
  <c r="S253" s="1"/>
  <c r="R252"/>
  <c r="T252" s="1"/>
  <c r="Q252"/>
  <c r="S252" s="1"/>
  <c r="R251"/>
  <c r="T251" s="1"/>
  <c r="Q251"/>
  <c r="S251" s="1"/>
  <c r="R250"/>
  <c r="T250" s="1"/>
  <c r="Q250"/>
  <c r="S250" s="1"/>
  <c r="R249"/>
  <c r="T249" s="1"/>
  <c r="Q249"/>
  <c r="S249" s="1"/>
  <c r="R248"/>
  <c r="T248" s="1"/>
  <c r="Q248"/>
  <c r="S248" s="1"/>
  <c r="R247"/>
  <c r="T247" s="1"/>
  <c r="Q247"/>
  <c r="S247" s="1"/>
  <c r="R246"/>
  <c r="T246" s="1"/>
  <c r="Q246"/>
  <c r="S246" s="1"/>
  <c r="R245"/>
  <c r="T245" s="1"/>
  <c r="Q245"/>
  <c r="S245" s="1"/>
  <c r="R244"/>
  <c r="T244" s="1"/>
  <c r="Q244"/>
  <c r="S244" s="1"/>
  <c r="R243"/>
  <c r="T243" s="1"/>
  <c r="Q243"/>
  <c r="S243" s="1"/>
  <c r="R242"/>
  <c r="T242" s="1"/>
  <c r="Q242"/>
  <c r="S242" s="1"/>
  <c r="R241"/>
  <c r="T241" s="1"/>
  <c r="Q241"/>
  <c r="S241" s="1"/>
  <c r="R240"/>
  <c r="T240" s="1"/>
  <c r="Q240"/>
  <c r="S240" s="1"/>
  <c r="R239"/>
  <c r="T239" s="1"/>
  <c r="Q239"/>
  <c r="S239" s="1"/>
  <c r="R238"/>
  <c r="T238" s="1"/>
  <c r="Q238"/>
  <c r="S238" s="1"/>
  <c r="R237"/>
  <c r="T237" s="1"/>
  <c r="Q237"/>
  <c r="S237" s="1"/>
  <c r="R236"/>
  <c r="T236" s="1"/>
  <c r="Q236"/>
  <c r="S236" s="1"/>
  <c r="R235"/>
  <c r="T235" s="1"/>
  <c r="Q235"/>
  <c r="S235" s="1"/>
  <c r="R234"/>
  <c r="T234" s="1"/>
  <c r="Q234"/>
  <c r="S234" s="1"/>
  <c r="R233"/>
  <c r="T233" s="1"/>
  <c r="Q233"/>
  <c r="S233" s="1"/>
  <c r="R232"/>
  <c r="T232" s="1"/>
  <c r="Q232"/>
  <c r="S232" s="1"/>
  <c r="R231"/>
  <c r="T231" s="1"/>
  <c r="Q231"/>
  <c r="S231" s="1"/>
  <c r="R230"/>
  <c r="T230" s="1"/>
  <c r="Q230"/>
  <c r="S230" s="1"/>
  <c r="R229"/>
  <c r="T229" s="1"/>
  <c r="Q229"/>
  <c r="S229" s="1"/>
  <c r="R228"/>
  <c r="T228" s="1"/>
  <c r="Q228"/>
  <c r="S228" s="1"/>
  <c r="R227"/>
  <c r="T227" s="1"/>
  <c r="Q227"/>
  <c r="S227" s="1"/>
  <c r="R226"/>
  <c r="T226" s="1"/>
  <c r="Q226"/>
  <c r="S226" s="1"/>
  <c r="R225"/>
  <c r="T225" s="1"/>
  <c r="Q225"/>
  <c r="S225" s="1"/>
  <c r="R224"/>
  <c r="T224" s="1"/>
  <c r="Q224"/>
  <c r="S224" s="1"/>
  <c r="R223"/>
  <c r="T223" s="1"/>
  <c r="Q223"/>
  <c r="S223" s="1"/>
  <c r="R222"/>
  <c r="T222" s="1"/>
  <c r="Q222"/>
  <c r="S222" s="1"/>
  <c r="R221"/>
  <c r="T221" s="1"/>
  <c r="Q221"/>
  <c r="S221" s="1"/>
  <c r="R220"/>
  <c r="T220" s="1"/>
  <c r="Q220"/>
  <c r="S220" s="1"/>
  <c r="R219"/>
  <c r="T219" s="1"/>
  <c r="Q219"/>
  <c r="S219" s="1"/>
  <c r="R218"/>
  <c r="T218" s="1"/>
  <c r="Q218"/>
  <c r="S218" s="1"/>
  <c r="R217"/>
  <c r="T217" s="1"/>
  <c r="Q217"/>
  <c r="S217" s="1"/>
  <c r="R216"/>
  <c r="T216" s="1"/>
  <c r="Q216"/>
  <c r="S216" s="1"/>
  <c r="R215"/>
  <c r="T215" s="1"/>
  <c r="Q215"/>
  <c r="S215" s="1"/>
  <c r="U215" s="1"/>
  <c r="V215" s="1"/>
  <c r="W215" s="1"/>
  <c r="X215" s="1"/>
  <c r="AY215" s="1"/>
  <c r="R214"/>
  <c r="T214" s="1"/>
  <c r="Q214"/>
  <c r="S214" s="1"/>
  <c r="R213"/>
  <c r="T213" s="1"/>
  <c r="Q213"/>
  <c r="S213" s="1"/>
  <c r="R212"/>
  <c r="T212" s="1"/>
  <c r="Q212"/>
  <c r="S212" s="1"/>
  <c r="R211"/>
  <c r="T211" s="1"/>
  <c r="Q211"/>
  <c r="S211" s="1"/>
  <c r="R210"/>
  <c r="T210" s="1"/>
  <c r="Q210"/>
  <c r="S210" s="1"/>
  <c r="R209"/>
  <c r="T209" s="1"/>
  <c r="Q209"/>
  <c r="S209" s="1"/>
  <c r="R208"/>
  <c r="T208" s="1"/>
  <c r="Q208"/>
  <c r="S208" s="1"/>
  <c r="R207"/>
  <c r="T207" s="1"/>
  <c r="Q207"/>
  <c r="S207" s="1"/>
  <c r="R206"/>
  <c r="T206" s="1"/>
  <c r="Q206"/>
  <c r="S206" s="1"/>
  <c r="R205"/>
  <c r="T205" s="1"/>
  <c r="Q205"/>
  <c r="S205" s="1"/>
  <c r="R204"/>
  <c r="T204" s="1"/>
  <c r="Q204"/>
  <c r="S204" s="1"/>
  <c r="R203"/>
  <c r="T203" s="1"/>
  <c r="Q203"/>
  <c r="S203" s="1"/>
  <c r="R202"/>
  <c r="T202" s="1"/>
  <c r="Q202"/>
  <c r="S202" s="1"/>
  <c r="R201"/>
  <c r="T201" s="1"/>
  <c r="Q201"/>
  <c r="S201" s="1"/>
  <c r="R200"/>
  <c r="T200" s="1"/>
  <c r="Q200"/>
  <c r="S200" s="1"/>
  <c r="R199"/>
  <c r="T199" s="1"/>
  <c r="Q199"/>
  <c r="S199" s="1"/>
  <c r="R198"/>
  <c r="T198" s="1"/>
  <c r="Q198"/>
  <c r="S198" s="1"/>
  <c r="R197"/>
  <c r="T197" s="1"/>
  <c r="Q197"/>
  <c r="S197" s="1"/>
  <c r="R196"/>
  <c r="T196" s="1"/>
  <c r="Q196"/>
  <c r="S196" s="1"/>
  <c r="R195"/>
  <c r="T195" s="1"/>
  <c r="Q195"/>
  <c r="S195" s="1"/>
  <c r="R194"/>
  <c r="T194" s="1"/>
  <c r="Q194"/>
  <c r="S194" s="1"/>
  <c r="R193"/>
  <c r="T193" s="1"/>
  <c r="Q193"/>
  <c r="S193" s="1"/>
  <c r="R192"/>
  <c r="T192" s="1"/>
  <c r="Q192"/>
  <c r="S192" s="1"/>
  <c r="R191"/>
  <c r="T191" s="1"/>
  <c r="Q191"/>
  <c r="S191" s="1"/>
  <c r="R190"/>
  <c r="T190" s="1"/>
  <c r="Q190"/>
  <c r="S190" s="1"/>
  <c r="R189"/>
  <c r="T189" s="1"/>
  <c r="Q189"/>
  <c r="S189" s="1"/>
  <c r="R188"/>
  <c r="T188" s="1"/>
  <c r="Q188"/>
  <c r="S188" s="1"/>
  <c r="R187"/>
  <c r="T187" s="1"/>
  <c r="Q187"/>
  <c r="S187" s="1"/>
  <c r="R186"/>
  <c r="T186" s="1"/>
  <c r="Q186"/>
  <c r="S186" s="1"/>
  <c r="R185"/>
  <c r="T185" s="1"/>
  <c r="Q185"/>
  <c r="S185" s="1"/>
  <c r="R184"/>
  <c r="T184" s="1"/>
  <c r="Q184"/>
  <c r="S184" s="1"/>
  <c r="R183"/>
  <c r="T183" s="1"/>
  <c r="Q183"/>
  <c r="S183" s="1"/>
  <c r="R182"/>
  <c r="T182" s="1"/>
  <c r="Q182"/>
  <c r="S182" s="1"/>
  <c r="R181"/>
  <c r="T181" s="1"/>
  <c r="Q181"/>
  <c r="S181" s="1"/>
  <c r="R180"/>
  <c r="T180" s="1"/>
  <c r="Q180"/>
  <c r="S180" s="1"/>
  <c r="R179"/>
  <c r="T179" s="1"/>
  <c r="Q179"/>
  <c r="S179" s="1"/>
  <c r="R178"/>
  <c r="T178" s="1"/>
  <c r="Q178"/>
  <c r="S178" s="1"/>
  <c r="R177"/>
  <c r="T177" s="1"/>
  <c r="Q177"/>
  <c r="S177" s="1"/>
  <c r="R176"/>
  <c r="T176" s="1"/>
  <c r="Q176"/>
  <c r="S176" s="1"/>
  <c r="R175"/>
  <c r="T175" s="1"/>
  <c r="Q175"/>
  <c r="S175" s="1"/>
  <c r="R174"/>
  <c r="T174" s="1"/>
  <c r="Q174"/>
  <c r="S174" s="1"/>
  <c r="R173"/>
  <c r="T173" s="1"/>
  <c r="Q173"/>
  <c r="S173" s="1"/>
  <c r="R172"/>
  <c r="T172" s="1"/>
  <c r="Q172"/>
  <c r="S172" s="1"/>
  <c r="R171"/>
  <c r="T171" s="1"/>
  <c r="Q171"/>
  <c r="S171" s="1"/>
  <c r="R170"/>
  <c r="T170" s="1"/>
  <c r="Q170"/>
  <c r="S170" s="1"/>
  <c r="R169"/>
  <c r="T169" s="1"/>
  <c r="Q169"/>
  <c r="S169" s="1"/>
  <c r="R168"/>
  <c r="T168" s="1"/>
  <c r="Q168"/>
  <c r="S168" s="1"/>
  <c r="R167"/>
  <c r="T167" s="1"/>
  <c r="Q167"/>
  <c r="S167" s="1"/>
  <c r="R166"/>
  <c r="T166" s="1"/>
  <c r="Q166"/>
  <c r="S166" s="1"/>
  <c r="R165"/>
  <c r="T165" s="1"/>
  <c r="Q165"/>
  <c r="S165" s="1"/>
  <c r="R164"/>
  <c r="T164" s="1"/>
  <c r="Q164"/>
  <c r="S164" s="1"/>
  <c r="U164" s="1"/>
  <c r="V164" s="1"/>
  <c r="W164" s="1"/>
  <c r="X164" s="1"/>
  <c r="AY164" s="1"/>
  <c r="AZ164" s="1"/>
  <c r="R163"/>
  <c r="T163" s="1"/>
  <c r="Q163"/>
  <c r="S163" s="1"/>
  <c r="R162"/>
  <c r="T162" s="1"/>
  <c r="Q162"/>
  <c r="S162" s="1"/>
  <c r="R161"/>
  <c r="T161" s="1"/>
  <c r="Q161"/>
  <c r="S161" s="1"/>
  <c r="R160"/>
  <c r="T160" s="1"/>
  <c r="Q160"/>
  <c r="S160" s="1"/>
  <c r="R159"/>
  <c r="T159" s="1"/>
  <c r="Q159"/>
  <c r="S159" s="1"/>
  <c r="R158"/>
  <c r="T158" s="1"/>
  <c r="Q158"/>
  <c r="S158" s="1"/>
  <c r="R157"/>
  <c r="T157" s="1"/>
  <c r="Q157"/>
  <c r="S157" s="1"/>
  <c r="R156"/>
  <c r="T156" s="1"/>
  <c r="Q156"/>
  <c r="S156" s="1"/>
  <c r="R155"/>
  <c r="T155" s="1"/>
  <c r="Q155"/>
  <c r="S155" s="1"/>
  <c r="R154"/>
  <c r="T154" s="1"/>
  <c r="Q154"/>
  <c r="S154" s="1"/>
  <c r="R153"/>
  <c r="T153" s="1"/>
  <c r="Q153"/>
  <c r="S153" s="1"/>
  <c r="R152"/>
  <c r="T152" s="1"/>
  <c r="Q152"/>
  <c r="S152" s="1"/>
  <c r="R151"/>
  <c r="T151" s="1"/>
  <c r="Q151"/>
  <c r="S151" s="1"/>
  <c r="R150"/>
  <c r="T150" s="1"/>
  <c r="Q150"/>
  <c r="S150" s="1"/>
  <c r="R149"/>
  <c r="T149" s="1"/>
  <c r="Q149"/>
  <c r="S149" s="1"/>
  <c r="R148"/>
  <c r="T148" s="1"/>
  <c r="Q148"/>
  <c r="S148" s="1"/>
  <c r="R147"/>
  <c r="T147" s="1"/>
  <c r="Q147"/>
  <c r="S147" s="1"/>
  <c r="R146"/>
  <c r="T146" s="1"/>
  <c r="Q146"/>
  <c r="S146" s="1"/>
  <c r="R145"/>
  <c r="T145" s="1"/>
  <c r="Q145"/>
  <c r="S145" s="1"/>
  <c r="R144"/>
  <c r="T144" s="1"/>
  <c r="Q144"/>
  <c r="S144" s="1"/>
  <c r="R143"/>
  <c r="T143" s="1"/>
  <c r="Q143"/>
  <c r="S143" s="1"/>
  <c r="R142"/>
  <c r="T142" s="1"/>
  <c r="Q142"/>
  <c r="S142" s="1"/>
  <c r="R141"/>
  <c r="T141" s="1"/>
  <c r="Q141"/>
  <c r="S141" s="1"/>
  <c r="R140"/>
  <c r="T140" s="1"/>
  <c r="Q140"/>
  <c r="S140" s="1"/>
  <c r="R139"/>
  <c r="T139" s="1"/>
  <c r="Q139"/>
  <c r="S139" s="1"/>
  <c r="R138"/>
  <c r="T138" s="1"/>
  <c r="Q138"/>
  <c r="S138" s="1"/>
  <c r="R137"/>
  <c r="T137" s="1"/>
  <c r="Q137"/>
  <c r="S137" s="1"/>
  <c r="R136"/>
  <c r="T136" s="1"/>
  <c r="Q136"/>
  <c r="S136" s="1"/>
  <c r="R135"/>
  <c r="T135" s="1"/>
  <c r="Q135"/>
  <c r="S135" s="1"/>
  <c r="R134"/>
  <c r="T134" s="1"/>
  <c r="Q134"/>
  <c r="S134" s="1"/>
  <c r="R133"/>
  <c r="T133" s="1"/>
  <c r="Q133"/>
  <c r="S133" s="1"/>
  <c r="R132"/>
  <c r="T132" s="1"/>
  <c r="Q132"/>
  <c r="S132" s="1"/>
  <c r="R131"/>
  <c r="T131" s="1"/>
  <c r="Q131"/>
  <c r="S131" s="1"/>
  <c r="R130"/>
  <c r="T130" s="1"/>
  <c r="Q130"/>
  <c r="S130" s="1"/>
  <c r="R129"/>
  <c r="T129" s="1"/>
  <c r="Q129"/>
  <c r="S129" s="1"/>
  <c r="R128"/>
  <c r="T128" s="1"/>
  <c r="Q128"/>
  <c r="S128" s="1"/>
  <c r="R127"/>
  <c r="T127" s="1"/>
  <c r="Q127"/>
  <c r="S127" s="1"/>
  <c r="R126"/>
  <c r="T126" s="1"/>
  <c r="Q126"/>
  <c r="S126" s="1"/>
  <c r="R125"/>
  <c r="T125" s="1"/>
  <c r="Q125"/>
  <c r="S125" s="1"/>
  <c r="R124"/>
  <c r="T124" s="1"/>
  <c r="Q124"/>
  <c r="S124" s="1"/>
  <c r="R123"/>
  <c r="T123" s="1"/>
  <c r="Q123"/>
  <c r="S123" s="1"/>
  <c r="R122"/>
  <c r="T122" s="1"/>
  <c r="Q122"/>
  <c r="S122" s="1"/>
  <c r="R121"/>
  <c r="T121" s="1"/>
  <c r="Q121"/>
  <c r="S121" s="1"/>
  <c r="R120"/>
  <c r="T120" s="1"/>
  <c r="Q120"/>
  <c r="S120" s="1"/>
  <c r="R119"/>
  <c r="T119" s="1"/>
  <c r="Q119"/>
  <c r="S119" s="1"/>
  <c r="R118"/>
  <c r="T118" s="1"/>
  <c r="Q118"/>
  <c r="S118" s="1"/>
  <c r="R117"/>
  <c r="T117" s="1"/>
  <c r="Q117"/>
  <c r="S117" s="1"/>
  <c r="R116"/>
  <c r="T116" s="1"/>
  <c r="Q116"/>
  <c r="S116" s="1"/>
  <c r="R115"/>
  <c r="T115" s="1"/>
  <c r="Q115"/>
  <c r="S115" s="1"/>
  <c r="R114"/>
  <c r="T114" s="1"/>
  <c r="Q114"/>
  <c r="S114" s="1"/>
  <c r="R113"/>
  <c r="T113" s="1"/>
  <c r="Q113"/>
  <c r="S113" s="1"/>
  <c r="R112"/>
  <c r="T112" s="1"/>
  <c r="Q112"/>
  <c r="S112" s="1"/>
  <c r="R111"/>
  <c r="T111" s="1"/>
  <c r="Q111"/>
  <c r="S111" s="1"/>
  <c r="R110"/>
  <c r="T110" s="1"/>
  <c r="Q110"/>
  <c r="S110" s="1"/>
  <c r="R109"/>
  <c r="T109" s="1"/>
  <c r="Q109"/>
  <c r="S109" s="1"/>
  <c r="R108"/>
  <c r="T108" s="1"/>
  <c r="Q108"/>
  <c r="S108" s="1"/>
  <c r="R107"/>
  <c r="T107" s="1"/>
  <c r="Q107"/>
  <c r="S107" s="1"/>
  <c r="R106"/>
  <c r="T106" s="1"/>
  <c r="Q106"/>
  <c r="S106" s="1"/>
  <c r="R105"/>
  <c r="T105" s="1"/>
  <c r="Q105"/>
  <c r="S105" s="1"/>
  <c r="R104"/>
  <c r="T104" s="1"/>
  <c r="Q104"/>
  <c r="S104" s="1"/>
  <c r="R103"/>
  <c r="T103" s="1"/>
  <c r="Q103"/>
  <c r="S103" s="1"/>
  <c r="R102"/>
  <c r="T102" s="1"/>
  <c r="Q102"/>
  <c r="S102" s="1"/>
  <c r="R101"/>
  <c r="T101" s="1"/>
  <c r="Q101"/>
  <c r="S101" s="1"/>
  <c r="R100"/>
  <c r="T100" s="1"/>
  <c r="Q100"/>
  <c r="S100" s="1"/>
  <c r="R99"/>
  <c r="T99" s="1"/>
  <c r="Q99"/>
  <c r="S99" s="1"/>
  <c r="R98"/>
  <c r="T98" s="1"/>
  <c r="Q98"/>
  <c r="S98" s="1"/>
  <c r="R97"/>
  <c r="T97" s="1"/>
  <c r="Q97"/>
  <c r="S97" s="1"/>
  <c r="R96"/>
  <c r="T96" s="1"/>
  <c r="Q96"/>
  <c r="S96" s="1"/>
  <c r="R95"/>
  <c r="T95" s="1"/>
  <c r="Q95"/>
  <c r="S95" s="1"/>
  <c r="R94"/>
  <c r="T94" s="1"/>
  <c r="Q94"/>
  <c r="S94" s="1"/>
  <c r="R93"/>
  <c r="T93" s="1"/>
  <c r="Q93"/>
  <c r="S93" s="1"/>
  <c r="R92"/>
  <c r="T92" s="1"/>
  <c r="Q92"/>
  <c r="S92" s="1"/>
  <c r="R91"/>
  <c r="T91" s="1"/>
  <c r="Q91"/>
  <c r="S91" s="1"/>
  <c r="R90"/>
  <c r="T90" s="1"/>
  <c r="Q90"/>
  <c r="S90" s="1"/>
  <c r="R89"/>
  <c r="T89" s="1"/>
  <c r="Q89"/>
  <c r="S89" s="1"/>
  <c r="R88"/>
  <c r="T88" s="1"/>
  <c r="Q88"/>
  <c r="S88" s="1"/>
  <c r="R87"/>
  <c r="T87" s="1"/>
  <c r="Q87"/>
  <c r="S87" s="1"/>
  <c r="R86"/>
  <c r="T86" s="1"/>
  <c r="Q86"/>
  <c r="S86" s="1"/>
  <c r="R85"/>
  <c r="T85" s="1"/>
  <c r="Q85"/>
  <c r="S85" s="1"/>
  <c r="R84"/>
  <c r="T84" s="1"/>
  <c r="Q84"/>
  <c r="S84" s="1"/>
  <c r="R83"/>
  <c r="T83" s="1"/>
  <c r="Q83"/>
  <c r="S83" s="1"/>
  <c r="R82"/>
  <c r="T82" s="1"/>
  <c r="Q82"/>
  <c r="S82" s="1"/>
  <c r="R81"/>
  <c r="T81" s="1"/>
  <c r="Q81"/>
  <c r="S81" s="1"/>
  <c r="R80"/>
  <c r="T80" s="1"/>
  <c r="Q80"/>
  <c r="S80" s="1"/>
  <c r="R79"/>
  <c r="T79" s="1"/>
  <c r="Q79"/>
  <c r="S79" s="1"/>
  <c r="R78"/>
  <c r="T78" s="1"/>
  <c r="Q78"/>
  <c r="S78" s="1"/>
  <c r="R77"/>
  <c r="T77" s="1"/>
  <c r="Q77"/>
  <c r="S77" s="1"/>
  <c r="R76"/>
  <c r="T76" s="1"/>
  <c r="Q76"/>
  <c r="S76" s="1"/>
  <c r="R75"/>
  <c r="T75" s="1"/>
  <c r="Q75"/>
  <c r="S75" s="1"/>
  <c r="R74"/>
  <c r="T74" s="1"/>
  <c r="Q74"/>
  <c r="S74" s="1"/>
  <c r="R73"/>
  <c r="T73" s="1"/>
  <c r="Q73"/>
  <c r="S73" s="1"/>
  <c r="R72"/>
  <c r="T72" s="1"/>
  <c r="Q72"/>
  <c r="S72" s="1"/>
  <c r="R71"/>
  <c r="T71" s="1"/>
  <c r="Q71"/>
  <c r="S71" s="1"/>
  <c r="R70"/>
  <c r="T70" s="1"/>
  <c r="Q70"/>
  <c r="S70" s="1"/>
  <c r="R69"/>
  <c r="T69" s="1"/>
  <c r="Q69"/>
  <c r="S69" s="1"/>
  <c r="R68"/>
  <c r="T68" s="1"/>
  <c r="Q68"/>
  <c r="S68" s="1"/>
  <c r="R67"/>
  <c r="T67" s="1"/>
  <c r="Q67"/>
  <c r="S67" s="1"/>
  <c r="R66"/>
  <c r="T66" s="1"/>
  <c r="Q66"/>
  <c r="S66" s="1"/>
  <c r="R65"/>
  <c r="T65" s="1"/>
  <c r="Q65"/>
  <c r="S65" s="1"/>
  <c r="R64"/>
  <c r="T64" s="1"/>
  <c r="Q64"/>
  <c r="S64" s="1"/>
  <c r="R63"/>
  <c r="T63" s="1"/>
  <c r="Q63"/>
  <c r="S63" s="1"/>
  <c r="R62"/>
  <c r="T62" s="1"/>
  <c r="Q62"/>
  <c r="S62" s="1"/>
  <c r="R61"/>
  <c r="T61" s="1"/>
  <c r="Q61"/>
  <c r="S61" s="1"/>
  <c r="R60"/>
  <c r="T60" s="1"/>
  <c r="Q60"/>
  <c r="S60" s="1"/>
  <c r="R59"/>
  <c r="T59" s="1"/>
  <c r="Q59"/>
  <c r="S59" s="1"/>
  <c r="R58"/>
  <c r="T58" s="1"/>
  <c r="Q58"/>
  <c r="S58" s="1"/>
  <c r="R57"/>
  <c r="T57" s="1"/>
  <c r="Q57"/>
  <c r="S57" s="1"/>
  <c r="R56"/>
  <c r="T56" s="1"/>
  <c r="Q56"/>
  <c r="S56" s="1"/>
  <c r="R55"/>
  <c r="T55" s="1"/>
  <c r="Q55"/>
  <c r="S55" s="1"/>
  <c r="R54"/>
  <c r="T54" s="1"/>
  <c r="Q54"/>
  <c r="S54" s="1"/>
  <c r="R53"/>
  <c r="T53" s="1"/>
  <c r="Q53"/>
  <c r="S53" s="1"/>
  <c r="R52"/>
  <c r="T52" s="1"/>
  <c r="Q52"/>
  <c r="S52" s="1"/>
  <c r="R51"/>
  <c r="T51" s="1"/>
  <c r="Q51"/>
  <c r="S51" s="1"/>
  <c r="R50"/>
  <c r="T50" s="1"/>
  <c r="Q50"/>
  <c r="S50" s="1"/>
  <c r="R49"/>
  <c r="T49" s="1"/>
  <c r="Q49"/>
  <c r="S49" s="1"/>
  <c r="R48"/>
  <c r="T48" s="1"/>
  <c r="Q48"/>
  <c r="S48" s="1"/>
  <c r="R47"/>
  <c r="T47" s="1"/>
  <c r="Q47"/>
  <c r="S47" s="1"/>
  <c r="R46"/>
  <c r="T46" s="1"/>
  <c r="Q46"/>
  <c r="S46" s="1"/>
  <c r="R45"/>
  <c r="T45" s="1"/>
  <c r="Q45"/>
  <c r="S45" s="1"/>
  <c r="R44"/>
  <c r="T44" s="1"/>
  <c r="Q44"/>
  <c r="S44" s="1"/>
  <c r="R43"/>
  <c r="T43" s="1"/>
  <c r="Q43"/>
  <c r="S43" s="1"/>
  <c r="R42"/>
  <c r="T42" s="1"/>
  <c r="Q42"/>
  <c r="S42" s="1"/>
  <c r="R41"/>
  <c r="T41" s="1"/>
  <c r="Q41"/>
  <c r="S41" s="1"/>
  <c r="R40"/>
  <c r="T40" s="1"/>
  <c r="Q40"/>
  <c r="S40" s="1"/>
  <c r="R39"/>
  <c r="T39" s="1"/>
  <c r="Q39"/>
  <c r="S39" s="1"/>
  <c r="R38"/>
  <c r="T38" s="1"/>
  <c r="Q38"/>
  <c r="S38" s="1"/>
  <c r="R37"/>
  <c r="T37" s="1"/>
  <c r="Q37"/>
  <c r="S37" s="1"/>
  <c r="R36"/>
  <c r="T36" s="1"/>
  <c r="Q36"/>
  <c r="S36" s="1"/>
  <c r="R35"/>
  <c r="T35" s="1"/>
  <c r="Q35"/>
  <c r="S35" s="1"/>
  <c r="R34"/>
  <c r="T34" s="1"/>
  <c r="Q34"/>
  <c r="S34" s="1"/>
  <c r="R33"/>
  <c r="T33" s="1"/>
  <c r="Q33"/>
  <c r="S33" s="1"/>
  <c r="U33" s="1"/>
  <c r="V33" s="1"/>
  <c r="W33" s="1"/>
  <c r="X33" s="1"/>
  <c r="AY33" s="1"/>
  <c r="AZ33" s="1"/>
  <c r="R32"/>
  <c r="T32" s="1"/>
  <c r="Q32"/>
  <c r="S32" s="1"/>
  <c r="R31"/>
  <c r="T31" s="1"/>
  <c r="Q31"/>
  <c r="S31" s="1"/>
  <c r="R30"/>
  <c r="T30" s="1"/>
  <c r="Q30"/>
  <c r="S30" s="1"/>
  <c r="R29"/>
  <c r="T29" s="1"/>
  <c r="Q29"/>
  <c r="S29" s="1"/>
  <c r="R28"/>
  <c r="T28" s="1"/>
  <c r="Q28"/>
  <c r="S28" s="1"/>
  <c r="R27"/>
  <c r="T27" s="1"/>
  <c r="Q27"/>
  <c r="S27" s="1"/>
  <c r="R26"/>
  <c r="T26" s="1"/>
  <c r="Q26"/>
  <c r="S26" s="1"/>
  <c r="R25"/>
  <c r="T25" s="1"/>
  <c r="Q25"/>
  <c r="S25" s="1"/>
  <c r="R24"/>
  <c r="T24" s="1"/>
  <c r="Q24"/>
  <c r="S24" s="1"/>
  <c r="R23"/>
  <c r="T23" s="1"/>
  <c r="Q23"/>
  <c r="S23" s="1"/>
  <c r="R22"/>
  <c r="T22" s="1"/>
  <c r="Q22"/>
  <c r="S22" s="1"/>
  <c r="R21"/>
  <c r="T21" s="1"/>
  <c r="Q21"/>
  <c r="S21" s="1"/>
  <c r="R20"/>
  <c r="T20" s="1"/>
  <c r="Q20"/>
  <c r="S20" s="1"/>
  <c r="R19"/>
  <c r="T19" s="1"/>
  <c r="Q19"/>
  <c r="S19" s="1"/>
  <c r="R18"/>
  <c r="T18" s="1"/>
  <c r="Q18"/>
  <c r="S18" s="1"/>
  <c r="R17"/>
  <c r="T17" s="1"/>
  <c r="Q17"/>
  <c r="S17" s="1"/>
  <c r="R16"/>
  <c r="T16" s="1"/>
  <c r="Q16"/>
  <c r="S16" s="1"/>
  <c r="R15"/>
  <c r="T15" s="1"/>
  <c r="Q15"/>
  <c r="S15" s="1"/>
  <c r="R14"/>
  <c r="T14" s="1"/>
  <c r="Q14"/>
  <c r="S14" s="1"/>
  <c r="R13"/>
  <c r="T13" s="1"/>
  <c r="Q13"/>
  <c r="S13" s="1"/>
  <c r="R12"/>
  <c r="T12" s="1"/>
  <c r="Q12"/>
  <c r="S12" s="1"/>
  <c r="R11"/>
  <c r="T11" s="1"/>
  <c r="Q11"/>
  <c r="S11" s="1"/>
  <c r="R10"/>
  <c r="T10" s="1"/>
  <c r="Q10"/>
  <c r="S10" s="1"/>
  <c r="R9"/>
  <c r="T9" s="1"/>
  <c r="Q9"/>
  <c r="S9" s="1"/>
  <c r="U9" s="1"/>
  <c r="V9" s="1"/>
  <c r="W9" s="1"/>
  <c r="X9" s="1"/>
  <c r="AY9" s="1"/>
  <c r="R8"/>
  <c r="T8" s="1"/>
  <c r="Q8"/>
  <c r="S8" s="1"/>
  <c r="R7"/>
  <c r="T7" s="1"/>
  <c r="Q7"/>
  <c r="S7" s="1"/>
  <c r="R6"/>
  <c r="T6" s="1"/>
  <c r="Q6"/>
  <c r="S6" s="1"/>
  <c r="R5"/>
  <c r="T5" s="1"/>
  <c r="Q5"/>
  <c r="S5" s="1"/>
  <c r="R370"/>
  <c r="T370" s="1"/>
  <c r="R371"/>
  <c r="T371" s="1"/>
  <c r="R372"/>
  <c r="T372" s="1"/>
  <c r="R373"/>
  <c r="T373" s="1"/>
  <c r="R374"/>
  <c r="T374" s="1"/>
  <c r="R375"/>
  <c r="T375" s="1"/>
  <c r="R376"/>
  <c r="T376" s="1"/>
  <c r="R377"/>
  <c r="T377" s="1"/>
  <c r="R378"/>
  <c r="T378" s="1"/>
  <c r="R379"/>
  <c r="T379" s="1"/>
  <c r="R380"/>
  <c r="T380" s="1"/>
  <c r="R381"/>
  <c r="T381" s="1"/>
  <c r="R382"/>
  <c r="T382" s="1"/>
  <c r="R383"/>
  <c r="T383" s="1"/>
  <c r="R384"/>
  <c r="T384" s="1"/>
  <c r="R385"/>
  <c r="T385" s="1"/>
  <c r="R386"/>
  <c r="T386" s="1"/>
  <c r="R387"/>
  <c r="T387" s="1"/>
  <c r="R388"/>
  <c r="T388" s="1"/>
  <c r="R389"/>
  <c r="T389" s="1"/>
  <c r="R390"/>
  <c r="T390" s="1"/>
  <c r="R391"/>
  <c r="T391" s="1"/>
  <c r="R392"/>
  <c r="T392" s="1"/>
  <c r="R393"/>
  <c r="T393" s="1"/>
  <c r="R394"/>
  <c r="T394" s="1"/>
  <c r="R395"/>
  <c r="T395" s="1"/>
  <c r="R396"/>
  <c r="T396" s="1"/>
  <c r="R397"/>
  <c r="T397" s="1"/>
  <c r="R398"/>
  <c r="T398" s="1"/>
  <c r="R399"/>
  <c r="T399" s="1"/>
  <c r="R400"/>
  <c r="T400" s="1"/>
  <c r="R401"/>
  <c r="T401" s="1"/>
  <c r="R402"/>
  <c r="T402" s="1"/>
  <c r="R403"/>
  <c r="T403" s="1"/>
  <c r="R404"/>
  <c r="T404" s="1"/>
  <c r="R405"/>
  <c r="T405" s="1"/>
  <c r="R406"/>
  <c r="T406" s="1"/>
  <c r="R407"/>
  <c r="T407" s="1"/>
  <c r="R408"/>
  <c r="T408" s="1"/>
  <c r="R409"/>
  <c r="T409" s="1"/>
  <c r="R410"/>
  <c r="T410" s="1"/>
  <c r="R411"/>
  <c r="T411" s="1"/>
  <c r="R412"/>
  <c r="T412" s="1"/>
  <c r="R413"/>
  <c r="T413" s="1"/>
  <c r="R414"/>
  <c r="T414" s="1"/>
  <c r="R415"/>
  <c r="T415" s="1"/>
  <c r="R416"/>
  <c r="T416" s="1"/>
  <c r="R417"/>
  <c r="T417" s="1"/>
  <c r="R418"/>
  <c r="T418" s="1"/>
  <c r="R419"/>
  <c r="T419" s="1"/>
  <c r="R420"/>
  <c r="T420" s="1"/>
  <c r="R421"/>
  <c r="T421" s="1"/>
  <c r="R422"/>
  <c r="T422" s="1"/>
  <c r="R423"/>
  <c r="T423" s="1"/>
  <c r="R424"/>
  <c r="T424" s="1"/>
  <c r="R425"/>
  <c r="T425" s="1"/>
  <c r="R426"/>
  <c r="T426" s="1"/>
  <c r="R427"/>
  <c r="T427" s="1"/>
  <c r="R428"/>
  <c r="T428" s="1"/>
  <c r="R429"/>
  <c r="T429" s="1"/>
  <c r="R430"/>
  <c r="T430" s="1"/>
  <c r="R431"/>
  <c r="T431" s="1"/>
  <c r="R432"/>
  <c r="T432" s="1"/>
  <c r="R433"/>
  <c r="T433" s="1"/>
  <c r="R434"/>
  <c r="T434" s="1"/>
  <c r="R435"/>
  <c r="T435" s="1"/>
  <c r="R436"/>
  <c r="T436" s="1"/>
  <c r="R437"/>
  <c r="T437" s="1"/>
  <c r="R438"/>
  <c r="T438" s="1"/>
  <c r="R439"/>
  <c r="T439" s="1"/>
  <c r="R440"/>
  <c r="T440" s="1"/>
  <c r="R441"/>
  <c r="T441" s="1"/>
  <c r="R442"/>
  <c r="T442" s="1"/>
  <c r="R443"/>
  <c r="T443" s="1"/>
  <c r="R444"/>
  <c r="T444" s="1"/>
  <c r="R445"/>
  <c r="T445" s="1"/>
  <c r="R446"/>
  <c r="T446" s="1"/>
  <c r="R447"/>
  <c r="T447" s="1"/>
  <c r="R448"/>
  <c r="T448" s="1"/>
  <c r="R449"/>
  <c r="T449" s="1"/>
  <c r="R450"/>
  <c r="T450" s="1"/>
  <c r="R451"/>
  <c r="T451" s="1"/>
  <c r="R452"/>
  <c r="T452" s="1"/>
  <c r="R453"/>
  <c r="T453" s="1"/>
  <c r="R454"/>
  <c r="T454" s="1"/>
  <c r="R455"/>
  <c r="T455" s="1"/>
  <c r="R456"/>
  <c r="T456" s="1"/>
  <c r="R457"/>
  <c r="T457" s="1"/>
  <c r="R458"/>
  <c r="T458" s="1"/>
  <c r="R459"/>
  <c r="T459" s="1"/>
  <c r="R460"/>
  <c r="T460" s="1"/>
  <c r="R461"/>
  <c r="T461" s="1"/>
  <c r="R462"/>
  <c r="T462" s="1"/>
  <c r="R463"/>
  <c r="T463" s="1"/>
  <c r="R464"/>
  <c r="T464" s="1"/>
  <c r="R465"/>
  <c r="T465" s="1"/>
  <c r="R466"/>
  <c r="T466" s="1"/>
  <c r="R467"/>
  <c r="T467" s="1"/>
  <c r="R468"/>
  <c r="T468" s="1"/>
  <c r="R469"/>
  <c r="T469" s="1"/>
  <c r="R470"/>
  <c r="T470" s="1"/>
  <c r="R471"/>
  <c r="T471" s="1"/>
  <c r="R472"/>
  <c r="T472" s="1"/>
  <c r="R473"/>
  <c r="T473" s="1"/>
  <c r="R474"/>
  <c r="T474" s="1"/>
  <c r="R475"/>
  <c r="T475" s="1"/>
  <c r="R476"/>
  <c r="T476" s="1"/>
  <c r="R477"/>
  <c r="T477" s="1"/>
  <c r="R478"/>
  <c r="T478" s="1"/>
  <c r="R479"/>
  <c r="T479" s="1"/>
  <c r="R480"/>
  <c r="T480" s="1"/>
  <c r="R481"/>
  <c r="T481" s="1"/>
  <c r="R482"/>
  <c r="T482" s="1"/>
  <c r="R483"/>
  <c r="T483" s="1"/>
  <c r="R484"/>
  <c r="T484" s="1"/>
  <c r="R485"/>
  <c r="T485" s="1"/>
  <c r="R486"/>
  <c r="T486" s="1"/>
  <c r="R487"/>
  <c r="T487" s="1"/>
  <c r="R488"/>
  <c r="T488" s="1"/>
  <c r="R489"/>
  <c r="T489" s="1"/>
  <c r="R490"/>
  <c r="T490" s="1"/>
  <c r="R491"/>
  <c r="T491" s="1"/>
  <c r="R492"/>
  <c r="T492" s="1"/>
  <c r="R493"/>
  <c r="T493" s="1"/>
  <c r="R494"/>
  <c r="T494" s="1"/>
  <c r="R495"/>
  <c r="T495" s="1"/>
  <c r="R496"/>
  <c r="T496" s="1"/>
  <c r="R497"/>
  <c r="T497" s="1"/>
  <c r="R498"/>
  <c r="T498" s="1"/>
  <c r="R499"/>
  <c r="T499" s="1"/>
  <c r="R500"/>
  <c r="T500" s="1"/>
  <c r="R501"/>
  <c r="T501" s="1"/>
  <c r="R502"/>
  <c r="T502" s="1"/>
  <c r="R503"/>
  <c r="T503" s="1"/>
  <c r="R504"/>
  <c r="T504" s="1"/>
  <c r="R505"/>
  <c r="T505" s="1"/>
  <c r="R506"/>
  <c r="T506" s="1"/>
  <c r="R507"/>
  <c r="T507" s="1"/>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R528"/>
  <c r="T528" s="1"/>
  <c r="R529"/>
  <c r="T529" s="1"/>
  <c r="R530"/>
  <c r="T530" s="1"/>
  <c r="R531"/>
  <c r="T531" s="1"/>
  <c r="R532"/>
  <c r="T532" s="1"/>
  <c r="R533"/>
  <c r="T533" s="1"/>
  <c r="R534"/>
  <c r="T534" s="1"/>
  <c r="R535"/>
  <c r="T535" s="1"/>
  <c r="R536"/>
  <c r="T536" s="1"/>
  <c r="R537"/>
  <c r="T537" s="1"/>
  <c r="R538"/>
  <c r="T538" s="1"/>
  <c r="R539"/>
  <c r="T539" s="1"/>
  <c r="R540"/>
  <c r="T540" s="1"/>
  <c r="R541"/>
  <c r="T541" s="1"/>
  <c r="R542"/>
  <c r="T542" s="1"/>
  <c r="R543"/>
  <c r="T543" s="1"/>
  <c r="R544"/>
  <c r="T544" s="1"/>
  <c r="R545"/>
  <c r="T545" s="1"/>
  <c r="R546"/>
  <c r="T546" s="1"/>
  <c r="R547"/>
  <c r="T547" s="1"/>
  <c r="R548"/>
  <c r="T548" s="1"/>
  <c r="R549"/>
  <c r="T549" s="1"/>
  <c r="R550"/>
  <c r="T550" s="1"/>
  <c r="R551"/>
  <c r="T551" s="1"/>
  <c r="R552"/>
  <c r="T552" s="1"/>
  <c r="R553"/>
  <c r="T553" s="1"/>
  <c r="R554"/>
  <c r="T554" s="1"/>
  <c r="R555"/>
  <c r="T555" s="1"/>
  <c r="R556"/>
  <c r="T556" s="1"/>
  <c r="R557"/>
  <c r="T557" s="1"/>
  <c r="R558"/>
  <c r="T558" s="1"/>
  <c r="R559"/>
  <c r="T559" s="1"/>
  <c r="R560"/>
  <c r="T560" s="1"/>
  <c r="R561"/>
  <c r="T561" s="1"/>
  <c r="R562"/>
  <c r="T562" s="1"/>
  <c r="R563"/>
  <c r="T563" s="1"/>
  <c r="R564"/>
  <c r="T564" s="1"/>
  <c r="R565"/>
  <c r="T565" s="1"/>
  <c r="R566"/>
  <c r="T566" s="1"/>
  <c r="R567"/>
  <c r="T567" s="1"/>
  <c r="R568"/>
  <c r="T568" s="1"/>
  <c r="R569"/>
  <c r="T569" s="1"/>
  <c r="R570"/>
  <c r="T570" s="1"/>
  <c r="R571"/>
  <c r="T571" s="1"/>
  <c r="R572"/>
  <c r="T572" s="1"/>
  <c r="R573"/>
  <c r="T573" s="1"/>
  <c r="R574"/>
  <c r="T574" s="1"/>
  <c r="R575"/>
  <c r="T575" s="1"/>
  <c r="R576"/>
  <c r="T576" s="1"/>
  <c r="R577"/>
  <c r="T577" s="1"/>
  <c r="R578"/>
  <c r="T578" s="1"/>
  <c r="R579"/>
  <c r="T579" s="1"/>
  <c r="R580"/>
  <c r="T580" s="1"/>
  <c r="R581"/>
  <c r="T581" s="1"/>
  <c r="R582"/>
  <c r="T582" s="1"/>
  <c r="Q370"/>
  <c r="S370" s="1"/>
  <c r="U370" s="1"/>
  <c r="V370" s="1"/>
  <c r="W370" s="1"/>
  <c r="X370" s="1"/>
  <c r="AY370" s="1"/>
  <c r="BF370" s="1"/>
  <c r="Q371"/>
  <c r="S371" s="1"/>
  <c r="Q372"/>
  <c r="S372" s="1"/>
  <c r="U372" s="1"/>
  <c r="V372" s="1"/>
  <c r="W372" s="1"/>
  <c r="X372" s="1"/>
  <c r="AY372" s="1"/>
  <c r="BF372" s="1"/>
  <c r="Q373"/>
  <c r="S373" s="1"/>
  <c r="Q374"/>
  <c r="S374" s="1"/>
  <c r="U374" s="1"/>
  <c r="V374" s="1"/>
  <c r="W374" s="1"/>
  <c r="X374" s="1"/>
  <c r="AY374" s="1"/>
  <c r="BF374" s="1"/>
  <c r="Q375"/>
  <c r="S375" s="1"/>
  <c r="Q376"/>
  <c r="S376" s="1"/>
  <c r="U376" s="1"/>
  <c r="V376" s="1"/>
  <c r="W376" s="1"/>
  <c r="X376" s="1"/>
  <c r="AY376" s="1"/>
  <c r="BF376" s="1"/>
  <c r="Q377"/>
  <c r="S377" s="1"/>
  <c r="Q378"/>
  <c r="S378" s="1"/>
  <c r="U378" s="1"/>
  <c r="V378" s="1"/>
  <c r="W378" s="1"/>
  <c r="X378" s="1"/>
  <c r="AY378" s="1"/>
  <c r="BF378" s="1"/>
  <c r="Q379"/>
  <c r="S379" s="1"/>
  <c r="Q380"/>
  <c r="S380" s="1"/>
  <c r="U380" s="1"/>
  <c r="V380" s="1"/>
  <c r="W380" s="1"/>
  <c r="X380" s="1"/>
  <c r="AY380" s="1"/>
  <c r="BF380" s="1"/>
  <c r="Q381"/>
  <c r="S381" s="1"/>
  <c r="Q382"/>
  <c r="S382" s="1"/>
  <c r="U382" s="1"/>
  <c r="V382" s="1"/>
  <c r="W382" s="1"/>
  <c r="X382" s="1"/>
  <c r="AY382" s="1"/>
  <c r="BF382" s="1"/>
  <c r="Q383"/>
  <c r="S383" s="1"/>
  <c r="Q384"/>
  <c r="S384" s="1"/>
  <c r="U384" s="1"/>
  <c r="V384" s="1"/>
  <c r="W384" s="1"/>
  <c r="X384" s="1"/>
  <c r="AY384" s="1"/>
  <c r="BF384" s="1"/>
  <c r="Q385"/>
  <c r="S385" s="1"/>
  <c r="Q386"/>
  <c r="S386" s="1"/>
  <c r="U386" s="1"/>
  <c r="V386" s="1"/>
  <c r="W386" s="1"/>
  <c r="X386" s="1"/>
  <c r="AY386" s="1"/>
  <c r="BF386" s="1"/>
  <c r="Q387"/>
  <c r="S387" s="1"/>
  <c r="Q388"/>
  <c r="S388" s="1"/>
  <c r="U388" s="1"/>
  <c r="V388" s="1"/>
  <c r="W388" s="1"/>
  <c r="X388" s="1"/>
  <c r="AY388" s="1"/>
  <c r="BF388" s="1"/>
  <c r="Q389"/>
  <c r="S389" s="1"/>
  <c r="Q390"/>
  <c r="S390" s="1"/>
  <c r="U390" s="1"/>
  <c r="V390" s="1"/>
  <c r="W390" s="1"/>
  <c r="X390" s="1"/>
  <c r="AY390" s="1"/>
  <c r="BF390" s="1"/>
  <c r="Q391"/>
  <c r="S391" s="1"/>
  <c r="Q392"/>
  <c r="S392" s="1"/>
  <c r="U392" s="1"/>
  <c r="V392" s="1"/>
  <c r="W392" s="1"/>
  <c r="X392" s="1"/>
  <c r="AY392" s="1"/>
  <c r="BF392" s="1"/>
  <c r="Q393"/>
  <c r="S393" s="1"/>
  <c r="Q394"/>
  <c r="S394" s="1"/>
  <c r="U394" s="1"/>
  <c r="V394" s="1"/>
  <c r="W394" s="1"/>
  <c r="X394" s="1"/>
  <c r="AY394" s="1"/>
  <c r="BF394" s="1"/>
  <c r="Q395"/>
  <c r="S395" s="1"/>
  <c r="Q396"/>
  <c r="S396" s="1"/>
  <c r="U396" s="1"/>
  <c r="V396" s="1"/>
  <c r="W396" s="1"/>
  <c r="X396" s="1"/>
  <c r="AY396" s="1"/>
  <c r="BF396" s="1"/>
  <c r="Q397"/>
  <c r="S397" s="1"/>
  <c r="Q398"/>
  <c r="S398" s="1"/>
  <c r="U398" s="1"/>
  <c r="V398" s="1"/>
  <c r="W398" s="1"/>
  <c r="X398" s="1"/>
  <c r="AY398" s="1"/>
  <c r="BF398" s="1"/>
  <c r="Q399"/>
  <c r="S399" s="1"/>
  <c r="Q400"/>
  <c r="S400" s="1"/>
  <c r="U400" s="1"/>
  <c r="V400" s="1"/>
  <c r="W400" s="1"/>
  <c r="X400" s="1"/>
  <c r="AY400" s="1"/>
  <c r="BF400" s="1"/>
  <c r="Q401"/>
  <c r="S401" s="1"/>
  <c r="Q402"/>
  <c r="S402" s="1"/>
  <c r="U402" s="1"/>
  <c r="V402" s="1"/>
  <c r="W402" s="1"/>
  <c r="X402" s="1"/>
  <c r="AY402" s="1"/>
  <c r="BF402" s="1"/>
  <c r="Q403"/>
  <c r="S403" s="1"/>
  <c r="Q404"/>
  <c r="S404" s="1"/>
  <c r="U404" s="1"/>
  <c r="V404" s="1"/>
  <c r="W404" s="1"/>
  <c r="X404" s="1"/>
  <c r="AY404" s="1"/>
  <c r="BF404" s="1"/>
  <c r="Q405"/>
  <c r="S405" s="1"/>
  <c r="Q406"/>
  <c r="S406" s="1"/>
  <c r="U406" s="1"/>
  <c r="V406" s="1"/>
  <c r="W406" s="1"/>
  <c r="X406" s="1"/>
  <c r="AY406" s="1"/>
  <c r="BF406" s="1"/>
  <c r="Q407"/>
  <c r="S407" s="1"/>
  <c r="Q408"/>
  <c r="S408" s="1"/>
  <c r="U408" s="1"/>
  <c r="V408" s="1"/>
  <c r="W408" s="1"/>
  <c r="X408" s="1"/>
  <c r="AY408" s="1"/>
  <c r="BF408" s="1"/>
  <c r="Q409"/>
  <c r="S409" s="1"/>
  <c r="Q410"/>
  <c r="S410" s="1"/>
  <c r="U410" s="1"/>
  <c r="V410" s="1"/>
  <c r="W410" s="1"/>
  <c r="X410" s="1"/>
  <c r="AY410" s="1"/>
  <c r="BF410" s="1"/>
  <c r="Q411"/>
  <c r="S411" s="1"/>
  <c r="Q412"/>
  <c r="S412" s="1"/>
  <c r="U412" s="1"/>
  <c r="V412" s="1"/>
  <c r="W412" s="1"/>
  <c r="X412" s="1"/>
  <c r="AY412" s="1"/>
  <c r="BF412" s="1"/>
  <c r="Q413"/>
  <c r="S413" s="1"/>
  <c r="Q414"/>
  <c r="S414" s="1"/>
  <c r="U414" s="1"/>
  <c r="V414" s="1"/>
  <c r="W414" s="1"/>
  <c r="X414" s="1"/>
  <c r="AY414" s="1"/>
  <c r="BF414" s="1"/>
  <c r="Q415"/>
  <c r="S415" s="1"/>
  <c r="Q416"/>
  <c r="S416" s="1"/>
  <c r="U416" s="1"/>
  <c r="V416" s="1"/>
  <c r="W416" s="1"/>
  <c r="X416" s="1"/>
  <c r="AY416" s="1"/>
  <c r="BF416" s="1"/>
  <c r="Q417"/>
  <c r="S417" s="1"/>
  <c r="Q418"/>
  <c r="S418" s="1"/>
  <c r="U418" s="1"/>
  <c r="V418" s="1"/>
  <c r="W418" s="1"/>
  <c r="X418" s="1"/>
  <c r="AY418" s="1"/>
  <c r="BF418" s="1"/>
  <c r="Q419"/>
  <c r="S419" s="1"/>
  <c r="Q420"/>
  <c r="S420" s="1"/>
  <c r="U420" s="1"/>
  <c r="V420" s="1"/>
  <c r="W420" s="1"/>
  <c r="X420" s="1"/>
  <c r="AY420" s="1"/>
  <c r="BF420" s="1"/>
  <c r="Q421"/>
  <c r="S421" s="1"/>
  <c r="Q422"/>
  <c r="S422" s="1"/>
  <c r="U422" s="1"/>
  <c r="V422" s="1"/>
  <c r="W422" s="1"/>
  <c r="X422" s="1"/>
  <c r="AY422" s="1"/>
  <c r="BF422" s="1"/>
  <c r="Q423"/>
  <c r="S423" s="1"/>
  <c r="Q424"/>
  <c r="S424" s="1"/>
  <c r="U424" s="1"/>
  <c r="V424" s="1"/>
  <c r="W424" s="1"/>
  <c r="X424" s="1"/>
  <c r="AY424" s="1"/>
  <c r="BF424" s="1"/>
  <c r="Q425"/>
  <c r="S425" s="1"/>
  <c r="Q426"/>
  <c r="S426" s="1"/>
  <c r="U426" s="1"/>
  <c r="V426" s="1"/>
  <c r="W426" s="1"/>
  <c r="X426" s="1"/>
  <c r="AY426" s="1"/>
  <c r="BF426" s="1"/>
  <c r="Q427"/>
  <c r="S427" s="1"/>
  <c r="Q428"/>
  <c r="S428" s="1"/>
  <c r="U428" s="1"/>
  <c r="V428" s="1"/>
  <c r="W428" s="1"/>
  <c r="X428" s="1"/>
  <c r="AY428" s="1"/>
  <c r="BF428" s="1"/>
  <c r="Q429"/>
  <c r="S429" s="1"/>
  <c r="Q430"/>
  <c r="S430" s="1"/>
  <c r="U430" s="1"/>
  <c r="V430" s="1"/>
  <c r="W430" s="1"/>
  <c r="X430" s="1"/>
  <c r="AY430" s="1"/>
  <c r="BF430" s="1"/>
  <c r="Q431"/>
  <c r="S431" s="1"/>
  <c r="Q432"/>
  <c r="S432" s="1"/>
  <c r="U432" s="1"/>
  <c r="V432" s="1"/>
  <c r="W432" s="1"/>
  <c r="X432" s="1"/>
  <c r="AY432" s="1"/>
  <c r="BF432" s="1"/>
  <c r="Q433"/>
  <c r="S433" s="1"/>
  <c r="Q434"/>
  <c r="S434" s="1"/>
  <c r="U434" s="1"/>
  <c r="V434" s="1"/>
  <c r="W434" s="1"/>
  <c r="X434" s="1"/>
  <c r="AY434" s="1"/>
  <c r="BF434" s="1"/>
  <c r="Q435"/>
  <c r="S435" s="1"/>
  <c r="Q436"/>
  <c r="S436" s="1"/>
  <c r="U436" s="1"/>
  <c r="V436" s="1"/>
  <c r="W436" s="1"/>
  <c r="X436" s="1"/>
  <c r="AY436" s="1"/>
  <c r="BF436" s="1"/>
  <c r="Q437"/>
  <c r="S437" s="1"/>
  <c r="Q438"/>
  <c r="S438" s="1"/>
  <c r="U438" s="1"/>
  <c r="V438" s="1"/>
  <c r="W438" s="1"/>
  <c r="X438" s="1"/>
  <c r="AY438" s="1"/>
  <c r="BF438" s="1"/>
  <c r="Q439"/>
  <c r="S439" s="1"/>
  <c r="Q440"/>
  <c r="S440" s="1"/>
  <c r="U440" s="1"/>
  <c r="V440" s="1"/>
  <c r="W440" s="1"/>
  <c r="X440" s="1"/>
  <c r="AY440" s="1"/>
  <c r="BF440" s="1"/>
  <c r="Q441"/>
  <c r="S441" s="1"/>
  <c r="Q442"/>
  <c r="S442" s="1"/>
  <c r="U442" s="1"/>
  <c r="V442" s="1"/>
  <c r="W442" s="1"/>
  <c r="X442" s="1"/>
  <c r="AY442" s="1"/>
  <c r="BF442" s="1"/>
  <c r="Q443"/>
  <c r="S443" s="1"/>
  <c r="Q444"/>
  <c r="S444" s="1"/>
  <c r="U444" s="1"/>
  <c r="V444" s="1"/>
  <c r="W444" s="1"/>
  <c r="X444" s="1"/>
  <c r="AY444" s="1"/>
  <c r="BF444" s="1"/>
  <c r="Q445"/>
  <c r="S445" s="1"/>
  <c r="Q446"/>
  <c r="S446" s="1"/>
  <c r="U446" s="1"/>
  <c r="V446" s="1"/>
  <c r="W446" s="1"/>
  <c r="X446" s="1"/>
  <c r="AY446" s="1"/>
  <c r="BF446" s="1"/>
  <c r="Q447"/>
  <c r="S447" s="1"/>
  <c r="Q448"/>
  <c r="S448" s="1"/>
  <c r="U448" s="1"/>
  <c r="V448" s="1"/>
  <c r="W448" s="1"/>
  <c r="X448" s="1"/>
  <c r="AY448" s="1"/>
  <c r="BF448" s="1"/>
  <c r="Q449"/>
  <c r="S449" s="1"/>
  <c r="Q450"/>
  <c r="S450" s="1"/>
  <c r="U450" s="1"/>
  <c r="V450" s="1"/>
  <c r="W450" s="1"/>
  <c r="X450" s="1"/>
  <c r="AY450" s="1"/>
  <c r="BF450" s="1"/>
  <c r="Q451"/>
  <c r="S451" s="1"/>
  <c r="Q452"/>
  <c r="S452" s="1"/>
  <c r="U452" s="1"/>
  <c r="V452" s="1"/>
  <c r="W452" s="1"/>
  <c r="X452" s="1"/>
  <c r="AY452" s="1"/>
  <c r="BF452" s="1"/>
  <c r="Q453"/>
  <c r="S453" s="1"/>
  <c r="Q454"/>
  <c r="S454" s="1"/>
  <c r="U454" s="1"/>
  <c r="V454" s="1"/>
  <c r="W454" s="1"/>
  <c r="X454" s="1"/>
  <c r="AY454" s="1"/>
  <c r="BF454" s="1"/>
  <c r="Q455"/>
  <c r="S455" s="1"/>
  <c r="Q456"/>
  <c r="S456" s="1"/>
  <c r="U456" s="1"/>
  <c r="V456" s="1"/>
  <c r="W456" s="1"/>
  <c r="X456" s="1"/>
  <c r="AY456" s="1"/>
  <c r="BF456" s="1"/>
  <c r="Q457"/>
  <c r="S457" s="1"/>
  <c r="Q458"/>
  <c r="S458" s="1"/>
  <c r="U458" s="1"/>
  <c r="V458" s="1"/>
  <c r="W458" s="1"/>
  <c r="X458" s="1"/>
  <c r="AY458" s="1"/>
  <c r="BF458" s="1"/>
  <c r="Q459"/>
  <c r="S459" s="1"/>
  <c r="Q460"/>
  <c r="S460" s="1"/>
  <c r="U460" s="1"/>
  <c r="V460" s="1"/>
  <c r="W460" s="1"/>
  <c r="X460" s="1"/>
  <c r="AY460" s="1"/>
  <c r="BF460" s="1"/>
  <c r="Q461"/>
  <c r="S461" s="1"/>
  <c r="Q462"/>
  <c r="S462" s="1"/>
  <c r="U462" s="1"/>
  <c r="V462" s="1"/>
  <c r="W462" s="1"/>
  <c r="X462" s="1"/>
  <c r="AY462" s="1"/>
  <c r="BF462" s="1"/>
  <c r="Q463"/>
  <c r="S463" s="1"/>
  <c r="Q464"/>
  <c r="S464" s="1"/>
  <c r="U464" s="1"/>
  <c r="V464" s="1"/>
  <c r="W464" s="1"/>
  <c r="X464" s="1"/>
  <c r="AY464" s="1"/>
  <c r="BF464" s="1"/>
  <c r="Q465"/>
  <c r="S465" s="1"/>
  <c r="Q466"/>
  <c r="S466" s="1"/>
  <c r="U466" s="1"/>
  <c r="V466" s="1"/>
  <c r="W466" s="1"/>
  <c r="X466" s="1"/>
  <c r="AY466" s="1"/>
  <c r="BF466" s="1"/>
  <c r="Q467"/>
  <c r="S467" s="1"/>
  <c r="Q468"/>
  <c r="S468" s="1"/>
  <c r="U468" s="1"/>
  <c r="V468" s="1"/>
  <c r="W468" s="1"/>
  <c r="X468" s="1"/>
  <c r="AY468" s="1"/>
  <c r="BF468" s="1"/>
  <c r="Q469"/>
  <c r="S469" s="1"/>
  <c r="Q470"/>
  <c r="S470" s="1"/>
  <c r="U470" s="1"/>
  <c r="V470" s="1"/>
  <c r="W470" s="1"/>
  <c r="X470" s="1"/>
  <c r="AY470" s="1"/>
  <c r="BF470" s="1"/>
  <c r="Q471"/>
  <c r="S471" s="1"/>
  <c r="Q472"/>
  <c r="S472" s="1"/>
  <c r="U472" s="1"/>
  <c r="V472" s="1"/>
  <c r="W472" s="1"/>
  <c r="X472" s="1"/>
  <c r="AY472" s="1"/>
  <c r="BF472" s="1"/>
  <c r="Q473"/>
  <c r="S473" s="1"/>
  <c r="Q474"/>
  <c r="S474" s="1"/>
  <c r="U474" s="1"/>
  <c r="V474" s="1"/>
  <c r="W474" s="1"/>
  <c r="X474" s="1"/>
  <c r="AY474" s="1"/>
  <c r="BF474" s="1"/>
  <c r="Q475"/>
  <c r="S475" s="1"/>
  <c r="Q476"/>
  <c r="S476" s="1"/>
  <c r="U476" s="1"/>
  <c r="V476" s="1"/>
  <c r="W476" s="1"/>
  <c r="X476" s="1"/>
  <c r="AY476" s="1"/>
  <c r="BF476" s="1"/>
  <c r="Q477"/>
  <c r="S477" s="1"/>
  <c r="Q478"/>
  <c r="S478" s="1"/>
  <c r="U478" s="1"/>
  <c r="V478" s="1"/>
  <c r="W478" s="1"/>
  <c r="X478" s="1"/>
  <c r="AY478" s="1"/>
  <c r="BF478" s="1"/>
  <c r="Q479"/>
  <c r="S479" s="1"/>
  <c r="Q480"/>
  <c r="S480" s="1"/>
  <c r="U480" s="1"/>
  <c r="V480" s="1"/>
  <c r="W480" s="1"/>
  <c r="X480" s="1"/>
  <c r="AY480" s="1"/>
  <c r="BF480" s="1"/>
  <c r="Q481"/>
  <c r="S481" s="1"/>
  <c r="Q482"/>
  <c r="S482" s="1"/>
  <c r="U482" s="1"/>
  <c r="V482" s="1"/>
  <c r="W482" s="1"/>
  <c r="X482" s="1"/>
  <c r="AY482" s="1"/>
  <c r="BF482" s="1"/>
  <c r="Q483"/>
  <c r="S483" s="1"/>
  <c r="Q484"/>
  <c r="S484" s="1"/>
  <c r="U484" s="1"/>
  <c r="V484" s="1"/>
  <c r="W484" s="1"/>
  <c r="X484" s="1"/>
  <c r="AY484" s="1"/>
  <c r="BF484" s="1"/>
  <c r="Q485"/>
  <c r="S485" s="1"/>
  <c r="Q486"/>
  <c r="S486" s="1"/>
  <c r="U486" s="1"/>
  <c r="V486" s="1"/>
  <c r="W486" s="1"/>
  <c r="X486" s="1"/>
  <c r="AY486" s="1"/>
  <c r="BF486" s="1"/>
  <c r="Q487"/>
  <c r="S487" s="1"/>
  <c r="Q488"/>
  <c r="S488" s="1"/>
  <c r="U488" s="1"/>
  <c r="V488" s="1"/>
  <c r="W488" s="1"/>
  <c r="X488" s="1"/>
  <c r="AY488" s="1"/>
  <c r="BF488" s="1"/>
  <c r="Q489"/>
  <c r="S489" s="1"/>
  <c r="Q490"/>
  <c r="S490" s="1"/>
  <c r="U490" s="1"/>
  <c r="V490" s="1"/>
  <c r="W490" s="1"/>
  <c r="X490" s="1"/>
  <c r="AY490" s="1"/>
  <c r="BF490" s="1"/>
  <c r="Q491"/>
  <c r="S491" s="1"/>
  <c r="Q492"/>
  <c r="S492" s="1"/>
  <c r="U492" s="1"/>
  <c r="V492" s="1"/>
  <c r="W492" s="1"/>
  <c r="X492" s="1"/>
  <c r="AY492" s="1"/>
  <c r="BF492" s="1"/>
  <c r="Q493"/>
  <c r="S493" s="1"/>
  <c r="Q494"/>
  <c r="S494" s="1"/>
  <c r="U494" s="1"/>
  <c r="V494" s="1"/>
  <c r="W494" s="1"/>
  <c r="X494" s="1"/>
  <c r="AY494" s="1"/>
  <c r="BF494" s="1"/>
  <c r="Q495"/>
  <c r="S495" s="1"/>
  <c r="Q496"/>
  <c r="S496" s="1"/>
  <c r="U496" s="1"/>
  <c r="V496" s="1"/>
  <c r="W496" s="1"/>
  <c r="X496" s="1"/>
  <c r="AY496" s="1"/>
  <c r="BF496" s="1"/>
  <c r="Q497"/>
  <c r="S497" s="1"/>
  <c r="Q498"/>
  <c r="S498" s="1"/>
  <c r="U498" s="1"/>
  <c r="V498" s="1"/>
  <c r="W498" s="1"/>
  <c r="X498" s="1"/>
  <c r="AY498" s="1"/>
  <c r="BF498" s="1"/>
  <c r="Q499"/>
  <c r="S499" s="1"/>
  <c r="Q500"/>
  <c r="S500" s="1"/>
  <c r="U500" s="1"/>
  <c r="V500" s="1"/>
  <c r="W500" s="1"/>
  <c r="X500" s="1"/>
  <c r="AY500" s="1"/>
  <c r="BF500" s="1"/>
  <c r="Q501"/>
  <c r="S501" s="1"/>
  <c r="Q502"/>
  <c r="S502" s="1"/>
  <c r="U502" s="1"/>
  <c r="V502" s="1"/>
  <c r="W502" s="1"/>
  <c r="X502" s="1"/>
  <c r="AY502" s="1"/>
  <c r="BF502" s="1"/>
  <c r="Q503"/>
  <c r="S503" s="1"/>
  <c r="Q504"/>
  <c r="S504" s="1"/>
  <c r="U504" s="1"/>
  <c r="V504" s="1"/>
  <c r="W504" s="1"/>
  <c r="X504" s="1"/>
  <c r="AY504" s="1"/>
  <c r="BF504" s="1"/>
  <c r="Q505"/>
  <c r="S505" s="1"/>
  <c r="Q506"/>
  <c r="S506" s="1"/>
  <c r="U506" s="1"/>
  <c r="V506" s="1"/>
  <c r="W506" s="1"/>
  <c r="X506" s="1"/>
  <c r="AY506" s="1"/>
  <c r="BF506" s="1"/>
  <c r="Q507"/>
  <c r="S507" s="1"/>
  <c r="Q508"/>
  <c r="S508" s="1"/>
  <c r="U508" s="1"/>
  <c r="V508" s="1"/>
  <c r="W508" s="1"/>
  <c r="X508" s="1"/>
  <c r="AY508" s="1"/>
  <c r="BF508" s="1"/>
  <c r="Q509"/>
  <c r="S509" s="1"/>
  <c r="Q510"/>
  <c r="S510" s="1"/>
  <c r="U510" s="1"/>
  <c r="V510" s="1"/>
  <c r="W510" s="1"/>
  <c r="X510" s="1"/>
  <c r="AY510" s="1"/>
  <c r="BF510" s="1"/>
  <c r="Q511"/>
  <c r="S511" s="1"/>
  <c r="Q512"/>
  <c r="S512" s="1"/>
  <c r="U512" s="1"/>
  <c r="V512" s="1"/>
  <c r="W512" s="1"/>
  <c r="X512" s="1"/>
  <c r="AY512" s="1"/>
  <c r="BF512" s="1"/>
  <c r="Q513"/>
  <c r="S513" s="1"/>
  <c r="Q514"/>
  <c r="S514" s="1"/>
  <c r="U514" s="1"/>
  <c r="V514" s="1"/>
  <c r="W514" s="1"/>
  <c r="X514" s="1"/>
  <c r="AY514" s="1"/>
  <c r="BF514" s="1"/>
  <c r="Q515"/>
  <c r="S515" s="1"/>
  <c r="Q516"/>
  <c r="S516" s="1"/>
  <c r="U516" s="1"/>
  <c r="V516" s="1"/>
  <c r="W516" s="1"/>
  <c r="X516" s="1"/>
  <c r="AY516" s="1"/>
  <c r="BF516" s="1"/>
  <c r="Q517"/>
  <c r="S517" s="1"/>
  <c r="Q518"/>
  <c r="S518" s="1"/>
  <c r="U518" s="1"/>
  <c r="V518" s="1"/>
  <c r="W518" s="1"/>
  <c r="X518" s="1"/>
  <c r="AY518" s="1"/>
  <c r="BF518" s="1"/>
  <c r="Q519"/>
  <c r="S519" s="1"/>
  <c r="Q520"/>
  <c r="S520" s="1"/>
  <c r="U520" s="1"/>
  <c r="V520" s="1"/>
  <c r="W520" s="1"/>
  <c r="X520" s="1"/>
  <c r="AY520" s="1"/>
  <c r="BF520" s="1"/>
  <c r="Q521"/>
  <c r="S521" s="1"/>
  <c r="Q522"/>
  <c r="S522" s="1"/>
  <c r="U522" s="1"/>
  <c r="V522" s="1"/>
  <c r="W522" s="1"/>
  <c r="X522" s="1"/>
  <c r="AY522" s="1"/>
  <c r="BF522" s="1"/>
  <c r="Q523"/>
  <c r="S523" s="1"/>
  <c r="Q524"/>
  <c r="S524" s="1"/>
  <c r="U524" s="1"/>
  <c r="V524" s="1"/>
  <c r="W524" s="1"/>
  <c r="X524" s="1"/>
  <c r="AY524" s="1"/>
  <c r="BF524" s="1"/>
  <c r="Q525"/>
  <c r="S525" s="1"/>
  <c r="Q526"/>
  <c r="S526" s="1"/>
  <c r="U526" s="1"/>
  <c r="V526" s="1"/>
  <c r="W526" s="1"/>
  <c r="X526" s="1"/>
  <c r="AY526" s="1"/>
  <c r="BF526" s="1"/>
  <c r="Q527"/>
  <c r="S527" s="1"/>
  <c r="Q528"/>
  <c r="S528" s="1"/>
  <c r="U528" s="1"/>
  <c r="V528" s="1"/>
  <c r="W528" s="1"/>
  <c r="X528" s="1"/>
  <c r="AY528" s="1"/>
  <c r="BF528" s="1"/>
  <c r="Q529"/>
  <c r="S529" s="1"/>
  <c r="Q530"/>
  <c r="S530" s="1"/>
  <c r="U530" s="1"/>
  <c r="V530" s="1"/>
  <c r="W530" s="1"/>
  <c r="X530" s="1"/>
  <c r="AY530" s="1"/>
  <c r="BF530" s="1"/>
  <c r="Q531"/>
  <c r="S531" s="1"/>
  <c r="Q532"/>
  <c r="S532" s="1"/>
  <c r="U532" s="1"/>
  <c r="V532" s="1"/>
  <c r="W532" s="1"/>
  <c r="X532" s="1"/>
  <c r="AY532" s="1"/>
  <c r="BF532" s="1"/>
  <c r="Q533"/>
  <c r="S533" s="1"/>
  <c r="Q534"/>
  <c r="S534" s="1"/>
  <c r="U534" s="1"/>
  <c r="V534" s="1"/>
  <c r="W534" s="1"/>
  <c r="X534" s="1"/>
  <c r="AY534" s="1"/>
  <c r="BF534" s="1"/>
  <c r="Q535"/>
  <c r="S535" s="1"/>
  <c r="Q536"/>
  <c r="S536" s="1"/>
  <c r="U536" s="1"/>
  <c r="V536" s="1"/>
  <c r="W536" s="1"/>
  <c r="X536" s="1"/>
  <c r="AY536" s="1"/>
  <c r="BF536" s="1"/>
  <c r="Q537"/>
  <c r="S537" s="1"/>
  <c r="Q538"/>
  <c r="S538" s="1"/>
  <c r="U538" s="1"/>
  <c r="V538" s="1"/>
  <c r="W538" s="1"/>
  <c r="X538" s="1"/>
  <c r="AY538" s="1"/>
  <c r="BF538" s="1"/>
  <c r="Q539"/>
  <c r="S539" s="1"/>
  <c r="Q540"/>
  <c r="S540" s="1"/>
  <c r="U540" s="1"/>
  <c r="V540" s="1"/>
  <c r="W540" s="1"/>
  <c r="X540" s="1"/>
  <c r="AY540" s="1"/>
  <c r="BF540" s="1"/>
  <c r="Q541"/>
  <c r="S541" s="1"/>
  <c r="Q542"/>
  <c r="S542" s="1"/>
  <c r="U542" s="1"/>
  <c r="V542" s="1"/>
  <c r="W542" s="1"/>
  <c r="X542" s="1"/>
  <c r="AY542" s="1"/>
  <c r="BF542" s="1"/>
  <c r="Q543"/>
  <c r="S543" s="1"/>
  <c r="Q544"/>
  <c r="S544" s="1"/>
  <c r="U544" s="1"/>
  <c r="V544" s="1"/>
  <c r="W544" s="1"/>
  <c r="X544" s="1"/>
  <c r="AY544" s="1"/>
  <c r="BF544" s="1"/>
  <c r="Q545"/>
  <c r="S545" s="1"/>
  <c r="Q546"/>
  <c r="S546" s="1"/>
  <c r="U546" s="1"/>
  <c r="V546" s="1"/>
  <c r="W546" s="1"/>
  <c r="X546" s="1"/>
  <c r="AY546" s="1"/>
  <c r="BF546" s="1"/>
  <c r="Q547"/>
  <c r="S547" s="1"/>
  <c r="Q548"/>
  <c r="S548" s="1"/>
  <c r="U548" s="1"/>
  <c r="V548" s="1"/>
  <c r="W548" s="1"/>
  <c r="X548" s="1"/>
  <c r="AY548" s="1"/>
  <c r="BF548" s="1"/>
  <c r="Q549"/>
  <c r="S549" s="1"/>
  <c r="Q550"/>
  <c r="S550" s="1"/>
  <c r="U550" s="1"/>
  <c r="V550" s="1"/>
  <c r="W550" s="1"/>
  <c r="X550" s="1"/>
  <c r="AY550" s="1"/>
  <c r="BF550" s="1"/>
  <c r="Q551"/>
  <c r="S551" s="1"/>
  <c r="Q552"/>
  <c r="S552" s="1"/>
  <c r="U552" s="1"/>
  <c r="V552" s="1"/>
  <c r="W552" s="1"/>
  <c r="X552" s="1"/>
  <c r="AY552" s="1"/>
  <c r="BF552" s="1"/>
  <c r="Q553"/>
  <c r="S553" s="1"/>
  <c r="Q554"/>
  <c r="S554" s="1"/>
  <c r="U554" s="1"/>
  <c r="V554" s="1"/>
  <c r="W554" s="1"/>
  <c r="X554" s="1"/>
  <c r="AY554" s="1"/>
  <c r="BF554" s="1"/>
  <c r="Q555"/>
  <c r="S555" s="1"/>
  <c r="Q556"/>
  <c r="S556" s="1"/>
  <c r="U556" s="1"/>
  <c r="V556" s="1"/>
  <c r="W556" s="1"/>
  <c r="X556" s="1"/>
  <c r="AY556" s="1"/>
  <c r="BF556" s="1"/>
  <c r="Q557"/>
  <c r="S557" s="1"/>
  <c r="Q558"/>
  <c r="S558" s="1"/>
  <c r="U558" s="1"/>
  <c r="V558" s="1"/>
  <c r="W558" s="1"/>
  <c r="X558" s="1"/>
  <c r="AY558" s="1"/>
  <c r="BF558" s="1"/>
  <c r="Q559"/>
  <c r="S559" s="1"/>
  <c r="Q560"/>
  <c r="S560" s="1"/>
  <c r="U560" s="1"/>
  <c r="V560" s="1"/>
  <c r="W560" s="1"/>
  <c r="X560" s="1"/>
  <c r="AY560" s="1"/>
  <c r="BF560" s="1"/>
  <c r="Q561"/>
  <c r="S561" s="1"/>
  <c r="Q562"/>
  <c r="S562" s="1"/>
  <c r="U562" s="1"/>
  <c r="V562" s="1"/>
  <c r="W562" s="1"/>
  <c r="X562" s="1"/>
  <c r="AY562" s="1"/>
  <c r="BF562" s="1"/>
  <c r="Q563"/>
  <c r="S563" s="1"/>
  <c r="Q564"/>
  <c r="S564" s="1"/>
  <c r="U564" s="1"/>
  <c r="V564" s="1"/>
  <c r="W564" s="1"/>
  <c r="X564" s="1"/>
  <c r="AY564" s="1"/>
  <c r="BF564" s="1"/>
  <c r="Q565"/>
  <c r="S565" s="1"/>
  <c r="Q566"/>
  <c r="S566" s="1"/>
  <c r="U566" s="1"/>
  <c r="V566" s="1"/>
  <c r="W566" s="1"/>
  <c r="X566" s="1"/>
  <c r="AY566" s="1"/>
  <c r="BF566" s="1"/>
  <c r="Q567"/>
  <c r="S567" s="1"/>
  <c r="Q568"/>
  <c r="S568" s="1"/>
  <c r="U568" s="1"/>
  <c r="V568" s="1"/>
  <c r="W568" s="1"/>
  <c r="X568" s="1"/>
  <c r="AY568" s="1"/>
  <c r="BF568" s="1"/>
  <c r="Q569"/>
  <c r="S569" s="1"/>
  <c r="Q570"/>
  <c r="S570" s="1"/>
  <c r="U570" s="1"/>
  <c r="V570" s="1"/>
  <c r="W570" s="1"/>
  <c r="X570" s="1"/>
  <c r="AY570" s="1"/>
  <c r="BF570" s="1"/>
  <c r="Q571"/>
  <c r="S571" s="1"/>
  <c r="Q572"/>
  <c r="S572" s="1"/>
  <c r="U572" s="1"/>
  <c r="V572" s="1"/>
  <c r="W572" s="1"/>
  <c r="X572" s="1"/>
  <c r="AY572" s="1"/>
  <c r="BF572" s="1"/>
  <c r="Q573"/>
  <c r="S573" s="1"/>
  <c r="Q574"/>
  <c r="S574" s="1"/>
  <c r="U574" s="1"/>
  <c r="V574" s="1"/>
  <c r="W574" s="1"/>
  <c r="X574" s="1"/>
  <c r="AY574" s="1"/>
  <c r="BF574" s="1"/>
  <c r="Q575"/>
  <c r="S575" s="1"/>
  <c r="Q576"/>
  <c r="S576" s="1"/>
  <c r="U576" s="1"/>
  <c r="V576" s="1"/>
  <c r="W576" s="1"/>
  <c r="X576" s="1"/>
  <c r="AY576" s="1"/>
  <c r="BF576" s="1"/>
  <c r="Q577"/>
  <c r="S577" s="1"/>
  <c r="Q578"/>
  <c r="S578" s="1"/>
  <c r="U578" s="1"/>
  <c r="V578" s="1"/>
  <c r="W578" s="1"/>
  <c r="X578" s="1"/>
  <c r="AY578" s="1"/>
  <c r="BF578" s="1"/>
  <c r="Q579"/>
  <c r="S579" s="1"/>
  <c r="Q580"/>
  <c r="S580" s="1"/>
  <c r="U580" s="1"/>
  <c r="V580" s="1"/>
  <c r="W580" s="1"/>
  <c r="X580" s="1"/>
  <c r="AY580" s="1"/>
  <c r="BF580" s="1"/>
  <c r="Q581"/>
  <c r="S581" s="1"/>
  <c r="Q582"/>
  <c r="S582" s="1"/>
  <c r="U582" s="1"/>
  <c r="V582" s="1"/>
  <c r="W582" s="1"/>
  <c r="X582" s="1"/>
  <c r="AY582" s="1"/>
  <c r="BF582" s="1"/>
  <c r="N6"/>
  <c r="N7"/>
  <c r="C26" i="52" s="1"/>
  <c r="N8" i="38"/>
  <c r="C27" i="52" s="1"/>
  <c r="N9" i="38"/>
  <c r="N10"/>
  <c r="N11"/>
  <c r="N12"/>
  <c r="N13"/>
  <c r="N14"/>
  <c r="N15"/>
  <c r="C34" i="52" s="1"/>
  <c r="N16" i="38"/>
  <c r="N17"/>
  <c r="N18"/>
  <c r="N19"/>
  <c r="N20"/>
  <c r="N21"/>
  <c r="C40" i="52" s="1"/>
  <c r="N22" i="38"/>
  <c r="N23"/>
  <c r="C42" i="52" s="1"/>
  <c r="N24" i="38"/>
  <c r="C43" i="52" s="1"/>
  <c r="N25" i="38"/>
  <c r="N26"/>
  <c r="N27"/>
  <c r="N28"/>
  <c r="N29"/>
  <c r="N30"/>
  <c r="N31"/>
  <c r="N32"/>
  <c r="N33"/>
  <c r="N34"/>
  <c r="N35"/>
  <c r="N36"/>
  <c r="N37"/>
  <c r="N38"/>
  <c r="N39"/>
  <c r="C58" i="52" s="1"/>
  <c r="N40" i="38"/>
  <c r="C59" i="52" s="1"/>
  <c r="N41" i="38"/>
  <c r="N42"/>
  <c r="N43"/>
  <c r="N44"/>
  <c r="N45"/>
  <c r="N46"/>
  <c r="N47"/>
  <c r="C66" i="52" s="1"/>
  <c r="N48" i="38"/>
  <c r="C67" i="52" s="1"/>
  <c r="N49" i="38"/>
  <c r="C68" i="52" s="1"/>
  <c r="N50" i="38"/>
  <c r="N51"/>
  <c r="N52"/>
  <c r="N53"/>
  <c r="N54"/>
  <c r="N55"/>
  <c r="C74" i="52" s="1"/>
  <c r="N56" i="38"/>
  <c r="C75" i="52" s="1"/>
  <c r="N57" i="38"/>
  <c r="N58"/>
  <c r="N59"/>
  <c r="N60"/>
  <c r="N61"/>
  <c r="N62"/>
  <c r="N63"/>
  <c r="C82" i="52" s="1"/>
  <c r="N64" i="38"/>
  <c r="N65"/>
  <c r="N66"/>
  <c r="N67"/>
  <c r="N68"/>
  <c r="N69"/>
  <c r="N70"/>
  <c r="N71"/>
  <c r="C90" i="52" s="1"/>
  <c r="N72" i="38"/>
  <c r="C91" i="52" s="1"/>
  <c r="N73" i="38"/>
  <c r="N74"/>
  <c r="N75"/>
  <c r="N76"/>
  <c r="N77"/>
  <c r="N78"/>
  <c r="N79"/>
  <c r="C98" i="52" s="1"/>
  <c r="N80" i="38"/>
  <c r="C99" i="52" s="1"/>
  <c r="N81" i="38"/>
  <c r="N82"/>
  <c r="N83"/>
  <c r="N84"/>
  <c r="N85"/>
  <c r="C104" i="52" s="1"/>
  <c r="N86" i="38"/>
  <c r="N87"/>
  <c r="C106" i="52" s="1"/>
  <c r="N88" i="38"/>
  <c r="N89"/>
  <c r="N90"/>
  <c r="N91"/>
  <c r="N92"/>
  <c r="N93"/>
  <c r="N94"/>
  <c r="N95"/>
  <c r="C114" i="52" s="1"/>
  <c r="N96" i="38"/>
  <c r="C115" i="52" s="1"/>
  <c r="N97" i="38"/>
  <c r="N98"/>
  <c r="N99"/>
  <c r="N100"/>
  <c r="N101"/>
  <c r="N102"/>
  <c r="N103"/>
  <c r="C122" i="52" s="1"/>
  <c r="N104" i="38"/>
  <c r="C123" i="52" s="1"/>
  <c r="N105" i="38"/>
  <c r="N106"/>
  <c r="N107"/>
  <c r="N108"/>
  <c r="N109"/>
  <c r="N110"/>
  <c r="N111"/>
  <c r="N112"/>
  <c r="N113"/>
  <c r="N114"/>
  <c r="N115"/>
  <c r="N116"/>
  <c r="N117"/>
  <c r="N118"/>
  <c r="N119"/>
  <c r="C138" i="52" s="1"/>
  <c r="N120" i="38"/>
  <c r="N121"/>
  <c r="N122"/>
  <c r="N123"/>
  <c r="N124"/>
  <c r="N125"/>
  <c r="N126"/>
  <c r="N127"/>
  <c r="C146" i="52" s="1"/>
  <c r="N128" i="38"/>
  <c r="C147" i="52" s="1"/>
  <c r="N129" i="38"/>
  <c r="N130"/>
  <c r="N131"/>
  <c r="N132"/>
  <c r="N133"/>
  <c r="N134"/>
  <c r="N135"/>
  <c r="C154" i="52" s="1"/>
  <c r="N136" i="38"/>
  <c r="C155" i="52" s="1"/>
  <c r="N137" i="38"/>
  <c r="N138"/>
  <c r="N139"/>
  <c r="N140"/>
  <c r="N141"/>
  <c r="N142"/>
  <c r="N143"/>
  <c r="C162" i="52" s="1"/>
  <c r="N144" i="38"/>
  <c r="N145"/>
  <c r="N146"/>
  <c r="N147"/>
  <c r="N148"/>
  <c r="N149"/>
  <c r="C168" i="52" s="1"/>
  <c r="N150" i="38"/>
  <c r="N151"/>
  <c r="C170" i="52" s="1"/>
  <c r="N152" i="38"/>
  <c r="C171" i="52" s="1"/>
  <c r="N153" i="38"/>
  <c r="C172" i="52" s="1"/>
  <c r="N154" i="38"/>
  <c r="N155"/>
  <c r="N156"/>
  <c r="N157"/>
  <c r="N158"/>
  <c r="N159"/>
  <c r="C178" i="52" s="1"/>
  <c r="N160" i="38"/>
  <c r="C179" i="52" s="1"/>
  <c r="N161" i="38"/>
  <c r="N162"/>
  <c r="N163"/>
  <c r="N164"/>
  <c r="N165"/>
  <c r="N166"/>
  <c r="N167"/>
  <c r="N168"/>
  <c r="N169"/>
  <c r="N170"/>
  <c r="N171"/>
  <c r="N172"/>
  <c r="N173"/>
  <c r="N174"/>
  <c r="N175"/>
  <c r="C194" i="52" s="1"/>
  <c r="N176" i="38"/>
  <c r="C195" i="52" s="1"/>
  <c r="N177" i="38"/>
  <c r="C196" i="52" s="1"/>
  <c r="N178" i="38"/>
  <c r="N179"/>
  <c r="N180"/>
  <c r="N181"/>
  <c r="N182"/>
  <c r="N183"/>
  <c r="C202" i="52" s="1"/>
  <c r="N184" i="38"/>
  <c r="C203" i="52" s="1"/>
  <c r="N185" i="38"/>
  <c r="N186"/>
  <c r="N187"/>
  <c r="N188"/>
  <c r="N189"/>
  <c r="N190"/>
  <c r="N191"/>
  <c r="N192"/>
  <c r="N193"/>
  <c r="N194"/>
  <c r="N195"/>
  <c r="N196"/>
  <c r="N197"/>
  <c r="N198"/>
  <c r="N199"/>
  <c r="C218" i="52" s="1"/>
  <c r="N200" i="38"/>
  <c r="N201"/>
  <c r="N202"/>
  <c r="N203"/>
  <c r="N204"/>
  <c r="N205"/>
  <c r="N206"/>
  <c r="N207"/>
  <c r="C226" i="52" s="1"/>
  <c r="N208" i="38"/>
  <c r="C227" i="52" s="1"/>
  <c r="N209" i="38"/>
  <c r="N210"/>
  <c r="N211"/>
  <c r="N212"/>
  <c r="N213"/>
  <c r="C232" i="52" s="1"/>
  <c r="N214" i="38"/>
  <c r="N215"/>
  <c r="N216"/>
  <c r="N217"/>
  <c r="N218"/>
  <c r="N219"/>
  <c r="N220"/>
  <c r="N221"/>
  <c r="N222"/>
  <c r="N223"/>
  <c r="N224"/>
  <c r="N225"/>
  <c r="N226"/>
  <c r="N227"/>
  <c r="N228"/>
  <c r="N229"/>
  <c r="N230"/>
  <c r="N231"/>
  <c r="C250" i="52" s="1"/>
  <c r="N232" i="38"/>
  <c r="C251" i="52" s="1"/>
  <c r="N233" i="38"/>
  <c r="N234"/>
  <c r="N235"/>
  <c r="N236"/>
  <c r="N237"/>
  <c r="N238"/>
  <c r="N239"/>
  <c r="C258" i="52" s="1"/>
  <c r="N240" i="38"/>
  <c r="C259" i="52" s="1"/>
  <c r="N241" i="38"/>
  <c r="C260" i="52" s="1"/>
  <c r="N242" i="38"/>
  <c r="N243"/>
  <c r="N244"/>
  <c r="N245"/>
  <c r="N246"/>
  <c r="N247"/>
  <c r="N248"/>
  <c r="N249"/>
  <c r="N250"/>
  <c r="N251"/>
  <c r="N252"/>
  <c r="N253"/>
  <c r="N254"/>
  <c r="N255"/>
  <c r="C274" i="52" s="1"/>
  <c r="N256" i="38"/>
  <c r="C275" i="52" s="1"/>
  <c r="N257" i="38"/>
  <c r="N258"/>
  <c r="N259"/>
  <c r="N260"/>
  <c r="N261"/>
  <c r="N262"/>
  <c r="N263"/>
  <c r="C282" i="52" s="1"/>
  <c r="N264" i="38"/>
  <c r="C283" i="52" s="1"/>
  <c r="N265" i="38"/>
  <c r="N266"/>
  <c r="N267"/>
  <c r="N268"/>
  <c r="N269"/>
  <c r="N270"/>
  <c r="N271"/>
  <c r="N272"/>
  <c r="N273"/>
  <c r="N274"/>
  <c r="N275"/>
  <c r="N276"/>
  <c r="N277"/>
  <c r="C296" i="52" s="1"/>
  <c r="N278" i="38"/>
  <c r="N279"/>
  <c r="C298" i="52" s="1"/>
  <c r="N280" i="38"/>
  <c r="C299" i="52" s="1"/>
  <c r="N281" i="38"/>
  <c r="N282"/>
  <c r="N283"/>
  <c r="N284"/>
  <c r="N285"/>
  <c r="N286"/>
  <c r="N287"/>
  <c r="C306" i="52" s="1"/>
  <c r="N288" i="38"/>
  <c r="C307" i="52" s="1"/>
  <c r="N289" i="38"/>
  <c r="N290"/>
  <c r="N291"/>
  <c r="N292"/>
  <c r="N293"/>
  <c r="N294"/>
  <c r="N295"/>
  <c r="C314" i="52" s="1"/>
  <c r="N296" i="38"/>
  <c r="N297"/>
  <c r="N298"/>
  <c r="N299"/>
  <c r="N300"/>
  <c r="N301"/>
  <c r="N302"/>
  <c r="N303"/>
  <c r="C322" i="52" s="1"/>
  <c r="N304" i="38"/>
  <c r="C323" i="52" s="1"/>
  <c r="N305" i="38"/>
  <c r="N306"/>
  <c r="N307"/>
  <c r="N308"/>
  <c r="N309"/>
  <c r="N310"/>
  <c r="N311"/>
  <c r="N312"/>
  <c r="N313"/>
  <c r="N314"/>
  <c r="N315"/>
  <c r="N316"/>
  <c r="N317"/>
  <c r="N318"/>
  <c r="N319"/>
  <c r="C338" i="52" s="1"/>
  <c r="N320" i="38"/>
  <c r="C339" i="52" s="1"/>
  <c r="N321" i="38"/>
  <c r="N322"/>
  <c r="N323"/>
  <c r="N324"/>
  <c r="N325"/>
  <c r="N326"/>
  <c r="N327"/>
  <c r="C346" i="52" s="1"/>
  <c r="N328" i="38"/>
  <c r="C347" i="52" s="1"/>
  <c r="N329" i="38"/>
  <c r="N330"/>
  <c r="N331"/>
  <c r="N332"/>
  <c r="N333"/>
  <c r="N334"/>
  <c r="N335"/>
  <c r="N336"/>
  <c r="N337"/>
  <c r="N338"/>
  <c r="N339"/>
  <c r="N340"/>
  <c r="N341"/>
  <c r="C360" i="52" s="1"/>
  <c r="N342" i="38"/>
  <c r="N343"/>
  <c r="C362" i="52" s="1"/>
  <c r="N344" i="38"/>
  <c r="C363" i="52" s="1"/>
  <c r="N345" i="38"/>
  <c r="N346"/>
  <c r="N347"/>
  <c r="N348"/>
  <c r="N349"/>
  <c r="N350"/>
  <c r="N351"/>
  <c r="C370" i="52" s="1"/>
  <c r="N352" i="38"/>
  <c r="C371" i="52" s="1"/>
  <c r="N353" i="38"/>
  <c r="N354"/>
  <c r="N355"/>
  <c r="N356"/>
  <c r="N357"/>
  <c r="N358"/>
  <c r="N359"/>
  <c r="C378" i="52" s="1"/>
  <c r="N360" i="38"/>
  <c r="N361"/>
  <c r="N362"/>
  <c r="N363"/>
  <c r="N364"/>
  <c r="N365"/>
  <c r="N366"/>
  <c r="N367"/>
  <c r="C386" i="52" s="1"/>
  <c r="N368" i="38"/>
  <c r="C387" i="52" s="1"/>
  <c r="N369" i="38"/>
  <c r="N370"/>
  <c r="C392" i="52"/>
  <c r="C424"/>
  <c r="C453"/>
  <c r="C461"/>
  <c r="C485"/>
  <c r="C491"/>
  <c r="C493"/>
  <c r="C525"/>
  <c r="C541"/>
  <c r="C557"/>
  <c r="C568"/>
  <c r="C589"/>
  <c r="N5" i="38"/>
  <c r="M360"/>
  <c r="S360" s="1"/>
  <c r="A5" i="29"/>
  <c r="A6" s="1"/>
  <c r="A7" s="1"/>
  <c r="A8" s="1"/>
  <c r="A9" s="1"/>
  <c r="A10" s="1"/>
  <c r="A11" s="1"/>
  <c r="A12" s="1"/>
  <c r="A13" s="1"/>
  <c r="A14" s="1"/>
  <c r="A15" s="1"/>
  <c r="R3" i="1"/>
  <c r="R4"/>
  <c r="R5"/>
  <c r="R6"/>
  <c r="E126" i="26"/>
  <c r="I142" i="1" s="1"/>
  <c r="E125" i="26"/>
  <c r="I141" i="1" s="1"/>
  <c r="E124" i="26"/>
  <c r="I140" i="1" s="1"/>
  <c r="E123" i="26"/>
  <c r="I139" i="1" s="1"/>
  <c r="E122" i="26"/>
  <c r="I138" i="1" s="1"/>
  <c r="AV138" s="1"/>
  <c r="AX138"/>
  <c r="B5" i="5"/>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C165"/>
  <c r="AJ14" i="8"/>
  <c r="AK14"/>
  <c r="C12"/>
  <c r="C13"/>
  <c r="AS4"/>
  <c r="AJ15"/>
  <c r="AK15"/>
  <c r="D9" i="4"/>
  <c r="E9"/>
  <c r="D8"/>
  <c r="E8"/>
  <c r="G8" s="1"/>
  <c r="D10"/>
  <c r="E10"/>
  <c r="D7"/>
  <c r="E7" s="1"/>
  <c r="D6"/>
  <c r="E6"/>
  <c r="G6" s="1"/>
  <c r="E5"/>
  <c r="E4"/>
  <c r="D11"/>
  <c r="E11" s="1"/>
  <c r="D12"/>
  <c r="E12"/>
  <c r="D13"/>
  <c r="E13" s="1"/>
  <c r="G13" s="1"/>
  <c r="G12"/>
  <c r="D14"/>
  <c r="E14"/>
  <c r="D15"/>
  <c r="E15" s="1"/>
  <c r="G15" s="1"/>
  <c r="D16"/>
  <c r="E16"/>
  <c r="D17"/>
  <c r="E17" s="1"/>
  <c r="G17" s="1"/>
  <c r="G16"/>
  <c r="D18"/>
  <c r="E18"/>
  <c r="D19"/>
  <c r="E19" s="1"/>
  <c r="AJ12" i="8"/>
  <c r="AK12"/>
  <c r="AN12"/>
  <c r="AP12" s="1"/>
  <c r="AO12"/>
  <c r="AJ11"/>
  <c r="AK11" s="1"/>
  <c r="AN11"/>
  <c r="AO11" s="1"/>
  <c r="AP11"/>
  <c r="AJ22"/>
  <c r="AK22"/>
  <c r="AJ21"/>
  <c r="AK21"/>
  <c r="AJ20"/>
  <c r="AK20" s="1"/>
  <c r="AJ19"/>
  <c r="AK19" s="1"/>
  <c r="AJ18"/>
  <c r="AK18"/>
  <c r="AJ17"/>
  <c r="AK17" s="1"/>
  <c r="AJ16"/>
  <c r="AK16"/>
  <c r="AJ13"/>
  <c r="AK13"/>
  <c r="E121" i="26"/>
  <c r="I137" i="1" s="1"/>
  <c r="AX137"/>
  <c r="C164" i="5"/>
  <c r="E120" i="26"/>
  <c r="I136" i="1" s="1"/>
  <c r="AV136" s="1"/>
  <c r="AX136"/>
  <c r="C163" i="5"/>
  <c r="E119" i="26"/>
  <c r="I135" i="1" s="1"/>
  <c r="AX135"/>
  <c r="C162" i="5"/>
  <c r="E118" i="26"/>
  <c r="I134" i="1" s="1"/>
  <c r="AX134"/>
  <c r="C161" i="5"/>
  <c r="E117" i="26"/>
  <c r="I133" i="1" s="1"/>
  <c r="AX133"/>
  <c r="C160" i="5"/>
  <c r="E116" i="26"/>
  <c r="I132" i="1" s="1"/>
  <c r="AV132" s="1"/>
  <c r="AX132"/>
  <c r="C159" i="5"/>
  <c r="E115" i="26"/>
  <c r="I131" i="1" s="1"/>
  <c r="AV131" s="1"/>
  <c r="AX131"/>
  <c r="C158" i="5"/>
  <c r="E114" i="26"/>
  <c r="I130" i="1" s="1"/>
  <c r="AV130" s="1"/>
  <c r="AX130"/>
  <c r="C157" i="5"/>
  <c r="E113" i="26"/>
  <c r="I129" i="1" s="1"/>
  <c r="AV129" s="1"/>
  <c r="AX129"/>
  <c r="C156" i="5"/>
  <c r="E112" i="26"/>
  <c r="I128" i="1" s="1"/>
  <c r="AV128" s="1"/>
  <c r="AX128"/>
  <c r="C155" i="5"/>
  <c r="E111" i="26"/>
  <c r="I127" i="1" s="1"/>
  <c r="AV127" s="1"/>
  <c r="AX127"/>
  <c r="C154" i="5"/>
  <c r="E110" i="26"/>
  <c r="I126" i="1" s="1"/>
  <c r="AV126" s="1"/>
  <c r="AX126"/>
  <c r="C153" i="5"/>
  <c r="E109" i="26"/>
  <c r="I125" i="1" s="1"/>
  <c r="AX125"/>
  <c r="C152" i="5"/>
  <c r="E108" i="26"/>
  <c r="I124" i="1" s="1"/>
  <c r="AV124" s="1"/>
  <c r="AX124"/>
  <c r="C151" i="5"/>
  <c r="E107" i="26"/>
  <c r="I123" i="1" s="1"/>
  <c r="AV123" s="1"/>
  <c r="AX123"/>
  <c r="C150" i="5"/>
  <c r="E106" i="26"/>
  <c r="I122" i="1" s="1"/>
  <c r="AV122" s="1"/>
  <c r="AX122"/>
  <c r="C149" i="5"/>
  <c r="E105" i="26"/>
  <c r="I121" i="1" s="1"/>
  <c r="AV121" s="1"/>
  <c r="AX121"/>
  <c r="C148" i="5"/>
  <c r="E104" i="26"/>
  <c r="I120" i="1" s="1"/>
  <c r="AV120" s="1"/>
  <c r="AX120"/>
  <c r="C147" i="5"/>
  <c r="E103" i="26"/>
  <c r="I119" i="1" s="1"/>
  <c r="AV119" s="1"/>
  <c r="AX119"/>
  <c r="C146" i="5"/>
  <c r="E102" i="26"/>
  <c r="I118" i="1" s="1"/>
  <c r="AV118" s="1"/>
  <c r="AX118"/>
  <c r="C145" i="5"/>
  <c r="E101" i="26"/>
  <c r="I117" i="1" s="1"/>
  <c r="AX117"/>
  <c r="C144" i="5"/>
  <c r="E100" i="26"/>
  <c r="I116" i="1" s="1"/>
  <c r="AV116" s="1"/>
  <c r="AX116"/>
  <c r="C143" i="5"/>
  <c r="E99" i="26"/>
  <c r="I115" i="1" s="1"/>
  <c r="AV115" s="1"/>
  <c r="AX115"/>
  <c r="C142" i="5"/>
  <c r="E98" i="26"/>
  <c r="I114" i="1" s="1"/>
  <c r="AV114" s="1"/>
  <c r="AX114"/>
  <c r="C141" i="5"/>
  <c r="E97" i="26"/>
  <c r="I113" i="1" s="1"/>
  <c r="AV113" s="1"/>
  <c r="AX113"/>
  <c r="C140" i="5"/>
  <c r="E96" i="26"/>
  <c r="I112" i="1" s="1"/>
  <c r="AV112" s="1"/>
  <c r="AX112"/>
  <c r="C139" i="5"/>
  <c r="E95" i="26"/>
  <c r="I111" i="1" s="1"/>
  <c r="AV111" s="1"/>
  <c r="AX111"/>
  <c r="C138" i="5"/>
  <c r="E94" i="26"/>
  <c r="I110" i="1" s="1"/>
  <c r="AV110" s="1"/>
  <c r="AX110"/>
  <c r="C137" i="5"/>
  <c r="E93" i="26"/>
  <c r="I109" i="1" s="1"/>
  <c r="AX109"/>
  <c r="C136" i="5"/>
  <c r="E92" i="26"/>
  <c r="I108" i="1" s="1"/>
  <c r="AV108" s="1"/>
  <c r="AX108"/>
  <c r="C135" i="5"/>
  <c r="E91" i="26"/>
  <c r="I107" i="1" s="1"/>
  <c r="AV107" s="1"/>
  <c r="AX107"/>
  <c r="C134" i="5"/>
  <c r="E90" i="26"/>
  <c r="I106" i="1" s="1"/>
  <c r="AV106" s="1"/>
  <c r="AX106"/>
  <c r="C133" i="5"/>
  <c r="E89" i="26"/>
  <c r="I105" i="1" s="1"/>
  <c r="AV105" s="1"/>
  <c r="AX105"/>
  <c r="C132" i="5"/>
  <c r="E88" i="26"/>
  <c r="I104" i="1" s="1"/>
  <c r="AV104" s="1"/>
  <c r="AX104"/>
  <c r="C131" i="5"/>
  <c r="E87" i="26"/>
  <c r="I103" i="1" s="1"/>
  <c r="AV103" s="1"/>
  <c r="AX103"/>
  <c r="C130" i="5"/>
  <c r="E86" i="26"/>
  <c r="I102" i="1" s="1"/>
  <c r="AX102"/>
  <c r="C129" i="5"/>
  <c r="E85" i="26"/>
  <c r="I101" i="1" s="1"/>
  <c r="AX101"/>
  <c r="C128" i="5"/>
  <c r="E84" i="26"/>
  <c r="I100" i="1" s="1"/>
  <c r="AX100"/>
  <c r="C127" i="5"/>
  <c r="E83" i="26"/>
  <c r="I99" i="1" s="1"/>
  <c r="AV99" s="1"/>
  <c r="AX99"/>
  <c r="C126" i="5"/>
  <c r="E82" i="26"/>
  <c r="I98" i="1" s="1"/>
  <c r="AV98" s="1"/>
  <c r="AX98"/>
  <c r="C125" i="5"/>
  <c r="E81" i="26"/>
  <c r="I97" i="1" s="1"/>
  <c r="AV97" s="1"/>
  <c r="AX97"/>
  <c r="C124" i="5"/>
  <c r="E80" i="26"/>
  <c r="I96" i="1" s="1"/>
  <c r="AV96" s="1"/>
  <c r="AX96"/>
  <c r="C123" i="5"/>
  <c r="E79" i="26"/>
  <c r="I95" i="1" s="1"/>
  <c r="AV95" s="1"/>
  <c r="AX95"/>
  <c r="C122" i="5"/>
  <c r="E78" i="26"/>
  <c r="I94" i="1" s="1"/>
  <c r="AV94" s="1"/>
  <c r="AX94"/>
  <c r="C121" i="5"/>
  <c r="E77" i="26"/>
  <c r="I93" i="1" s="1"/>
  <c r="AV93" s="1"/>
  <c r="AX93"/>
  <c r="C120" i="5"/>
  <c r="E76" i="26"/>
  <c r="I92" i="1" s="1"/>
  <c r="AV92" s="1"/>
  <c r="AX92"/>
  <c r="C119" i="5"/>
  <c r="E75" i="26"/>
  <c r="I91" i="1" s="1"/>
  <c r="AV91" s="1"/>
  <c r="AX91"/>
  <c r="C118" i="5"/>
  <c r="E74" i="26"/>
  <c r="I90" i="1" s="1"/>
  <c r="AV90" s="1"/>
  <c r="AX90"/>
  <c r="C117" i="5"/>
  <c r="E73" i="26"/>
  <c r="I89" i="1" s="1"/>
  <c r="AV89" s="1"/>
  <c r="AX89"/>
  <c r="C116" i="5"/>
  <c r="E72" i="26"/>
  <c r="I88" i="1" s="1"/>
  <c r="AV88" s="1"/>
  <c r="AX88"/>
  <c r="C115" i="5"/>
  <c r="E71" i="26"/>
  <c r="I87" i="1" s="1"/>
  <c r="AV87" s="1"/>
  <c r="AX87"/>
  <c r="C114" i="5"/>
  <c r="E70" i="26"/>
  <c r="I86" i="1" s="1"/>
  <c r="AV86" s="1"/>
  <c r="AX86"/>
  <c r="C113" i="5"/>
  <c r="E69" i="26"/>
  <c r="I85" i="1" s="1"/>
  <c r="AV85" s="1"/>
  <c r="AX85"/>
  <c r="C112" i="5"/>
  <c r="E68" i="26"/>
  <c r="I84" i="1" s="1"/>
  <c r="AV84" s="1"/>
  <c r="AX84"/>
  <c r="C111" i="5"/>
  <c r="E67" i="26"/>
  <c r="I83" i="1" s="1"/>
  <c r="AV83" s="1"/>
  <c r="AX83"/>
  <c r="C110" i="5"/>
  <c r="E66" i="26"/>
  <c r="I82" i="1" s="1"/>
  <c r="AV82" s="1"/>
  <c r="AX82"/>
  <c r="C109" i="5"/>
  <c r="E65" i="26"/>
  <c r="I81" i="1" s="1"/>
  <c r="AV81" s="1"/>
  <c r="AX81"/>
  <c r="C108" i="5"/>
  <c r="E64" i="26"/>
  <c r="I80" i="1" s="1"/>
  <c r="AV80" s="1"/>
  <c r="AX80"/>
  <c r="C107" i="5"/>
  <c r="E63" i="26"/>
  <c r="I79" i="1" s="1"/>
  <c r="AV79" s="1"/>
  <c r="AX79"/>
  <c r="C106" i="5"/>
  <c r="E62" i="26"/>
  <c r="I78" i="1" s="1"/>
  <c r="AV78" s="1"/>
  <c r="AX78"/>
  <c r="C105" i="5"/>
  <c r="E61" i="26"/>
  <c r="I77" i="1" s="1"/>
  <c r="AV77" s="1"/>
  <c r="AX77"/>
  <c r="C104" i="5"/>
  <c r="E60" i="26"/>
  <c r="I76" i="1" s="1"/>
  <c r="AV76" s="1"/>
  <c r="AX76"/>
  <c r="C103" i="5"/>
  <c r="E59" i="26"/>
  <c r="I75" i="1" s="1"/>
  <c r="AV75" s="1"/>
  <c r="AX75"/>
  <c r="C102" i="5"/>
  <c r="E58" i="26"/>
  <c r="I74" i="1" s="1"/>
  <c r="AV74" s="1"/>
  <c r="AX74"/>
  <c r="C101" i="5"/>
  <c r="E57" i="26"/>
  <c r="I73" i="1" s="1"/>
  <c r="AX73"/>
  <c r="C100" i="5"/>
  <c r="E56" i="26"/>
  <c r="I72" i="1" s="1"/>
  <c r="AX72"/>
  <c r="C99" i="5"/>
  <c r="E55" i="26"/>
  <c r="I71" i="1" s="1"/>
  <c r="AV71" s="1"/>
  <c r="AX71"/>
  <c r="C98" i="5"/>
  <c r="E54" i="26"/>
  <c r="I70" i="1" s="1"/>
  <c r="AX70"/>
  <c r="C97" i="5"/>
  <c r="E53" i="26"/>
  <c r="I69" i="1" s="1"/>
  <c r="AV69" s="1"/>
  <c r="AX69"/>
  <c r="C96" i="5"/>
  <c r="E52" i="26"/>
  <c r="I68" i="1" s="1"/>
  <c r="AV68" s="1"/>
  <c r="AX68"/>
  <c r="C95" i="5"/>
  <c r="E51" i="26"/>
  <c r="I67" i="1" s="1"/>
  <c r="AV67" s="1"/>
  <c r="AX67"/>
  <c r="C94" i="5"/>
  <c r="E50" i="26"/>
  <c r="I66" i="1" s="1"/>
  <c r="AV66" s="1"/>
  <c r="AX66"/>
  <c r="C93" i="5"/>
  <c r="E49" i="26"/>
  <c r="I65" i="1" s="1"/>
  <c r="AV65" s="1"/>
  <c r="AX65"/>
  <c r="C92" i="5"/>
  <c r="E48" i="26"/>
  <c r="I64" i="1" s="1"/>
  <c r="AX64"/>
  <c r="C91" i="5"/>
  <c r="E47" i="26"/>
  <c r="I63" i="1" s="1"/>
  <c r="AX63"/>
  <c r="C90" i="5"/>
  <c r="E46" i="26"/>
  <c r="I62" i="1" s="1"/>
  <c r="AV62" s="1"/>
  <c r="AX62"/>
  <c r="C89" i="5"/>
  <c r="E45" i="26"/>
  <c r="I61" i="1" s="1"/>
  <c r="AX61"/>
  <c r="C88" i="5"/>
  <c r="E44" i="26"/>
  <c r="I60" i="1" s="1"/>
  <c r="AX60"/>
  <c r="C87" i="5"/>
  <c r="E43" i="26"/>
  <c r="I59" i="1" s="1"/>
  <c r="C66" i="53" s="1"/>
  <c r="Y9" i="55" s="1"/>
  <c r="AX59" i="1"/>
  <c r="C86" i="5"/>
  <c r="E42" i="26"/>
  <c r="I58" i="1" s="1"/>
  <c r="AV58" s="1"/>
  <c r="AX58"/>
  <c r="C85" i="5"/>
  <c r="E41" i="26"/>
  <c r="I57" i="1" s="1"/>
  <c r="AX57"/>
  <c r="C84" i="5"/>
  <c r="E40" i="26"/>
  <c r="I56" i="1" s="1"/>
  <c r="AX56"/>
  <c r="C83" i="5"/>
  <c r="E39" i="26"/>
  <c r="I55" i="1" s="1"/>
  <c r="AX55"/>
  <c r="C82" i="5"/>
  <c r="E38" i="26"/>
  <c r="I54" i="1" s="1"/>
  <c r="AV54" s="1"/>
  <c r="AX54"/>
  <c r="C81" i="5"/>
  <c r="E37" i="26"/>
  <c r="I53" i="1" s="1"/>
  <c r="AV53" s="1"/>
  <c r="AX53"/>
  <c r="C80" i="5"/>
  <c r="E36" i="26"/>
  <c r="I52" i="1" s="1"/>
  <c r="AV52" s="1"/>
  <c r="AX52"/>
  <c r="C79" i="5"/>
  <c r="E35" i="26"/>
  <c r="I51" i="1" s="1"/>
  <c r="AV51" s="1"/>
  <c r="AX51"/>
  <c r="C78" i="5"/>
  <c r="E34" i="26"/>
  <c r="I50" i="1" s="1"/>
  <c r="AV50" s="1"/>
  <c r="AX50"/>
  <c r="C77" i="5"/>
  <c r="E33" i="26"/>
  <c r="I49" i="1" s="1"/>
  <c r="AV49" s="1"/>
  <c r="AX49"/>
  <c r="C76" i="5"/>
  <c r="E32" i="26"/>
  <c r="I48" i="1" s="1"/>
  <c r="AV48" s="1"/>
  <c r="AX48"/>
  <c r="C75" i="5"/>
  <c r="E31" i="26"/>
  <c r="I47" i="1" s="1"/>
  <c r="AV47" s="1"/>
  <c r="AX47"/>
  <c r="C74" i="5"/>
  <c r="E30" i="26"/>
  <c r="I46" i="1" s="1"/>
  <c r="AV46" s="1"/>
  <c r="AX46"/>
  <c r="C73" i="5"/>
  <c r="E29" i="26"/>
  <c r="I45" i="1" s="1"/>
  <c r="AV45" s="1"/>
  <c r="AX45"/>
  <c r="C72" i="5"/>
  <c r="E28" i="26"/>
  <c r="I44" i="1" s="1"/>
  <c r="AV44" s="1"/>
  <c r="AX44"/>
  <c r="C71" i="5"/>
  <c r="E27" i="26"/>
  <c r="I43" i="1" s="1"/>
  <c r="AV43" s="1"/>
  <c r="AX43"/>
  <c r="C70" i="5"/>
  <c r="E26" i="26"/>
  <c r="I42" i="1" s="1"/>
  <c r="AV42" s="1"/>
  <c r="AX42"/>
  <c r="C69" i="5"/>
  <c r="E25" i="26"/>
  <c r="I41" i="1" s="1"/>
  <c r="AV41" s="1"/>
  <c r="AX41"/>
  <c r="C68" i="5"/>
  <c r="E24" i="26"/>
  <c r="I40" i="1" s="1"/>
  <c r="AV40" s="1"/>
  <c r="AX40"/>
  <c r="C67" i="5"/>
  <c r="E23" i="26"/>
  <c r="I39" i="1" s="1"/>
  <c r="AV39" s="1"/>
  <c r="AX39"/>
  <c r="C66" i="5"/>
  <c r="E22" i="26"/>
  <c r="I38" i="1" s="1"/>
  <c r="AV38" s="1"/>
  <c r="AX38"/>
  <c r="C65" i="5"/>
  <c r="E21" i="26"/>
  <c r="I37" i="1" s="1"/>
  <c r="AV37" s="1"/>
  <c r="AX37"/>
  <c r="C64" i="5"/>
  <c r="E20" i="26"/>
  <c r="I36" i="1" s="1"/>
  <c r="AX36"/>
  <c r="C63" i="5"/>
  <c r="E19" i="26"/>
  <c r="I35" i="1" s="1"/>
  <c r="AX35"/>
  <c r="C62" i="5"/>
  <c r="E18" i="26"/>
  <c r="I34" i="1" s="1"/>
  <c r="AX34"/>
  <c r="C61" i="5"/>
  <c r="E17" i="26"/>
  <c r="I33" i="1" s="1"/>
  <c r="AX33"/>
  <c r="C60" i="5"/>
  <c r="E16" i="26"/>
  <c r="I32" i="1" s="1"/>
  <c r="AX32"/>
  <c r="C59" i="5"/>
  <c r="E15" i="26"/>
  <c r="I31" i="1" s="1"/>
  <c r="AX31"/>
  <c r="C58" i="5"/>
  <c r="E14" i="26"/>
  <c r="I30" i="1" s="1"/>
  <c r="AX30"/>
  <c r="C57" i="5"/>
  <c r="E13" i="26"/>
  <c r="I29" i="1" s="1"/>
  <c r="AX29"/>
  <c r="C56" i="5"/>
  <c r="E12" i="26"/>
  <c r="I28" i="1" s="1"/>
  <c r="AX28"/>
  <c r="C55" i="5"/>
  <c r="E11" i="26"/>
  <c r="I27" i="1" s="1"/>
  <c r="AX27"/>
  <c r="C50" i="5"/>
  <c r="K50"/>
  <c r="C414"/>
  <c r="E10" i="26"/>
  <c r="I26" i="1" s="1"/>
  <c r="AV26" s="1"/>
  <c r="AX26"/>
  <c r="E9" i="26"/>
  <c r="I25" i="1" s="1"/>
  <c r="AX25"/>
  <c r="E8" i="26"/>
  <c r="I24" i="1" s="1"/>
  <c r="AV24" s="1"/>
  <c r="AX24"/>
  <c r="E7" i="26"/>
  <c r="I23" i="1" s="1"/>
  <c r="AV23" s="1"/>
  <c r="AX23"/>
  <c r="E6" i="26"/>
  <c r="I22" i="1" s="1"/>
  <c r="AV22" s="1"/>
  <c r="AX22"/>
  <c r="AX139"/>
  <c r="AX140"/>
  <c r="AX141"/>
  <c r="AX142"/>
  <c r="E127" i="26"/>
  <c r="I143" i="1" s="1"/>
  <c r="AV143" s="1"/>
  <c r="AX143"/>
  <c r="E128" i="26"/>
  <c r="I144" i="1" s="1"/>
  <c r="AX144"/>
  <c r="E129" i="26"/>
  <c r="I145" i="1" s="1"/>
  <c r="AX145"/>
  <c r="E130" i="26"/>
  <c r="I146" i="1" s="1"/>
  <c r="AV146" s="1"/>
  <c r="AX146"/>
  <c r="E131" i="26"/>
  <c r="I147" i="1" s="1"/>
  <c r="AX147"/>
  <c r="E132" i="26"/>
  <c r="I148" i="1" s="1"/>
  <c r="AV148" s="1"/>
  <c r="AX148"/>
  <c r="BB127"/>
  <c r="BB128"/>
  <c r="BB129"/>
  <c r="BB130"/>
  <c r="BB131"/>
  <c r="BB132"/>
  <c r="BB133"/>
  <c r="BB134"/>
  <c r="BB135"/>
  <c r="BB136"/>
  <c r="BB137"/>
  <c r="BB138"/>
  <c r="BB139"/>
  <c r="BB140"/>
  <c r="BB141"/>
  <c r="BB142"/>
  <c r="BB143"/>
  <c r="BB144"/>
  <c r="BB145"/>
  <c r="BB146"/>
  <c r="BB147"/>
  <c r="BB148"/>
  <c r="BE18"/>
  <c r="E133" i="26"/>
  <c r="I149" i="1" s="1"/>
  <c r="AV149" s="1"/>
  <c r="AX149"/>
  <c r="BB149"/>
  <c r="E134" i="26"/>
  <c r="I150" i="1" s="1"/>
  <c r="AV150" s="1"/>
  <c r="AX150"/>
  <c r="BB150"/>
  <c r="E135" i="26"/>
  <c r="I151" i="1" s="1"/>
  <c r="AX151"/>
  <c r="BB151"/>
  <c r="E136" i="26"/>
  <c r="I152" i="1" s="1"/>
  <c r="AX152"/>
  <c r="BB152"/>
  <c r="E137" i="26"/>
  <c r="I153" i="1" s="1"/>
  <c r="AX153"/>
  <c r="BB153"/>
  <c r="E138" i="26"/>
  <c r="I154" i="1" s="1"/>
  <c r="AX154"/>
  <c r="BB154"/>
  <c r="E139" i="26"/>
  <c r="I155" i="1" s="1"/>
  <c r="AX155"/>
  <c r="BB155"/>
  <c r="E140" i="26"/>
  <c r="I156" i="1" s="1"/>
  <c r="AV156" s="1"/>
  <c r="AX156"/>
  <c r="BB156"/>
  <c r="E141" i="26"/>
  <c r="I157" i="1" s="1"/>
  <c r="AX157"/>
  <c r="BB157"/>
  <c r="E142" i="26"/>
  <c r="I158" i="1" s="1"/>
  <c r="AX158"/>
  <c r="BB158"/>
  <c r="E143" i="26"/>
  <c r="I159" i="1" s="1"/>
  <c r="AX159"/>
  <c r="BB159"/>
  <c r="E144" i="26"/>
  <c r="I160" i="1" s="1"/>
  <c r="C167" i="53" s="1"/>
  <c r="AB20" i="55" s="1"/>
  <c r="AX160" i="1"/>
  <c r="BB160"/>
  <c r="E145" i="26"/>
  <c r="I161" i="1" s="1"/>
  <c r="AV161" s="1"/>
  <c r="AX161"/>
  <c r="BB161"/>
  <c r="E146" i="26"/>
  <c r="I162" i="1" s="1"/>
  <c r="AX162"/>
  <c r="BB162"/>
  <c r="E147" i="26"/>
  <c r="I163" i="1" s="1"/>
  <c r="AX163"/>
  <c r="BB163"/>
  <c r="E148" i="26"/>
  <c r="I164" i="1" s="1"/>
  <c r="AV164" s="1"/>
  <c r="AX164"/>
  <c r="BB164"/>
  <c r="E149" i="26"/>
  <c r="I165" i="1" s="1"/>
  <c r="AX165"/>
  <c r="BB165"/>
  <c r="E150" i="26"/>
  <c r="I166" i="1" s="1"/>
  <c r="AX166"/>
  <c r="BB166"/>
  <c r="E151" i="26"/>
  <c r="I167" i="1" s="1"/>
  <c r="C174" i="53" s="1"/>
  <c r="AB27" i="55" s="1"/>
  <c r="AX167" i="1"/>
  <c r="BB167"/>
  <c r="E152" i="26"/>
  <c r="I168" i="1" s="1"/>
  <c r="AV168" s="1"/>
  <c r="AX168"/>
  <c r="BB168"/>
  <c r="E153" i="26"/>
  <c r="I169" i="1" s="1"/>
  <c r="AV169" s="1"/>
  <c r="AX169"/>
  <c r="BB169"/>
  <c r="E154" i="26"/>
  <c r="I170" i="1" s="1"/>
  <c r="AX170"/>
  <c r="BB170"/>
  <c r="E155" i="26"/>
  <c r="I171" i="1" s="1"/>
  <c r="AX171"/>
  <c r="BB171"/>
  <c r="E156" i="26"/>
  <c r="I172" i="1" s="1"/>
  <c r="AV172" s="1"/>
  <c r="AX172"/>
  <c r="BB172"/>
  <c r="E157" i="26"/>
  <c r="I173" i="1" s="1"/>
  <c r="AX173"/>
  <c r="BB173"/>
  <c r="E158" i="26"/>
  <c r="I174" i="1" s="1"/>
  <c r="AX174"/>
  <c r="BB174"/>
  <c r="E159" i="26"/>
  <c r="I175" i="1" s="1"/>
  <c r="AX175"/>
  <c r="BB175"/>
  <c r="E160" i="26"/>
  <c r="I176" i="1" s="1"/>
  <c r="AV176" s="1"/>
  <c r="AX176"/>
  <c r="BB176"/>
  <c r="E161" i="26"/>
  <c r="I177" i="1" s="1"/>
  <c r="AX177"/>
  <c r="BB177"/>
  <c r="E162" i="26"/>
  <c r="I178" i="1" s="1"/>
  <c r="AV178" s="1"/>
  <c r="AX178"/>
  <c r="BB178"/>
  <c r="E163" i="26"/>
  <c r="I179" i="1" s="1"/>
  <c r="AX179"/>
  <c r="BB179"/>
  <c r="E164" i="26"/>
  <c r="I180" i="1" s="1"/>
  <c r="AX180"/>
  <c r="BB180"/>
  <c r="E165" i="26"/>
  <c r="I181" i="1" s="1"/>
  <c r="AX181"/>
  <c r="BB181"/>
  <c r="E166" i="26"/>
  <c r="I182" i="1" s="1"/>
  <c r="AX182"/>
  <c r="BB182"/>
  <c r="E167" i="26"/>
  <c r="I183" i="1" s="1"/>
  <c r="AX183"/>
  <c r="BB183"/>
  <c r="E168" i="26"/>
  <c r="I184" i="1" s="1"/>
  <c r="AV184" s="1"/>
  <c r="AX184"/>
  <c r="BB184"/>
  <c r="E169" i="26"/>
  <c r="I185" i="1" s="1"/>
  <c r="AV185" s="1"/>
  <c r="AX185"/>
  <c r="BB185"/>
  <c r="E170" i="26"/>
  <c r="I186" i="1" s="1"/>
  <c r="AX186"/>
  <c r="BB186"/>
  <c r="E171" i="26"/>
  <c r="I187" i="1" s="1"/>
  <c r="AX187"/>
  <c r="BB187"/>
  <c r="E172" i="26"/>
  <c r="I188" i="1" s="1"/>
  <c r="C195" i="53" s="1"/>
  <c r="AC17" i="55" s="1"/>
  <c r="AX188" i="1"/>
  <c r="BB188"/>
  <c r="E173" i="26"/>
  <c r="I189" i="1" s="1"/>
  <c r="AV189" s="1"/>
  <c r="AX189"/>
  <c r="BB189"/>
  <c r="E174" i="26"/>
  <c r="I190" i="1" s="1"/>
  <c r="AX190"/>
  <c r="BB190"/>
  <c r="E175" i="26"/>
  <c r="I191" i="1" s="1"/>
  <c r="AX191"/>
  <c r="BB191"/>
  <c r="E176" i="26"/>
  <c r="I192" i="1" s="1"/>
  <c r="AV192" s="1"/>
  <c r="AX192"/>
  <c r="BB192"/>
  <c r="E177" i="26"/>
  <c r="I193" i="1" s="1"/>
  <c r="AV193" s="1"/>
  <c r="AX193"/>
  <c r="BB193"/>
  <c r="E178" i="26"/>
  <c r="I194" i="1" s="1"/>
  <c r="AV194" s="1"/>
  <c r="AX194"/>
  <c r="BB194"/>
  <c r="E179" i="26"/>
  <c r="I195" i="1" s="1"/>
  <c r="AX195"/>
  <c r="BB195"/>
  <c r="E180" i="26"/>
  <c r="I196" i="1" s="1"/>
  <c r="AX196"/>
  <c r="BB196"/>
  <c r="E181" i="26"/>
  <c r="I197" i="1" s="1"/>
  <c r="AX197"/>
  <c r="BB197"/>
  <c r="E182" i="26"/>
  <c r="I198" i="1" s="1"/>
  <c r="C205" i="53" s="1"/>
  <c r="AC27" i="55" s="1"/>
  <c r="AX198" i="1"/>
  <c r="BB198"/>
  <c r="E183" i="26"/>
  <c r="I199" i="1" s="1"/>
  <c r="AX199"/>
  <c r="BB199"/>
  <c r="E184" i="26"/>
  <c r="I200" i="1" s="1"/>
  <c r="AV200" s="1"/>
  <c r="AX200"/>
  <c r="BB200"/>
  <c r="E185" i="26"/>
  <c r="I201" i="1" s="1"/>
  <c r="AX201"/>
  <c r="BB201"/>
  <c r="E186" i="26"/>
  <c r="I202" i="1" s="1"/>
  <c r="AX202"/>
  <c r="BB202"/>
  <c r="E187" i="26"/>
  <c r="I203" i="1" s="1"/>
  <c r="AX203"/>
  <c r="BB203"/>
  <c r="E188" i="26"/>
  <c r="I204" i="1" s="1"/>
  <c r="C211" i="53" s="1"/>
  <c r="AD3" i="55" s="1"/>
  <c r="AX204" i="1"/>
  <c r="BB204"/>
  <c r="E189" i="26"/>
  <c r="I205" i="1" s="1"/>
  <c r="AX205"/>
  <c r="BB205"/>
  <c r="E190" i="26"/>
  <c r="I206" i="1" s="1"/>
  <c r="AX206"/>
  <c r="BB206"/>
  <c r="E191" i="26"/>
  <c r="I207" i="1" s="1"/>
  <c r="AX207"/>
  <c r="BB207"/>
  <c r="E192" i="26"/>
  <c r="I208" i="1" s="1"/>
  <c r="AX208"/>
  <c r="BB208"/>
  <c r="E193" i="26"/>
  <c r="I209" i="1" s="1"/>
  <c r="AX209"/>
  <c r="BB209"/>
  <c r="E194" i="26"/>
  <c r="I210" i="1" s="1"/>
  <c r="AX210"/>
  <c r="BB210"/>
  <c r="E195" i="26"/>
  <c r="I211" i="1" s="1"/>
  <c r="AX211"/>
  <c r="BB211"/>
  <c r="E196" i="26"/>
  <c r="I212" i="1" s="1"/>
  <c r="AX212"/>
  <c r="BB212"/>
  <c r="E197" i="26"/>
  <c r="I213" i="1" s="1"/>
  <c r="C220" i="53" s="1"/>
  <c r="AD12" i="55" s="1"/>
  <c r="AX213" i="1"/>
  <c r="BB213"/>
  <c r="E198" i="26"/>
  <c r="I214" i="1" s="1"/>
  <c r="AX214"/>
  <c r="BB214"/>
  <c r="E199" i="26"/>
  <c r="I215" i="1" s="1"/>
  <c r="AX215"/>
  <c r="BB215"/>
  <c r="E200" i="26"/>
  <c r="I216" i="1" s="1"/>
  <c r="AX216"/>
  <c r="BB216"/>
  <c r="E201" i="26"/>
  <c r="I217" i="1" s="1"/>
  <c r="AX217"/>
  <c r="BB217"/>
  <c r="E202" i="26"/>
  <c r="I218" i="1" s="1"/>
  <c r="AX218"/>
  <c r="BB218"/>
  <c r="E203" i="26"/>
  <c r="I219" i="1" s="1"/>
  <c r="AX219"/>
  <c r="BB219"/>
  <c r="E204" i="26"/>
  <c r="I220" i="1" s="1"/>
  <c r="AX220"/>
  <c r="BB220"/>
  <c r="E205" i="26"/>
  <c r="I221" i="1" s="1"/>
  <c r="AX221"/>
  <c r="BB221"/>
  <c r="E206" i="26"/>
  <c r="I222" i="1" s="1"/>
  <c r="AX222"/>
  <c r="BB222"/>
  <c r="E207" i="26"/>
  <c r="I223" i="1" s="1"/>
  <c r="AX223"/>
  <c r="BB223"/>
  <c r="E208" i="26"/>
  <c r="I224" i="1" s="1"/>
  <c r="AX224"/>
  <c r="BB224"/>
  <c r="E209" i="26"/>
  <c r="I225" i="1" s="1"/>
  <c r="AX225"/>
  <c r="BB225"/>
  <c r="E210" i="26"/>
  <c r="I226" i="1" s="1"/>
  <c r="AX226"/>
  <c r="BB226"/>
  <c r="E211" i="26"/>
  <c r="I227" i="1" s="1"/>
  <c r="AX227"/>
  <c r="BB227"/>
  <c r="E212" i="26"/>
  <c r="I228" i="1" s="1"/>
  <c r="C235" i="53" s="1"/>
  <c r="AD27" i="55" s="1"/>
  <c r="AX228" i="1"/>
  <c r="BB228"/>
  <c r="E213" i="26"/>
  <c r="I229" i="1" s="1"/>
  <c r="AV229" s="1"/>
  <c r="AX229"/>
  <c r="BB229"/>
  <c r="E214" i="26"/>
  <c r="I230" i="1" s="1"/>
  <c r="AX230"/>
  <c r="BB230"/>
  <c r="E215" i="26"/>
  <c r="I231" i="1" s="1"/>
  <c r="AX231"/>
  <c r="BB231"/>
  <c r="E216" i="26"/>
  <c r="I232" i="1" s="1"/>
  <c r="AX232"/>
  <c r="BB232"/>
  <c r="E217" i="26"/>
  <c r="I233" i="1" s="1"/>
  <c r="AX233"/>
  <c r="BB233"/>
  <c r="E218" i="26"/>
  <c r="I234" i="1" s="1"/>
  <c r="AX234"/>
  <c r="BB234"/>
  <c r="E219" i="26"/>
  <c r="I235" i="1" s="1"/>
  <c r="C242" i="53" s="1"/>
  <c r="AE3" i="55" s="1"/>
  <c r="AX235" i="1"/>
  <c r="BB235"/>
  <c r="E220" i="26"/>
  <c r="I236" i="1" s="1"/>
  <c r="AX236"/>
  <c r="BB236"/>
  <c r="E221" i="26"/>
  <c r="I237" i="1" s="1"/>
  <c r="C244" i="53" s="1"/>
  <c r="AE5" i="55" s="1"/>
  <c r="AX237" i="1"/>
  <c r="BB237"/>
  <c r="E222" i="26"/>
  <c r="I238" i="1" s="1"/>
  <c r="AX238"/>
  <c r="BB238"/>
  <c r="E223" i="26"/>
  <c r="I239" i="1" s="1"/>
  <c r="AX239"/>
  <c r="BB239"/>
  <c r="E224" i="26"/>
  <c r="I240" i="1" s="1"/>
  <c r="AX240"/>
  <c r="BB240"/>
  <c r="E225" i="26"/>
  <c r="I241" i="1" s="1"/>
  <c r="AV241" s="1"/>
  <c r="AX241"/>
  <c r="BB241"/>
  <c r="E226" i="26"/>
  <c r="I242" i="1" s="1"/>
  <c r="AX242"/>
  <c r="BB242"/>
  <c r="E227" i="26"/>
  <c r="I243" i="1" s="1"/>
  <c r="AX243"/>
  <c r="BB243"/>
  <c r="E228" i="26"/>
  <c r="I244" i="1" s="1"/>
  <c r="AX244"/>
  <c r="BB244"/>
  <c r="E229" i="26"/>
  <c r="I245" i="1" s="1"/>
  <c r="C252" i="53" s="1"/>
  <c r="AE13" i="55" s="1"/>
  <c r="AX245" i="1"/>
  <c r="BB245"/>
  <c r="E230" i="26"/>
  <c r="I246" i="1" s="1"/>
  <c r="AV246" s="1"/>
  <c r="AX246"/>
  <c r="BB246"/>
  <c r="E231" i="26"/>
  <c r="I247" i="1" s="1"/>
  <c r="AV247" s="1"/>
  <c r="AX247"/>
  <c r="BB247"/>
  <c r="E232" i="26"/>
  <c r="I248" i="1" s="1"/>
  <c r="AV248" s="1"/>
  <c r="AX248"/>
  <c r="BB248"/>
  <c r="E233" i="26"/>
  <c r="I249" i="1" s="1"/>
  <c r="AX249"/>
  <c r="BB249"/>
  <c r="E234" i="26"/>
  <c r="I250" i="1" s="1"/>
  <c r="AV250" s="1"/>
  <c r="AX250"/>
  <c r="BB250"/>
  <c r="E235" i="26"/>
  <c r="I251" i="1" s="1"/>
  <c r="AV251" s="1"/>
  <c r="AX251"/>
  <c r="BB251"/>
  <c r="E236" i="26"/>
  <c r="I252" i="1" s="1"/>
  <c r="AV252" s="1"/>
  <c r="AX252"/>
  <c r="BB252"/>
  <c r="E237" i="26"/>
  <c r="I253" i="1" s="1"/>
  <c r="AX253"/>
  <c r="BB253"/>
  <c r="E238" i="26"/>
  <c r="I254" i="1" s="1"/>
  <c r="AX254"/>
  <c r="BB254"/>
  <c r="E239" i="26"/>
  <c r="I255" i="1" s="1"/>
  <c r="AX255"/>
  <c r="BB255"/>
  <c r="E240" i="26"/>
  <c r="I256" i="1" s="1"/>
  <c r="AX256"/>
  <c r="BB256"/>
  <c r="E241" i="26"/>
  <c r="I257" i="1" s="1"/>
  <c r="AX257"/>
  <c r="BB257"/>
  <c r="E242" i="26"/>
  <c r="I258" i="1" s="1"/>
  <c r="AX258"/>
  <c r="BB258"/>
  <c r="E243" i="26"/>
  <c r="I259" i="1" s="1"/>
  <c r="AX259"/>
  <c r="BB259"/>
  <c r="BB260"/>
  <c r="BB261"/>
  <c r="BB262"/>
  <c r="BB263"/>
  <c r="BB264"/>
  <c r="BB265"/>
  <c r="BB266"/>
  <c r="BB267"/>
  <c r="BB268"/>
  <c r="BB269"/>
  <c r="BB270"/>
  <c r="BB271"/>
  <c r="BB272"/>
  <c r="BB273"/>
  <c r="E244" i="26"/>
  <c r="I260" i="1" s="1"/>
  <c r="AV260" s="1"/>
  <c r="AX260"/>
  <c r="E245" i="26"/>
  <c r="I261" i="1" s="1"/>
  <c r="AX261"/>
  <c r="E246" i="26"/>
  <c r="I262" i="1" s="1"/>
  <c r="AX262"/>
  <c r="E247" i="26"/>
  <c r="I263" i="1" s="1"/>
  <c r="AX263"/>
  <c r="E248" i="26"/>
  <c r="I264" i="1" s="1"/>
  <c r="AV264" s="1"/>
  <c r="AX264"/>
  <c r="E249" i="26"/>
  <c r="I265" i="1" s="1"/>
  <c r="AX265"/>
  <c r="E250" i="26"/>
  <c r="I266" i="1" s="1"/>
  <c r="AV266" s="1"/>
  <c r="AY266" s="1"/>
  <c r="AW266" s="1"/>
  <c r="AZ266" s="1"/>
  <c r="Q266" s="1"/>
  <c r="AX266"/>
  <c r="E251" i="26"/>
  <c r="I267" i="1" s="1"/>
  <c r="AX267"/>
  <c r="E252" i="26"/>
  <c r="I268" i="1" s="1"/>
  <c r="AV268" s="1"/>
  <c r="AX268"/>
  <c r="E253" i="26"/>
  <c r="I269" i="1" s="1"/>
  <c r="AX269"/>
  <c r="E254" i="26"/>
  <c r="I270" i="1" s="1"/>
  <c r="AX270"/>
  <c r="E255" i="26"/>
  <c r="I271" i="1" s="1"/>
  <c r="C278" i="53" s="1"/>
  <c r="AF8" i="55" s="1"/>
  <c r="AX271" i="1"/>
  <c r="E256" i="26"/>
  <c r="I272" i="1" s="1"/>
  <c r="AX272"/>
  <c r="E257" i="26"/>
  <c r="I273" i="1" s="1"/>
  <c r="AX273"/>
  <c r="E258" i="26"/>
  <c r="I274" i="1" s="1"/>
  <c r="AV274" s="1"/>
  <c r="AX274"/>
  <c r="BB274"/>
  <c r="E259" i="26"/>
  <c r="I275" i="1" s="1"/>
  <c r="AX275"/>
  <c r="BB275"/>
  <c r="E260" i="26"/>
  <c r="I276" i="1" s="1"/>
  <c r="AV276" s="1"/>
  <c r="AX276"/>
  <c r="BB276"/>
  <c r="E261" i="26"/>
  <c r="I277" i="1" s="1"/>
  <c r="AX277"/>
  <c r="BB277"/>
  <c r="E262" i="26"/>
  <c r="I278" i="1" s="1"/>
  <c r="AX278"/>
  <c r="BB278"/>
  <c r="E263" i="26"/>
  <c r="I279" i="1" s="1"/>
  <c r="AX279"/>
  <c r="BB279"/>
  <c r="E264" i="26"/>
  <c r="I280" i="1" s="1"/>
  <c r="AV280" s="1"/>
  <c r="AX280"/>
  <c r="BB280"/>
  <c r="E265" i="26"/>
  <c r="I281" i="1" s="1"/>
  <c r="AV281" s="1"/>
  <c r="AX281"/>
  <c r="BB281"/>
  <c r="E266" i="26"/>
  <c r="I282" i="1" s="1"/>
  <c r="AV282" s="1"/>
  <c r="AX282"/>
  <c r="BB282"/>
  <c r="E267" i="26"/>
  <c r="I283" i="1" s="1"/>
  <c r="AX283"/>
  <c r="BB283"/>
  <c r="E268" i="26"/>
  <c r="I284" i="1" s="1"/>
  <c r="AV284" s="1"/>
  <c r="AX284"/>
  <c r="BB284"/>
  <c r="E269" i="26"/>
  <c r="I285" i="1" s="1"/>
  <c r="AV285" s="1"/>
  <c r="AX285"/>
  <c r="BB285"/>
  <c r="E270" i="26"/>
  <c r="I286" i="1" s="1"/>
  <c r="AV286" s="1"/>
  <c r="AX286"/>
  <c r="BB286"/>
  <c r="E271" i="26"/>
  <c r="I287" i="1" s="1"/>
  <c r="AX287"/>
  <c r="BB287"/>
  <c r="E272" i="26"/>
  <c r="I288" i="1" s="1"/>
  <c r="AX288"/>
  <c r="BB288"/>
  <c r="E273" i="26"/>
  <c r="I289" i="1" s="1"/>
  <c r="C296" i="53" s="1"/>
  <c r="AF26" i="55" s="1"/>
  <c r="AX289" i="1"/>
  <c r="BB289"/>
  <c r="E274" i="26"/>
  <c r="I290" i="1" s="1"/>
  <c r="AV290" s="1"/>
  <c r="AX290"/>
  <c r="BB290"/>
  <c r="E275" i="26"/>
  <c r="I291" i="1" s="1"/>
  <c r="AX291"/>
  <c r="BB291"/>
  <c r="E276" i="26"/>
  <c r="I292" i="1" s="1"/>
  <c r="AV292" s="1"/>
  <c r="AX292"/>
  <c r="BB292"/>
  <c r="E277" i="26"/>
  <c r="I293" i="1" s="1"/>
  <c r="AX293"/>
  <c r="BB293"/>
  <c r="E278" i="26"/>
  <c r="I294" i="1" s="1"/>
  <c r="AV294" s="1"/>
  <c r="AX294"/>
  <c r="BB294"/>
  <c r="E279" i="26"/>
  <c r="I295" i="1" s="1"/>
  <c r="AX295"/>
  <c r="BB295"/>
  <c r="E280" i="26"/>
  <c r="I296" i="1" s="1"/>
  <c r="AX296"/>
  <c r="BB296"/>
  <c r="E281" i="26"/>
  <c r="I297" i="1" s="1"/>
  <c r="C304" i="53" s="1"/>
  <c r="AG4" i="55" s="1"/>
  <c r="AX297" i="1"/>
  <c r="BB297"/>
  <c r="E282" i="26"/>
  <c r="I298" i="1" s="1"/>
  <c r="AX298"/>
  <c r="BB298"/>
  <c r="E283" i="26"/>
  <c r="I299" i="1" s="1"/>
  <c r="AX299"/>
  <c r="BB299"/>
  <c r="E284" i="26"/>
  <c r="I300" i="1" s="1"/>
  <c r="C307" i="53" s="1"/>
  <c r="AG7" i="55" s="1"/>
  <c r="AX300" i="1"/>
  <c r="BB300"/>
  <c r="E285" i="26"/>
  <c r="I301" i="1" s="1"/>
  <c r="AX301"/>
  <c r="BB301"/>
  <c r="E286" i="26"/>
  <c r="I302" i="1" s="1"/>
  <c r="AX302"/>
  <c r="BB302"/>
  <c r="E287" i="26"/>
  <c r="I303" i="1" s="1"/>
  <c r="AX303"/>
  <c r="BB303"/>
  <c r="E288" i="26"/>
  <c r="I304" i="1" s="1"/>
  <c r="AX304"/>
  <c r="BB304"/>
  <c r="E289" i="26"/>
  <c r="I305" i="1" s="1"/>
  <c r="C312" i="53" s="1"/>
  <c r="AG12" i="55" s="1"/>
  <c r="AX305" i="1"/>
  <c r="BB305"/>
  <c r="E290" i="26"/>
  <c r="I306" i="1" s="1"/>
  <c r="AV306" s="1"/>
  <c r="AX306"/>
  <c r="BB306"/>
  <c r="E291" i="26"/>
  <c r="I307" i="1" s="1"/>
  <c r="AV307" s="1"/>
  <c r="AX307"/>
  <c r="BB307"/>
  <c r="E292" i="26"/>
  <c r="I308" i="1" s="1"/>
  <c r="AX308"/>
  <c r="BB308"/>
  <c r="E293" i="26"/>
  <c r="I309" i="1" s="1"/>
  <c r="AX309"/>
  <c r="BB309"/>
  <c r="E294" i="26"/>
  <c r="I310" i="1" s="1"/>
  <c r="AV310" s="1"/>
  <c r="AX310"/>
  <c r="BB310"/>
  <c r="E295" i="26"/>
  <c r="I311" i="1" s="1"/>
  <c r="AX311"/>
  <c r="BB311"/>
  <c r="E296" i="26"/>
  <c r="I312" i="1" s="1"/>
  <c r="AX312"/>
  <c r="BB312"/>
  <c r="E297" i="26"/>
  <c r="I313" i="1" s="1"/>
  <c r="C320" i="53" s="1"/>
  <c r="AG20" i="55" s="1"/>
  <c r="AX313" i="1"/>
  <c r="BB313"/>
  <c r="E298" i="26"/>
  <c r="I314" i="1" s="1"/>
  <c r="AV314" s="1"/>
  <c r="AX314"/>
  <c r="BB314"/>
  <c r="E299" i="26"/>
  <c r="I315" i="1" s="1"/>
  <c r="C322" i="53" s="1"/>
  <c r="AG22" i="55" s="1"/>
  <c r="AX315" i="1"/>
  <c r="BB315"/>
  <c r="E300" i="26"/>
  <c r="I316" i="1" s="1"/>
  <c r="AX316"/>
  <c r="BB316"/>
  <c r="E301" i="26"/>
  <c r="I317" i="1" s="1"/>
  <c r="C324" i="53" s="1"/>
  <c r="AG24" i="55" s="1"/>
  <c r="AX317" i="1"/>
  <c r="BB317"/>
  <c r="C65" i="53"/>
  <c r="Y8" i="55" s="1"/>
  <c r="C73" i="53"/>
  <c r="Y16" i="55" s="1"/>
  <c r="C81" i="53"/>
  <c r="Y24" i="55" s="1"/>
  <c r="C85" i="53"/>
  <c r="Y28" i="55" s="1"/>
  <c r="E302" i="26"/>
  <c r="I318" i="1" s="1"/>
  <c r="C325" i="53" s="1"/>
  <c r="AG25" i="55" s="1"/>
  <c r="E303" i="26"/>
  <c r="I319" i="1" s="1"/>
  <c r="E304" i="26"/>
  <c r="I320" i="1" s="1"/>
  <c r="C327" i="53" s="1"/>
  <c r="AG27" i="55" s="1"/>
  <c r="E305" i="26"/>
  <c r="I321" i="1" s="1"/>
  <c r="E306" i="26"/>
  <c r="I322" i="1" s="1"/>
  <c r="C329" i="53" s="1"/>
  <c r="AG29" i="55" s="1"/>
  <c r="E307" i="26"/>
  <c r="I323" i="1" s="1"/>
  <c r="E308" i="26"/>
  <c r="I324" i="1" s="1"/>
  <c r="C331" i="53" s="1"/>
  <c r="AG31" i="55" s="1"/>
  <c r="E309" i="26"/>
  <c r="I325" i="1" s="1"/>
  <c r="C332" i="53" s="1"/>
  <c r="AG32" i="55" s="1"/>
  <c r="E310" i="26"/>
  <c r="I326" i="1" s="1"/>
  <c r="C333" i="53" s="1"/>
  <c r="AG33" i="55" s="1"/>
  <c r="C355" i="5"/>
  <c r="E311" i="26"/>
  <c r="I327" i="1" s="1"/>
  <c r="C356" i="5"/>
  <c r="E312" i="26"/>
  <c r="I328" i="1" s="1"/>
  <c r="C357" i="5"/>
  <c r="E313" i="26"/>
  <c r="I329" i="1" s="1"/>
  <c r="C358" i="5"/>
  <c r="E314" i="26"/>
  <c r="I330" i="1" s="1"/>
  <c r="C359" i="5"/>
  <c r="E315" i="26"/>
  <c r="I331" i="1" s="1"/>
  <c r="C360" i="5"/>
  <c r="E316" i="26"/>
  <c r="I332" i="1" s="1"/>
  <c r="C361" i="5"/>
  <c r="E317" i="26"/>
  <c r="I333" i="1" s="1"/>
  <c r="C362" i="5"/>
  <c r="E318" i="26"/>
  <c r="I334" i="1" s="1"/>
  <c r="C363" i="5"/>
  <c r="E319" i="26"/>
  <c r="I335" i="1" s="1"/>
  <c r="C364" i="5"/>
  <c r="E320" i="26"/>
  <c r="I336" i="1" s="1"/>
  <c r="C365" i="5"/>
  <c r="E321" i="26"/>
  <c r="I337" i="1" s="1"/>
  <c r="C366" i="5"/>
  <c r="E322" i="26"/>
  <c r="I338" i="1" s="1"/>
  <c r="C367" i="5"/>
  <c r="E323" i="26"/>
  <c r="I339" i="1" s="1"/>
  <c r="C368" i="5"/>
  <c r="E324" i="26"/>
  <c r="I340" i="1" s="1"/>
  <c r="C369" i="5"/>
  <c r="E325" i="26"/>
  <c r="I341" i="1" s="1"/>
  <c r="C370" i="5"/>
  <c r="E326" i="26"/>
  <c r="I342" i="1" s="1"/>
  <c r="C371" i="5"/>
  <c r="E327" i="26"/>
  <c r="I343" i="1" s="1"/>
  <c r="C372" i="5"/>
  <c r="E328" i="26"/>
  <c r="I344" i="1" s="1"/>
  <c r="C373" i="5"/>
  <c r="E329" i="26"/>
  <c r="I345" i="1" s="1"/>
  <c r="C374" i="5"/>
  <c r="C375"/>
  <c r="C376"/>
  <c r="C377"/>
  <c r="C378"/>
  <c r="C379"/>
  <c r="C380"/>
  <c r="C381"/>
  <c r="C382"/>
  <c r="C383"/>
  <c r="C384"/>
  <c r="C385"/>
  <c r="C386"/>
  <c r="C387"/>
  <c r="C388"/>
  <c r="C389"/>
  <c r="C390"/>
  <c r="C391"/>
  <c r="C392"/>
  <c r="C393"/>
  <c r="C394"/>
  <c r="C395"/>
  <c r="C396"/>
  <c r="C397"/>
  <c r="C398"/>
  <c r="C399"/>
  <c r="C400"/>
  <c r="C401"/>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M33" i="55"/>
  <c r="CM32"/>
  <c r="CM31"/>
  <c r="CM30"/>
  <c r="CM29"/>
  <c r="CM28"/>
  <c r="CM27"/>
  <c r="CM26"/>
  <c r="CM25"/>
  <c r="CM24"/>
  <c r="CM23"/>
  <c r="CM22"/>
  <c r="CM21"/>
  <c r="CM20"/>
  <c r="CM19"/>
  <c r="CM18"/>
  <c r="CM17"/>
  <c r="CM16"/>
  <c r="CM15"/>
  <c r="CM14"/>
  <c r="CM13"/>
  <c r="CM12"/>
  <c r="CM11"/>
  <c r="CM10"/>
  <c r="CM9"/>
  <c r="CM8"/>
  <c r="CM7"/>
  <c r="CM6"/>
  <c r="CM5"/>
  <c r="CM4"/>
  <c r="CM3"/>
  <c r="C7" i="54"/>
  <c r="M30" i="53"/>
  <c r="C8" i="54"/>
  <c r="N6" i="27"/>
  <c r="Q6" s="1"/>
  <c r="O6"/>
  <c r="R6"/>
  <c r="N7"/>
  <c r="Q7" s="1"/>
  <c r="O7"/>
  <c r="R7"/>
  <c r="N8"/>
  <c r="Q8" s="1"/>
  <c r="O8"/>
  <c r="R8"/>
  <c r="N9"/>
  <c r="Q9" s="1"/>
  <c r="O9"/>
  <c r="R9"/>
  <c r="N10"/>
  <c r="Q10" s="1"/>
  <c r="O10"/>
  <c r="R10"/>
  <c r="N11"/>
  <c r="Q11" s="1"/>
  <c r="O11"/>
  <c r="R11"/>
  <c r="N12"/>
  <c r="Q12" s="1"/>
  <c r="O12"/>
  <c r="R12"/>
  <c r="Q13"/>
  <c r="R13"/>
  <c r="Q14"/>
  <c r="R14"/>
  <c r="Q15"/>
  <c r="R15"/>
  <c r="V8" i="1"/>
  <c r="U9"/>
  <c r="V9"/>
  <c r="U10"/>
  <c r="V10"/>
  <c r="U11"/>
  <c r="V11"/>
  <c r="V12"/>
  <c r="K20"/>
  <c r="F22"/>
  <c r="H22"/>
  <c r="BB22"/>
  <c r="BF22"/>
  <c r="BH22" s="1"/>
  <c r="BG22"/>
  <c r="BI22" s="1"/>
  <c r="F23"/>
  <c r="BB23"/>
  <c r="BF23"/>
  <c r="BH23" s="1"/>
  <c r="BG23"/>
  <c r="BI23" s="1"/>
  <c r="F24"/>
  <c r="BB24"/>
  <c r="BF24"/>
  <c r="BH24" s="1"/>
  <c r="BG24"/>
  <c r="F25"/>
  <c r="BB25"/>
  <c r="BF25"/>
  <c r="BH25" s="1"/>
  <c r="BJ25" s="1"/>
  <c r="BG25"/>
  <c r="BI25" s="1"/>
  <c r="F26"/>
  <c r="BB26"/>
  <c r="BF26"/>
  <c r="BH26" s="1"/>
  <c r="BG26"/>
  <c r="BI26" s="1"/>
  <c r="F27"/>
  <c r="BB27"/>
  <c r="BF27"/>
  <c r="BH27" s="1"/>
  <c r="BG27"/>
  <c r="BI27" s="1"/>
  <c r="F28"/>
  <c r="BB28"/>
  <c r="BF28"/>
  <c r="BH28" s="1"/>
  <c r="BG28"/>
  <c r="BI28" s="1"/>
  <c r="F29"/>
  <c r="BB29"/>
  <c r="BF29"/>
  <c r="BH29" s="1"/>
  <c r="BG29"/>
  <c r="BI29" s="1"/>
  <c r="F30"/>
  <c r="BB30"/>
  <c r="BF30"/>
  <c r="BH30" s="1"/>
  <c r="BG30"/>
  <c r="BI30" s="1"/>
  <c r="F31"/>
  <c r="BB31"/>
  <c r="BF31"/>
  <c r="BH31" s="1"/>
  <c r="BJ31" s="1"/>
  <c r="BG31"/>
  <c r="BI31" s="1"/>
  <c r="F32"/>
  <c r="BB32"/>
  <c r="BF32"/>
  <c r="BH32" s="1"/>
  <c r="BG32"/>
  <c r="BI32" s="1"/>
  <c r="F33"/>
  <c r="BB33"/>
  <c r="BF33"/>
  <c r="BH33" s="1"/>
  <c r="BJ33" s="1"/>
  <c r="BG33"/>
  <c r="BI33" s="1"/>
  <c r="F34"/>
  <c r="BB34"/>
  <c r="BF34"/>
  <c r="BH34" s="1"/>
  <c r="BG34"/>
  <c r="BI34" s="1"/>
  <c r="F35"/>
  <c r="BB35"/>
  <c r="BF35"/>
  <c r="BH35" s="1"/>
  <c r="BG35"/>
  <c r="F36"/>
  <c r="BB36"/>
  <c r="BF36"/>
  <c r="BH36" s="1"/>
  <c r="BG36"/>
  <c r="BI36" s="1"/>
  <c r="F37"/>
  <c r="BB37"/>
  <c r="BF37"/>
  <c r="BH37" s="1"/>
  <c r="BG37"/>
  <c r="F38"/>
  <c r="BB38"/>
  <c r="BF38"/>
  <c r="BH38" s="1"/>
  <c r="BG38"/>
  <c r="BI38" s="1"/>
  <c r="F39"/>
  <c r="BB39"/>
  <c r="BF39"/>
  <c r="BH39" s="1"/>
  <c r="BG39"/>
  <c r="BL39" s="1"/>
  <c r="F40"/>
  <c r="BB40"/>
  <c r="BF40"/>
  <c r="BH40" s="1"/>
  <c r="BG40"/>
  <c r="BI40" s="1"/>
  <c r="F41"/>
  <c r="BB41"/>
  <c r="BF41"/>
  <c r="BH41" s="1"/>
  <c r="BG41"/>
  <c r="BI41" s="1"/>
  <c r="F42"/>
  <c r="BB42"/>
  <c r="BF42"/>
  <c r="BH42" s="1"/>
  <c r="BG42"/>
  <c r="BI42" s="1"/>
  <c r="F43"/>
  <c r="BB43"/>
  <c r="BF43"/>
  <c r="BH43" s="1"/>
  <c r="BG43"/>
  <c r="BL43" s="1"/>
  <c r="F44"/>
  <c r="BB44"/>
  <c r="BF44"/>
  <c r="BH44" s="1"/>
  <c r="BG44"/>
  <c r="F45"/>
  <c r="BB45"/>
  <c r="BF45"/>
  <c r="BH45" s="1"/>
  <c r="BG45"/>
  <c r="F46"/>
  <c r="BB46"/>
  <c r="BF46"/>
  <c r="BH46" s="1"/>
  <c r="BG46"/>
  <c r="BI46" s="1"/>
  <c r="BB47"/>
  <c r="BF47"/>
  <c r="BH47" s="1"/>
  <c r="BG47"/>
  <c r="BI47" s="1"/>
  <c r="F48"/>
  <c r="BB48"/>
  <c r="BF48"/>
  <c r="BH48" s="1"/>
  <c r="BG48"/>
  <c r="BI48" s="1"/>
  <c r="F49"/>
  <c r="BB49"/>
  <c r="BF49"/>
  <c r="BH49" s="1"/>
  <c r="BG49"/>
  <c r="F50"/>
  <c r="BB50"/>
  <c r="BF50"/>
  <c r="BG50"/>
  <c r="BI50" s="1"/>
  <c r="F51"/>
  <c r="BB51"/>
  <c r="BF51"/>
  <c r="BG51"/>
  <c r="BI51" s="1"/>
  <c r="F52"/>
  <c r="BB52"/>
  <c r="BF52"/>
  <c r="BG52"/>
  <c r="BI52" s="1"/>
  <c r="F53"/>
  <c r="BB53"/>
  <c r="BF53"/>
  <c r="BH53" s="1"/>
  <c r="BG53"/>
  <c r="BI53" s="1"/>
  <c r="F54"/>
  <c r="BB54"/>
  <c r="BF54"/>
  <c r="BH54" s="1"/>
  <c r="BG54"/>
  <c r="BI54" s="1"/>
  <c r="F55"/>
  <c r="BB55"/>
  <c r="BF55"/>
  <c r="BH55" s="1"/>
  <c r="BG55"/>
  <c r="BL55" s="1"/>
  <c r="F56"/>
  <c r="BB56"/>
  <c r="BF56"/>
  <c r="BH56" s="1"/>
  <c r="BG56"/>
  <c r="BI56" s="1"/>
  <c r="F57"/>
  <c r="BB57"/>
  <c r="BF57"/>
  <c r="BH57" s="1"/>
  <c r="BG57"/>
  <c r="BI57" s="1"/>
  <c r="F58"/>
  <c r="BB58"/>
  <c r="BF58"/>
  <c r="BH58" s="1"/>
  <c r="BG58"/>
  <c r="BI58" s="1"/>
  <c r="F59"/>
  <c r="BB59"/>
  <c r="BF59"/>
  <c r="BH59" s="1"/>
  <c r="BG59"/>
  <c r="BI59" s="1"/>
  <c r="F60"/>
  <c r="BB60"/>
  <c r="BF60"/>
  <c r="BH60" s="1"/>
  <c r="BG60"/>
  <c r="BI60" s="1"/>
  <c r="F61"/>
  <c r="BB61"/>
  <c r="BF61"/>
  <c r="BH61" s="1"/>
  <c r="BG61"/>
  <c r="F62"/>
  <c r="BB62"/>
  <c r="BF62"/>
  <c r="BH62" s="1"/>
  <c r="BG62"/>
  <c r="BI62" s="1"/>
  <c r="F63"/>
  <c r="BB63"/>
  <c r="BF63"/>
  <c r="BG63"/>
  <c r="BI63" s="1"/>
  <c r="F64"/>
  <c r="BB64"/>
  <c r="BF64"/>
  <c r="BH64" s="1"/>
  <c r="BG64"/>
  <c r="BI64" s="1"/>
  <c r="F65"/>
  <c r="BB65"/>
  <c r="BF65"/>
  <c r="BH65" s="1"/>
  <c r="BG65"/>
  <c r="BI65" s="1"/>
  <c r="F66"/>
  <c r="BB66"/>
  <c r="BF66"/>
  <c r="BH66" s="1"/>
  <c r="BG66"/>
  <c r="F67"/>
  <c r="BB67"/>
  <c r="BF67"/>
  <c r="BH67" s="1"/>
  <c r="BG67"/>
  <c r="BI67" s="1"/>
  <c r="F68"/>
  <c r="BB68"/>
  <c r="BF68"/>
  <c r="BH68" s="1"/>
  <c r="BG68"/>
  <c r="BI68" s="1"/>
  <c r="F69"/>
  <c r="BB69"/>
  <c r="BF69"/>
  <c r="BH69" s="1"/>
  <c r="BG69"/>
  <c r="BI69" s="1"/>
  <c r="F70"/>
  <c r="BB70"/>
  <c r="BF70"/>
  <c r="BG70"/>
  <c r="BI70" s="1"/>
  <c r="F71"/>
  <c r="BB71"/>
  <c r="BF71"/>
  <c r="BH71" s="1"/>
  <c r="BG71"/>
  <c r="BM71" s="1"/>
  <c r="F72"/>
  <c r="BB72"/>
  <c r="BF72"/>
  <c r="BH72" s="1"/>
  <c r="BG72"/>
  <c r="BI72" s="1"/>
  <c r="F73"/>
  <c r="BB73"/>
  <c r="BF73"/>
  <c r="BH73" s="1"/>
  <c r="BG73"/>
  <c r="BI73" s="1"/>
  <c r="F74"/>
  <c r="BB74"/>
  <c r="BF74"/>
  <c r="BH74" s="1"/>
  <c r="BG74"/>
  <c r="BI74" s="1"/>
  <c r="F75"/>
  <c r="BB75"/>
  <c r="BF75"/>
  <c r="BH75" s="1"/>
  <c r="BG75"/>
  <c r="BI75" s="1"/>
  <c r="F76"/>
  <c r="BB76"/>
  <c r="BF76"/>
  <c r="BH76" s="1"/>
  <c r="BG76"/>
  <c r="BI76" s="1"/>
  <c r="F77"/>
  <c r="BB77"/>
  <c r="BF77"/>
  <c r="BH77" s="1"/>
  <c r="BG77"/>
  <c r="F78"/>
  <c r="BB78"/>
  <c r="BF78"/>
  <c r="BH78" s="1"/>
  <c r="BG78"/>
  <c r="F79"/>
  <c r="BB79"/>
  <c r="BF79"/>
  <c r="BH79" s="1"/>
  <c r="BG79"/>
  <c r="BI79" s="1"/>
  <c r="F80"/>
  <c r="BB80"/>
  <c r="BF80"/>
  <c r="BH80" s="1"/>
  <c r="BG80"/>
  <c r="BI80" s="1"/>
  <c r="F81"/>
  <c r="BB81"/>
  <c r="BF81"/>
  <c r="BH81" s="1"/>
  <c r="BG81"/>
  <c r="BI81" s="1"/>
  <c r="F82"/>
  <c r="BB82"/>
  <c r="BF82"/>
  <c r="BH82" s="1"/>
  <c r="BG82"/>
  <c r="BI82" s="1"/>
  <c r="F83"/>
  <c r="BB83"/>
  <c r="BF83"/>
  <c r="BG83"/>
  <c r="F84"/>
  <c r="BB84"/>
  <c r="BF84"/>
  <c r="BH84" s="1"/>
  <c r="BG84"/>
  <c r="BI84" s="1"/>
  <c r="F85"/>
  <c r="BB85"/>
  <c r="BF85"/>
  <c r="BG85"/>
  <c r="BI85" s="1"/>
  <c r="F86"/>
  <c r="BB86"/>
  <c r="BF86"/>
  <c r="BH86" s="1"/>
  <c r="BG86"/>
  <c r="BI86" s="1"/>
  <c r="F87"/>
  <c r="BB87"/>
  <c r="BF87"/>
  <c r="BH87" s="1"/>
  <c r="BG87"/>
  <c r="F88"/>
  <c r="BB88"/>
  <c r="BF88"/>
  <c r="BH88" s="1"/>
  <c r="BG88"/>
  <c r="F89"/>
  <c r="BB89"/>
  <c r="BF89"/>
  <c r="BH89" s="1"/>
  <c r="BG89"/>
  <c r="BI89" s="1"/>
  <c r="F90"/>
  <c r="BB90"/>
  <c r="BF90"/>
  <c r="BH90" s="1"/>
  <c r="BG90"/>
  <c r="BI90" s="1"/>
  <c r="F91"/>
  <c r="BB91"/>
  <c r="BF91"/>
  <c r="BH91" s="1"/>
  <c r="BG91"/>
  <c r="BI91" s="1"/>
  <c r="F92"/>
  <c r="BB92"/>
  <c r="BF92"/>
  <c r="BH92" s="1"/>
  <c r="BG92"/>
  <c r="BI92" s="1"/>
  <c r="F93"/>
  <c r="BB93"/>
  <c r="BF93"/>
  <c r="BH93" s="1"/>
  <c r="BG93"/>
  <c r="F94"/>
  <c r="BB94"/>
  <c r="BF94"/>
  <c r="BH94" s="1"/>
  <c r="BG94"/>
  <c r="F95"/>
  <c r="BB95"/>
  <c r="BF95"/>
  <c r="BH95" s="1"/>
  <c r="BG95"/>
  <c r="BI95" s="1"/>
  <c r="F96"/>
  <c r="BB96"/>
  <c r="BF96"/>
  <c r="BH96" s="1"/>
  <c r="BG96"/>
  <c r="BI96" s="1"/>
  <c r="F97"/>
  <c r="BB97"/>
  <c r="BF97"/>
  <c r="BH97" s="1"/>
  <c r="BG97"/>
  <c r="BI97" s="1"/>
  <c r="F98"/>
  <c r="BB98"/>
  <c r="BF98"/>
  <c r="BH98" s="1"/>
  <c r="BG98"/>
  <c r="BI98" s="1"/>
  <c r="F99"/>
  <c r="BB99"/>
  <c r="BF99"/>
  <c r="BH99" s="1"/>
  <c r="BG99"/>
  <c r="BI99" s="1"/>
  <c r="F100"/>
  <c r="BB100"/>
  <c r="BF100"/>
  <c r="BH100" s="1"/>
  <c r="BG100"/>
  <c r="BI100" s="1"/>
  <c r="F101"/>
  <c r="BB101"/>
  <c r="BF101"/>
  <c r="BH101" s="1"/>
  <c r="BG101"/>
  <c r="BI101" s="1"/>
  <c r="F102"/>
  <c r="BB102"/>
  <c r="BF102"/>
  <c r="BH102" s="1"/>
  <c r="BG102"/>
  <c r="F103"/>
  <c r="BB103"/>
  <c r="BF103"/>
  <c r="BG103"/>
  <c r="BI103" s="1"/>
  <c r="F104"/>
  <c r="BB104"/>
  <c r="BF104"/>
  <c r="BH104" s="1"/>
  <c r="BG104"/>
  <c r="BI104" s="1"/>
  <c r="F105"/>
  <c r="BB105"/>
  <c r="BF105"/>
  <c r="BH105" s="1"/>
  <c r="BG105"/>
  <c r="BI105" s="1"/>
  <c r="F106"/>
  <c r="BB106"/>
  <c r="BF106"/>
  <c r="BH106" s="1"/>
  <c r="BG106"/>
  <c r="F107"/>
  <c r="BB107"/>
  <c r="BF107"/>
  <c r="BH107" s="1"/>
  <c r="BG107"/>
  <c r="BI107" s="1"/>
  <c r="F108"/>
  <c r="BB108"/>
  <c r="BF108"/>
  <c r="BH108" s="1"/>
  <c r="BG108"/>
  <c r="BI108" s="1"/>
  <c r="F109"/>
  <c r="BB109"/>
  <c r="BF109"/>
  <c r="BH109" s="1"/>
  <c r="BG109"/>
  <c r="BI109" s="1"/>
  <c r="F110"/>
  <c r="BB110"/>
  <c r="BF110"/>
  <c r="BH110" s="1"/>
  <c r="BG110"/>
  <c r="BI110" s="1"/>
  <c r="F111"/>
  <c r="BB111"/>
  <c r="BF111"/>
  <c r="BH111" s="1"/>
  <c r="BG111"/>
  <c r="BI111" s="1"/>
  <c r="F112"/>
  <c r="BB112"/>
  <c r="BF112"/>
  <c r="BH112" s="1"/>
  <c r="BG112"/>
  <c r="F113"/>
  <c r="BB113"/>
  <c r="BF113"/>
  <c r="BH113" s="1"/>
  <c r="BG113"/>
  <c r="F114"/>
  <c r="BB114"/>
  <c r="BF114"/>
  <c r="BH114" s="1"/>
  <c r="BG114"/>
  <c r="BI114" s="1"/>
  <c r="F115"/>
  <c r="BB115"/>
  <c r="BF115"/>
  <c r="BH115" s="1"/>
  <c r="BG115"/>
  <c r="BI115" s="1"/>
  <c r="F116"/>
  <c r="BB116"/>
  <c r="BF116"/>
  <c r="BG116"/>
  <c r="BI116" s="1"/>
  <c r="F117"/>
  <c r="BB117"/>
  <c r="BF117"/>
  <c r="BH117" s="1"/>
  <c r="BG117"/>
  <c r="F118"/>
  <c r="BB118"/>
  <c r="BF118"/>
  <c r="BH118" s="1"/>
  <c r="BG118"/>
  <c r="BI118" s="1"/>
  <c r="F119"/>
  <c r="BB119"/>
  <c r="BF119"/>
  <c r="BH119" s="1"/>
  <c r="BG119"/>
  <c r="BI119" s="1"/>
  <c r="F120"/>
  <c r="BB120"/>
  <c r="BF120"/>
  <c r="BH120" s="1"/>
  <c r="BJ120" s="1"/>
  <c r="BG120"/>
  <c r="BI120" s="1"/>
  <c r="F121"/>
  <c r="BB121"/>
  <c r="BF121"/>
  <c r="BH121" s="1"/>
  <c r="BG121"/>
  <c r="BI121" s="1"/>
  <c r="F122"/>
  <c r="BB122"/>
  <c r="BF122"/>
  <c r="BH122" s="1"/>
  <c r="BG122"/>
  <c r="BI122" s="1"/>
  <c r="F123"/>
  <c r="BB123"/>
  <c r="BF123"/>
  <c r="BH123" s="1"/>
  <c r="BG123"/>
  <c r="BI123" s="1"/>
  <c r="F124"/>
  <c r="BB124"/>
  <c r="BF124"/>
  <c r="BH124" s="1"/>
  <c r="BG124"/>
  <c r="F125"/>
  <c r="BB125"/>
  <c r="BF125"/>
  <c r="BG125"/>
  <c r="BI125" s="1"/>
  <c r="F126"/>
  <c r="BB126"/>
  <c r="BF126"/>
  <c r="BH126" s="1"/>
  <c r="BG126"/>
  <c r="BI126" s="1"/>
  <c r="F127"/>
  <c r="BF127"/>
  <c r="BH127" s="1"/>
  <c r="BG127"/>
  <c r="BI127" s="1"/>
  <c r="F128"/>
  <c r="BF128"/>
  <c r="BH128" s="1"/>
  <c r="BG128"/>
  <c r="F129"/>
  <c r="BF129"/>
  <c r="BH129" s="1"/>
  <c r="BG129"/>
  <c r="BI129" s="1"/>
  <c r="F130"/>
  <c r="BF130"/>
  <c r="BH130" s="1"/>
  <c r="BG130"/>
  <c r="BI130" s="1"/>
  <c r="F131"/>
  <c r="BF131"/>
  <c r="BH131" s="1"/>
  <c r="BG131"/>
  <c r="BI131" s="1"/>
  <c r="F132"/>
  <c r="BF132"/>
  <c r="BG132"/>
  <c r="BI132" s="1"/>
  <c r="F133"/>
  <c r="BF133"/>
  <c r="BH133" s="1"/>
  <c r="BG133"/>
  <c r="BM133" s="1"/>
  <c r="F134"/>
  <c r="BF134"/>
  <c r="BH134" s="1"/>
  <c r="BG134"/>
  <c r="BI134" s="1"/>
  <c r="F135"/>
  <c r="BF135"/>
  <c r="BH135" s="1"/>
  <c r="BG135"/>
  <c r="BM135" s="1"/>
  <c r="F136"/>
  <c r="BF136"/>
  <c r="BH136" s="1"/>
  <c r="BG136"/>
  <c r="BI136" s="1"/>
  <c r="F137"/>
  <c r="BF137"/>
  <c r="BH137" s="1"/>
  <c r="BG137"/>
  <c r="BI137" s="1"/>
  <c r="F138"/>
  <c r="BF138"/>
  <c r="BH138" s="1"/>
  <c r="BJ138" s="1"/>
  <c r="BG138"/>
  <c r="BI138" s="1"/>
  <c r="F139"/>
  <c r="BF139"/>
  <c r="BH139" s="1"/>
  <c r="BG139"/>
  <c r="BI139" s="1"/>
  <c r="F140"/>
  <c r="BF140"/>
  <c r="BG140"/>
  <c r="BI140" s="1"/>
  <c r="F141"/>
  <c r="BF141"/>
  <c r="BH141" s="1"/>
  <c r="BG141"/>
  <c r="BI141" s="1"/>
  <c r="F142"/>
  <c r="BF142"/>
  <c r="BH142" s="1"/>
  <c r="BG142"/>
  <c r="BI142" s="1"/>
  <c r="F143"/>
  <c r="BF143"/>
  <c r="BG143"/>
  <c r="BI143" s="1"/>
  <c r="F144"/>
  <c r="BF144"/>
  <c r="BH144" s="1"/>
  <c r="BG144"/>
  <c r="BM144" s="1"/>
  <c r="F145"/>
  <c r="BF145"/>
  <c r="BH145" s="1"/>
  <c r="BG145"/>
  <c r="F146"/>
  <c r="BF146"/>
  <c r="BH146" s="1"/>
  <c r="BJ146" s="1"/>
  <c r="BG146"/>
  <c r="BI146" s="1"/>
  <c r="F147"/>
  <c r="BF147"/>
  <c r="BH147" s="1"/>
  <c r="BG147"/>
  <c r="BI147" s="1"/>
  <c r="F148"/>
  <c r="BF148"/>
  <c r="BH148" s="1"/>
  <c r="BG148"/>
  <c r="F149"/>
  <c r="BF149"/>
  <c r="BG149"/>
  <c r="BI149" s="1"/>
  <c r="F150"/>
  <c r="BF150"/>
  <c r="BH150" s="1"/>
  <c r="BG150"/>
  <c r="BI150" s="1"/>
  <c r="F151"/>
  <c r="BF151"/>
  <c r="BH151" s="1"/>
  <c r="BG151"/>
  <c r="F152"/>
  <c r="BF152"/>
  <c r="BH152" s="1"/>
  <c r="BG152"/>
  <c r="BI152" s="1"/>
  <c r="F153"/>
  <c r="BF153"/>
  <c r="BH153" s="1"/>
  <c r="BG153"/>
  <c r="BI153" s="1"/>
  <c r="F154"/>
  <c r="BF154"/>
  <c r="BH154" s="1"/>
  <c r="BG154"/>
  <c r="BL154" s="1"/>
  <c r="F155"/>
  <c r="BF155"/>
  <c r="BH155" s="1"/>
  <c r="BG155"/>
  <c r="F156"/>
  <c r="BF156"/>
  <c r="BH156" s="1"/>
  <c r="BG156"/>
  <c r="BI156" s="1"/>
  <c r="F157"/>
  <c r="BF157"/>
  <c r="BH157" s="1"/>
  <c r="BG157"/>
  <c r="BM157" s="1"/>
  <c r="F158"/>
  <c r="BF158"/>
  <c r="BH158" s="1"/>
  <c r="BG158"/>
  <c r="BI158" s="1"/>
  <c r="F159"/>
  <c r="BF159"/>
  <c r="BH159" s="1"/>
  <c r="BG159"/>
  <c r="F160"/>
  <c r="BF160"/>
  <c r="BH160" s="1"/>
  <c r="BG160"/>
  <c r="BI160" s="1"/>
  <c r="F161"/>
  <c r="BF161"/>
  <c r="BH161" s="1"/>
  <c r="BG161"/>
  <c r="F162"/>
  <c r="BF162"/>
  <c r="BH162" s="1"/>
  <c r="BG162"/>
  <c r="BL162" s="1"/>
  <c r="F163"/>
  <c r="BF163"/>
  <c r="BH163" s="1"/>
  <c r="BG163"/>
  <c r="BI163" s="1"/>
  <c r="F164"/>
  <c r="BF164"/>
  <c r="BH164" s="1"/>
  <c r="BG164"/>
  <c r="BI164" s="1"/>
  <c r="F165"/>
  <c r="BF165"/>
  <c r="BH165" s="1"/>
  <c r="BG165"/>
  <c r="BI165" s="1"/>
  <c r="F166"/>
  <c r="BF166"/>
  <c r="BH166" s="1"/>
  <c r="BG166"/>
  <c r="BI166" s="1"/>
  <c r="F167"/>
  <c r="BF167"/>
  <c r="BH167" s="1"/>
  <c r="BG167"/>
  <c r="BI167" s="1"/>
  <c r="F168"/>
  <c r="BF168"/>
  <c r="BH168" s="1"/>
  <c r="BG168"/>
  <c r="BI168" s="1"/>
  <c r="F169"/>
  <c r="BF169"/>
  <c r="BH169" s="1"/>
  <c r="BG169"/>
  <c r="BI169" s="1"/>
  <c r="F170"/>
  <c r="BF170"/>
  <c r="BG170"/>
  <c r="BI170" s="1"/>
  <c r="F171"/>
  <c r="BF171"/>
  <c r="BH171" s="1"/>
  <c r="BG171"/>
  <c r="F172"/>
  <c r="BF172"/>
  <c r="BH172" s="1"/>
  <c r="BG172"/>
  <c r="BI172" s="1"/>
  <c r="F173"/>
  <c r="BF173"/>
  <c r="BH173" s="1"/>
  <c r="BG173"/>
  <c r="F174"/>
  <c r="BF174"/>
  <c r="BH174" s="1"/>
  <c r="BG174"/>
  <c r="F175"/>
  <c r="BF175"/>
  <c r="BH175" s="1"/>
  <c r="BG175"/>
  <c r="BI175" s="1"/>
  <c r="F176"/>
  <c r="BF176"/>
  <c r="BH176" s="1"/>
  <c r="BG176"/>
  <c r="F177"/>
  <c r="BF177"/>
  <c r="BH177" s="1"/>
  <c r="BG177"/>
  <c r="F178"/>
  <c r="BF178"/>
  <c r="BH178" s="1"/>
  <c r="BG178"/>
  <c r="BI178" s="1"/>
  <c r="F179"/>
  <c r="BF179"/>
  <c r="BH179" s="1"/>
  <c r="BG179"/>
  <c r="BI179" s="1"/>
  <c r="F180"/>
  <c r="BF180"/>
  <c r="BH180" s="1"/>
  <c r="BG180"/>
  <c r="BI180" s="1"/>
  <c r="F181"/>
  <c r="BF181"/>
  <c r="BH181" s="1"/>
  <c r="BG181"/>
  <c r="BM181" s="1"/>
  <c r="F182"/>
  <c r="BF182"/>
  <c r="BH182" s="1"/>
  <c r="BG182"/>
  <c r="BI182" s="1"/>
  <c r="F183"/>
  <c r="BF183"/>
  <c r="BG183"/>
  <c r="BI183" s="1"/>
  <c r="F184"/>
  <c r="BF184"/>
  <c r="BH184" s="1"/>
  <c r="BG184"/>
  <c r="BI184" s="1"/>
  <c r="F185"/>
  <c r="BF185"/>
  <c r="BH185" s="1"/>
  <c r="BG185"/>
  <c r="BI185" s="1"/>
  <c r="F186"/>
  <c r="BF186"/>
  <c r="BH186" s="1"/>
  <c r="BG186"/>
  <c r="BM186" s="1"/>
  <c r="F187"/>
  <c r="BF187"/>
  <c r="BH187" s="1"/>
  <c r="BG187"/>
  <c r="BI187" s="1"/>
  <c r="F188"/>
  <c r="BF188"/>
  <c r="BH188" s="1"/>
  <c r="BG188"/>
  <c r="BI188" s="1"/>
  <c r="F189"/>
  <c r="BF189"/>
  <c r="BH189" s="1"/>
  <c r="BG189"/>
  <c r="F190"/>
  <c r="BF190"/>
  <c r="BH190" s="1"/>
  <c r="BG190"/>
  <c r="BI190" s="1"/>
  <c r="F191"/>
  <c r="BF191"/>
  <c r="BH191" s="1"/>
  <c r="BG191"/>
  <c r="BI191" s="1"/>
  <c r="F192"/>
  <c r="BF192"/>
  <c r="BH192" s="1"/>
  <c r="BG192"/>
  <c r="BI192" s="1"/>
  <c r="F193"/>
  <c r="BF193"/>
  <c r="BH193" s="1"/>
  <c r="BG193"/>
  <c r="BI193" s="1"/>
  <c r="F194"/>
  <c r="BF194"/>
  <c r="BH194" s="1"/>
  <c r="BG194"/>
  <c r="F195"/>
  <c r="BF195"/>
  <c r="BH195" s="1"/>
  <c r="BG195"/>
  <c r="BI195" s="1"/>
  <c r="F196"/>
  <c r="BF196"/>
  <c r="BH196" s="1"/>
  <c r="BG196"/>
  <c r="BI196" s="1"/>
  <c r="F197"/>
  <c r="BF197"/>
  <c r="BH197" s="1"/>
  <c r="BG197"/>
  <c r="BL197" s="1"/>
  <c r="F198"/>
  <c r="BF198"/>
  <c r="BG198"/>
  <c r="BI198" s="1"/>
  <c r="F199"/>
  <c r="BF199"/>
  <c r="BH199" s="1"/>
  <c r="BG199"/>
  <c r="BI199" s="1"/>
  <c r="F200"/>
  <c r="BF200"/>
  <c r="BH200" s="1"/>
  <c r="BG200"/>
  <c r="BI200" s="1"/>
  <c r="F201"/>
  <c r="BF201"/>
  <c r="BH201" s="1"/>
  <c r="BG201"/>
  <c r="BI201" s="1"/>
  <c r="F202"/>
  <c r="BF202"/>
  <c r="BH202" s="1"/>
  <c r="BG202"/>
  <c r="BI202" s="1"/>
  <c r="F203"/>
  <c r="BF203"/>
  <c r="BH203" s="1"/>
  <c r="BG203"/>
  <c r="BI203" s="1"/>
  <c r="F204"/>
  <c r="BF204"/>
  <c r="BH204" s="1"/>
  <c r="BG204"/>
  <c r="F205"/>
  <c r="BF205"/>
  <c r="BH205" s="1"/>
  <c r="BG205"/>
  <c r="BI205" s="1"/>
  <c r="F206"/>
  <c r="BF206"/>
  <c r="BH206" s="1"/>
  <c r="BG206"/>
  <c r="BI206" s="1"/>
  <c r="F207"/>
  <c r="BF207"/>
  <c r="BH207" s="1"/>
  <c r="BG207"/>
  <c r="BL207" s="1"/>
  <c r="F208"/>
  <c r="BF208"/>
  <c r="BH208" s="1"/>
  <c r="BG208"/>
  <c r="BI208" s="1"/>
  <c r="F209"/>
  <c r="BF209"/>
  <c r="BH209" s="1"/>
  <c r="BG209"/>
  <c r="BI209" s="1"/>
  <c r="F210"/>
  <c r="BF210"/>
  <c r="BH210" s="1"/>
  <c r="BG210"/>
  <c r="BI210" s="1"/>
  <c r="F211"/>
  <c r="BF211"/>
  <c r="BH211" s="1"/>
  <c r="BG211"/>
  <c r="F212"/>
  <c r="BF212"/>
  <c r="BH212" s="1"/>
  <c r="BG212"/>
  <c r="BI212" s="1"/>
  <c r="F213"/>
  <c r="BF213"/>
  <c r="BH213" s="1"/>
  <c r="BG213"/>
  <c r="F214"/>
  <c r="BF214"/>
  <c r="BH214" s="1"/>
  <c r="BG214"/>
  <c r="F215"/>
  <c r="BF215"/>
  <c r="BH215" s="1"/>
  <c r="BG215"/>
  <c r="BI215" s="1"/>
  <c r="F216"/>
  <c r="BF216"/>
  <c r="BH216" s="1"/>
  <c r="BG216"/>
  <c r="F217"/>
  <c r="BF217"/>
  <c r="BH217" s="1"/>
  <c r="BG217"/>
  <c r="BI217" s="1"/>
  <c r="F218"/>
  <c r="BF218"/>
  <c r="BG218"/>
  <c r="BI218" s="1"/>
  <c r="F219"/>
  <c r="BF219"/>
  <c r="BH219" s="1"/>
  <c r="BG219"/>
  <c r="F220"/>
  <c r="BF220"/>
  <c r="BH220" s="1"/>
  <c r="BG220"/>
  <c r="F221"/>
  <c r="BF221"/>
  <c r="BH221" s="1"/>
  <c r="BG221"/>
  <c r="BI221" s="1"/>
  <c r="F222"/>
  <c r="BF222"/>
  <c r="BH222" s="1"/>
  <c r="BG222"/>
  <c r="BI222" s="1"/>
  <c r="F223"/>
  <c r="BF223"/>
  <c r="BH223" s="1"/>
  <c r="BG223"/>
  <c r="BI223" s="1"/>
  <c r="F224"/>
  <c r="BF224"/>
  <c r="BG224"/>
  <c r="BI224" s="1"/>
  <c r="F225"/>
  <c r="BF225"/>
  <c r="BH225" s="1"/>
  <c r="BG225"/>
  <c r="F226"/>
  <c r="BF226"/>
  <c r="BH226" s="1"/>
  <c r="BG226"/>
  <c r="F227"/>
  <c r="BF227"/>
  <c r="BH227" s="1"/>
  <c r="BG227"/>
  <c r="F228"/>
  <c r="BF228"/>
  <c r="BH228" s="1"/>
  <c r="BG228"/>
  <c r="F229"/>
  <c r="BF229"/>
  <c r="BH229" s="1"/>
  <c r="BG229"/>
  <c r="F230"/>
  <c r="BF230"/>
  <c r="BH230" s="1"/>
  <c r="BG230"/>
  <c r="BI230" s="1"/>
  <c r="F231"/>
  <c r="BF231"/>
  <c r="BH231" s="1"/>
  <c r="BG231"/>
  <c r="BI231" s="1"/>
  <c r="F232"/>
  <c r="BF232"/>
  <c r="BG232"/>
  <c r="BI232" s="1"/>
  <c r="F233"/>
  <c r="BF233"/>
  <c r="BH233" s="1"/>
  <c r="BG233"/>
  <c r="BI233" s="1"/>
  <c r="F234"/>
  <c r="BF234"/>
  <c r="BH234" s="1"/>
  <c r="BG234"/>
  <c r="F235"/>
  <c r="BF235"/>
  <c r="BG235"/>
  <c r="BI235" s="1"/>
  <c r="F236"/>
  <c r="BF236"/>
  <c r="BG236"/>
  <c r="F237"/>
  <c r="BF237"/>
  <c r="BH237" s="1"/>
  <c r="BG237"/>
  <c r="BI237" s="1"/>
  <c r="F238"/>
  <c r="BF238"/>
  <c r="BH238" s="1"/>
  <c r="BG238"/>
  <c r="BI238" s="1"/>
  <c r="F239"/>
  <c r="BF239"/>
  <c r="BH239" s="1"/>
  <c r="BG239"/>
  <c r="F240"/>
  <c r="BF240"/>
  <c r="BG240"/>
  <c r="F241"/>
  <c r="BF241"/>
  <c r="BH241" s="1"/>
  <c r="BG241"/>
  <c r="F242"/>
  <c r="BF242"/>
  <c r="BH242" s="1"/>
  <c r="BG242"/>
  <c r="F243"/>
  <c r="BF243"/>
  <c r="BH243" s="1"/>
  <c r="BG243"/>
  <c r="F244"/>
  <c r="BF244"/>
  <c r="BG244"/>
  <c r="BI244" s="1"/>
  <c r="F245"/>
  <c r="BF245"/>
  <c r="BG245"/>
  <c r="F246"/>
  <c r="BF246"/>
  <c r="BH246" s="1"/>
  <c r="BG246"/>
  <c r="F247"/>
  <c r="BF247"/>
  <c r="BH247" s="1"/>
  <c r="BG247"/>
  <c r="F248"/>
  <c r="BF248"/>
  <c r="BH248" s="1"/>
  <c r="BG248"/>
  <c r="F249"/>
  <c r="BF249"/>
  <c r="BH249" s="1"/>
  <c r="BG249"/>
  <c r="F250"/>
  <c r="BF250"/>
  <c r="BH250" s="1"/>
  <c r="BG250"/>
  <c r="F251"/>
  <c r="BF251"/>
  <c r="BG251"/>
  <c r="BI251" s="1"/>
  <c r="F252"/>
  <c r="BF252"/>
  <c r="BH252" s="1"/>
  <c r="BG252"/>
  <c r="BI252" s="1"/>
  <c r="F253"/>
  <c r="BF253"/>
  <c r="BH253" s="1"/>
  <c r="BG253"/>
  <c r="F254"/>
  <c r="BF254"/>
  <c r="BH254" s="1"/>
  <c r="BG254"/>
  <c r="F255"/>
  <c r="BF255"/>
  <c r="BG255"/>
  <c r="BI255" s="1"/>
  <c r="F256"/>
  <c r="BF256"/>
  <c r="BH256" s="1"/>
  <c r="BG256"/>
  <c r="F257"/>
  <c r="BF257"/>
  <c r="BH257" s="1"/>
  <c r="BG257"/>
  <c r="F258"/>
  <c r="BF258"/>
  <c r="BG258"/>
  <c r="F259"/>
  <c r="BF259"/>
  <c r="BG259"/>
  <c r="BI259" s="1"/>
  <c r="F260"/>
  <c r="BF260"/>
  <c r="BH260" s="1"/>
  <c r="BG260"/>
  <c r="BI260" s="1"/>
  <c r="F261"/>
  <c r="BF261"/>
  <c r="BH261" s="1"/>
  <c r="BG261"/>
  <c r="F262"/>
  <c r="BF262"/>
  <c r="BH262" s="1"/>
  <c r="BG262"/>
  <c r="F263"/>
  <c r="BF263"/>
  <c r="BH263" s="1"/>
  <c r="BG263"/>
  <c r="F264"/>
  <c r="BF264"/>
  <c r="BH264" s="1"/>
  <c r="BG264"/>
  <c r="F265"/>
  <c r="BF265"/>
  <c r="BH265" s="1"/>
  <c r="BG265"/>
  <c r="BI265" s="1"/>
  <c r="F266"/>
  <c r="BF266"/>
  <c r="BH266" s="1"/>
  <c r="BG266"/>
  <c r="F267"/>
  <c r="BF267"/>
  <c r="BG267"/>
  <c r="BI267" s="1"/>
  <c r="F268"/>
  <c r="BF268"/>
  <c r="BH268" s="1"/>
  <c r="BG268"/>
  <c r="BI268" s="1"/>
  <c r="F269"/>
  <c r="BF269"/>
  <c r="BH269" s="1"/>
  <c r="BG269"/>
  <c r="BI269" s="1"/>
  <c r="F270"/>
  <c r="BF270"/>
  <c r="BH270" s="1"/>
  <c r="BG270"/>
  <c r="BI270" s="1"/>
  <c r="F271"/>
  <c r="BF271"/>
  <c r="BH271" s="1"/>
  <c r="BG271"/>
  <c r="BI271" s="1"/>
  <c r="F272"/>
  <c r="BF272"/>
  <c r="BH272" s="1"/>
  <c r="BG272"/>
  <c r="F273"/>
  <c r="BF273"/>
  <c r="BH273" s="1"/>
  <c r="BG273"/>
  <c r="F274"/>
  <c r="BF274"/>
  <c r="BH274" s="1"/>
  <c r="BG274"/>
  <c r="F275"/>
  <c r="BF275"/>
  <c r="BG275"/>
  <c r="BI275" s="1"/>
  <c r="F276"/>
  <c r="BF276"/>
  <c r="BH276" s="1"/>
  <c r="BG276"/>
  <c r="F277"/>
  <c r="BF277"/>
  <c r="BH277" s="1"/>
  <c r="BG277"/>
  <c r="BI277" s="1"/>
  <c r="F278"/>
  <c r="BF278"/>
  <c r="BH278" s="1"/>
  <c r="BG278"/>
  <c r="F279"/>
  <c r="BF279"/>
  <c r="BG279"/>
  <c r="F280"/>
  <c r="BF280"/>
  <c r="BH280" s="1"/>
  <c r="BG280"/>
  <c r="F281"/>
  <c r="BF281"/>
  <c r="BG281"/>
  <c r="BI281" s="1"/>
  <c r="F282"/>
  <c r="BF282"/>
  <c r="BH282" s="1"/>
  <c r="BG282"/>
  <c r="F283"/>
  <c r="BF283"/>
  <c r="BH283" s="1"/>
  <c r="BG283"/>
  <c r="F284"/>
  <c r="BF284"/>
  <c r="BH284" s="1"/>
  <c r="BG284"/>
  <c r="F285"/>
  <c r="BF285"/>
  <c r="BH285" s="1"/>
  <c r="BG285"/>
  <c r="BI285" s="1"/>
  <c r="F286"/>
  <c r="BF286"/>
  <c r="BG286"/>
  <c r="F287"/>
  <c r="BF287"/>
  <c r="BH287" s="1"/>
  <c r="BG287"/>
  <c r="F288"/>
  <c r="BF288"/>
  <c r="BG288"/>
  <c r="BI288" s="1"/>
  <c r="F289"/>
  <c r="BF289"/>
  <c r="BH289" s="1"/>
  <c r="BG289"/>
  <c r="BI289" s="1"/>
  <c r="F290"/>
  <c r="BF290"/>
  <c r="BH290" s="1"/>
  <c r="BG290"/>
  <c r="F291"/>
  <c r="BF291"/>
  <c r="BH291" s="1"/>
  <c r="BG291"/>
  <c r="BI291" s="1"/>
  <c r="F292"/>
  <c r="BF292"/>
  <c r="BH292" s="1"/>
  <c r="BG292"/>
  <c r="F293"/>
  <c r="BF293"/>
  <c r="BH293" s="1"/>
  <c r="BG293"/>
  <c r="F294"/>
  <c r="BF294"/>
  <c r="BH294" s="1"/>
  <c r="BG294"/>
  <c r="F295"/>
  <c r="BF295"/>
  <c r="BG295"/>
  <c r="BI295" s="1"/>
  <c r="F296"/>
  <c r="BF296"/>
  <c r="BH296" s="1"/>
  <c r="BG296"/>
  <c r="BI296" s="1"/>
  <c r="F297"/>
  <c r="BF297"/>
  <c r="BH297" s="1"/>
  <c r="BG297"/>
  <c r="F298"/>
  <c r="BF298"/>
  <c r="BH298" s="1"/>
  <c r="BG298"/>
  <c r="BI298" s="1"/>
  <c r="F299"/>
  <c r="BF299"/>
  <c r="BH299" s="1"/>
  <c r="BG299"/>
  <c r="F300"/>
  <c r="BF300"/>
  <c r="BH300" s="1"/>
  <c r="BG300"/>
  <c r="F301"/>
  <c r="BF301"/>
  <c r="BH301" s="1"/>
  <c r="BG301"/>
  <c r="F302"/>
  <c r="BF302"/>
  <c r="BG302"/>
  <c r="BI302" s="1"/>
  <c r="F303"/>
  <c r="BF303"/>
  <c r="BH303" s="1"/>
  <c r="BG303"/>
  <c r="BM303" s="1"/>
  <c r="F304"/>
  <c r="BF304"/>
  <c r="BG304"/>
  <c r="BI304" s="1"/>
  <c r="F305"/>
  <c r="BF305"/>
  <c r="BH305" s="1"/>
  <c r="BG305"/>
  <c r="BI305" s="1"/>
  <c r="F306"/>
  <c r="BF306"/>
  <c r="BG306"/>
  <c r="F307"/>
  <c r="BF307"/>
  <c r="BH307" s="1"/>
  <c r="BG307"/>
  <c r="F308"/>
  <c r="BF308"/>
  <c r="BG308"/>
  <c r="BI308" s="1"/>
  <c r="F309"/>
  <c r="BF309"/>
  <c r="BH309" s="1"/>
  <c r="BG309"/>
  <c r="BI309" s="1"/>
  <c r="F310"/>
  <c r="BF310"/>
  <c r="BH310" s="1"/>
  <c r="BG310"/>
  <c r="BI310" s="1"/>
  <c r="F311"/>
  <c r="BF311"/>
  <c r="BH311" s="1"/>
  <c r="BG311"/>
  <c r="BI311" s="1"/>
  <c r="F312"/>
  <c r="BF312"/>
  <c r="BG312"/>
  <c r="F313"/>
  <c r="BF313"/>
  <c r="BH313" s="1"/>
  <c r="BG313"/>
  <c r="F314"/>
  <c r="BF314"/>
  <c r="BH314" s="1"/>
  <c r="BG314"/>
  <c r="F315"/>
  <c r="BF315"/>
  <c r="BH315" s="1"/>
  <c r="BG315"/>
  <c r="BI315" s="1"/>
  <c r="F316"/>
  <c r="BF316"/>
  <c r="BH316" s="1"/>
  <c r="BG316"/>
  <c r="F317"/>
  <c r="BF317"/>
  <c r="BH317" s="1"/>
  <c r="BG317"/>
  <c r="BI317" s="1"/>
  <c r="F318"/>
  <c r="AX318"/>
  <c r="BB318"/>
  <c r="BF318"/>
  <c r="BG318"/>
  <c r="BI318" s="1"/>
  <c r="F319"/>
  <c r="AX319"/>
  <c r="BB319"/>
  <c r="BF319"/>
  <c r="BH319" s="1"/>
  <c r="BG319"/>
  <c r="BI319" s="1"/>
  <c r="F320"/>
  <c r="AX320"/>
  <c r="BB320"/>
  <c r="BF320"/>
  <c r="BH320" s="1"/>
  <c r="BG320"/>
  <c r="BI320" s="1"/>
  <c r="F321"/>
  <c r="AX321"/>
  <c r="BB321"/>
  <c r="BF321"/>
  <c r="BH321" s="1"/>
  <c r="BG321"/>
  <c r="BI321" s="1"/>
  <c r="F322"/>
  <c r="AX322"/>
  <c r="BB322"/>
  <c r="BF322"/>
  <c r="BH322" s="1"/>
  <c r="BG322"/>
  <c r="F323"/>
  <c r="AX323"/>
  <c r="BB323"/>
  <c r="BF323"/>
  <c r="BH323" s="1"/>
  <c r="BG323"/>
  <c r="F324"/>
  <c r="AX324"/>
  <c r="BB324"/>
  <c r="BF324"/>
  <c r="BH324" s="1"/>
  <c r="BG324"/>
  <c r="F325"/>
  <c r="AX325"/>
  <c r="BB325"/>
  <c r="BF325"/>
  <c r="BH325" s="1"/>
  <c r="BG325"/>
  <c r="F326"/>
  <c r="AX326"/>
  <c r="BB326"/>
  <c r="BF326"/>
  <c r="BG326"/>
  <c r="F327"/>
  <c r="AX327"/>
  <c r="BB327"/>
  <c r="BF327"/>
  <c r="BH327" s="1"/>
  <c r="BG327"/>
  <c r="BI327" s="1"/>
  <c r="F328"/>
  <c r="AX328"/>
  <c r="BB328"/>
  <c r="BF328"/>
  <c r="BH328" s="1"/>
  <c r="BG328"/>
  <c r="F329"/>
  <c r="AX329"/>
  <c r="BB329"/>
  <c r="BF329"/>
  <c r="BG329"/>
  <c r="BI329" s="1"/>
  <c r="F330"/>
  <c r="AX330"/>
  <c r="BB330"/>
  <c r="BF330"/>
  <c r="BH330" s="1"/>
  <c r="BG330"/>
  <c r="F331"/>
  <c r="AX331"/>
  <c r="BB331"/>
  <c r="BF331"/>
  <c r="BG331"/>
  <c r="F332"/>
  <c r="AX332"/>
  <c r="BB332"/>
  <c r="BF332"/>
  <c r="BH332" s="1"/>
  <c r="BG332"/>
  <c r="BI332" s="1"/>
  <c r="F333"/>
  <c r="AX333"/>
  <c r="BB333"/>
  <c r="BF333"/>
  <c r="BH333" s="1"/>
  <c r="BG333"/>
  <c r="F334"/>
  <c r="AX334"/>
  <c r="BB334"/>
  <c r="BF334"/>
  <c r="BH334" s="1"/>
  <c r="BG334"/>
  <c r="F335"/>
  <c r="AX335"/>
  <c r="BB335"/>
  <c r="BF335"/>
  <c r="BH335" s="1"/>
  <c r="BG335"/>
  <c r="F336"/>
  <c r="AX336"/>
  <c r="BB336"/>
  <c r="BF336"/>
  <c r="BH336" s="1"/>
  <c r="BG336"/>
  <c r="BI336" s="1"/>
  <c r="F337"/>
  <c r="AX337"/>
  <c r="BB337"/>
  <c r="BF337"/>
  <c r="BH337" s="1"/>
  <c r="BG337"/>
  <c r="BI337" s="1"/>
  <c r="F338"/>
  <c r="AX338"/>
  <c r="BB338"/>
  <c r="BF338"/>
  <c r="BH338" s="1"/>
  <c r="BG338"/>
  <c r="BI338" s="1"/>
  <c r="F339"/>
  <c r="AX339"/>
  <c r="BB339"/>
  <c r="BF339"/>
  <c r="BH339" s="1"/>
  <c r="BG339"/>
  <c r="F340"/>
  <c r="AX340"/>
  <c r="BB340"/>
  <c r="BF340"/>
  <c r="BH340" s="1"/>
  <c r="BG340"/>
  <c r="F341"/>
  <c r="AX341"/>
  <c r="BB341"/>
  <c r="BF341"/>
  <c r="BH341" s="1"/>
  <c r="BG341"/>
  <c r="BL341" s="1"/>
  <c r="F342"/>
  <c r="AX342"/>
  <c r="BB342"/>
  <c r="BF342"/>
  <c r="BH342" s="1"/>
  <c r="BG342"/>
  <c r="BI342" s="1"/>
  <c r="F343"/>
  <c r="AX343"/>
  <c r="BB343"/>
  <c r="BF343"/>
  <c r="BG343"/>
  <c r="BI343" s="1"/>
  <c r="F344"/>
  <c r="AX344"/>
  <c r="BB344"/>
  <c r="BF344"/>
  <c r="BH344" s="1"/>
  <c r="BG344"/>
  <c r="F345"/>
  <c r="AX345"/>
  <c r="BB345"/>
  <c r="BF345"/>
  <c r="BG345"/>
  <c r="BI345" s="1"/>
  <c r="F346"/>
  <c r="AX346"/>
  <c r="BB346"/>
  <c r="BF346"/>
  <c r="BH346" s="1"/>
  <c r="BG346"/>
  <c r="F347"/>
  <c r="AX347"/>
  <c r="BB347"/>
  <c r="BF347"/>
  <c r="BH347" s="1"/>
  <c r="BG347"/>
  <c r="F348"/>
  <c r="AX348"/>
  <c r="BB348"/>
  <c r="BF348"/>
  <c r="BH348" s="1"/>
  <c r="BG348"/>
  <c r="BI348" s="1"/>
  <c r="F349"/>
  <c r="AX349"/>
  <c r="BB349"/>
  <c r="BF349"/>
  <c r="BH349" s="1"/>
  <c r="BG349"/>
  <c r="F350"/>
  <c r="AX350"/>
  <c r="BB350"/>
  <c r="BF350"/>
  <c r="BH350" s="1"/>
  <c r="BG350"/>
  <c r="BI350" s="1"/>
  <c r="F351"/>
  <c r="AX351"/>
  <c r="BB351"/>
  <c r="BF351"/>
  <c r="BH351" s="1"/>
  <c r="BG351"/>
  <c r="F352"/>
  <c r="AX352"/>
  <c r="BB352"/>
  <c r="BF352"/>
  <c r="BH352" s="1"/>
  <c r="BG352"/>
  <c r="BM352" s="1"/>
  <c r="F353"/>
  <c r="AX353"/>
  <c r="BB353"/>
  <c r="BF353"/>
  <c r="BH353" s="1"/>
  <c r="BG353"/>
  <c r="F354"/>
  <c r="AX354"/>
  <c r="BB354"/>
  <c r="BF354"/>
  <c r="BG354"/>
  <c r="F355"/>
  <c r="AX355"/>
  <c r="BB355"/>
  <c r="BF355"/>
  <c r="BG355"/>
  <c r="BI355" s="1"/>
  <c r="F356"/>
  <c r="AX356"/>
  <c r="BB356"/>
  <c r="BF356"/>
  <c r="BG356"/>
  <c r="BI356" s="1"/>
  <c r="F357"/>
  <c r="AX357"/>
  <c r="BB357"/>
  <c r="BF357"/>
  <c r="BH357" s="1"/>
  <c r="BG357"/>
  <c r="BI357" s="1"/>
  <c r="F358"/>
  <c r="AX358"/>
  <c r="BB358"/>
  <c r="BF358"/>
  <c r="BH358" s="1"/>
  <c r="BG358"/>
  <c r="F359"/>
  <c r="AX359"/>
  <c r="BB359"/>
  <c r="BF359"/>
  <c r="BH359" s="1"/>
  <c r="BG359"/>
  <c r="BI359" s="1"/>
  <c r="F360"/>
  <c r="AX360"/>
  <c r="BB360"/>
  <c r="BF360"/>
  <c r="BH360" s="1"/>
  <c r="BG360"/>
  <c r="F361"/>
  <c r="AX361"/>
  <c r="BB361"/>
  <c r="BF361"/>
  <c r="BH361" s="1"/>
  <c r="BG361"/>
  <c r="BI361" s="1"/>
  <c r="F362"/>
  <c r="AX362"/>
  <c r="BB362"/>
  <c r="BF362"/>
  <c r="BH362" s="1"/>
  <c r="BG362"/>
  <c r="BI362" s="1"/>
  <c r="F363"/>
  <c r="AX363"/>
  <c r="BB363"/>
  <c r="BF363"/>
  <c r="BG363"/>
  <c r="F364"/>
  <c r="AX364"/>
  <c r="BB364"/>
  <c r="BF364"/>
  <c r="BH364" s="1"/>
  <c r="BG364"/>
  <c r="BI364" s="1"/>
  <c r="F365"/>
  <c r="AX365"/>
  <c r="BB365"/>
  <c r="BF365"/>
  <c r="BH365" s="1"/>
  <c r="BG365"/>
  <c r="F366"/>
  <c r="AX366"/>
  <c r="BB366"/>
  <c r="BF366"/>
  <c r="BH366" s="1"/>
  <c r="BG366"/>
  <c r="F367"/>
  <c r="AX367"/>
  <c r="BB367"/>
  <c r="BF367"/>
  <c r="BH367" s="1"/>
  <c r="BG367"/>
  <c r="F368"/>
  <c r="AX368"/>
  <c r="BB368"/>
  <c r="BF368"/>
  <c r="BG368"/>
  <c r="F369"/>
  <c r="AX369"/>
  <c r="BB369"/>
  <c r="BF369"/>
  <c r="BG369"/>
  <c r="BI369" s="1"/>
  <c r="F370"/>
  <c r="AX370"/>
  <c r="BB370"/>
  <c r="BF370"/>
  <c r="BH370" s="1"/>
  <c r="BG370"/>
  <c r="BI370" s="1"/>
  <c r="F371"/>
  <c r="AX371"/>
  <c r="BB371"/>
  <c r="BF371"/>
  <c r="BH371" s="1"/>
  <c r="BG371"/>
  <c r="BI371" s="1"/>
  <c r="F372"/>
  <c r="AX372"/>
  <c r="BB372"/>
  <c r="BF372"/>
  <c r="BH372" s="1"/>
  <c r="BG372"/>
  <c r="F373"/>
  <c r="AX373"/>
  <c r="BB373"/>
  <c r="BF373"/>
  <c r="BL373" s="1"/>
  <c r="BG373"/>
  <c r="F374"/>
  <c r="AX374"/>
  <c r="BB374"/>
  <c r="BF374"/>
  <c r="BH374" s="1"/>
  <c r="BG374"/>
  <c r="F375"/>
  <c r="AX375"/>
  <c r="BB375"/>
  <c r="BF375"/>
  <c r="BH375" s="1"/>
  <c r="BG375"/>
  <c r="BI375" s="1"/>
  <c r="F376"/>
  <c r="AX376"/>
  <c r="BB376"/>
  <c r="BF376"/>
  <c r="BH376" s="1"/>
  <c r="BG376"/>
  <c r="BI376" s="1"/>
  <c r="F377"/>
  <c r="AX377"/>
  <c r="BB377"/>
  <c r="BF377"/>
  <c r="BG377"/>
  <c r="F378"/>
  <c r="AX378"/>
  <c r="BB378"/>
  <c r="BF378"/>
  <c r="BH378" s="1"/>
  <c r="BG378"/>
  <c r="BI378" s="1"/>
  <c r="F379"/>
  <c r="AX379"/>
  <c r="BB379"/>
  <c r="BF379"/>
  <c r="BH379" s="1"/>
  <c r="BG379"/>
  <c r="F380"/>
  <c r="AX380"/>
  <c r="BB380"/>
  <c r="BF380"/>
  <c r="BH380" s="1"/>
  <c r="BG380"/>
  <c r="BI380" s="1"/>
  <c r="F381"/>
  <c r="AX381"/>
  <c r="BB381"/>
  <c r="BF381"/>
  <c r="BH381" s="1"/>
  <c r="BG381"/>
  <c r="BI381" s="1"/>
  <c r="F382"/>
  <c r="AX382"/>
  <c r="BB382"/>
  <c r="BF382"/>
  <c r="BH382" s="1"/>
  <c r="BG382"/>
  <c r="F383"/>
  <c r="AX383"/>
  <c r="BB383"/>
  <c r="BF383"/>
  <c r="BH383" s="1"/>
  <c r="BG383"/>
  <c r="F384"/>
  <c r="AX384"/>
  <c r="BB384"/>
  <c r="BF384"/>
  <c r="BH384" s="1"/>
  <c r="BG384"/>
  <c r="BI384" s="1"/>
  <c r="F385"/>
  <c r="AX385"/>
  <c r="BB385"/>
  <c r="BF385"/>
  <c r="BH385" s="1"/>
  <c r="BG385"/>
  <c r="BI385" s="1"/>
  <c r="F386"/>
  <c r="AX386"/>
  <c r="BB386"/>
  <c r="BF386"/>
  <c r="BG386"/>
  <c r="F387"/>
  <c r="AX387"/>
  <c r="BB387"/>
  <c r="BF387"/>
  <c r="BH387" s="1"/>
  <c r="BG387"/>
  <c r="F388"/>
  <c r="AX388"/>
  <c r="BB388"/>
  <c r="BF388"/>
  <c r="BH388" s="1"/>
  <c r="BG388"/>
  <c r="F389"/>
  <c r="AX389"/>
  <c r="BB389"/>
  <c r="BF389"/>
  <c r="BH389" s="1"/>
  <c r="BG389"/>
  <c r="BI389" s="1"/>
  <c r="F390"/>
  <c r="AX390"/>
  <c r="BB390"/>
  <c r="BF390"/>
  <c r="BH390" s="1"/>
  <c r="BG390"/>
  <c r="F391"/>
  <c r="AX391"/>
  <c r="BB391"/>
  <c r="BF391"/>
  <c r="BH391" s="1"/>
  <c r="BG391"/>
  <c r="F392"/>
  <c r="AX392"/>
  <c r="BB392"/>
  <c r="BF392"/>
  <c r="BH392" s="1"/>
  <c r="BG392"/>
  <c r="F393"/>
  <c r="AX393"/>
  <c r="BB393"/>
  <c r="BF393"/>
  <c r="BG393"/>
  <c r="BI393" s="1"/>
  <c r="F394"/>
  <c r="AX394"/>
  <c r="BB394"/>
  <c r="BF394"/>
  <c r="BH394" s="1"/>
  <c r="BG394"/>
  <c r="BI394" s="1"/>
  <c r="F395"/>
  <c r="AX395"/>
  <c r="BB395"/>
  <c r="BF395"/>
  <c r="BH395" s="1"/>
  <c r="BG395"/>
  <c r="F396"/>
  <c r="AX396"/>
  <c r="BB396"/>
  <c r="BF396"/>
  <c r="BH396" s="1"/>
  <c r="BG396"/>
  <c r="F397"/>
  <c r="AX397"/>
  <c r="BB397"/>
  <c r="BF397"/>
  <c r="BH397" s="1"/>
  <c r="BG397"/>
  <c r="F398"/>
  <c r="AX398"/>
  <c r="BB398"/>
  <c r="BF398"/>
  <c r="BH398" s="1"/>
  <c r="BG398"/>
  <c r="F399"/>
  <c r="AX399"/>
  <c r="BB399"/>
  <c r="BF399"/>
  <c r="BG399"/>
  <c r="F400"/>
  <c r="AX400"/>
  <c r="BB400"/>
  <c r="BF400"/>
  <c r="BG400"/>
  <c r="BI400" s="1"/>
  <c r="F401"/>
  <c r="AX401"/>
  <c r="BB401"/>
  <c r="BF401"/>
  <c r="BH401" s="1"/>
  <c r="BG401"/>
  <c r="F402"/>
  <c r="AX402"/>
  <c r="BB402"/>
  <c r="BF402"/>
  <c r="BH402" s="1"/>
  <c r="BG402"/>
  <c r="F403"/>
  <c r="AX403"/>
  <c r="BB403"/>
  <c r="BF403"/>
  <c r="BH403" s="1"/>
  <c r="BG403"/>
  <c r="BI403" s="1"/>
  <c r="F404"/>
  <c r="AX404"/>
  <c r="BB404"/>
  <c r="BF404"/>
  <c r="BH404" s="1"/>
  <c r="BG404"/>
  <c r="BI404" s="1"/>
  <c r="F405"/>
  <c r="AX405"/>
  <c r="BB405"/>
  <c r="BF405"/>
  <c r="BG405"/>
  <c r="F406"/>
  <c r="AX406"/>
  <c r="BB406"/>
  <c r="BF406"/>
  <c r="BG406"/>
  <c r="F407"/>
  <c r="AX407"/>
  <c r="BB407"/>
  <c r="BF407"/>
  <c r="BH407" s="1"/>
  <c r="BG407"/>
  <c r="BI407" s="1"/>
  <c r="F408"/>
  <c r="AX408"/>
  <c r="BB408"/>
  <c r="BF408"/>
  <c r="BH408" s="1"/>
  <c r="BG408"/>
  <c r="BI408" s="1"/>
  <c r="F409"/>
  <c r="AX409"/>
  <c r="BB409"/>
  <c r="BF409"/>
  <c r="BH409" s="1"/>
  <c r="BG409"/>
  <c r="F410"/>
  <c r="AX410"/>
  <c r="BB410"/>
  <c r="BF410"/>
  <c r="BH410" s="1"/>
  <c r="BG410"/>
  <c r="F411"/>
  <c r="AX411"/>
  <c r="BB411"/>
  <c r="BF411"/>
  <c r="BH411" s="1"/>
  <c r="BG411"/>
  <c r="BI411" s="1"/>
  <c r="F412"/>
  <c r="AX412"/>
  <c r="BB412"/>
  <c r="BF412"/>
  <c r="BG412"/>
  <c r="F413"/>
  <c r="AX413"/>
  <c r="BB413"/>
  <c r="BF413"/>
  <c r="BH413" s="1"/>
  <c r="BG413"/>
  <c r="BI413" s="1"/>
  <c r="F414"/>
  <c r="AX414"/>
  <c r="BB414"/>
  <c r="BF414"/>
  <c r="BH414" s="1"/>
  <c r="BG414"/>
  <c r="F415"/>
  <c r="AX415"/>
  <c r="BB415"/>
  <c r="BF415"/>
  <c r="BG415"/>
  <c r="BI415" s="1"/>
  <c r="F416"/>
  <c r="AX416"/>
  <c r="BB416"/>
  <c r="BF416"/>
  <c r="BH416" s="1"/>
  <c r="BG416"/>
  <c r="F417"/>
  <c r="AX417"/>
  <c r="BB417"/>
  <c r="BF417"/>
  <c r="BG417"/>
  <c r="F418"/>
  <c r="AX418"/>
  <c r="BB418"/>
  <c r="BF418"/>
  <c r="BG418"/>
  <c r="BI418" s="1"/>
  <c r="F419"/>
  <c r="AX419"/>
  <c r="BB419"/>
  <c r="BF419"/>
  <c r="BH419" s="1"/>
  <c r="BG419"/>
  <c r="F420"/>
  <c r="AX420"/>
  <c r="BB420"/>
  <c r="BF420"/>
  <c r="BG420"/>
  <c r="BI420" s="1"/>
  <c r="F421"/>
  <c r="AX421"/>
  <c r="BB421"/>
  <c r="BF421"/>
  <c r="BH421" s="1"/>
  <c r="BG421"/>
  <c r="BI421" s="1"/>
  <c r="F422"/>
  <c r="AX422"/>
  <c r="BB422"/>
  <c r="BF422"/>
  <c r="BH422" s="1"/>
  <c r="BG422"/>
  <c r="BI422" s="1"/>
  <c r="F423"/>
  <c r="AX423"/>
  <c r="BB423"/>
  <c r="BF423"/>
  <c r="BG423"/>
  <c r="F424"/>
  <c r="AX424"/>
  <c r="BB424"/>
  <c r="BF424"/>
  <c r="BG424"/>
  <c r="BI424" s="1"/>
  <c r="F425"/>
  <c r="AX425"/>
  <c r="BB425"/>
  <c r="BF425"/>
  <c r="BG425"/>
  <c r="BI425" s="1"/>
  <c r="F426"/>
  <c r="AX426"/>
  <c r="BB426"/>
  <c r="BF426"/>
  <c r="BH426" s="1"/>
  <c r="BG426"/>
  <c r="F427"/>
  <c r="AX427"/>
  <c r="BB427"/>
  <c r="BF427"/>
  <c r="BH427" s="1"/>
  <c r="BG427"/>
  <c r="F428"/>
  <c r="AX428"/>
  <c r="BB428"/>
  <c r="BF428"/>
  <c r="BH428" s="1"/>
  <c r="BG428"/>
  <c r="BI428" s="1"/>
  <c r="F429"/>
  <c r="AX429"/>
  <c r="BB429"/>
  <c r="BF429"/>
  <c r="BG429"/>
  <c r="BI429" s="1"/>
  <c r="F430"/>
  <c r="AX430"/>
  <c r="BB430"/>
  <c r="BF430"/>
  <c r="BG430"/>
  <c r="F431"/>
  <c r="AX431"/>
  <c r="BB431"/>
  <c r="BF431"/>
  <c r="BH431" s="1"/>
  <c r="BG431"/>
  <c r="F432"/>
  <c r="AX432"/>
  <c r="BB432"/>
  <c r="BF432"/>
  <c r="BH432" s="1"/>
  <c r="BG432"/>
  <c r="F433"/>
  <c r="AX433"/>
  <c r="BB433"/>
  <c r="BF433"/>
  <c r="BH433" s="1"/>
  <c r="BG433"/>
  <c r="BI433" s="1"/>
  <c r="F434"/>
  <c r="AX434"/>
  <c r="BB434"/>
  <c r="BF434"/>
  <c r="BG434"/>
  <c r="BI434" s="1"/>
  <c r="F435"/>
  <c r="AX435"/>
  <c r="BB435"/>
  <c r="BF435"/>
  <c r="BG435"/>
  <c r="BI435" s="1"/>
  <c r="F436"/>
  <c r="AX436"/>
  <c r="BB436"/>
  <c r="BF436"/>
  <c r="BH436" s="1"/>
  <c r="BG436"/>
  <c r="F437"/>
  <c r="AX437"/>
  <c r="BB437"/>
  <c r="BF437"/>
  <c r="BH437" s="1"/>
  <c r="BG437"/>
  <c r="BI437" s="1"/>
  <c r="F438"/>
  <c r="AX438"/>
  <c r="BB438"/>
  <c r="BF438"/>
  <c r="BG438"/>
  <c r="BI438" s="1"/>
  <c r="F439"/>
  <c r="AX439"/>
  <c r="BB439"/>
  <c r="BF439"/>
  <c r="BH439" s="1"/>
  <c r="BG439"/>
  <c r="BI439" s="1"/>
  <c r="F440"/>
  <c r="AX440"/>
  <c r="BB440"/>
  <c r="BF440"/>
  <c r="BH440" s="1"/>
  <c r="BG440"/>
  <c r="F441"/>
  <c r="AX441"/>
  <c r="BB441"/>
  <c r="BF441"/>
  <c r="BH441" s="1"/>
  <c r="BG441"/>
  <c r="BI441" s="1"/>
  <c r="F442"/>
  <c r="AX442"/>
  <c r="BB442"/>
  <c r="BF442"/>
  <c r="BH442" s="1"/>
  <c r="BG442"/>
  <c r="BI442" s="1"/>
  <c r="F443"/>
  <c r="AX443"/>
  <c r="BB443"/>
  <c r="BF443"/>
  <c r="BG443"/>
  <c r="BI443" s="1"/>
  <c r="F444"/>
  <c r="AX444"/>
  <c r="BB444"/>
  <c r="BF444"/>
  <c r="BH444" s="1"/>
  <c r="BG444"/>
  <c r="F445"/>
  <c r="AX445"/>
  <c r="BB445"/>
  <c r="BF445"/>
  <c r="BH445" s="1"/>
  <c r="BG445"/>
  <c r="BI445" s="1"/>
  <c r="F446"/>
  <c r="AX446"/>
  <c r="BB446"/>
  <c r="BF446"/>
  <c r="BH446" s="1"/>
  <c r="BG446"/>
  <c r="BI446" s="1"/>
  <c r="F447"/>
  <c r="AX447"/>
  <c r="BB447"/>
  <c r="BF447"/>
  <c r="BH447" s="1"/>
  <c r="BG447"/>
  <c r="BI447" s="1"/>
  <c r="F448"/>
  <c r="AX448"/>
  <c r="BB448"/>
  <c r="BF448"/>
  <c r="BG448"/>
  <c r="BI448" s="1"/>
  <c r="F449"/>
  <c r="AX449"/>
  <c r="BB449"/>
  <c r="BF449"/>
  <c r="BH449" s="1"/>
  <c r="BG449"/>
  <c r="BI449" s="1"/>
  <c r="F450"/>
  <c r="AX450"/>
  <c r="BB450"/>
  <c r="BF450"/>
  <c r="BH450" s="1"/>
  <c r="BG450"/>
  <c r="F451"/>
  <c r="AX451"/>
  <c r="BB451"/>
  <c r="BF451"/>
  <c r="BH451" s="1"/>
  <c r="BJ451" s="1"/>
  <c r="BG451"/>
  <c r="BI451" s="1"/>
  <c r="F452"/>
  <c r="AX452"/>
  <c r="BB452"/>
  <c r="BF452"/>
  <c r="BG452"/>
  <c r="BI452" s="1"/>
  <c r="F453"/>
  <c r="AX453"/>
  <c r="BB453"/>
  <c r="BF453"/>
  <c r="BG453"/>
  <c r="BI453" s="1"/>
  <c r="F454"/>
  <c r="AX454"/>
  <c r="BB454"/>
  <c r="BF454"/>
  <c r="BH454" s="1"/>
  <c r="BG454"/>
  <c r="F455"/>
  <c r="AX455"/>
  <c r="BB455"/>
  <c r="BF455"/>
  <c r="BH455" s="1"/>
  <c r="BG455"/>
  <c r="F456"/>
  <c r="AX456"/>
  <c r="BB456"/>
  <c r="BF456"/>
  <c r="BH456" s="1"/>
  <c r="BG456"/>
  <c r="BI456" s="1"/>
  <c r="F457"/>
  <c r="AX457"/>
  <c r="BB457"/>
  <c r="BF457"/>
  <c r="BH457" s="1"/>
  <c r="BG457"/>
  <c r="BI457" s="1"/>
  <c r="F458"/>
  <c r="AX458"/>
  <c r="BB458"/>
  <c r="BF458"/>
  <c r="BG458"/>
  <c r="F459"/>
  <c r="AX459"/>
  <c r="BB459"/>
  <c r="BF459"/>
  <c r="BH459" s="1"/>
  <c r="BJ459" s="1"/>
  <c r="BG459"/>
  <c r="BI459" s="1"/>
  <c r="F460"/>
  <c r="AX460"/>
  <c r="BB460"/>
  <c r="BF460"/>
  <c r="BG460"/>
  <c r="BI460" s="1"/>
  <c r="F461"/>
  <c r="AX461"/>
  <c r="BB461"/>
  <c r="BF461"/>
  <c r="BH461" s="1"/>
  <c r="BG461"/>
  <c r="BI461" s="1"/>
  <c r="F462"/>
  <c r="AX462"/>
  <c r="BB462"/>
  <c r="BF462"/>
  <c r="BH462" s="1"/>
  <c r="BG462"/>
  <c r="F463"/>
  <c r="AX463"/>
  <c r="BB463"/>
  <c r="BF463"/>
  <c r="BG463"/>
  <c r="BI463" s="1"/>
  <c r="F464"/>
  <c r="AX464"/>
  <c r="BB464"/>
  <c r="BF464"/>
  <c r="BH464" s="1"/>
  <c r="BG464"/>
  <c r="BI464" s="1"/>
  <c r="F465"/>
  <c r="AX465"/>
  <c r="BB465"/>
  <c r="BF465"/>
  <c r="BH465" s="1"/>
  <c r="BG465"/>
  <c r="F466"/>
  <c r="AX466"/>
  <c r="BB466"/>
  <c r="BF466"/>
  <c r="BH466" s="1"/>
  <c r="BG466"/>
  <c r="BI466" s="1"/>
  <c r="F467"/>
  <c r="AX467"/>
  <c r="BB467"/>
  <c r="BF467"/>
  <c r="BH467" s="1"/>
  <c r="BG467"/>
  <c r="BI467" s="1"/>
  <c r="F468"/>
  <c r="AX468"/>
  <c r="BB468"/>
  <c r="BF468"/>
  <c r="BH468" s="1"/>
  <c r="BG468"/>
  <c r="F469"/>
  <c r="AX469"/>
  <c r="BB469"/>
  <c r="BF469"/>
  <c r="BH469" s="1"/>
  <c r="BG469"/>
  <c r="F470"/>
  <c r="AX470"/>
  <c r="BB470"/>
  <c r="BF470"/>
  <c r="BH470" s="1"/>
  <c r="BG470"/>
  <c r="BM470" s="1"/>
  <c r="F471"/>
  <c r="AX471"/>
  <c r="BB471"/>
  <c r="BF471"/>
  <c r="BH471" s="1"/>
  <c r="BG471"/>
  <c r="F472"/>
  <c r="AX472"/>
  <c r="BB472"/>
  <c r="BF472"/>
  <c r="BH472" s="1"/>
  <c r="BG472"/>
  <c r="BI472" s="1"/>
  <c r="F473"/>
  <c r="AX473"/>
  <c r="BB473"/>
  <c r="BF473"/>
  <c r="BH473" s="1"/>
  <c r="BG473"/>
  <c r="F474"/>
  <c r="AX474"/>
  <c r="BB474"/>
  <c r="BF474"/>
  <c r="BH474" s="1"/>
  <c r="BG474"/>
  <c r="F475"/>
  <c r="AX475"/>
  <c r="BB475"/>
  <c r="BF475"/>
  <c r="BH475" s="1"/>
  <c r="BG475"/>
  <c r="F476"/>
  <c r="AX476"/>
  <c r="BB476"/>
  <c r="BF476"/>
  <c r="BH476" s="1"/>
  <c r="BG476"/>
  <c r="BM476" s="1"/>
  <c r="F477"/>
  <c r="AX477"/>
  <c r="BB477"/>
  <c r="BF477"/>
  <c r="BH477" s="1"/>
  <c r="BG477"/>
  <c r="BI477" s="1"/>
  <c r="F478"/>
  <c r="AX478"/>
  <c r="BB478"/>
  <c r="BF478"/>
  <c r="BH478" s="1"/>
  <c r="BG478"/>
  <c r="F479"/>
  <c r="AX479"/>
  <c r="BB479"/>
  <c r="BF479"/>
  <c r="BH479" s="1"/>
  <c r="BG479"/>
  <c r="F480"/>
  <c r="AX480"/>
  <c r="BB480"/>
  <c r="BF480"/>
  <c r="BH480" s="1"/>
  <c r="BG480"/>
  <c r="BI480" s="1"/>
  <c r="F481"/>
  <c r="AX481"/>
  <c r="BB481"/>
  <c r="BF481"/>
  <c r="BH481" s="1"/>
  <c r="BG481"/>
  <c r="BI481" s="1"/>
  <c r="F482"/>
  <c r="AX482"/>
  <c r="BB482"/>
  <c r="BF482"/>
  <c r="BH482" s="1"/>
  <c r="BG482"/>
  <c r="F483"/>
  <c r="AX483"/>
  <c r="BB483"/>
  <c r="BF483"/>
  <c r="BH483" s="1"/>
  <c r="BG483"/>
  <c r="F484"/>
  <c r="AX484"/>
  <c r="BB484"/>
  <c r="BF484"/>
  <c r="BH484" s="1"/>
  <c r="BG484"/>
  <c r="BM484" s="1"/>
  <c r="F485"/>
  <c r="AX485"/>
  <c r="BB485"/>
  <c r="BF485"/>
  <c r="BH485" s="1"/>
  <c r="BG485"/>
  <c r="BI485" s="1"/>
  <c r="F486"/>
  <c r="AX486"/>
  <c r="BB486"/>
  <c r="BF486"/>
  <c r="BH486" s="1"/>
  <c r="BG486"/>
  <c r="BI486" s="1"/>
  <c r="F487"/>
  <c r="AX487"/>
  <c r="BB487"/>
  <c r="BF487"/>
  <c r="BH487" s="1"/>
  <c r="BG487"/>
  <c r="BI487" s="1"/>
  <c r="F488"/>
  <c r="AX488"/>
  <c r="BB488"/>
  <c r="BF488"/>
  <c r="BH488" s="1"/>
  <c r="BG488"/>
  <c r="BI488" s="1"/>
  <c r="F489"/>
  <c r="AX489"/>
  <c r="BB489"/>
  <c r="BF489"/>
  <c r="BH489" s="1"/>
  <c r="BG489"/>
  <c r="BI489" s="1"/>
  <c r="F490"/>
  <c r="AX490"/>
  <c r="BB490"/>
  <c r="BF490"/>
  <c r="BH490" s="1"/>
  <c r="BG490"/>
  <c r="BI490" s="1"/>
  <c r="F491"/>
  <c r="AX491"/>
  <c r="BB491"/>
  <c r="BF491"/>
  <c r="BG491"/>
  <c r="BI491" s="1"/>
  <c r="F492"/>
  <c r="AX492"/>
  <c r="BB492"/>
  <c r="BF492"/>
  <c r="BH492" s="1"/>
  <c r="BG492"/>
  <c r="F493"/>
  <c r="AX493"/>
  <c r="BB493"/>
  <c r="BF493"/>
  <c r="BH493" s="1"/>
  <c r="BG493"/>
  <c r="F494"/>
  <c r="AX494"/>
  <c r="BB494"/>
  <c r="BF494"/>
  <c r="BH494" s="1"/>
  <c r="BG494"/>
  <c r="BI494" s="1"/>
  <c r="F495"/>
  <c r="AX495"/>
  <c r="BB495"/>
  <c r="BF495"/>
  <c r="BH495" s="1"/>
  <c r="BG495"/>
  <c r="BI495" s="1"/>
  <c r="F496"/>
  <c r="AX496"/>
  <c r="BB496"/>
  <c r="BF496"/>
  <c r="BH496" s="1"/>
  <c r="BG496"/>
  <c r="F497"/>
  <c r="AX497"/>
  <c r="BB497"/>
  <c r="BF497"/>
  <c r="BH497" s="1"/>
  <c r="BG497"/>
  <c r="F498"/>
  <c r="AX498"/>
  <c r="BB498"/>
  <c r="BF498"/>
  <c r="BH498" s="1"/>
  <c r="BG498"/>
  <c r="BM498" s="1"/>
  <c r="F499"/>
  <c r="AX499"/>
  <c r="BB499"/>
  <c r="BF499"/>
  <c r="BH499" s="1"/>
  <c r="BG499"/>
  <c r="BI499" s="1"/>
  <c r="F500"/>
  <c r="AX500"/>
  <c r="BB500"/>
  <c r="BF500"/>
  <c r="BH500" s="1"/>
  <c r="BG500"/>
  <c r="BI500" s="1"/>
  <c r="F501"/>
  <c r="AX501"/>
  <c r="BB501"/>
  <c r="BF501"/>
  <c r="BH501" s="1"/>
  <c r="BG501"/>
  <c r="F502"/>
  <c r="AX502"/>
  <c r="BB502"/>
  <c r="BF502"/>
  <c r="BH502" s="1"/>
  <c r="BG502"/>
  <c r="F503"/>
  <c r="AX503"/>
  <c r="BB503"/>
  <c r="BF503"/>
  <c r="BH503" s="1"/>
  <c r="BG503"/>
  <c r="F504"/>
  <c r="AX504"/>
  <c r="BB504"/>
  <c r="BF504"/>
  <c r="BH504" s="1"/>
  <c r="BG504"/>
  <c r="BM504" s="1"/>
  <c r="F505"/>
  <c r="AX505"/>
  <c r="BB505"/>
  <c r="BF505"/>
  <c r="BH505" s="1"/>
  <c r="BG505"/>
  <c r="F506"/>
  <c r="AX506"/>
  <c r="BB506"/>
  <c r="BF506"/>
  <c r="BH506" s="1"/>
  <c r="BG506"/>
  <c r="F507"/>
  <c r="AX507"/>
  <c r="BB507"/>
  <c r="BF507"/>
  <c r="BH507" s="1"/>
  <c r="BG507"/>
  <c r="F508"/>
  <c r="AX508"/>
  <c r="BB508"/>
  <c r="BF508"/>
  <c r="BH508" s="1"/>
  <c r="BG508"/>
  <c r="BI508" s="1"/>
  <c r="F509"/>
  <c r="AX509"/>
  <c r="BB509"/>
  <c r="BF509"/>
  <c r="BH509" s="1"/>
  <c r="BG509"/>
  <c r="BI509" s="1"/>
  <c r="F510"/>
  <c r="AX510"/>
  <c r="BB510"/>
  <c r="BF510"/>
  <c r="BH510" s="1"/>
  <c r="BG510"/>
  <c r="F511"/>
  <c r="AX511"/>
  <c r="BB511"/>
  <c r="BF511"/>
  <c r="BH511" s="1"/>
  <c r="BG511"/>
  <c r="BM511" s="1"/>
  <c r="F512"/>
  <c r="AX512"/>
  <c r="BB512"/>
  <c r="BF512"/>
  <c r="BG512"/>
  <c r="BI512" s="1"/>
  <c r="BH512"/>
  <c r="F513"/>
  <c r="AX513"/>
  <c r="BB513"/>
  <c r="BF513"/>
  <c r="BH513" s="1"/>
  <c r="BG513"/>
  <c r="BI513" s="1"/>
  <c r="F514"/>
  <c r="AX514"/>
  <c r="BB514"/>
  <c r="BF514"/>
  <c r="BH514" s="1"/>
  <c r="BG514"/>
  <c r="BI514" s="1"/>
  <c r="F515"/>
  <c r="AX515"/>
  <c r="BB515"/>
  <c r="BF515"/>
  <c r="BG515"/>
  <c r="F516"/>
  <c r="AX516"/>
  <c r="BB516"/>
  <c r="BF516"/>
  <c r="BH516" s="1"/>
  <c r="BG516"/>
  <c r="F517"/>
  <c r="AX517"/>
  <c r="BB517"/>
  <c r="BF517"/>
  <c r="BH517" s="1"/>
  <c r="BG517"/>
  <c r="BI517" s="1"/>
  <c r="F518"/>
  <c r="AX518"/>
  <c r="BB518"/>
  <c r="BF518"/>
  <c r="BH518" s="1"/>
  <c r="BG518"/>
  <c r="BI518" s="1"/>
  <c r="F519"/>
  <c r="AX519"/>
  <c r="BB519"/>
  <c r="BF519"/>
  <c r="BG519"/>
  <c r="F520"/>
  <c r="AX520"/>
  <c r="BB520"/>
  <c r="BF520"/>
  <c r="BH520" s="1"/>
  <c r="BJ520" s="1"/>
  <c r="BG520"/>
  <c r="BI520" s="1"/>
  <c r="F521"/>
  <c r="AX521"/>
  <c r="BB521"/>
  <c r="BF521"/>
  <c r="BH521" s="1"/>
  <c r="BG521"/>
  <c r="BI521" s="1"/>
  <c r="F522"/>
  <c r="AX522"/>
  <c r="BB522"/>
  <c r="BF522"/>
  <c r="BH522" s="1"/>
  <c r="BG522"/>
  <c r="BI522" s="1"/>
  <c r="F523"/>
  <c r="AX523"/>
  <c r="BB523"/>
  <c r="BF523"/>
  <c r="BH523" s="1"/>
  <c r="BG523"/>
  <c r="F524"/>
  <c r="AX524"/>
  <c r="BB524"/>
  <c r="BF524"/>
  <c r="BH524" s="1"/>
  <c r="BG524"/>
  <c r="BI524" s="1"/>
  <c r="F525"/>
  <c r="AX525"/>
  <c r="BB525"/>
  <c r="BF525"/>
  <c r="BH525" s="1"/>
  <c r="BG525"/>
  <c r="F526"/>
  <c r="AX526"/>
  <c r="BB526"/>
  <c r="BF526"/>
  <c r="BH526" s="1"/>
  <c r="BG526"/>
  <c r="BI526" s="1"/>
  <c r="F527"/>
  <c r="AX527"/>
  <c r="BB527"/>
  <c r="BF527"/>
  <c r="BH527" s="1"/>
  <c r="BG527"/>
  <c r="F528"/>
  <c r="AX528"/>
  <c r="BB528"/>
  <c r="BF528"/>
  <c r="BM528" s="1"/>
  <c r="BG528"/>
  <c r="BI528" s="1"/>
  <c r="F529"/>
  <c r="AX529"/>
  <c r="BB529"/>
  <c r="BF529"/>
  <c r="BH529" s="1"/>
  <c r="BG529"/>
  <c r="BI529" s="1"/>
  <c r="F530"/>
  <c r="AX530"/>
  <c r="BB530"/>
  <c r="BF530"/>
  <c r="BH530" s="1"/>
  <c r="BG530"/>
  <c r="BI530" s="1"/>
  <c r="F531"/>
  <c r="AX531"/>
  <c r="BB531"/>
  <c r="BF531"/>
  <c r="BH531" s="1"/>
  <c r="BG531"/>
  <c r="F532"/>
  <c r="AX532"/>
  <c r="BB532"/>
  <c r="BF532"/>
  <c r="BH532" s="1"/>
  <c r="BG532"/>
  <c r="F533"/>
  <c r="AX533"/>
  <c r="BB533"/>
  <c r="BF533"/>
  <c r="BH533" s="1"/>
  <c r="BG533"/>
  <c r="BI533" s="1"/>
  <c r="F534"/>
  <c r="AX534"/>
  <c r="BB534"/>
  <c r="BF534"/>
  <c r="BH534" s="1"/>
  <c r="BG534"/>
  <c r="BI534" s="1"/>
  <c r="F535"/>
  <c r="AX535"/>
  <c r="BB535"/>
  <c r="BF535"/>
  <c r="BM535" s="1"/>
  <c r="BG535"/>
  <c r="F536"/>
  <c r="AX536"/>
  <c r="BB536"/>
  <c r="BF536"/>
  <c r="BH536" s="1"/>
  <c r="BG536"/>
  <c r="BM536" s="1"/>
  <c r="F537"/>
  <c r="AX537"/>
  <c r="BB537"/>
  <c r="BF537"/>
  <c r="BH537" s="1"/>
  <c r="BG537"/>
  <c r="F538"/>
  <c r="AX538"/>
  <c r="BB538"/>
  <c r="BF538"/>
  <c r="BH538" s="1"/>
  <c r="BG538"/>
  <c r="F539"/>
  <c r="AX539"/>
  <c r="BB539"/>
  <c r="BF539"/>
  <c r="BH539" s="1"/>
  <c r="BG539"/>
  <c r="BI539" s="1"/>
  <c r="F540"/>
  <c r="AX540"/>
  <c r="BB540"/>
  <c r="BF540"/>
  <c r="BH540" s="1"/>
  <c r="BG540"/>
  <c r="BI540" s="1"/>
  <c r="F541"/>
  <c r="AX541"/>
  <c r="BB541"/>
  <c r="BF541"/>
  <c r="BG541"/>
  <c r="BI541" s="1"/>
  <c r="F542"/>
  <c r="AX542"/>
  <c r="BB542"/>
  <c r="BF542"/>
  <c r="BH542" s="1"/>
  <c r="BG542"/>
  <c r="F543"/>
  <c r="AX543"/>
  <c r="BB543"/>
  <c r="BF543"/>
  <c r="BH543" s="1"/>
  <c r="BG543"/>
  <c r="F544"/>
  <c r="AX544"/>
  <c r="BB544"/>
  <c r="BF544"/>
  <c r="BG544"/>
  <c r="BI544" s="1"/>
  <c r="F545"/>
  <c r="AX545"/>
  <c r="BB545"/>
  <c r="BF545"/>
  <c r="BH545" s="1"/>
  <c r="BG545"/>
  <c r="F546"/>
  <c r="AX546"/>
  <c r="BB546"/>
  <c r="BF546"/>
  <c r="BH546" s="1"/>
  <c r="BG546"/>
  <c r="BI546" s="1"/>
  <c r="F547"/>
  <c r="AX547"/>
  <c r="BB547"/>
  <c r="BF547"/>
  <c r="BG547"/>
  <c r="BI547" s="1"/>
  <c r="F548"/>
  <c r="AX548"/>
  <c r="BB548"/>
  <c r="BF548"/>
  <c r="BH548" s="1"/>
  <c r="BG548"/>
  <c r="BI548" s="1"/>
  <c r="F549"/>
  <c r="AX549"/>
  <c r="BB549"/>
  <c r="BF549"/>
  <c r="BH549" s="1"/>
  <c r="BG549"/>
  <c r="BI549" s="1"/>
  <c r="F550"/>
  <c r="AX550"/>
  <c r="BB550"/>
  <c r="BF550"/>
  <c r="BG550"/>
  <c r="BI550" s="1"/>
  <c r="F551"/>
  <c r="AX551"/>
  <c r="BB551"/>
  <c r="BF551"/>
  <c r="BH551" s="1"/>
  <c r="BG551"/>
  <c r="BI551" s="1"/>
  <c r="F552"/>
  <c r="AX552"/>
  <c r="BB552"/>
  <c r="BF552"/>
  <c r="BH552" s="1"/>
  <c r="BG552"/>
  <c r="F553"/>
  <c r="AX553"/>
  <c r="BB553"/>
  <c r="BF553"/>
  <c r="BH553" s="1"/>
  <c r="BG553"/>
  <c r="F554"/>
  <c r="AX554"/>
  <c r="BB554"/>
  <c r="BF554"/>
  <c r="BH554" s="1"/>
  <c r="BG554"/>
  <c r="F555"/>
  <c r="AX555"/>
  <c r="BB555"/>
  <c r="BF555"/>
  <c r="BH555" s="1"/>
  <c r="BG555"/>
  <c r="BI555" s="1"/>
  <c r="F556"/>
  <c r="AX556"/>
  <c r="BB556"/>
  <c r="BF556"/>
  <c r="BH556" s="1"/>
  <c r="BG556"/>
  <c r="F557"/>
  <c r="AX557"/>
  <c r="BB557"/>
  <c r="BF557"/>
  <c r="BH557" s="1"/>
  <c r="BG557"/>
  <c r="BM557" s="1"/>
  <c r="F558"/>
  <c r="AX558"/>
  <c r="BB558"/>
  <c r="BF558"/>
  <c r="BH558" s="1"/>
  <c r="BG558"/>
  <c r="BM558" s="1"/>
  <c r="F559"/>
  <c r="AX559"/>
  <c r="BB559"/>
  <c r="BF559"/>
  <c r="BH559" s="1"/>
  <c r="BG559"/>
  <c r="F560"/>
  <c r="AX560"/>
  <c r="BB560"/>
  <c r="BF560"/>
  <c r="BH560" s="1"/>
  <c r="BG560"/>
  <c r="F561"/>
  <c r="AX561"/>
  <c r="BB561"/>
  <c r="BF561"/>
  <c r="BH561" s="1"/>
  <c r="BG561"/>
  <c r="F562"/>
  <c r="AX562"/>
  <c r="BB562"/>
  <c r="BF562"/>
  <c r="BH562" s="1"/>
  <c r="BG562"/>
  <c r="BI562" s="1"/>
  <c r="F563"/>
  <c r="AX563"/>
  <c r="BB563"/>
  <c r="BF563"/>
  <c r="BG563"/>
  <c r="BI563" s="1"/>
  <c r="F564"/>
  <c r="AX564"/>
  <c r="BB564"/>
  <c r="BF564"/>
  <c r="BH564" s="1"/>
  <c r="BG564"/>
  <c r="F565"/>
  <c r="AX565"/>
  <c r="BB565"/>
  <c r="BF565"/>
  <c r="BH565" s="1"/>
  <c r="BG565"/>
  <c r="F566"/>
  <c r="AX566"/>
  <c r="BB566"/>
  <c r="BF566"/>
  <c r="BG566"/>
  <c r="BI566" s="1"/>
  <c r="F567"/>
  <c r="AX567"/>
  <c r="BB567"/>
  <c r="BF567"/>
  <c r="BH567" s="1"/>
  <c r="BG567"/>
  <c r="BI567" s="1"/>
  <c r="F568"/>
  <c r="AX568"/>
  <c r="BB568"/>
  <c r="BF568"/>
  <c r="BH568" s="1"/>
  <c r="BG568"/>
  <c r="F569"/>
  <c r="AX569"/>
  <c r="BB569"/>
  <c r="BF569"/>
  <c r="BH569" s="1"/>
  <c r="BJ569" s="1"/>
  <c r="BG569"/>
  <c r="BI569" s="1"/>
  <c r="F570"/>
  <c r="AX570"/>
  <c r="BB570"/>
  <c r="BF570"/>
  <c r="BH570" s="1"/>
  <c r="BG570"/>
  <c r="BI570" s="1"/>
  <c r="F571"/>
  <c r="AX571"/>
  <c r="BB571"/>
  <c r="BF571"/>
  <c r="BG571"/>
  <c r="BI571" s="1"/>
  <c r="F572"/>
  <c r="AX572"/>
  <c r="BB572"/>
  <c r="BF572"/>
  <c r="BH572" s="1"/>
  <c r="BG572"/>
  <c r="BI572" s="1"/>
  <c r="F573"/>
  <c r="AX573"/>
  <c r="BB573"/>
  <c r="BF573"/>
  <c r="BH573" s="1"/>
  <c r="BG573"/>
  <c r="BI573" s="1"/>
  <c r="F574"/>
  <c r="AX574"/>
  <c r="BB574"/>
  <c r="BF574"/>
  <c r="BH574" s="1"/>
  <c r="BG574"/>
  <c r="BI574" s="1"/>
  <c r="F575"/>
  <c r="AX575"/>
  <c r="BB575"/>
  <c r="BF575"/>
  <c r="BH575" s="1"/>
  <c r="BG575"/>
  <c r="F576"/>
  <c r="AX576"/>
  <c r="BB576"/>
  <c r="BF576"/>
  <c r="BH576" s="1"/>
  <c r="BG576"/>
  <c r="F577"/>
  <c r="AX577"/>
  <c r="BB577"/>
  <c r="BF577"/>
  <c r="BH577" s="1"/>
  <c r="BG577"/>
  <c r="BI577" s="1"/>
  <c r="F578"/>
  <c r="AX578"/>
  <c r="BB578"/>
  <c r="BF578"/>
  <c r="BH578" s="1"/>
  <c r="BG578"/>
  <c r="BI578" s="1"/>
  <c r="F579"/>
  <c r="AX579"/>
  <c r="BB579"/>
  <c r="BF579"/>
  <c r="BH579" s="1"/>
  <c r="BG579"/>
  <c r="BI579" s="1"/>
  <c r="F580"/>
  <c r="AX580"/>
  <c r="BB580"/>
  <c r="BF580"/>
  <c r="BH580" s="1"/>
  <c r="BG580"/>
  <c r="BI580" s="1"/>
  <c r="F581"/>
  <c r="AX581"/>
  <c r="BB581"/>
  <c r="BF581"/>
  <c r="BH581" s="1"/>
  <c r="BG581"/>
  <c r="BI581" s="1"/>
  <c r="F582"/>
  <c r="AX582"/>
  <c r="BB582"/>
  <c r="BF582"/>
  <c r="BH582" s="1"/>
  <c r="BG582"/>
  <c r="F583"/>
  <c r="AX583"/>
  <c r="BB583"/>
  <c r="BF583"/>
  <c r="BH583" s="1"/>
  <c r="BG583"/>
  <c r="BI583" s="1"/>
  <c r="F584"/>
  <c r="AX584"/>
  <c r="BB584"/>
  <c r="BF584"/>
  <c r="BH584" s="1"/>
  <c r="BG584"/>
  <c r="F585"/>
  <c r="AX585"/>
  <c r="BB585"/>
  <c r="BF585"/>
  <c r="BH585" s="1"/>
  <c r="BG585"/>
  <c r="BI585" s="1"/>
  <c r="F586"/>
  <c r="AX586"/>
  <c r="BB586"/>
  <c r="BF586"/>
  <c r="BH586" s="1"/>
  <c r="BG586"/>
  <c r="BI586" s="1"/>
  <c r="F587"/>
  <c r="AX587"/>
  <c r="BB587"/>
  <c r="BF587"/>
  <c r="BH587" s="1"/>
  <c r="BG587"/>
  <c r="F588"/>
  <c r="AX588"/>
  <c r="BB588"/>
  <c r="BF588"/>
  <c r="BH588" s="1"/>
  <c r="BG588"/>
  <c r="BI588" s="1"/>
  <c r="F589"/>
  <c r="AX589"/>
  <c r="BB589"/>
  <c r="BF589"/>
  <c r="BH589" s="1"/>
  <c r="BG589"/>
  <c r="F590"/>
  <c r="AX590"/>
  <c r="BB590"/>
  <c r="BF590"/>
  <c r="BH590" s="1"/>
  <c r="BG590"/>
  <c r="BI590" s="1"/>
  <c r="F591"/>
  <c r="AX591"/>
  <c r="BB591"/>
  <c r="BF591"/>
  <c r="BH591" s="1"/>
  <c r="BG591"/>
  <c r="BL591" s="1"/>
  <c r="F592"/>
  <c r="AX592"/>
  <c r="BB592"/>
  <c r="BF592"/>
  <c r="BH592" s="1"/>
  <c r="BG592"/>
  <c r="F593"/>
  <c r="AX593"/>
  <c r="BB593"/>
  <c r="BF593"/>
  <c r="BH593" s="1"/>
  <c r="BG593"/>
  <c r="BI593" s="1"/>
  <c r="F594"/>
  <c r="AX594"/>
  <c r="BB594"/>
  <c r="BF594"/>
  <c r="BH594" s="1"/>
  <c r="BG594"/>
  <c r="BI594" s="1"/>
  <c r="F595"/>
  <c r="AX595"/>
  <c r="BB595"/>
  <c r="BF595"/>
  <c r="BH595" s="1"/>
  <c r="BG595"/>
  <c r="F596"/>
  <c r="AX596"/>
  <c r="BB596"/>
  <c r="BF596"/>
  <c r="BG596"/>
  <c r="BI596" s="1"/>
  <c r="F597"/>
  <c r="AX597"/>
  <c r="BB597"/>
  <c r="BF597"/>
  <c r="BH597" s="1"/>
  <c r="BG597"/>
  <c r="BI597" s="1"/>
  <c r="F598"/>
  <c r="AX598"/>
  <c r="BB598"/>
  <c r="BF598"/>
  <c r="BH598" s="1"/>
  <c r="BG598"/>
  <c r="F599"/>
  <c r="AX599"/>
  <c r="BB599"/>
  <c r="H7" i="48"/>
  <c r="J7" s="1"/>
  <c r="H8"/>
  <c r="J8" s="1"/>
  <c r="L8" s="1"/>
  <c r="C24" i="52"/>
  <c r="C29"/>
  <c r="C30"/>
  <c r="C31"/>
  <c r="C35"/>
  <c r="C37"/>
  <c r="C38"/>
  <c r="C39"/>
  <c r="C45"/>
  <c r="C46"/>
  <c r="C47"/>
  <c r="C50"/>
  <c r="C51"/>
  <c r="C53"/>
  <c r="C54"/>
  <c r="C55"/>
  <c r="C61"/>
  <c r="C62"/>
  <c r="C63"/>
  <c r="C69"/>
  <c r="C70"/>
  <c r="C71"/>
  <c r="C72"/>
  <c r="C77"/>
  <c r="C78"/>
  <c r="C79"/>
  <c r="C83"/>
  <c r="C85"/>
  <c r="C86"/>
  <c r="C87"/>
  <c r="C88"/>
  <c r="C93"/>
  <c r="C94"/>
  <c r="C95"/>
  <c r="C101"/>
  <c r="C102"/>
  <c r="C103"/>
  <c r="C107"/>
  <c r="C108"/>
  <c r="C109"/>
  <c r="C110"/>
  <c r="C111"/>
  <c r="C112"/>
  <c r="C117"/>
  <c r="C118"/>
  <c r="C119"/>
  <c r="C125"/>
  <c r="C126"/>
  <c r="C127"/>
  <c r="C130"/>
  <c r="C131"/>
  <c r="C132"/>
  <c r="C133"/>
  <c r="C134"/>
  <c r="C135"/>
  <c r="C136"/>
  <c r="C139"/>
  <c r="C141"/>
  <c r="C142"/>
  <c r="C143"/>
  <c r="C149"/>
  <c r="C150"/>
  <c r="C151"/>
  <c r="C152"/>
  <c r="C157"/>
  <c r="C158"/>
  <c r="C159"/>
  <c r="C163"/>
  <c r="C165"/>
  <c r="C166"/>
  <c r="C167"/>
  <c r="C173"/>
  <c r="C174"/>
  <c r="C175"/>
  <c r="C176"/>
  <c r="C181"/>
  <c r="C182"/>
  <c r="C183"/>
  <c r="C186"/>
  <c r="C187"/>
  <c r="C189"/>
  <c r="C190"/>
  <c r="C191"/>
  <c r="C197"/>
  <c r="C198"/>
  <c r="C199"/>
  <c r="C200"/>
  <c r="C205"/>
  <c r="C206"/>
  <c r="C207"/>
  <c r="C210"/>
  <c r="C211"/>
  <c r="C213"/>
  <c r="C214"/>
  <c r="C215"/>
  <c r="C216"/>
  <c r="C219"/>
  <c r="C221"/>
  <c r="C222"/>
  <c r="C223"/>
  <c r="C229"/>
  <c r="C230"/>
  <c r="C231"/>
  <c r="C234"/>
  <c r="C235"/>
  <c r="C236"/>
  <c r="C237"/>
  <c r="C238"/>
  <c r="C239"/>
  <c r="C240"/>
  <c r="C242"/>
  <c r="C243"/>
  <c r="C245"/>
  <c r="C246"/>
  <c r="C247"/>
  <c r="C253"/>
  <c r="C254"/>
  <c r="C255"/>
  <c r="C261"/>
  <c r="C262"/>
  <c r="C263"/>
  <c r="C264"/>
  <c r="C266"/>
  <c r="C267"/>
  <c r="C269"/>
  <c r="C270"/>
  <c r="C271"/>
  <c r="C277"/>
  <c r="C278"/>
  <c r="C279"/>
  <c r="C280"/>
  <c r="C285"/>
  <c r="C286"/>
  <c r="C287"/>
  <c r="C290"/>
  <c r="C291"/>
  <c r="C293"/>
  <c r="C294"/>
  <c r="C295"/>
  <c r="C301"/>
  <c r="C302"/>
  <c r="C303"/>
  <c r="C309"/>
  <c r="C310"/>
  <c r="C311"/>
  <c r="C315"/>
  <c r="C317"/>
  <c r="C318"/>
  <c r="C319"/>
  <c r="C325"/>
  <c r="C326"/>
  <c r="C327"/>
  <c r="C330"/>
  <c r="C331"/>
  <c r="C333"/>
  <c r="C334"/>
  <c r="C335"/>
  <c r="C341"/>
  <c r="C342"/>
  <c r="C343"/>
  <c r="C349"/>
  <c r="C350"/>
  <c r="C351"/>
  <c r="C354"/>
  <c r="C355"/>
  <c r="C357"/>
  <c r="C358"/>
  <c r="C359"/>
  <c r="C365"/>
  <c r="C366"/>
  <c r="C367"/>
  <c r="C373"/>
  <c r="C374"/>
  <c r="C375"/>
  <c r="C379"/>
  <c r="C381"/>
  <c r="C382"/>
  <c r="C383"/>
  <c r="C389"/>
  <c r="C390"/>
  <c r="C391"/>
  <c r="C394"/>
  <c r="C395"/>
  <c r="C397"/>
  <c r="C398"/>
  <c r="C399"/>
  <c r="C402"/>
  <c r="C403"/>
  <c r="C405"/>
  <c r="C406"/>
  <c r="C407"/>
  <c r="C410"/>
  <c r="C411"/>
  <c r="C413"/>
  <c r="C414"/>
  <c r="C415"/>
  <c r="C418"/>
  <c r="C419"/>
  <c r="C421"/>
  <c r="C422"/>
  <c r="C423"/>
  <c r="C426"/>
  <c r="C427"/>
  <c r="C429"/>
  <c r="C430"/>
  <c r="C431"/>
  <c r="C434"/>
  <c r="C435"/>
  <c r="C437"/>
  <c r="C438"/>
  <c r="C439"/>
  <c r="C442"/>
  <c r="C443"/>
  <c r="C445"/>
  <c r="C446"/>
  <c r="C447"/>
  <c r="C450"/>
  <c r="C451"/>
  <c r="C454"/>
  <c r="C455"/>
  <c r="C456"/>
  <c r="C462"/>
  <c r="C463"/>
  <c r="C467"/>
  <c r="C469"/>
  <c r="C470"/>
  <c r="C471"/>
  <c r="C472"/>
  <c r="C477"/>
  <c r="C478"/>
  <c r="C479"/>
  <c r="C480"/>
  <c r="C486"/>
  <c r="C487"/>
  <c r="C494"/>
  <c r="C495"/>
  <c r="C499"/>
  <c r="C501"/>
  <c r="C502"/>
  <c r="C503"/>
  <c r="C506"/>
  <c r="C507"/>
  <c r="C510"/>
  <c r="C511"/>
  <c r="C512"/>
  <c r="C515"/>
  <c r="C517"/>
  <c r="C518"/>
  <c r="C519"/>
  <c r="C522"/>
  <c r="C523"/>
  <c r="C526"/>
  <c r="C527"/>
  <c r="C531"/>
  <c r="C533"/>
  <c r="C534"/>
  <c r="C535"/>
  <c r="C538"/>
  <c r="C539"/>
  <c r="C542"/>
  <c r="C543"/>
  <c r="C544"/>
  <c r="C547"/>
  <c r="C549"/>
  <c r="C550"/>
  <c r="C551"/>
  <c r="C554"/>
  <c r="C555"/>
  <c r="C558"/>
  <c r="C559"/>
  <c r="C563"/>
  <c r="C565"/>
  <c r="C566"/>
  <c r="C567"/>
  <c r="C570"/>
  <c r="C571"/>
  <c r="C574"/>
  <c r="C575"/>
  <c r="C576"/>
  <c r="C579"/>
  <c r="C581"/>
  <c r="C582"/>
  <c r="C583"/>
  <c r="C586"/>
  <c r="C587"/>
  <c r="C590"/>
  <c r="C591"/>
  <c r="C595"/>
  <c r="C597"/>
  <c r="C598"/>
  <c r="C599"/>
  <c r="D6" i="48"/>
  <c r="E7"/>
  <c r="E6" s="1"/>
  <c r="F6"/>
  <c r="G8"/>
  <c r="G6" s="1"/>
  <c r="I6"/>
  <c r="D9"/>
  <c r="E9"/>
  <c r="F9"/>
  <c r="D10"/>
  <c r="E10"/>
  <c r="F10"/>
  <c r="C4" i="37"/>
  <c r="D4"/>
  <c r="E4"/>
  <c r="F4"/>
  <c r="G4"/>
  <c r="H4"/>
  <c r="I4"/>
  <c r="J4"/>
  <c r="K4"/>
  <c r="L4"/>
  <c r="M4"/>
  <c r="N4"/>
  <c r="C5"/>
  <c r="D5"/>
  <c r="E5"/>
  <c r="F5"/>
  <c r="G5"/>
  <c r="H5"/>
  <c r="I5"/>
  <c r="J5"/>
  <c r="K5"/>
  <c r="L5"/>
  <c r="M5"/>
  <c r="N5"/>
  <c r="C6"/>
  <c r="D6"/>
  <c r="E6"/>
  <c r="F6"/>
  <c r="G6"/>
  <c r="H6"/>
  <c r="I6"/>
  <c r="J6"/>
  <c r="K6"/>
  <c r="L6"/>
  <c r="M6"/>
  <c r="N6"/>
  <c r="C11"/>
  <c r="D11"/>
  <c r="E11"/>
  <c r="F11"/>
  <c r="G11"/>
  <c r="H11"/>
  <c r="I11"/>
  <c r="J11"/>
  <c r="K11"/>
  <c r="L11"/>
  <c r="M11"/>
  <c r="N11"/>
  <c r="C17"/>
  <c r="D17"/>
  <c r="E17"/>
  <c r="F17"/>
  <c r="G17"/>
  <c r="H17"/>
  <c r="I17"/>
  <c r="J17"/>
  <c r="K17"/>
  <c r="L17"/>
  <c r="M17"/>
  <c r="N17"/>
  <c r="C20"/>
  <c r="D20"/>
  <c r="E20"/>
  <c r="F20"/>
  <c r="G20"/>
  <c r="H20"/>
  <c r="I20"/>
  <c r="J20"/>
  <c r="K20"/>
  <c r="L20"/>
  <c r="M20"/>
  <c r="N20"/>
  <c r="N1" i="38"/>
  <c r="D2"/>
  <c r="AS2" s="1"/>
  <c r="E2"/>
  <c r="AO2" s="1"/>
  <c r="BA2" s="1"/>
  <c r="B5" i="20"/>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C50"/>
  <c r="E5" i="19"/>
  <c r="E4"/>
  <c r="D6"/>
  <c r="E6"/>
  <c r="G5"/>
  <c r="D7"/>
  <c r="E7"/>
  <c r="D8"/>
  <c r="E8" s="1"/>
  <c r="G8" s="1"/>
  <c r="D9"/>
  <c r="E9"/>
  <c r="D10"/>
  <c r="E10"/>
  <c r="G10" s="1"/>
  <c r="D11"/>
  <c r="E11"/>
  <c r="D12"/>
  <c r="E12" s="1"/>
  <c r="G12" s="1"/>
  <c r="D13"/>
  <c r="E13"/>
  <c r="D14"/>
  <c r="E14"/>
  <c r="G14" s="1"/>
  <c r="D15"/>
  <c r="E15"/>
  <c r="D16"/>
  <c r="E16" s="1"/>
  <c r="G16" s="1"/>
  <c r="D17"/>
  <c r="E17"/>
  <c r="D18"/>
  <c r="E18"/>
  <c r="G18" s="1"/>
  <c r="D19"/>
  <c r="E19"/>
  <c r="C414" i="20"/>
  <c r="B5" i="22"/>
  <c r="B6"/>
  <c r="B7" s="1"/>
  <c r="B8" s="1"/>
  <c r="B9" s="1"/>
  <c r="B10"/>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C50"/>
  <c r="E5" i="21"/>
  <c r="E4"/>
  <c r="D6"/>
  <c r="E6"/>
  <c r="G5"/>
  <c r="D7"/>
  <c r="E7"/>
  <c r="D8"/>
  <c r="E8" s="1"/>
  <c r="D9"/>
  <c r="E9" s="1"/>
  <c r="D10"/>
  <c r="E10"/>
  <c r="G9"/>
  <c r="D11"/>
  <c r="E11"/>
  <c r="D12"/>
  <c r="E12" s="1"/>
  <c r="G12" s="1"/>
  <c r="D13"/>
  <c r="E13" s="1"/>
  <c r="D14"/>
  <c r="E14"/>
  <c r="G14" s="1"/>
  <c r="D15"/>
  <c r="E15"/>
  <c r="D16"/>
  <c r="E16" s="1"/>
  <c r="G16" s="1"/>
  <c r="D17"/>
  <c r="E17" s="1"/>
  <c r="D18"/>
  <c r="E18"/>
  <c r="D19"/>
  <c r="E19"/>
  <c r="C414" i="22"/>
  <c r="C55" i="20"/>
  <c r="C55" i="22"/>
  <c r="C56" i="20"/>
  <c r="C56" i="22"/>
  <c r="C57" i="20"/>
  <c r="C57" i="22"/>
  <c r="C58" i="20"/>
  <c r="C58" i="22"/>
  <c r="C59" i="20"/>
  <c r="C59" i="22"/>
  <c r="C60" i="20"/>
  <c r="C60" i="22"/>
  <c r="C61" i="20"/>
  <c r="C61" i="22"/>
  <c r="C62" i="20"/>
  <c r="C62" i="22"/>
  <c r="C63" i="20"/>
  <c r="C63" i="22"/>
  <c r="C64" i="20"/>
  <c r="C64" i="22"/>
  <c r="C65" i="20"/>
  <c r="C65" i="22"/>
  <c r="C66" i="20"/>
  <c r="C66" i="22"/>
  <c r="C67" i="20"/>
  <c r="C67" i="22"/>
  <c r="C68" i="20"/>
  <c r="C68" i="22"/>
  <c r="C69" i="20"/>
  <c r="C69" i="22"/>
  <c r="C70" i="20"/>
  <c r="C70" i="22"/>
  <c r="C71" i="20"/>
  <c r="C71" i="22"/>
  <c r="C72" i="20"/>
  <c r="C72" i="22"/>
  <c r="C73" i="20"/>
  <c r="C73" i="22"/>
  <c r="C74" i="20"/>
  <c r="C74" i="22"/>
  <c r="C75" i="20"/>
  <c r="C75" i="22"/>
  <c r="C76" i="20"/>
  <c r="C76" i="22"/>
  <c r="C77" i="20"/>
  <c r="C77" i="22"/>
  <c r="C78" i="20"/>
  <c r="C78" i="22"/>
  <c r="C79" i="20"/>
  <c r="C79" i="22"/>
  <c r="C80" i="20"/>
  <c r="C80" i="22"/>
  <c r="C81" i="20"/>
  <c r="C81" i="22"/>
  <c r="C82" i="20"/>
  <c r="C82" i="22"/>
  <c r="C83" i="20"/>
  <c r="C83" i="22"/>
  <c r="C84" i="20"/>
  <c r="C84" i="22"/>
  <c r="C85" i="20"/>
  <c r="C85" i="22"/>
  <c r="C86" i="20"/>
  <c r="C86" i="22"/>
  <c r="C87" i="20"/>
  <c r="C87" i="22"/>
  <c r="C88" i="20"/>
  <c r="C88" i="22"/>
  <c r="C89" i="20"/>
  <c r="C89" i="22"/>
  <c r="C90" i="20"/>
  <c r="C90" i="22"/>
  <c r="C91" i="20"/>
  <c r="C91" i="22"/>
  <c r="C92" i="20"/>
  <c r="C92" i="22"/>
  <c r="C93" i="20"/>
  <c r="C93" i="22"/>
  <c r="C94" i="20"/>
  <c r="C94" i="22"/>
  <c r="C95" i="20"/>
  <c r="C95" i="22"/>
  <c r="C96" i="20"/>
  <c r="C96" i="22"/>
  <c r="C97" i="20"/>
  <c r="C97" i="22"/>
  <c r="C98" i="20"/>
  <c r="C98" i="22"/>
  <c r="C99" i="20"/>
  <c r="C99" i="22"/>
  <c r="C100" i="20"/>
  <c r="C100" i="22"/>
  <c r="C101" i="20"/>
  <c r="C101" i="22"/>
  <c r="C102" i="20"/>
  <c r="C102" i="22"/>
  <c r="C103" i="20"/>
  <c r="C103" i="22"/>
  <c r="C104" i="20"/>
  <c r="C104" i="22"/>
  <c r="C105" i="20"/>
  <c r="C105" i="22"/>
  <c r="C106" i="20"/>
  <c r="C106" i="22"/>
  <c r="C107" i="20"/>
  <c r="C107" i="22"/>
  <c r="C108" i="20"/>
  <c r="C108" i="22"/>
  <c r="C109" i="20"/>
  <c r="C109" i="22"/>
  <c r="C110" i="20"/>
  <c r="C110" i="22"/>
  <c r="C111" i="20"/>
  <c r="C111" i="22"/>
  <c r="C112" i="20"/>
  <c r="C112" i="22"/>
  <c r="C113" i="20"/>
  <c r="C113" i="22"/>
  <c r="C114" i="20"/>
  <c r="C114" i="22"/>
  <c r="C115" i="20"/>
  <c r="C115" i="22"/>
  <c r="C116" i="20"/>
  <c r="C116" i="22"/>
  <c r="C117" i="20"/>
  <c r="C117" i="22"/>
  <c r="C118" i="20"/>
  <c r="C118" i="22"/>
  <c r="C119" i="20"/>
  <c r="C119" i="22"/>
  <c r="C120" i="20"/>
  <c r="C120" i="22"/>
  <c r="C121" i="20"/>
  <c r="C121" i="22"/>
  <c r="C122" i="20"/>
  <c r="C122" i="22"/>
  <c r="C123" i="20"/>
  <c r="C123" i="22"/>
  <c r="C124" i="20"/>
  <c r="C124" i="22"/>
  <c r="C125" i="20"/>
  <c r="C125" i="22"/>
  <c r="C126" i="20"/>
  <c r="C126" i="22"/>
  <c r="C127" i="20"/>
  <c r="C127" i="22"/>
  <c r="C128" i="20"/>
  <c r="C128" i="22"/>
  <c r="C129" i="20"/>
  <c r="C129" i="22"/>
  <c r="C130" i="20"/>
  <c r="C130" i="22"/>
  <c r="C131" i="20"/>
  <c r="C131" i="22"/>
  <c r="C132" i="20"/>
  <c r="C132" i="22"/>
  <c r="C133" i="20"/>
  <c r="C133" i="22"/>
  <c r="C134" i="20"/>
  <c r="C134" i="22"/>
  <c r="C135" i="20"/>
  <c r="C135" i="22"/>
  <c r="C136" i="20"/>
  <c r="C136" i="22"/>
  <c r="C137" i="20"/>
  <c r="C137" i="22"/>
  <c r="C138" i="20"/>
  <c r="C138" i="22"/>
  <c r="C139" i="20"/>
  <c r="C139" i="22"/>
  <c r="C140" i="20"/>
  <c r="C140" i="22"/>
  <c r="C141" i="20"/>
  <c r="C141" i="22"/>
  <c r="C142" i="20"/>
  <c r="C142" i="22"/>
  <c r="C143" i="20"/>
  <c r="C143" i="22"/>
  <c r="C144" i="20"/>
  <c r="C144" i="22"/>
  <c r="C145" i="20"/>
  <c r="C145" i="22"/>
  <c r="C146" i="20"/>
  <c r="C146" i="22"/>
  <c r="C147" i="20"/>
  <c r="C147" i="22"/>
  <c r="C148" i="20"/>
  <c r="C148" i="22"/>
  <c r="C149" i="20"/>
  <c r="C149" i="22"/>
  <c r="C150" i="20"/>
  <c r="C150" i="22"/>
  <c r="C151" i="20"/>
  <c r="C151" i="22"/>
  <c r="C152" i="20"/>
  <c r="C152" i="22"/>
  <c r="C153" i="20"/>
  <c r="C153" i="22"/>
  <c r="C154" i="20"/>
  <c r="C154" i="22"/>
  <c r="C155" i="20"/>
  <c r="C155" i="22"/>
  <c r="C156" i="20"/>
  <c r="C156" i="22"/>
  <c r="C157" i="20"/>
  <c r="C157" i="22"/>
  <c r="C158" i="20"/>
  <c r="C158" i="22"/>
  <c r="C159" i="20"/>
  <c r="C159" i="22"/>
  <c r="C160" i="20"/>
  <c r="C160" i="22"/>
  <c r="C161" i="20"/>
  <c r="C161" i="22"/>
  <c r="C162" i="20"/>
  <c r="C162" i="22"/>
  <c r="C163" i="20"/>
  <c r="C163" i="22"/>
  <c r="C164" i="20"/>
  <c r="C164" i="22"/>
  <c r="C165" i="20"/>
  <c r="C165" i="22"/>
  <c r="C166" i="20"/>
  <c r="C166" i="22"/>
  <c r="C167" i="20"/>
  <c r="C167" i="22"/>
  <c r="C168" i="20"/>
  <c r="C168" i="22"/>
  <c r="C169" i="20"/>
  <c r="C169" i="22"/>
  <c r="C170" i="20"/>
  <c r="C170" i="22"/>
  <c r="C171" i="20"/>
  <c r="C171" i="22"/>
  <c r="C172" i="20"/>
  <c r="C172" i="22"/>
  <c r="C173" i="20"/>
  <c r="C173" i="22"/>
  <c r="C174" i="20"/>
  <c r="C174" i="22"/>
  <c r="C175" i="20"/>
  <c r="C175" i="22"/>
  <c r="C176" i="20"/>
  <c r="C176" i="22"/>
  <c r="C177" i="20"/>
  <c r="C177" i="22"/>
  <c r="C178" i="20"/>
  <c r="C178" i="22"/>
  <c r="C179" i="20"/>
  <c r="C179" i="22"/>
  <c r="C180" i="20"/>
  <c r="C180" i="22"/>
  <c r="C181" i="20"/>
  <c r="C181" i="22"/>
  <c r="C182" i="20"/>
  <c r="C182" i="22"/>
  <c r="C183" i="20"/>
  <c r="C183" i="22"/>
  <c r="C184" i="20"/>
  <c r="C184" i="22"/>
  <c r="C185" i="20"/>
  <c r="C185" i="22"/>
  <c r="C186" i="20"/>
  <c r="C186" i="22"/>
  <c r="C187" i="20"/>
  <c r="C187" i="22"/>
  <c r="C188" i="20"/>
  <c r="C188" i="22"/>
  <c r="C189" i="20"/>
  <c r="C189" i="22"/>
  <c r="C190" i="20"/>
  <c r="C190" i="22"/>
  <c r="C191" i="20"/>
  <c r="C191" i="22"/>
  <c r="C192" i="20"/>
  <c r="C192" i="22"/>
  <c r="C193" i="20"/>
  <c r="C193" i="22"/>
  <c r="C194" i="20"/>
  <c r="C194" i="22"/>
  <c r="C195" i="20"/>
  <c r="C195" i="22"/>
  <c r="C196" i="20"/>
  <c r="C196" i="22"/>
  <c r="C197" i="20"/>
  <c r="C197" i="22"/>
  <c r="C198" i="20"/>
  <c r="C198" i="22"/>
  <c r="C199" i="20"/>
  <c r="C199" i="22"/>
  <c r="C200" i="20"/>
  <c r="C200" i="22"/>
  <c r="C201" i="20"/>
  <c r="C201" i="22"/>
  <c r="C202" i="20"/>
  <c r="C202" i="22"/>
  <c r="C203" i="20"/>
  <c r="C203" i="22"/>
  <c r="C204" i="20"/>
  <c r="C204" i="22"/>
  <c r="C205" i="20"/>
  <c r="C205" i="22"/>
  <c r="C206" i="20"/>
  <c r="C206" i="22"/>
  <c r="C207" i="20"/>
  <c r="C207" i="22"/>
  <c r="C208" i="20"/>
  <c r="C208" i="22"/>
  <c r="C209" i="20"/>
  <c r="C209" i="22"/>
  <c r="C210" i="20"/>
  <c r="C210" i="22"/>
  <c r="C211" i="20"/>
  <c r="C211" i="22"/>
  <c r="C212" i="20"/>
  <c r="C212" i="22"/>
  <c r="C213" i="20"/>
  <c r="C213" i="22"/>
  <c r="C214" i="20"/>
  <c r="C214" i="22"/>
  <c r="C215" i="20"/>
  <c r="C215" i="22"/>
  <c r="C216" i="20"/>
  <c r="C216" i="22"/>
  <c r="C217" i="20"/>
  <c r="C217" i="22"/>
  <c r="C218" i="20"/>
  <c r="C218" i="22"/>
  <c r="C219" i="20"/>
  <c r="C219" i="22"/>
  <c r="C220" i="20"/>
  <c r="C220" i="22"/>
  <c r="C221" i="20"/>
  <c r="C221" i="22"/>
  <c r="C222" i="20"/>
  <c r="C222" i="22"/>
  <c r="C223" i="20"/>
  <c r="C223" i="22"/>
  <c r="C224" i="20"/>
  <c r="C224" i="22"/>
  <c r="C225" i="20"/>
  <c r="C225" i="22"/>
  <c r="C226" i="20"/>
  <c r="C226" i="22"/>
  <c r="C227" i="20"/>
  <c r="C227" i="22"/>
  <c r="C228" i="20"/>
  <c r="C228" i="22"/>
  <c r="C229" i="20"/>
  <c r="C229" i="22"/>
  <c r="C230" i="20"/>
  <c r="C230" i="22"/>
  <c r="C231" i="20"/>
  <c r="C231" i="22"/>
  <c r="C232" i="20"/>
  <c r="C232" i="22"/>
  <c r="C233" i="20"/>
  <c r="C233" i="22"/>
  <c r="C234" i="20"/>
  <c r="C234" i="22"/>
  <c r="C235" i="20"/>
  <c r="C235" i="22"/>
  <c r="C236" i="20"/>
  <c r="C236" i="22"/>
  <c r="C237" i="20"/>
  <c r="C237" i="22"/>
  <c r="C238" i="20"/>
  <c r="C238" i="22"/>
  <c r="C239" i="20"/>
  <c r="C239" i="22"/>
  <c r="C240" i="20"/>
  <c r="C240" i="22"/>
  <c r="C241" i="20"/>
  <c r="C241" i="22"/>
  <c r="C242" i="20"/>
  <c r="C242" i="22"/>
  <c r="C243" i="20"/>
  <c r="C243" i="22"/>
  <c r="C244" i="20"/>
  <c r="C244" i="22"/>
  <c r="C245" i="20"/>
  <c r="C245" i="22"/>
  <c r="C246" i="20"/>
  <c r="C246" i="22"/>
  <c r="C247" i="20"/>
  <c r="C247" i="22"/>
  <c r="C248" i="20"/>
  <c r="C248" i="22"/>
  <c r="C249" i="20"/>
  <c r="C249" i="22"/>
  <c r="C250" i="20"/>
  <c r="C250" i="22"/>
  <c r="C251" i="20"/>
  <c r="C251" i="22"/>
  <c r="C252" i="20"/>
  <c r="C252" i="22"/>
  <c r="C253" i="20"/>
  <c r="C253" i="22"/>
  <c r="C254" i="20"/>
  <c r="C254" i="22"/>
  <c r="C255" i="20"/>
  <c r="C255" i="22"/>
  <c r="C256" i="20"/>
  <c r="C256" i="22"/>
  <c r="C257" i="20"/>
  <c r="C257" i="22"/>
  <c r="C258" i="20"/>
  <c r="C258" i="22"/>
  <c r="C259" i="20"/>
  <c r="C259" i="22"/>
  <c r="C260" i="20"/>
  <c r="C260" i="22"/>
  <c r="C261" i="20"/>
  <c r="C261" i="22"/>
  <c r="C262" i="20"/>
  <c r="C262" i="22"/>
  <c r="C263" i="20"/>
  <c r="C263" i="22"/>
  <c r="C264" i="20"/>
  <c r="C264" i="22"/>
  <c r="C265" i="20"/>
  <c r="C265" i="22"/>
  <c r="C266" i="20"/>
  <c r="C266" i="22"/>
  <c r="C267" i="20"/>
  <c r="C267" i="22"/>
  <c r="C268" i="20"/>
  <c r="C268" i="22"/>
  <c r="C269" i="20"/>
  <c r="C269" i="22"/>
  <c r="C270" i="20"/>
  <c r="C270" i="22"/>
  <c r="C271" i="20"/>
  <c r="C271" i="22"/>
  <c r="C272" i="20"/>
  <c r="C272" i="22"/>
  <c r="C273" i="20"/>
  <c r="C273" i="22"/>
  <c r="C274" i="20"/>
  <c r="C274" i="22"/>
  <c r="C275" i="20"/>
  <c r="C275" i="22"/>
  <c r="C276" i="20"/>
  <c r="C276" i="22"/>
  <c r="C277" i="20"/>
  <c r="C277" i="22"/>
  <c r="C278" i="20"/>
  <c r="C278" i="22"/>
  <c r="C279" i="20"/>
  <c r="C279" i="22"/>
  <c r="C280" i="20"/>
  <c r="C280" i="22"/>
  <c r="C281" i="20"/>
  <c r="C281" i="22"/>
  <c r="C282" i="20"/>
  <c r="C282" i="22"/>
  <c r="C283" i="20"/>
  <c r="C283" i="22"/>
  <c r="C284" i="20"/>
  <c r="C284" i="22"/>
  <c r="C285" i="20"/>
  <c r="C285" i="22"/>
  <c r="C286" i="20"/>
  <c r="C286" i="22"/>
  <c r="C287" i="20"/>
  <c r="C287" i="22"/>
  <c r="C288" i="20"/>
  <c r="C288" i="22"/>
  <c r="C289" i="20"/>
  <c r="C289" i="22"/>
  <c r="C290" i="20"/>
  <c r="C290" i="22"/>
  <c r="C291" i="20"/>
  <c r="C291" i="22"/>
  <c r="C292" i="20"/>
  <c r="C292" i="22"/>
  <c r="C293" i="20"/>
  <c r="C293" i="22"/>
  <c r="C294" i="20"/>
  <c r="C294" i="22"/>
  <c r="C295" i="20"/>
  <c r="C295" i="22"/>
  <c r="C296" i="20"/>
  <c r="C296" i="22"/>
  <c r="C297" i="20"/>
  <c r="C297" i="22"/>
  <c r="C298" i="20"/>
  <c r="C298" i="22"/>
  <c r="C299" i="20"/>
  <c r="C299" i="22"/>
  <c r="C300" i="20"/>
  <c r="C300" i="22"/>
  <c r="C301" i="20"/>
  <c r="C301" i="22"/>
  <c r="C302" i="20"/>
  <c r="C302" i="22"/>
  <c r="C303" i="20"/>
  <c r="C303" i="22"/>
  <c r="C304" i="20"/>
  <c r="C304" i="22"/>
  <c r="C305" i="20"/>
  <c r="C305" i="22"/>
  <c r="C306" i="20"/>
  <c r="C306" i="22"/>
  <c r="C307" i="20"/>
  <c r="C307" i="22"/>
  <c r="C308" i="20"/>
  <c r="C308" i="22"/>
  <c r="C309" i="20"/>
  <c r="C309" i="22"/>
  <c r="C310" i="20"/>
  <c r="C310" i="22"/>
  <c r="C311" i="20"/>
  <c r="C311" i="22"/>
  <c r="C312" i="20"/>
  <c r="C312" i="22"/>
  <c r="C313" i="20"/>
  <c r="C313" i="22"/>
  <c r="C314" i="20"/>
  <c r="C314" i="22"/>
  <c r="C315" i="20"/>
  <c r="C315" i="22"/>
  <c r="C316" i="20"/>
  <c r="C316" i="22"/>
  <c r="C317" i="20"/>
  <c r="C317" i="22"/>
  <c r="C318" i="20"/>
  <c r="C318" i="22"/>
  <c r="C319" i="20"/>
  <c r="C319" i="22"/>
  <c r="C320" i="20"/>
  <c r="C320" i="22"/>
  <c r="C321" i="20"/>
  <c r="C321" i="22"/>
  <c r="C322" i="20"/>
  <c r="C322" i="22"/>
  <c r="C323" i="20"/>
  <c r="C323" i="22"/>
  <c r="C324" i="20"/>
  <c r="C324" i="22"/>
  <c r="C325" i="20"/>
  <c r="C325" i="22"/>
  <c r="C326" i="20"/>
  <c r="C326" i="22"/>
  <c r="C327" i="20"/>
  <c r="C327" i="22"/>
  <c r="C328" i="20"/>
  <c r="C328" i="22"/>
  <c r="C329" i="20"/>
  <c r="C329" i="22"/>
  <c r="C330" i="20"/>
  <c r="C330" i="22"/>
  <c r="C331" i="20"/>
  <c r="C331" i="22"/>
  <c r="C332" i="20"/>
  <c r="C332" i="22"/>
  <c r="C333" i="20"/>
  <c r="C333" i="22"/>
  <c r="C334" i="20"/>
  <c r="C334" i="22"/>
  <c r="C335" i="20"/>
  <c r="C335" i="22"/>
  <c r="C336" i="20"/>
  <c r="C336" i="22"/>
  <c r="C337" i="20"/>
  <c r="C337" i="22"/>
  <c r="C338" i="20"/>
  <c r="C338" i="22"/>
  <c r="C339" i="20"/>
  <c r="C339" i="22"/>
  <c r="C340" i="20"/>
  <c r="C340" i="22"/>
  <c r="C341" i="20"/>
  <c r="C341" i="22"/>
  <c r="C342" i="20"/>
  <c r="C342" i="22"/>
  <c r="C343" i="20"/>
  <c r="C343" i="22"/>
  <c r="C344" i="20"/>
  <c r="C344" i="22"/>
  <c r="C345" i="20"/>
  <c r="C345" i="22"/>
  <c r="C346" i="20"/>
  <c r="C346" i="22"/>
  <c r="C347" i="20"/>
  <c r="C347" i="22"/>
  <c r="C348" i="20"/>
  <c r="C348" i="22"/>
  <c r="C349" i="20"/>
  <c r="C349" i="22"/>
  <c r="C350" i="20"/>
  <c r="C350" i="22"/>
  <c r="C351" i="20"/>
  <c r="C351" i="22"/>
  <c r="C352" i="20"/>
  <c r="C352" i="22"/>
  <c r="C353" i="20"/>
  <c r="C353" i="22"/>
  <c r="C354" i="20"/>
  <c r="C354" i="22"/>
  <c r="C355" i="20"/>
  <c r="C355" i="22"/>
  <c r="C356" i="20"/>
  <c r="C356" i="22"/>
  <c r="C357" i="20"/>
  <c r="C357" i="22"/>
  <c r="C358" i="20"/>
  <c r="C358" i="22"/>
  <c r="C359" i="20"/>
  <c r="C359" i="22"/>
  <c r="C360" i="20"/>
  <c r="C360" i="22"/>
  <c r="C361" i="20"/>
  <c r="C361" i="22"/>
  <c r="C362" i="20"/>
  <c r="C362" i="22"/>
  <c r="C363" i="20"/>
  <c r="C363" i="22"/>
  <c r="C364" i="20"/>
  <c r="C364" i="22"/>
  <c r="C365" i="20"/>
  <c r="C365" i="22"/>
  <c r="C366" i="20"/>
  <c r="C366" i="22"/>
  <c r="C367" i="20"/>
  <c r="C367" i="22"/>
  <c r="C368" i="20"/>
  <c r="C368" i="22"/>
  <c r="C369" i="20"/>
  <c r="C369" i="22"/>
  <c r="C370" i="20"/>
  <c r="C370" i="22"/>
  <c r="C371" i="20"/>
  <c r="C371" i="22"/>
  <c r="C372" i="20"/>
  <c r="C372" i="22"/>
  <c r="C373" i="20"/>
  <c r="C373" i="22"/>
  <c r="C374" i="20"/>
  <c r="C374" i="22"/>
  <c r="C375" i="20"/>
  <c r="C375" i="22"/>
  <c r="C376" i="20"/>
  <c r="C376" i="22"/>
  <c r="C377" i="20"/>
  <c r="C377" i="22"/>
  <c r="C378" i="20"/>
  <c r="C378" i="22"/>
  <c r="C379" i="20"/>
  <c r="C379" i="22"/>
  <c r="C380" i="20"/>
  <c r="C380" i="22"/>
  <c r="C381" i="20"/>
  <c r="C381" i="22"/>
  <c r="C382" i="20"/>
  <c r="C382" i="22"/>
  <c r="C383" i="20"/>
  <c r="C383" i="22"/>
  <c r="C384" i="20"/>
  <c r="C384" i="22"/>
  <c r="C385" i="20"/>
  <c r="C385" i="22"/>
  <c r="C386" i="20"/>
  <c r="C386" i="22"/>
  <c r="C387" i="20"/>
  <c r="C387" i="22"/>
  <c r="C388" i="20"/>
  <c r="C388" i="22"/>
  <c r="C389" i="20"/>
  <c r="C389" i="22"/>
  <c r="C390" i="20"/>
  <c r="C390" i="22"/>
  <c r="C391" i="20"/>
  <c r="C391" i="22"/>
  <c r="C392" i="20"/>
  <c r="C392" i="22"/>
  <c r="C393" i="20"/>
  <c r="C393" i="22"/>
  <c r="C394" i="20"/>
  <c r="C394" i="22"/>
  <c r="C395" i="20"/>
  <c r="C395" i="22"/>
  <c r="C396" i="20"/>
  <c r="C396" i="22"/>
  <c r="C397" i="20"/>
  <c r="C397" i="22"/>
  <c r="C398" i="20"/>
  <c r="C398" i="22"/>
  <c r="C399" i="20"/>
  <c r="C399" i="22"/>
  <c r="C400" i="20"/>
  <c r="C400" i="22"/>
  <c r="C401" i="20"/>
  <c r="C401" i="22"/>
  <c r="C402" i="20"/>
  <c r="C402" i="22"/>
  <c r="C403" i="20"/>
  <c r="C403" i="22"/>
  <c r="C404" i="20"/>
  <c r="C404" i="22"/>
  <c r="C405" i="20"/>
  <c r="C405" i="22"/>
  <c r="C406" i="20"/>
  <c r="C406" i="22"/>
  <c r="C407" i="20"/>
  <c r="C407" i="22"/>
  <c r="C408" i="20"/>
  <c r="C408" i="22"/>
  <c r="C51" i="20"/>
  <c r="C415"/>
  <c r="C51" i="22"/>
  <c r="C415"/>
  <c r="O3" i="8"/>
  <c r="BJ3" s="1"/>
  <c r="BJ4" s="1"/>
  <c r="BA5"/>
  <c r="J6"/>
  <c r="BI6" s="1"/>
  <c r="AL11"/>
  <c r="AY11"/>
  <c r="AZ11"/>
  <c r="AL12"/>
  <c r="AL13" s="1"/>
  <c r="AL14" s="1"/>
  <c r="AL15" s="1"/>
  <c r="AL16" s="1"/>
  <c r="AL17" s="1"/>
  <c r="AL18" s="1"/>
  <c r="AL19" s="1"/>
  <c r="AL20" s="1"/>
  <c r="AL21" s="1"/>
  <c r="AL22" s="1"/>
  <c r="AY12"/>
  <c r="AZ12" s="1"/>
  <c r="AY13"/>
  <c r="AZ13"/>
  <c r="AY14"/>
  <c r="AZ14" s="1"/>
  <c r="AY15"/>
  <c r="AZ15"/>
  <c r="AY16"/>
  <c r="AZ16" s="1"/>
  <c r="AY17"/>
  <c r="AZ17"/>
  <c r="AY18"/>
  <c r="AZ18" s="1"/>
  <c r="AY19"/>
  <c r="AZ19"/>
  <c r="AY20"/>
  <c r="AZ20" s="1"/>
  <c r="AY21"/>
  <c r="AZ21"/>
  <c r="AY22"/>
  <c r="AZ22" s="1"/>
  <c r="AU23"/>
  <c r="AU24"/>
  <c r="C4" i="50"/>
  <c r="J4"/>
  <c r="K4"/>
  <c r="L4"/>
  <c r="B5"/>
  <c r="C5"/>
  <c r="L5"/>
  <c r="B6"/>
  <c r="C6"/>
  <c r="L6"/>
  <c r="B7"/>
  <c r="B8" s="1"/>
  <c r="C7"/>
  <c r="J7"/>
  <c r="K7"/>
  <c r="L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E4" i="49"/>
  <c r="B5"/>
  <c r="E5"/>
  <c r="G5" s="1"/>
  <c r="D6"/>
  <c r="E6" s="1"/>
  <c r="G6" s="1"/>
  <c r="B6"/>
  <c r="D7"/>
  <c r="E7"/>
  <c r="G7" s="1"/>
  <c r="B7"/>
  <c r="B8" s="1"/>
  <c r="B9" s="1"/>
  <c r="B10" s="1"/>
  <c r="B11" s="1"/>
  <c r="B12" s="1"/>
  <c r="B13" s="1"/>
  <c r="B14" s="1"/>
  <c r="B15" s="1"/>
  <c r="B16" s="1"/>
  <c r="B17" s="1"/>
  <c r="B18" s="1"/>
  <c r="B19" s="1"/>
  <c r="D8"/>
  <c r="E8" s="1"/>
  <c r="G8" s="1"/>
  <c r="D9"/>
  <c r="E9"/>
  <c r="G9" s="1"/>
  <c r="D10"/>
  <c r="E10" s="1"/>
  <c r="G10" s="1"/>
  <c r="D11"/>
  <c r="E11"/>
  <c r="D12"/>
  <c r="E12" s="1"/>
  <c r="G12" s="1"/>
  <c r="D13"/>
  <c r="E13"/>
  <c r="D14"/>
  <c r="E14" s="1"/>
  <c r="G14" s="1"/>
  <c r="D15"/>
  <c r="E15"/>
  <c r="D16"/>
  <c r="E16" s="1"/>
  <c r="G16" s="1"/>
  <c r="D17"/>
  <c r="E17"/>
  <c r="G17" s="1"/>
  <c r="D18"/>
  <c r="E18" s="1"/>
  <c r="G18" s="1"/>
  <c r="D19"/>
  <c r="E19"/>
  <c r="G19" s="1"/>
  <c r="C4" i="7"/>
  <c r="J4"/>
  <c r="K4"/>
  <c r="L4"/>
  <c r="B5"/>
  <c r="C5"/>
  <c r="J5" s="1"/>
  <c r="L5"/>
  <c r="B6"/>
  <c r="B7" s="1"/>
  <c r="C6"/>
  <c r="L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G4" i="6"/>
  <c r="B5"/>
  <c r="B6" s="1"/>
  <c r="B7" s="1"/>
  <c r="B8" s="1"/>
  <c r="B9" s="1"/>
  <c r="B10" s="1"/>
  <c r="B11" s="1"/>
  <c r="B12" s="1"/>
  <c r="B13" s="1"/>
  <c r="B14" s="1"/>
  <c r="B15" s="1"/>
  <c r="B16" s="1"/>
  <c r="B17" s="1"/>
  <c r="B18" s="1"/>
  <c r="B19" s="1"/>
  <c r="G5"/>
  <c r="F6"/>
  <c r="G6"/>
  <c r="D6"/>
  <c r="E6" s="1"/>
  <c r="H6" s="1"/>
  <c r="F7"/>
  <c r="G7" s="1"/>
  <c r="I7" s="1"/>
  <c r="D7"/>
  <c r="E7" s="1"/>
  <c r="H7" s="1"/>
  <c r="F8"/>
  <c r="G8" s="1"/>
  <c r="D8"/>
  <c r="E8" s="1"/>
  <c r="H8" s="1"/>
  <c r="F9"/>
  <c r="G9" s="1"/>
  <c r="D9"/>
  <c r="E9" s="1"/>
  <c r="H9" s="1"/>
  <c r="F10"/>
  <c r="G10"/>
  <c r="I11" s="1"/>
  <c r="D10"/>
  <c r="E10" s="1"/>
  <c r="H10" s="1"/>
  <c r="G173" i="7" s="1"/>
  <c r="F11" i="6"/>
  <c r="G11"/>
  <c r="D11"/>
  <c r="E11" s="1"/>
  <c r="H11" s="1"/>
  <c r="G217" i="7" s="1"/>
  <c r="F12" i="6"/>
  <c r="G12"/>
  <c r="D12"/>
  <c r="E12" s="1"/>
  <c r="H12" s="1"/>
  <c r="F13"/>
  <c r="G13"/>
  <c r="I12"/>
  <c r="D13"/>
  <c r="E13" s="1"/>
  <c r="H13" s="1"/>
  <c r="F14"/>
  <c r="G14"/>
  <c r="I13"/>
  <c r="D14"/>
  <c r="E14" s="1"/>
  <c r="H14" s="1"/>
  <c r="G301" i="7" s="1"/>
  <c r="F15" i="6"/>
  <c r="G15"/>
  <c r="I14"/>
  <c r="D15"/>
  <c r="E15" s="1"/>
  <c r="H15" s="1"/>
  <c r="G320" i="7" s="1"/>
  <c r="F16" i="6"/>
  <c r="G16"/>
  <c r="I15"/>
  <c r="D16"/>
  <c r="E16" s="1"/>
  <c r="F17"/>
  <c r="G17"/>
  <c r="I16"/>
  <c r="D17"/>
  <c r="E17" s="1"/>
  <c r="F18"/>
  <c r="G18"/>
  <c r="I17"/>
  <c r="F19"/>
  <c r="G19" s="1"/>
  <c r="I19" s="1"/>
  <c r="C4" i="5"/>
  <c r="K4" s="1"/>
  <c r="L4"/>
  <c r="C5"/>
  <c r="K5" s="1"/>
  <c r="L5"/>
  <c r="C6"/>
  <c r="K6" s="1"/>
  <c r="L6"/>
  <c r="C7"/>
  <c r="K7" s="1"/>
  <c r="L7"/>
  <c r="C8"/>
  <c r="K8" s="1"/>
  <c r="L8"/>
  <c r="C9"/>
  <c r="K9" s="1"/>
  <c r="L9"/>
  <c r="C10"/>
  <c r="K10" s="1"/>
  <c r="L10"/>
  <c r="C11"/>
  <c r="K11" s="1"/>
  <c r="L11"/>
  <c r="C12"/>
  <c r="K12" s="1"/>
  <c r="L12"/>
  <c r="C13"/>
  <c r="K13" s="1"/>
  <c r="L13"/>
  <c r="C14"/>
  <c r="K14" s="1"/>
  <c r="L14"/>
  <c r="C15"/>
  <c r="K15" s="1"/>
  <c r="L15"/>
  <c r="C16"/>
  <c r="K16" s="1"/>
  <c r="L16"/>
  <c r="C17"/>
  <c r="K17" s="1"/>
  <c r="L17"/>
  <c r="C18"/>
  <c r="K18" s="1"/>
  <c r="L18"/>
  <c r="C19"/>
  <c r="K19" s="1"/>
  <c r="L19"/>
  <c r="C20"/>
  <c r="K20" s="1"/>
  <c r="L20"/>
  <c r="C21"/>
  <c r="K21" s="1"/>
  <c r="L21"/>
  <c r="C22"/>
  <c r="K22" s="1"/>
  <c r="L22"/>
  <c r="C23"/>
  <c r="K23" s="1"/>
  <c r="L23"/>
  <c r="C24"/>
  <c r="K24" s="1"/>
  <c r="L24"/>
  <c r="C25"/>
  <c r="K25" s="1"/>
  <c r="L25"/>
  <c r="C26"/>
  <c r="K26" s="1"/>
  <c r="L26"/>
  <c r="C27"/>
  <c r="K27" s="1"/>
  <c r="L27"/>
  <c r="C28"/>
  <c r="K28" s="1"/>
  <c r="L28"/>
  <c r="C29"/>
  <c r="K29" s="1"/>
  <c r="L29"/>
  <c r="C30"/>
  <c r="K30" s="1"/>
  <c r="L30"/>
  <c r="C31"/>
  <c r="K31" s="1"/>
  <c r="L31"/>
  <c r="C32"/>
  <c r="K32" s="1"/>
  <c r="L32"/>
  <c r="C33"/>
  <c r="K33" s="1"/>
  <c r="L33"/>
  <c r="C34"/>
  <c r="K34" s="1"/>
  <c r="L34"/>
  <c r="C35"/>
  <c r="K35" s="1"/>
  <c r="L35"/>
  <c r="C36"/>
  <c r="K36" s="1"/>
  <c r="L36"/>
  <c r="C37"/>
  <c r="K37" s="1"/>
  <c r="L37"/>
  <c r="C38"/>
  <c r="K38" s="1"/>
  <c r="L38"/>
  <c r="C39"/>
  <c r="K39" s="1"/>
  <c r="L39"/>
  <c r="C40"/>
  <c r="K40" s="1"/>
  <c r="L40"/>
  <c r="C41"/>
  <c r="K41" s="1"/>
  <c r="L41"/>
  <c r="C42"/>
  <c r="K42" s="1"/>
  <c r="L42"/>
  <c r="C43"/>
  <c r="K43" s="1"/>
  <c r="L43"/>
  <c r="C44"/>
  <c r="K44" s="1"/>
  <c r="L44"/>
  <c r="C45"/>
  <c r="K45" s="1"/>
  <c r="L45"/>
  <c r="C46"/>
  <c r="K46" s="1"/>
  <c r="L46"/>
  <c r="C47"/>
  <c r="K47" s="1"/>
  <c r="L47"/>
  <c r="C48"/>
  <c r="K48" s="1"/>
  <c r="L48"/>
  <c r="C49"/>
  <c r="K49" s="1"/>
  <c r="L49"/>
  <c r="L50"/>
  <c r="C51"/>
  <c r="C52"/>
  <c r="C53"/>
  <c r="C54"/>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402"/>
  <c r="C403"/>
  <c r="C404"/>
  <c r="C405"/>
  <c r="C406"/>
  <c r="C407"/>
  <c r="C408"/>
  <c r="C409"/>
  <c r="C410"/>
  <c r="C411"/>
  <c r="C412"/>
  <c r="C413"/>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B5" i="4"/>
  <c r="B6" s="1"/>
  <c r="B7" s="1"/>
  <c r="B8" s="1"/>
  <c r="B9" s="1"/>
  <c r="B10" s="1"/>
  <c r="B11" s="1"/>
  <c r="B12" s="1"/>
  <c r="B13" s="1"/>
  <c r="B14" s="1"/>
  <c r="B15" s="1"/>
  <c r="B16" s="1"/>
  <c r="B17" s="1"/>
  <c r="B18" s="1"/>
  <c r="B19" s="1"/>
  <c r="G19"/>
  <c r="C4" i="20"/>
  <c r="J4"/>
  <c r="K4"/>
  <c r="L4"/>
  <c r="C5"/>
  <c r="J5"/>
  <c r="K5"/>
  <c r="L5"/>
  <c r="C6"/>
  <c r="J6"/>
  <c r="K6"/>
  <c r="L6"/>
  <c r="C7"/>
  <c r="J7"/>
  <c r="K7"/>
  <c r="L7"/>
  <c r="C8"/>
  <c r="J8"/>
  <c r="K8"/>
  <c r="L8"/>
  <c r="C9"/>
  <c r="J9"/>
  <c r="K9"/>
  <c r="L9"/>
  <c r="C10"/>
  <c r="J10"/>
  <c r="K10"/>
  <c r="L10"/>
  <c r="C11"/>
  <c r="J11"/>
  <c r="K11"/>
  <c r="L11"/>
  <c r="C12"/>
  <c r="J12"/>
  <c r="K12"/>
  <c r="L12"/>
  <c r="C13"/>
  <c r="J13"/>
  <c r="K13"/>
  <c r="L13"/>
  <c r="C14"/>
  <c r="J14"/>
  <c r="K14"/>
  <c r="L14"/>
  <c r="C15"/>
  <c r="J15"/>
  <c r="K15"/>
  <c r="L15"/>
  <c r="C16"/>
  <c r="J16"/>
  <c r="K16"/>
  <c r="L16"/>
  <c r="C17"/>
  <c r="J17"/>
  <c r="K17"/>
  <c r="L17"/>
  <c r="C18"/>
  <c r="J18"/>
  <c r="K18"/>
  <c r="L18"/>
  <c r="C19"/>
  <c r="J19"/>
  <c r="K19"/>
  <c r="L19"/>
  <c r="C20"/>
  <c r="J20"/>
  <c r="K20"/>
  <c r="L20"/>
  <c r="C21"/>
  <c r="J21"/>
  <c r="K21"/>
  <c r="L21"/>
  <c r="C22"/>
  <c r="J22"/>
  <c r="K22"/>
  <c r="L22"/>
  <c r="C23"/>
  <c r="J23"/>
  <c r="K23"/>
  <c r="L23"/>
  <c r="C24"/>
  <c r="J24"/>
  <c r="K24"/>
  <c r="L24"/>
  <c r="C25"/>
  <c r="J25"/>
  <c r="K25"/>
  <c r="L25"/>
  <c r="C26"/>
  <c r="J26"/>
  <c r="K26"/>
  <c r="L26"/>
  <c r="C27"/>
  <c r="J27"/>
  <c r="K27"/>
  <c r="L27"/>
  <c r="C28"/>
  <c r="J28"/>
  <c r="K28"/>
  <c r="L28"/>
  <c r="C29"/>
  <c r="J29"/>
  <c r="K29"/>
  <c r="L29"/>
  <c r="C30"/>
  <c r="J30"/>
  <c r="K30"/>
  <c r="L30"/>
  <c r="C31"/>
  <c r="J31"/>
  <c r="K31"/>
  <c r="L31"/>
  <c r="C32"/>
  <c r="J32"/>
  <c r="K32"/>
  <c r="L32"/>
  <c r="C33"/>
  <c r="J33"/>
  <c r="K33"/>
  <c r="L33"/>
  <c r="C34"/>
  <c r="J34"/>
  <c r="K34"/>
  <c r="L34"/>
  <c r="C35"/>
  <c r="J35"/>
  <c r="K35"/>
  <c r="L35"/>
  <c r="C36"/>
  <c r="J36"/>
  <c r="K36"/>
  <c r="L36"/>
  <c r="C37"/>
  <c r="J37"/>
  <c r="K37"/>
  <c r="L37"/>
  <c r="C38"/>
  <c r="J38"/>
  <c r="K38"/>
  <c r="L38"/>
  <c r="C39"/>
  <c r="J39"/>
  <c r="K39"/>
  <c r="L39"/>
  <c r="C40"/>
  <c r="J40"/>
  <c r="K40"/>
  <c r="L40"/>
  <c r="C41"/>
  <c r="J41"/>
  <c r="K41"/>
  <c r="L41"/>
  <c r="C42"/>
  <c r="J42"/>
  <c r="K42"/>
  <c r="L42"/>
  <c r="C43"/>
  <c r="J43"/>
  <c r="K43"/>
  <c r="L43"/>
  <c r="C44"/>
  <c r="J44"/>
  <c r="K44"/>
  <c r="L44"/>
  <c r="C45"/>
  <c r="J45"/>
  <c r="K45"/>
  <c r="L45"/>
  <c r="C46"/>
  <c r="J46"/>
  <c r="K46"/>
  <c r="L46"/>
  <c r="C47"/>
  <c r="J47"/>
  <c r="K47"/>
  <c r="L47"/>
  <c r="C48"/>
  <c r="J48"/>
  <c r="K48"/>
  <c r="L48"/>
  <c r="C49"/>
  <c r="J49"/>
  <c r="K49"/>
  <c r="L49"/>
  <c r="L50"/>
  <c r="C52"/>
  <c r="C53"/>
  <c r="C54"/>
  <c r="C409"/>
  <c r="C410"/>
  <c r="C411"/>
  <c r="C412"/>
  <c r="C413"/>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B5" i="19"/>
  <c r="B6"/>
  <c r="B7" s="1"/>
  <c r="B8" s="1"/>
  <c r="B9" s="1"/>
  <c r="B10" s="1"/>
  <c r="B11" s="1"/>
  <c r="B12" s="1"/>
  <c r="B13" s="1"/>
  <c r="B14" s="1"/>
  <c r="B15" s="1"/>
  <c r="B16" s="1"/>
  <c r="B17" s="1"/>
  <c r="B18" s="1"/>
  <c r="B19" s="1"/>
  <c r="G19"/>
  <c r="C4" i="22"/>
  <c r="K4" s="1"/>
  <c r="L4"/>
  <c r="C5"/>
  <c r="K5" s="1"/>
  <c r="L5"/>
  <c r="C6"/>
  <c r="K6" s="1"/>
  <c r="L6"/>
  <c r="C7"/>
  <c r="K7" s="1"/>
  <c r="L7"/>
  <c r="C8"/>
  <c r="K8" s="1"/>
  <c r="L8"/>
  <c r="C9"/>
  <c r="K9" s="1"/>
  <c r="L9"/>
  <c r="C10"/>
  <c r="K10" s="1"/>
  <c r="L10"/>
  <c r="C11"/>
  <c r="K11" s="1"/>
  <c r="L11"/>
  <c r="C12"/>
  <c r="K12" s="1"/>
  <c r="L12"/>
  <c r="C13"/>
  <c r="K13" s="1"/>
  <c r="L13"/>
  <c r="C14"/>
  <c r="K14" s="1"/>
  <c r="L14"/>
  <c r="C15"/>
  <c r="K15" s="1"/>
  <c r="L15"/>
  <c r="C16"/>
  <c r="K16" s="1"/>
  <c r="L16"/>
  <c r="C17"/>
  <c r="K17" s="1"/>
  <c r="L17"/>
  <c r="C18"/>
  <c r="K18" s="1"/>
  <c r="L18"/>
  <c r="C19"/>
  <c r="K19" s="1"/>
  <c r="L19"/>
  <c r="C20"/>
  <c r="K20" s="1"/>
  <c r="L20"/>
  <c r="C21"/>
  <c r="K21" s="1"/>
  <c r="L21"/>
  <c r="C22"/>
  <c r="K22" s="1"/>
  <c r="L22"/>
  <c r="C23"/>
  <c r="K23" s="1"/>
  <c r="L23"/>
  <c r="C24"/>
  <c r="K24" s="1"/>
  <c r="L24"/>
  <c r="C25"/>
  <c r="K25" s="1"/>
  <c r="L25"/>
  <c r="C26"/>
  <c r="K26" s="1"/>
  <c r="L26"/>
  <c r="C27"/>
  <c r="K27" s="1"/>
  <c r="L27"/>
  <c r="C28"/>
  <c r="K28" s="1"/>
  <c r="L28"/>
  <c r="C29"/>
  <c r="K29" s="1"/>
  <c r="L29"/>
  <c r="C30"/>
  <c r="K30" s="1"/>
  <c r="L30"/>
  <c r="C31"/>
  <c r="K31" s="1"/>
  <c r="L31"/>
  <c r="C32"/>
  <c r="K32" s="1"/>
  <c r="L32"/>
  <c r="C33"/>
  <c r="K33" s="1"/>
  <c r="L33"/>
  <c r="C34"/>
  <c r="K34" s="1"/>
  <c r="L34"/>
  <c r="C35"/>
  <c r="K35" s="1"/>
  <c r="L35"/>
  <c r="C36"/>
  <c r="K36" s="1"/>
  <c r="L36"/>
  <c r="C37"/>
  <c r="K37" s="1"/>
  <c r="L37"/>
  <c r="C38"/>
  <c r="K38" s="1"/>
  <c r="L38"/>
  <c r="C39"/>
  <c r="K39" s="1"/>
  <c r="L39"/>
  <c r="C40"/>
  <c r="K40" s="1"/>
  <c r="L40"/>
  <c r="C41"/>
  <c r="K41" s="1"/>
  <c r="L41"/>
  <c r="C42"/>
  <c r="K42" s="1"/>
  <c r="L42"/>
  <c r="C43"/>
  <c r="K43" s="1"/>
  <c r="L43"/>
  <c r="C44"/>
  <c r="K44" s="1"/>
  <c r="L44"/>
  <c r="C45"/>
  <c r="K45" s="1"/>
  <c r="L45"/>
  <c r="C46"/>
  <c r="K46" s="1"/>
  <c r="L46"/>
  <c r="C47"/>
  <c r="K47" s="1"/>
  <c r="L47"/>
  <c r="C48"/>
  <c r="K48" s="1"/>
  <c r="L48"/>
  <c r="C49"/>
  <c r="K49" s="1"/>
  <c r="L49"/>
  <c r="L50"/>
  <c r="C52"/>
  <c r="C53"/>
  <c r="C54"/>
  <c r="C409"/>
  <c r="C410"/>
  <c r="C411"/>
  <c r="C412"/>
  <c r="C413"/>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B5" i="21"/>
  <c r="B6"/>
  <c r="B7"/>
  <c r="B8" s="1"/>
  <c r="B9" s="1"/>
  <c r="B10" s="1"/>
  <c r="B11" s="1"/>
  <c r="B12" s="1"/>
  <c r="B13" s="1"/>
  <c r="B14" s="1"/>
  <c r="B15" s="1"/>
  <c r="B16" s="1"/>
  <c r="B17" s="1"/>
  <c r="B18" s="1"/>
  <c r="B19" s="1"/>
  <c r="G19"/>
  <c r="BM205" i="1"/>
  <c r="BM196"/>
  <c r="BL196"/>
  <c r="BM191"/>
  <c r="BM188"/>
  <c r="BN188" s="1"/>
  <c r="BL188"/>
  <c r="BM168"/>
  <c r="BM165"/>
  <c r="BM153"/>
  <c r="BL153"/>
  <c r="BM140"/>
  <c r="BM137"/>
  <c r="BL137"/>
  <c r="BM131"/>
  <c r="BL131"/>
  <c r="BL126"/>
  <c r="BM126"/>
  <c r="BN126" s="1"/>
  <c r="BL118"/>
  <c r="BM118"/>
  <c r="BM104"/>
  <c r="BM96"/>
  <c r="BL82"/>
  <c r="BM82"/>
  <c r="BL74"/>
  <c r="BM74"/>
  <c r="BN74" s="1"/>
  <c r="BL65"/>
  <c r="BM597"/>
  <c r="BM206"/>
  <c r="BL206"/>
  <c r="BM200"/>
  <c r="BL187"/>
  <c r="BM187"/>
  <c r="BM184"/>
  <c r="BL182"/>
  <c r="BM182"/>
  <c r="BM169"/>
  <c r="BN169" s="1"/>
  <c r="BL169"/>
  <c r="BL164"/>
  <c r="BM164"/>
  <c r="BL142"/>
  <c r="BM142"/>
  <c r="BL130"/>
  <c r="BL122"/>
  <c r="BM122"/>
  <c r="BN122" s="1"/>
  <c r="BL114"/>
  <c r="BM114"/>
  <c r="BN114" s="1"/>
  <c r="BL86"/>
  <c r="BM86"/>
  <c r="BL75"/>
  <c r="BL72"/>
  <c r="BL594"/>
  <c r="BL592"/>
  <c r="BL589"/>
  <c r="BL587"/>
  <c r="BL586"/>
  <c r="BJ533"/>
  <c r="BJ524"/>
  <c r="BL524"/>
  <c r="BM513"/>
  <c r="BM507"/>
  <c r="BM503"/>
  <c r="BM502"/>
  <c r="BM496"/>
  <c r="BM492"/>
  <c r="BM489"/>
  <c r="BM488"/>
  <c r="BM487"/>
  <c r="BM485"/>
  <c r="BM480"/>
  <c r="BM479"/>
  <c r="BM477"/>
  <c r="BM471"/>
  <c r="BM469"/>
  <c r="BM468"/>
  <c r="BM467"/>
  <c r="BM466"/>
  <c r="BM464"/>
  <c r="BM204"/>
  <c r="BJ203"/>
  <c r="BL203"/>
  <c r="BJ201"/>
  <c r="BL201"/>
  <c r="BM198"/>
  <c r="BJ193"/>
  <c r="BL193"/>
  <c r="BM190"/>
  <c r="BL185"/>
  <c r="BJ180"/>
  <c r="BL180"/>
  <c r="BM177"/>
  <c r="BL176"/>
  <c r="BM172"/>
  <c r="BM171"/>
  <c r="BL166"/>
  <c r="BM159"/>
  <c r="BJ158"/>
  <c r="BL158"/>
  <c r="BJ156"/>
  <c r="BL156"/>
  <c r="BJ150"/>
  <c r="BL150"/>
  <c r="BL148"/>
  <c r="BM147"/>
  <c r="BL141"/>
  <c r="BM139"/>
  <c r="BL124"/>
  <c r="BM113"/>
  <c r="BJ110"/>
  <c r="BL110"/>
  <c r="BJ98"/>
  <c r="BL98"/>
  <c r="BL94"/>
  <c r="BJ90"/>
  <c r="BL90"/>
  <c r="BL88"/>
  <c r="BL76"/>
  <c r="BL66"/>
  <c r="BJ62"/>
  <c r="BL62"/>
  <c r="BJ48"/>
  <c r="BJ41"/>
  <c r="BJ36"/>
  <c r="BM22"/>
  <c r="H19" i="6"/>
  <c r="G431" i="7" s="1"/>
  <c r="BM581" i="1"/>
  <c r="BJ521"/>
  <c r="BM463"/>
  <c r="BM54"/>
  <c r="BM42"/>
  <c r="BL132"/>
  <c r="BJ58"/>
  <c r="BL58"/>
  <c r="BM46"/>
  <c r="BM38"/>
  <c r="BM30"/>
  <c r="BL579"/>
  <c r="BL578"/>
  <c r="BL576"/>
  <c r="BM573"/>
  <c r="BM570"/>
  <c r="BM569"/>
  <c r="BM568"/>
  <c r="BM567"/>
  <c r="BM564"/>
  <c r="BM561"/>
  <c r="BM560"/>
  <c r="BM559"/>
  <c r="BM556"/>
  <c r="BM553"/>
  <c r="BM552"/>
  <c r="BM551"/>
  <c r="BM548"/>
  <c r="BM545"/>
  <c r="BM544"/>
  <c r="BM541"/>
  <c r="BM540"/>
  <c r="BM537"/>
  <c r="BM530"/>
  <c r="BM526"/>
  <c r="BM524"/>
  <c r="BM521"/>
  <c r="BM265"/>
  <c r="BM233"/>
  <c r="BL134"/>
  <c r="BL375"/>
  <c r="BM372"/>
  <c r="BM350"/>
  <c r="BN196"/>
  <c r="BM161"/>
  <c r="BM129"/>
  <c r="BM95"/>
  <c r="BM58"/>
  <c r="BN58" s="1"/>
  <c r="BM56"/>
  <c r="BL54"/>
  <c r="BM52"/>
  <c r="BL50"/>
  <c r="BM47"/>
  <c r="BL46"/>
  <c r="BL42"/>
  <c r="BL38"/>
  <c r="BM37"/>
  <c r="BL35"/>
  <c r="BL34"/>
  <c r="BL30"/>
  <c r="BM28"/>
  <c r="BL26"/>
  <c r="BM25"/>
  <c r="BM24"/>
  <c r="BL22"/>
  <c r="G285" i="7"/>
  <c r="G286"/>
  <c r="G195"/>
  <c r="G197"/>
  <c r="G201"/>
  <c r="G203"/>
  <c r="F226"/>
  <c r="F228"/>
  <c r="F232"/>
  <c r="F234"/>
  <c r="G198"/>
  <c r="G200"/>
  <c r="G204"/>
  <c r="G206"/>
  <c r="F231"/>
  <c r="F233"/>
  <c r="F237"/>
  <c r="F239"/>
  <c r="G164"/>
  <c r="H18" i="6"/>
  <c r="G127" i="7"/>
  <c r="G129"/>
  <c r="G131"/>
  <c r="G133"/>
  <c r="G135"/>
  <c r="G137"/>
  <c r="G139"/>
  <c r="G141"/>
  <c r="G143"/>
  <c r="G145"/>
  <c r="G147"/>
  <c r="G149"/>
  <c r="G151"/>
  <c r="G153"/>
  <c r="G155"/>
  <c r="F158"/>
  <c r="F160"/>
  <c r="F162"/>
  <c r="F164"/>
  <c r="F166"/>
  <c r="F168"/>
  <c r="F170"/>
  <c r="F172"/>
  <c r="F174"/>
  <c r="F176"/>
  <c r="F178"/>
  <c r="F180"/>
  <c r="F182"/>
  <c r="F184"/>
  <c r="F186"/>
  <c r="G126"/>
  <c r="G128"/>
  <c r="G130"/>
  <c r="G132"/>
  <c r="G134"/>
  <c r="G136"/>
  <c r="G138"/>
  <c r="G140"/>
  <c r="G142"/>
  <c r="G144"/>
  <c r="G146"/>
  <c r="G148"/>
  <c r="G150"/>
  <c r="G152"/>
  <c r="G154"/>
  <c r="G156"/>
  <c r="F157"/>
  <c r="F159"/>
  <c r="F161"/>
  <c r="F163"/>
  <c r="F165"/>
  <c r="F167"/>
  <c r="F169"/>
  <c r="F171"/>
  <c r="F173"/>
  <c r="F175"/>
  <c r="F177"/>
  <c r="F179"/>
  <c r="F181"/>
  <c r="F183"/>
  <c r="F185"/>
  <c r="G447"/>
  <c r="G439"/>
  <c r="AV326" i="1"/>
  <c r="AY326" s="1"/>
  <c r="AV324"/>
  <c r="AV318"/>
  <c r="BL313"/>
  <c r="M31" i="53"/>
  <c r="G401" i="7"/>
  <c r="G403"/>
  <c r="G405"/>
  <c r="G407"/>
  <c r="G409"/>
  <c r="G413"/>
  <c r="G417"/>
  <c r="G419"/>
  <c r="G421"/>
  <c r="G423"/>
  <c r="G425"/>
  <c r="G427"/>
  <c r="F430"/>
  <c r="F432"/>
  <c r="F434"/>
  <c r="F436"/>
  <c r="F438"/>
  <c r="F440"/>
  <c r="F442"/>
  <c r="F444"/>
  <c r="F446"/>
  <c r="F448"/>
  <c r="F450"/>
  <c r="F452"/>
  <c r="F454"/>
  <c r="F456"/>
  <c r="F458"/>
  <c r="F460"/>
  <c r="G402"/>
  <c r="G404"/>
  <c r="G406"/>
  <c r="G408"/>
  <c r="G410"/>
  <c r="G414"/>
  <c r="G415"/>
  <c r="G416"/>
  <c r="G418"/>
  <c r="G420"/>
  <c r="G422"/>
  <c r="G424"/>
  <c r="G428"/>
  <c r="F431"/>
  <c r="F433"/>
  <c r="F435"/>
  <c r="F439"/>
  <c r="F441"/>
  <c r="F443"/>
  <c r="F447"/>
  <c r="F449"/>
  <c r="F451"/>
  <c r="F455"/>
  <c r="F457"/>
  <c r="F459"/>
  <c r="G36"/>
  <c r="G37"/>
  <c r="G38"/>
  <c r="G39"/>
  <c r="G40"/>
  <c r="G41"/>
  <c r="G42"/>
  <c r="G43"/>
  <c r="G44"/>
  <c r="G45"/>
  <c r="G46"/>
  <c r="G47"/>
  <c r="G48"/>
  <c r="G49"/>
  <c r="G50"/>
  <c r="G51"/>
  <c r="G53"/>
  <c r="G55"/>
  <c r="G57"/>
  <c r="G59"/>
  <c r="G61"/>
  <c r="G63"/>
  <c r="F66"/>
  <c r="F68"/>
  <c r="F70"/>
  <c r="F72"/>
  <c r="F74"/>
  <c r="F76"/>
  <c r="F78"/>
  <c r="F80"/>
  <c r="F82"/>
  <c r="F84"/>
  <c r="F86"/>
  <c r="F88"/>
  <c r="F90"/>
  <c r="F92"/>
  <c r="F94"/>
  <c r="G52"/>
  <c r="G54"/>
  <c r="G56"/>
  <c r="G58"/>
  <c r="G60"/>
  <c r="G62"/>
  <c r="G64"/>
  <c r="F65"/>
  <c r="F67"/>
  <c r="F69"/>
  <c r="F71"/>
  <c r="F73"/>
  <c r="F75"/>
  <c r="F77"/>
  <c r="F79"/>
  <c r="F81"/>
  <c r="F83"/>
  <c r="F85"/>
  <c r="F87"/>
  <c r="F89"/>
  <c r="F91"/>
  <c r="F93"/>
  <c r="F95"/>
  <c r="C9" i="54"/>
  <c r="M32" i="53"/>
  <c r="M33" s="1"/>
  <c r="C10" i="54"/>
  <c r="BN191" i="1" l="1"/>
  <c r="BN25"/>
  <c r="F191" i="7"/>
  <c r="BM61" i="1"/>
  <c r="F193" i="7"/>
  <c r="BL41" i="1"/>
  <c r="BM57"/>
  <c r="BM105"/>
  <c r="BL59"/>
  <c r="BL101"/>
  <c r="BM202"/>
  <c r="F199" i="7"/>
  <c r="BM33" i="1"/>
  <c r="BM550"/>
  <c r="BN550" s="1"/>
  <c r="BM574"/>
  <c r="BL138"/>
  <c r="BL127"/>
  <c r="BM598"/>
  <c r="BL178"/>
  <c r="BJ549"/>
  <c r="G455" i="7"/>
  <c r="F200"/>
  <c r="F223"/>
  <c r="G190"/>
  <c r="F218"/>
  <c r="G187"/>
  <c r="BM63" i="1"/>
  <c r="BM533"/>
  <c r="BM554"/>
  <c r="BM562"/>
  <c r="BL580"/>
  <c r="BL25"/>
  <c r="BM91"/>
  <c r="BM121"/>
  <c r="BL143"/>
  <c r="BM481"/>
  <c r="BM495"/>
  <c r="BM509"/>
  <c r="BN509" s="1"/>
  <c r="BL590"/>
  <c r="BM75"/>
  <c r="BM136"/>
  <c r="BN136" s="1"/>
  <c r="BL179"/>
  <c r="BL192"/>
  <c r="BL168"/>
  <c r="BL191"/>
  <c r="BL205"/>
  <c r="BN205" s="1"/>
  <c r="BL111"/>
  <c r="BM59"/>
  <c r="BL371"/>
  <c r="BN184"/>
  <c r="BL165"/>
  <c r="BN165" s="1"/>
  <c r="BM539"/>
  <c r="BM107"/>
  <c r="BL105"/>
  <c r="BN105" s="1"/>
  <c r="BL184"/>
  <c r="BL160"/>
  <c r="BL199"/>
  <c r="C49" i="53"/>
  <c r="X23" i="55" s="1"/>
  <c r="G448" i="7"/>
  <c r="F207"/>
  <c r="F247"/>
  <c r="G214"/>
  <c r="F242"/>
  <c r="G211"/>
  <c r="F364"/>
  <c r="BM89" i="1"/>
  <c r="BM549"/>
  <c r="BM565"/>
  <c r="BM167"/>
  <c r="BM472"/>
  <c r="BM486"/>
  <c r="BM500"/>
  <c r="BM517"/>
  <c r="BL585"/>
  <c r="BL593"/>
  <c r="BM97"/>
  <c r="BL195"/>
  <c r="BM160"/>
  <c r="BN160" s="1"/>
  <c r="BM178"/>
  <c r="BM199"/>
  <c r="BN199" s="1"/>
  <c r="BM584"/>
  <c r="BL535"/>
  <c r="BN535" s="1"/>
  <c r="C105" i="53"/>
  <c r="Z19" i="55" s="1"/>
  <c r="BM130" i="1"/>
  <c r="BN130" s="1"/>
  <c r="BM101"/>
  <c r="BN101" s="1"/>
  <c r="BM45"/>
  <c r="BM525"/>
  <c r="BI498"/>
  <c r="BN22"/>
  <c r="BN524"/>
  <c r="BM566"/>
  <c r="BL170"/>
  <c r="BL200"/>
  <c r="BN200" s="1"/>
  <c r="G440" i="7"/>
  <c r="G157"/>
  <c r="G216"/>
  <c r="F244"/>
  <c r="G213"/>
  <c r="BM41" i="1"/>
  <c r="BM79"/>
  <c r="BM572"/>
  <c r="BN572" s="1"/>
  <c r="BL381"/>
  <c r="BL33"/>
  <c r="BM125"/>
  <c r="BL146"/>
  <c r="BM271"/>
  <c r="BL584"/>
  <c r="BM195"/>
  <c r="BN195" s="1"/>
  <c r="BM596"/>
  <c r="BM175"/>
  <c r="BN175" s="1"/>
  <c r="BM589"/>
  <c r="BN589" s="1"/>
  <c r="BH535"/>
  <c r="BL496"/>
  <c r="BN496" s="1"/>
  <c r="C121" i="53"/>
  <c r="AA4" i="55" s="1"/>
  <c r="BL588" i="1"/>
  <c r="BL202"/>
  <c r="BN202" s="1"/>
  <c r="BM127"/>
  <c r="G456" i="7"/>
  <c r="BM109" i="1"/>
  <c r="G432" i="7"/>
  <c r="F221"/>
  <c r="G188"/>
  <c r="BM29" i="1"/>
  <c r="BM67"/>
  <c r="BM336"/>
  <c r="BM546"/>
  <c r="BM555"/>
  <c r="BM563"/>
  <c r="BM571"/>
  <c r="BL152"/>
  <c r="BM155"/>
  <c r="BM163"/>
  <c r="BM208"/>
  <c r="BL572"/>
  <c r="BM119"/>
  <c r="BL136"/>
  <c r="BM179"/>
  <c r="BM192"/>
  <c r="BL175"/>
  <c r="BL556"/>
  <c r="BN556" s="1"/>
  <c r="BM510"/>
  <c r="C129" i="53"/>
  <c r="AA12" i="55" s="1"/>
  <c r="G7" i="48"/>
  <c r="W7" s="1"/>
  <c r="G10"/>
  <c r="G9"/>
  <c r="W8"/>
  <c r="H10"/>
  <c r="J10" s="1"/>
  <c r="L10" s="1"/>
  <c r="H6"/>
  <c r="W6" s="1"/>
  <c r="BN187" i="1"/>
  <c r="BM85"/>
  <c r="BJ73"/>
  <c r="BJ28"/>
  <c r="BL550"/>
  <c r="BL491"/>
  <c r="AY307"/>
  <c r="AW307" s="1"/>
  <c r="AZ307" s="1"/>
  <c r="Q307" s="1"/>
  <c r="AY123"/>
  <c r="AY124" s="1"/>
  <c r="AY127"/>
  <c r="AW127" s="1"/>
  <c r="AZ127" s="1"/>
  <c r="Q127" s="1"/>
  <c r="BJ518"/>
  <c r="BM580"/>
  <c r="BN580" s="1"/>
  <c r="BL500"/>
  <c r="BM423"/>
  <c r="BI496"/>
  <c r="BJ496" s="1"/>
  <c r="BL495"/>
  <c r="BN495" s="1"/>
  <c r="BL526"/>
  <c r="BN526" s="1"/>
  <c r="BM592"/>
  <c r="BN592" s="1"/>
  <c r="BL557"/>
  <c r="BN557" s="1"/>
  <c r="BI580" i="38"/>
  <c r="BI576"/>
  <c r="BI572"/>
  <c r="BI568"/>
  <c r="BI564"/>
  <c r="BI560"/>
  <c r="BI556"/>
  <c r="BI552"/>
  <c r="BI548"/>
  <c r="BI544"/>
  <c r="BI540"/>
  <c r="BI536"/>
  <c r="BI532"/>
  <c r="BI528"/>
  <c r="BI524"/>
  <c r="BI520"/>
  <c r="BI516"/>
  <c r="BI512"/>
  <c r="BI508"/>
  <c r="BI504"/>
  <c r="BI500"/>
  <c r="BI496"/>
  <c r="BI492"/>
  <c r="BI488"/>
  <c r="BI484"/>
  <c r="BI480"/>
  <c r="BI476"/>
  <c r="BI472"/>
  <c r="BI468"/>
  <c r="BI464"/>
  <c r="BI460"/>
  <c r="BI456"/>
  <c r="BI452"/>
  <c r="BI448"/>
  <c r="BI444"/>
  <c r="BI440"/>
  <c r="BI436"/>
  <c r="BI432"/>
  <c r="BI428"/>
  <c r="BI424"/>
  <c r="BI420"/>
  <c r="BI416"/>
  <c r="BI412"/>
  <c r="BI408"/>
  <c r="BI404"/>
  <c r="BI400"/>
  <c r="BI396"/>
  <c r="BI392"/>
  <c r="BI388"/>
  <c r="BI384"/>
  <c r="BI380"/>
  <c r="BI376"/>
  <c r="BI372"/>
  <c r="BM402" i="1"/>
  <c r="BI582" i="38"/>
  <c r="BI578"/>
  <c r="BI574"/>
  <c r="BI570"/>
  <c r="BI566"/>
  <c r="BI562"/>
  <c r="BI558"/>
  <c r="BI554"/>
  <c r="BI550"/>
  <c r="BI546"/>
  <c r="BI542"/>
  <c r="BI538"/>
  <c r="BI534"/>
  <c r="BI530"/>
  <c r="BI526"/>
  <c r="BI522"/>
  <c r="BI518"/>
  <c r="BI514"/>
  <c r="BI510"/>
  <c r="BI506"/>
  <c r="BI502"/>
  <c r="BI498"/>
  <c r="BI494"/>
  <c r="BI490"/>
  <c r="BI486"/>
  <c r="BI482"/>
  <c r="BI478"/>
  <c r="BI474"/>
  <c r="BI470"/>
  <c r="BI466"/>
  <c r="BI462"/>
  <c r="BI458"/>
  <c r="BI454"/>
  <c r="BI450"/>
  <c r="BI446"/>
  <c r="BI442"/>
  <c r="BI438"/>
  <c r="BI434"/>
  <c r="BI430"/>
  <c r="BI426"/>
  <c r="BI422"/>
  <c r="BI418"/>
  <c r="BI414"/>
  <c r="BI410"/>
  <c r="BI406"/>
  <c r="BI402"/>
  <c r="BI398"/>
  <c r="BI394"/>
  <c r="BI390"/>
  <c r="BI386"/>
  <c r="BI382"/>
  <c r="BI378"/>
  <c r="BI374"/>
  <c r="BI370"/>
  <c r="BN59" i="1"/>
  <c r="BL406"/>
  <c r="BJ529"/>
  <c r="BM401"/>
  <c r="BJ80"/>
  <c r="BJ76"/>
  <c r="BJ60"/>
  <c r="BJ56"/>
  <c r="BJ23"/>
  <c r="AG22"/>
  <c r="C47" i="53"/>
  <c r="X21" i="55" s="1"/>
  <c r="C83" i="53"/>
  <c r="Y26" i="55" s="1"/>
  <c r="C31" i="53"/>
  <c r="X5" i="55" s="1"/>
  <c r="AV320" i="1"/>
  <c r="C155" i="53"/>
  <c r="AB8" i="55" s="1"/>
  <c r="C91" i="53"/>
  <c r="Z5" i="55" s="1"/>
  <c r="BL392" i="1"/>
  <c r="BM32"/>
  <c r="BM36"/>
  <c r="BM40"/>
  <c r="BM44"/>
  <c r="BM48"/>
  <c r="BM53"/>
  <c r="BM69"/>
  <c r="BM360"/>
  <c r="BM93"/>
  <c r="BM362"/>
  <c r="BM522"/>
  <c r="BM527"/>
  <c r="BL53"/>
  <c r="BL120"/>
  <c r="BM494"/>
  <c r="BM499"/>
  <c r="BN499" s="1"/>
  <c r="BM516"/>
  <c r="BM64"/>
  <c r="BM92"/>
  <c r="BM100"/>
  <c r="BM108"/>
  <c r="BM358"/>
  <c r="BM65"/>
  <c r="BL96"/>
  <c r="BN96" s="1"/>
  <c r="BL104"/>
  <c r="C600" i="52"/>
  <c r="C536"/>
  <c r="C504"/>
  <c r="C488"/>
  <c r="C464"/>
  <c r="C448"/>
  <c r="C432"/>
  <c r="C416"/>
  <c r="C400"/>
  <c r="C384"/>
  <c r="C368"/>
  <c r="C352"/>
  <c r="C336"/>
  <c r="C320"/>
  <c r="C304"/>
  <c r="C288"/>
  <c r="C284"/>
  <c r="C248"/>
  <c r="C244"/>
  <c r="C224"/>
  <c r="C220"/>
  <c r="C184"/>
  <c r="C180"/>
  <c r="C160"/>
  <c r="C156"/>
  <c r="C120"/>
  <c r="C116"/>
  <c r="C96"/>
  <c r="C92"/>
  <c r="C56"/>
  <c r="C52"/>
  <c r="BH596" i="1"/>
  <c r="BJ596" s="1"/>
  <c r="BL596"/>
  <c r="BI545"/>
  <c r="BL545"/>
  <c r="BN545" s="1"/>
  <c r="AV117"/>
  <c r="AY117" s="1"/>
  <c r="AY118" s="1"/>
  <c r="C124" i="53"/>
  <c r="AA7" i="55" s="1"/>
  <c r="C48" i="52"/>
  <c r="C44"/>
  <c r="BL23" i="1"/>
  <c r="BL49"/>
  <c r="BL60"/>
  <c r="BM73"/>
  <c r="BM364"/>
  <c r="BM376"/>
  <c r="BM80"/>
  <c r="BM378"/>
  <c r="BM518"/>
  <c r="BM534"/>
  <c r="BM538"/>
  <c r="BM542"/>
  <c r="BL577"/>
  <c r="BL581"/>
  <c r="BM81"/>
  <c r="BM338"/>
  <c r="BM579"/>
  <c r="BN579" s="1"/>
  <c r="BL64"/>
  <c r="BL92"/>
  <c r="BL100"/>
  <c r="BL108"/>
  <c r="BM68"/>
  <c r="BL115"/>
  <c r="BL123"/>
  <c r="C592" i="52"/>
  <c r="C560"/>
  <c r="C528"/>
  <c r="C496"/>
  <c r="C272"/>
  <c r="C208"/>
  <c r="C144"/>
  <c r="C80"/>
  <c r="C32"/>
  <c r="C28"/>
  <c r="BI484" i="1"/>
  <c r="BJ484" s="1"/>
  <c r="BL484"/>
  <c r="BN484" s="1"/>
  <c r="BL27"/>
  <c r="BL31"/>
  <c r="BN42"/>
  <c r="BN46"/>
  <c r="BM77"/>
  <c r="BM342"/>
  <c r="BM520"/>
  <c r="BN520" s="1"/>
  <c r="BM529"/>
  <c r="BL583"/>
  <c r="BM577"/>
  <c r="BL48"/>
  <c r="BL84"/>
  <c r="BM99"/>
  <c r="BL112"/>
  <c r="BM490"/>
  <c r="BM508"/>
  <c r="BM512"/>
  <c r="BL520"/>
  <c r="BM583"/>
  <c r="BL57"/>
  <c r="BN57" s="1"/>
  <c r="BM72"/>
  <c r="BL97"/>
  <c r="BM111"/>
  <c r="BL119"/>
  <c r="BL68"/>
  <c r="BM115"/>
  <c r="BM123"/>
  <c r="C584" i="52"/>
  <c r="C552"/>
  <c r="C520"/>
  <c r="C440"/>
  <c r="C408"/>
  <c r="C376"/>
  <c r="C344"/>
  <c r="C328"/>
  <c r="C312"/>
  <c r="C256"/>
  <c r="C192"/>
  <c r="C128"/>
  <c r="C64"/>
  <c r="BJ555" i="1"/>
  <c r="BL488"/>
  <c r="BM456"/>
  <c r="BL451"/>
  <c r="BM418"/>
  <c r="BL416"/>
  <c r="BL414"/>
  <c r="BL410"/>
  <c r="BJ389"/>
  <c r="BM263"/>
  <c r="BL52"/>
  <c r="BN52" s="1"/>
  <c r="BJ485"/>
  <c r="BL568"/>
  <c r="BN568" s="1"/>
  <c r="BJ540"/>
  <c r="BL536"/>
  <c r="BN536" s="1"/>
  <c r="BL485"/>
  <c r="BN485" s="1"/>
  <c r="BM438"/>
  <c r="BM432"/>
  <c r="BJ421"/>
  <c r="BL366"/>
  <c r="BJ342"/>
  <c r="U579" i="38"/>
  <c r="V579" s="1"/>
  <c r="W579" s="1"/>
  <c r="X579" s="1"/>
  <c r="AY579" s="1"/>
  <c r="BF579" s="1"/>
  <c r="BI579" s="1"/>
  <c r="U575"/>
  <c r="V575" s="1"/>
  <c r="W575" s="1"/>
  <c r="X575" s="1"/>
  <c r="AY575" s="1"/>
  <c r="U571"/>
  <c r="V571" s="1"/>
  <c r="W571" s="1"/>
  <c r="X571" s="1"/>
  <c r="AY571" s="1"/>
  <c r="BF571" s="1"/>
  <c r="BI571" s="1"/>
  <c r="U567"/>
  <c r="V567" s="1"/>
  <c r="W567" s="1"/>
  <c r="X567" s="1"/>
  <c r="AY567" s="1"/>
  <c r="BF567" s="1"/>
  <c r="BI567" s="1"/>
  <c r="U563"/>
  <c r="V563" s="1"/>
  <c r="W563" s="1"/>
  <c r="X563" s="1"/>
  <c r="AY563" s="1"/>
  <c r="BF563" s="1"/>
  <c r="BI563" s="1"/>
  <c r="U559"/>
  <c r="V559" s="1"/>
  <c r="W559" s="1"/>
  <c r="X559" s="1"/>
  <c r="AY559" s="1"/>
  <c r="U555"/>
  <c r="V555" s="1"/>
  <c r="W555" s="1"/>
  <c r="X555" s="1"/>
  <c r="AY555" s="1"/>
  <c r="BF555" s="1"/>
  <c r="BI555" s="1"/>
  <c r="U551"/>
  <c r="V551" s="1"/>
  <c r="W551" s="1"/>
  <c r="X551" s="1"/>
  <c r="AY551" s="1"/>
  <c r="BF551" s="1"/>
  <c r="BI551" s="1"/>
  <c r="U547"/>
  <c r="V547" s="1"/>
  <c r="W547" s="1"/>
  <c r="X547" s="1"/>
  <c r="AY547" s="1"/>
  <c r="BF547" s="1"/>
  <c r="BI547" s="1"/>
  <c r="U543"/>
  <c r="V543" s="1"/>
  <c r="W543" s="1"/>
  <c r="X543" s="1"/>
  <c r="AY543" s="1"/>
  <c r="U539"/>
  <c r="V539" s="1"/>
  <c r="W539" s="1"/>
  <c r="X539" s="1"/>
  <c r="AY539" s="1"/>
  <c r="BF539" s="1"/>
  <c r="BI539" s="1"/>
  <c r="U535"/>
  <c r="V535" s="1"/>
  <c r="W535" s="1"/>
  <c r="X535" s="1"/>
  <c r="AY535" s="1"/>
  <c r="BF535" s="1"/>
  <c r="BI535" s="1"/>
  <c r="U531"/>
  <c r="V531" s="1"/>
  <c r="W531" s="1"/>
  <c r="X531" s="1"/>
  <c r="AY531" s="1"/>
  <c r="BF531" s="1"/>
  <c r="BI531" s="1"/>
  <c r="U527"/>
  <c r="V527" s="1"/>
  <c r="W527" s="1"/>
  <c r="X527" s="1"/>
  <c r="AY527" s="1"/>
  <c r="U523"/>
  <c r="V523" s="1"/>
  <c r="W523" s="1"/>
  <c r="X523" s="1"/>
  <c r="AY523" s="1"/>
  <c r="BF523" s="1"/>
  <c r="BI523" s="1"/>
  <c r="U519"/>
  <c r="V519" s="1"/>
  <c r="W519" s="1"/>
  <c r="X519" s="1"/>
  <c r="AY519" s="1"/>
  <c r="BF519" s="1"/>
  <c r="BI519" s="1"/>
  <c r="U515"/>
  <c r="V515" s="1"/>
  <c r="W515" s="1"/>
  <c r="X515" s="1"/>
  <c r="AY515" s="1"/>
  <c r="BF515" s="1"/>
  <c r="BI515" s="1"/>
  <c r="U511"/>
  <c r="V511" s="1"/>
  <c r="W511" s="1"/>
  <c r="X511" s="1"/>
  <c r="AY511" s="1"/>
  <c r="U507"/>
  <c r="V507" s="1"/>
  <c r="W507" s="1"/>
  <c r="X507" s="1"/>
  <c r="AY507" s="1"/>
  <c r="BF507" s="1"/>
  <c r="BI507" s="1"/>
  <c r="U503"/>
  <c r="V503" s="1"/>
  <c r="W503" s="1"/>
  <c r="X503" s="1"/>
  <c r="AY503" s="1"/>
  <c r="BF503" s="1"/>
  <c r="BI503" s="1"/>
  <c r="U499"/>
  <c r="V499" s="1"/>
  <c r="W499" s="1"/>
  <c r="X499" s="1"/>
  <c r="AY499" s="1"/>
  <c r="BF499" s="1"/>
  <c r="BI499" s="1"/>
  <c r="U495"/>
  <c r="V495" s="1"/>
  <c r="W495" s="1"/>
  <c r="X495" s="1"/>
  <c r="AY495" s="1"/>
  <c r="U491"/>
  <c r="V491" s="1"/>
  <c r="W491" s="1"/>
  <c r="X491" s="1"/>
  <c r="AY491" s="1"/>
  <c r="BF491" s="1"/>
  <c r="BI491" s="1"/>
  <c r="U487"/>
  <c r="V487" s="1"/>
  <c r="W487" s="1"/>
  <c r="X487" s="1"/>
  <c r="AY487" s="1"/>
  <c r="BF487" s="1"/>
  <c r="BI487" s="1"/>
  <c r="U483"/>
  <c r="V483" s="1"/>
  <c r="W483" s="1"/>
  <c r="X483" s="1"/>
  <c r="AY483" s="1"/>
  <c r="BF483" s="1"/>
  <c r="BI483" s="1"/>
  <c r="U479"/>
  <c r="V479" s="1"/>
  <c r="W479" s="1"/>
  <c r="X479" s="1"/>
  <c r="AY479" s="1"/>
  <c r="U475"/>
  <c r="V475" s="1"/>
  <c r="W475" s="1"/>
  <c r="X475" s="1"/>
  <c r="AY475" s="1"/>
  <c r="BF475" s="1"/>
  <c r="BI475" s="1"/>
  <c r="U471"/>
  <c r="V471" s="1"/>
  <c r="W471" s="1"/>
  <c r="X471" s="1"/>
  <c r="AY471" s="1"/>
  <c r="BF471" s="1"/>
  <c r="BI471" s="1"/>
  <c r="U467"/>
  <c r="V467" s="1"/>
  <c r="W467" s="1"/>
  <c r="X467" s="1"/>
  <c r="AY467" s="1"/>
  <c r="BF467" s="1"/>
  <c r="BI467" s="1"/>
  <c r="U463"/>
  <c r="V463" s="1"/>
  <c r="W463" s="1"/>
  <c r="X463" s="1"/>
  <c r="AY463" s="1"/>
  <c r="U459"/>
  <c r="V459" s="1"/>
  <c r="W459" s="1"/>
  <c r="X459" s="1"/>
  <c r="AY459" s="1"/>
  <c r="BF459" s="1"/>
  <c r="BI459" s="1"/>
  <c r="U455"/>
  <c r="V455" s="1"/>
  <c r="W455" s="1"/>
  <c r="X455" s="1"/>
  <c r="AY455" s="1"/>
  <c r="BF455" s="1"/>
  <c r="BI455" s="1"/>
  <c r="U451"/>
  <c r="V451" s="1"/>
  <c r="W451" s="1"/>
  <c r="X451" s="1"/>
  <c r="AY451" s="1"/>
  <c r="BF451" s="1"/>
  <c r="BI451" s="1"/>
  <c r="U447"/>
  <c r="V447" s="1"/>
  <c r="W447" s="1"/>
  <c r="X447" s="1"/>
  <c r="AY447" s="1"/>
  <c r="U443"/>
  <c r="V443" s="1"/>
  <c r="W443" s="1"/>
  <c r="X443" s="1"/>
  <c r="AY443" s="1"/>
  <c r="BF443" s="1"/>
  <c r="BI443" s="1"/>
  <c r="U439"/>
  <c r="V439" s="1"/>
  <c r="W439" s="1"/>
  <c r="X439" s="1"/>
  <c r="AY439" s="1"/>
  <c r="BF439" s="1"/>
  <c r="BI439" s="1"/>
  <c r="U435"/>
  <c r="V435" s="1"/>
  <c r="W435" s="1"/>
  <c r="X435" s="1"/>
  <c r="AY435" s="1"/>
  <c r="BF435" s="1"/>
  <c r="BI435" s="1"/>
  <c r="U431"/>
  <c r="V431" s="1"/>
  <c r="W431" s="1"/>
  <c r="X431" s="1"/>
  <c r="AY431" s="1"/>
  <c r="U427"/>
  <c r="V427" s="1"/>
  <c r="W427" s="1"/>
  <c r="X427" s="1"/>
  <c r="AY427" s="1"/>
  <c r="BF427" s="1"/>
  <c r="BI427" s="1"/>
  <c r="U423"/>
  <c r="V423" s="1"/>
  <c r="W423" s="1"/>
  <c r="X423" s="1"/>
  <c r="AY423" s="1"/>
  <c r="BF423" s="1"/>
  <c r="BI423" s="1"/>
  <c r="U419"/>
  <c r="V419" s="1"/>
  <c r="W419" s="1"/>
  <c r="X419" s="1"/>
  <c r="AY419" s="1"/>
  <c r="BF419" s="1"/>
  <c r="BI419" s="1"/>
  <c r="U415"/>
  <c r="V415" s="1"/>
  <c r="W415" s="1"/>
  <c r="X415" s="1"/>
  <c r="AY415" s="1"/>
  <c r="U411"/>
  <c r="V411" s="1"/>
  <c r="W411" s="1"/>
  <c r="X411" s="1"/>
  <c r="AY411" s="1"/>
  <c r="BF411" s="1"/>
  <c r="BI411" s="1"/>
  <c r="U407"/>
  <c r="V407" s="1"/>
  <c r="W407" s="1"/>
  <c r="X407" s="1"/>
  <c r="AY407" s="1"/>
  <c r="BF407" s="1"/>
  <c r="BI407" s="1"/>
  <c r="U403"/>
  <c r="V403" s="1"/>
  <c r="W403" s="1"/>
  <c r="X403" s="1"/>
  <c r="AY403" s="1"/>
  <c r="BF403" s="1"/>
  <c r="BI403" s="1"/>
  <c r="U399"/>
  <c r="V399" s="1"/>
  <c r="W399" s="1"/>
  <c r="X399" s="1"/>
  <c r="AY399" s="1"/>
  <c r="U395"/>
  <c r="V395" s="1"/>
  <c r="W395" s="1"/>
  <c r="X395" s="1"/>
  <c r="AY395" s="1"/>
  <c r="BF395" s="1"/>
  <c r="BI395" s="1"/>
  <c r="U391"/>
  <c r="V391" s="1"/>
  <c r="W391" s="1"/>
  <c r="X391" s="1"/>
  <c r="AY391" s="1"/>
  <c r="BF391" s="1"/>
  <c r="BI391" s="1"/>
  <c r="U387"/>
  <c r="V387" s="1"/>
  <c r="W387" s="1"/>
  <c r="X387" s="1"/>
  <c r="AY387" s="1"/>
  <c r="BF387" s="1"/>
  <c r="BI387" s="1"/>
  <c r="U383"/>
  <c r="V383" s="1"/>
  <c r="W383" s="1"/>
  <c r="X383" s="1"/>
  <c r="AY383" s="1"/>
  <c r="U379"/>
  <c r="V379" s="1"/>
  <c r="W379" s="1"/>
  <c r="X379" s="1"/>
  <c r="AY379" s="1"/>
  <c r="BF379" s="1"/>
  <c r="BI379" s="1"/>
  <c r="U375"/>
  <c r="V375" s="1"/>
  <c r="W375" s="1"/>
  <c r="X375" s="1"/>
  <c r="AY375" s="1"/>
  <c r="BF375" s="1"/>
  <c r="BI375" s="1"/>
  <c r="U371"/>
  <c r="V371" s="1"/>
  <c r="W371" s="1"/>
  <c r="X371" s="1"/>
  <c r="AY371" s="1"/>
  <c r="BF371" s="1"/>
  <c r="BI371" s="1"/>
  <c r="AZ303"/>
  <c r="BF303"/>
  <c r="BI303" s="1"/>
  <c r="BL329" i="1"/>
  <c r="BJ298"/>
  <c r="BJ92"/>
  <c r="AZ582" i="38"/>
  <c r="AZ578"/>
  <c r="AZ574"/>
  <c r="AZ570"/>
  <c r="AZ566"/>
  <c r="AZ562"/>
  <c r="AZ558"/>
  <c r="AZ554"/>
  <c r="AZ550"/>
  <c r="AZ546"/>
  <c r="AZ542"/>
  <c r="AZ538"/>
  <c r="AZ534"/>
  <c r="AZ530"/>
  <c r="AZ526"/>
  <c r="AZ522"/>
  <c r="AZ518"/>
  <c r="AZ514"/>
  <c r="AZ510"/>
  <c r="AZ506"/>
  <c r="AZ502"/>
  <c r="AZ498"/>
  <c r="AZ494"/>
  <c r="AZ490"/>
  <c r="AZ486"/>
  <c r="AZ482"/>
  <c r="AZ478"/>
  <c r="AZ474"/>
  <c r="AZ470"/>
  <c r="AZ466"/>
  <c r="AZ462"/>
  <c r="AZ458"/>
  <c r="AZ454"/>
  <c r="AZ450"/>
  <c r="AZ446"/>
  <c r="AZ442"/>
  <c r="AZ438"/>
  <c r="AZ434"/>
  <c r="AZ430"/>
  <c r="AZ426"/>
  <c r="AZ422"/>
  <c r="AZ418"/>
  <c r="AZ414"/>
  <c r="AZ410"/>
  <c r="AZ406"/>
  <c r="AZ402"/>
  <c r="AZ398"/>
  <c r="AZ394"/>
  <c r="AZ390"/>
  <c r="AZ386"/>
  <c r="AZ382"/>
  <c r="AZ378"/>
  <c r="AZ374"/>
  <c r="AZ370"/>
  <c r="BF33"/>
  <c r="BI33" s="1"/>
  <c r="BM408" i="1"/>
  <c r="BM389"/>
  <c r="BH373"/>
  <c r="BM356"/>
  <c r="BM124"/>
  <c r="BN124" s="1"/>
  <c r="BF164" i="38"/>
  <c r="BI164" s="1"/>
  <c r="BL430" i="1"/>
  <c r="BL401"/>
  <c r="BM367"/>
  <c r="AZ580" i="38"/>
  <c r="AZ576"/>
  <c r="AZ572"/>
  <c r="AZ568"/>
  <c r="AZ564"/>
  <c r="AZ560"/>
  <c r="AZ556"/>
  <c r="AZ552"/>
  <c r="AZ548"/>
  <c r="AZ544"/>
  <c r="AZ540"/>
  <c r="AZ536"/>
  <c r="AZ532"/>
  <c r="AZ528"/>
  <c r="AZ524"/>
  <c r="AZ520"/>
  <c r="AZ516"/>
  <c r="AZ512"/>
  <c r="AZ508"/>
  <c r="AZ504"/>
  <c r="AZ500"/>
  <c r="AZ496"/>
  <c r="AZ492"/>
  <c r="AZ488"/>
  <c r="AZ484"/>
  <c r="AZ480"/>
  <c r="AZ476"/>
  <c r="AZ472"/>
  <c r="AZ468"/>
  <c r="AZ464"/>
  <c r="AZ460"/>
  <c r="AZ456"/>
  <c r="AZ452"/>
  <c r="AZ448"/>
  <c r="AZ444"/>
  <c r="AZ440"/>
  <c r="AZ436"/>
  <c r="AZ432"/>
  <c r="AZ428"/>
  <c r="AZ424"/>
  <c r="AZ420"/>
  <c r="AZ416"/>
  <c r="AZ412"/>
  <c r="AZ408"/>
  <c r="AZ404"/>
  <c r="AZ400"/>
  <c r="AZ396"/>
  <c r="AZ392"/>
  <c r="AZ388"/>
  <c r="AZ384"/>
  <c r="AZ380"/>
  <c r="AZ376"/>
  <c r="AZ372"/>
  <c r="AZ9"/>
  <c r="BF9"/>
  <c r="BI9" s="1"/>
  <c r="AZ215"/>
  <c r="BF215"/>
  <c r="BI215" s="1"/>
  <c r="AZ579"/>
  <c r="AZ575"/>
  <c r="AZ567"/>
  <c r="AZ563"/>
  <c r="AZ559"/>
  <c r="AZ551"/>
  <c r="AZ547"/>
  <c r="AZ543"/>
  <c r="AZ535"/>
  <c r="AZ531"/>
  <c r="AZ527"/>
  <c r="AZ519"/>
  <c r="AZ515"/>
  <c r="AZ511"/>
  <c r="AZ503"/>
  <c r="AZ499"/>
  <c r="AZ495"/>
  <c r="AZ487"/>
  <c r="AZ483"/>
  <c r="AZ479"/>
  <c r="AZ471"/>
  <c r="AZ467"/>
  <c r="AZ463"/>
  <c r="AZ455"/>
  <c r="AZ451"/>
  <c r="AZ447"/>
  <c r="AZ439"/>
  <c r="AZ435"/>
  <c r="AZ431"/>
  <c r="AZ423"/>
  <c r="AZ419"/>
  <c r="AZ415"/>
  <c r="AZ407"/>
  <c r="AZ403"/>
  <c r="AZ399"/>
  <c r="AZ391"/>
  <c r="AZ387"/>
  <c r="AZ383"/>
  <c r="AZ375"/>
  <c r="AZ371"/>
  <c r="U355"/>
  <c r="V355" s="1"/>
  <c r="W355" s="1"/>
  <c r="X355" s="1"/>
  <c r="AY355" s="1"/>
  <c r="BI416" i="1"/>
  <c r="BH406"/>
  <c r="BM403"/>
  <c r="BJ375"/>
  <c r="BM333"/>
  <c r="BL331"/>
  <c r="BJ32"/>
  <c r="U348" i="38"/>
  <c r="V348" s="1"/>
  <c r="W348" s="1"/>
  <c r="X348" s="1"/>
  <c r="AY348" s="1"/>
  <c r="U350"/>
  <c r="V350" s="1"/>
  <c r="W350" s="1"/>
  <c r="X350" s="1"/>
  <c r="AY350" s="1"/>
  <c r="BM373" i="1"/>
  <c r="BL358"/>
  <c r="BN358" s="1"/>
  <c r="BL353"/>
  <c r="BN353" s="1"/>
  <c r="BL351"/>
  <c r="BJ277"/>
  <c r="BM276"/>
  <c r="BL273"/>
  <c r="U311" i="38"/>
  <c r="V311" s="1"/>
  <c r="W311" s="1"/>
  <c r="X311" s="1"/>
  <c r="AY311" s="1"/>
  <c r="U319"/>
  <c r="V319" s="1"/>
  <c r="W319" s="1"/>
  <c r="X319" s="1"/>
  <c r="AY319" s="1"/>
  <c r="U321"/>
  <c r="V321" s="1"/>
  <c r="W321" s="1"/>
  <c r="X321" s="1"/>
  <c r="AY321" s="1"/>
  <c r="U323"/>
  <c r="V323" s="1"/>
  <c r="W323" s="1"/>
  <c r="X323" s="1"/>
  <c r="AY323" s="1"/>
  <c r="U325"/>
  <c r="V325" s="1"/>
  <c r="W325" s="1"/>
  <c r="X325" s="1"/>
  <c r="AY325" s="1"/>
  <c r="U327"/>
  <c r="V327" s="1"/>
  <c r="W327" s="1"/>
  <c r="X327" s="1"/>
  <c r="AY327" s="1"/>
  <c r="BJ581" i="1"/>
  <c r="BL426"/>
  <c r="BL419"/>
  <c r="BM406"/>
  <c r="BL367"/>
  <c r="BL365"/>
  <c r="BL339"/>
  <c r="BL177"/>
  <c r="BN177" s="1"/>
  <c r="BL161"/>
  <c r="BN161" s="1"/>
  <c r="BJ84"/>
  <c r="BJ27"/>
  <c r="U189" i="38"/>
  <c r="V189" s="1"/>
  <c r="W189" s="1"/>
  <c r="X189" s="1"/>
  <c r="AY189" s="1"/>
  <c r="BL325" i="1"/>
  <c r="BM256"/>
  <c r="BL250"/>
  <c r="BL236"/>
  <c r="BM228"/>
  <c r="BL226"/>
  <c r="BL125"/>
  <c r="BI124"/>
  <c r="BM76"/>
  <c r="BN76" s="1"/>
  <c r="BJ68"/>
  <c r="BL56"/>
  <c r="BN56" s="1"/>
  <c r="BJ47"/>
  <c r="BJ46"/>
  <c r="U17" i="38"/>
  <c r="V17" s="1"/>
  <c r="W17" s="1"/>
  <c r="X17" s="1"/>
  <c r="AY17" s="1"/>
  <c r="U93"/>
  <c r="V93" s="1"/>
  <c r="W93" s="1"/>
  <c r="X93" s="1"/>
  <c r="AY93" s="1"/>
  <c r="U161"/>
  <c r="V161" s="1"/>
  <c r="W161" s="1"/>
  <c r="X161" s="1"/>
  <c r="AY161" s="1"/>
  <c r="U203"/>
  <c r="V203" s="1"/>
  <c r="W203" s="1"/>
  <c r="X203" s="1"/>
  <c r="AY203" s="1"/>
  <c r="U228"/>
  <c r="V228" s="1"/>
  <c r="W228" s="1"/>
  <c r="X228" s="1"/>
  <c r="AY228" s="1"/>
  <c r="U306"/>
  <c r="V306" s="1"/>
  <c r="W306" s="1"/>
  <c r="X306" s="1"/>
  <c r="AY306" s="1"/>
  <c r="U310"/>
  <c r="V310" s="1"/>
  <c r="W310" s="1"/>
  <c r="X310" s="1"/>
  <c r="AY310" s="1"/>
  <c r="BL384" i="1"/>
  <c r="BL383"/>
  <c r="BM347"/>
  <c r="BM316"/>
  <c r="BM310"/>
  <c r="BN310" s="1"/>
  <c r="BM158"/>
  <c r="BN158" s="1"/>
  <c r="U99" i="38"/>
  <c r="V99" s="1"/>
  <c r="W99" s="1"/>
  <c r="X99" s="1"/>
  <c r="AY99" s="1"/>
  <c r="U217"/>
  <c r="V217" s="1"/>
  <c r="W217" s="1"/>
  <c r="X217" s="1"/>
  <c r="AY217" s="1"/>
  <c r="U227"/>
  <c r="V227" s="1"/>
  <c r="W227" s="1"/>
  <c r="X227" s="1"/>
  <c r="AY227" s="1"/>
  <c r="U330"/>
  <c r="V330" s="1"/>
  <c r="W330" s="1"/>
  <c r="X330" s="1"/>
  <c r="AY330" s="1"/>
  <c r="U332"/>
  <c r="V332" s="1"/>
  <c r="W332" s="1"/>
  <c r="X332" s="1"/>
  <c r="AY332" s="1"/>
  <c r="BM326" i="1"/>
  <c r="BL303"/>
  <c r="BN303" s="1"/>
  <c r="BM300"/>
  <c r="BL294"/>
  <c r="BL292"/>
  <c r="BM290"/>
  <c r="BL287"/>
  <c r="BL224"/>
  <c r="BJ223"/>
  <c r="BJ206"/>
  <c r="BJ202"/>
  <c r="BL198"/>
  <c r="BN198" s="1"/>
  <c r="BJ196"/>
  <c r="BJ192"/>
  <c r="BJ191"/>
  <c r="BJ89"/>
  <c r="BL81"/>
  <c r="BN81" s="1"/>
  <c r="U25" i="38"/>
  <c r="V25" s="1"/>
  <c r="W25" s="1"/>
  <c r="X25" s="1"/>
  <c r="AY25" s="1"/>
  <c r="U91"/>
  <c r="V91" s="1"/>
  <c r="W91" s="1"/>
  <c r="X91" s="1"/>
  <c r="AY91" s="1"/>
  <c r="U178"/>
  <c r="V178" s="1"/>
  <c r="W178" s="1"/>
  <c r="X178" s="1"/>
  <c r="AY178" s="1"/>
  <c r="U367"/>
  <c r="V367" s="1"/>
  <c r="W367" s="1"/>
  <c r="X367" s="1"/>
  <c r="AY367" s="1"/>
  <c r="U101"/>
  <c r="V101" s="1"/>
  <c r="W101" s="1"/>
  <c r="X101" s="1"/>
  <c r="AY101" s="1"/>
  <c r="U229"/>
  <c r="V229" s="1"/>
  <c r="W229" s="1"/>
  <c r="X229" s="1"/>
  <c r="AY229" s="1"/>
  <c r="BJ572" i="1"/>
  <c r="BH550"/>
  <c r="BJ550" s="1"/>
  <c r="BL534"/>
  <c r="BN534" s="1"/>
  <c r="BN488"/>
  <c r="BL476"/>
  <c r="BJ456"/>
  <c r="BJ445"/>
  <c r="BL441"/>
  <c r="BH438"/>
  <c r="BL429"/>
  <c r="BH423"/>
  <c r="BJ423" s="1"/>
  <c r="BM421"/>
  <c r="BH418"/>
  <c r="BJ418" s="1"/>
  <c r="BM416"/>
  <c r="BN416" s="1"/>
  <c r="BM409"/>
  <c r="BI406"/>
  <c r="BL403"/>
  <c r="BM375"/>
  <c r="BN375" s="1"/>
  <c r="BI373"/>
  <c r="BJ373" s="1"/>
  <c r="BJ109"/>
  <c r="U181" i="38"/>
  <c r="V181" s="1"/>
  <c r="W181" s="1"/>
  <c r="X181" s="1"/>
  <c r="AY181" s="1"/>
  <c r="BJ573" i="1"/>
  <c r="BL558"/>
  <c r="BL525"/>
  <c r="BL516"/>
  <c r="BL492"/>
  <c r="BN492" s="1"/>
  <c r="BL469"/>
  <c r="BN469" s="1"/>
  <c r="BL467"/>
  <c r="BN467" s="1"/>
  <c r="BM426"/>
  <c r="BL423"/>
  <c r="BN423" s="1"/>
  <c r="BL398"/>
  <c r="BL391"/>
  <c r="BL386"/>
  <c r="BM384"/>
  <c r="BL372"/>
  <c r="BN372" s="1"/>
  <c r="BN525"/>
  <c r="BL573"/>
  <c r="BN573" s="1"/>
  <c r="BJ567"/>
  <c r="U230" i="38"/>
  <c r="V230" s="1"/>
  <c r="W230" s="1"/>
  <c r="X230" s="1"/>
  <c r="AY230" s="1"/>
  <c r="BL549" i="1"/>
  <c r="BN549" s="1"/>
  <c r="BJ490"/>
  <c r="BM368"/>
  <c r="BH368"/>
  <c r="BM361"/>
  <c r="BL334"/>
  <c r="BL245"/>
  <c r="BJ153"/>
  <c r="BM143"/>
  <c r="BN143" s="1"/>
  <c r="BJ136"/>
  <c r="BJ119"/>
  <c r="BJ100"/>
  <c r="BJ81"/>
  <c r="BL80"/>
  <c r="BN80" s="1"/>
  <c r="BL73"/>
  <c r="BN73" s="1"/>
  <c r="U41" i="38"/>
  <c r="V41" s="1"/>
  <c r="W41" s="1"/>
  <c r="X41" s="1"/>
  <c r="AY41" s="1"/>
  <c r="U56"/>
  <c r="V56" s="1"/>
  <c r="W56" s="1"/>
  <c r="X56" s="1"/>
  <c r="AY56" s="1"/>
  <c r="U59"/>
  <c r="V59" s="1"/>
  <c r="W59" s="1"/>
  <c r="X59" s="1"/>
  <c r="AY59" s="1"/>
  <c r="U72"/>
  <c r="V72" s="1"/>
  <c r="W72" s="1"/>
  <c r="X72" s="1"/>
  <c r="AY72" s="1"/>
  <c r="U75"/>
  <c r="V75" s="1"/>
  <c r="W75" s="1"/>
  <c r="X75" s="1"/>
  <c r="AY75" s="1"/>
  <c r="U88"/>
  <c r="V88" s="1"/>
  <c r="W88" s="1"/>
  <c r="X88" s="1"/>
  <c r="AY88" s="1"/>
  <c r="U89"/>
  <c r="V89" s="1"/>
  <c r="W89" s="1"/>
  <c r="X89" s="1"/>
  <c r="AY89" s="1"/>
  <c r="U97"/>
  <c r="V97" s="1"/>
  <c r="W97" s="1"/>
  <c r="X97" s="1"/>
  <c r="AY97" s="1"/>
  <c r="U131"/>
  <c r="V131" s="1"/>
  <c r="W131" s="1"/>
  <c r="X131" s="1"/>
  <c r="AY131" s="1"/>
  <c r="U147"/>
  <c r="V147" s="1"/>
  <c r="W147" s="1"/>
  <c r="X147" s="1"/>
  <c r="AY147" s="1"/>
  <c r="U169"/>
  <c r="V169" s="1"/>
  <c r="W169" s="1"/>
  <c r="X169" s="1"/>
  <c r="AY169" s="1"/>
  <c r="U175"/>
  <c r="V175" s="1"/>
  <c r="W175" s="1"/>
  <c r="X175" s="1"/>
  <c r="AY175" s="1"/>
  <c r="U184"/>
  <c r="V184" s="1"/>
  <c r="W184" s="1"/>
  <c r="X184" s="1"/>
  <c r="AY184" s="1"/>
  <c r="U196"/>
  <c r="V196" s="1"/>
  <c r="W196" s="1"/>
  <c r="X196" s="1"/>
  <c r="AY196" s="1"/>
  <c r="U199"/>
  <c r="V199" s="1"/>
  <c r="W199" s="1"/>
  <c r="X199" s="1"/>
  <c r="AY199" s="1"/>
  <c r="U201"/>
  <c r="V201" s="1"/>
  <c r="W201" s="1"/>
  <c r="X201" s="1"/>
  <c r="AY201" s="1"/>
  <c r="U233"/>
  <c r="V233" s="1"/>
  <c r="W233" s="1"/>
  <c r="X233" s="1"/>
  <c r="AY233" s="1"/>
  <c r="U235"/>
  <c r="V235" s="1"/>
  <c r="W235" s="1"/>
  <c r="X235" s="1"/>
  <c r="AY235" s="1"/>
  <c r="U255"/>
  <c r="V255" s="1"/>
  <c r="W255" s="1"/>
  <c r="X255" s="1"/>
  <c r="AY255" s="1"/>
  <c r="U297"/>
  <c r="V297" s="1"/>
  <c r="W297" s="1"/>
  <c r="X297" s="1"/>
  <c r="AY297" s="1"/>
  <c r="U299"/>
  <c r="V299" s="1"/>
  <c r="W299" s="1"/>
  <c r="X299" s="1"/>
  <c r="AY299" s="1"/>
  <c r="U301"/>
  <c r="V301" s="1"/>
  <c r="W301" s="1"/>
  <c r="X301" s="1"/>
  <c r="AY301" s="1"/>
  <c r="U318"/>
  <c r="V318" s="1"/>
  <c r="W318" s="1"/>
  <c r="X318" s="1"/>
  <c r="AY318" s="1"/>
  <c r="U329"/>
  <c r="V329" s="1"/>
  <c r="W329" s="1"/>
  <c r="X329" s="1"/>
  <c r="AY329" s="1"/>
  <c r="U336"/>
  <c r="V336" s="1"/>
  <c r="W336" s="1"/>
  <c r="X336" s="1"/>
  <c r="AY336" s="1"/>
  <c r="U359"/>
  <c r="V359" s="1"/>
  <c r="W359" s="1"/>
  <c r="X359" s="1"/>
  <c r="AY359" s="1"/>
  <c r="BL345" i="1"/>
  <c r="BL342"/>
  <c r="BN342" s="1"/>
  <c r="BM334"/>
  <c r="BL330"/>
  <c r="BJ310"/>
  <c r="BJ289"/>
  <c r="BM284"/>
  <c r="BL216"/>
  <c r="BJ184"/>
  <c r="BM180"/>
  <c r="BN180" s="1"/>
  <c r="BL109"/>
  <c r="BL77"/>
  <c r="BJ72"/>
  <c r="U49" i="38"/>
  <c r="V49" s="1"/>
  <c r="W49" s="1"/>
  <c r="X49" s="1"/>
  <c r="AY49" s="1"/>
  <c r="U65"/>
  <c r="V65" s="1"/>
  <c r="W65" s="1"/>
  <c r="X65" s="1"/>
  <c r="AY65" s="1"/>
  <c r="U81"/>
  <c r="V81" s="1"/>
  <c r="W81" s="1"/>
  <c r="X81" s="1"/>
  <c r="AY81" s="1"/>
  <c r="U95"/>
  <c r="V95" s="1"/>
  <c r="W95" s="1"/>
  <c r="X95" s="1"/>
  <c r="AY95" s="1"/>
  <c r="U103"/>
  <c r="V103" s="1"/>
  <c r="W103" s="1"/>
  <c r="X103" s="1"/>
  <c r="AY103" s="1"/>
  <c r="U106"/>
  <c r="V106" s="1"/>
  <c r="W106" s="1"/>
  <c r="X106" s="1"/>
  <c r="AY106" s="1"/>
  <c r="U114"/>
  <c r="V114" s="1"/>
  <c r="W114" s="1"/>
  <c r="X114" s="1"/>
  <c r="AY114" s="1"/>
  <c r="U120"/>
  <c r="V120" s="1"/>
  <c r="W120" s="1"/>
  <c r="X120" s="1"/>
  <c r="AY120" s="1"/>
  <c r="U128"/>
  <c r="V128" s="1"/>
  <c r="W128" s="1"/>
  <c r="X128" s="1"/>
  <c r="AY128" s="1"/>
  <c r="U136"/>
  <c r="V136" s="1"/>
  <c r="W136" s="1"/>
  <c r="X136" s="1"/>
  <c r="AY136" s="1"/>
  <c r="U144"/>
  <c r="V144" s="1"/>
  <c r="W144" s="1"/>
  <c r="X144" s="1"/>
  <c r="AY144" s="1"/>
  <c r="U152"/>
  <c r="V152" s="1"/>
  <c r="W152" s="1"/>
  <c r="X152" s="1"/>
  <c r="AY152" s="1"/>
  <c r="U160"/>
  <c r="V160" s="1"/>
  <c r="W160" s="1"/>
  <c r="X160" s="1"/>
  <c r="AY160" s="1"/>
  <c r="U163"/>
  <c r="V163" s="1"/>
  <c r="W163" s="1"/>
  <c r="X163" s="1"/>
  <c r="AY163" s="1"/>
  <c r="U174"/>
  <c r="V174" s="1"/>
  <c r="W174" s="1"/>
  <c r="X174" s="1"/>
  <c r="AY174" s="1"/>
  <c r="U177"/>
  <c r="V177" s="1"/>
  <c r="W177" s="1"/>
  <c r="X177" s="1"/>
  <c r="AY177" s="1"/>
  <c r="U183"/>
  <c r="V183" s="1"/>
  <c r="W183" s="1"/>
  <c r="X183" s="1"/>
  <c r="AY183" s="1"/>
  <c r="U204"/>
  <c r="V204" s="1"/>
  <c r="W204" s="1"/>
  <c r="X204" s="1"/>
  <c r="AY204" s="1"/>
  <c r="U232"/>
  <c r="V232" s="1"/>
  <c r="W232" s="1"/>
  <c r="X232" s="1"/>
  <c r="AY232" s="1"/>
  <c r="U305"/>
  <c r="V305" s="1"/>
  <c r="W305" s="1"/>
  <c r="X305" s="1"/>
  <c r="AY305" s="1"/>
  <c r="U307"/>
  <c r="V307" s="1"/>
  <c r="W307" s="1"/>
  <c r="X307" s="1"/>
  <c r="AY307" s="1"/>
  <c r="U309"/>
  <c r="V309" s="1"/>
  <c r="W309" s="1"/>
  <c r="X309" s="1"/>
  <c r="AY309" s="1"/>
  <c r="U326"/>
  <c r="V326" s="1"/>
  <c r="W326" s="1"/>
  <c r="X326" s="1"/>
  <c r="AY326" s="1"/>
  <c r="U340"/>
  <c r="V340" s="1"/>
  <c r="W340" s="1"/>
  <c r="X340" s="1"/>
  <c r="AY340" s="1"/>
  <c r="U363"/>
  <c r="V363" s="1"/>
  <c r="W363" s="1"/>
  <c r="X363" s="1"/>
  <c r="AY363" s="1"/>
  <c r="U5"/>
  <c r="V5" s="1"/>
  <c r="W5" s="1"/>
  <c r="X5" s="1"/>
  <c r="AY5" s="1"/>
  <c r="BF5" s="1"/>
  <c r="BI5" s="1"/>
  <c r="U13"/>
  <c r="V13" s="1"/>
  <c r="W13" s="1"/>
  <c r="X13" s="1"/>
  <c r="AY13" s="1"/>
  <c r="U21"/>
  <c r="V21" s="1"/>
  <c r="W21" s="1"/>
  <c r="X21" s="1"/>
  <c r="AY21" s="1"/>
  <c r="U29"/>
  <c r="V29" s="1"/>
  <c r="W29" s="1"/>
  <c r="X29" s="1"/>
  <c r="AY29" s="1"/>
  <c r="U37"/>
  <c r="V37" s="1"/>
  <c r="W37" s="1"/>
  <c r="X37" s="1"/>
  <c r="AY37" s="1"/>
  <c r="U45"/>
  <c r="V45" s="1"/>
  <c r="W45" s="1"/>
  <c r="X45" s="1"/>
  <c r="AY45" s="1"/>
  <c r="U48"/>
  <c r="V48" s="1"/>
  <c r="W48" s="1"/>
  <c r="X48" s="1"/>
  <c r="AY48" s="1"/>
  <c r="U51"/>
  <c r="V51" s="1"/>
  <c r="W51" s="1"/>
  <c r="X51" s="1"/>
  <c r="AY51" s="1"/>
  <c r="U64"/>
  <c r="V64" s="1"/>
  <c r="W64" s="1"/>
  <c r="X64" s="1"/>
  <c r="AY64" s="1"/>
  <c r="U67"/>
  <c r="V67" s="1"/>
  <c r="W67" s="1"/>
  <c r="X67" s="1"/>
  <c r="AY67" s="1"/>
  <c r="U80"/>
  <c r="V80" s="1"/>
  <c r="W80" s="1"/>
  <c r="X80" s="1"/>
  <c r="AY80" s="1"/>
  <c r="U83"/>
  <c r="V83" s="1"/>
  <c r="W83" s="1"/>
  <c r="X83" s="1"/>
  <c r="AY83" s="1"/>
  <c r="U92"/>
  <c r="V92" s="1"/>
  <c r="W92" s="1"/>
  <c r="X92" s="1"/>
  <c r="AY92" s="1"/>
  <c r="U100"/>
  <c r="V100" s="1"/>
  <c r="W100" s="1"/>
  <c r="X100" s="1"/>
  <c r="AY100" s="1"/>
  <c r="U127"/>
  <c r="V127" s="1"/>
  <c r="W127" s="1"/>
  <c r="X127" s="1"/>
  <c r="AY127" s="1"/>
  <c r="U143"/>
  <c r="V143" s="1"/>
  <c r="W143" s="1"/>
  <c r="X143" s="1"/>
  <c r="AY143" s="1"/>
  <c r="U159"/>
  <c r="V159" s="1"/>
  <c r="W159" s="1"/>
  <c r="X159" s="1"/>
  <c r="AY159" s="1"/>
  <c r="U168"/>
  <c r="V168" s="1"/>
  <c r="W168" s="1"/>
  <c r="X168" s="1"/>
  <c r="AY168" s="1"/>
  <c r="U173"/>
  <c r="V173" s="1"/>
  <c r="W173" s="1"/>
  <c r="X173" s="1"/>
  <c r="AY173" s="1"/>
  <c r="U192"/>
  <c r="V192" s="1"/>
  <c r="W192" s="1"/>
  <c r="X192" s="1"/>
  <c r="AY192" s="1"/>
  <c r="U208"/>
  <c r="V208" s="1"/>
  <c r="W208" s="1"/>
  <c r="X208" s="1"/>
  <c r="AY208" s="1"/>
  <c r="U219"/>
  <c r="V219" s="1"/>
  <c r="W219" s="1"/>
  <c r="X219" s="1"/>
  <c r="AY219" s="1"/>
  <c r="U256"/>
  <c r="V256" s="1"/>
  <c r="W256" s="1"/>
  <c r="X256" s="1"/>
  <c r="AY256" s="1"/>
  <c r="U262"/>
  <c r="V262" s="1"/>
  <c r="W262" s="1"/>
  <c r="X262" s="1"/>
  <c r="AY262" s="1"/>
  <c r="U264"/>
  <c r="V264" s="1"/>
  <c r="W264" s="1"/>
  <c r="X264" s="1"/>
  <c r="AY264" s="1"/>
  <c r="U266"/>
  <c r="V266" s="1"/>
  <c r="W266" s="1"/>
  <c r="X266" s="1"/>
  <c r="AY266" s="1"/>
  <c r="U268"/>
  <c r="V268" s="1"/>
  <c r="W268" s="1"/>
  <c r="X268" s="1"/>
  <c r="AY268" s="1"/>
  <c r="U270"/>
  <c r="V270" s="1"/>
  <c r="W270" s="1"/>
  <c r="X270" s="1"/>
  <c r="AY270" s="1"/>
  <c r="U272"/>
  <c r="V272" s="1"/>
  <c r="W272" s="1"/>
  <c r="X272" s="1"/>
  <c r="AY272" s="1"/>
  <c r="U274"/>
  <c r="V274" s="1"/>
  <c r="W274" s="1"/>
  <c r="X274" s="1"/>
  <c r="AY274" s="1"/>
  <c r="U276"/>
  <c r="V276" s="1"/>
  <c r="W276" s="1"/>
  <c r="X276" s="1"/>
  <c r="AY276" s="1"/>
  <c r="U278"/>
  <c r="V278" s="1"/>
  <c r="W278" s="1"/>
  <c r="X278" s="1"/>
  <c r="AY278" s="1"/>
  <c r="U280"/>
  <c r="V280" s="1"/>
  <c r="W280" s="1"/>
  <c r="X280" s="1"/>
  <c r="AY280" s="1"/>
  <c r="U282"/>
  <c r="V282" s="1"/>
  <c r="W282" s="1"/>
  <c r="X282" s="1"/>
  <c r="AY282" s="1"/>
  <c r="U284"/>
  <c r="V284" s="1"/>
  <c r="W284" s="1"/>
  <c r="X284" s="1"/>
  <c r="AY284" s="1"/>
  <c r="U286"/>
  <c r="V286" s="1"/>
  <c r="W286" s="1"/>
  <c r="X286" s="1"/>
  <c r="AY286" s="1"/>
  <c r="U288"/>
  <c r="V288" s="1"/>
  <c r="W288" s="1"/>
  <c r="X288" s="1"/>
  <c r="AY288" s="1"/>
  <c r="U290"/>
  <c r="V290" s="1"/>
  <c r="W290" s="1"/>
  <c r="X290" s="1"/>
  <c r="AY290" s="1"/>
  <c r="U292"/>
  <c r="V292" s="1"/>
  <c r="W292" s="1"/>
  <c r="X292" s="1"/>
  <c r="AY292" s="1"/>
  <c r="U294"/>
  <c r="V294" s="1"/>
  <c r="W294" s="1"/>
  <c r="X294" s="1"/>
  <c r="AY294" s="1"/>
  <c r="U296"/>
  <c r="V296" s="1"/>
  <c r="W296" s="1"/>
  <c r="X296" s="1"/>
  <c r="AY296" s="1"/>
  <c r="U298"/>
  <c r="V298" s="1"/>
  <c r="W298" s="1"/>
  <c r="X298" s="1"/>
  <c r="AY298" s="1"/>
  <c r="U302"/>
  <c r="V302" s="1"/>
  <c r="W302" s="1"/>
  <c r="X302" s="1"/>
  <c r="AY302" s="1"/>
  <c r="U313"/>
  <c r="V313" s="1"/>
  <c r="W313" s="1"/>
  <c r="X313" s="1"/>
  <c r="AY313" s="1"/>
  <c r="U315"/>
  <c r="V315" s="1"/>
  <c r="W315" s="1"/>
  <c r="X315" s="1"/>
  <c r="AY315" s="1"/>
  <c r="U317"/>
  <c r="V317" s="1"/>
  <c r="W317" s="1"/>
  <c r="X317" s="1"/>
  <c r="AY317" s="1"/>
  <c r="U328"/>
  <c r="V328" s="1"/>
  <c r="W328" s="1"/>
  <c r="X328" s="1"/>
  <c r="AY328" s="1"/>
  <c r="U344"/>
  <c r="V344" s="1"/>
  <c r="W344" s="1"/>
  <c r="X344" s="1"/>
  <c r="AY344" s="1"/>
  <c r="U351"/>
  <c r="V351" s="1"/>
  <c r="W351" s="1"/>
  <c r="X351" s="1"/>
  <c r="AY351" s="1"/>
  <c r="BJ364" i="1"/>
  <c r="BJ361"/>
  <c r="BJ175"/>
  <c r="BJ105"/>
  <c r="U57" i="38"/>
  <c r="V57" s="1"/>
  <c r="W57" s="1"/>
  <c r="X57" s="1"/>
  <c r="AY57" s="1"/>
  <c r="U73"/>
  <c r="V73" s="1"/>
  <c r="W73" s="1"/>
  <c r="X73" s="1"/>
  <c r="AY73" s="1"/>
  <c r="U110"/>
  <c r="V110" s="1"/>
  <c r="W110" s="1"/>
  <c r="X110" s="1"/>
  <c r="AY110" s="1"/>
  <c r="U121"/>
  <c r="V121" s="1"/>
  <c r="W121" s="1"/>
  <c r="X121" s="1"/>
  <c r="AY121" s="1"/>
  <c r="U137"/>
  <c r="V137" s="1"/>
  <c r="W137" s="1"/>
  <c r="X137" s="1"/>
  <c r="AY137" s="1"/>
  <c r="U153"/>
  <c r="V153" s="1"/>
  <c r="W153" s="1"/>
  <c r="X153" s="1"/>
  <c r="AY153" s="1"/>
  <c r="U191"/>
  <c r="V191" s="1"/>
  <c r="W191" s="1"/>
  <c r="X191" s="1"/>
  <c r="AY191" s="1"/>
  <c r="U207"/>
  <c r="V207" s="1"/>
  <c r="W207" s="1"/>
  <c r="X207" s="1"/>
  <c r="AY207" s="1"/>
  <c r="BN64" i="1"/>
  <c r="BN75"/>
  <c r="BM590"/>
  <c r="BM588"/>
  <c r="BN588" s="1"/>
  <c r="BL567"/>
  <c r="BN567" s="1"/>
  <c r="BI516"/>
  <c r="BJ516" s="1"/>
  <c r="BI492"/>
  <c r="BJ492" s="1"/>
  <c r="BI476"/>
  <c r="BJ476" s="1"/>
  <c r="BL456"/>
  <c r="BN456" s="1"/>
  <c r="BM445"/>
  <c r="BM429"/>
  <c r="BL428"/>
  <c r="BN86"/>
  <c r="BN97"/>
  <c r="BN119"/>
  <c r="BM593"/>
  <c r="BN593" s="1"/>
  <c r="BL563"/>
  <c r="BL510"/>
  <c r="BN510" s="1"/>
  <c r="BL504"/>
  <c r="BN504" s="1"/>
  <c r="BL499"/>
  <c r="BJ477"/>
  <c r="BL468"/>
  <c r="BN468" s="1"/>
  <c r="BJ467"/>
  <c r="BL458"/>
  <c r="BJ457"/>
  <c r="BM451"/>
  <c r="BM441"/>
  <c r="BN441" s="1"/>
  <c r="BL434"/>
  <c r="BH429"/>
  <c r="BM428"/>
  <c r="BI426"/>
  <c r="BJ426" s="1"/>
  <c r="BN476"/>
  <c r="BJ578"/>
  <c r="BL561"/>
  <c r="BN561" s="1"/>
  <c r="BJ508"/>
  <c r="BJ464"/>
  <c r="BN142"/>
  <c r="BJ562"/>
  <c r="BJ545"/>
  <c r="BJ534"/>
  <c r="BL529"/>
  <c r="BJ488"/>
  <c r="BM434"/>
  <c r="BJ408"/>
  <c r="BM348"/>
  <c r="BI316"/>
  <c r="BJ316" s="1"/>
  <c r="BL312"/>
  <c r="BM304"/>
  <c r="BM299"/>
  <c r="BL272"/>
  <c r="BL310"/>
  <c r="BJ252"/>
  <c r="BM248"/>
  <c r="BL218"/>
  <c r="BM215"/>
  <c r="BJ163"/>
  <c r="BJ54"/>
  <c r="BL348"/>
  <c r="BM309"/>
  <c r="BL289"/>
  <c r="BM283"/>
  <c r="BL263"/>
  <c r="BN263" s="1"/>
  <c r="BJ237"/>
  <c r="BM224"/>
  <c r="BN224" s="1"/>
  <c r="BM209"/>
  <c r="BJ59"/>
  <c r="BM50"/>
  <c r="BJ29"/>
  <c r="BL28"/>
  <c r="BN28" s="1"/>
  <c r="BL421"/>
  <c r="BN421" s="1"/>
  <c r="BL280"/>
  <c r="BM261"/>
  <c r="BL256"/>
  <c r="BJ222"/>
  <c r="BM221"/>
  <c r="BJ200"/>
  <c r="BL163"/>
  <c r="BM55"/>
  <c r="BN55" s="1"/>
  <c r="U54" i="38"/>
  <c r="V54" s="1"/>
  <c r="W54" s="1"/>
  <c r="X54" s="1"/>
  <c r="AY54" s="1"/>
  <c r="U62"/>
  <c r="V62" s="1"/>
  <c r="W62" s="1"/>
  <c r="X62" s="1"/>
  <c r="AY62" s="1"/>
  <c r="U70"/>
  <c r="V70" s="1"/>
  <c r="W70" s="1"/>
  <c r="X70" s="1"/>
  <c r="AY70" s="1"/>
  <c r="U78"/>
  <c r="V78" s="1"/>
  <c r="W78" s="1"/>
  <c r="X78" s="1"/>
  <c r="AY78" s="1"/>
  <c r="U86"/>
  <c r="V86" s="1"/>
  <c r="W86" s="1"/>
  <c r="X86" s="1"/>
  <c r="AY86" s="1"/>
  <c r="U94"/>
  <c r="V94" s="1"/>
  <c r="W94" s="1"/>
  <c r="X94" s="1"/>
  <c r="AY94" s="1"/>
  <c r="U102"/>
  <c r="V102" s="1"/>
  <c r="W102" s="1"/>
  <c r="X102" s="1"/>
  <c r="AY102" s="1"/>
  <c r="U107"/>
  <c r="V107" s="1"/>
  <c r="W107" s="1"/>
  <c r="X107" s="1"/>
  <c r="AY107" s="1"/>
  <c r="U111"/>
  <c r="V111" s="1"/>
  <c r="W111" s="1"/>
  <c r="X111" s="1"/>
  <c r="AY111" s="1"/>
  <c r="U115"/>
  <c r="V115" s="1"/>
  <c r="W115" s="1"/>
  <c r="X115" s="1"/>
  <c r="AY115" s="1"/>
  <c r="U119"/>
  <c r="V119" s="1"/>
  <c r="W119" s="1"/>
  <c r="X119" s="1"/>
  <c r="AY119" s="1"/>
  <c r="U125"/>
  <c r="V125" s="1"/>
  <c r="W125" s="1"/>
  <c r="X125" s="1"/>
  <c r="AY125" s="1"/>
  <c r="U132"/>
  <c r="V132" s="1"/>
  <c r="W132" s="1"/>
  <c r="X132" s="1"/>
  <c r="AY132" s="1"/>
  <c r="U135"/>
  <c r="V135" s="1"/>
  <c r="W135" s="1"/>
  <c r="X135" s="1"/>
  <c r="AY135" s="1"/>
  <c r="U141"/>
  <c r="V141" s="1"/>
  <c r="W141" s="1"/>
  <c r="X141" s="1"/>
  <c r="AY141" s="1"/>
  <c r="U148"/>
  <c r="V148" s="1"/>
  <c r="W148" s="1"/>
  <c r="X148" s="1"/>
  <c r="AY148" s="1"/>
  <c r="U151"/>
  <c r="V151" s="1"/>
  <c r="W151" s="1"/>
  <c r="X151" s="1"/>
  <c r="AY151" s="1"/>
  <c r="U157"/>
  <c r="V157" s="1"/>
  <c r="W157" s="1"/>
  <c r="X157" s="1"/>
  <c r="AY157" s="1"/>
  <c r="U165"/>
  <c r="V165" s="1"/>
  <c r="W165" s="1"/>
  <c r="X165" s="1"/>
  <c r="AY165" s="1"/>
  <c r="U167"/>
  <c r="V167" s="1"/>
  <c r="W167" s="1"/>
  <c r="X167" s="1"/>
  <c r="AY167" s="1"/>
  <c r="U176"/>
  <c r="V176" s="1"/>
  <c r="W176" s="1"/>
  <c r="X176" s="1"/>
  <c r="AY176" s="1"/>
  <c r="U179"/>
  <c r="V179" s="1"/>
  <c r="W179" s="1"/>
  <c r="X179" s="1"/>
  <c r="AY179" s="1"/>
  <c r="U185"/>
  <c r="V185" s="1"/>
  <c r="W185" s="1"/>
  <c r="X185" s="1"/>
  <c r="AY185" s="1"/>
  <c r="U187"/>
  <c r="V187" s="1"/>
  <c r="W187" s="1"/>
  <c r="X187" s="1"/>
  <c r="AY187" s="1"/>
  <c r="U193"/>
  <c r="V193" s="1"/>
  <c r="W193" s="1"/>
  <c r="X193" s="1"/>
  <c r="AY193" s="1"/>
  <c r="U195"/>
  <c r="V195" s="1"/>
  <c r="W195" s="1"/>
  <c r="X195" s="1"/>
  <c r="AY195" s="1"/>
  <c r="U197"/>
  <c r="V197" s="1"/>
  <c r="W197" s="1"/>
  <c r="X197" s="1"/>
  <c r="AY197" s="1"/>
  <c r="U206"/>
  <c r="V206" s="1"/>
  <c r="W206" s="1"/>
  <c r="X206" s="1"/>
  <c r="AY206" s="1"/>
  <c r="U198"/>
  <c r="V198" s="1"/>
  <c r="W198" s="1"/>
  <c r="X198" s="1"/>
  <c r="AY198" s="1"/>
  <c r="U200"/>
  <c r="V200" s="1"/>
  <c r="W200" s="1"/>
  <c r="X200" s="1"/>
  <c r="AY200" s="1"/>
  <c r="U205"/>
  <c r="V205" s="1"/>
  <c r="W205" s="1"/>
  <c r="X205" s="1"/>
  <c r="AY205" s="1"/>
  <c r="U214"/>
  <c r="V214" s="1"/>
  <c r="W214" s="1"/>
  <c r="X214" s="1"/>
  <c r="AY214" s="1"/>
  <c r="U225"/>
  <c r="V225" s="1"/>
  <c r="W225" s="1"/>
  <c r="X225" s="1"/>
  <c r="AY225" s="1"/>
  <c r="U6"/>
  <c r="V6" s="1"/>
  <c r="W6" s="1"/>
  <c r="X6" s="1"/>
  <c r="AY6" s="1"/>
  <c r="U10"/>
  <c r="V10" s="1"/>
  <c r="W10" s="1"/>
  <c r="X10" s="1"/>
  <c r="AY10" s="1"/>
  <c r="U14"/>
  <c r="V14" s="1"/>
  <c r="W14" s="1"/>
  <c r="X14" s="1"/>
  <c r="AY14" s="1"/>
  <c r="U18"/>
  <c r="V18" s="1"/>
  <c r="W18" s="1"/>
  <c r="X18" s="1"/>
  <c r="AY18" s="1"/>
  <c r="U22"/>
  <c r="V22" s="1"/>
  <c r="W22" s="1"/>
  <c r="X22" s="1"/>
  <c r="AY22" s="1"/>
  <c r="U26"/>
  <c r="V26" s="1"/>
  <c r="W26" s="1"/>
  <c r="X26" s="1"/>
  <c r="AY26" s="1"/>
  <c r="U30"/>
  <c r="V30" s="1"/>
  <c r="W30" s="1"/>
  <c r="X30" s="1"/>
  <c r="AY30" s="1"/>
  <c r="U34"/>
  <c r="V34" s="1"/>
  <c r="W34" s="1"/>
  <c r="X34" s="1"/>
  <c r="AY34" s="1"/>
  <c r="U38"/>
  <c r="V38" s="1"/>
  <c r="W38" s="1"/>
  <c r="X38" s="1"/>
  <c r="AY38" s="1"/>
  <c r="U42"/>
  <c r="V42" s="1"/>
  <c r="W42" s="1"/>
  <c r="X42" s="1"/>
  <c r="AY42" s="1"/>
  <c r="U46"/>
  <c r="V46" s="1"/>
  <c r="W46" s="1"/>
  <c r="X46" s="1"/>
  <c r="AY46" s="1"/>
  <c r="U50"/>
  <c r="V50" s="1"/>
  <c r="W50" s="1"/>
  <c r="X50" s="1"/>
  <c r="AY50" s="1"/>
  <c r="U52"/>
  <c r="V52" s="1"/>
  <c r="W52" s="1"/>
  <c r="X52" s="1"/>
  <c r="AY52" s="1"/>
  <c r="U53"/>
  <c r="V53" s="1"/>
  <c r="W53" s="1"/>
  <c r="X53" s="1"/>
  <c r="AY53" s="1"/>
  <c r="U58"/>
  <c r="V58" s="1"/>
  <c r="W58" s="1"/>
  <c r="X58" s="1"/>
  <c r="AY58" s="1"/>
  <c r="U60"/>
  <c r="V60" s="1"/>
  <c r="W60" s="1"/>
  <c r="X60" s="1"/>
  <c r="AY60" s="1"/>
  <c r="U61"/>
  <c r="V61" s="1"/>
  <c r="W61" s="1"/>
  <c r="X61" s="1"/>
  <c r="AY61" s="1"/>
  <c r="U66"/>
  <c r="V66" s="1"/>
  <c r="W66" s="1"/>
  <c r="X66" s="1"/>
  <c r="AY66" s="1"/>
  <c r="U68"/>
  <c r="V68" s="1"/>
  <c r="W68" s="1"/>
  <c r="X68" s="1"/>
  <c r="AY68" s="1"/>
  <c r="U69"/>
  <c r="V69" s="1"/>
  <c r="W69" s="1"/>
  <c r="X69" s="1"/>
  <c r="AY69" s="1"/>
  <c r="U74"/>
  <c r="V74" s="1"/>
  <c r="W74" s="1"/>
  <c r="X74" s="1"/>
  <c r="AY74" s="1"/>
  <c r="U76"/>
  <c r="V76" s="1"/>
  <c r="W76" s="1"/>
  <c r="X76" s="1"/>
  <c r="AY76" s="1"/>
  <c r="U77"/>
  <c r="V77" s="1"/>
  <c r="W77" s="1"/>
  <c r="X77" s="1"/>
  <c r="AY77" s="1"/>
  <c r="U82"/>
  <c r="V82" s="1"/>
  <c r="W82" s="1"/>
  <c r="X82" s="1"/>
  <c r="AY82" s="1"/>
  <c r="U84"/>
  <c r="V84" s="1"/>
  <c r="W84" s="1"/>
  <c r="X84" s="1"/>
  <c r="AY84" s="1"/>
  <c r="U85"/>
  <c r="V85" s="1"/>
  <c r="W85" s="1"/>
  <c r="X85" s="1"/>
  <c r="AY85" s="1"/>
  <c r="U90"/>
  <c r="V90" s="1"/>
  <c r="W90" s="1"/>
  <c r="X90" s="1"/>
  <c r="AY90" s="1"/>
  <c r="U98"/>
  <c r="V98" s="1"/>
  <c r="W98" s="1"/>
  <c r="X98" s="1"/>
  <c r="AY98" s="1"/>
  <c r="U105"/>
  <c r="V105" s="1"/>
  <c r="W105" s="1"/>
  <c r="X105" s="1"/>
  <c r="AY105" s="1"/>
  <c r="U109"/>
  <c r="V109" s="1"/>
  <c r="W109" s="1"/>
  <c r="X109" s="1"/>
  <c r="AY109" s="1"/>
  <c r="U113"/>
  <c r="V113" s="1"/>
  <c r="W113" s="1"/>
  <c r="X113" s="1"/>
  <c r="AY113" s="1"/>
  <c r="U117"/>
  <c r="V117" s="1"/>
  <c r="W117" s="1"/>
  <c r="X117" s="1"/>
  <c r="AY117" s="1"/>
  <c r="U124"/>
  <c r="V124" s="1"/>
  <c r="W124" s="1"/>
  <c r="X124" s="1"/>
  <c r="AY124" s="1"/>
  <c r="U133"/>
  <c r="V133" s="1"/>
  <c r="W133" s="1"/>
  <c r="X133" s="1"/>
  <c r="AY133" s="1"/>
  <c r="U140"/>
  <c r="V140" s="1"/>
  <c r="W140" s="1"/>
  <c r="X140" s="1"/>
  <c r="AY140" s="1"/>
  <c r="U149"/>
  <c r="V149" s="1"/>
  <c r="W149" s="1"/>
  <c r="X149" s="1"/>
  <c r="AY149" s="1"/>
  <c r="U156"/>
  <c r="V156" s="1"/>
  <c r="W156" s="1"/>
  <c r="X156" s="1"/>
  <c r="AY156" s="1"/>
  <c r="U166"/>
  <c r="V166" s="1"/>
  <c r="W166" s="1"/>
  <c r="X166" s="1"/>
  <c r="AY166" s="1"/>
  <c r="U170"/>
  <c r="V170" s="1"/>
  <c r="W170" s="1"/>
  <c r="X170" s="1"/>
  <c r="AY170" s="1"/>
  <c r="U186"/>
  <c r="V186" s="1"/>
  <c r="W186" s="1"/>
  <c r="X186" s="1"/>
  <c r="AY186" s="1"/>
  <c r="U194"/>
  <c r="V194" s="1"/>
  <c r="W194" s="1"/>
  <c r="X194" s="1"/>
  <c r="AY194" s="1"/>
  <c r="U211"/>
  <c r="V211" s="1"/>
  <c r="W211" s="1"/>
  <c r="X211" s="1"/>
  <c r="AY211" s="1"/>
  <c r="U55"/>
  <c r="V55" s="1"/>
  <c r="W55" s="1"/>
  <c r="X55" s="1"/>
  <c r="AY55" s="1"/>
  <c r="U63"/>
  <c r="V63" s="1"/>
  <c r="W63" s="1"/>
  <c r="X63" s="1"/>
  <c r="AY63" s="1"/>
  <c r="U71"/>
  <c r="V71" s="1"/>
  <c r="W71" s="1"/>
  <c r="X71" s="1"/>
  <c r="AY71" s="1"/>
  <c r="U79"/>
  <c r="V79" s="1"/>
  <c r="W79" s="1"/>
  <c r="X79" s="1"/>
  <c r="AY79" s="1"/>
  <c r="U87"/>
  <c r="V87" s="1"/>
  <c r="W87" s="1"/>
  <c r="X87" s="1"/>
  <c r="AY87" s="1"/>
  <c r="U96"/>
  <c r="V96" s="1"/>
  <c r="W96" s="1"/>
  <c r="X96" s="1"/>
  <c r="AY96" s="1"/>
  <c r="U104"/>
  <c r="V104" s="1"/>
  <c r="W104" s="1"/>
  <c r="X104" s="1"/>
  <c r="AY104" s="1"/>
  <c r="U108"/>
  <c r="V108" s="1"/>
  <c r="W108" s="1"/>
  <c r="X108" s="1"/>
  <c r="AY108" s="1"/>
  <c r="U112"/>
  <c r="V112" s="1"/>
  <c r="W112" s="1"/>
  <c r="X112" s="1"/>
  <c r="AY112" s="1"/>
  <c r="U116"/>
  <c r="V116" s="1"/>
  <c r="W116" s="1"/>
  <c r="X116" s="1"/>
  <c r="AY116" s="1"/>
  <c r="U123"/>
  <c r="V123" s="1"/>
  <c r="W123" s="1"/>
  <c r="X123" s="1"/>
  <c r="AY123" s="1"/>
  <c r="U129"/>
  <c r="V129" s="1"/>
  <c r="W129" s="1"/>
  <c r="X129" s="1"/>
  <c r="AY129" s="1"/>
  <c r="U139"/>
  <c r="V139" s="1"/>
  <c r="W139" s="1"/>
  <c r="X139" s="1"/>
  <c r="AY139" s="1"/>
  <c r="U145"/>
  <c r="V145" s="1"/>
  <c r="W145" s="1"/>
  <c r="X145" s="1"/>
  <c r="AY145" s="1"/>
  <c r="U155"/>
  <c r="V155" s="1"/>
  <c r="W155" s="1"/>
  <c r="X155" s="1"/>
  <c r="AY155" s="1"/>
  <c r="U171"/>
  <c r="V171" s="1"/>
  <c r="W171" s="1"/>
  <c r="X171" s="1"/>
  <c r="AY171" s="1"/>
  <c r="U180"/>
  <c r="V180" s="1"/>
  <c r="W180" s="1"/>
  <c r="X180" s="1"/>
  <c r="AY180" s="1"/>
  <c r="U118"/>
  <c r="V118" s="1"/>
  <c r="W118" s="1"/>
  <c r="X118" s="1"/>
  <c r="AY118" s="1"/>
  <c r="U122"/>
  <c r="V122" s="1"/>
  <c r="W122" s="1"/>
  <c r="X122" s="1"/>
  <c r="AY122" s="1"/>
  <c r="U126"/>
  <c r="V126" s="1"/>
  <c r="W126" s="1"/>
  <c r="X126" s="1"/>
  <c r="AY126" s="1"/>
  <c r="U130"/>
  <c r="V130" s="1"/>
  <c r="W130" s="1"/>
  <c r="X130" s="1"/>
  <c r="AY130" s="1"/>
  <c r="U134"/>
  <c r="V134" s="1"/>
  <c r="W134" s="1"/>
  <c r="X134" s="1"/>
  <c r="AY134" s="1"/>
  <c r="U138"/>
  <c r="V138" s="1"/>
  <c r="W138" s="1"/>
  <c r="X138" s="1"/>
  <c r="AY138" s="1"/>
  <c r="U142"/>
  <c r="V142" s="1"/>
  <c r="W142" s="1"/>
  <c r="X142" s="1"/>
  <c r="AY142" s="1"/>
  <c r="U146"/>
  <c r="V146" s="1"/>
  <c r="W146" s="1"/>
  <c r="X146" s="1"/>
  <c r="AY146" s="1"/>
  <c r="U150"/>
  <c r="V150" s="1"/>
  <c r="W150" s="1"/>
  <c r="X150" s="1"/>
  <c r="AY150" s="1"/>
  <c r="U154"/>
  <c r="V154" s="1"/>
  <c r="W154" s="1"/>
  <c r="X154" s="1"/>
  <c r="AY154" s="1"/>
  <c r="U158"/>
  <c r="V158" s="1"/>
  <c r="W158" s="1"/>
  <c r="X158" s="1"/>
  <c r="AY158" s="1"/>
  <c r="U172"/>
  <c r="V172" s="1"/>
  <c r="W172" s="1"/>
  <c r="X172" s="1"/>
  <c r="AY172" s="1"/>
  <c r="U182"/>
  <c r="V182" s="1"/>
  <c r="W182" s="1"/>
  <c r="X182" s="1"/>
  <c r="AY182" s="1"/>
  <c r="U190"/>
  <c r="V190" s="1"/>
  <c r="W190" s="1"/>
  <c r="X190" s="1"/>
  <c r="AY190" s="1"/>
  <c r="U224"/>
  <c r="V224" s="1"/>
  <c r="W224" s="1"/>
  <c r="X224" s="1"/>
  <c r="AY224" s="1"/>
  <c r="U231"/>
  <c r="V231" s="1"/>
  <c r="W231" s="1"/>
  <c r="X231" s="1"/>
  <c r="AY231" s="1"/>
  <c r="U261"/>
  <c r="V261" s="1"/>
  <c r="W261" s="1"/>
  <c r="X261" s="1"/>
  <c r="AY261" s="1"/>
  <c r="U263"/>
  <c r="V263" s="1"/>
  <c r="W263" s="1"/>
  <c r="X263" s="1"/>
  <c r="AY263" s="1"/>
  <c r="U265"/>
  <c r="V265" s="1"/>
  <c r="W265" s="1"/>
  <c r="X265" s="1"/>
  <c r="AY265" s="1"/>
  <c r="U267"/>
  <c r="V267" s="1"/>
  <c r="W267" s="1"/>
  <c r="X267" s="1"/>
  <c r="AY267" s="1"/>
  <c r="U269"/>
  <c r="V269" s="1"/>
  <c r="W269" s="1"/>
  <c r="X269" s="1"/>
  <c r="AY269" s="1"/>
  <c r="U271"/>
  <c r="V271" s="1"/>
  <c r="W271" s="1"/>
  <c r="X271" s="1"/>
  <c r="AY271" s="1"/>
  <c r="U273"/>
  <c r="V273" s="1"/>
  <c r="W273" s="1"/>
  <c r="X273" s="1"/>
  <c r="AY273" s="1"/>
  <c r="U275"/>
  <c r="V275" s="1"/>
  <c r="W275" s="1"/>
  <c r="X275" s="1"/>
  <c r="AY275" s="1"/>
  <c r="U277"/>
  <c r="V277" s="1"/>
  <c r="W277" s="1"/>
  <c r="X277" s="1"/>
  <c r="AY277" s="1"/>
  <c r="U279"/>
  <c r="V279" s="1"/>
  <c r="W279" s="1"/>
  <c r="X279" s="1"/>
  <c r="AY279" s="1"/>
  <c r="U281"/>
  <c r="V281" s="1"/>
  <c r="W281" s="1"/>
  <c r="X281" s="1"/>
  <c r="AY281" s="1"/>
  <c r="U283"/>
  <c r="V283" s="1"/>
  <c r="W283" s="1"/>
  <c r="X283" s="1"/>
  <c r="AY283" s="1"/>
  <c r="U285"/>
  <c r="V285" s="1"/>
  <c r="W285" s="1"/>
  <c r="X285" s="1"/>
  <c r="AY285" s="1"/>
  <c r="U287"/>
  <c r="V287" s="1"/>
  <c r="W287" s="1"/>
  <c r="X287" s="1"/>
  <c r="AY287" s="1"/>
  <c r="U289"/>
  <c r="V289" s="1"/>
  <c r="W289" s="1"/>
  <c r="X289" s="1"/>
  <c r="AY289" s="1"/>
  <c r="U291"/>
  <c r="V291" s="1"/>
  <c r="W291" s="1"/>
  <c r="X291" s="1"/>
  <c r="AY291" s="1"/>
  <c r="U293"/>
  <c r="V293" s="1"/>
  <c r="W293" s="1"/>
  <c r="X293" s="1"/>
  <c r="AY293" s="1"/>
  <c r="U295"/>
  <c r="V295" s="1"/>
  <c r="W295" s="1"/>
  <c r="X295" s="1"/>
  <c r="AY295" s="1"/>
  <c r="U188"/>
  <c r="V188" s="1"/>
  <c r="W188" s="1"/>
  <c r="X188" s="1"/>
  <c r="AY188" s="1"/>
  <c r="U212"/>
  <c r="V212" s="1"/>
  <c r="W212" s="1"/>
  <c r="X212" s="1"/>
  <c r="AY212" s="1"/>
  <c r="U216"/>
  <c r="V216" s="1"/>
  <c r="W216" s="1"/>
  <c r="X216" s="1"/>
  <c r="AY216" s="1"/>
  <c r="U220"/>
  <c r="V220" s="1"/>
  <c r="W220" s="1"/>
  <c r="X220" s="1"/>
  <c r="AY220" s="1"/>
  <c r="U223"/>
  <c r="V223" s="1"/>
  <c r="W223" s="1"/>
  <c r="X223" s="1"/>
  <c r="AY223" s="1"/>
  <c r="U254"/>
  <c r="V254" s="1"/>
  <c r="W254" s="1"/>
  <c r="X254" s="1"/>
  <c r="AY254" s="1"/>
  <c r="U209"/>
  <c r="V209" s="1"/>
  <c r="W209" s="1"/>
  <c r="X209" s="1"/>
  <c r="AY209" s="1"/>
  <c r="U213"/>
  <c r="V213" s="1"/>
  <c r="W213" s="1"/>
  <c r="X213" s="1"/>
  <c r="AY213" s="1"/>
  <c r="U221"/>
  <c r="V221" s="1"/>
  <c r="W221" s="1"/>
  <c r="X221" s="1"/>
  <c r="AY221" s="1"/>
  <c r="U222"/>
  <c r="V222" s="1"/>
  <c r="W222" s="1"/>
  <c r="X222" s="1"/>
  <c r="AY222" s="1"/>
  <c r="U260"/>
  <c r="V260" s="1"/>
  <c r="W260" s="1"/>
  <c r="X260" s="1"/>
  <c r="AY260" s="1"/>
  <c r="U257"/>
  <c r="V257" s="1"/>
  <c r="W257" s="1"/>
  <c r="X257" s="1"/>
  <c r="AY257" s="1"/>
  <c r="U258"/>
  <c r="V258" s="1"/>
  <c r="W258" s="1"/>
  <c r="X258" s="1"/>
  <c r="AY258" s="1"/>
  <c r="U259"/>
  <c r="V259" s="1"/>
  <c r="W259" s="1"/>
  <c r="X259" s="1"/>
  <c r="AY259" s="1"/>
  <c r="U300"/>
  <c r="V300" s="1"/>
  <c r="W300" s="1"/>
  <c r="X300" s="1"/>
  <c r="AY300" s="1"/>
  <c r="U308"/>
  <c r="V308" s="1"/>
  <c r="W308" s="1"/>
  <c r="X308" s="1"/>
  <c r="AY308" s="1"/>
  <c r="U316"/>
  <c r="V316" s="1"/>
  <c r="W316" s="1"/>
  <c r="X316" s="1"/>
  <c r="AY316" s="1"/>
  <c r="U324"/>
  <c r="V324" s="1"/>
  <c r="W324" s="1"/>
  <c r="X324" s="1"/>
  <c r="AY324" s="1"/>
  <c r="U304"/>
  <c r="V304" s="1"/>
  <c r="W304" s="1"/>
  <c r="X304" s="1"/>
  <c r="AY304" s="1"/>
  <c r="U312"/>
  <c r="V312" s="1"/>
  <c r="W312" s="1"/>
  <c r="X312" s="1"/>
  <c r="AY312" s="1"/>
  <c r="U320"/>
  <c r="V320" s="1"/>
  <c r="W320" s="1"/>
  <c r="X320" s="1"/>
  <c r="AY320" s="1"/>
  <c r="U314"/>
  <c r="V314" s="1"/>
  <c r="W314" s="1"/>
  <c r="X314" s="1"/>
  <c r="AY314" s="1"/>
  <c r="U322"/>
  <c r="V322" s="1"/>
  <c r="W322" s="1"/>
  <c r="X322" s="1"/>
  <c r="AY322" s="1"/>
  <c r="G433" i="7"/>
  <c r="G441"/>
  <c r="G449"/>
  <c r="G457"/>
  <c r="G434"/>
  <c r="G442"/>
  <c r="G450"/>
  <c r="G458"/>
  <c r="F337"/>
  <c r="F332"/>
  <c r="F359"/>
  <c r="F346"/>
  <c r="C94" i="53"/>
  <c r="Z8" i="55" s="1"/>
  <c r="K19" i="6"/>
  <c r="M19" s="1"/>
  <c r="G435" i="7"/>
  <c r="G443"/>
  <c r="G451"/>
  <c r="G459"/>
  <c r="G436"/>
  <c r="G444"/>
  <c r="G452"/>
  <c r="G460"/>
  <c r="G304"/>
  <c r="G305"/>
  <c r="G322"/>
  <c r="G309"/>
  <c r="G437"/>
  <c r="G445"/>
  <c r="G453"/>
  <c r="G430"/>
  <c r="G438"/>
  <c r="G446"/>
  <c r="G454"/>
  <c r="G302"/>
  <c r="G223"/>
  <c r="G239"/>
  <c r="F256"/>
  <c r="F272"/>
  <c r="G224"/>
  <c r="G240"/>
  <c r="F255"/>
  <c r="F275"/>
  <c r="G231"/>
  <c r="G247"/>
  <c r="F258"/>
  <c r="F274"/>
  <c r="G232"/>
  <c r="F249"/>
  <c r="F261"/>
  <c r="G233"/>
  <c r="F248"/>
  <c r="F264"/>
  <c r="G218"/>
  <c r="G234"/>
  <c r="F251"/>
  <c r="F265"/>
  <c r="G221"/>
  <c r="G237"/>
  <c r="F250"/>
  <c r="F266"/>
  <c r="G222"/>
  <c r="G238"/>
  <c r="F253"/>
  <c r="F271"/>
  <c r="AV257" i="1"/>
  <c r="C264" i="53"/>
  <c r="AE25" i="55" s="1"/>
  <c r="AV201" i="1"/>
  <c r="C208" i="53"/>
  <c r="AC30" i="55" s="1"/>
  <c r="AV153" i="1"/>
  <c r="C160" i="53"/>
  <c r="AB13" i="55" s="1"/>
  <c r="AV125" i="1"/>
  <c r="AY125" s="1"/>
  <c r="AY126" s="1"/>
  <c r="C132" i="53"/>
  <c r="AA15" i="55" s="1"/>
  <c r="C156" i="53"/>
  <c r="AB9" i="55" s="1"/>
  <c r="G103" i="7"/>
  <c r="G119"/>
  <c r="F138"/>
  <c r="F154"/>
  <c r="G104"/>
  <c r="G120"/>
  <c r="F141"/>
  <c r="F155"/>
  <c r="G111"/>
  <c r="F126"/>
  <c r="F142"/>
  <c r="G96"/>
  <c r="G112"/>
  <c r="F129"/>
  <c r="F143"/>
  <c r="G97"/>
  <c r="G113"/>
  <c r="F130"/>
  <c r="F146"/>
  <c r="G98"/>
  <c r="G114"/>
  <c r="F133"/>
  <c r="F145"/>
  <c r="G101"/>
  <c r="G117"/>
  <c r="F134"/>
  <c r="F150"/>
  <c r="G102"/>
  <c r="G118"/>
  <c r="F139"/>
  <c r="F151"/>
  <c r="G71"/>
  <c r="G87"/>
  <c r="F102"/>
  <c r="F118"/>
  <c r="G74"/>
  <c r="G90"/>
  <c r="F107"/>
  <c r="F123"/>
  <c r="G73"/>
  <c r="G89"/>
  <c r="F104"/>
  <c r="F120"/>
  <c r="G76"/>
  <c r="G92"/>
  <c r="F109"/>
  <c r="F125"/>
  <c r="G77"/>
  <c r="G93"/>
  <c r="F108"/>
  <c r="F124"/>
  <c r="G80"/>
  <c r="F97"/>
  <c r="F113"/>
  <c r="G79"/>
  <c r="G95"/>
  <c r="F110"/>
  <c r="G66"/>
  <c r="G82"/>
  <c r="F99"/>
  <c r="F115"/>
  <c r="G256"/>
  <c r="F299"/>
  <c r="G267"/>
  <c r="G272"/>
  <c r="F307"/>
  <c r="F288"/>
  <c r="F279"/>
  <c r="F294"/>
  <c r="F283"/>
  <c r="C258" i="53"/>
  <c r="AE19" i="55" s="1"/>
  <c r="C254" i="53"/>
  <c r="AE15" i="55" s="1"/>
  <c r="AY143" i="1"/>
  <c r="AW143" s="1"/>
  <c r="AZ143" s="1"/>
  <c r="Q143" s="1"/>
  <c r="AY23"/>
  <c r="AW23" s="1"/>
  <c r="AZ23" s="1"/>
  <c r="Q23" s="1"/>
  <c r="U581" i="38"/>
  <c r="V581" s="1"/>
  <c r="W581" s="1"/>
  <c r="X581" s="1"/>
  <c r="AY581" s="1"/>
  <c r="BF581" s="1"/>
  <c r="BI581" s="1"/>
  <c r="U577"/>
  <c r="V577" s="1"/>
  <c r="W577" s="1"/>
  <c r="X577" s="1"/>
  <c r="AY577" s="1"/>
  <c r="BF577" s="1"/>
  <c r="BI577" s="1"/>
  <c r="U573"/>
  <c r="V573" s="1"/>
  <c r="W573" s="1"/>
  <c r="X573" s="1"/>
  <c r="AY573" s="1"/>
  <c r="BF573" s="1"/>
  <c r="BI573" s="1"/>
  <c r="U569"/>
  <c r="V569" s="1"/>
  <c r="W569" s="1"/>
  <c r="X569" s="1"/>
  <c r="AY569" s="1"/>
  <c r="BF569" s="1"/>
  <c r="BI569" s="1"/>
  <c r="U565"/>
  <c r="V565" s="1"/>
  <c r="W565" s="1"/>
  <c r="X565" s="1"/>
  <c r="AY565" s="1"/>
  <c r="BF565" s="1"/>
  <c r="BI565" s="1"/>
  <c r="U561"/>
  <c r="V561" s="1"/>
  <c r="W561" s="1"/>
  <c r="X561" s="1"/>
  <c r="AY561" s="1"/>
  <c r="BF561" s="1"/>
  <c r="BI561" s="1"/>
  <c r="U557"/>
  <c r="V557" s="1"/>
  <c r="W557" s="1"/>
  <c r="X557" s="1"/>
  <c r="AY557" s="1"/>
  <c r="BF557" s="1"/>
  <c r="BI557" s="1"/>
  <c r="U553"/>
  <c r="V553" s="1"/>
  <c r="W553" s="1"/>
  <c r="X553" s="1"/>
  <c r="AY553" s="1"/>
  <c r="BF553" s="1"/>
  <c r="BI553" s="1"/>
  <c r="U549"/>
  <c r="V549" s="1"/>
  <c r="W549" s="1"/>
  <c r="X549" s="1"/>
  <c r="AY549" s="1"/>
  <c r="BF549" s="1"/>
  <c r="BI549" s="1"/>
  <c r="U545"/>
  <c r="V545" s="1"/>
  <c r="W545" s="1"/>
  <c r="X545" s="1"/>
  <c r="AY545" s="1"/>
  <c r="BF545" s="1"/>
  <c r="BI545" s="1"/>
  <c r="U541"/>
  <c r="V541" s="1"/>
  <c r="W541" s="1"/>
  <c r="X541" s="1"/>
  <c r="AY541" s="1"/>
  <c r="BF541" s="1"/>
  <c r="BI541" s="1"/>
  <c r="U537"/>
  <c r="V537" s="1"/>
  <c r="W537" s="1"/>
  <c r="X537" s="1"/>
  <c r="AY537" s="1"/>
  <c r="BF537" s="1"/>
  <c r="BI537" s="1"/>
  <c r="U533"/>
  <c r="V533" s="1"/>
  <c r="W533" s="1"/>
  <c r="X533" s="1"/>
  <c r="AY533" s="1"/>
  <c r="BF533" s="1"/>
  <c r="BI533" s="1"/>
  <c r="U529"/>
  <c r="V529" s="1"/>
  <c r="W529" s="1"/>
  <c r="X529" s="1"/>
  <c r="AY529" s="1"/>
  <c r="BF529" s="1"/>
  <c r="BI529" s="1"/>
  <c r="U525"/>
  <c r="V525" s="1"/>
  <c r="W525" s="1"/>
  <c r="X525" s="1"/>
  <c r="AY525" s="1"/>
  <c r="BF525" s="1"/>
  <c r="BI525" s="1"/>
  <c r="U521"/>
  <c r="V521" s="1"/>
  <c r="W521" s="1"/>
  <c r="X521" s="1"/>
  <c r="AY521" s="1"/>
  <c r="BF521" s="1"/>
  <c r="BI521" s="1"/>
  <c r="U517"/>
  <c r="V517" s="1"/>
  <c r="W517" s="1"/>
  <c r="X517" s="1"/>
  <c r="AY517" s="1"/>
  <c r="BF517" s="1"/>
  <c r="BI517" s="1"/>
  <c r="U513"/>
  <c r="V513" s="1"/>
  <c r="W513" s="1"/>
  <c r="X513" s="1"/>
  <c r="AY513" s="1"/>
  <c r="BF513" s="1"/>
  <c r="BI513" s="1"/>
  <c r="U509"/>
  <c r="V509" s="1"/>
  <c r="W509" s="1"/>
  <c r="X509" s="1"/>
  <c r="AY509" s="1"/>
  <c r="BF509" s="1"/>
  <c r="BI509" s="1"/>
  <c r="U505"/>
  <c r="V505" s="1"/>
  <c r="W505" s="1"/>
  <c r="X505" s="1"/>
  <c r="AY505" s="1"/>
  <c r="BF505" s="1"/>
  <c r="BI505" s="1"/>
  <c r="U501"/>
  <c r="V501" s="1"/>
  <c r="W501" s="1"/>
  <c r="X501" s="1"/>
  <c r="AY501" s="1"/>
  <c r="BF501" s="1"/>
  <c r="BI501" s="1"/>
  <c r="U497"/>
  <c r="V497" s="1"/>
  <c r="W497" s="1"/>
  <c r="X497" s="1"/>
  <c r="AY497" s="1"/>
  <c r="BF497" s="1"/>
  <c r="BI497" s="1"/>
  <c r="U493"/>
  <c r="V493" s="1"/>
  <c r="W493" s="1"/>
  <c r="X493" s="1"/>
  <c r="AY493" s="1"/>
  <c r="BF493" s="1"/>
  <c r="BI493" s="1"/>
  <c r="U489"/>
  <c r="V489" s="1"/>
  <c r="W489" s="1"/>
  <c r="X489" s="1"/>
  <c r="AY489" s="1"/>
  <c r="BF489" s="1"/>
  <c r="BI489" s="1"/>
  <c r="U485"/>
  <c r="V485" s="1"/>
  <c r="W485" s="1"/>
  <c r="X485" s="1"/>
  <c r="AY485" s="1"/>
  <c r="BF485" s="1"/>
  <c r="BI485" s="1"/>
  <c r="U481"/>
  <c r="V481" s="1"/>
  <c r="W481" s="1"/>
  <c r="X481" s="1"/>
  <c r="AY481" s="1"/>
  <c r="BF481" s="1"/>
  <c r="BI481" s="1"/>
  <c r="U477"/>
  <c r="V477" s="1"/>
  <c r="W477" s="1"/>
  <c r="X477" s="1"/>
  <c r="AY477" s="1"/>
  <c r="BF477" s="1"/>
  <c r="BI477" s="1"/>
  <c r="U473"/>
  <c r="V473" s="1"/>
  <c r="W473" s="1"/>
  <c r="X473" s="1"/>
  <c r="AY473" s="1"/>
  <c r="BF473" s="1"/>
  <c r="BI473" s="1"/>
  <c r="U469"/>
  <c r="V469" s="1"/>
  <c r="W469" s="1"/>
  <c r="X469" s="1"/>
  <c r="AY469" s="1"/>
  <c r="BF469" s="1"/>
  <c r="BI469" s="1"/>
  <c r="U465"/>
  <c r="V465" s="1"/>
  <c r="W465" s="1"/>
  <c r="X465" s="1"/>
  <c r="AY465" s="1"/>
  <c r="BF465" s="1"/>
  <c r="BI465" s="1"/>
  <c r="U461"/>
  <c r="V461" s="1"/>
  <c r="W461" s="1"/>
  <c r="X461" s="1"/>
  <c r="AY461" s="1"/>
  <c r="BF461" s="1"/>
  <c r="BI461" s="1"/>
  <c r="U457"/>
  <c r="V457" s="1"/>
  <c r="W457" s="1"/>
  <c r="X457" s="1"/>
  <c r="AY457" s="1"/>
  <c r="BF457" s="1"/>
  <c r="BI457" s="1"/>
  <c r="U453"/>
  <c r="V453" s="1"/>
  <c r="W453" s="1"/>
  <c r="X453" s="1"/>
  <c r="AY453" s="1"/>
  <c r="BF453" s="1"/>
  <c r="BI453" s="1"/>
  <c r="U449"/>
  <c r="V449" s="1"/>
  <c r="W449" s="1"/>
  <c r="X449" s="1"/>
  <c r="AY449" s="1"/>
  <c r="BF449" s="1"/>
  <c r="BI449" s="1"/>
  <c r="U445"/>
  <c r="V445" s="1"/>
  <c r="W445" s="1"/>
  <c r="X445" s="1"/>
  <c r="AY445" s="1"/>
  <c r="BF445" s="1"/>
  <c r="BI445" s="1"/>
  <c r="U441"/>
  <c r="V441" s="1"/>
  <c r="W441" s="1"/>
  <c r="X441" s="1"/>
  <c r="AY441" s="1"/>
  <c r="BF441" s="1"/>
  <c r="BI441" s="1"/>
  <c r="U437"/>
  <c r="V437" s="1"/>
  <c r="W437" s="1"/>
  <c r="X437" s="1"/>
  <c r="AY437" s="1"/>
  <c r="BF437" s="1"/>
  <c r="BI437" s="1"/>
  <c r="U433"/>
  <c r="V433" s="1"/>
  <c r="W433" s="1"/>
  <c r="X433" s="1"/>
  <c r="AY433" s="1"/>
  <c r="BF433" s="1"/>
  <c r="BI433" s="1"/>
  <c r="U429"/>
  <c r="V429" s="1"/>
  <c r="W429" s="1"/>
  <c r="X429" s="1"/>
  <c r="AY429" s="1"/>
  <c r="BF429" s="1"/>
  <c r="BI429" s="1"/>
  <c r="U425"/>
  <c r="V425" s="1"/>
  <c r="W425" s="1"/>
  <c r="X425" s="1"/>
  <c r="AY425" s="1"/>
  <c r="BF425" s="1"/>
  <c r="BI425" s="1"/>
  <c r="U421"/>
  <c r="V421" s="1"/>
  <c r="W421" s="1"/>
  <c r="X421" s="1"/>
  <c r="AY421" s="1"/>
  <c r="BF421" s="1"/>
  <c r="BI421" s="1"/>
  <c r="U417"/>
  <c r="V417" s="1"/>
  <c r="W417" s="1"/>
  <c r="X417" s="1"/>
  <c r="AY417" s="1"/>
  <c r="BF417" s="1"/>
  <c r="BI417" s="1"/>
  <c r="U413"/>
  <c r="V413" s="1"/>
  <c r="W413" s="1"/>
  <c r="X413" s="1"/>
  <c r="AY413" s="1"/>
  <c r="BF413" s="1"/>
  <c r="BI413" s="1"/>
  <c r="U409"/>
  <c r="V409" s="1"/>
  <c r="W409" s="1"/>
  <c r="X409" s="1"/>
  <c r="AY409" s="1"/>
  <c r="BF409" s="1"/>
  <c r="BI409" s="1"/>
  <c r="U405"/>
  <c r="V405" s="1"/>
  <c r="W405" s="1"/>
  <c r="X405" s="1"/>
  <c r="AY405" s="1"/>
  <c r="BF405" s="1"/>
  <c r="BI405" s="1"/>
  <c r="U401"/>
  <c r="V401" s="1"/>
  <c r="W401" s="1"/>
  <c r="X401" s="1"/>
  <c r="AY401" s="1"/>
  <c r="BF401" s="1"/>
  <c r="BI401" s="1"/>
  <c r="U397"/>
  <c r="V397" s="1"/>
  <c r="W397" s="1"/>
  <c r="X397" s="1"/>
  <c r="AY397" s="1"/>
  <c r="BF397" s="1"/>
  <c r="BI397" s="1"/>
  <c r="U393"/>
  <c r="V393" s="1"/>
  <c r="W393" s="1"/>
  <c r="X393" s="1"/>
  <c r="AY393" s="1"/>
  <c r="BF393" s="1"/>
  <c r="BI393" s="1"/>
  <c r="U389"/>
  <c r="V389" s="1"/>
  <c r="W389" s="1"/>
  <c r="X389" s="1"/>
  <c r="AY389" s="1"/>
  <c r="BF389" s="1"/>
  <c r="BI389" s="1"/>
  <c r="U385"/>
  <c r="V385" s="1"/>
  <c r="W385" s="1"/>
  <c r="X385" s="1"/>
  <c r="AY385" s="1"/>
  <c r="BF385" s="1"/>
  <c r="BI385" s="1"/>
  <c r="U381"/>
  <c r="V381" s="1"/>
  <c r="W381" s="1"/>
  <c r="X381" s="1"/>
  <c r="AY381" s="1"/>
  <c r="BF381" s="1"/>
  <c r="BI381" s="1"/>
  <c r="U377"/>
  <c r="V377" s="1"/>
  <c r="W377" s="1"/>
  <c r="X377" s="1"/>
  <c r="AY377" s="1"/>
  <c r="BF377" s="1"/>
  <c r="BI377" s="1"/>
  <c r="U373"/>
  <c r="V373" s="1"/>
  <c r="W373" s="1"/>
  <c r="X373" s="1"/>
  <c r="AY373" s="1"/>
  <c r="BF373" s="1"/>
  <c r="BI373" s="1"/>
  <c r="U8"/>
  <c r="V8" s="1"/>
  <c r="W8" s="1"/>
  <c r="X8" s="1"/>
  <c r="AY8" s="1"/>
  <c r="U12"/>
  <c r="V12" s="1"/>
  <c r="W12" s="1"/>
  <c r="X12" s="1"/>
  <c r="AY12" s="1"/>
  <c r="U16"/>
  <c r="V16" s="1"/>
  <c r="W16" s="1"/>
  <c r="X16" s="1"/>
  <c r="AY16" s="1"/>
  <c r="U20"/>
  <c r="V20" s="1"/>
  <c r="W20" s="1"/>
  <c r="X20" s="1"/>
  <c r="AY20" s="1"/>
  <c r="U24"/>
  <c r="V24" s="1"/>
  <c r="W24" s="1"/>
  <c r="X24" s="1"/>
  <c r="AY24" s="1"/>
  <c r="U28"/>
  <c r="V28" s="1"/>
  <c r="W28" s="1"/>
  <c r="X28" s="1"/>
  <c r="AY28" s="1"/>
  <c r="U32"/>
  <c r="V32" s="1"/>
  <c r="W32" s="1"/>
  <c r="X32" s="1"/>
  <c r="AY32" s="1"/>
  <c r="U36"/>
  <c r="V36" s="1"/>
  <c r="W36" s="1"/>
  <c r="X36" s="1"/>
  <c r="AY36" s="1"/>
  <c r="U40"/>
  <c r="V40" s="1"/>
  <c r="W40" s="1"/>
  <c r="X40" s="1"/>
  <c r="AY40" s="1"/>
  <c r="U44"/>
  <c r="V44" s="1"/>
  <c r="W44" s="1"/>
  <c r="X44" s="1"/>
  <c r="AY44" s="1"/>
  <c r="U7"/>
  <c r="V7" s="1"/>
  <c r="W7" s="1"/>
  <c r="X7" s="1"/>
  <c r="AY7" s="1"/>
  <c r="U11"/>
  <c r="V11" s="1"/>
  <c r="W11" s="1"/>
  <c r="X11" s="1"/>
  <c r="AY11" s="1"/>
  <c r="U15"/>
  <c r="V15" s="1"/>
  <c r="W15" s="1"/>
  <c r="X15" s="1"/>
  <c r="AY15" s="1"/>
  <c r="U19"/>
  <c r="V19" s="1"/>
  <c r="W19" s="1"/>
  <c r="X19" s="1"/>
  <c r="AY19" s="1"/>
  <c r="U23"/>
  <c r="V23" s="1"/>
  <c r="W23" s="1"/>
  <c r="X23" s="1"/>
  <c r="AY23" s="1"/>
  <c r="U27"/>
  <c r="V27" s="1"/>
  <c r="W27" s="1"/>
  <c r="X27" s="1"/>
  <c r="AY27" s="1"/>
  <c r="U31"/>
  <c r="V31" s="1"/>
  <c r="W31" s="1"/>
  <c r="X31" s="1"/>
  <c r="AY31" s="1"/>
  <c r="U35"/>
  <c r="V35" s="1"/>
  <c r="W35" s="1"/>
  <c r="X35" s="1"/>
  <c r="AY35" s="1"/>
  <c r="U39"/>
  <c r="V39" s="1"/>
  <c r="W39" s="1"/>
  <c r="X39" s="1"/>
  <c r="AY39" s="1"/>
  <c r="U43"/>
  <c r="V43" s="1"/>
  <c r="W43" s="1"/>
  <c r="X43" s="1"/>
  <c r="AY43" s="1"/>
  <c r="U47"/>
  <c r="V47" s="1"/>
  <c r="W47" s="1"/>
  <c r="X47" s="1"/>
  <c r="AY47" s="1"/>
  <c r="U162"/>
  <c r="V162" s="1"/>
  <c r="W162" s="1"/>
  <c r="X162" s="1"/>
  <c r="AY162" s="1"/>
  <c r="U210"/>
  <c r="V210" s="1"/>
  <c r="W210" s="1"/>
  <c r="X210" s="1"/>
  <c r="AY210" s="1"/>
  <c r="U226"/>
  <c r="V226" s="1"/>
  <c r="W226" s="1"/>
  <c r="X226" s="1"/>
  <c r="AY226" s="1"/>
  <c r="U202"/>
  <c r="V202" s="1"/>
  <c r="W202" s="1"/>
  <c r="X202" s="1"/>
  <c r="AY202" s="1"/>
  <c r="U218"/>
  <c r="V218" s="1"/>
  <c r="W218" s="1"/>
  <c r="X218" s="1"/>
  <c r="AY218" s="1"/>
  <c r="U234"/>
  <c r="V234" s="1"/>
  <c r="W234" s="1"/>
  <c r="X234" s="1"/>
  <c r="AY234" s="1"/>
  <c r="U236"/>
  <c r="V236" s="1"/>
  <c r="W236" s="1"/>
  <c r="X236" s="1"/>
  <c r="AY236" s="1"/>
  <c r="U238"/>
  <c r="V238" s="1"/>
  <c r="W238" s="1"/>
  <c r="X238" s="1"/>
  <c r="AY238" s="1"/>
  <c r="U240"/>
  <c r="V240" s="1"/>
  <c r="W240" s="1"/>
  <c r="X240" s="1"/>
  <c r="AY240" s="1"/>
  <c r="U242"/>
  <c r="V242" s="1"/>
  <c r="W242" s="1"/>
  <c r="X242" s="1"/>
  <c r="AY242" s="1"/>
  <c r="U244"/>
  <c r="V244" s="1"/>
  <c r="W244" s="1"/>
  <c r="X244" s="1"/>
  <c r="AY244" s="1"/>
  <c r="U246"/>
  <c r="V246" s="1"/>
  <c r="W246" s="1"/>
  <c r="X246" s="1"/>
  <c r="AY246" s="1"/>
  <c r="U248"/>
  <c r="V248" s="1"/>
  <c r="W248" s="1"/>
  <c r="X248" s="1"/>
  <c r="AY248" s="1"/>
  <c r="U250"/>
  <c r="V250" s="1"/>
  <c r="W250" s="1"/>
  <c r="X250" s="1"/>
  <c r="AY250" s="1"/>
  <c r="U252"/>
  <c r="V252" s="1"/>
  <c r="W252" s="1"/>
  <c r="X252" s="1"/>
  <c r="AY252" s="1"/>
  <c r="U237"/>
  <c r="V237" s="1"/>
  <c r="W237" s="1"/>
  <c r="X237" s="1"/>
  <c r="AY237" s="1"/>
  <c r="U239"/>
  <c r="V239" s="1"/>
  <c r="W239" s="1"/>
  <c r="X239" s="1"/>
  <c r="AY239" s="1"/>
  <c r="U241"/>
  <c r="V241" s="1"/>
  <c r="W241" s="1"/>
  <c r="X241" s="1"/>
  <c r="AY241" s="1"/>
  <c r="U243"/>
  <c r="V243" s="1"/>
  <c r="W243" s="1"/>
  <c r="X243" s="1"/>
  <c r="AY243" s="1"/>
  <c r="U245"/>
  <c r="V245" s="1"/>
  <c r="W245" s="1"/>
  <c r="X245" s="1"/>
  <c r="AY245" s="1"/>
  <c r="U247"/>
  <c r="V247" s="1"/>
  <c r="W247" s="1"/>
  <c r="X247" s="1"/>
  <c r="AY247" s="1"/>
  <c r="U249"/>
  <c r="V249" s="1"/>
  <c r="W249" s="1"/>
  <c r="X249" s="1"/>
  <c r="AY249" s="1"/>
  <c r="U251"/>
  <c r="V251" s="1"/>
  <c r="W251" s="1"/>
  <c r="X251" s="1"/>
  <c r="AY251" s="1"/>
  <c r="U253"/>
  <c r="V253" s="1"/>
  <c r="W253" s="1"/>
  <c r="X253" s="1"/>
  <c r="AY253" s="1"/>
  <c r="U333"/>
  <c r="V333" s="1"/>
  <c r="W333" s="1"/>
  <c r="X333" s="1"/>
  <c r="AY333" s="1"/>
  <c r="U334"/>
  <c r="V334" s="1"/>
  <c r="W334" s="1"/>
  <c r="X334" s="1"/>
  <c r="AY334" s="1"/>
  <c r="U341"/>
  <c r="V341" s="1"/>
  <c r="W341" s="1"/>
  <c r="X341" s="1"/>
  <c r="AY341" s="1"/>
  <c r="U342"/>
  <c r="V342" s="1"/>
  <c r="W342" s="1"/>
  <c r="X342" s="1"/>
  <c r="AY342" s="1"/>
  <c r="U337"/>
  <c r="V337" s="1"/>
  <c r="W337" s="1"/>
  <c r="X337" s="1"/>
  <c r="AY337" s="1"/>
  <c r="U338"/>
  <c r="V338" s="1"/>
  <c r="W338" s="1"/>
  <c r="X338" s="1"/>
  <c r="AY338" s="1"/>
  <c r="U345"/>
  <c r="V345" s="1"/>
  <c r="W345" s="1"/>
  <c r="X345" s="1"/>
  <c r="AY345" s="1"/>
  <c r="U346"/>
  <c r="V346" s="1"/>
  <c r="W346" s="1"/>
  <c r="X346" s="1"/>
  <c r="AY346" s="1"/>
  <c r="U331"/>
  <c r="V331" s="1"/>
  <c r="W331" s="1"/>
  <c r="X331" s="1"/>
  <c r="AY331" s="1"/>
  <c r="U335"/>
  <c r="V335" s="1"/>
  <c r="W335" s="1"/>
  <c r="X335" s="1"/>
  <c r="AY335" s="1"/>
  <c r="U339"/>
  <c r="V339" s="1"/>
  <c r="W339" s="1"/>
  <c r="X339" s="1"/>
  <c r="AY339" s="1"/>
  <c r="U343"/>
  <c r="V343" s="1"/>
  <c r="W343" s="1"/>
  <c r="X343" s="1"/>
  <c r="AY343" s="1"/>
  <c r="U347"/>
  <c r="V347" s="1"/>
  <c r="W347" s="1"/>
  <c r="X347" s="1"/>
  <c r="AY347" s="1"/>
  <c r="U356"/>
  <c r="V356" s="1"/>
  <c r="W356" s="1"/>
  <c r="X356" s="1"/>
  <c r="AY356" s="1"/>
  <c r="U360"/>
  <c r="V360" s="1"/>
  <c r="W360" s="1"/>
  <c r="X360" s="1"/>
  <c r="AY360" s="1"/>
  <c r="U364"/>
  <c r="V364" s="1"/>
  <c r="W364" s="1"/>
  <c r="X364" s="1"/>
  <c r="AY364" s="1"/>
  <c r="U368"/>
  <c r="V368" s="1"/>
  <c r="W368" s="1"/>
  <c r="X368" s="1"/>
  <c r="AY368" s="1"/>
  <c r="U349"/>
  <c r="V349" s="1"/>
  <c r="W349" s="1"/>
  <c r="X349" s="1"/>
  <c r="AY349" s="1"/>
  <c r="U354"/>
  <c r="V354" s="1"/>
  <c r="W354" s="1"/>
  <c r="X354" s="1"/>
  <c r="AY354" s="1"/>
  <c r="U358"/>
  <c r="V358" s="1"/>
  <c r="W358" s="1"/>
  <c r="X358" s="1"/>
  <c r="AY358" s="1"/>
  <c r="U362"/>
  <c r="V362" s="1"/>
  <c r="W362" s="1"/>
  <c r="X362" s="1"/>
  <c r="AY362" s="1"/>
  <c r="U366"/>
  <c r="V366" s="1"/>
  <c r="W366" s="1"/>
  <c r="X366" s="1"/>
  <c r="AY366" s="1"/>
  <c r="U352"/>
  <c r="V352" s="1"/>
  <c r="W352" s="1"/>
  <c r="X352" s="1"/>
  <c r="AY352" s="1"/>
  <c r="U353"/>
  <c r="V353" s="1"/>
  <c r="W353" s="1"/>
  <c r="X353" s="1"/>
  <c r="AY353" s="1"/>
  <c r="U357"/>
  <c r="V357" s="1"/>
  <c r="W357" s="1"/>
  <c r="X357" s="1"/>
  <c r="AY357" s="1"/>
  <c r="U361"/>
  <c r="V361" s="1"/>
  <c r="W361" s="1"/>
  <c r="X361" s="1"/>
  <c r="AY361" s="1"/>
  <c r="U365"/>
  <c r="V365" s="1"/>
  <c r="W365" s="1"/>
  <c r="X365" s="1"/>
  <c r="AY365" s="1"/>
  <c r="U369"/>
  <c r="V369" s="1"/>
  <c r="W369" s="1"/>
  <c r="X369" s="1"/>
  <c r="AY369" s="1"/>
  <c r="BN72" i="1"/>
  <c r="BN182"/>
  <c r="BN577"/>
  <c r="BJ26"/>
  <c r="BJ588"/>
  <c r="BJ583"/>
  <c r="BJ546"/>
  <c r="BI468"/>
  <c r="BJ468" s="1"/>
  <c r="BJ466"/>
  <c r="BI458"/>
  <c r="BI398"/>
  <c r="BJ398" s="1"/>
  <c r="BM320"/>
  <c r="BM314"/>
  <c r="BI283"/>
  <c r="BJ283" s="1"/>
  <c r="BL283"/>
  <c r="BI276"/>
  <c r="BJ276" s="1"/>
  <c r="BJ271"/>
  <c r="BL270"/>
  <c r="BJ260"/>
  <c r="BI236"/>
  <c r="BH224"/>
  <c r="BJ224" s="1"/>
  <c r="BL190"/>
  <c r="BN190" s="1"/>
  <c r="BI177"/>
  <c r="BJ177" s="1"/>
  <c r="BJ122"/>
  <c r="BI77"/>
  <c r="BJ77" s="1"/>
  <c r="BJ75"/>
  <c r="BJ42"/>
  <c r="BJ40"/>
  <c r="BM39"/>
  <c r="BN39" s="1"/>
  <c r="BL29"/>
  <c r="BN29" s="1"/>
  <c r="BJ585"/>
  <c r="BL512"/>
  <c r="BN512" s="1"/>
  <c r="BJ480"/>
  <c r="BM446"/>
  <c r="BL335"/>
  <c r="BJ327"/>
  <c r="BJ319"/>
  <c r="BJ315"/>
  <c r="BJ311"/>
  <c r="BJ296"/>
  <c r="BM269"/>
  <c r="BM260"/>
  <c r="BM244"/>
  <c r="BJ199"/>
  <c r="BH198"/>
  <c r="BJ198" s="1"/>
  <c r="BM141"/>
  <c r="BN141" s="1"/>
  <c r="BJ124"/>
  <c r="BI55"/>
  <c r="BL489"/>
  <c r="BN489" s="1"/>
  <c r="BL480"/>
  <c r="BN480" s="1"/>
  <c r="BJ447"/>
  <c r="BI372"/>
  <c r="BI358"/>
  <c r="BJ358" s="1"/>
  <c r="BM357"/>
  <c r="BM343"/>
  <c r="BI331"/>
  <c r="BL315"/>
  <c r="BM296"/>
  <c r="BL240"/>
  <c r="BL238"/>
  <c r="BJ205"/>
  <c r="BJ195"/>
  <c r="BJ166"/>
  <c r="BL147"/>
  <c r="BN147" s="1"/>
  <c r="BJ141"/>
  <c r="BJ118"/>
  <c r="BJ74"/>
  <c r="BJ38"/>
  <c r="BJ30"/>
  <c r="BM27"/>
  <c r="BN27" s="1"/>
  <c r="BI584"/>
  <c r="BJ584" s="1"/>
  <c r="BJ539"/>
  <c r="BL459"/>
  <c r="BJ416"/>
  <c r="BL409"/>
  <c r="BN409" s="1"/>
  <c r="BM398"/>
  <c r="BN398" s="1"/>
  <c r="BL320"/>
  <c r="BJ270"/>
  <c r="BL215"/>
  <c r="BM203"/>
  <c r="BN203" s="1"/>
  <c r="BJ190"/>
  <c r="BJ172"/>
  <c r="BJ160"/>
  <c r="BH52"/>
  <c r="BJ52" s="1"/>
  <c r="BL36"/>
  <c r="BN36" s="1"/>
  <c r="I445" i="7"/>
  <c r="I434"/>
  <c r="I456"/>
  <c r="I449"/>
  <c r="I440"/>
  <c r="I431"/>
  <c r="I453"/>
  <c r="I442"/>
  <c r="I441"/>
  <c r="I432"/>
  <c r="I454"/>
  <c r="M34" i="53"/>
  <c r="C11" i="54"/>
  <c r="BN54" i="1"/>
  <c r="BN137"/>
  <c r="BN153"/>
  <c r="I8" i="6"/>
  <c r="BN30" i="1"/>
  <c r="BN100"/>
  <c r="BN164"/>
  <c r="BN82"/>
  <c r="I10" i="6"/>
  <c r="I9"/>
  <c r="BN38" i="1"/>
  <c r="BN581"/>
  <c r="BN131"/>
  <c r="I18" i="6"/>
  <c r="I6"/>
  <c r="J49" i="22"/>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J49" i="5"/>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G15" i="49"/>
  <c r="H5"/>
  <c r="J5"/>
  <c r="H6" s="1"/>
  <c r="J6" s="1"/>
  <c r="H7" s="1"/>
  <c r="J7" s="1"/>
  <c r="H8" s="1"/>
  <c r="J8" s="1"/>
  <c r="H9" s="1"/>
  <c r="J9" s="1"/>
  <c r="H10" s="1"/>
  <c r="J10" s="1"/>
  <c r="B9" i="50"/>
  <c r="J8"/>
  <c r="K8"/>
  <c r="L8"/>
  <c r="I5" i="6"/>
  <c r="K7" i="7"/>
  <c r="L7"/>
  <c r="B8"/>
  <c r="J7"/>
  <c r="G11" i="49"/>
  <c r="G13"/>
  <c r="K6" i="7"/>
  <c r="J6" i="50"/>
  <c r="K6"/>
  <c r="K50" i="20"/>
  <c r="B51"/>
  <c r="J50"/>
  <c r="J6" i="7"/>
  <c r="K5"/>
  <c r="K5" i="50"/>
  <c r="J5"/>
  <c r="J50" i="22"/>
  <c r="B51"/>
  <c r="K50"/>
  <c r="G18" i="21"/>
  <c r="G13"/>
  <c r="G7"/>
  <c r="G17" i="19"/>
  <c r="G15"/>
  <c r="G9"/>
  <c r="G7"/>
  <c r="G15" i="21"/>
  <c r="G10"/>
  <c r="J5"/>
  <c r="H5"/>
  <c r="G13" i="19"/>
  <c r="G11"/>
  <c r="J5"/>
  <c r="H5"/>
  <c r="G17" i="21"/>
  <c r="G11"/>
  <c r="G8"/>
  <c r="G6"/>
  <c r="G6" i="19"/>
  <c r="L7" i="48"/>
  <c r="J6"/>
  <c r="BJ413" i="1"/>
  <c r="BJ350"/>
  <c r="BJ348"/>
  <c r="BJ512"/>
  <c r="BJ509"/>
  <c r="BJ472"/>
  <c r="BJ517"/>
  <c r="BJ489"/>
  <c r="BM594"/>
  <c r="BN594" s="1"/>
  <c r="BI592"/>
  <c r="BJ592" s="1"/>
  <c r="BM578"/>
  <c r="BN578" s="1"/>
  <c r="BI568"/>
  <c r="BJ568" s="1"/>
  <c r="BL562"/>
  <c r="BN562" s="1"/>
  <c r="BI561"/>
  <c r="BJ561" s="1"/>
  <c r="BI558"/>
  <c r="BJ558" s="1"/>
  <c r="BI557"/>
  <c r="BJ557" s="1"/>
  <c r="BI556"/>
  <c r="BJ551"/>
  <c r="BL546"/>
  <c r="BN546" s="1"/>
  <c r="BL539"/>
  <c r="BN539" s="1"/>
  <c r="BJ522"/>
  <c r="BL521"/>
  <c r="BN521" s="1"/>
  <c r="BL517"/>
  <c r="BL513"/>
  <c r="BN513" s="1"/>
  <c r="BI504"/>
  <c r="BJ504" s="1"/>
  <c r="BJ494"/>
  <c r="BJ481"/>
  <c r="BL472"/>
  <c r="BM460"/>
  <c r="BM449"/>
  <c r="BL446"/>
  <c r="BL442"/>
  <c r="BJ439"/>
  <c r="BL438"/>
  <c r="BN438" s="1"/>
  <c r="BL437"/>
  <c r="BH434"/>
  <c r="BM433"/>
  <c r="BI423"/>
  <c r="BL418"/>
  <c r="BM413"/>
  <c r="BL413"/>
  <c r="BM410"/>
  <c r="BN410" s="1"/>
  <c r="BL408"/>
  <c r="BL297"/>
  <c r="BM297"/>
  <c r="BL282"/>
  <c r="BM282"/>
  <c r="BJ268"/>
  <c r="BM232"/>
  <c r="BH232"/>
  <c r="BJ232" s="1"/>
  <c r="BJ597"/>
  <c r="BJ590"/>
  <c r="BM586"/>
  <c r="BN586" s="1"/>
  <c r="BM585"/>
  <c r="BN585" s="1"/>
  <c r="BJ577"/>
  <c r="BJ556"/>
  <c r="BL555"/>
  <c r="BJ548"/>
  <c r="BL540"/>
  <c r="BN540" s="1"/>
  <c r="BI536"/>
  <c r="BJ536" s="1"/>
  <c r="BI535"/>
  <c r="BJ535" s="1"/>
  <c r="BJ526"/>
  <c r="BL522"/>
  <c r="BN522" s="1"/>
  <c r="BI510"/>
  <c r="BJ510" s="1"/>
  <c r="BL509"/>
  <c r="BJ500"/>
  <c r="BJ498"/>
  <c r="BL464"/>
  <c r="BN464" s="1"/>
  <c r="BJ461"/>
  <c r="BJ433"/>
  <c r="BM422"/>
  <c r="BI410"/>
  <c r="BJ410" s="1"/>
  <c r="BJ407"/>
  <c r="BM391"/>
  <c r="BN391" s="1"/>
  <c r="BL389"/>
  <c r="BN389" s="1"/>
  <c r="BI386"/>
  <c r="BJ384"/>
  <c r="BJ380"/>
  <c r="BL378"/>
  <c r="BJ371"/>
  <c r="BI367"/>
  <c r="BJ367" s="1"/>
  <c r="BL364"/>
  <c r="BN364" s="1"/>
  <c r="BH356"/>
  <c r="BJ356" s="1"/>
  <c r="BL350"/>
  <c r="BN350" s="1"/>
  <c r="BH343"/>
  <c r="BJ343" s="1"/>
  <c r="BM339"/>
  <c r="BN339" s="1"/>
  <c r="BJ337"/>
  <c r="BL336"/>
  <c r="BI334"/>
  <c r="BJ334" s="1"/>
  <c r="BH329"/>
  <c r="BJ329" s="1"/>
  <c r="BM324"/>
  <c r="BL324"/>
  <c r="BJ317"/>
  <c r="BH312"/>
  <c r="BH304"/>
  <c r="BJ304" s="1"/>
  <c r="BM268"/>
  <c r="BJ265"/>
  <c r="BM241"/>
  <c r="BM237"/>
  <c r="BL232"/>
  <c r="BL230"/>
  <c r="BI229"/>
  <c r="BJ229" s="1"/>
  <c r="BL229"/>
  <c r="BL228"/>
  <c r="BH218"/>
  <c r="BJ218" s="1"/>
  <c r="BJ217"/>
  <c r="BL212"/>
  <c r="BL155"/>
  <c r="BN155" s="1"/>
  <c r="BI155"/>
  <c r="BI94"/>
  <c r="BJ94" s="1"/>
  <c r="BM94"/>
  <c r="BN94" s="1"/>
  <c r="H9" i="48"/>
  <c r="BI589" i="1"/>
  <c r="BJ589" s="1"/>
  <c r="BL551"/>
  <c r="BN551" s="1"/>
  <c r="BJ530"/>
  <c r="BI525"/>
  <c r="BJ525" s="1"/>
  <c r="BL508"/>
  <c r="BN508" s="1"/>
  <c r="BJ495"/>
  <c r="BJ486"/>
  <c r="BL481"/>
  <c r="BN481" s="1"/>
  <c r="BL477"/>
  <c r="BN477" s="1"/>
  <c r="BI469"/>
  <c r="BJ469" s="1"/>
  <c r="BL460"/>
  <c r="BM442"/>
  <c r="BN442" s="1"/>
  <c r="BJ437"/>
  <c r="BL433"/>
  <c r="BI430"/>
  <c r="BI391"/>
  <c r="BJ391" s="1"/>
  <c r="BM390"/>
  <c r="BM381"/>
  <c r="BN381" s="1"/>
  <c r="BL380"/>
  <c r="BJ372"/>
  <c r="BJ362"/>
  <c r="BJ357"/>
  <c r="BM353"/>
  <c r="BL349"/>
  <c r="BL343"/>
  <c r="BI339"/>
  <c r="BJ339" s="1"/>
  <c r="BL338"/>
  <c r="BM329"/>
  <c r="BN329" s="1"/>
  <c r="BL321"/>
  <c r="BM321"/>
  <c r="BJ309"/>
  <c r="BL304"/>
  <c r="BL301"/>
  <c r="BI297"/>
  <c r="BJ297" s="1"/>
  <c r="BM289"/>
  <c r="BJ285"/>
  <c r="BI282"/>
  <c r="BJ282" s="1"/>
  <c r="BI280"/>
  <c r="BM280"/>
  <c r="BM270"/>
  <c r="BL269"/>
  <c r="BJ269"/>
  <c r="BM262"/>
  <c r="BL262"/>
  <c r="BL261"/>
  <c r="BN261" s="1"/>
  <c r="BM252"/>
  <c r="BL252"/>
  <c r="BH245"/>
  <c r="BL244"/>
  <c r="BM230"/>
  <c r="BI228"/>
  <c r="BJ228" s="1"/>
  <c r="BL222"/>
  <c r="BL221"/>
  <c r="BN221" s="1"/>
  <c r="BM218"/>
  <c r="BN218" s="1"/>
  <c r="BI216"/>
  <c r="BJ216" s="1"/>
  <c r="BM216"/>
  <c r="BN216" s="1"/>
  <c r="BL209"/>
  <c r="BN209" s="1"/>
  <c r="BM185"/>
  <c r="BN185" s="1"/>
  <c r="BJ179"/>
  <c r="BL144"/>
  <c r="BN144" s="1"/>
  <c r="BI144"/>
  <c r="BJ144" s="1"/>
  <c r="BJ123"/>
  <c r="BJ95"/>
  <c r="BJ57"/>
  <c r="BN590"/>
  <c r="BJ586"/>
  <c r="BJ570"/>
  <c r="BH563"/>
  <c r="BJ563" s="1"/>
  <c r="BJ499"/>
  <c r="BJ487"/>
  <c r="BL452"/>
  <c r="BL449"/>
  <c r="BN449" s="1"/>
  <c r="BJ446"/>
  <c r="BJ438"/>
  <c r="BM437"/>
  <c r="BJ422"/>
  <c r="BJ411"/>
  <c r="BM407"/>
  <c r="BJ404"/>
  <c r="BM392"/>
  <c r="BM380"/>
  <c r="BN380" s="1"/>
  <c r="BL376"/>
  <c r="BN376" s="1"/>
  <c r="BM371"/>
  <c r="BN371" s="1"/>
  <c r="BJ370"/>
  <c r="BM365"/>
  <c r="BL361"/>
  <c r="BN361" s="1"/>
  <c r="BL356"/>
  <c r="BN356" s="1"/>
  <c r="BI353"/>
  <c r="BJ353" s="1"/>
  <c r="BM351"/>
  <c r="BN351" s="1"/>
  <c r="BM330"/>
  <c r="BN330" s="1"/>
  <c r="BI326"/>
  <c r="BM325"/>
  <c r="BI324"/>
  <c r="BJ324" s="1"/>
  <c r="BM319"/>
  <c r="BL319"/>
  <c r="BL309"/>
  <c r="BI303"/>
  <c r="BJ291"/>
  <c r="BL290"/>
  <c r="BN290" s="1"/>
  <c r="BJ280"/>
  <c r="BL268"/>
  <c r="BI261"/>
  <c r="BJ261" s="1"/>
  <c r="BI240"/>
  <c r="BI234"/>
  <c r="BJ234" s="1"/>
  <c r="BL234"/>
  <c r="BL233"/>
  <c r="BN233" s="1"/>
  <c r="BJ230"/>
  <c r="BM229"/>
  <c r="BL217"/>
  <c r="BM212"/>
  <c r="BL157"/>
  <c r="BN157" s="1"/>
  <c r="BI157"/>
  <c r="BJ157" s="1"/>
  <c r="BJ99"/>
  <c r="BJ320"/>
  <c r="BL316"/>
  <c r="BM315"/>
  <c r="BM312"/>
  <c r="BL299"/>
  <c r="BN299" s="1"/>
  <c r="BL296"/>
  <c r="BN296" s="1"/>
  <c r="BM281"/>
  <c r="BL276"/>
  <c r="BM272"/>
  <c r="BN272" s="1"/>
  <c r="BL260"/>
  <c r="BN260" s="1"/>
  <c r="BM253"/>
  <c r="BJ238"/>
  <c r="BJ185"/>
  <c r="BL171"/>
  <c r="BN171" s="1"/>
  <c r="BJ165"/>
  <c r="BI161"/>
  <c r="BJ161" s="1"/>
  <c r="BM146"/>
  <c r="BN146" s="1"/>
  <c r="BH143"/>
  <c r="BJ143" s="1"/>
  <c r="BM138"/>
  <c r="BN138" s="1"/>
  <c r="BJ121"/>
  <c r="BM120"/>
  <c r="BN120" s="1"/>
  <c r="BM110"/>
  <c r="BN110" s="1"/>
  <c r="BJ104"/>
  <c r="BL95"/>
  <c r="BN95" s="1"/>
  <c r="BL67"/>
  <c r="BM60"/>
  <c r="BJ188"/>
  <c r="BM156"/>
  <c r="BN156" s="1"/>
  <c r="BJ129"/>
  <c r="BM90"/>
  <c r="BN90" s="1"/>
  <c r="BL89"/>
  <c r="BN89" s="1"/>
  <c r="BJ79"/>
  <c r="BL51"/>
  <c r="BH50"/>
  <c r="BJ50" s="1"/>
  <c r="BM166"/>
  <c r="BN166" s="1"/>
  <c r="BJ134"/>
  <c r="BJ127"/>
  <c r="BM112"/>
  <c r="BN112" s="1"/>
  <c r="BJ108"/>
  <c r="BM98"/>
  <c r="BN98" s="1"/>
  <c r="BJ82"/>
  <c r="BL79"/>
  <c r="BI39"/>
  <c r="BJ39" s="1"/>
  <c r="BL37"/>
  <c r="BN37" s="1"/>
  <c r="BJ34"/>
  <c r="BM31"/>
  <c r="BN31" s="1"/>
  <c r="BM23"/>
  <c r="BJ55"/>
  <c r="BJ53"/>
  <c r="J50" i="5"/>
  <c r="B51"/>
  <c r="G14" i="4"/>
  <c r="G10"/>
  <c r="G11"/>
  <c r="G5"/>
  <c r="G9"/>
  <c r="AY120" i="1"/>
  <c r="AW120" s="1"/>
  <c r="AZ120" s="1"/>
  <c r="Q120" s="1"/>
  <c r="G18" i="4"/>
  <c r="G7"/>
  <c r="AN13" i="8"/>
  <c r="C14"/>
  <c r="AY128" i="1"/>
  <c r="AW128" s="1"/>
  <c r="AZ128" s="1"/>
  <c r="Q128" s="1"/>
  <c r="C578" i="52"/>
  <c r="C546"/>
  <c r="C514"/>
  <c r="C594"/>
  <c r="C573"/>
  <c r="C562"/>
  <c r="C530"/>
  <c r="C509"/>
  <c r="C498"/>
  <c r="C466"/>
  <c r="C459"/>
  <c r="C475"/>
  <c r="C458"/>
  <c r="C482"/>
  <c r="C483"/>
  <c r="C490"/>
  <c r="C474"/>
  <c r="AV137" i="1"/>
  <c r="C144" i="53"/>
  <c r="AA27" i="55" s="1"/>
  <c r="AV278" i="1"/>
  <c r="C285" i="53"/>
  <c r="AF15" i="55" s="1"/>
  <c r="AV254" i="1"/>
  <c r="C261" i="53"/>
  <c r="AE22" i="55" s="1"/>
  <c r="AV180" i="1"/>
  <c r="C187" i="53"/>
  <c r="AC9" i="55" s="1"/>
  <c r="AV109" i="1"/>
  <c r="C116" i="53"/>
  <c r="Z30" i="55" s="1"/>
  <c r="C288" i="53"/>
  <c r="AF18" i="55" s="1"/>
  <c r="C292" i="53"/>
  <c r="AF22" i="55" s="1"/>
  <c r="AV261" i="1"/>
  <c r="C268" i="53"/>
  <c r="AE29" i="55" s="1"/>
  <c r="AG23" i="1"/>
  <c r="AG24" s="1"/>
  <c r="AG25" s="1"/>
  <c r="AG26" s="1"/>
  <c r="AG27" s="1"/>
  <c r="AG28" s="1"/>
  <c r="AG29" s="1"/>
  <c r="AG30" s="1"/>
  <c r="AG31" s="1"/>
  <c r="AG32" s="1"/>
  <c r="AG33" s="1"/>
  <c r="AG34" s="1"/>
  <c r="AG35" s="1"/>
  <c r="AG36" s="1"/>
  <c r="AG37" s="1"/>
  <c r="AG38" s="1"/>
  <c r="AG39" s="1"/>
  <c r="AG40" s="1"/>
  <c r="AG41" s="1"/>
  <c r="AG42" s="1"/>
  <c r="AG43" s="1"/>
  <c r="AG44" s="1"/>
  <c r="AG45" s="1"/>
  <c r="AG46" s="1"/>
  <c r="AG47" s="1"/>
  <c r="AG48" s="1"/>
  <c r="AG49" s="1"/>
  <c r="AG50" s="1"/>
  <c r="AG51" s="1"/>
  <c r="AG52" s="1"/>
  <c r="AG53" s="1"/>
  <c r="AG54" s="1"/>
  <c r="AG55" s="1"/>
  <c r="AG56" s="1"/>
  <c r="AG57" s="1"/>
  <c r="AG58" s="1"/>
  <c r="AG59" s="1"/>
  <c r="AG60" s="1"/>
  <c r="AG61" s="1"/>
  <c r="AG62" s="1"/>
  <c r="AG63" s="1"/>
  <c r="AG64" s="1"/>
  <c r="AG65" s="1"/>
  <c r="AG66" s="1"/>
  <c r="AG67" s="1"/>
  <c r="AG68" s="1"/>
  <c r="AG69" s="1"/>
  <c r="AG70" s="1"/>
  <c r="AG71" s="1"/>
  <c r="AG72" s="1"/>
  <c r="AG73" s="1"/>
  <c r="AG74" s="1"/>
  <c r="AG75" s="1"/>
  <c r="AG76" s="1"/>
  <c r="AG77" s="1"/>
  <c r="AG78" s="1"/>
  <c r="AG79" s="1"/>
  <c r="AG80" s="1"/>
  <c r="AG81" s="1"/>
  <c r="AG82" s="1"/>
  <c r="AG83" s="1"/>
  <c r="AG84" s="1"/>
  <c r="AG85" s="1"/>
  <c r="AG86" s="1"/>
  <c r="AG87" s="1"/>
  <c r="AG88" s="1"/>
  <c r="AG89" s="1"/>
  <c r="AG90" s="1"/>
  <c r="AG91" s="1"/>
  <c r="AG92" s="1"/>
  <c r="AG93" s="1"/>
  <c r="AG94" s="1"/>
  <c r="AG95" s="1"/>
  <c r="AG96" s="1"/>
  <c r="AG97" s="1"/>
  <c r="AG98" s="1"/>
  <c r="AG99" s="1"/>
  <c r="AG100" s="1"/>
  <c r="AG101" s="1"/>
  <c r="AG102" s="1"/>
  <c r="AG103" s="1"/>
  <c r="AG104" s="1"/>
  <c r="AG105" s="1"/>
  <c r="AG106" s="1"/>
  <c r="AG107" s="1"/>
  <c r="AG108" s="1"/>
  <c r="AG109" s="1"/>
  <c r="AG110" s="1"/>
  <c r="AG111" s="1"/>
  <c r="AG112" s="1"/>
  <c r="AG113" s="1"/>
  <c r="AG114" s="1"/>
  <c r="AG115" s="1"/>
  <c r="AG116" s="1"/>
  <c r="AG117" s="1"/>
  <c r="AG118" s="1"/>
  <c r="AG119" s="1"/>
  <c r="AG120" s="1"/>
  <c r="AG121" s="1"/>
  <c r="AG122" s="1"/>
  <c r="AG123" s="1"/>
  <c r="AG124" s="1"/>
  <c r="AG125" s="1"/>
  <c r="AG126" s="1"/>
  <c r="AG127" s="1"/>
  <c r="AG128" s="1"/>
  <c r="AG129" s="1"/>
  <c r="AG130" s="1"/>
  <c r="AG131" s="1"/>
  <c r="AG132" s="1"/>
  <c r="AG133" s="1"/>
  <c r="AG134" s="1"/>
  <c r="AG135" s="1"/>
  <c r="AG136" s="1"/>
  <c r="AG137" s="1"/>
  <c r="AG138" s="1"/>
  <c r="AG139" s="1"/>
  <c r="AG140" s="1"/>
  <c r="AG141" s="1"/>
  <c r="AG142" s="1"/>
  <c r="AG143" s="1"/>
  <c r="AG144" s="1"/>
  <c r="AG145" s="1"/>
  <c r="AG146" s="1"/>
  <c r="AG147" s="1"/>
  <c r="AG148" s="1"/>
  <c r="AG149" s="1"/>
  <c r="AG150" s="1"/>
  <c r="AG151" s="1"/>
  <c r="AG152" s="1"/>
  <c r="AG153" s="1"/>
  <c r="AG154" s="1"/>
  <c r="AG155" s="1"/>
  <c r="AG156" s="1"/>
  <c r="AG157" s="1"/>
  <c r="AG158" s="1"/>
  <c r="AG159" s="1"/>
  <c r="AG160" s="1"/>
  <c r="AG161" s="1"/>
  <c r="AG162" s="1"/>
  <c r="AG163" s="1"/>
  <c r="AG164" s="1"/>
  <c r="AG165" s="1"/>
  <c r="AG166" s="1"/>
  <c r="AG167" s="1"/>
  <c r="AG168" s="1"/>
  <c r="AG169" s="1"/>
  <c r="AG170" s="1"/>
  <c r="AG171" s="1"/>
  <c r="AG172" s="1"/>
  <c r="AG173" s="1"/>
  <c r="AG174" s="1"/>
  <c r="AG175" s="1"/>
  <c r="AG176" s="1"/>
  <c r="AG177" s="1"/>
  <c r="AG178" s="1"/>
  <c r="AG179" s="1"/>
  <c r="AG180" s="1"/>
  <c r="AG181" s="1"/>
  <c r="AG182" s="1"/>
  <c r="AG183" s="1"/>
  <c r="AG184" s="1"/>
  <c r="AG185" s="1"/>
  <c r="AG186" s="1"/>
  <c r="AG187" s="1"/>
  <c r="AG188" s="1"/>
  <c r="AG189" s="1"/>
  <c r="AG190" s="1"/>
  <c r="AG191" s="1"/>
  <c r="AG192" s="1"/>
  <c r="AG193" s="1"/>
  <c r="AG194" s="1"/>
  <c r="AG195" s="1"/>
  <c r="AG196" s="1"/>
  <c r="AG197" s="1"/>
  <c r="AG198" s="1"/>
  <c r="AG199" s="1"/>
  <c r="AG200" s="1"/>
  <c r="AG201" s="1"/>
  <c r="AG202" s="1"/>
  <c r="AG203" s="1"/>
  <c r="AG204" s="1"/>
  <c r="AG205" s="1"/>
  <c r="AG206" s="1"/>
  <c r="AG207" s="1"/>
  <c r="AG208" s="1"/>
  <c r="AG209" s="1"/>
  <c r="AG210" s="1"/>
  <c r="AG211" s="1"/>
  <c r="AG212" s="1"/>
  <c r="AG213" s="1"/>
  <c r="AG214" s="1"/>
  <c r="AG215" s="1"/>
  <c r="AG216" s="1"/>
  <c r="AG217" s="1"/>
  <c r="AG218" s="1"/>
  <c r="AG219" s="1"/>
  <c r="AG220" s="1"/>
  <c r="AG221" s="1"/>
  <c r="AG222" s="1"/>
  <c r="AG223" s="1"/>
  <c r="AG224" s="1"/>
  <c r="AG225" s="1"/>
  <c r="AG226" s="1"/>
  <c r="AG227" s="1"/>
  <c r="AG228" s="1"/>
  <c r="AG229" s="1"/>
  <c r="AG230" s="1"/>
  <c r="AG231" s="1"/>
  <c r="AG232" s="1"/>
  <c r="AG233" s="1"/>
  <c r="AG234" s="1"/>
  <c r="AG235" s="1"/>
  <c r="AG236" s="1"/>
  <c r="AG237" s="1"/>
  <c r="AG238" s="1"/>
  <c r="AG239" s="1"/>
  <c r="AG240" s="1"/>
  <c r="AG241" s="1"/>
  <c r="AG242" s="1"/>
  <c r="AG243" s="1"/>
  <c r="AG244" s="1"/>
  <c r="AG245" s="1"/>
  <c r="AG246" s="1"/>
  <c r="AG247" s="1"/>
  <c r="AG248" s="1"/>
  <c r="AG249" s="1"/>
  <c r="AG250" s="1"/>
  <c r="AG251" s="1"/>
  <c r="AG252" s="1"/>
  <c r="AG253" s="1"/>
  <c r="AG254" s="1"/>
  <c r="AG255" s="1"/>
  <c r="AG256" s="1"/>
  <c r="AG257" s="1"/>
  <c r="AG258" s="1"/>
  <c r="AG259" s="1"/>
  <c r="AG260" s="1"/>
  <c r="AG261" s="1"/>
  <c r="AG262" s="1"/>
  <c r="AG263" s="1"/>
  <c r="AG264" s="1"/>
  <c r="AG265" s="1"/>
  <c r="AG266" s="1"/>
  <c r="AG267" s="1"/>
  <c r="AG268" s="1"/>
  <c r="AG269" s="1"/>
  <c r="AG270" s="1"/>
  <c r="AG271" s="1"/>
  <c r="AG272" s="1"/>
  <c r="AG273" s="1"/>
  <c r="AG274" s="1"/>
  <c r="AG275" s="1"/>
  <c r="AG276" s="1"/>
  <c r="AG277" s="1"/>
  <c r="AG278" s="1"/>
  <c r="AG279" s="1"/>
  <c r="AG280" s="1"/>
  <c r="AG281" s="1"/>
  <c r="AG282" s="1"/>
  <c r="AG283" s="1"/>
  <c r="AG284" s="1"/>
  <c r="AG285" s="1"/>
  <c r="AG286" s="1"/>
  <c r="AG287" s="1"/>
  <c r="AG288" s="1"/>
  <c r="AG289" s="1"/>
  <c r="AG290" s="1"/>
  <c r="AG291" s="1"/>
  <c r="AG292" s="1"/>
  <c r="AG293" s="1"/>
  <c r="AG294" s="1"/>
  <c r="AG295" s="1"/>
  <c r="AG296" s="1"/>
  <c r="AG297" s="1"/>
  <c r="AG298" s="1"/>
  <c r="AG299" s="1"/>
  <c r="AG300" s="1"/>
  <c r="AG301" s="1"/>
  <c r="AG302" s="1"/>
  <c r="AG303" s="1"/>
  <c r="AG304" s="1"/>
  <c r="AG305" s="1"/>
  <c r="AG306" s="1"/>
  <c r="AG307" s="1"/>
  <c r="AG308" s="1"/>
  <c r="AG309" s="1"/>
  <c r="AG310" s="1"/>
  <c r="AG311" s="1"/>
  <c r="AG312" s="1"/>
  <c r="AG313" s="1"/>
  <c r="AG314" s="1"/>
  <c r="AG315" s="1"/>
  <c r="AG316" s="1"/>
  <c r="AG317" s="1"/>
  <c r="AG318" s="1"/>
  <c r="AG319" s="1"/>
  <c r="AG320" s="1"/>
  <c r="AG321" s="1"/>
  <c r="AG322" s="1"/>
  <c r="AG323" s="1"/>
  <c r="AG324" s="1"/>
  <c r="AG325" s="1"/>
  <c r="AG326" s="1"/>
  <c r="AG327" s="1"/>
  <c r="AG328" s="1"/>
  <c r="AG329" s="1"/>
  <c r="AG330" s="1"/>
  <c r="AG331" s="1"/>
  <c r="AG332" s="1"/>
  <c r="AG333" s="1"/>
  <c r="AG334" s="1"/>
  <c r="AG335" s="1"/>
  <c r="AG336" s="1"/>
  <c r="AG337" s="1"/>
  <c r="AG338" s="1"/>
  <c r="AG339" s="1"/>
  <c r="AG340" s="1"/>
  <c r="AG341" s="1"/>
  <c r="AG342" s="1"/>
  <c r="AG343" s="1"/>
  <c r="AG344" s="1"/>
  <c r="AG345" s="1"/>
  <c r="C30" i="53"/>
  <c r="X4" i="55" s="1"/>
  <c r="C283" i="53"/>
  <c r="AF13" i="55" s="1"/>
  <c r="C259" i="53"/>
  <c r="AE20" i="55" s="1"/>
  <c r="C185" i="53"/>
  <c r="AC7" i="55" s="1"/>
  <c r="C143" i="53"/>
  <c r="AA26" i="55" s="1"/>
  <c r="C122" i="53"/>
  <c r="AA5" i="55" s="1"/>
  <c r="C104" i="53"/>
  <c r="Z18" i="55" s="1"/>
  <c r="C74" i="53"/>
  <c r="Y17" i="55" s="1"/>
  <c r="C191" i="53"/>
  <c r="AC13" i="55" s="1"/>
  <c r="C111" i="53"/>
  <c r="Z25" i="55" s="1"/>
  <c r="C207" i="53"/>
  <c r="AC29" i="55" s="1"/>
  <c r="C130" i="53"/>
  <c r="AA13" i="55" s="1"/>
  <c r="C314" i="53"/>
  <c r="AG14" i="55" s="1"/>
  <c r="C275" i="53"/>
  <c r="AF5" i="55" s="1"/>
  <c r="C168" i="53"/>
  <c r="AB21" i="55" s="1"/>
  <c r="C119" i="53"/>
  <c r="Z33" i="55" s="1"/>
  <c r="C114" i="53"/>
  <c r="Z28" i="55" s="1"/>
  <c r="AW123" i="1"/>
  <c r="AZ123" s="1"/>
  <c r="Q123" s="1"/>
  <c r="C273" i="53"/>
  <c r="AF3" i="55" s="1"/>
  <c r="C176" i="53"/>
  <c r="AB29" i="55" s="1"/>
  <c r="C135" i="53"/>
  <c r="AA18" i="55" s="1"/>
  <c r="C145" i="53"/>
  <c r="AA28" i="55" s="1"/>
  <c r="C95" i="53"/>
  <c r="Z9" i="55" s="1"/>
  <c r="C127" i="53"/>
  <c r="AA10" i="55" s="1"/>
  <c r="C201" i="53"/>
  <c r="AC23" i="55" s="1"/>
  <c r="AV322" i="1"/>
  <c r="AY322" s="1"/>
  <c r="AW322" s="1"/>
  <c r="AZ322" s="1"/>
  <c r="Q322" s="1"/>
  <c r="C55" i="53"/>
  <c r="X29" i="55" s="1"/>
  <c r="C281" i="53"/>
  <c r="AF11" i="55" s="1"/>
  <c r="C183" i="53"/>
  <c r="AC5" i="55" s="1"/>
  <c r="C138" i="53"/>
  <c r="AA21" i="55" s="1"/>
  <c r="C101" i="53"/>
  <c r="Z15" i="55" s="1"/>
  <c r="AV133" i="1"/>
  <c r="C140" i="53"/>
  <c r="AA23" i="55" s="1"/>
  <c r="AV142" i="1"/>
  <c r="AY142" s="1"/>
  <c r="AW142" s="1"/>
  <c r="AZ142" s="1"/>
  <c r="Q142" s="1"/>
  <c r="C149" i="53"/>
  <c r="AA32" i="55" s="1"/>
  <c r="AV145" i="1"/>
  <c r="C152" i="53"/>
  <c r="AB5" i="55" s="1"/>
  <c r="C352" i="53"/>
  <c r="AH21" i="55" s="1"/>
  <c r="AV345" i="1"/>
  <c r="AY345" s="1"/>
  <c r="AW345" s="1"/>
  <c r="AZ345" s="1"/>
  <c r="Q345" s="1"/>
  <c r="AV214"/>
  <c r="C221" i="53"/>
  <c r="AD13" i="55" s="1"/>
  <c r="AV210" i="1"/>
  <c r="C217" i="53"/>
  <c r="AD9" i="55" s="1"/>
  <c r="AV288" i="1"/>
  <c r="C295" i="53"/>
  <c r="AF25" i="55" s="1"/>
  <c r="AV199" i="1"/>
  <c r="C206" i="53"/>
  <c r="AC28" i="55" s="1"/>
  <c r="C182" i="53"/>
  <c r="AC4" i="55" s="1"/>
  <c r="AV175" i="1"/>
  <c r="C349" i="53"/>
  <c r="AH18" i="55" s="1"/>
  <c r="AV342" i="1"/>
  <c r="C323" i="53"/>
  <c r="AG23" i="55" s="1"/>
  <c r="AV316" i="1"/>
  <c r="AQ12" i="8"/>
  <c r="AQ11"/>
  <c r="C56" i="53"/>
  <c r="X30" i="55" s="1"/>
  <c r="C289" i="53"/>
  <c r="AF19" i="55" s="1"/>
  <c r="C200" i="53"/>
  <c r="AC22" i="55" s="1"/>
  <c r="C175" i="53"/>
  <c r="AB28" i="55" s="1"/>
  <c r="C113" i="53"/>
  <c r="Z27" i="55" s="1"/>
  <c r="C97" i="53"/>
  <c r="Z11" i="55" s="1"/>
  <c r="C86" i="53"/>
  <c r="Y29" i="55" s="1"/>
  <c r="C61" i="53"/>
  <c r="Y4" i="55" s="1"/>
  <c r="C163" i="53"/>
  <c r="AB16" i="55" s="1"/>
  <c r="C317" i="53"/>
  <c r="AG17" i="55" s="1"/>
  <c r="C267" i="53"/>
  <c r="AE28" i="55" s="1"/>
  <c r="C253" i="53"/>
  <c r="AE14" i="55" s="1"/>
  <c r="C131" i="53"/>
  <c r="AA14" i="55" s="1"/>
  <c r="C96" i="53"/>
  <c r="Z10" i="55" s="1"/>
  <c r="C58" i="53"/>
  <c r="X32" i="55" s="1"/>
  <c r="C255" i="53"/>
  <c r="AE16" i="55" s="1"/>
  <c r="C153" i="53"/>
  <c r="AB6" i="55" s="1"/>
  <c r="C99" i="53"/>
  <c r="Z13" i="55" s="1"/>
  <c r="C88" i="53"/>
  <c r="Y31" i="55" s="1"/>
  <c r="AV160" i="1"/>
  <c r="C53" i="53"/>
  <c r="X27" i="55" s="1"/>
  <c r="C59" i="53"/>
  <c r="X33" i="55" s="1"/>
  <c r="C45" i="53"/>
  <c r="X19" i="55" s="1"/>
  <c r="C257" i="53"/>
  <c r="AE18" i="55" s="1"/>
  <c r="C179" i="53"/>
  <c r="AB32" i="55" s="1"/>
  <c r="C136" i="53"/>
  <c r="AA19" i="55" s="1"/>
  <c r="C126" i="53"/>
  <c r="AA9" i="55" s="1"/>
  <c r="AV313" i="1"/>
  <c r="C50" i="53"/>
  <c r="X24" i="55" s="1"/>
  <c r="AV305" i="1"/>
  <c r="C321" i="53"/>
  <c r="AG21" i="55" s="1"/>
  <c r="C297" i="53"/>
  <c r="AF27" i="55" s="1"/>
  <c r="C137" i="53"/>
  <c r="AA20" i="55" s="1"/>
  <c r="C102" i="53"/>
  <c r="Z16" i="55" s="1"/>
  <c r="C89" i="53"/>
  <c r="Z3" i="55" s="1"/>
  <c r="C328" i="53"/>
  <c r="AG28" i="55" s="1"/>
  <c r="AV321" i="1"/>
  <c r="AV299"/>
  <c r="C306" i="53"/>
  <c r="AG6" i="55" s="1"/>
  <c r="AV242" i="1"/>
  <c r="C249" i="53"/>
  <c r="AE10" i="55" s="1"/>
  <c r="AV215" i="1"/>
  <c r="C222" i="53"/>
  <c r="AD14" i="55" s="1"/>
  <c r="AV206" i="1"/>
  <c r="C213" i="53"/>
  <c r="AD5" i="55" s="1"/>
  <c r="AV158" i="1"/>
  <c r="C165" i="53"/>
  <c r="AB18" i="55" s="1"/>
  <c r="AV154" i="1"/>
  <c r="C161" i="53"/>
  <c r="AB14" i="55" s="1"/>
  <c r="AV152" i="1"/>
  <c r="C159" i="53"/>
  <c r="AB12" i="55" s="1"/>
  <c r="AV27" i="1"/>
  <c r="C34" i="53"/>
  <c r="X8" i="55" s="1"/>
  <c r="AV35" i="1"/>
  <c r="C42" i="53"/>
  <c r="X16" i="55" s="1"/>
  <c r="AV70" i="1"/>
  <c r="C77" i="53"/>
  <c r="Y20" i="55" s="1"/>
  <c r="AV272" i="1"/>
  <c r="C279" i="53"/>
  <c r="AF9" i="55" s="1"/>
  <c r="AV227" i="1"/>
  <c r="C234" i="53"/>
  <c r="AD26" i="55" s="1"/>
  <c r="AV225" i="1"/>
  <c r="C232" i="53"/>
  <c r="AD24" i="55" s="1"/>
  <c r="AV223" i="1"/>
  <c r="C230" i="53"/>
  <c r="AD22" i="55" s="1"/>
  <c r="AV221" i="1"/>
  <c r="C228" i="53"/>
  <c r="AD20" i="55" s="1"/>
  <c r="C226" i="53"/>
  <c r="AD18" i="55" s="1"/>
  <c r="AV219" i="1"/>
  <c r="AV217"/>
  <c r="C224" i="53"/>
  <c r="AD16" i="55" s="1"/>
  <c r="AV30" i="1"/>
  <c r="C37" i="53"/>
  <c r="X11" i="55" s="1"/>
  <c r="AV100" i="1"/>
  <c r="C107" i="53"/>
  <c r="Z21" i="55" s="1"/>
  <c r="AV135" i="1"/>
  <c r="C142" i="53"/>
  <c r="AA25" i="55" s="1"/>
  <c r="AV341" i="1"/>
  <c r="C348" i="53"/>
  <c r="AH17" i="55" s="1"/>
  <c r="C346" i="53"/>
  <c r="AH15" i="55" s="1"/>
  <c r="AV339" i="1"/>
  <c r="C344" i="53"/>
  <c r="AH13" i="55" s="1"/>
  <c r="AV337" i="1"/>
  <c r="C342" i="53"/>
  <c r="AH11" i="55" s="1"/>
  <c r="AV335" i="1"/>
  <c r="C340" i="53"/>
  <c r="AH9" i="55" s="1"/>
  <c r="AV333" i="1"/>
  <c r="C338" i="53"/>
  <c r="AH7" i="55" s="1"/>
  <c r="AV331" i="1"/>
  <c r="C336" i="53"/>
  <c r="AH5" i="55" s="1"/>
  <c r="AV329" i="1"/>
  <c r="C334" i="53"/>
  <c r="AH3" i="55" s="1"/>
  <c r="AV327" i="1"/>
  <c r="AY327" s="1"/>
  <c r="AW327" s="1"/>
  <c r="AZ327" s="1"/>
  <c r="Q327" s="1"/>
  <c r="C330" i="53"/>
  <c r="AG30" i="55" s="1"/>
  <c r="AV323" i="1"/>
  <c r="AY323" s="1"/>
  <c r="AW323" s="1"/>
  <c r="AZ323" s="1"/>
  <c r="Q323" s="1"/>
  <c r="AV233"/>
  <c r="C240" i="53"/>
  <c r="AD32" i="55" s="1"/>
  <c r="AV197" i="1"/>
  <c r="C204" i="53"/>
  <c r="AC26" i="55" s="1"/>
  <c r="AV191" i="1"/>
  <c r="C198" i="53"/>
  <c r="AC20" i="55" s="1"/>
  <c r="AV187" i="1"/>
  <c r="C194" i="53"/>
  <c r="AC16" i="55" s="1"/>
  <c r="AV181" i="1"/>
  <c r="C188" i="53"/>
  <c r="AC10" i="55" s="1"/>
  <c r="AV179" i="1"/>
  <c r="C186" i="53"/>
  <c r="AC8" i="55" s="1"/>
  <c r="AV177" i="1"/>
  <c r="C184" i="53"/>
  <c r="AC6" i="55" s="1"/>
  <c r="AV166" i="1"/>
  <c r="C173" i="53"/>
  <c r="AB26" i="55" s="1"/>
  <c r="AV33" i="1"/>
  <c r="C40" i="53"/>
  <c r="X14" i="55" s="1"/>
  <c r="AV57" i="1"/>
  <c r="C64" i="53"/>
  <c r="Y7" i="55" s="1"/>
  <c r="C148" i="53"/>
  <c r="AA31" i="55" s="1"/>
  <c r="AV141" i="1"/>
  <c r="AY141" s="1"/>
  <c r="AW141" s="1"/>
  <c r="AZ141" s="1"/>
  <c r="Q141" s="1"/>
  <c r="AV296"/>
  <c r="C303" i="53"/>
  <c r="AG3" i="55" s="1"/>
  <c r="C219" i="53"/>
  <c r="AD11" i="55" s="1"/>
  <c r="AV212" i="1"/>
  <c r="AV28"/>
  <c r="C35" i="53"/>
  <c r="X9" i="55" s="1"/>
  <c r="AV36" i="1"/>
  <c r="C43" i="53"/>
  <c r="X17" i="55" s="1"/>
  <c r="C326" i="53"/>
  <c r="AG26" i="55" s="1"/>
  <c r="AV319" i="1"/>
  <c r="C233" i="53"/>
  <c r="AD25" i="55" s="1"/>
  <c r="AV226" i="1"/>
  <c r="AV222"/>
  <c r="C229" i="53"/>
  <c r="AD21" i="55" s="1"/>
  <c r="C225" i="53"/>
  <c r="AD17" i="55" s="1"/>
  <c r="AV218" i="1"/>
  <c r="AV209"/>
  <c r="AY209" s="1"/>
  <c r="C216" i="53"/>
  <c r="AD8" i="55" s="1"/>
  <c r="AV163" i="1"/>
  <c r="C170" i="53"/>
  <c r="AB23" i="55" s="1"/>
  <c r="AV34" i="1"/>
  <c r="C41" i="53"/>
  <c r="X15" i="55" s="1"/>
  <c r="AV72" i="1"/>
  <c r="C79" i="53"/>
  <c r="Y22" i="55" s="1"/>
  <c r="C316" i="53"/>
  <c r="AG16" i="55" s="1"/>
  <c r="AV309" i="1"/>
  <c r="C210" i="53"/>
  <c r="AC32" i="55" s="1"/>
  <c r="AV203" i="1"/>
  <c r="C32" i="53"/>
  <c r="X6" i="55" s="1"/>
  <c r="AV25" i="1"/>
  <c r="AV60"/>
  <c r="C67" i="53"/>
  <c r="Y10" i="55" s="1"/>
  <c r="AV174" i="1"/>
  <c r="C181" i="53"/>
  <c r="AC3" i="55" s="1"/>
  <c r="AV151" i="1"/>
  <c r="C158" i="53"/>
  <c r="AB11" i="55" s="1"/>
  <c r="AV31" i="1"/>
  <c r="C38" i="53"/>
  <c r="X12" i="55" s="1"/>
  <c r="AV55" i="1"/>
  <c r="C62" i="53"/>
  <c r="Y5" i="55" s="1"/>
  <c r="AV63" i="1"/>
  <c r="C70" i="53"/>
  <c r="Y13" i="55" s="1"/>
  <c r="AV101" i="1"/>
  <c r="C108" i="53"/>
  <c r="Z22" i="55" s="1"/>
  <c r="AV139" i="1"/>
  <c r="C146" i="53"/>
  <c r="AA29" i="55" s="1"/>
  <c r="AV340" i="1"/>
  <c r="C347" i="53"/>
  <c r="AH16" i="55" s="1"/>
  <c r="C345" i="53"/>
  <c r="AH14" i="55" s="1"/>
  <c r="AV338" i="1"/>
  <c r="C343" i="53"/>
  <c r="AH12" i="55" s="1"/>
  <c r="AV336" i="1"/>
  <c r="C341" i="53"/>
  <c r="AH10" i="55" s="1"/>
  <c r="AV334" i="1"/>
  <c r="AV332"/>
  <c r="C339" i="53"/>
  <c r="AH8" i="55" s="1"/>
  <c r="C337" i="53"/>
  <c r="AH6" i="55" s="1"/>
  <c r="AV330" i="1"/>
  <c r="AV328"/>
  <c r="C335" i="53"/>
  <c r="AH4" i="55" s="1"/>
  <c r="C241" i="53"/>
  <c r="AD33" i="55" s="1"/>
  <c r="AV234" i="1"/>
  <c r="AV230"/>
  <c r="C237" i="53"/>
  <c r="AD29" i="55" s="1"/>
  <c r="AV182" i="1"/>
  <c r="C189" i="53"/>
  <c r="AC11" i="55" s="1"/>
  <c r="C151" i="53"/>
  <c r="AB4" i="55" s="1"/>
  <c r="AV144" i="1"/>
  <c r="AV29"/>
  <c r="C36" i="53"/>
  <c r="X10" i="55" s="1"/>
  <c r="AV61" i="1"/>
  <c r="C68" i="53"/>
  <c r="Y11" i="55" s="1"/>
  <c r="AV134" i="1"/>
  <c r="C141" i="53"/>
  <c r="AA24" i="55" s="1"/>
  <c r="C350" i="53"/>
  <c r="AH19" i="55" s="1"/>
  <c r="AV343" i="1"/>
  <c r="AV275"/>
  <c r="C282" i="53"/>
  <c r="AF12" i="55" s="1"/>
  <c r="AV239" i="1"/>
  <c r="C246" i="53"/>
  <c r="AE7" i="55" s="1"/>
  <c r="AV243" i="1"/>
  <c r="C250" i="53"/>
  <c r="AE11" i="55" s="1"/>
  <c r="AV344" i="1"/>
  <c r="C351" i="53"/>
  <c r="AH20" i="55" s="1"/>
  <c r="AV291" i="1"/>
  <c r="C298" i="53"/>
  <c r="AF28" i="55" s="1"/>
  <c r="C276" i="53"/>
  <c r="AF6" i="55" s="1"/>
  <c r="AV269" i="1"/>
  <c r="AV259"/>
  <c r="C266" i="53"/>
  <c r="AE27" i="55" s="1"/>
  <c r="AV240" i="1"/>
  <c r="C247" i="53"/>
  <c r="AE8" i="55" s="1"/>
  <c r="AV238" i="1"/>
  <c r="C245" i="53"/>
  <c r="AE6" i="55" s="1"/>
  <c r="AV236" i="1"/>
  <c r="C243" i="53"/>
  <c r="AE4" i="55" s="1"/>
  <c r="AV211" i="1"/>
  <c r="C218" i="53"/>
  <c r="AD10" i="55" s="1"/>
  <c r="AV202" i="1"/>
  <c r="C209" i="53"/>
  <c r="AC31" i="55" s="1"/>
  <c r="AV32" i="1"/>
  <c r="C39" i="53"/>
  <c r="X13" i="55" s="1"/>
  <c r="AV102" i="1"/>
  <c r="C109" i="53"/>
  <c r="Z23" i="55" s="1"/>
  <c r="AV297" i="1"/>
  <c r="C54" i="53"/>
  <c r="X28" i="55" s="1"/>
  <c r="AV59" i="1"/>
  <c r="C291" i="53"/>
  <c r="AF21" i="55" s="1"/>
  <c r="C128" i="53"/>
  <c r="AA11" i="55" s="1"/>
  <c r="C115" i="53"/>
  <c r="Z29" i="55" s="1"/>
  <c r="C44" i="53"/>
  <c r="X18" i="55" s="1"/>
  <c r="C33" i="53"/>
  <c r="X7" i="55" s="1"/>
  <c r="C171" i="53"/>
  <c r="AB24" i="55" s="1"/>
  <c r="C98" i="53"/>
  <c r="Z12" i="55" s="1"/>
  <c r="C75" i="53"/>
  <c r="Y18" i="55" s="1"/>
  <c r="C69" i="53"/>
  <c r="Y12" i="55" s="1"/>
  <c r="AV188" i="1"/>
  <c r="C78" i="53"/>
  <c r="Y21" i="55" s="1"/>
  <c r="AV315" i="1"/>
  <c r="AV235"/>
  <c r="C299" i="53"/>
  <c r="AF29" i="55" s="1"/>
  <c r="AW326" i="1"/>
  <c r="AZ326" s="1"/>
  <c r="Q326" s="1"/>
  <c r="C301" i="53"/>
  <c r="AF31" i="55" s="1"/>
  <c r="C271" i="53"/>
  <c r="AE32" i="55" s="1"/>
  <c r="C123" i="53"/>
  <c r="AA6" i="55" s="1"/>
  <c r="AV325" i="1"/>
  <c r="C57" i="53"/>
  <c r="X31" i="55" s="1"/>
  <c r="C51" i="53"/>
  <c r="X25" i="55" s="1"/>
  <c r="C313" i="53"/>
  <c r="AG13" i="55" s="1"/>
  <c r="C293" i="53"/>
  <c r="AF23" i="55" s="1"/>
  <c r="C248" i="53"/>
  <c r="AE9" i="55" s="1"/>
  <c r="C139" i="53"/>
  <c r="AA22" i="55" s="1"/>
  <c r="C134" i="53"/>
  <c r="AA17" i="55" s="1"/>
  <c r="C117" i="53"/>
  <c r="Z31" i="55" s="1"/>
  <c r="C110" i="53"/>
  <c r="Z24" i="55" s="1"/>
  <c r="C93" i="53"/>
  <c r="Z7" i="55" s="1"/>
  <c r="C87" i="53"/>
  <c r="Y30" i="55" s="1"/>
  <c r="C84" i="53"/>
  <c r="Y27" i="55" s="1"/>
  <c r="AV300" i="1"/>
  <c r="C236" i="53"/>
  <c r="AD28" i="55" s="1"/>
  <c r="C133" i="53"/>
  <c r="AA16" i="55" s="1"/>
  <c r="C90" i="53"/>
  <c r="Z4" i="55" s="1"/>
  <c r="C29" i="53"/>
  <c r="X3" i="55" s="1"/>
  <c r="C196" i="53"/>
  <c r="AC18" i="55" s="1"/>
  <c r="C150" i="53"/>
  <c r="AB3" i="55" s="1"/>
  <c r="C125" i="53"/>
  <c r="AA8" i="55" s="1"/>
  <c r="C120" i="53"/>
  <c r="AA3" i="55" s="1"/>
  <c r="C100" i="53"/>
  <c r="Z14" i="55" s="1"/>
  <c r="C82" i="53"/>
  <c r="Y25" i="55" s="1"/>
  <c r="C76" i="53"/>
  <c r="Y19" i="55" s="1"/>
  <c r="AV198" i="1"/>
  <c r="C103" i="53"/>
  <c r="Z17" i="55" s="1"/>
  <c r="AV289" i="1"/>
  <c r="C52" i="53"/>
  <c r="X26" i="55" s="1"/>
  <c r="C46" i="53"/>
  <c r="X20" i="55" s="1"/>
  <c r="C287" i="53"/>
  <c r="AF17" i="55" s="1"/>
  <c r="C157" i="53"/>
  <c r="AB10" i="55" s="1"/>
  <c r="C118" i="53"/>
  <c r="Z32" i="55" s="1"/>
  <c r="C112" i="53"/>
  <c r="Z26" i="55" s="1"/>
  <c r="C106" i="53"/>
  <c r="Z20" i="55" s="1"/>
  <c r="C72" i="53"/>
  <c r="Y15" i="55" s="1"/>
  <c r="C60" i="53"/>
  <c r="Y3" i="55" s="1"/>
  <c r="C601" i="52"/>
  <c r="C593"/>
  <c r="C585"/>
  <c r="C577"/>
  <c r="C569"/>
  <c r="C561"/>
  <c r="C553"/>
  <c r="C545"/>
  <c r="C537"/>
  <c r="C529"/>
  <c r="C521"/>
  <c r="C513"/>
  <c r="C505"/>
  <c r="C497"/>
  <c r="C489"/>
  <c r="C481"/>
  <c r="C473"/>
  <c r="C465"/>
  <c r="C457"/>
  <c r="C449"/>
  <c r="C441"/>
  <c r="C433"/>
  <c r="C425"/>
  <c r="C417"/>
  <c r="C409"/>
  <c r="C401"/>
  <c r="C393"/>
  <c r="C385"/>
  <c r="C377"/>
  <c r="C369"/>
  <c r="C361"/>
  <c r="C353"/>
  <c r="C345"/>
  <c r="C337"/>
  <c r="C329"/>
  <c r="C321"/>
  <c r="C313"/>
  <c r="C305"/>
  <c r="C297"/>
  <c r="C289"/>
  <c r="C281"/>
  <c r="C273"/>
  <c r="C265"/>
  <c r="C257"/>
  <c r="C249"/>
  <c r="C241"/>
  <c r="C233"/>
  <c r="C225"/>
  <c r="C217"/>
  <c r="C209"/>
  <c r="C201"/>
  <c r="C193"/>
  <c r="C185"/>
  <c r="C177"/>
  <c r="C169"/>
  <c r="C161"/>
  <c r="C153"/>
  <c r="C145"/>
  <c r="C137"/>
  <c r="C129"/>
  <c r="C121"/>
  <c r="C113"/>
  <c r="C105"/>
  <c r="C97"/>
  <c r="C89"/>
  <c r="C81"/>
  <c r="C73"/>
  <c r="C65"/>
  <c r="C57"/>
  <c r="C49"/>
  <c r="C41"/>
  <c r="C25"/>
  <c r="C33"/>
  <c r="C596"/>
  <c r="C580"/>
  <c r="C564"/>
  <c r="C548"/>
  <c r="C532"/>
  <c r="C516"/>
  <c r="C508"/>
  <c r="C492"/>
  <c r="C468"/>
  <c r="C452"/>
  <c r="C436"/>
  <c r="C420"/>
  <c r="C412"/>
  <c r="C388"/>
  <c r="C372"/>
  <c r="C356"/>
  <c r="C348"/>
  <c r="C332"/>
  <c r="C316"/>
  <c r="C292"/>
  <c r="C588"/>
  <c r="C572"/>
  <c r="C556"/>
  <c r="C540"/>
  <c r="C524"/>
  <c r="C500"/>
  <c r="C484"/>
  <c r="C476"/>
  <c r="C460"/>
  <c r="C444"/>
  <c r="C428"/>
  <c r="C404"/>
  <c r="C396"/>
  <c r="C380"/>
  <c r="C364"/>
  <c r="C340"/>
  <c r="C324"/>
  <c r="C308"/>
  <c r="C300"/>
  <c r="BL505" i="1"/>
  <c r="BI505"/>
  <c r="BJ505" s="1"/>
  <c r="BM505"/>
  <c r="BL344"/>
  <c r="BI344"/>
  <c r="BM344"/>
  <c r="BL194"/>
  <c r="BI194"/>
  <c r="BJ194" s="1"/>
  <c r="BM194"/>
  <c r="BM189"/>
  <c r="BI189"/>
  <c r="BJ189" s="1"/>
  <c r="BL189"/>
  <c r="BI102"/>
  <c r="BJ102" s="1"/>
  <c r="BM102"/>
  <c r="BL102"/>
  <c r="BI87"/>
  <c r="BJ87" s="1"/>
  <c r="BM87"/>
  <c r="BL87"/>
  <c r="BH83"/>
  <c r="BM83"/>
  <c r="H5" i="6"/>
  <c r="H17"/>
  <c r="H16"/>
  <c r="H4"/>
  <c r="G311" i="7"/>
  <c r="G327"/>
  <c r="F342"/>
  <c r="F358"/>
  <c r="G314"/>
  <c r="G330"/>
  <c r="F347"/>
  <c r="F363"/>
  <c r="G323"/>
  <c r="F340"/>
  <c r="F360"/>
  <c r="G318"/>
  <c r="G336"/>
  <c r="F355"/>
  <c r="G321"/>
  <c r="G339"/>
  <c r="F356"/>
  <c r="G316"/>
  <c r="G334"/>
  <c r="F353"/>
  <c r="G319"/>
  <c r="G337"/>
  <c r="F354"/>
  <c r="G312"/>
  <c r="G332"/>
  <c r="F351"/>
  <c r="F369"/>
  <c r="G313"/>
  <c r="G331"/>
  <c r="F348"/>
  <c r="F366"/>
  <c r="G324"/>
  <c r="F343"/>
  <c r="F361"/>
  <c r="G325"/>
  <c r="F362"/>
  <c r="G338"/>
  <c r="G317"/>
  <c r="F352"/>
  <c r="G328"/>
  <c r="F367"/>
  <c r="G315"/>
  <c r="F350"/>
  <c r="G326"/>
  <c r="F365"/>
  <c r="G335"/>
  <c r="G310"/>
  <c r="F349"/>
  <c r="F344"/>
  <c r="F357"/>
  <c r="G333"/>
  <c r="F345"/>
  <c r="G329"/>
  <c r="F341"/>
  <c r="F368"/>
  <c r="G287"/>
  <c r="G303"/>
  <c r="F328"/>
  <c r="F338"/>
  <c r="G294"/>
  <c r="G281"/>
  <c r="G299"/>
  <c r="F316"/>
  <c r="G282"/>
  <c r="G300"/>
  <c r="G279"/>
  <c r="G297"/>
  <c r="F314"/>
  <c r="F326"/>
  <c r="G280"/>
  <c r="G298"/>
  <c r="F311"/>
  <c r="F319"/>
  <c r="F327"/>
  <c r="F335"/>
  <c r="G295"/>
  <c r="G296"/>
  <c r="G289"/>
  <c r="G307"/>
  <c r="G288"/>
  <c r="G306"/>
  <c r="F315"/>
  <c r="F323"/>
  <c r="F331"/>
  <c r="F339"/>
  <c r="G283"/>
  <c r="F318"/>
  <c r="G284"/>
  <c r="F313"/>
  <c r="F329"/>
  <c r="F312"/>
  <c r="F336"/>
  <c r="F309"/>
  <c r="F325"/>
  <c r="F310"/>
  <c r="F334"/>
  <c r="G308"/>
  <c r="G293"/>
  <c r="F324"/>
  <c r="G292"/>
  <c r="F317"/>
  <c r="F333"/>
  <c r="F330"/>
  <c r="F321"/>
  <c r="F322"/>
  <c r="F320"/>
  <c r="G291"/>
  <c r="G290"/>
  <c r="G249"/>
  <c r="G265"/>
  <c r="F282"/>
  <c r="F292"/>
  <c r="G254"/>
  <c r="G270"/>
  <c r="G263"/>
  <c r="F280"/>
  <c r="F302"/>
  <c r="G252"/>
  <c r="G268"/>
  <c r="F281"/>
  <c r="F289"/>
  <c r="F297"/>
  <c r="F305"/>
  <c r="G261"/>
  <c r="G277"/>
  <c r="F290"/>
  <c r="F300"/>
  <c r="G250"/>
  <c r="G266"/>
  <c r="G255"/>
  <c r="G271"/>
  <c r="F286"/>
  <c r="F296"/>
  <c r="G260"/>
  <c r="G276"/>
  <c r="F285"/>
  <c r="F293"/>
  <c r="F301"/>
  <c r="G275"/>
  <c r="G264"/>
  <c r="F287"/>
  <c r="F303"/>
  <c r="G273"/>
  <c r="F298"/>
  <c r="G262"/>
  <c r="G269"/>
  <c r="G258"/>
  <c r="G257"/>
  <c r="F308"/>
  <c r="G278"/>
  <c r="G259"/>
  <c r="G248"/>
  <c r="F295"/>
  <c r="G253"/>
  <c r="F306"/>
  <c r="G251"/>
  <c r="F304"/>
  <c r="F291"/>
  <c r="F284"/>
  <c r="G274"/>
  <c r="G169"/>
  <c r="G185"/>
  <c r="F198"/>
  <c r="F208"/>
  <c r="G160"/>
  <c r="G176"/>
  <c r="F189"/>
  <c r="F197"/>
  <c r="F205"/>
  <c r="F213"/>
  <c r="G167"/>
  <c r="G183"/>
  <c r="F196"/>
  <c r="G158"/>
  <c r="G174"/>
  <c r="G165"/>
  <c r="G181"/>
  <c r="F206"/>
  <c r="F216"/>
  <c r="G172"/>
  <c r="F187"/>
  <c r="F195"/>
  <c r="F203"/>
  <c r="F211"/>
  <c r="G159"/>
  <c r="G175"/>
  <c r="F202"/>
  <c r="F212"/>
  <c r="G166"/>
  <c r="G182"/>
  <c r="G171"/>
  <c r="G162"/>
  <c r="G163"/>
  <c r="F194"/>
  <c r="G186"/>
  <c r="G161"/>
  <c r="F192"/>
  <c r="F214"/>
  <c r="G184"/>
  <c r="F201"/>
  <c r="F217"/>
  <c r="G179"/>
  <c r="F204"/>
  <c r="G170"/>
  <c r="F190"/>
  <c r="G180"/>
  <c r="F215"/>
  <c r="F188"/>
  <c r="G178"/>
  <c r="G177"/>
  <c r="G168"/>
  <c r="F209"/>
  <c r="F210"/>
  <c r="BI117" i="1"/>
  <c r="BJ117" s="1"/>
  <c r="BL117"/>
  <c r="BM117"/>
  <c r="I443" i="7"/>
  <c r="I459"/>
  <c r="I444"/>
  <c r="I460"/>
  <c r="I435"/>
  <c r="I451"/>
  <c r="I436"/>
  <c r="I452"/>
  <c r="I439"/>
  <c r="I430"/>
  <c r="I450"/>
  <c r="I437"/>
  <c r="I457"/>
  <c r="I448"/>
  <c r="I433"/>
  <c r="I455"/>
  <c r="I446"/>
  <c r="I447"/>
  <c r="I438"/>
  <c r="I458"/>
  <c r="BI493" i="1"/>
  <c r="BJ493" s="1"/>
  <c r="BL493"/>
  <c r="BM493"/>
  <c r="BL482"/>
  <c r="BI482"/>
  <c r="BJ482" s="1"/>
  <c r="BM482"/>
  <c r="BL478"/>
  <c r="BI478"/>
  <c r="BJ478" s="1"/>
  <c r="BM478"/>
  <c r="BI475"/>
  <c r="BJ475" s="1"/>
  <c r="BL475"/>
  <c r="BM475"/>
  <c r="BI440"/>
  <c r="BJ440" s="1"/>
  <c r="BL440"/>
  <c r="BM440"/>
  <c r="BM436"/>
  <c r="BL436"/>
  <c r="BI436"/>
  <c r="BJ436" s="1"/>
  <c r="BI225"/>
  <c r="BJ225" s="1"/>
  <c r="BM225"/>
  <c r="BL225"/>
  <c r="BL377"/>
  <c r="BH377"/>
  <c r="BH363"/>
  <c r="BM363"/>
  <c r="BH355"/>
  <c r="BJ355" s="1"/>
  <c r="BM355"/>
  <c r="BL355"/>
  <c r="BH267"/>
  <c r="BJ267" s="1"/>
  <c r="BL267"/>
  <c r="BI174"/>
  <c r="BJ174" s="1"/>
  <c r="BL174"/>
  <c r="BM174"/>
  <c r="BI145"/>
  <c r="BJ145" s="1"/>
  <c r="BL145"/>
  <c r="BM145"/>
  <c r="BH103"/>
  <c r="BJ103" s="1"/>
  <c r="BM103"/>
  <c r="BH70"/>
  <c r="BJ70" s="1"/>
  <c r="BL70"/>
  <c r="BL575"/>
  <c r="BI575"/>
  <c r="BM575"/>
  <c r="BM128"/>
  <c r="BI128"/>
  <c r="BJ128" s="1"/>
  <c r="BL128"/>
  <c r="BM106"/>
  <c r="BI106"/>
  <c r="BJ106" s="1"/>
  <c r="BL106"/>
  <c r="G109" i="7"/>
  <c r="G125"/>
  <c r="G110"/>
  <c r="F127"/>
  <c r="F149"/>
  <c r="G107"/>
  <c r="G123"/>
  <c r="F132"/>
  <c r="F140"/>
  <c r="F148"/>
  <c r="F156"/>
  <c r="G108"/>
  <c r="G124"/>
  <c r="F137"/>
  <c r="F147"/>
  <c r="G105"/>
  <c r="G121"/>
  <c r="G106"/>
  <c r="G122"/>
  <c r="F135"/>
  <c r="G99"/>
  <c r="G115"/>
  <c r="F128"/>
  <c r="F136"/>
  <c r="F144"/>
  <c r="F152"/>
  <c r="G100"/>
  <c r="G116"/>
  <c r="F131"/>
  <c r="F153"/>
  <c r="G69"/>
  <c r="G85"/>
  <c r="F100"/>
  <c r="F116"/>
  <c r="G72"/>
  <c r="G88"/>
  <c r="F105"/>
  <c r="F121"/>
  <c r="G67"/>
  <c r="G83"/>
  <c r="F98"/>
  <c r="F114"/>
  <c r="G70"/>
  <c r="G86"/>
  <c r="F103"/>
  <c r="F119"/>
  <c r="G65"/>
  <c r="G81"/>
  <c r="F96"/>
  <c r="F112"/>
  <c r="G68"/>
  <c r="G84"/>
  <c r="F101"/>
  <c r="F117"/>
  <c r="G75"/>
  <c r="G91"/>
  <c r="F106"/>
  <c r="F122"/>
  <c r="G78"/>
  <c r="G94"/>
  <c r="F111"/>
  <c r="BL552" i="1"/>
  <c r="BN552" s="1"/>
  <c r="BI552"/>
  <c r="BJ552" s="1"/>
  <c r="BH547"/>
  <c r="BJ547" s="1"/>
  <c r="BM547"/>
  <c r="BL543"/>
  <c r="BI543"/>
  <c r="BJ543" s="1"/>
  <c r="BM543"/>
  <c r="BL474"/>
  <c r="BI474"/>
  <c r="BJ474" s="1"/>
  <c r="BM474"/>
  <c r="G411" i="7"/>
  <c r="G429"/>
  <c r="G412"/>
  <c r="G426"/>
  <c r="F437"/>
  <c r="F445"/>
  <c r="F453"/>
  <c r="BI582" i="1"/>
  <c r="BJ582" s="1"/>
  <c r="BM582"/>
  <c r="BL582"/>
  <c r="BI503"/>
  <c r="BJ503" s="1"/>
  <c r="BL503"/>
  <c r="BN503" s="1"/>
  <c r="BI427"/>
  <c r="BJ427" s="1"/>
  <c r="BM427"/>
  <c r="BL427"/>
  <c r="BH425"/>
  <c r="BJ425" s="1"/>
  <c r="BL425"/>
  <c r="BM425"/>
  <c r="BH399"/>
  <c r="BL399"/>
  <c r="BI397"/>
  <c r="BM397"/>
  <c r="BL397"/>
  <c r="BM396"/>
  <c r="BL396"/>
  <c r="BI396"/>
  <c r="BJ396" s="1"/>
  <c r="G229" i="7"/>
  <c r="G245"/>
  <c r="F254"/>
  <c r="F262"/>
  <c r="F270"/>
  <c r="F278"/>
  <c r="G230"/>
  <c r="G246"/>
  <c r="F259"/>
  <c r="F269"/>
  <c r="G227"/>
  <c r="G243"/>
  <c r="G228"/>
  <c r="G244"/>
  <c r="F257"/>
  <c r="G225"/>
  <c r="G241"/>
  <c r="F252"/>
  <c r="F260"/>
  <c r="F268"/>
  <c r="F276"/>
  <c r="G226"/>
  <c r="G242"/>
  <c r="F267"/>
  <c r="F277"/>
  <c r="G219"/>
  <c r="G235"/>
  <c r="G220"/>
  <c r="G236"/>
  <c r="F263"/>
  <c r="F273"/>
  <c r="G193"/>
  <c r="G209"/>
  <c r="F224"/>
  <c r="F240"/>
  <c r="G196"/>
  <c r="G212"/>
  <c r="F229"/>
  <c r="F245"/>
  <c r="G191"/>
  <c r="G207"/>
  <c r="F222"/>
  <c r="F238"/>
  <c r="G194"/>
  <c r="G210"/>
  <c r="F227"/>
  <c r="F243"/>
  <c r="G189"/>
  <c r="G205"/>
  <c r="F220"/>
  <c r="F236"/>
  <c r="G192"/>
  <c r="G208"/>
  <c r="F225"/>
  <c r="F241"/>
  <c r="G199"/>
  <c r="G215"/>
  <c r="F230"/>
  <c r="F246"/>
  <c r="G202"/>
  <c r="F219"/>
  <c r="F235"/>
  <c r="BL514" i="1"/>
  <c r="BM514"/>
  <c r="BL506"/>
  <c r="BI506"/>
  <c r="BJ506" s="1"/>
  <c r="BM506"/>
  <c r="BL473"/>
  <c r="BM473"/>
  <c r="BI473"/>
  <c r="BJ473" s="1"/>
  <c r="BM424"/>
  <c r="BL424"/>
  <c r="BH424"/>
  <c r="BJ424" s="1"/>
  <c r="BM379"/>
  <c r="BL379"/>
  <c r="BI379"/>
  <c r="BJ379" s="1"/>
  <c r="BH258"/>
  <c r="BM258"/>
  <c r="BN65"/>
  <c r="BN118"/>
  <c r="BJ513"/>
  <c r="BH286"/>
  <c r="BL286"/>
  <c r="BI249"/>
  <c r="BJ249" s="1"/>
  <c r="BM249"/>
  <c r="BL249"/>
  <c r="BH240"/>
  <c r="BM240"/>
  <c r="BL220"/>
  <c r="BM220"/>
  <c r="BI220"/>
  <c r="BJ220" s="1"/>
  <c r="BL211"/>
  <c r="BM211"/>
  <c r="BI211"/>
  <c r="BJ211" s="1"/>
  <c r="BH183"/>
  <c r="BJ183" s="1"/>
  <c r="BL183"/>
  <c r="BM183"/>
  <c r="BI173"/>
  <c r="BJ173" s="1"/>
  <c r="BL173"/>
  <c r="BM173"/>
  <c r="BL149"/>
  <c r="BH149"/>
  <c r="BJ149" s="1"/>
  <c r="BM149"/>
  <c r="BI78"/>
  <c r="BM78"/>
  <c r="BL78"/>
  <c r="BH63"/>
  <c r="BJ63" s="1"/>
  <c r="BL63"/>
  <c r="BN63" s="1"/>
  <c r="BJ580"/>
  <c r="BI307"/>
  <c r="BJ307" s="1"/>
  <c r="BM307"/>
  <c r="BL307"/>
  <c r="BI264"/>
  <c r="BJ264" s="1"/>
  <c r="BM264"/>
  <c r="BL264"/>
  <c r="BH259"/>
  <c r="BJ259" s="1"/>
  <c r="BL259"/>
  <c r="BH140"/>
  <c r="BJ140" s="1"/>
  <c r="BL140"/>
  <c r="BN140" s="1"/>
  <c r="BI135"/>
  <c r="BJ135" s="1"/>
  <c r="BL135"/>
  <c r="BN135" s="1"/>
  <c r="BN104"/>
  <c r="BI532"/>
  <c r="BJ532" s="1"/>
  <c r="BL532"/>
  <c r="BM532"/>
  <c r="BL523"/>
  <c r="BM523"/>
  <c r="BI523"/>
  <c r="BJ523" s="1"/>
  <c r="BL497"/>
  <c r="BI497"/>
  <c r="BJ497" s="1"/>
  <c r="BM497"/>
  <c r="BM454"/>
  <c r="BL454"/>
  <c r="BI454"/>
  <c r="BJ454" s="1"/>
  <c r="BH453"/>
  <c r="BJ453" s="1"/>
  <c r="BL453"/>
  <c r="BM453"/>
  <c r="BM431"/>
  <c r="BI431"/>
  <c r="BJ431" s="1"/>
  <c r="BL431"/>
  <c r="BH412"/>
  <c r="BM412"/>
  <c r="BI257"/>
  <c r="BJ257" s="1"/>
  <c r="BM257"/>
  <c r="BL257"/>
  <c r="BN206"/>
  <c r="BN168"/>
  <c r="BI542"/>
  <c r="BJ542" s="1"/>
  <c r="BL542"/>
  <c r="BN542" s="1"/>
  <c r="BL541"/>
  <c r="BN541" s="1"/>
  <c r="BH541"/>
  <c r="BJ541" s="1"/>
  <c r="BI538"/>
  <c r="BJ538" s="1"/>
  <c r="BL538"/>
  <c r="BL502"/>
  <c r="BN502" s="1"/>
  <c r="BI502"/>
  <c r="BJ502" s="1"/>
  <c r="BI483"/>
  <c r="BJ483" s="1"/>
  <c r="BL483"/>
  <c r="BM483"/>
  <c r="BM452"/>
  <c r="BH452"/>
  <c r="BJ452" s="1"/>
  <c r="BH448"/>
  <c r="BJ448" s="1"/>
  <c r="BM448"/>
  <c r="BH400"/>
  <c r="BJ400" s="1"/>
  <c r="BL400"/>
  <c r="BM400"/>
  <c r="BM385"/>
  <c r="BL385"/>
  <c r="BI383"/>
  <c r="BJ383" s="1"/>
  <c r="BM383"/>
  <c r="BN383" s="1"/>
  <c r="BH295"/>
  <c r="BJ295" s="1"/>
  <c r="BL295"/>
  <c r="BI293"/>
  <c r="BJ293" s="1"/>
  <c r="BL293"/>
  <c r="BM293"/>
  <c r="BI266"/>
  <c r="BJ266" s="1"/>
  <c r="BL266"/>
  <c r="BM266"/>
  <c r="BL45"/>
  <c r="BN45" s="1"/>
  <c r="BI45"/>
  <c r="BJ45" s="1"/>
  <c r="BN79"/>
  <c r="BN558"/>
  <c r="BN68"/>
  <c r="BJ593"/>
  <c r="BJ574"/>
  <c r="BJ449"/>
  <c r="BJ208"/>
  <c r="BL501"/>
  <c r="BI501"/>
  <c r="BJ501" s="1"/>
  <c r="BM501"/>
  <c r="BH491"/>
  <c r="BJ491" s="1"/>
  <c r="BM491"/>
  <c r="BN491" s="1"/>
  <c r="BI479"/>
  <c r="BJ479" s="1"/>
  <c r="BL479"/>
  <c r="BN479" s="1"/>
  <c r="BI450"/>
  <c r="BJ450" s="1"/>
  <c r="BL450"/>
  <c r="BM450"/>
  <c r="BM447"/>
  <c r="BL447"/>
  <c r="BM444"/>
  <c r="BI444"/>
  <c r="BJ444" s="1"/>
  <c r="BL444"/>
  <c r="BL382"/>
  <c r="BM382"/>
  <c r="BI382"/>
  <c r="BJ382" s="1"/>
  <c r="BM278"/>
  <c r="BL278"/>
  <c r="BI278"/>
  <c r="BH235"/>
  <c r="BJ235" s="1"/>
  <c r="BM235"/>
  <c r="BJ178"/>
  <c r="BL531"/>
  <c r="BM531"/>
  <c r="BI531"/>
  <c r="BJ531" s="1"/>
  <c r="BH519"/>
  <c r="BM519"/>
  <c r="BH515"/>
  <c r="BM515"/>
  <c r="BI471"/>
  <c r="BJ471" s="1"/>
  <c r="BL471"/>
  <c r="BN471" s="1"/>
  <c r="BL465"/>
  <c r="BI465"/>
  <c r="BJ465" s="1"/>
  <c r="BM465"/>
  <c r="BH463"/>
  <c r="BJ463" s="1"/>
  <c r="BL463"/>
  <c r="BN463" s="1"/>
  <c r="BH417"/>
  <c r="BM417"/>
  <c r="BH255"/>
  <c r="BJ255" s="1"/>
  <c r="BM255"/>
  <c r="BL246"/>
  <c r="BI246"/>
  <c r="BJ246" s="1"/>
  <c r="BM246"/>
  <c r="BM243"/>
  <c r="BL243"/>
  <c r="BI243"/>
  <c r="BJ243" s="1"/>
  <c r="BL214"/>
  <c r="BM214"/>
  <c r="BI214"/>
  <c r="BJ214" s="1"/>
  <c r="BH51"/>
  <c r="BJ51" s="1"/>
  <c r="BM51"/>
  <c r="BN48"/>
  <c r="BN111"/>
  <c r="BM377"/>
  <c r="BI576"/>
  <c r="BJ576" s="1"/>
  <c r="BM576"/>
  <c r="BN576" s="1"/>
  <c r="BH354"/>
  <c r="BM354"/>
  <c r="BL346"/>
  <c r="BI346"/>
  <c r="BJ346" s="1"/>
  <c r="BM346"/>
  <c r="BH306"/>
  <c r="BL306"/>
  <c r="BM279"/>
  <c r="BH279"/>
  <c r="BI273"/>
  <c r="BM273"/>
  <c r="BN273" s="1"/>
  <c r="BH236"/>
  <c r="BM236"/>
  <c r="BN236" s="1"/>
  <c r="BL151"/>
  <c r="BI151"/>
  <c r="BJ151" s="1"/>
  <c r="BM151"/>
  <c r="BN151" s="1"/>
  <c r="BH116"/>
  <c r="BJ116" s="1"/>
  <c r="BM116"/>
  <c r="BL116"/>
  <c r="BI113"/>
  <c r="BJ113" s="1"/>
  <c r="BL113"/>
  <c r="BN113" s="1"/>
  <c r="AV186"/>
  <c r="C193" i="53"/>
  <c r="AC15" i="55" s="1"/>
  <c r="BJ579" i="1"/>
  <c r="BN50"/>
  <c r="BH566"/>
  <c r="BJ566" s="1"/>
  <c r="BL566"/>
  <c r="BN566" s="1"/>
  <c r="BL537"/>
  <c r="BN537" s="1"/>
  <c r="BI537"/>
  <c r="BJ537" s="1"/>
  <c r="BI515"/>
  <c r="BL515"/>
  <c r="BI511"/>
  <c r="BJ511" s="1"/>
  <c r="BL511"/>
  <c r="BN511" s="1"/>
  <c r="BI507"/>
  <c r="BJ507" s="1"/>
  <c r="BL507"/>
  <c r="BN507" s="1"/>
  <c r="BL470"/>
  <c r="BN470" s="1"/>
  <c r="BI470"/>
  <c r="BJ470" s="1"/>
  <c r="BM462"/>
  <c r="BL462"/>
  <c r="BI462"/>
  <c r="BJ462" s="1"/>
  <c r="BM439"/>
  <c r="BL439"/>
  <c r="BI347"/>
  <c r="BJ347" s="1"/>
  <c r="BL347"/>
  <c r="BN347" s="1"/>
  <c r="BH288"/>
  <c r="BJ288" s="1"/>
  <c r="BM288"/>
  <c r="BL277"/>
  <c r="BM277"/>
  <c r="BN277" s="1"/>
  <c r="BH251"/>
  <c r="BJ251" s="1"/>
  <c r="BM251"/>
  <c r="BI226"/>
  <c r="BJ226" s="1"/>
  <c r="BM226"/>
  <c r="BN226" s="1"/>
  <c r="BL186"/>
  <c r="BN186" s="1"/>
  <c r="BI186"/>
  <c r="BJ186" s="1"/>
  <c r="BL133"/>
  <c r="BN133" s="1"/>
  <c r="BI133"/>
  <c r="BM88"/>
  <c r="BN88" s="1"/>
  <c r="BI88"/>
  <c r="BJ88" s="1"/>
  <c r="BI35"/>
  <c r="BJ35" s="1"/>
  <c r="BM35"/>
  <c r="BN35" s="1"/>
  <c r="BJ514"/>
  <c r="BH460"/>
  <c r="BJ460" s="1"/>
  <c r="BM459"/>
  <c r="BJ441"/>
  <c r="BJ434"/>
  <c r="BJ376"/>
  <c r="BL374"/>
  <c r="BM274"/>
  <c r="BJ273"/>
  <c r="BI262"/>
  <c r="BJ262" s="1"/>
  <c r="BJ69"/>
  <c r="BL565"/>
  <c r="BN565" s="1"/>
  <c r="BI565"/>
  <c r="BJ565" s="1"/>
  <c r="BI560"/>
  <c r="BJ560" s="1"/>
  <c r="BL560"/>
  <c r="BN560" s="1"/>
  <c r="BH544"/>
  <c r="BJ544" s="1"/>
  <c r="BL544"/>
  <c r="BN544" s="1"/>
  <c r="BH420"/>
  <c r="BJ420" s="1"/>
  <c r="BL420"/>
  <c r="BM420"/>
  <c r="BH405"/>
  <c r="BM405"/>
  <c r="BI395"/>
  <c r="BJ395" s="1"/>
  <c r="BL395"/>
  <c r="BH369"/>
  <c r="BJ369" s="1"/>
  <c r="BL369"/>
  <c r="BM369"/>
  <c r="BI360"/>
  <c r="BJ360" s="1"/>
  <c r="BL360"/>
  <c r="BN360" s="1"/>
  <c r="BM359"/>
  <c r="BL359"/>
  <c r="BM341"/>
  <c r="BN341" s="1"/>
  <c r="BI341"/>
  <c r="BJ341" s="1"/>
  <c r="BI323"/>
  <c r="BJ323" s="1"/>
  <c r="BL323"/>
  <c r="BM323"/>
  <c r="BH308"/>
  <c r="BJ308" s="1"/>
  <c r="BM308"/>
  <c r="BI242"/>
  <c r="BJ242" s="1"/>
  <c r="BM242"/>
  <c r="BL242"/>
  <c r="BM176"/>
  <c r="BN176" s="1"/>
  <c r="BI176"/>
  <c r="BJ176" s="1"/>
  <c r="BI162"/>
  <c r="BJ162" s="1"/>
  <c r="BM162"/>
  <c r="BN162" s="1"/>
  <c r="BM49"/>
  <c r="BN49" s="1"/>
  <c r="BI49"/>
  <c r="BJ49" s="1"/>
  <c r="AV173"/>
  <c r="C180" i="53"/>
  <c r="AB33" i="55" s="1"/>
  <c r="BJ394" i="1"/>
  <c r="BJ336"/>
  <c r="BL279"/>
  <c r="BJ210"/>
  <c r="BJ91"/>
  <c r="BI595"/>
  <c r="BJ595" s="1"/>
  <c r="BM595"/>
  <c r="BL595"/>
  <c r="BI564"/>
  <c r="BJ564" s="1"/>
  <c r="BL564"/>
  <c r="BN564" s="1"/>
  <c r="BI402"/>
  <c r="BJ402" s="1"/>
  <c r="BL402"/>
  <c r="BN402" s="1"/>
  <c r="BM394"/>
  <c r="BL394"/>
  <c r="BI388"/>
  <c r="BJ388" s="1"/>
  <c r="BL388"/>
  <c r="BM388"/>
  <c r="BH386"/>
  <c r="BM386"/>
  <c r="BN386" s="1"/>
  <c r="BI366"/>
  <c r="BJ366" s="1"/>
  <c r="BM366"/>
  <c r="BI352"/>
  <c r="BJ352" s="1"/>
  <c r="BL352"/>
  <c r="BN352" s="1"/>
  <c r="BL340"/>
  <c r="BM340"/>
  <c r="BI340"/>
  <c r="BJ340" s="1"/>
  <c r="BM337"/>
  <c r="BL337"/>
  <c r="BI333"/>
  <c r="BJ333" s="1"/>
  <c r="BL333"/>
  <c r="BN333" s="1"/>
  <c r="BM327"/>
  <c r="BL327"/>
  <c r="BL322"/>
  <c r="BM322"/>
  <c r="BI322"/>
  <c r="BJ322" s="1"/>
  <c r="BI300"/>
  <c r="BJ300" s="1"/>
  <c r="BL300"/>
  <c r="BN300" s="1"/>
  <c r="BI287"/>
  <c r="BJ287" s="1"/>
  <c r="BM287"/>
  <c r="BN287" s="1"/>
  <c r="BI250"/>
  <c r="BJ250" s="1"/>
  <c r="BM250"/>
  <c r="BN250" s="1"/>
  <c r="BI219"/>
  <c r="BJ219" s="1"/>
  <c r="BM219"/>
  <c r="BL219"/>
  <c r="AV283"/>
  <c r="C290" i="53"/>
  <c r="AF20" i="55" s="1"/>
  <c r="BJ594" i="1"/>
  <c r="BM395"/>
  <c r="BJ332"/>
  <c r="BJ321"/>
  <c r="BJ305"/>
  <c r="BI171"/>
  <c r="BJ171" s="1"/>
  <c r="BJ168"/>
  <c r="BJ101"/>
  <c r="BJ97"/>
  <c r="BJ67"/>
  <c r="BI37"/>
  <c r="BJ37" s="1"/>
  <c r="BL598"/>
  <c r="BN598" s="1"/>
  <c r="BI598"/>
  <c r="BJ598" s="1"/>
  <c r="BL559"/>
  <c r="BN559" s="1"/>
  <c r="BI559"/>
  <c r="BJ559" s="1"/>
  <c r="BI554"/>
  <c r="BJ554" s="1"/>
  <c r="BL554"/>
  <c r="BN554" s="1"/>
  <c r="BL461"/>
  <c r="BM461"/>
  <c r="BI455"/>
  <c r="BJ455" s="1"/>
  <c r="BL455"/>
  <c r="BM455"/>
  <c r="BI390"/>
  <c r="BJ390" s="1"/>
  <c r="BL390"/>
  <c r="BM387"/>
  <c r="BL387"/>
  <c r="BI387"/>
  <c r="BJ387" s="1"/>
  <c r="BL332"/>
  <c r="BM332"/>
  <c r="BI294"/>
  <c r="BJ294" s="1"/>
  <c r="BM294"/>
  <c r="BN294" s="1"/>
  <c r="BI213"/>
  <c r="BJ213" s="1"/>
  <c r="BL213"/>
  <c r="BM213"/>
  <c r="BM197"/>
  <c r="BN197" s="1"/>
  <c r="BI197"/>
  <c r="BJ197" s="1"/>
  <c r="BH85"/>
  <c r="BJ85" s="1"/>
  <c r="BL85"/>
  <c r="BN85" s="1"/>
  <c r="BM66"/>
  <c r="BN66" s="1"/>
  <c r="BI66"/>
  <c r="BJ66" s="1"/>
  <c r="C319" i="53"/>
  <c r="AG19" i="55" s="1"/>
  <c r="AV312" i="1"/>
  <c r="AV302"/>
  <c r="C309" i="53"/>
  <c r="AG9" i="55" s="1"/>
  <c r="AV162" i="1"/>
  <c r="C169" i="53"/>
  <c r="AB22" i="55" s="1"/>
  <c r="BJ385" i="1"/>
  <c r="BJ381"/>
  <c r="BJ378"/>
  <c r="BJ167"/>
  <c r="BJ152"/>
  <c r="BJ139"/>
  <c r="BI519"/>
  <c r="BL519"/>
  <c r="BH458"/>
  <c r="BM458"/>
  <c r="BN458" s="1"/>
  <c r="BI432"/>
  <c r="BJ432" s="1"/>
  <c r="BL432"/>
  <c r="BN432" s="1"/>
  <c r="BH415"/>
  <c r="BJ415" s="1"/>
  <c r="BL415"/>
  <c r="BM415"/>
  <c r="BH318"/>
  <c r="BJ318" s="1"/>
  <c r="BL318"/>
  <c r="BL305"/>
  <c r="BM305"/>
  <c r="BH302"/>
  <c r="BJ302" s="1"/>
  <c r="BM302"/>
  <c r="BL285"/>
  <c r="BM285"/>
  <c r="BH275"/>
  <c r="BJ275" s="1"/>
  <c r="BL275"/>
  <c r="BI258"/>
  <c r="BL258"/>
  <c r="BM254"/>
  <c r="BL254"/>
  <c r="BL44"/>
  <c r="BN44" s="1"/>
  <c r="BI44"/>
  <c r="BJ44" s="1"/>
  <c r="AV303"/>
  <c r="C310" i="53"/>
  <c r="AG10" i="55" s="1"/>
  <c r="AV279" i="1"/>
  <c r="C286" i="53"/>
  <c r="AF16" i="55" s="1"/>
  <c r="C270" i="53"/>
  <c r="AE31" i="55" s="1"/>
  <c r="AV263" i="1"/>
  <c r="C265" i="53"/>
  <c r="AE26" i="55" s="1"/>
  <c r="AV258" i="1"/>
  <c r="C276" i="52"/>
  <c r="C212"/>
  <c r="C148"/>
  <c r="C84"/>
  <c r="BL569" i="1"/>
  <c r="BN569" s="1"/>
  <c r="BL547"/>
  <c r="BL486"/>
  <c r="BN486" s="1"/>
  <c r="BL368"/>
  <c r="BM335"/>
  <c r="BN335" s="1"/>
  <c r="BJ278"/>
  <c r="BL251"/>
  <c r="BJ130"/>
  <c r="BJ115"/>
  <c r="BI591"/>
  <c r="BJ591" s="1"/>
  <c r="BM591"/>
  <c r="BN591" s="1"/>
  <c r="BL527"/>
  <c r="BI527"/>
  <c r="BJ527" s="1"/>
  <c r="BH435"/>
  <c r="BJ435" s="1"/>
  <c r="BL435"/>
  <c r="BM435"/>
  <c r="BL370"/>
  <c r="BM370"/>
  <c r="BI328"/>
  <c r="BJ328" s="1"/>
  <c r="BM328"/>
  <c r="BM317"/>
  <c r="BL317"/>
  <c r="BL311"/>
  <c r="BM311"/>
  <c r="BM298"/>
  <c r="BL298"/>
  <c r="BH281"/>
  <c r="BJ281" s="1"/>
  <c r="BL281"/>
  <c r="BL247"/>
  <c r="BM247"/>
  <c r="BI247"/>
  <c r="BJ247" s="1"/>
  <c r="BI241"/>
  <c r="BJ241" s="1"/>
  <c r="BL241"/>
  <c r="BL210"/>
  <c r="BM210"/>
  <c r="BM132"/>
  <c r="BN132" s="1"/>
  <c r="BH132"/>
  <c r="BJ132" s="1"/>
  <c r="BL24"/>
  <c r="BN24" s="1"/>
  <c r="BI24"/>
  <c r="BJ24" s="1"/>
  <c r="AV308"/>
  <c r="C315" i="53"/>
  <c r="AG15" i="55" s="1"/>
  <c r="C268" i="52"/>
  <c r="C204"/>
  <c r="C140"/>
  <c r="C76"/>
  <c r="BL574" i="1"/>
  <c r="BN574" s="1"/>
  <c r="BL570"/>
  <c r="BN570" s="1"/>
  <c r="BL548"/>
  <c r="BN548" s="1"/>
  <c r="BL530"/>
  <c r="BN530" s="1"/>
  <c r="BL518"/>
  <c r="BN518" s="1"/>
  <c r="BL498"/>
  <c r="BN498" s="1"/>
  <c r="BL487"/>
  <c r="BN487" s="1"/>
  <c r="BL466"/>
  <c r="BN466" s="1"/>
  <c r="BM457"/>
  <c r="BL445"/>
  <c r="BJ442"/>
  <c r="BJ429"/>
  <c r="BL422"/>
  <c r="BN422" s="1"/>
  <c r="BM414"/>
  <c r="BN414" s="1"/>
  <c r="BL407"/>
  <c r="BN373"/>
  <c r="BL357"/>
  <c r="BM349"/>
  <c r="BM318"/>
  <c r="BJ303"/>
  <c r="BL302"/>
  <c r="BM292"/>
  <c r="BN292" s="1"/>
  <c r="BL284"/>
  <c r="BN284" s="1"/>
  <c r="BM275"/>
  <c r="BL271"/>
  <c r="BN271" s="1"/>
  <c r="BL265"/>
  <c r="BN265" s="1"/>
  <c r="BI254"/>
  <c r="BJ254" s="1"/>
  <c r="BL253"/>
  <c r="BN253" s="1"/>
  <c r="BL223"/>
  <c r="BM222"/>
  <c r="BJ182"/>
  <c r="BM150"/>
  <c r="BN150" s="1"/>
  <c r="BL129"/>
  <c r="BN129" s="1"/>
  <c r="BJ114"/>
  <c r="BL91"/>
  <c r="BN91" s="1"/>
  <c r="BM70"/>
  <c r="BN70" s="1"/>
  <c r="BL69"/>
  <c r="BN69" s="1"/>
  <c r="BM34"/>
  <c r="BN34" s="1"/>
  <c r="BL553"/>
  <c r="BN553" s="1"/>
  <c r="BI553"/>
  <c r="BJ553" s="1"/>
  <c r="BI417"/>
  <c r="BL417"/>
  <c r="BH393"/>
  <c r="BJ393" s="1"/>
  <c r="BL393"/>
  <c r="BM393"/>
  <c r="BI374"/>
  <c r="BJ374" s="1"/>
  <c r="BM374"/>
  <c r="BI363"/>
  <c r="BL363"/>
  <c r="BH345"/>
  <c r="BJ345" s="1"/>
  <c r="BM345"/>
  <c r="BN345" s="1"/>
  <c r="BH331"/>
  <c r="BM331"/>
  <c r="BI314"/>
  <c r="BJ314" s="1"/>
  <c r="BL314"/>
  <c r="BI301"/>
  <c r="BJ301" s="1"/>
  <c r="BM301"/>
  <c r="BL291"/>
  <c r="BM291"/>
  <c r="BI274"/>
  <c r="BJ274" s="1"/>
  <c r="BL274"/>
  <c r="BL181"/>
  <c r="BN181" s="1"/>
  <c r="BI181"/>
  <c r="BJ181" s="1"/>
  <c r="BM148"/>
  <c r="BN148" s="1"/>
  <c r="BI148"/>
  <c r="BJ148" s="1"/>
  <c r="C252" i="52"/>
  <c r="C188"/>
  <c r="C124"/>
  <c r="C60"/>
  <c r="BJ575" i="1"/>
  <c r="BL533"/>
  <c r="BN533" s="1"/>
  <c r="BL490"/>
  <c r="BL448"/>
  <c r="BM399"/>
  <c r="BN399" s="1"/>
  <c r="BN365"/>
  <c r="BL362"/>
  <c r="BN362" s="1"/>
  <c r="BJ359"/>
  <c r="BJ338"/>
  <c r="BL328"/>
  <c r="BL308"/>
  <c r="BM295"/>
  <c r="BL288"/>
  <c r="BI284"/>
  <c r="BJ284" s="1"/>
  <c r="BM267"/>
  <c r="BI253"/>
  <c r="BJ253" s="1"/>
  <c r="BJ231"/>
  <c r="BM223"/>
  <c r="BL208"/>
  <c r="BM193"/>
  <c r="BN193" s="1"/>
  <c r="BJ187"/>
  <c r="BJ155"/>
  <c r="BJ107"/>
  <c r="BJ22"/>
  <c r="BI587"/>
  <c r="BJ587" s="1"/>
  <c r="BM587"/>
  <c r="BN587" s="1"/>
  <c r="BH571"/>
  <c r="BJ571" s="1"/>
  <c r="BL571"/>
  <c r="BN571" s="1"/>
  <c r="BH528"/>
  <c r="BJ528" s="1"/>
  <c r="BL528"/>
  <c r="BN528" s="1"/>
  <c r="BH443"/>
  <c r="BJ443" s="1"/>
  <c r="BL443"/>
  <c r="BM443"/>
  <c r="BH430"/>
  <c r="BJ430" s="1"/>
  <c r="BM430"/>
  <c r="BI412"/>
  <c r="BL412"/>
  <c r="BM411"/>
  <c r="BL411"/>
  <c r="BI405"/>
  <c r="BL405"/>
  <c r="BM404"/>
  <c r="BL404"/>
  <c r="BH326"/>
  <c r="BL326"/>
  <c r="BN326" s="1"/>
  <c r="BI313"/>
  <c r="BJ313" s="1"/>
  <c r="BM313"/>
  <c r="BN313" s="1"/>
  <c r="BI248"/>
  <c r="BJ248" s="1"/>
  <c r="BL248"/>
  <c r="BN248" s="1"/>
  <c r="BI245"/>
  <c r="BM245"/>
  <c r="BM227"/>
  <c r="BL227"/>
  <c r="BI227"/>
  <c r="BJ227" s="1"/>
  <c r="BM207"/>
  <c r="BN207" s="1"/>
  <c r="BI207"/>
  <c r="BJ207" s="1"/>
  <c r="BL204"/>
  <c r="BN204" s="1"/>
  <c r="BI204"/>
  <c r="BJ204" s="1"/>
  <c r="BM170"/>
  <c r="BN170" s="1"/>
  <c r="BH170"/>
  <c r="BJ170" s="1"/>
  <c r="BI154"/>
  <c r="BJ154" s="1"/>
  <c r="BM154"/>
  <c r="BN154" s="1"/>
  <c r="BL93"/>
  <c r="BI93"/>
  <c r="BJ93" s="1"/>
  <c r="BL71"/>
  <c r="BN71" s="1"/>
  <c r="BI71"/>
  <c r="BJ71" s="1"/>
  <c r="AV311"/>
  <c r="C318" i="53"/>
  <c r="AG18" i="55" s="1"/>
  <c r="C311" i="53"/>
  <c r="AG11" i="55" s="1"/>
  <c r="AV304" i="1"/>
  <c r="AV273"/>
  <c r="C280" i="53"/>
  <c r="AF10" i="55" s="1"/>
  <c r="AV244" i="1"/>
  <c r="C251" i="53"/>
  <c r="AE12" i="55" s="1"/>
  <c r="C228" i="52"/>
  <c r="C164"/>
  <c r="C100"/>
  <c r="C36"/>
  <c r="BL597" i="1"/>
  <c r="BN597" s="1"/>
  <c r="BL494"/>
  <c r="BN494" s="1"/>
  <c r="BJ428"/>
  <c r="BM419"/>
  <c r="BN419" s="1"/>
  <c r="BJ403"/>
  <c r="BI401"/>
  <c r="BJ401" s="1"/>
  <c r="BJ397"/>
  <c r="BI365"/>
  <c r="BJ365" s="1"/>
  <c r="BL354"/>
  <c r="BI351"/>
  <c r="BJ351" s="1"/>
  <c r="BJ344"/>
  <c r="BM306"/>
  <c r="BI290"/>
  <c r="BJ290" s="1"/>
  <c r="BM286"/>
  <c r="BM259"/>
  <c r="BL255"/>
  <c r="BM217"/>
  <c r="BN217" s="1"/>
  <c r="BL167"/>
  <c r="BJ133"/>
  <c r="BJ96"/>
  <c r="BM84"/>
  <c r="BJ78"/>
  <c r="BM62"/>
  <c r="BN62" s="1"/>
  <c r="AV298"/>
  <c r="C305" i="53"/>
  <c r="AG5" i="55" s="1"/>
  <c r="AV231" i="1"/>
  <c r="C238" i="53"/>
  <c r="AD30" i="55" s="1"/>
  <c r="AV207" i="1"/>
  <c r="C214" i="53"/>
  <c r="AD6" i="55" s="1"/>
  <c r="AV196" i="1"/>
  <c r="C203" i="53"/>
  <c r="AC25" i="55" s="1"/>
  <c r="AV190" i="1"/>
  <c r="C197" i="53"/>
  <c r="AC19" i="55" s="1"/>
  <c r="AV170" i="1"/>
  <c r="C177" i="53"/>
  <c r="AB30" i="55" s="1"/>
  <c r="BJ221" i="1"/>
  <c r="BJ215"/>
  <c r="BJ212"/>
  <c r="BJ209"/>
  <c r="BL172"/>
  <c r="BN172" s="1"/>
  <c r="BL139"/>
  <c r="BN139" s="1"/>
  <c r="BM134"/>
  <c r="BN134" s="1"/>
  <c r="BL47"/>
  <c r="BN47" s="1"/>
  <c r="BL239"/>
  <c r="BM239"/>
  <c r="C308" i="53"/>
  <c r="AG8" i="55" s="1"/>
  <c r="AV301" i="1"/>
  <c r="AV262"/>
  <c r="C269" i="53"/>
  <c r="AE30" i="55" s="1"/>
  <c r="AV256" i="1"/>
  <c r="C263" i="53"/>
  <c r="AE24" i="55" s="1"/>
  <c r="AV73" i="1"/>
  <c r="C80" i="53"/>
  <c r="Y23" i="55" s="1"/>
  <c r="BL457" i="1"/>
  <c r="BI419"/>
  <c r="BJ419" s="1"/>
  <c r="BI414"/>
  <c r="BJ414" s="1"/>
  <c r="BI409"/>
  <c r="BJ409" s="1"/>
  <c r="BI399"/>
  <c r="BI392"/>
  <c r="BJ392" s="1"/>
  <c r="BI377"/>
  <c r="BI368"/>
  <c r="BJ368" s="1"/>
  <c r="BI354"/>
  <c r="BI349"/>
  <c r="BJ349" s="1"/>
  <c r="BI335"/>
  <c r="BJ335" s="1"/>
  <c r="BI330"/>
  <c r="BJ330" s="1"/>
  <c r="BI325"/>
  <c r="BJ325" s="1"/>
  <c r="BI312"/>
  <c r="BI306"/>
  <c r="BI299"/>
  <c r="BJ299" s="1"/>
  <c r="BI292"/>
  <c r="BJ292" s="1"/>
  <c r="BI286"/>
  <c r="BI279"/>
  <c r="BI272"/>
  <c r="BJ272" s="1"/>
  <c r="BI263"/>
  <c r="BJ263" s="1"/>
  <c r="BI256"/>
  <c r="BJ256" s="1"/>
  <c r="BH244"/>
  <c r="BJ244" s="1"/>
  <c r="BL159"/>
  <c r="BN159" s="1"/>
  <c r="BL103"/>
  <c r="BL83"/>
  <c r="BJ65"/>
  <c r="BL61"/>
  <c r="BN61" s="1"/>
  <c r="BM43"/>
  <c r="BN43" s="1"/>
  <c r="AV270"/>
  <c r="C277" i="53"/>
  <c r="AF7" i="55" s="1"/>
  <c r="AV216" i="1"/>
  <c r="C223" i="53"/>
  <c r="AD15" i="55" s="1"/>
  <c r="AV183" i="1"/>
  <c r="C190" i="53"/>
  <c r="AC12" i="55" s="1"/>
  <c r="C71" i="53"/>
  <c r="Y14" i="55" s="1"/>
  <c r="AV64" i="1"/>
  <c r="BM238"/>
  <c r="BL237"/>
  <c r="BL235"/>
  <c r="BM234"/>
  <c r="BJ147"/>
  <c r="BJ142"/>
  <c r="BJ137"/>
  <c r="BL121"/>
  <c r="BL99"/>
  <c r="BJ86"/>
  <c r="BJ64"/>
  <c r="BL32"/>
  <c r="BN32" s="1"/>
  <c r="BL231"/>
  <c r="BM231"/>
  <c r="AV255"/>
  <c r="C262" i="53"/>
  <c r="AE23" i="55" s="1"/>
  <c r="C227" i="53"/>
  <c r="AD19" i="55" s="1"/>
  <c r="AV220" i="1"/>
  <c r="C212" i="53"/>
  <c r="AD4" i="55" s="1"/>
  <c r="AV205" i="1"/>
  <c r="BI239"/>
  <c r="BJ239" s="1"/>
  <c r="BJ233"/>
  <c r="BM201"/>
  <c r="BN201" s="1"/>
  <c r="BJ169"/>
  <c r="BJ164"/>
  <c r="BI159"/>
  <c r="BJ159" s="1"/>
  <c r="BM152"/>
  <c r="BN152" s="1"/>
  <c r="BJ131"/>
  <c r="BJ126"/>
  <c r="BH125"/>
  <c r="BJ125" s="1"/>
  <c r="BI112"/>
  <c r="BJ112" s="1"/>
  <c r="BJ111"/>
  <c r="BL107"/>
  <c r="BI83"/>
  <c r="BI61"/>
  <c r="BJ61" s="1"/>
  <c r="BI43"/>
  <c r="BJ43" s="1"/>
  <c r="BL40"/>
  <c r="BM26"/>
  <c r="BN26" s="1"/>
  <c r="AV287"/>
  <c r="C294" i="53"/>
  <c r="AF24" i="55" s="1"/>
  <c r="AV224" i="1"/>
  <c r="C231" i="53"/>
  <c r="AD23" i="55" s="1"/>
  <c r="AV147" i="1"/>
  <c r="C154" i="53"/>
  <c r="AB7" i="55" s="1"/>
  <c r="AV293" i="1"/>
  <c r="C300" i="53"/>
  <c r="AF30" i="55" s="1"/>
  <c r="AV277" i="1"/>
  <c r="C284" i="53"/>
  <c r="AF14" i="55" s="1"/>
  <c r="AV267" i="1"/>
  <c r="C274" i="53"/>
  <c r="AF4" i="55" s="1"/>
  <c r="AV265" i="1"/>
  <c r="C272" i="53"/>
  <c r="AE33" i="55" s="1"/>
  <c r="AV249" i="1"/>
  <c r="C256" i="53"/>
  <c r="AE17" i="55" s="1"/>
  <c r="AV232" i="1"/>
  <c r="C239" i="53"/>
  <c r="AD31" i="55" s="1"/>
  <c r="AV195" i="1"/>
  <c r="C202" i="53"/>
  <c r="AC24" i="55" s="1"/>
  <c r="AV165" i="1"/>
  <c r="C172" i="53"/>
  <c r="AB25" i="55" s="1"/>
  <c r="AY116" i="1"/>
  <c r="AW116" s="1"/>
  <c r="AZ116" s="1"/>
  <c r="Q116" s="1"/>
  <c r="AV140"/>
  <c r="C147" i="53"/>
  <c r="AA30" i="55" s="1"/>
  <c r="AV228" i="1"/>
  <c r="AV213"/>
  <c r="AV171"/>
  <c r="C178" i="53"/>
  <c r="AB31" i="55" s="1"/>
  <c r="AV159" i="1"/>
  <c r="C166" i="53"/>
  <c r="AB19" i="55" s="1"/>
  <c r="AV157" i="1"/>
  <c r="C164" i="53"/>
  <c r="AB17" i="55" s="1"/>
  <c r="C48" i="53"/>
  <c r="X22" i="55" s="1"/>
  <c r="AV237" i="1"/>
  <c r="AV167"/>
  <c r="AV253"/>
  <c r="C260" i="53"/>
  <c r="AE21" i="55" s="1"/>
  <c r="AV56" i="1"/>
  <c r="C63" i="53"/>
  <c r="Y6" i="55" s="1"/>
  <c r="C192" i="53"/>
  <c r="AC14" i="55" s="1"/>
  <c r="AV317" i="1"/>
  <c r="AV245"/>
  <c r="AY310"/>
  <c r="AW310" s="1"/>
  <c r="AZ310" s="1"/>
  <c r="Q310" s="1"/>
  <c r="AV295"/>
  <c r="C302" i="53"/>
  <c r="AF32" i="55" s="1"/>
  <c r="AV208" i="1"/>
  <c r="C215" i="53"/>
  <c r="AD7" i="55" s="1"/>
  <c r="AV155" i="1"/>
  <c r="C162" i="53"/>
  <c r="AB15" i="55" s="1"/>
  <c r="C199" i="53"/>
  <c r="AC21" i="55" s="1"/>
  <c r="C92" i="53"/>
  <c r="Z6" i="55" s="1"/>
  <c r="AV271" i="1"/>
  <c r="AY268"/>
  <c r="AW268" s="1"/>
  <c r="AZ268" s="1"/>
  <c r="Q268" s="1"/>
  <c r="AV204"/>
  <c r="AY24"/>
  <c r="AW24" s="1"/>
  <c r="AZ24" s="1"/>
  <c r="Q24" s="1"/>
  <c r="AY22"/>
  <c r="AW22" s="1"/>
  <c r="AZ22" s="1"/>
  <c r="Q22" s="1"/>
  <c r="AY26"/>
  <c r="A16" i="29"/>
  <c r="BN392" i="1" l="1"/>
  <c r="BN163"/>
  <c r="BN109"/>
  <c r="BN127"/>
  <c r="BN40"/>
  <c r="BN93"/>
  <c r="BN267"/>
  <c r="BN331"/>
  <c r="BN281"/>
  <c r="BN527"/>
  <c r="BN368"/>
  <c r="BN366"/>
  <c r="BN23"/>
  <c r="BN276"/>
  <c r="BN289"/>
  <c r="BN338"/>
  <c r="BN418"/>
  <c r="BN517"/>
  <c r="BN283"/>
  <c r="BN563"/>
  <c r="BN77"/>
  <c r="BN401"/>
  <c r="BN596"/>
  <c r="BN178"/>
  <c r="BN167"/>
  <c r="BN67"/>
  <c r="BN390"/>
  <c r="BN60"/>
  <c r="BN316"/>
  <c r="BN121"/>
  <c r="BN378"/>
  <c r="BN555"/>
  <c r="BN529"/>
  <c r="BN500"/>
  <c r="BN179"/>
  <c r="BN314"/>
  <c r="BN429"/>
  <c r="BN107"/>
  <c r="BN99"/>
  <c r="BN84"/>
  <c r="BN245"/>
  <c r="BN430"/>
  <c r="BN208"/>
  <c r="BN490"/>
  <c r="BN357"/>
  <c r="BN445"/>
  <c r="BN280"/>
  <c r="BN408"/>
  <c r="BN125"/>
  <c r="BN192"/>
  <c r="BN41"/>
  <c r="BN451"/>
  <c r="BN538"/>
  <c r="BN304"/>
  <c r="BN228"/>
  <c r="BN336"/>
  <c r="BN472"/>
  <c r="BN516"/>
  <c r="BN406"/>
  <c r="BN584"/>
  <c r="BN33"/>
  <c r="W10" i="48"/>
  <c r="BN242" i="1"/>
  <c r="AZ379" i="38"/>
  <c r="AZ395"/>
  <c r="AZ411"/>
  <c r="AZ427"/>
  <c r="AZ443"/>
  <c r="AZ459"/>
  <c r="AZ475"/>
  <c r="AZ491"/>
  <c r="AZ507"/>
  <c r="AZ523"/>
  <c r="AZ539"/>
  <c r="AZ555"/>
  <c r="AZ571"/>
  <c r="BN244" i="1"/>
  <c r="BN343"/>
  <c r="BN237"/>
  <c r="BN286"/>
  <c r="BN212"/>
  <c r="BN270"/>
  <c r="BN234"/>
  <c r="BN306"/>
  <c r="BJ236"/>
  <c r="BN262"/>
  <c r="BN377"/>
  <c r="BN92"/>
  <c r="BN115"/>
  <c r="BN108"/>
  <c r="BN318"/>
  <c r="BN434"/>
  <c r="BN505"/>
  <c r="BJ406"/>
  <c r="BF383" i="38"/>
  <c r="BI383" s="1"/>
  <c r="BF399"/>
  <c r="BI399" s="1"/>
  <c r="BF415"/>
  <c r="BI415" s="1"/>
  <c r="BF431"/>
  <c r="BI431" s="1"/>
  <c r="BF447"/>
  <c r="BI447" s="1"/>
  <c r="BF463"/>
  <c r="BI463" s="1"/>
  <c r="BF479"/>
  <c r="BI479" s="1"/>
  <c r="BF495"/>
  <c r="BI495" s="1"/>
  <c r="BF511"/>
  <c r="BI511" s="1"/>
  <c r="BF527"/>
  <c r="BI527" s="1"/>
  <c r="BF543"/>
  <c r="BI543" s="1"/>
  <c r="BF559"/>
  <c r="BI559" s="1"/>
  <c r="BF575"/>
  <c r="BI575" s="1"/>
  <c r="AW124" i="1"/>
  <c r="AZ124" s="1"/>
  <c r="Q124" s="1"/>
  <c r="BJ326"/>
  <c r="BJ240"/>
  <c r="AY144"/>
  <c r="AW144" s="1"/>
  <c r="AZ144" s="1"/>
  <c r="Q144" s="1"/>
  <c r="BN312"/>
  <c r="BN446"/>
  <c r="BN215"/>
  <c r="BN256"/>
  <c r="AZ5" i="38"/>
  <c r="BN426" i="1"/>
  <c r="BN403"/>
  <c r="BN583"/>
  <c r="BN319"/>
  <c r="BN238"/>
  <c r="BN295"/>
  <c r="BN301"/>
  <c r="BJ458"/>
  <c r="BN459"/>
  <c r="BN51"/>
  <c r="BN396"/>
  <c r="BN174"/>
  <c r="BN309"/>
  <c r="BN325"/>
  <c r="BN230"/>
  <c r="BN297"/>
  <c r="BN123"/>
  <c r="BN53"/>
  <c r="AZ249" i="38"/>
  <c r="BF249"/>
  <c r="BI249" s="1"/>
  <c r="AZ304"/>
  <c r="BF304"/>
  <c r="BI304" s="1"/>
  <c r="BJ245" i="1"/>
  <c r="BJ331"/>
  <c r="BN269"/>
  <c r="AZ365" i="38"/>
  <c r="BF365"/>
  <c r="BI365" s="1"/>
  <c r="AZ352"/>
  <c r="BF352"/>
  <c r="BI352" s="1"/>
  <c r="AZ354"/>
  <c r="BF354"/>
  <c r="BI354" s="1"/>
  <c r="AZ360"/>
  <c r="BF360"/>
  <c r="BI360" s="1"/>
  <c r="AZ339"/>
  <c r="BF339"/>
  <c r="BI339" s="1"/>
  <c r="AZ345"/>
  <c r="BF345"/>
  <c r="BI345" s="1"/>
  <c r="AZ341"/>
  <c r="BF341"/>
  <c r="BI341" s="1"/>
  <c r="AZ251"/>
  <c r="BF251"/>
  <c r="BI251" s="1"/>
  <c r="AZ243"/>
  <c r="BF243"/>
  <c r="BI243" s="1"/>
  <c r="AZ252"/>
  <c r="BF252"/>
  <c r="BI252" s="1"/>
  <c r="AZ244"/>
  <c r="BF244"/>
  <c r="BI244" s="1"/>
  <c r="AZ236"/>
  <c r="BF236"/>
  <c r="BI236" s="1"/>
  <c r="AZ226"/>
  <c r="BF226"/>
  <c r="BI226" s="1"/>
  <c r="AZ43"/>
  <c r="BF43"/>
  <c r="BI43" s="1"/>
  <c r="AZ27"/>
  <c r="BF27"/>
  <c r="BI27" s="1"/>
  <c r="AZ11"/>
  <c r="BF11"/>
  <c r="BI11" s="1"/>
  <c r="AZ36"/>
  <c r="BF36"/>
  <c r="BI36" s="1"/>
  <c r="AZ20"/>
  <c r="BF20"/>
  <c r="BI20" s="1"/>
  <c r="AZ373"/>
  <c r="AZ389"/>
  <c r="AZ405"/>
  <c r="AZ421"/>
  <c r="AZ437"/>
  <c r="AZ453"/>
  <c r="AZ469"/>
  <c r="AZ485"/>
  <c r="AZ501"/>
  <c r="AZ517"/>
  <c r="AZ533"/>
  <c r="AZ549"/>
  <c r="AZ565"/>
  <c r="AZ581"/>
  <c r="AZ312"/>
  <c r="BF312"/>
  <c r="BI312" s="1"/>
  <c r="AZ308"/>
  <c r="BF308"/>
  <c r="BI308" s="1"/>
  <c r="AZ257"/>
  <c r="BF257"/>
  <c r="BI257" s="1"/>
  <c r="AZ213"/>
  <c r="BF213"/>
  <c r="BI213" s="1"/>
  <c r="AZ220"/>
  <c r="BF220"/>
  <c r="BI220" s="1"/>
  <c r="AZ295"/>
  <c r="BF295"/>
  <c r="BI295" s="1"/>
  <c r="AZ287"/>
  <c r="BF287"/>
  <c r="BI287" s="1"/>
  <c r="AZ279"/>
  <c r="BF279"/>
  <c r="BI279" s="1"/>
  <c r="AZ271"/>
  <c r="BF271"/>
  <c r="BI271" s="1"/>
  <c r="AZ263"/>
  <c r="BF263"/>
  <c r="BI263" s="1"/>
  <c r="AZ190"/>
  <c r="BF190"/>
  <c r="BI190" s="1"/>
  <c r="AZ154"/>
  <c r="BF154"/>
  <c r="BI154" s="1"/>
  <c r="AZ138"/>
  <c r="BF138"/>
  <c r="BI138" s="1"/>
  <c r="AZ122"/>
  <c r="BF122"/>
  <c r="BI122" s="1"/>
  <c r="AZ155"/>
  <c r="BF155"/>
  <c r="BI155" s="1"/>
  <c r="AZ123"/>
  <c r="BF123"/>
  <c r="BI123" s="1"/>
  <c r="AZ104"/>
  <c r="BF104"/>
  <c r="BI104" s="1"/>
  <c r="AZ71"/>
  <c r="BF71"/>
  <c r="BI71" s="1"/>
  <c r="AZ194"/>
  <c r="BF194"/>
  <c r="BI194" s="1"/>
  <c r="AZ156"/>
  <c r="BF156"/>
  <c r="BI156" s="1"/>
  <c r="BF124"/>
  <c r="BI124" s="1"/>
  <c r="AZ124"/>
  <c r="AZ105"/>
  <c r="BF105"/>
  <c r="BI105" s="1"/>
  <c r="BF84"/>
  <c r="BI84" s="1"/>
  <c r="AZ84"/>
  <c r="AZ74"/>
  <c r="BF74"/>
  <c r="BI74" s="1"/>
  <c r="AZ61"/>
  <c r="BF61"/>
  <c r="BI61" s="1"/>
  <c r="AZ52"/>
  <c r="BF52"/>
  <c r="BI52" s="1"/>
  <c r="BF38"/>
  <c r="BI38" s="1"/>
  <c r="AZ38"/>
  <c r="AZ22"/>
  <c r="BF22"/>
  <c r="BI22" s="1"/>
  <c r="AZ6"/>
  <c r="BF6"/>
  <c r="BI6" s="1"/>
  <c r="AZ200"/>
  <c r="BF200"/>
  <c r="BI200" s="1"/>
  <c r="AZ195"/>
  <c r="BF195"/>
  <c r="BI195" s="1"/>
  <c r="AZ179"/>
  <c r="BF179"/>
  <c r="BI179" s="1"/>
  <c r="AZ157"/>
  <c r="BF157"/>
  <c r="BI157" s="1"/>
  <c r="AZ135"/>
  <c r="BF135"/>
  <c r="BI135" s="1"/>
  <c r="AZ115"/>
  <c r="BF115"/>
  <c r="BI115" s="1"/>
  <c r="AZ94"/>
  <c r="BF94"/>
  <c r="BI94" s="1"/>
  <c r="AZ62"/>
  <c r="BF62"/>
  <c r="BI62" s="1"/>
  <c r="AZ191"/>
  <c r="BF191"/>
  <c r="BI191" s="1"/>
  <c r="AZ110"/>
  <c r="BF110"/>
  <c r="BI110" s="1"/>
  <c r="AZ344"/>
  <c r="BF344"/>
  <c r="BI344" s="1"/>
  <c r="AZ313"/>
  <c r="BF313"/>
  <c r="BI313" s="1"/>
  <c r="AZ294"/>
  <c r="BF294"/>
  <c r="BI294" s="1"/>
  <c r="AZ286"/>
  <c r="BF286"/>
  <c r="BI286" s="1"/>
  <c r="AZ278"/>
  <c r="BF278"/>
  <c r="BI278" s="1"/>
  <c r="AZ270"/>
  <c r="BF270"/>
  <c r="BI270" s="1"/>
  <c r="AZ262"/>
  <c r="BF262"/>
  <c r="BI262" s="1"/>
  <c r="AZ192"/>
  <c r="BF192"/>
  <c r="BI192" s="1"/>
  <c r="AZ143"/>
  <c r="BF143"/>
  <c r="BI143" s="1"/>
  <c r="AZ83"/>
  <c r="BF83"/>
  <c r="BI83" s="1"/>
  <c r="AZ51"/>
  <c r="BF51"/>
  <c r="BI51" s="1"/>
  <c r="AZ29"/>
  <c r="BF29"/>
  <c r="BI29" s="1"/>
  <c r="AZ363"/>
  <c r="BF363"/>
  <c r="BI363" s="1"/>
  <c r="AZ307"/>
  <c r="BF307"/>
  <c r="BI307" s="1"/>
  <c r="AZ183"/>
  <c r="BF183"/>
  <c r="BI183" s="1"/>
  <c r="AZ160"/>
  <c r="BF160"/>
  <c r="BI160" s="1"/>
  <c r="BF128"/>
  <c r="BI128" s="1"/>
  <c r="AZ128"/>
  <c r="AZ103"/>
  <c r="BF103"/>
  <c r="BI103" s="1"/>
  <c r="AZ49"/>
  <c r="BF49"/>
  <c r="BI49" s="1"/>
  <c r="AZ329"/>
  <c r="BF329"/>
  <c r="BI329" s="1"/>
  <c r="AZ297"/>
  <c r="BF297"/>
  <c r="BI297" s="1"/>
  <c r="AZ201"/>
  <c r="BF201"/>
  <c r="BI201" s="1"/>
  <c r="AZ175"/>
  <c r="BF175"/>
  <c r="BI175" s="1"/>
  <c r="AZ97"/>
  <c r="BF97"/>
  <c r="BI97" s="1"/>
  <c r="AZ72"/>
  <c r="BF72"/>
  <c r="BI72" s="1"/>
  <c r="BN384" i="1"/>
  <c r="AZ367" i="38"/>
  <c r="BF367"/>
  <c r="BI367" s="1"/>
  <c r="AZ217"/>
  <c r="BF217"/>
  <c r="BI217" s="1"/>
  <c r="AZ203"/>
  <c r="BF203"/>
  <c r="BI203" s="1"/>
  <c r="BN367" i="1"/>
  <c r="AZ321" i="38"/>
  <c r="BF321"/>
  <c r="BI321" s="1"/>
  <c r="AZ150"/>
  <c r="BF150"/>
  <c r="BI150" s="1"/>
  <c r="AZ134"/>
  <c r="BF134"/>
  <c r="BI134" s="1"/>
  <c r="AZ118"/>
  <c r="BF118"/>
  <c r="BI118" s="1"/>
  <c r="AZ145"/>
  <c r="BF145"/>
  <c r="BI145" s="1"/>
  <c r="AZ116"/>
  <c r="BF116"/>
  <c r="BI116" s="1"/>
  <c r="BF96"/>
  <c r="BI96" s="1"/>
  <c r="AZ96"/>
  <c r="AZ63"/>
  <c r="BF63"/>
  <c r="BI63" s="1"/>
  <c r="AZ186"/>
  <c r="BF186"/>
  <c r="BI186" s="1"/>
  <c r="AZ149"/>
  <c r="BF149"/>
  <c r="BI149" s="1"/>
  <c r="AZ117"/>
  <c r="BF117"/>
  <c r="BI117" s="1"/>
  <c r="AZ98"/>
  <c r="BF98"/>
  <c r="BI98" s="1"/>
  <c r="AZ82"/>
  <c r="BF82"/>
  <c r="BI82" s="1"/>
  <c r="AZ69"/>
  <c r="BF69"/>
  <c r="BI69" s="1"/>
  <c r="AZ60"/>
  <c r="BF60"/>
  <c r="BI60" s="1"/>
  <c r="AZ50"/>
  <c r="BF50"/>
  <c r="BI50" s="1"/>
  <c r="AZ34"/>
  <c r="BF34"/>
  <c r="BI34" s="1"/>
  <c r="AZ18"/>
  <c r="BF18"/>
  <c r="BI18" s="1"/>
  <c r="AZ225"/>
  <c r="BF225"/>
  <c r="BI225" s="1"/>
  <c r="AZ198"/>
  <c r="BF198"/>
  <c r="BI198" s="1"/>
  <c r="AZ193"/>
  <c r="BF193"/>
  <c r="BI193" s="1"/>
  <c r="AZ176"/>
  <c r="BF176"/>
  <c r="BI176" s="1"/>
  <c r="AZ151"/>
  <c r="BF151"/>
  <c r="BI151" s="1"/>
  <c r="BF132"/>
  <c r="BI132" s="1"/>
  <c r="AZ132"/>
  <c r="AZ111"/>
  <c r="BF111"/>
  <c r="BI111" s="1"/>
  <c r="AZ86"/>
  <c r="BF86"/>
  <c r="BI86" s="1"/>
  <c r="AZ54"/>
  <c r="BF54"/>
  <c r="BI54" s="1"/>
  <c r="AZ153"/>
  <c r="BF153"/>
  <c r="BI153" s="1"/>
  <c r="AZ73"/>
  <c r="BF73"/>
  <c r="BI73" s="1"/>
  <c r="AZ328"/>
  <c r="BF328"/>
  <c r="BI328" s="1"/>
  <c r="AZ302"/>
  <c r="BF302"/>
  <c r="BI302" s="1"/>
  <c r="AZ292"/>
  <c r="BF292"/>
  <c r="BI292" s="1"/>
  <c r="AZ284"/>
  <c r="BF284"/>
  <c r="BI284" s="1"/>
  <c r="AZ276"/>
  <c r="BF276"/>
  <c r="BI276" s="1"/>
  <c r="AZ268"/>
  <c r="BF268"/>
  <c r="BI268" s="1"/>
  <c r="AZ256"/>
  <c r="BF256"/>
  <c r="BI256" s="1"/>
  <c r="AZ173"/>
  <c r="BF173"/>
  <c r="BI173" s="1"/>
  <c r="AZ127"/>
  <c r="BF127"/>
  <c r="BI127" s="1"/>
  <c r="BF80"/>
  <c r="BI80" s="1"/>
  <c r="AZ80"/>
  <c r="AZ48"/>
  <c r="BF48"/>
  <c r="BI48" s="1"/>
  <c r="AZ21"/>
  <c r="BF21"/>
  <c r="BI21" s="1"/>
  <c r="AZ340"/>
  <c r="BF340"/>
  <c r="BI340" s="1"/>
  <c r="AZ305"/>
  <c r="BF305"/>
  <c r="BI305" s="1"/>
  <c r="AZ177"/>
  <c r="BF177"/>
  <c r="BI177" s="1"/>
  <c r="AZ152"/>
  <c r="BF152"/>
  <c r="BI152" s="1"/>
  <c r="AZ120"/>
  <c r="BF120"/>
  <c r="BI120" s="1"/>
  <c r="AZ95"/>
  <c r="BF95"/>
  <c r="BI95" s="1"/>
  <c r="AZ318"/>
  <c r="BF318"/>
  <c r="BI318" s="1"/>
  <c r="AZ255"/>
  <c r="BF255"/>
  <c r="BI255" s="1"/>
  <c r="AZ199"/>
  <c r="BF199"/>
  <c r="BI199" s="1"/>
  <c r="AZ169"/>
  <c r="BF169"/>
  <c r="BI169" s="1"/>
  <c r="AZ89"/>
  <c r="BF89"/>
  <c r="BI89" s="1"/>
  <c r="AZ59"/>
  <c r="BF59"/>
  <c r="BI59" s="1"/>
  <c r="AZ181"/>
  <c r="BF181"/>
  <c r="BI181" s="1"/>
  <c r="AZ178"/>
  <c r="BF178"/>
  <c r="BI178" s="1"/>
  <c r="AZ332"/>
  <c r="BF332"/>
  <c r="BI332" s="1"/>
  <c r="AZ99"/>
  <c r="BF99"/>
  <c r="BI99" s="1"/>
  <c r="AZ310"/>
  <c r="BF310"/>
  <c r="BI310" s="1"/>
  <c r="AZ161"/>
  <c r="BF161"/>
  <c r="BI161" s="1"/>
  <c r="AZ189"/>
  <c r="BF189"/>
  <c r="BI189" s="1"/>
  <c r="AZ327"/>
  <c r="BF327"/>
  <c r="BI327" s="1"/>
  <c r="AZ319"/>
  <c r="BF319"/>
  <c r="BI319" s="1"/>
  <c r="AZ366"/>
  <c r="BF366"/>
  <c r="BI366" s="1"/>
  <c r="AZ356"/>
  <c r="BF356"/>
  <c r="BI356" s="1"/>
  <c r="AZ338"/>
  <c r="BF338"/>
  <c r="BI338" s="1"/>
  <c r="AZ241"/>
  <c r="BF241"/>
  <c r="BI241" s="1"/>
  <c r="AZ242"/>
  <c r="BF242"/>
  <c r="BI242" s="1"/>
  <c r="AZ210"/>
  <c r="BF210"/>
  <c r="BI210" s="1"/>
  <c r="AZ23"/>
  <c r="BF23"/>
  <c r="BI23" s="1"/>
  <c r="AZ32"/>
  <c r="BF32"/>
  <c r="BI32" s="1"/>
  <c r="AZ377"/>
  <c r="AZ409"/>
  <c r="AZ441"/>
  <c r="AZ473"/>
  <c r="AZ505"/>
  <c r="AZ537"/>
  <c r="AZ569"/>
  <c r="AZ322"/>
  <c r="BF322"/>
  <c r="BI322" s="1"/>
  <c r="AZ300"/>
  <c r="BF300"/>
  <c r="BI300" s="1"/>
  <c r="AZ209"/>
  <c r="BF209"/>
  <c r="BI209" s="1"/>
  <c r="AZ293"/>
  <c r="BF293"/>
  <c r="BI293" s="1"/>
  <c r="AZ277"/>
  <c r="BF277"/>
  <c r="BI277" s="1"/>
  <c r="AZ182"/>
  <c r="BF182"/>
  <c r="BI182" s="1"/>
  <c r="BJ312" i="1"/>
  <c r="BN222"/>
  <c r="BN349"/>
  <c r="BN407"/>
  <c r="BN241"/>
  <c r="BN452"/>
  <c r="BN240"/>
  <c r="BN474"/>
  <c r="AZ357" i="38"/>
  <c r="BF357"/>
  <c r="BI357" s="1"/>
  <c r="AZ362"/>
  <c r="BF362"/>
  <c r="BI362" s="1"/>
  <c r="AZ368"/>
  <c r="BF368"/>
  <c r="BI368" s="1"/>
  <c r="AZ347"/>
  <c r="BF347"/>
  <c r="BI347" s="1"/>
  <c r="AZ331"/>
  <c r="BF331"/>
  <c r="BI331" s="1"/>
  <c r="AZ337"/>
  <c r="BF337"/>
  <c r="BI337" s="1"/>
  <c r="AZ333"/>
  <c r="BF333"/>
  <c r="BI333" s="1"/>
  <c r="AZ247"/>
  <c r="BF247"/>
  <c r="BI247" s="1"/>
  <c r="AZ239"/>
  <c r="BF239"/>
  <c r="BI239" s="1"/>
  <c r="AZ248"/>
  <c r="BF248"/>
  <c r="BI248" s="1"/>
  <c r="AZ240"/>
  <c r="BF240"/>
  <c r="BI240" s="1"/>
  <c r="AZ218"/>
  <c r="BF218"/>
  <c r="BI218" s="1"/>
  <c r="AZ162"/>
  <c r="BF162"/>
  <c r="BI162" s="1"/>
  <c r="AZ35"/>
  <c r="BF35"/>
  <c r="BI35" s="1"/>
  <c r="AZ19"/>
  <c r="BF19"/>
  <c r="BI19" s="1"/>
  <c r="AZ44"/>
  <c r="BF44"/>
  <c r="BI44" s="1"/>
  <c r="AZ28"/>
  <c r="BF28"/>
  <c r="BI28" s="1"/>
  <c r="AZ12"/>
  <c r="BF12"/>
  <c r="BI12" s="1"/>
  <c r="AZ381"/>
  <c r="AZ397"/>
  <c r="AZ413"/>
  <c r="AZ429"/>
  <c r="AZ445"/>
  <c r="AZ461"/>
  <c r="AZ477"/>
  <c r="AZ493"/>
  <c r="AZ509"/>
  <c r="AZ525"/>
  <c r="AZ541"/>
  <c r="AZ557"/>
  <c r="AZ573"/>
  <c r="AZ314"/>
  <c r="BF314"/>
  <c r="BI314" s="1"/>
  <c r="AZ324"/>
  <c r="BF324"/>
  <c r="BI324" s="1"/>
  <c r="AZ259"/>
  <c r="BF259"/>
  <c r="BI259" s="1"/>
  <c r="AZ222"/>
  <c r="BF222"/>
  <c r="BI222" s="1"/>
  <c r="AZ254"/>
  <c r="BF254"/>
  <c r="BI254" s="1"/>
  <c r="AZ212"/>
  <c r="BF212"/>
  <c r="BI212" s="1"/>
  <c r="AZ291"/>
  <c r="BF291"/>
  <c r="BI291" s="1"/>
  <c r="AZ283"/>
  <c r="BF283"/>
  <c r="BI283" s="1"/>
  <c r="AZ275"/>
  <c r="BF275"/>
  <c r="BI275" s="1"/>
  <c r="AZ267"/>
  <c r="BF267"/>
  <c r="BI267" s="1"/>
  <c r="AZ231"/>
  <c r="BF231"/>
  <c r="BI231" s="1"/>
  <c r="AZ172"/>
  <c r="BF172"/>
  <c r="BI172" s="1"/>
  <c r="AZ146"/>
  <c r="BF146"/>
  <c r="BI146" s="1"/>
  <c r="AZ130"/>
  <c r="BF130"/>
  <c r="BI130" s="1"/>
  <c r="AZ180"/>
  <c r="BF180"/>
  <c r="BI180" s="1"/>
  <c r="AZ139"/>
  <c r="BF139"/>
  <c r="BI139" s="1"/>
  <c r="AZ112"/>
  <c r="BF112"/>
  <c r="BI112" s="1"/>
  <c r="AZ87"/>
  <c r="BF87"/>
  <c r="BI87" s="1"/>
  <c r="AZ55"/>
  <c r="BF55"/>
  <c r="BI55" s="1"/>
  <c r="AZ170"/>
  <c r="BF170"/>
  <c r="BI170" s="1"/>
  <c r="AZ140"/>
  <c r="BF140"/>
  <c r="BI140" s="1"/>
  <c r="AZ113"/>
  <c r="BF113"/>
  <c r="BI113" s="1"/>
  <c r="AZ90"/>
  <c r="BF90"/>
  <c r="BI90" s="1"/>
  <c r="AZ77"/>
  <c r="BF77"/>
  <c r="BI77" s="1"/>
  <c r="AZ68"/>
  <c r="BF68"/>
  <c r="BI68" s="1"/>
  <c r="AZ58"/>
  <c r="BF58"/>
  <c r="BI58" s="1"/>
  <c r="AZ46"/>
  <c r="BF46"/>
  <c r="BI46" s="1"/>
  <c r="AZ30"/>
  <c r="BF30"/>
  <c r="BI30" s="1"/>
  <c r="AZ14"/>
  <c r="BF14"/>
  <c r="BI14" s="1"/>
  <c r="AZ214"/>
  <c r="BF214"/>
  <c r="BI214" s="1"/>
  <c r="AZ206"/>
  <c r="BF206"/>
  <c r="BI206" s="1"/>
  <c r="AZ187"/>
  <c r="BF187"/>
  <c r="BI187" s="1"/>
  <c r="AZ167"/>
  <c r="BF167"/>
  <c r="BI167" s="1"/>
  <c r="AZ148"/>
  <c r="BF148"/>
  <c r="BI148" s="1"/>
  <c r="AZ125"/>
  <c r="BF125"/>
  <c r="BI125" s="1"/>
  <c r="AZ107"/>
  <c r="BF107"/>
  <c r="BI107" s="1"/>
  <c r="AZ78"/>
  <c r="BF78"/>
  <c r="BI78" s="1"/>
  <c r="AZ137"/>
  <c r="BF137"/>
  <c r="BI137" s="1"/>
  <c r="AZ57"/>
  <c r="BF57"/>
  <c r="BI57" s="1"/>
  <c r="AZ317"/>
  <c r="BF317"/>
  <c r="BI317" s="1"/>
  <c r="AZ298"/>
  <c r="BF298"/>
  <c r="BI298" s="1"/>
  <c r="AZ290"/>
  <c r="BF290"/>
  <c r="BI290" s="1"/>
  <c r="AZ282"/>
  <c r="BF282"/>
  <c r="BI282" s="1"/>
  <c r="AZ274"/>
  <c r="BF274"/>
  <c r="BI274" s="1"/>
  <c r="AZ266"/>
  <c r="BF266"/>
  <c r="BI266" s="1"/>
  <c r="AZ219"/>
  <c r="BF219"/>
  <c r="BI219" s="1"/>
  <c r="AZ168"/>
  <c r="BF168"/>
  <c r="BI168" s="1"/>
  <c r="BF100"/>
  <c r="BI100" s="1"/>
  <c r="AZ100"/>
  <c r="AZ67"/>
  <c r="BF67"/>
  <c r="BI67" s="1"/>
  <c r="AZ45"/>
  <c r="BF45"/>
  <c r="BI45" s="1"/>
  <c r="AZ13"/>
  <c r="BF13"/>
  <c r="BI13" s="1"/>
  <c r="AZ326"/>
  <c r="BF326"/>
  <c r="BI326" s="1"/>
  <c r="AZ232"/>
  <c r="BF232"/>
  <c r="BI232" s="1"/>
  <c r="AZ174"/>
  <c r="BF174"/>
  <c r="BI174" s="1"/>
  <c r="AZ144"/>
  <c r="BF144"/>
  <c r="BI144" s="1"/>
  <c r="AZ114"/>
  <c r="BF114"/>
  <c r="BI114" s="1"/>
  <c r="AZ81"/>
  <c r="BF81"/>
  <c r="BI81" s="1"/>
  <c r="AZ359"/>
  <c r="BF359"/>
  <c r="BI359" s="1"/>
  <c r="AZ301"/>
  <c r="BF301"/>
  <c r="BI301" s="1"/>
  <c r="AZ235"/>
  <c r="BF235"/>
  <c r="BI235" s="1"/>
  <c r="AZ196"/>
  <c r="BF196"/>
  <c r="BI196" s="1"/>
  <c r="AZ147"/>
  <c r="BF147"/>
  <c r="BI147" s="1"/>
  <c r="AZ88"/>
  <c r="BF88"/>
  <c r="BI88" s="1"/>
  <c r="AZ56"/>
  <c r="BF56"/>
  <c r="BI56" s="1"/>
  <c r="AZ229"/>
  <c r="BF229"/>
  <c r="BI229" s="1"/>
  <c r="AZ91"/>
  <c r="BF91"/>
  <c r="BI91" s="1"/>
  <c r="AZ330"/>
  <c r="BF330"/>
  <c r="BI330" s="1"/>
  <c r="AZ306"/>
  <c r="BF306"/>
  <c r="BI306" s="1"/>
  <c r="AZ93"/>
  <c r="BF93"/>
  <c r="BI93" s="1"/>
  <c r="AZ325"/>
  <c r="BF325"/>
  <c r="BI325" s="1"/>
  <c r="AZ311"/>
  <c r="BF311"/>
  <c r="BI311" s="1"/>
  <c r="AZ350"/>
  <c r="BF350"/>
  <c r="BI350" s="1"/>
  <c r="AZ361"/>
  <c r="BF361"/>
  <c r="BI361" s="1"/>
  <c r="AZ349"/>
  <c r="BF349"/>
  <c r="BI349" s="1"/>
  <c r="AZ335"/>
  <c r="BF335"/>
  <c r="BI335" s="1"/>
  <c r="AZ334"/>
  <c r="BF334"/>
  <c r="BI334" s="1"/>
  <c r="AZ250"/>
  <c r="BF250"/>
  <c r="BI250" s="1"/>
  <c r="AZ234"/>
  <c r="BF234"/>
  <c r="BI234" s="1"/>
  <c r="AZ39"/>
  <c r="BF39"/>
  <c r="BI39" s="1"/>
  <c r="AZ7"/>
  <c r="BF7"/>
  <c r="BI7" s="1"/>
  <c r="AZ16"/>
  <c r="BF16"/>
  <c r="BI16" s="1"/>
  <c r="AZ393"/>
  <c r="AZ425"/>
  <c r="AZ457"/>
  <c r="AZ489"/>
  <c r="AZ521"/>
  <c r="AZ553"/>
  <c r="AZ260"/>
  <c r="BF260"/>
  <c r="BI260" s="1"/>
  <c r="AZ216"/>
  <c r="BF216"/>
  <c r="BI216" s="1"/>
  <c r="AZ285"/>
  <c r="BF285"/>
  <c r="BI285" s="1"/>
  <c r="AZ269"/>
  <c r="BF269"/>
  <c r="BI269" s="1"/>
  <c r="AZ261"/>
  <c r="BF261"/>
  <c r="BI261" s="1"/>
  <c r="BJ386" i="1"/>
  <c r="BN315"/>
  <c r="BN229"/>
  <c r="BN321"/>
  <c r="AZ369" i="38"/>
  <c r="BF369"/>
  <c r="BI369" s="1"/>
  <c r="AZ353"/>
  <c r="BF353"/>
  <c r="BI353" s="1"/>
  <c r="AZ358"/>
  <c r="BF358"/>
  <c r="BI358" s="1"/>
  <c r="AZ364"/>
  <c r="BF364"/>
  <c r="BI364" s="1"/>
  <c r="AZ343"/>
  <c r="BF343"/>
  <c r="BI343" s="1"/>
  <c r="AZ346"/>
  <c r="BF346"/>
  <c r="BI346" s="1"/>
  <c r="AZ342"/>
  <c r="BF342"/>
  <c r="BI342" s="1"/>
  <c r="AZ253"/>
  <c r="BF253"/>
  <c r="BI253" s="1"/>
  <c r="AZ245"/>
  <c r="BF245"/>
  <c r="BI245" s="1"/>
  <c r="AZ237"/>
  <c r="BF237"/>
  <c r="BI237" s="1"/>
  <c r="AZ246"/>
  <c r="BF246"/>
  <c r="BI246" s="1"/>
  <c r="AZ238"/>
  <c r="BF238"/>
  <c r="BI238" s="1"/>
  <c r="AZ202"/>
  <c r="BF202"/>
  <c r="BI202" s="1"/>
  <c r="AZ47"/>
  <c r="BF47"/>
  <c r="BI47" s="1"/>
  <c r="AZ31"/>
  <c r="BF31"/>
  <c r="BI31" s="1"/>
  <c r="AZ15"/>
  <c r="BF15"/>
  <c r="BI15" s="1"/>
  <c r="AZ40"/>
  <c r="BF40"/>
  <c r="BI40" s="1"/>
  <c r="AZ24"/>
  <c r="BF24"/>
  <c r="BI24" s="1"/>
  <c r="AZ8"/>
  <c r="BF8"/>
  <c r="BI8" s="1"/>
  <c r="AZ385"/>
  <c r="AZ401"/>
  <c r="AZ417"/>
  <c r="AZ433"/>
  <c r="AZ449"/>
  <c r="AZ465"/>
  <c r="AZ481"/>
  <c r="AZ497"/>
  <c r="AZ513"/>
  <c r="AZ529"/>
  <c r="AZ545"/>
  <c r="AZ561"/>
  <c r="AZ577"/>
  <c r="AZ320"/>
  <c r="BF320"/>
  <c r="BI320" s="1"/>
  <c r="AZ316"/>
  <c r="BF316"/>
  <c r="BI316" s="1"/>
  <c r="AZ258"/>
  <c r="BF258"/>
  <c r="BI258" s="1"/>
  <c r="AZ221"/>
  <c r="BF221"/>
  <c r="BI221" s="1"/>
  <c r="AZ223"/>
  <c r="BF223"/>
  <c r="BI223" s="1"/>
  <c r="AZ188"/>
  <c r="BF188"/>
  <c r="BI188" s="1"/>
  <c r="AZ289"/>
  <c r="BF289"/>
  <c r="BI289" s="1"/>
  <c r="AZ281"/>
  <c r="BF281"/>
  <c r="BI281" s="1"/>
  <c r="AZ273"/>
  <c r="BF273"/>
  <c r="BI273" s="1"/>
  <c r="AZ265"/>
  <c r="BF265"/>
  <c r="BI265" s="1"/>
  <c r="AZ224"/>
  <c r="BF224"/>
  <c r="BI224" s="1"/>
  <c r="AZ158"/>
  <c r="BF158"/>
  <c r="BI158" s="1"/>
  <c r="AZ142"/>
  <c r="BF142"/>
  <c r="BI142" s="1"/>
  <c r="AZ126"/>
  <c r="BF126"/>
  <c r="BI126" s="1"/>
  <c r="AZ171"/>
  <c r="BF171"/>
  <c r="BI171" s="1"/>
  <c r="AZ129"/>
  <c r="BF129"/>
  <c r="BI129" s="1"/>
  <c r="AZ108"/>
  <c r="BF108"/>
  <c r="BI108" s="1"/>
  <c r="AZ79"/>
  <c r="BF79"/>
  <c r="BI79" s="1"/>
  <c r="AZ211"/>
  <c r="BF211"/>
  <c r="BI211" s="1"/>
  <c r="AZ166"/>
  <c r="BF166"/>
  <c r="BI166" s="1"/>
  <c r="AZ133"/>
  <c r="BF133"/>
  <c r="BI133" s="1"/>
  <c r="AZ109"/>
  <c r="BF109"/>
  <c r="BI109" s="1"/>
  <c r="AZ85"/>
  <c r="BF85"/>
  <c r="BI85" s="1"/>
  <c r="AZ76"/>
  <c r="BF76"/>
  <c r="BI76" s="1"/>
  <c r="AZ66"/>
  <c r="BF66"/>
  <c r="BI66" s="1"/>
  <c r="AZ53"/>
  <c r="BF53"/>
  <c r="BI53" s="1"/>
  <c r="BF42"/>
  <c r="BI42" s="1"/>
  <c r="AZ42"/>
  <c r="AZ26"/>
  <c r="BF26"/>
  <c r="BI26" s="1"/>
  <c r="AZ10"/>
  <c r="BF10"/>
  <c r="BI10" s="1"/>
  <c r="AZ205"/>
  <c r="BF205"/>
  <c r="BI205" s="1"/>
  <c r="AZ197"/>
  <c r="BF197"/>
  <c r="BI197" s="1"/>
  <c r="AZ185"/>
  <c r="BF185"/>
  <c r="BI185" s="1"/>
  <c r="AZ165"/>
  <c r="BF165"/>
  <c r="BI165" s="1"/>
  <c r="AZ141"/>
  <c r="BF141"/>
  <c r="BI141" s="1"/>
  <c r="AZ119"/>
  <c r="BF119"/>
  <c r="BI119" s="1"/>
  <c r="AZ102"/>
  <c r="BF102"/>
  <c r="BI102" s="1"/>
  <c r="AZ70"/>
  <c r="BF70"/>
  <c r="BI70" s="1"/>
  <c r="AZ207"/>
  <c r="BF207"/>
  <c r="BI207" s="1"/>
  <c r="AZ121"/>
  <c r="BF121"/>
  <c r="BI121" s="1"/>
  <c r="AZ351"/>
  <c r="BF351"/>
  <c r="BI351" s="1"/>
  <c r="AZ315"/>
  <c r="BF315"/>
  <c r="BI315" s="1"/>
  <c r="AZ296"/>
  <c r="BF296"/>
  <c r="BI296" s="1"/>
  <c r="AZ288"/>
  <c r="BF288"/>
  <c r="BI288" s="1"/>
  <c r="AZ280"/>
  <c r="BF280"/>
  <c r="BI280" s="1"/>
  <c r="AZ272"/>
  <c r="BF272"/>
  <c r="BI272" s="1"/>
  <c r="AZ264"/>
  <c r="BF264"/>
  <c r="BI264" s="1"/>
  <c r="AZ208"/>
  <c r="BF208"/>
  <c r="BI208" s="1"/>
  <c r="AZ159"/>
  <c r="BF159"/>
  <c r="BI159" s="1"/>
  <c r="BF92"/>
  <c r="BI92" s="1"/>
  <c r="AZ92"/>
  <c r="AZ64"/>
  <c r="BF64"/>
  <c r="BI64" s="1"/>
  <c r="AZ37"/>
  <c r="BF37"/>
  <c r="BI37" s="1"/>
  <c r="AZ309"/>
  <c r="BF309"/>
  <c r="BI309" s="1"/>
  <c r="AZ204"/>
  <c r="BF204"/>
  <c r="BI204" s="1"/>
  <c r="AZ163"/>
  <c r="BF163"/>
  <c r="BI163" s="1"/>
  <c r="BF136"/>
  <c r="BI136" s="1"/>
  <c r="AZ136"/>
  <c r="AZ106"/>
  <c r="BF106"/>
  <c r="BI106" s="1"/>
  <c r="AZ65"/>
  <c r="BF65"/>
  <c r="BI65" s="1"/>
  <c r="AZ336"/>
  <c r="BF336"/>
  <c r="BI336" s="1"/>
  <c r="AZ299"/>
  <c r="BF299"/>
  <c r="BI299" s="1"/>
  <c r="AZ233"/>
  <c r="BF233"/>
  <c r="BI233" s="1"/>
  <c r="AZ184"/>
  <c r="BF184"/>
  <c r="BI184" s="1"/>
  <c r="AZ131"/>
  <c r="BF131"/>
  <c r="BI131" s="1"/>
  <c r="AZ75"/>
  <c r="BF75"/>
  <c r="BI75" s="1"/>
  <c r="AZ41"/>
  <c r="BF41"/>
  <c r="BI41" s="1"/>
  <c r="AZ230"/>
  <c r="BF230"/>
  <c r="BI230" s="1"/>
  <c r="AZ101"/>
  <c r="BF101"/>
  <c r="BI101" s="1"/>
  <c r="AZ25"/>
  <c r="BF25"/>
  <c r="BI25" s="1"/>
  <c r="AZ227"/>
  <c r="BF227"/>
  <c r="BI227" s="1"/>
  <c r="AZ228"/>
  <c r="BF228"/>
  <c r="BI228" s="1"/>
  <c r="AZ17"/>
  <c r="BF17"/>
  <c r="BI17" s="1"/>
  <c r="AZ323"/>
  <c r="BF323"/>
  <c r="BI323" s="1"/>
  <c r="AZ348"/>
  <c r="BF348"/>
  <c r="BI348" s="1"/>
  <c r="AZ355"/>
  <c r="BF355"/>
  <c r="BI355" s="1"/>
  <c r="BN227" i="1"/>
  <c r="BN334"/>
  <c r="BN428"/>
  <c r="BN404"/>
  <c r="BN397"/>
  <c r="BN252"/>
  <c r="BN291"/>
  <c r="BN210"/>
  <c r="BN285"/>
  <c r="BN266"/>
  <c r="BN400"/>
  <c r="BN497"/>
  <c r="BN332"/>
  <c r="BN387"/>
  <c r="BN322"/>
  <c r="BN293"/>
  <c r="BN483"/>
  <c r="BN183"/>
  <c r="BN348"/>
  <c r="AY129"/>
  <c r="AW129" s="1"/>
  <c r="AZ129" s="1"/>
  <c r="Q129" s="1"/>
  <c r="AY121"/>
  <c r="AY122" s="1"/>
  <c r="BN328"/>
  <c r="BN324"/>
  <c r="BN460"/>
  <c r="AW117"/>
  <c r="AZ117" s="1"/>
  <c r="Q117" s="1"/>
  <c r="BN439"/>
  <c r="BN385"/>
  <c r="BN225"/>
  <c r="BN370"/>
  <c r="BN461"/>
  <c r="BN427"/>
  <c r="BN320"/>
  <c r="BN455"/>
  <c r="BN145"/>
  <c r="BN232"/>
  <c r="BN317"/>
  <c r="BN395"/>
  <c r="BN394"/>
  <c r="BJ405"/>
  <c r="BN288"/>
  <c r="BN462"/>
  <c r="BN116"/>
  <c r="BN354"/>
  <c r="BN382"/>
  <c r="BJ412"/>
  <c r="BN453"/>
  <c r="BN532"/>
  <c r="BN379"/>
  <c r="BJ399"/>
  <c r="BN478"/>
  <c r="BN117"/>
  <c r="BN194"/>
  <c r="AP13" i="8"/>
  <c r="AQ13" s="1"/>
  <c r="AO13"/>
  <c r="BN268" i="1"/>
  <c r="BN413"/>
  <c r="H6" i="21"/>
  <c r="J6" s="1"/>
  <c r="H7" s="1"/>
  <c r="J7" s="1"/>
  <c r="H8" s="1"/>
  <c r="J8" s="1"/>
  <c r="H9" s="1"/>
  <c r="J9" s="1"/>
  <c r="H10" s="1"/>
  <c r="J10" s="1"/>
  <c r="H11" s="1"/>
  <c r="J11" s="1"/>
  <c r="H12" s="1"/>
  <c r="J12" s="1"/>
  <c r="H13" s="1"/>
  <c r="J13" s="1"/>
  <c r="H14" s="1"/>
  <c r="J14" s="1"/>
  <c r="H15" s="1"/>
  <c r="J15" s="1"/>
  <c r="H16" s="1"/>
  <c r="J16" s="1"/>
  <c r="H17" s="1"/>
  <c r="J17" s="1"/>
  <c r="H18" s="1"/>
  <c r="J18" s="1"/>
  <c r="H19" s="1"/>
  <c r="H11" i="49"/>
  <c r="J11" s="1"/>
  <c r="H12" s="1"/>
  <c r="J12" s="1"/>
  <c r="H13" s="1"/>
  <c r="J13" s="1"/>
  <c r="H14" s="1"/>
  <c r="J14" s="1"/>
  <c r="H15" s="1"/>
  <c r="J15" s="1"/>
  <c r="H16" s="1"/>
  <c r="J16" s="1"/>
  <c r="H17" s="1"/>
  <c r="J17" s="1"/>
  <c r="H18" s="1"/>
  <c r="J18" s="1"/>
  <c r="H19" s="1"/>
  <c r="J5" i="6"/>
  <c r="L5" s="1"/>
  <c r="J6" s="1"/>
  <c r="L6" s="1"/>
  <c r="J7" s="1"/>
  <c r="L7" s="1"/>
  <c r="J8" s="1"/>
  <c r="L8" s="1"/>
  <c r="J9" s="1"/>
  <c r="L9" s="1"/>
  <c r="J10" s="1"/>
  <c r="L10" s="1"/>
  <c r="J11" s="1"/>
  <c r="L11" s="1"/>
  <c r="J12" s="1"/>
  <c r="L12" s="1"/>
  <c r="J13" s="1"/>
  <c r="L13" s="1"/>
  <c r="J14" s="1"/>
  <c r="L14" s="1"/>
  <c r="J15" s="1"/>
  <c r="L15" s="1"/>
  <c r="J16" s="1"/>
  <c r="L16" s="1"/>
  <c r="J17" s="1"/>
  <c r="L17" s="1"/>
  <c r="J18" s="1"/>
  <c r="L18" s="1"/>
  <c r="J19" s="1"/>
  <c r="L9" i="50"/>
  <c r="B10"/>
  <c r="J9"/>
  <c r="K9"/>
  <c r="BN274" i="1"/>
  <c r="BN448"/>
  <c r="BJ286"/>
  <c r="J106" i="48"/>
  <c r="M22" i="52" s="1"/>
  <c r="J9" i="48"/>
  <c r="L9" s="1"/>
  <c r="W9"/>
  <c r="BN437" i="1"/>
  <c r="J8" i="7"/>
  <c r="K8"/>
  <c r="L8"/>
  <c r="B9"/>
  <c r="C12" i="54"/>
  <c r="M35" i="53"/>
  <c r="BN443" i="1"/>
  <c r="BN223"/>
  <c r="BN275"/>
  <c r="BN254"/>
  <c r="BN327"/>
  <c r="BN595"/>
  <c r="BN279"/>
  <c r="BN515"/>
  <c r="BN235"/>
  <c r="BN523"/>
  <c r="BN78"/>
  <c r="BN514"/>
  <c r="BN582"/>
  <c r="BN282"/>
  <c r="H6" i="19"/>
  <c r="J6" s="1"/>
  <c r="H7" s="1"/>
  <c r="J7" s="1"/>
  <c r="H8" s="1"/>
  <c r="J8" s="1"/>
  <c r="H9" s="1"/>
  <c r="J9" s="1"/>
  <c r="H10" s="1"/>
  <c r="J10" s="1"/>
  <c r="H11" s="1"/>
  <c r="J11" s="1"/>
  <c r="H12" s="1"/>
  <c r="J12" s="1"/>
  <c r="H13" s="1"/>
  <c r="J13" s="1"/>
  <c r="H14" s="1"/>
  <c r="J14" s="1"/>
  <c r="H15" s="1"/>
  <c r="J15" s="1"/>
  <c r="H16" s="1"/>
  <c r="J16" s="1"/>
  <c r="H17" s="1"/>
  <c r="J17" s="1"/>
  <c r="H18" s="1"/>
  <c r="J18" s="1"/>
  <c r="H19" s="1"/>
  <c r="B52" i="20"/>
  <c r="J51"/>
  <c r="K51"/>
  <c r="L51"/>
  <c r="BN415" i="1"/>
  <c r="BN431"/>
  <c r="BN547"/>
  <c r="BN128"/>
  <c r="BN482"/>
  <c r="BN102"/>
  <c r="BN189"/>
  <c r="AN14" i="8"/>
  <c r="C15"/>
  <c r="H5" i="4"/>
  <c r="J5"/>
  <c r="H6" s="1"/>
  <c r="J6" s="1"/>
  <c r="H7" s="1"/>
  <c r="J7" s="1"/>
  <c r="H8" s="1"/>
  <c r="J8" s="1"/>
  <c r="H9" s="1"/>
  <c r="J9" s="1"/>
  <c r="H10" s="1"/>
  <c r="J10" s="1"/>
  <c r="H11" s="1"/>
  <c r="J11" s="1"/>
  <c r="H12" s="1"/>
  <c r="J12" s="1"/>
  <c r="H13" s="1"/>
  <c r="J13" s="1"/>
  <c r="H14" s="1"/>
  <c r="J14" s="1"/>
  <c r="H15" s="1"/>
  <c r="J15" s="1"/>
  <c r="H16" s="1"/>
  <c r="J16" s="1"/>
  <c r="H17" s="1"/>
  <c r="J17" s="1"/>
  <c r="H18" s="1"/>
  <c r="J18" s="1"/>
  <c r="H19" s="1"/>
  <c r="B52" i="5"/>
  <c r="J51"/>
  <c r="K51"/>
  <c r="L51"/>
  <c r="BN433" i="1"/>
  <c r="L6" i="48"/>
  <c r="B52" i="22"/>
  <c r="J51"/>
  <c r="K51"/>
  <c r="L51"/>
  <c r="AY210" i="1"/>
  <c r="AY211" s="1"/>
  <c r="AY212" s="1"/>
  <c r="X35" i="55"/>
  <c r="AY25" i="1"/>
  <c r="AW25" s="1"/>
  <c r="AZ25" s="1"/>
  <c r="Q25" s="1"/>
  <c r="AR13" i="8"/>
  <c r="AS13"/>
  <c r="Y35" i="55"/>
  <c r="AY324" i="1"/>
  <c r="AW324" s="1"/>
  <c r="AZ324" s="1"/>
  <c r="Q324" s="1"/>
  <c r="AS12" i="8"/>
  <c r="AR12"/>
  <c r="AR11"/>
  <c r="AS11"/>
  <c r="AA35" i="55"/>
  <c r="AY269" i="1"/>
  <c r="AW269" s="1"/>
  <c r="AY328"/>
  <c r="Z35" i="55"/>
  <c r="AF35"/>
  <c r="AY337" i="1"/>
  <c r="AW337" s="1"/>
  <c r="AZ337" s="1"/>
  <c r="Q337" s="1"/>
  <c r="AY321"/>
  <c r="AW321" s="1"/>
  <c r="AZ321" s="1"/>
  <c r="Q321" s="1"/>
  <c r="AY338"/>
  <c r="AW338" s="1"/>
  <c r="AZ338" s="1"/>
  <c r="Q338" s="1"/>
  <c r="AW209"/>
  <c r="AZ209" s="1"/>
  <c r="Q209" s="1"/>
  <c r="AY27"/>
  <c r="AY28" s="1"/>
  <c r="AY29" s="1"/>
  <c r="AY30" s="1"/>
  <c r="AB35" i="55"/>
  <c r="AG35"/>
  <c r="AW125" i="1"/>
  <c r="AZ125" s="1"/>
  <c r="Q125" s="1"/>
  <c r="AW26"/>
  <c r="AD35" i="55"/>
  <c r="BN231" i="1"/>
  <c r="BN239"/>
  <c r="BJ279"/>
  <c r="BJ354"/>
  <c r="BN424"/>
  <c r="BN103"/>
  <c r="AE35" i="55"/>
  <c r="BN219" i="1"/>
  <c r="BN337"/>
  <c r="BN369"/>
  <c r="BN251"/>
  <c r="BN243"/>
  <c r="BJ515"/>
  <c r="BN450"/>
  <c r="BN220"/>
  <c r="AY277"/>
  <c r="AY278" s="1"/>
  <c r="AY213"/>
  <c r="AY214" s="1"/>
  <c r="G4" i="7"/>
  <c r="G12"/>
  <c r="G20"/>
  <c r="G28"/>
  <c r="F52"/>
  <c r="F37"/>
  <c r="F45"/>
  <c r="F55"/>
  <c r="G11"/>
  <c r="G19"/>
  <c r="G27"/>
  <c r="G35"/>
  <c r="F36"/>
  <c r="F44"/>
  <c r="F53"/>
  <c r="G10"/>
  <c r="G18"/>
  <c r="G26"/>
  <c r="G34"/>
  <c r="F64"/>
  <c r="F43"/>
  <c r="F51"/>
  <c r="K4" i="6"/>
  <c r="K5" s="1"/>
  <c r="G7" i="7"/>
  <c r="G15"/>
  <c r="G23"/>
  <c r="G31"/>
  <c r="F58"/>
  <c r="F40"/>
  <c r="F48"/>
  <c r="F61"/>
  <c r="G17"/>
  <c r="G33"/>
  <c r="F42"/>
  <c r="G16"/>
  <c r="G32"/>
  <c r="F41"/>
  <c r="F63"/>
  <c r="G14"/>
  <c r="G30"/>
  <c r="F39"/>
  <c r="F59"/>
  <c r="G8"/>
  <c r="G24"/>
  <c r="F60"/>
  <c r="F49"/>
  <c r="G9"/>
  <c r="F62"/>
  <c r="G6"/>
  <c r="F56"/>
  <c r="G5"/>
  <c r="F54"/>
  <c r="G22"/>
  <c r="F47"/>
  <c r="G25"/>
  <c r="G21"/>
  <c r="G13"/>
  <c r="F46"/>
  <c r="F57"/>
  <c r="F50"/>
  <c r="F38"/>
  <c r="G29"/>
  <c r="BJ417" i="1"/>
  <c r="BN363"/>
  <c r="AY304"/>
  <c r="AY305" s="1"/>
  <c r="G351" i="7"/>
  <c r="G361"/>
  <c r="F372"/>
  <c r="F380"/>
  <c r="F388"/>
  <c r="F396"/>
  <c r="G344"/>
  <c r="G360"/>
  <c r="G343"/>
  <c r="G359"/>
  <c r="F374"/>
  <c r="F392"/>
  <c r="G356"/>
  <c r="F373"/>
  <c r="F383"/>
  <c r="G353"/>
  <c r="G369"/>
  <c r="F378"/>
  <c r="G348"/>
  <c r="G366"/>
  <c r="F387"/>
  <c r="F386"/>
  <c r="G358"/>
  <c r="F377"/>
  <c r="F389"/>
  <c r="G355"/>
  <c r="F398"/>
  <c r="G354"/>
  <c r="G349"/>
  <c r="F384"/>
  <c r="G352"/>
  <c r="F375"/>
  <c r="F399"/>
  <c r="G341"/>
  <c r="G365"/>
  <c r="G342"/>
  <c r="G368"/>
  <c r="F381"/>
  <c r="F376"/>
  <c r="F400"/>
  <c r="F379"/>
  <c r="F370"/>
  <c r="F394"/>
  <c r="F397"/>
  <c r="G367"/>
  <c r="F371"/>
  <c r="F395"/>
  <c r="G347"/>
  <c r="F382"/>
  <c r="G350"/>
  <c r="F385"/>
  <c r="G340"/>
  <c r="F390"/>
  <c r="F393"/>
  <c r="F391"/>
  <c r="G363"/>
  <c r="G357"/>
  <c r="G364"/>
  <c r="G346"/>
  <c r="G345"/>
  <c r="G362"/>
  <c r="BN259" i="1"/>
  <c r="BN346"/>
  <c r="BN417"/>
  <c r="BN173"/>
  <c r="BN106"/>
  <c r="BN493"/>
  <c r="BN411"/>
  <c r="BN457"/>
  <c r="BN454"/>
  <c r="BN475"/>
  <c r="BN344"/>
  <c r="AY267"/>
  <c r="AW267" s="1"/>
  <c r="AZ267" s="1"/>
  <c r="Q267" s="1"/>
  <c r="G371" i="7"/>
  <c r="G387"/>
  <c r="F404"/>
  <c r="F418"/>
  <c r="G374"/>
  <c r="G390"/>
  <c r="F405"/>
  <c r="F423"/>
  <c r="G383"/>
  <c r="G399"/>
  <c r="F415"/>
  <c r="G370"/>
  <c r="G386"/>
  <c r="F401"/>
  <c r="F419"/>
  <c r="G381"/>
  <c r="F406"/>
  <c r="F424"/>
  <c r="G384"/>
  <c r="F407"/>
  <c r="F429"/>
  <c r="G373"/>
  <c r="G393"/>
  <c r="F414"/>
  <c r="G376"/>
  <c r="G396"/>
  <c r="F417"/>
  <c r="G385"/>
  <c r="F412"/>
  <c r="G380"/>
  <c r="F409"/>
  <c r="G379"/>
  <c r="F410"/>
  <c r="G378"/>
  <c r="F403"/>
  <c r="G377"/>
  <c r="F408"/>
  <c r="G372"/>
  <c r="G400"/>
  <c r="G395"/>
  <c r="F422"/>
  <c r="G392"/>
  <c r="F421"/>
  <c r="G375"/>
  <c r="F428"/>
  <c r="F427"/>
  <c r="F426"/>
  <c r="F425"/>
  <c r="F420"/>
  <c r="F413"/>
  <c r="G397"/>
  <c r="G394"/>
  <c r="F416"/>
  <c r="F402"/>
  <c r="G391"/>
  <c r="G389"/>
  <c r="F411"/>
  <c r="G398"/>
  <c r="G388"/>
  <c r="G382"/>
  <c r="BN393" i="1"/>
  <c r="BN247"/>
  <c r="BN305"/>
  <c r="BN213"/>
  <c r="BN323"/>
  <c r="BN420"/>
  <c r="BN214"/>
  <c r="BN255"/>
  <c r="BN531"/>
  <c r="BN278"/>
  <c r="BN447"/>
  <c r="BN501"/>
  <c r="BN412"/>
  <c r="BN307"/>
  <c r="BN211"/>
  <c r="BN249"/>
  <c r="BN506"/>
  <c r="BN425"/>
  <c r="BJ363"/>
  <c r="BN436"/>
  <c r="BN87"/>
  <c r="A17" i="29"/>
  <c r="AY155" i="1"/>
  <c r="AY156" s="1"/>
  <c r="AY308"/>
  <c r="F7" i="7"/>
  <c r="F11"/>
  <c r="F15"/>
  <c r="F19"/>
  <c r="F23"/>
  <c r="F27"/>
  <c r="F16"/>
  <c r="F25"/>
  <c r="F9"/>
  <c r="F18"/>
  <c r="F28"/>
  <c r="F33"/>
  <c r="F21"/>
  <c r="F8"/>
  <c r="F14"/>
  <c r="F20"/>
  <c r="F26"/>
  <c r="F32"/>
  <c r="F12"/>
  <c r="F24"/>
  <c r="F30"/>
  <c r="F35"/>
  <c r="F4"/>
  <c r="M4" s="1"/>
  <c r="F13"/>
  <c r="F31"/>
  <c r="F10"/>
  <c r="F34"/>
  <c r="F6"/>
  <c r="M6" s="1"/>
  <c r="F5"/>
  <c r="F29"/>
  <c r="F22"/>
  <c r="F17"/>
  <c r="BN374" i="1"/>
  <c r="BN311"/>
  <c r="BN435"/>
  <c r="BN302"/>
  <c r="BN308"/>
  <c r="BN359"/>
  <c r="BN405"/>
  <c r="BJ306"/>
  <c r="BN465"/>
  <c r="BJ519"/>
  <c r="BN444"/>
  <c r="BN257"/>
  <c r="BN149"/>
  <c r="BJ258"/>
  <c r="BN473"/>
  <c r="BN543"/>
  <c r="BJ377"/>
  <c r="BN440"/>
  <c r="BJ83"/>
  <c r="AY119"/>
  <c r="AW118"/>
  <c r="AZ118" s="1"/>
  <c r="Q118" s="1"/>
  <c r="AY311"/>
  <c r="AY312" s="1"/>
  <c r="AC35" i="55"/>
  <c r="BN298" i="1"/>
  <c r="BN340"/>
  <c r="BN388"/>
  <c r="BN246"/>
  <c r="BN519"/>
  <c r="BN264"/>
  <c r="BN258"/>
  <c r="BN575"/>
  <c r="BN355"/>
  <c r="BN83"/>
  <c r="M7" i="7" l="1"/>
  <c r="J105" i="48"/>
  <c r="M21" i="52" s="1"/>
  <c r="AY145" i="1"/>
  <c r="AY146" s="1"/>
  <c r="AW121"/>
  <c r="AZ121" s="1"/>
  <c r="Q121" s="1"/>
  <c r="AY270"/>
  <c r="AY271" s="1"/>
  <c r="AY272" s="1"/>
  <c r="AY273" s="1"/>
  <c r="AY130"/>
  <c r="AW210"/>
  <c r="AZ210" s="1"/>
  <c r="Q210" s="1"/>
  <c r="AY325"/>
  <c r="AW325" s="1"/>
  <c r="AZ325" s="1"/>
  <c r="Q325" s="1"/>
  <c r="M9" i="7"/>
  <c r="B10"/>
  <c r="J9"/>
  <c r="K9"/>
  <c r="L9"/>
  <c r="B53" i="22"/>
  <c r="J52"/>
  <c r="K52"/>
  <c r="L52"/>
  <c r="C16" i="8"/>
  <c r="AN15"/>
  <c r="B53" i="20"/>
  <c r="K52"/>
  <c r="L52"/>
  <c r="J52"/>
  <c r="B53" i="5"/>
  <c r="J52"/>
  <c r="K52"/>
  <c r="L52"/>
  <c r="AO14" i="8"/>
  <c r="AP14"/>
  <c r="AQ14" s="1"/>
  <c r="AR14" s="1"/>
  <c r="M36" i="53"/>
  <c r="C13" i="54"/>
  <c r="K10" i="50"/>
  <c r="L10"/>
  <c r="B11"/>
  <c r="J10"/>
  <c r="K6" i="6"/>
  <c r="K7" s="1"/>
  <c r="K8" s="1"/>
  <c r="K9" s="1"/>
  <c r="K10" s="1"/>
  <c r="K11" s="1"/>
  <c r="K12" s="1"/>
  <c r="K13" s="1"/>
  <c r="K14" s="1"/>
  <c r="K15" s="1"/>
  <c r="K16" s="1"/>
  <c r="K17" s="1"/>
  <c r="K18" s="1"/>
  <c r="M18" s="1"/>
  <c r="I407" i="7" s="1"/>
  <c r="AW277" i="1"/>
  <c r="AZ277" s="1"/>
  <c r="Q277" s="1"/>
  <c r="AT12" i="8"/>
  <c r="AT13"/>
  <c r="AW155" i="1"/>
  <c r="AZ155" s="1"/>
  <c r="Q155" s="1"/>
  <c r="AW304"/>
  <c r="AZ304" s="1"/>
  <c r="Q304" s="1"/>
  <c r="AT11" i="8"/>
  <c r="AZ269" i="1"/>
  <c r="Q269" s="1"/>
  <c r="AY329"/>
  <c r="AW328"/>
  <c r="AZ328" s="1"/>
  <c r="Q328" s="1"/>
  <c r="AY339"/>
  <c r="AW119"/>
  <c r="AZ119" s="1"/>
  <c r="Q119" s="1"/>
  <c r="M5" i="7"/>
  <c r="AW126" i="1"/>
  <c r="AZ126" s="1"/>
  <c r="Q126" s="1"/>
  <c r="AZ26"/>
  <c r="Q26" s="1"/>
  <c r="AW27"/>
  <c r="O4" i="7"/>
  <c r="AY309" i="1"/>
  <c r="AW308"/>
  <c r="AZ308" s="1"/>
  <c r="Q308" s="1"/>
  <c r="M8" i="7"/>
  <c r="AW311" i="1"/>
  <c r="AZ311" s="1"/>
  <c r="Q311" s="1"/>
  <c r="AY313"/>
  <c r="AY157"/>
  <c r="AY215"/>
  <c r="A18" i="29"/>
  <c r="F12" i="37" s="1"/>
  <c r="AY306" i="1"/>
  <c r="AY31"/>
  <c r="H12" i="37"/>
  <c r="AY279" i="1"/>
  <c r="AW145" l="1"/>
  <c r="AZ145" s="1"/>
  <c r="Q145" s="1"/>
  <c r="AW122"/>
  <c r="AZ122" s="1"/>
  <c r="Q122" s="1"/>
  <c r="AW270"/>
  <c r="AZ270" s="1"/>
  <c r="Q270" s="1"/>
  <c r="AY131"/>
  <c r="AW130"/>
  <c r="AZ130" s="1"/>
  <c r="Q130" s="1"/>
  <c r="I421" i="7"/>
  <c r="I427"/>
  <c r="I414"/>
  <c r="M17" i="6"/>
  <c r="I381" i="7" s="1"/>
  <c r="H447"/>
  <c r="I416"/>
  <c r="I424"/>
  <c r="H459"/>
  <c r="H451"/>
  <c r="I408"/>
  <c r="H432"/>
  <c r="I422"/>
  <c r="H437"/>
  <c r="H436"/>
  <c r="I425"/>
  <c r="I429"/>
  <c r="H450"/>
  <c r="I420"/>
  <c r="H433"/>
  <c r="I406"/>
  <c r="H442"/>
  <c r="I401"/>
  <c r="I402"/>
  <c r="H445"/>
  <c r="H434"/>
  <c r="I412"/>
  <c r="H449"/>
  <c r="H438"/>
  <c r="H457"/>
  <c r="H456"/>
  <c r="H439"/>
  <c r="H435"/>
  <c r="I405"/>
  <c r="H460"/>
  <c r="H430"/>
  <c r="H453"/>
  <c r="H455"/>
  <c r="H446"/>
  <c r="I426"/>
  <c r="I411"/>
  <c r="H454"/>
  <c r="H431"/>
  <c r="I419"/>
  <c r="H441"/>
  <c r="H440"/>
  <c r="I423"/>
  <c r="H448"/>
  <c r="I404"/>
  <c r="I409"/>
  <c r="H443"/>
  <c r="I415"/>
  <c r="H444"/>
  <c r="I418"/>
  <c r="I403"/>
  <c r="H452"/>
  <c r="I428"/>
  <c r="I413"/>
  <c r="H458"/>
  <c r="I417"/>
  <c r="I410"/>
  <c r="AW211" i="1"/>
  <c r="AW212" s="1"/>
  <c r="K12" i="37"/>
  <c r="B54" i="20"/>
  <c r="K53"/>
  <c r="L53"/>
  <c r="J53"/>
  <c r="B54" i="22"/>
  <c r="J53"/>
  <c r="K53"/>
  <c r="L53"/>
  <c r="L10" i="7"/>
  <c r="B11"/>
  <c r="J10"/>
  <c r="K10"/>
  <c r="AW309" i="1"/>
  <c r="AZ309" s="1"/>
  <c r="Q309" s="1"/>
  <c r="J11" i="50"/>
  <c r="K11"/>
  <c r="L11"/>
  <c r="B12"/>
  <c r="AS14" i="8"/>
  <c r="B54" i="5"/>
  <c r="J53"/>
  <c r="K53"/>
  <c r="L53"/>
  <c r="AP15" i="8"/>
  <c r="AQ15" s="1"/>
  <c r="AR15" s="1"/>
  <c r="AO15"/>
  <c r="C17"/>
  <c r="AN16"/>
  <c r="C14" i="54"/>
  <c r="M37" i="53"/>
  <c r="AW278" i="1"/>
  <c r="AZ278" s="1"/>
  <c r="Q278" s="1"/>
  <c r="AW305"/>
  <c r="AZ305" s="1"/>
  <c r="Q305" s="1"/>
  <c r="AW156"/>
  <c r="AZ156" s="1"/>
  <c r="Q156" s="1"/>
  <c r="AW339"/>
  <c r="AZ339" s="1"/>
  <c r="Q339" s="1"/>
  <c r="AY340"/>
  <c r="AY330"/>
  <c r="AW329"/>
  <c r="AZ329" s="1"/>
  <c r="Q329" s="1"/>
  <c r="AW271"/>
  <c r="AY314"/>
  <c r="C12" i="37"/>
  <c r="AW312" i="1"/>
  <c r="AZ312" s="1"/>
  <c r="Q312" s="1"/>
  <c r="A19" i="29"/>
  <c r="G12" i="37"/>
  <c r="I12"/>
  <c r="E12"/>
  <c r="N12"/>
  <c r="D12"/>
  <c r="M12"/>
  <c r="C26"/>
  <c r="L12"/>
  <c r="AZ27" i="1"/>
  <c r="Q27" s="1"/>
  <c r="AW28"/>
  <c r="AY32"/>
  <c r="AZ211"/>
  <c r="Q211" s="1"/>
  <c r="AY158"/>
  <c r="J12" i="37"/>
  <c r="AY280" i="1"/>
  <c r="O5" i="7"/>
  <c r="O6" s="1"/>
  <c r="O7" s="1"/>
  <c r="O8" s="1"/>
  <c r="O9" s="1"/>
  <c r="AW146" i="1"/>
  <c r="AZ146" s="1"/>
  <c r="Q146" s="1"/>
  <c r="AY147"/>
  <c r="AY274"/>
  <c r="AY216"/>
  <c r="I373" i="7"/>
  <c r="I391"/>
  <c r="H410"/>
  <c r="I378"/>
  <c r="H427"/>
  <c r="I379"/>
  <c r="I382"/>
  <c r="I385"/>
  <c r="H417"/>
  <c r="H408"/>
  <c r="H401"/>
  <c r="I390"/>
  <c r="K26" i="37"/>
  <c r="I388" i="7" l="1"/>
  <c r="H428"/>
  <c r="H422"/>
  <c r="I386"/>
  <c r="H415"/>
  <c r="H424"/>
  <c r="H421"/>
  <c r="I387"/>
  <c r="H413"/>
  <c r="H412"/>
  <c r="H414"/>
  <c r="M16" i="6"/>
  <c r="H386" i="7" s="1"/>
  <c r="I377"/>
  <c r="H423"/>
  <c r="H426"/>
  <c r="H407"/>
  <c r="H411"/>
  <c r="H404"/>
  <c r="H403"/>
  <c r="I383"/>
  <c r="I372"/>
  <c r="I396"/>
  <c r="I397"/>
  <c r="I375"/>
  <c r="H405"/>
  <c r="I398"/>
  <c r="H406"/>
  <c r="I370"/>
  <c r="H402"/>
  <c r="I376"/>
  <c r="I400"/>
  <c r="H416"/>
  <c r="H409"/>
  <c r="I384"/>
  <c r="I374"/>
  <c r="I389"/>
  <c r="I392"/>
  <c r="AY132" i="1"/>
  <c r="AY133" s="1"/>
  <c r="AW131"/>
  <c r="H425" i="7"/>
  <c r="I393"/>
  <c r="I395"/>
  <c r="I399"/>
  <c r="I394"/>
  <c r="H429"/>
  <c r="H418"/>
  <c r="I371"/>
  <c r="I380"/>
  <c r="H419"/>
  <c r="H420"/>
  <c r="AW279" i="1"/>
  <c r="AZ279" s="1"/>
  <c r="Q279" s="1"/>
  <c r="AW306"/>
  <c r="AZ306" s="1"/>
  <c r="Q306" s="1"/>
  <c r="M38" i="53"/>
  <c r="C15" i="54"/>
  <c r="C18" i="8"/>
  <c r="AN17"/>
  <c r="AT14"/>
  <c r="K11" i="7"/>
  <c r="L11"/>
  <c r="B12"/>
  <c r="J11"/>
  <c r="M11" s="1"/>
  <c r="AS15" i="8"/>
  <c r="B13" i="50"/>
  <c r="J12"/>
  <c r="K12"/>
  <c r="L12"/>
  <c r="B55" i="22"/>
  <c r="J54"/>
  <c r="K54"/>
  <c r="L54"/>
  <c r="B55" i="20"/>
  <c r="K54"/>
  <c r="L54"/>
  <c r="J54"/>
  <c r="AP16" i="8"/>
  <c r="AQ16" s="1"/>
  <c r="AR16" s="1"/>
  <c r="AO16"/>
  <c r="B55" i="5"/>
  <c r="J54"/>
  <c r="K54"/>
  <c r="L54"/>
  <c r="M10" i="7"/>
  <c r="O10" s="1"/>
  <c r="M26" i="37"/>
  <c r="L26"/>
  <c r="AW157" i="1"/>
  <c r="AZ157" s="1"/>
  <c r="Q157" s="1"/>
  <c r="AZ271"/>
  <c r="Q271" s="1"/>
  <c r="AW272"/>
  <c r="AY341"/>
  <c r="AW340"/>
  <c r="AZ340" s="1"/>
  <c r="Q340" s="1"/>
  <c r="AW330"/>
  <c r="AZ330" s="1"/>
  <c r="Q330" s="1"/>
  <c r="AY331"/>
  <c r="A20" i="29"/>
  <c r="D24" i="37" s="1"/>
  <c r="G26"/>
  <c r="AZ28" i="1"/>
  <c r="Q28" s="1"/>
  <c r="AW29"/>
  <c r="H26" i="37"/>
  <c r="AY217" i="1"/>
  <c r="AY148"/>
  <c r="AW147"/>
  <c r="AZ147" s="1"/>
  <c r="Q147" s="1"/>
  <c r="D26" i="37"/>
  <c r="G24"/>
  <c r="E26"/>
  <c r="I26"/>
  <c r="AZ212" i="1"/>
  <c r="Q212" s="1"/>
  <c r="AW213"/>
  <c r="AY275"/>
  <c r="AY281"/>
  <c r="AY159"/>
  <c r="AY315"/>
  <c r="E24" i="37"/>
  <c r="F26"/>
  <c r="AY33" i="1"/>
  <c r="AW313"/>
  <c r="AZ313" s="1"/>
  <c r="Q313" s="1"/>
  <c r="M15" i="6"/>
  <c r="I354" i="7"/>
  <c r="H371"/>
  <c r="H387"/>
  <c r="I344"/>
  <c r="I362"/>
  <c r="H393"/>
  <c r="H399"/>
  <c r="I341"/>
  <c r="I359"/>
  <c r="H372"/>
  <c r="H378"/>
  <c r="I358"/>
  <c r="H373"/>
  <c r="H379"/>
  <c r="H385"/>
  <c r="H376"/>
  <c r="H382"/>
  <c r="H388"/>
  <c r="H394"/>
  <c r="H383"/>
  <c r="H389"/>
  <c r="H395"/>
  <c r="I347"/>
  <c r="I352"/>
  <c r="I357"/>
  <c r="I367"/>
  <c r="I365"/>
  <c r="I348"/>
  <c r="I353"/>
  <c r="I346"/>
  <c r="J26" i="37"/>
  <c r="N26"/>
  <c r="I343" i="7" l="1"/>
  <c r="I349"/>
  <c r="I364"/>
  <c r="I350"/>
  <c r="H397"/>
  <c r="H390"/>
  <c r="I361"/>
  <c r="I363"/>
  <c r="I355"/>
  <c r="I366"/>
  <c r="I351"/>
  <c r="I342"/>
  <c r="H370"/>
  <c r="H375"/>
  <c r="H374"/>
  <c r="H400"/>
  <c r="H391"/>
  <c r="H384"/>
  <c r="I345"/>
  <c r="H381"/>
  <c r="I368"/>
  <c r="H396"/>
  <c r="H392"/>
  <c r="H380"/>
  <c r="I356"/>
  <c r="H377"/>
  <c r="I369"/>
  <c r="I340"/>
  <c r="I360"/>
  <c r="H398"/>
  <c r="AW132" i="1"/>
  <c r="AZ132" s="1"/>
  <c r="Q132" s="1"/>
  <c r="AZ131"/>
  <c r="Q131" s="1"/>
  <c r="AY134"/>
  <c r="AW280"/>
  <c r="AZ280" s="1"/>
  <c r="Q280" s="1"/>
  <c r="O11" i="7"/>
  <c r="AW158" i="1"/>
  <c r="AZ158" s="1"/>
  <c r="Q158" s="1"/>
  <c r="I24" i="37"/>
  <c r="B56" i="5"/>
  <c r="K55"/>
  <c r="J55"/>
  <c r="L55"/>
  <c r="AT15" i="8"/>
  <c r="AP17"/>
  <c r="AQ17" s="1"/>
  <c r="AR17" s="1"/>
  <c r="AO17"/>
  <c r="AS16"/>
  <c r="AN18"/>
  <c r="C19"/>
  <c r="B56" i="20"/>
  <c r="J55"/>
  <c r="K55"/>
  <c r="L55"/>
  <c r="B56" i="22"/>
  <c r="J55"/>
  <c r="K55"/>
  <c r="L55"/>
  <c r="L13" i="50"/>
  <c r="B14"/>
  <c r="J13"/>
  <c r="K13"/>
  <c r="J12" i="7"/>
  <c r="K12"/>
  <c r="L12"/>
  <c r="B13"/>
  <c r="C16" i="54"/>
  <c r="M39" i="53"/>
  <c r="L24" i="37"/>
  <c r="AW314" i="1"/>
  <c r="AZ314" s="1"/>
  <c r="Q314" s="1"/>
  <c r="J24" i="37"/>
  <c r="AZ272" i="1"/>
  <c r="Q272" s="1"/>
  <c r="AW273"/>
  <c r="AW341"/>
  <c r="AZ341" s="1"/>
  <c r="Q341" s="1"/>
  <c r="AY342"/>
  <c r="AW331"/>
  <c r="AZ331" s="1"/>
  <c r="Q331" s="1"/>
  <c r="AY332"/>
  <c r="AY316"/>
  <c r="AW148"/>
  <c r="AZ148" s="1"/>
  <c r="Q148" s="1"/>
  <c r="AY149"/>
  <c r="A21" i="29"/>
  <c r="I23" i="37" s="1"/>
  <c r="H24"/>
  <c r="N24"/>
  <c r="F24"/>
  <c r="M24"/>
  <c r="C24"/>
  <c r="K24"/>
  <c r="AY282" i="1"/>
  <c r="I315" i="7"/>
  <c r="I331"/>
  <c r="H342"/>
  <c r="H358"/>
  <c r="I322"/>
  <c r="I338"/>
  <c r="H351"/>
  <c r="H367"/>
  <c r="I313"/>
  <c r="I329"/>
  <c r="H352"/>
  <c r="H368"/>
  <c r="I320"/>
  <c r="I336"/>
  <c r="H345"/>
  <c r="H361"/>
  <c r="I311"/>
  <c r="I327"/>
  <c r="H346"/>
  <c r="H362"/>
  <c r="I318"/>
  <c r="I334"/>
  <c r="H355"/>
  <c r="M14" i="6"/>
  <c r="I321" i="7"/>
  <c r="I337"/>
  <c r="H344"/>
  <c r="H360"/>
  <c r="I312"/>
  <c r="I328"/>
  <c r="H353"/>
  <c r="H369"/>
  <c r="I335"/>
  <c r="I310"/>
  <c r="H363"/>
  <c r="I333"/>
  <c r="H348"/>
  <c r="H341"/>
  <c r="I325"/>
  <c r="H356"/>
  <c r="I332"/>
  <c r="H349"/>
  <c r="I317"/>
  <c r="H364"/>
  <c r="I324"/>
  <c r="H357"/>
  <c r="H347"/>
  <c r="H340"/>
  <c r="H365"/>
  <c r="I323"/>
  <c r="I330"/>
  <c r="H359"/>
  <c r="I326"/>
  <c r="I339"/>
  <c r="I316"/>
  <c r="I319"/>
  <c r="I314"/>
  <c r="H354"/>
  <c r="H366"/>
  <c r="H343"/>
  <c r="H350"/>
  <c r="I309"/>
  <c r="AY160" i="1"/>
  <c r="AZ213"/>
  <c r="Q213" s="1"/>
  <c r="AW214"/>
  <c r="AY34"/>
  <c r="AY276"/>
  <c r="AY218"/>
  <c r="AZ29"/>
  <c r="Q29" s="1"/>
  <c r="AW30"/>
  <c r="AW133" l="1"/>
  <c r="AZ133" s="1"/>
  <c r="Q133" s="1"/>
  <c r="AY135"/>
  <c r="AW159"/>
  <c r="AZ159" s="1"/>
  <c r="Q159" s="1"/>
  <c r="AW281"/>
  <c r="AZ281" s="1"/>
  <c r="Q281" s="1"/>
  <c r="AW315"/>
  <c r="AZ315" s="1"/>
  <c r="Q315" s="1"/>
  <c r="B14" i="7"/>
  <c r="J13"/>
  <c r="M13" s="1"/>
  <c r="K13"/>
  <c r="L13"/>
  <c r="AT16" i="8"/>
  <c r="AS17"/>
  <c r="B57" i="5"/>
  <c r="J56"/>
  <c r="K56"/>
  <c r="L56"/>
  <c r="AN19" i="8"/>
  <c r="C20"/>
  <c r="M40" i="53"/>
  <c r="C17" i="54"/>
  <c r="K14" i="50"/>
  <c r="L14"/>
  <c r="B15"/>
  <c r="J14"/>
  <c r="AO18" i="8"/>
  <c r="AP18"/>
  <c r="AQ18" s="1"/>
  <c r="AR18" s="1"/>
  <c r="D23" i="37"/>
  <c r="M12" i="7"/>
  <c r="O12" s="1"/>
  <c r="B57" i="22"/>
  <c r="K56"/>
  <c r="J56"/>
  <c r="L56"/>
  <c r="K56" i="20"/>
  <c r="J56"/>
  <c r="B57"/>
  <c r="L56"/>
  <c r="M23" i="37"/>
  <c r="AZ273" i="1"/>
  <c r="Q273" s="1"/>
  <c r="AW274"/>
  <c r="AY333"/>
  <c r="AW332"/>
  <c r="AZ332" s="1"/>
  <c r="Q332" s="1"/>
  <c r="AW342"/>
  <c r="AZ342" s="1"/>
  <c r="Q342" s="1"/>
  <c r="AY343"/>
  <c r="I291" i="7"/>
  <c r="I307"/>
  <c r="H320"/>
  <c r="H336"/>
  <c r="I282"/>
  <c r="I298"/>
  <c r="H321"/>
  <c r="H337"/>
  <c r="I289"/>
  <c r="I305"/>
  <c r="H314"/>
  <c r="H330"/>
  <c r="I280"/>
  <c r="I296"/>
  <c r="H315"/>
  <c r="H331"/>
  <c r="I287"/>
  <c r="I303"/>
  <c r="H324"/>
  <c r="M13" i="6"/>
  <c r="I294" i="7"/>
  <c r="H309"/>
  <c r="H325"/>
  <c r="I281"/>
  <c r="I297"/>
  <c r="H322"/>
  <c r="H338"/>
  <c r="I288"/>
  <c r="I304"/>
  <c r="H323"/>
  <c r="H339"/>
  <c r="I283"/>
  <c r="H312"/>
  <c r="I290"/>
  <c r="H313"/>
  <c r="I279"/>
  <c r="H332"/>
  <c r="I286"/>
  <c r="H333"/>
  <c r="H310"/>
  <c r="I284"/>
  <c r="H311"/>
  <c r="I295"/>
  <c r="H316"/>
  <c r="I302"/>
  <c r="H317"/>
  <c r="H334"/>
  <c r="H335"/>
  <c r="I299"/>
  <c r="H328"/>
  <c r="I306"/>
  <c r="H329"/>
  <c r="H326"/>
  <c r="H319"/>
  <c r="H318"/>
  <c r="I308"/>
  <c r="I293"/>
  <c r="I301"/>
  <c r="I300"/>
  <c r="H327"/>
  <c r="I292"/>
  <c r="I285"/>
  <c r="AW149" i="1"/>
  <c r="AZ149" s="1"/>
  <c r="Q149" s="1"/>
  <c r="AY150"/>
  <c r="AZ30"/>
  <c r="Q30" s="1"/>
  <c r="AW31"/>
  <c r="AY161"/>
  <c r="AY162" s="1"/>
  <c r="A22" i="29"/>
  <c r="L23" i="37"/>
  <c r="C23"/>
  <c r="H23"/>
  <c r="G23"/>
  <c r="K23"/>
  <c r="E23"/>
  <c r="K7"/>
  <c r="F23"/>
  <c r="N23"/>
  <c r="AY283" i="1"/>
  <c r="C7" i="37"/>
  <c r="AY317" i="1"/>
  <c r="AZ214"/>
  <c r="Q214" s="1"/>
  <c r="AW215"/>
  <c r="AY35"/>
  <c r="AY219"/>
  <c r="J23" i="37"/>
  <c r="AW160" i="1" l="1"/>
  <c r="AZ160" s="1"/>
  <c r="Q160" s="1"/>
  <c r="AW162"/>
  <c r="AZ162" s="1"/>
  <c r="Q162" s="1"/>
  <c r="AY163"/>
  <c r="AW134"/>
  <c r="AZ134" s="1"/>
  <c r="Q134" s="1"/>
  <c r="AY136"/>
  <c r="AW282"/>
  <c r="AZ282" s="1"/>
  <c r="Q282" s="1"/>
  <c r="O13" i="7"/>
  <c r="AW316" i="1"/>
  <c r="AZ316" s="1"/>
  <c r="Q316" s="1"/>
  <c r="K57" i="22"/>
  <c r="J57"/>
  <c r="B58"/>
  <c r="L57"/>
  <c r="AS18" i="8"/>
  <c r="J15" i="50"/>
  <c r="K15"/>
  <c r="L15"/>
  <c r="B16"/>
  <c r="C18" i="54"/>
  <c r="M41" i="53"/>
  <c r="AT17" i="8"/>
  <c r="C21"/>
  <c r="AN20"/>
  <c r="K57" i="20"/>
  <c r="B58"/>
  <c r="J57"/>
  <c r="L57"/>
  <c r="AO19" i="8"/>
  <c r="AP19"/>
  <c r="AQ19" s="1"/>
  <c r="AR19" s="1"/>
  <c r="B58" i="5"/>
  <c r="K57"/>
  <c r="J57"/>
  <c r="L57"/>
  <c r="L14" i="7"/>
  <c r="B15"/>
  <c r="J14"/>
  <c r="K14"/>
  <c r="AZ274" i="1"/>
  <c r="Q274" s="1"/>
  <c r="AW275"/>
  <c r="AY344"/>
  <c r="AW343"/>
  <c r="AZ343" s="1"/>
  <c r="Q343" s="1"/>
  <c r="AW161"/>
  <c r="AZ161" s="1"/>
  <c r="Q161" s="1"/>
  <c r="AY334"/>
  <c r="AW333"/>
  <c r="AZ333" s="1"/>
  <c r="Q333" s="1"/>
  <c r="AY220"/>
  <c r="AY151"/>
  <c r="AW150"/>
  <c r="AZ150" s="1"/>
  <c r="Q150" s="1"/>
  <c r="AY36"/>
  <c r="AZ31"/>
  <c r="Q31" s="1"/>
  <c r="AW32"/>
  <c r="N7" i="37"/>
  <c r="I7"/>
  <c r="M7"/>
  <c r="E7"/>
  <c r="A23" i="29"/>
  <c r="G7" i="37"/>
  <c r="H7"/>
  <c r="J7"/>
  <c r="AY318" i="1"/>
  <c r="AY284"/>
  <c r="AZ215"/>
  <c r="Q215" s="1"/>
  <c r="AW216"/>
  <c r="F7" i="37"/>
  <c r="L7"/>
  <c r="I259" i="7"/>
  <c r="I275"/>
  <c r="H284"/>
  <c r="H300"/>
  <c r="I250"/>
  <c r="I266"/>
  <c r="H285"/>
  <c r="H301"/>
  <c r="I257"/>
  <c r="I273"/>
  <c r="H294"/>
  <c r="I248"/>
  <c r="I264"/>
  <c r="H279"/>
  <c r="H295"/>
  <c r="I255"/>
  <c r="I271"/>
  <c r="H288"/>
  <c r="H304"/>
  <c r="I262"/>
  <c r="I278"/>
  <c r="H289"/>
  <c r="H305"/>
  <c r="I249"/>
  <c r="I265"/>
  <c r="H286"/>
  <c r="H302"/>
  <c r="I256"/>
  <c r="I272"/>
  <c r="H287"/>
  <c r="H303"/>
  <c r="I267"/>
  <c r="H308"/>
  <c r="I274"/>
  <c r="M12" i="6"/>
  <c r="I263" i="7"/>
  <c r="H296"/>
  <c r="I270"/>
  <c r="H297"/>
  <c r="I261"/>
  <c r="H306"/>
  <c r="I268"/>
  <c r="H307"/>
  <c r="H280"/>
  <c r="I254"/>
  <c r="H281"/>
  <c r="H282"/>
  <c r="H283"/>
  <c r="I269"/>
  <c r="H298"/>
  <c r="I276"/>
  <c r="H299"/>
  <c r="I277"/>
  <c r="I258"/>
  <c r="I253"/>
  <c r="I252"/>
  <c r="I251"/>
  <c r="H292"/>
  <c r="I260"/>
  <c r="H293"/>
  <c r="H290"/>
  <c r="H291"/>
  <c r="D7" i="37"/>
  <c r="AY164" i="1" l="1"/>
  <c r="AW163"/>
  <c r="AZ163" s="1"/>
  <c r="Q163" s="1"/>
  <c r="AW135"/>
  <c r="AZ135" s="1"/>
  <c r="Q135" s="1"/>
  <c r="AY137"/>
  <c r="AW283"/>
  <c r="AZ283" s="1"/>
  <c r="Q283" s="1"/>
  <c r="AW317"/>
  <c r="AZ317" s="1"/>
  <c r="Q317" s="1"/>
  <c r="M14" i="7"/>
  <c r="O14" s="1"/>
  <c r="AS19" i="8"/>
  <c r="K15" i="7"/>
  <c r="L15"/>
  <c r="B16"/>
  <c r="J15"/>
  <c r="B17" i="50"/>
  <c r="J16"/>
  <c r="K16"/>
  <c r="L16"/>
  <c r="AT18" i="8"/>
  <c r="B59" i="5"/>
  <c r="J58"/>
  <c r="K58"/>
  <c r="L58"/>
  <c r="AO20" i="8"/>
  <c r="AP20"/>
  <c r="AQ20" s="1"/>
  <c r="B59" i="20"/>
  <c r="J58"/>
  <c r="K58"/>
  <c r="L58"/>
  <c r="C22" i="8"/>
  <c r="AN22" s="1"/>
  <c r="AN21"/>
  <c r="M42" i="53"/>
  <c r="C19" i="54"/>
  <c r="J58" i="22"/>
  <c r="B59"/>
  <c r="K58"/>
  <c r="L58"/>
  <c r="AZ275" i="1"/>
  <c r="Q275" s="1"/>
  <c r="AW276"/>
  <c r="AZ276" s="1"/>
  <c r="Q276" s="1"/>
  <c r="AW344"/>
  <c r="AZ344" s="1"/>
  <c r="Q344" s="1"/>
  <c r="AW334"/>
  <c r="AZ334" s="1"/>
  <c r="Q334" s="1"/>
  <c r="AY335"/>
  <c r="AY319"/>
  <c r="AY285"/>
  <c r="AZ216"/>
  <c r="Q216" s="1"/>
  <c r="AW217"/>
  <c r="A24" i="29"/>
  <c r="AY37" i="1"/>
  <c r="AW151"/>
  <c r="AZ151" s="1"/>
  <c r="Q151" s="1"/>
  <c r="AY152"/>
  <c r="I219" i="7"/>
  <c r="I235"/>
  <c r="H254"/>
  <c r="H270"/>
  <c r="I218"/>
  <c r="I234"/>
  <c r="H255"/>
  <c r="H271"/>
  <c r="I233"/>
  <c r="H248"/>
  <c r="H264"/>
  <c r="M11" i="6"/>
  <c r="I232" i="7"/>
  <c r="H249"/>
  <c r="H265"/>
  <c r="I231"/>
  <c r="I247"/>
  <c r="H258"/>
  <c r="H274"/>
  <c r="I230"/>
  <c r="I246"/>
  <c r="H259"/>
  <c r="H275"/>
  <c r="I225"/>
  <c r="I241"/>
  <c r="H256"/>
  <c r="H272"/>
  <c r="I224"/>
  <c r="I240"/>
  <c r="H257"/>
  <c r="H273"/>
  <c r="I245"/>
  <c r="H268"/>
  <c r="I244"/>
  <c r="H269"/>
  <c r="I243"/>
  <c r="H278"/>
  <c r="I242"/>
  <c r="I239"/>
  <c r="H266"/>
  <c r="I238"/>
  <c r="H267"/>
  <c r="I227"/>
  <c r="H262"/>
  <c r="I226"/>
  <c r="H263"/>
  <c r="H252"/>
  <c r="H253"/>
  <c r="H250"/>
  <c r="H251"/>
  <c r="I237"/>
  <c r="I236"/>
  <c r="I229"/>
  <c r="I220"/>
  <c r="I223"/>
  <c r="H276"/>
  <c r="I221"/>
  <c r="H260"/>
  <c r="H277"/>
  <c r="H261"/>
  <c r="I222"/>
  <c r="I228"/>
  <c r="AZ32" i="1"/>
  <c r="Q32" s="1"/>
  <c r="AW33"/>
  <c r="AY221"/>
  <c r="AW164" l="1"/>
  <c r="AZ164" s="1"/>
  <c r="Q164" s="1"/>
  <c r="AY165"/>
  <c r="AW136"/>
  <c r="AZ136" s="1"/>
  <c r="Q136" s="1"/>
  <c r="AY138"/>
  <c r="AW284"/>
  <c r="AZ284" s="1"/>
  <c r="Q284" s="1"/>
  <c r="AW318"/>
  <c r="AZ318" s="1"/>
  <c r="Q318" s="1"/>
  <c r="B60" i="5"/>
  <c r="K59"/>
  <c r="J59"/>
  <c r="L59"/>
  <c r="J16" i="7"/>
  <c r="K16"/>
  <c r="L16"/>
  <c r="B17"/>
  <c r="C20" i="54"/>
  <c r="M43" i="53"/>
  <c r="AT19" i="8"/>
  <c r="B60" i="22"/>
  <c r="J59"/>
  <c r="K59"/>
  <c r="L59"/>
  <c r="AP21" i="8"/>
  <c r="AQ21" s="1"/>
  <c r="AR21" s="1"/>
  <c r="AO21"/>
  <c r="AS21" s="1"/>
  <c r="L17" i="50"/>
  <c r="B18"/>
  <c r="J17"/>
  <c r="K17"/>
  <c r="AP22" i="8"/>
  <c r="AQ22" s="1"/>
  <c r="AR22" s="1"/>
  <c r="AO22"/>
  <c r="AS22" s="1"/>
  <c r="B60" i="20"/>
  <c r="J59"/>
  <c r="K59"/>
  <c r="L59"/>
  <c r="AS20" i="8"/>
  <c r="AR20"/>
  <c r="M15" i="7"/>
  <c r="O15" s="1"/>
  <c r="AY336" i="1"/>
  <c r="AW335"/>
  <c r="AZ335" s="1"/>
  <c r="Q335" s="1"/>
  <c r="AY286"/>
  <c r="I191" i="7"/>
  <c r="I207"/>
  <c r="H230"/>
  <c r="H246"/>
  <c r="I198"/>
  <c r="I214"/>
  <c r="H223"/>
  <c r="H239"/>
  <c r="I189"/>
  <c r="I205"/>
  <c r="H224"/>
  <c r="H240"/>
  <c r="I196"/>
  <c r="I212"/>
  <c r="H233"/>
  <c r="M10" i="6"/>
  <c r="I199" i="7"/>
  <c r="I215"/>
  <c r="H222"/>
  <c r="H238"/>
  <c r="I190"/>
  <c r="I206"/>
  <c r="H231"/>
  <c r="H247"/>
  <c r="I203"/>
  <c r="I210"/>
  <c r="H225"/>
  <c r="I201"/>
  <c r="I208"/>
  <c r="H241"/>
  <c r="I197"/>
  <c r="H220"/>
  <c r="H228"/>
  <c r="I204"/>
  <c r="I187"/>
  <c r="I213"/>
  <c r="H242"/>
  <c r="I194"/>
  <c r="H229"/>
  <c r="H237"/>
  <c r="I195"/>
  <c r="H244"/>
  <c r="I193"/>
  <c r="H226"/>
  <c r="H221"/>
  <c r="H219"/>
  <c r="I217"/>
  <c r="H234"/>
  <c r="I200"/>
  <c r="H236"/>
  <c r="H232"/>
  <c r="H227"/>
  <c r="I211"/>
  <c r="I192"/>
  <c r="H245"/>
  <c r="H218"/>
  <c r="I216"/>
  <c r="I209"/>
  <c r="H235"/>
  <c r="H243"/>
  <c r="I188"/>
  <c r="I202"/>
  <c r="AZ33" i="1"/>
  <c r="Q33" s="1"/>
  <c r="AW34"/>
  <c r="AW152"/>
  <c r="AZ152" s="1"/>
  <c r="Q152" s="1"/>
  <c r="AY153"/>
  <c r="AZ217"/>
  <c r="Q217" s="1"/>
  <c r="AW218"/>
  <c r="AY320"/>
  <c r="AY38"/>
  <c r="A25" i="29"/>
  <c r="A26" s="1"/>
  <c r="A27" s="1"/>
  <c r="A28" s="1"/>
  <c r="A29" s="1"/>
  <c r="A30" s="1"/>
  <c r="A31" s="1"/>
  <c r="A32" s="1"/>
  <c r="A33" s="1"/>
  <c r="A34" s="1"/>
  <c r="A35" s="1"/>
  <c r="A36" s="1"/>
  <c r="A37" s="1"/>
  <c r="A38" s="1"/>
  <c r="L27" i="37"/>
  <c r="K27"/>
  <c r="AY222" i="1"/>
  <c r="AY166" l="1"/>
  <c r="AW165"/>
  <c r="AZ165" s="1"/>
  <c r="Q165" s="1"/>
  <c r="A39" i="29"/>
  <c r="B14" i="37"/>
  <c r="AW137" i="1"/>
  <c r="AZ137" s="1"/>
  <c r="Q137" s="1"/>
  <c r="AW285"/>
  <c r="AZ285" s="1"/>
  <c r="Q285" s="1"/>
  <c r="AY139"/>
  <c r="AW319"/>
  <c r="AZ319" s="1"/>
  <c r="Q319" s="1"/>
  <c r="AT20" i="8"/>
  <c r="K60" i="20"/>
  <c r="J60"/>
  <c r="B61"/>
  <c r="L60"/>
  <c r="AT21" i="8"/>
  <c r="M16" i="7"/>
  <c r="O16" s="1"/>
  <c r="B61" i="5"/>
  <c r="J60"/>
  <c r="K60"/>
  <c r="L60"/>
  <c r="AT22" i="8"/>
  <c r="K18" i="50"/>
  <c r="L18"/>
  <c r="B19"/>
  <c r="J18"/>
  <c r="B61" i="22"/>
  <c r="K60"/>
  <c r="J60"/>
  <c r="L60"/>
  <c r="M44" i="53"/>
  <c r="C21" i="54"/>
  <c r="B18" i="7"/>
  <c r="J17"/>
  <c r="M17" s="1"/>
  <c r="K17"/>
  <c r="L17"/>
  <c r="M8" i="37"/>
  <c r="AW336" i="1"/>
  <c r="AZ336" s="1"/>
  <c r="Q336" s="1"/>
  <c r="AY39"/>
  <c r="AZ218"/>
  <c r="Q218" s="1"/>
  <c r="AW219"/>
  <c r="AY223"/>
  <c r="AY287"/>
  <c r="I171" i="7"/>
  <c r="H188"/>
  <c r="H204"/>
  <c r="I162"/>
  <c r="I178"/>
  <c r="H189"/>
  <c r="H205"/>
  <c r="I169"/>
  <c r="I185"/>
  <c r="H198"/>
  <c r="H214"/>
  <c r="I160"/>
  <c r="I176"/>
  <c r="H199"/>
  <c r="H215"/>
  <c r="I163"/>
  <c r="I179"/>
  <c r="H196"/>
  <c r="H212"/>
  <c r="I170"/>
  <c r="I186"/>
  <c r="H197"/>
  <c r="H213"/>
  <c r="I159"/>
  <c r="I183"/>
  <c r="I166"/>
  <c r="I157"/>
  <c r="I181"/>
  <c r="I164"/>
  <c r="H187"/>
  <c r="I177"/>
  <c r="H194"/>
  <c r="H202"/>
  <c r="I158"/>
  <c r="I184"/>
  <c r="H195"/>
  <c r="H203"/>
  <c r="I167"/>
  <c r="H190"/>
  <c r="H216"/>
  <c r="I174"/>
  <c r="H191"/>
  <c r="H217"/>
  <c r="H192"/>
  <c r="H210"/>
  <c r="I182"/>
  <c r="H208"/>
  <c r="I180"/>
  <c r="H201"/>
  <c r="H206"/>
  <c r="I172"/>
  <c r="I173"/>
  <c r="H200"/>
  <c r="H209"/>
  <c r="I165"/>
  <c r="H207"/>
  <c r="I161"/>
  <c r="M9" i="6"/>
  <c r="H193" i="7"/>
  <c r="I175"/>
  <c r="H211"/>
  <c r="I168"/>
  <c r="AW153" i="1"/>
  <c r="AZ153" s="1"/>
  <c r="Q153" s="1"/>
  <c r="AY154"/>
  <c r="AZ34"/>
  <c r="Q34" s="1"/>
  <c r="AW35"/>
  <c r="AW166" l="1"/>
  <c r="AZ166" s="1"/>
  <c r="Q166" s="1"/>
  <c r="AY167"/>
  <c r="A40" i="29"/>
  <c r="AW138" i="1"/>
  <c r="AZ138" s="1"/>
  <c r="Q138" s="1"/>
  <c r="AW286"/>
  <c r="AZ286" s="1"/>
  <c r="Q286" s="1"/>
  <c r="AY140"/>
  <c r="AW139"/>
  <c r="AZ139" s="1"/>
  <c r="Q139" s="1"/>
  <c r="AW320"/>
  <c r="AZ320" s="1"/>
  <c r="Q320" s="1"/>
  <c r="O17" i="7"/>
  <c r="L18"/>
  <c r="B19"/>
  <c r="J18"/>
  <c r="K18"/>
  <c r="J19" i="50"/>
  <c r="K19"/>
  <c r="L19"/>
  <c r="B20"/>
  <c r="K61" i="20"/>
  <c r="B62"/>
  <c r="J61"/>
  <c r="L61"/>
  <c r="C22" i="54"/>
  <c r="M45" i="53"/>
  <c r="K61" i="22"/>
  <c r="J61"/>
  <c r="B62"/>
  <c r="L61"/>
  <c r="B62" i="5"/>
  <c r="J61"/>
  <c r="K61"/>
  <c r="L61"/>
  <c r="AY224" i="1"/>
  <c r="I131" i="7"/>
  <c r="I147"/>
  <c r="H160"/>
  <c r="H176"/>
  <c r="I138"/>
  <c r="I154"/>
  <c r="H161"/>
  <c r="H177"/>
  <c r="I129"/>
  <c r="I145"/>
  <c r="H170"/>
  <c r="H186"/>
  <c r="I136"/>
  <c r="I152"/>
  <c r="H171"/>
  <c r="M8" i="6"/>
  <c r="I139" i="7"/>
  <c r="I155"/>
  <c r="H168"/>
  <c r="H184"/>
  <c r="I130"/>
  <c r="I146"/>
  <c r="H169"/>
  <c r="H185"/>
  <c r="I127"/>
  <c r="I153"/>
  <c r="H166"/>
  <c r="H174"/>
  <c r="I134"/>
  <c r="H167"/>
  <c r="H175"/>
  <c r="I151"/>
  <c r="H164"/>
  <c r="H182"/>
  <c r="I132"/>
  <c r="H157"/>
  <c r="H165"/>
  <c r="H183"/>
  <c r="I149"/>
  <c r="H172"/>
  <c r="H180"/>
  <c r="I128"/>
  <c r="I156"/>
  <c r="H173"/>
  <c r="H181"/>
  <c r="I137"/>
  <c r="I144"/>
  <c r="I135"/>
  <c r="I133"/>
  <c r="H159"/>
  <c r="H162"/>
  <c r="I150"/>
  <c r="H158"/>
  <c r="I140"/>
  <c r="I141"/>
  <c r="H179"/>
  <c r="H178"/>
  <c r="I148"/>
  <c r="I143"/>
  <c r="H163"/>
  <c r="I126"/>
  <c r="I142"/>
  <c r="AZ219" i="1"/>
  <c r="Q219" s="1"/>
  <c r="AW220"/>
  <c r="AY288"/>
  <c r="AZ35"/>
  <c r="Q35" s="1"/>
  <c r="AW36"/>
  <c r="AY40"/>
  <c r="AW154"/>
  <c r="AZ154" s="1"/>
  <c r="Q154" s="1"/>
  <c r="I18" i="37"/>
  <c r="I14"/>
  <c r="J27"/>
  <c r="C27"/>
  <c r="M13"/>
  <c r="I27"/>
  <c r="K18"/>
  <c r="G18"/>
  <c r="I8"/>
  <c r="M18"/>
  <c r="C8"/>
  <c r="H13"/>
  <c r="J8"/>
  <c r="N14"/>
  <c r="K8"/>
  <c r="M27"/>
  <c r="M14"/>
  <c r="E8"/>
  <c r="J13"/>
  <c r="I13"/>
  <c r="L13"/>
  <c r="K14"/>
  <c r="E25"/>
  <c r="N8"/>
  <c r="G13"/>
  <c r="F27"/>
  <c r="H27"/>
  <c r="D18"/>
  <c r="D27"/>
  <c r="E22"/>
  <c r="J14"/>
  <c r="K13"/>
  <c r="I25"/>
  <c r="E13"/>
  <c r="D8"/>
  <c r="G27"/>
  <c r="F18"/>
  <c r="H14"/>
  <c r="E27"/>
  <c r="D22"/>
  <c r="N13"/>
  <c r="D14"/>
  <c r="G22"/>
  <c r="H18"/>
  <c r="G14"/>
  <c r="F14"/>
  <c r="G8"/>
  <c r="C18"/>
  <c r="E14"/>
  <c r="J18"/>
  <c r="L14"/>
  <c r="H8"/>
  <c r="N27"/>
  <c r="N25"/>
  <c r="D13"/>
  <c r="F8"/>
  <c r="E18"/>
  <c r="H25"/>
  <c r="C14"/>
  <c r="C13"/>
  <c r="L18"/>
  <c r="F13"/>
  <c r="N18"/>
  <c r="L8"/>
  <c r="L25" l="1"/>
  <c r="J25"/>
  <c r="AW167" i="1"/>
  <c r="AZ167" s="1"/>
  <c r="Q167" s="1"/>
  <c r="AY168"/>
  <c r="G25" i="37"/>
  <c r="B22"/>
  <c r="N22"/>
  <c r="D25"/>
  <c r="K25"/>
  <c r="C25"/>
  <c r="F22"/>
  <c r="A41" i="29"/>
  <c r="B25" i="37"/>
  <c r="K22"/>
  <c r="C22"/>
  <c r="M22"/>
  <c r="M25"/>
  <c r="L22"/>
  <c r="F25"/>
  <c r="J22"/>
  <c r="I22"/>
  <c r="H22"/>
  <c r="AW287" i="1"/>
  <c r="AW140"/>
  <c r="AZ140" s="1"/>
  <c r="Q140" s="1"/>
  <c r="M46" i="53"/>
  <c r="C23" i="54"/>
  <c r="B21" i="50"/>
  <c r="J20"/>
  <c r="K20"/>
  <c r="L20"/>
  <c r="J62" i="22"/>
  <c r="B63"/>
  <c r="K62"/>
  <c r="L62"/>
  <c r="J62" i="5"/>
  <c r="B63"/>
  <c r="K62"/>
  <c r="L62"/>
  <c r="M18" i="7"/>
  <c r="O18" s="1"/>
  <c r="B63" i="20"/>
  <c r="J62"/>
  <c r="K62"/>
  <c r="L62"/>
  <c r="K19" i="7"/>
  <c r="L19"/>
  <c r="B20"/>
  <c r="J19"/>
  <c r="AY41" i="1"/>
  <c r="AY225"/>
  <c r="AZ36"/>
  <c r="Q36" s="1"/>
  <c r="AW37"/>
  <c r="AZ220"/>
  <c r="Q220" s="1"/>
  <c r="AW221"/>
  <c r="AY289"/>
  <c r="I109" i="7"/>
  <c r="I125"/>
  <c r="H136"/>
  <c r="H152"/>
  <c r="I108"/>
  <c r="I124"/>
  <c r="H137"/>
  <c r="H153"/>
  <c r="I107"/>
  <c r="I123"/>
  <c r="H130"/>
  <c r="H146"/>
  <c r="I106"/>
  <c r="I122"/>
  <c r="H131"/>
  <c r="H147"/>
  <c r="I101"/>
  <c r="I117"/>
  <c r="H128"/>
  <c r="H144"/>
  <c r="I100"/>
  <c r="I116"/>
  <c r="H129"/>
  <c r="H145"/>
  <c r="I103"/>
  <c r="I102"/>
  <c r="I99"/>
  <c r="H126"/>
  <c r="H134"/>
  <c r="I98"/>
  <c r="H127"/>
  <c r="H135"/>
  <c r="I97"/>
  <c r="I121"/>
  <c r="H142"/>
  <c r="H150"/>
  <c r="I96"/>
  <c r="I120"/>
  <c r="H143"/>
  <c r="H151"/>
  <c r="I113"/>
  <c r="H138"/>
  <c r="I112"/>
  <c r="H139"/>
  <c r="H148"/>
  <c r="I114"/>
  <c r="I110"/>
  <c r="H155"/>
  <c r="I104"/>
  <c r="I111"/>
  <c r="H154"/>
  <c r="H132"/>
  <c r="I118"/>
  <c r="I119"/>
  <c r="M7" i="6"/>
  <c r="H141" i="7"/>
  <c r="H156"/>
  <c r="I115"/>
  <c r="H149"/>
  <c r="H133"/>
  <c r="H140"/>
  <c r="I105"/>
  <c r="AZ287" i="1" l="1"/>
  <c r="Q287" s="1"/>
  <c r="AW288"/>
  <c r="AZ288" s="1"/>
  <c r="Q288" s="1"/>
  <c r="AW168"/>
  <c r="AZ168" s="1"/>
  <c r="Q168" s="1"/>
  <c r="AY169"/>
  <c r="A42" i="29"/>
  <c r="J20" i="7"/>
  <c r="K20"/>
  <c r="L20"/>
  <c r="B21"/>
  <c r="B64" i="5"/>
  <c r="K63"/>
  <c r="J63"/>
  <c r="L63"/>
  <c r="B64" i="22"/>
  <c r="J63"/>
  <c r="K63"/>
  <c r="L63"/>
  <c r="C24" i="54"/>
  <c r="M47" i="53"/>
  <c r="B64" i="20"/>
  <c r="J63"/>
  <c r="K63"/>
  <c r="L63"/>
  <c r="M19" i="7"/>
  <c r="O19" s="1"/>
  <c r="L21" i="50"/>
  <c r="B22"/>
  <c r="J21"/>
  <c r="K21"/>
  <c r="AY290" i="1"/>
  <c r="AZ221"/>
  <c r="Q221" s="1"/>
  <c r="AW222"/>
  <c r="AZ37"/>
  <c r="Q37" s="1"/>
  <c r="AW38"/>
  <c r="I65" i="7"/>
  <c r="I81"/>
  <c r="H96"/>
  <c r="H112"/>
  <c r="I72"/>
  <c r="I88"/>
  <c r="H105"/>
  <c r="H121"/>
  <c r="I79"/>
  <c r="I95"/>
  <c r="H106"/>
  <c r="H122"/>
  <c r="I70"/>
  <c r="I86"/>
  <c r="H99"/>
  <c r="H115"/>
  <c r="I73"/>
  <c r="I89"/>
  <c r="H104"/>
  <c r="H120"/>
  <c r="I80"/>
  <c r="H97"/>
  <c r="H113"/>
  <c r="I77"/>
  <c r="H98"/>
  <c r="H124"/>
  <c r="I84"/>
  <c r="H111"/>
  <c r="H119"/>
  <c r="I75"/>
  <c r="H114"/>
  <c r="I82"/>
  <c r="H101"/>
  <c r="H109"/>
  <c r="M6" i="6"/>
  <c r="I71" i="7"/>
  <c r="I78"/>
  <c r="H117"/>
  <c r="H125"/>
  <c r="I87"/>
  <c r="H102"/>
  <c r="H110"/>
  <c r="I68"/>
  <c r="I94"/>
  <c r="H116"/>
  <c r="I90"/>
  <c r="I93"/>
  <c r="I76"/>
  <c r="H107"/>
  <c r="I91"/>
  <c r="I74"/>
  <c r="H123"/>
  <c r="I69"/>
  <c r="I85"/>
  <c r="I66"/>
  <c r="I83"/>
  <c r="I67"/>
  <c r="H108"/>
  <c r="H103"/>
  <c r="H118"/>
  <c r="I92"/>
  <c r="H100"/>
  <c r="AY226" i="1"/>
  <c r="AY42"/>
  <c r="AY170" l="1"/>
  <c r="AW169"/>
  <c r="AZ169" s="1"/>
  <c r="Q169" s="1"/>
  <c r="AW289"/>
  <c r="AZ289" s="1"/>
  <c r="Q289" s="1"/>
  <c r="A43" i="29"/>
  <c r="K64" i="20"/>
  <c r="B65"/>
  <c r="J64"/>
  <c r="L64"/>
  <c r="B65" i="22"/>
  <c r="K64"/>
  <c r="J64"/>
  <c r="L64"/>
  <c r="B22" i="7"/>
  <c r="J21"/>
  <c r="K21"/>
  <c r="L21"/>
  <c r="K22" i="50"/>
  <c r="L22"/>
  <c r="B23"/>
  <c r="J22"/>
  <c r="B65" i="5"/>
  <c r="J64"/>
  <c r="K64"/>
  <c r="L64"/>
  <c r="M48" i="53"/>
  <c r="C25" i="54"/>
  <c r="M20" i="7"/>
  <c r="O20" s="1"/>
  <c r="AY291" i="1"/>
  <c r="AW290"/>
  <c r="AZ290" s="1"/>
  <c r="Q290" s="1"/>
  <c r="AZ38"/>
  <c r="Q38" s="1"/>
  <c r="AW39"/>
  <c r="AY43"/>
  <c r="AZ222"/>
  <c r="Q222" s="1"/>
  <c r="AW223"/>
  <c r="AY227"/>
  <c r="I40" i="7"/>
  <c r="I48"/>
  <c r="I61"/>
  <c r="H70"/>
  <c r="H86"/>
  <c r="I52"/>
  <c r="H71"/>
  <c r="H87"/>
  <c r="I39"/>
  <c r="I47"/>
  <c r="I59"/>
  <c r="H80"/>
  <c r="M5" i="6"/>
  <c r="H65" i="7"/>
  <c r="H81"/>
  <c r="I36"/>
  <c r="I44"/>
  <c r="I53"/>
  <c r="H78"/>
  <c r="H94"/>
  <c r="I60"/>
  <c r="H79"/>
  <c r="H95"/>
  <c r="I46"/>
  <c r="H76"/>
  <c r="H84"/>
  <c r="I64"/>
  <c r="H73"/>
  <c r="I45"/>
  <c r="H66"/>
  <c r="H74"/>
  <c r="H92"/>
  <c r="I62"/>
  <c r="H89"/>
  <c r="I43"/>
  <c r="I63"/>
  <c r="H82"/>
  <c r="H90"/>
  <c r="I58"/>
  <c r="I38"/>
  <c r="I51"/>
  <c r="H77"/>
  <c r="H85"/>
  <c r="H68"/>
  <c r="H83"/>
  <c r="I57"/>
  <c r="I56"/>
  <c r="I55"/>
  <c r="I54"/>
  <c r="I42"/>
  <c r="H72"/>
  <c r="I37"/>
  <c r="H75"/>
  <c r="I50"/>
  <c r="H93"/>
  <c r="H69"/>
  <c r="H67"/>
  <c r="H88"/>
  <c r="I49"/>
  <c r="H91"/>
  <c r="I41"/>
  <c r="A44" i="29" l="1"/>
  <c r="AY171" i="1"/>
  <c r="AW170"/>
  <c r="AZ170" s="1"/>
  <c r="Q170" s="1"/>
  <c r="B66" i="5"/>
  <c r="J65"/>
  <c r="K65"/>
  <c r="L65"/>
  <c r="C26" i="54"/>
  <c r="M49" i="53"/>
  <c r="M21" i="7"/>
  <c r="O21" s="1"/>
  <c r="K65" i="20"/>
  <c r="B66"/>
  <c r="J65"/>
  <c r="L65"/>
  <c r="J23" i="50"/>
  <c r="K23"/>
  <c r="L23"/>
  <c r="B24"/>
  <c r="L22" i="7"/>
  <c r="B23"/>
  <c r="J22"/>
  <c r="M22" s="1"/>
  <c r="K22"/>
  <c r="J65" i="22"/>
  <c r="K65"/>
  <c r="B66"/>
  <c r="L65"/>
  <c r="AZ223" i="1"/>
  <c r="Q223" s="1"/>
  <c r="AW224"/>
  <c r="AW291"/>
  <c r="AZ291" s="1"/>
  <c r="Q291" s="1"/>
  <c r="AY292"/>
  <c r="I8" i="7"/>
  <c r="I16"/>
  <c r="I24"/>
  <c r="I32"/>
  <c r="H56"/>
  <c r="H36"/>
  <c r="H44"/>
  <c r="H51"/>
  <c r="H57"/>
  <c r="I7"/>
  <c r="I15"/>
  <c r="I23"/>
  <c r="I31"/>
  <c r="M4" i="6"/>
  <c r="H43" i="7"/>
  <c r="I4"/>
  <c r="I12"/>
  <c r="I20"/>
  <c r="I28"/>
  <c r="H52"/>
  <c r="H64"/>
  <c r="H40"/>
  <c r="H48"/>
  <c r="I11"/>
  <c r="I25"/>
  <c r="H42"/>
  <c r="H53"/>
  <c r="H63"/>
  <c r="I10"/>
  <c r="I22"/>
  <c r="I35"/>
  <c r="H62"/>
  <c r="H41"/>
  <c r="H61"/>
  <c r="I9"/>
  <c r="I21"/>
  <c r="I34"/>
  <c r="H60"/>
  <c r="H39"/>
  <c r="I17"/>
  <c r="I29"/>
  <c r="H47"/>
  <c r="I26"/>
  <c r="H55"/>
  <c r="I19"/>
  <c r="H50"/>
  <c r="I18"/>
  <c r="H58"/>
  <c r="H49"/>
  <c r="I6"/>
  <c r="I33"/>
  <c r="H38"/>
  <c r="H59"/>
  <c r="I27"/>
  <c r="I14"/>
  <c r="H46"/>
  <c r="I13"/>
  <c r="H45"/>
  <c r="I30"/>
  <c r="I5"/>
  <c r="H37"/>
  <c r="H54"/>
  <c r="AY228" i="1"/>
  <c r="AZ39"/>
  <c r="Q39" s="1"/>
  <c r="AW40"/>
  <c r="AY44"/>
  <c r="A45" i="29" l="1"/>
  <c r="AW171" i="1"/>
  <c r="AZ171" s="1"/>
  <c r="Q171" s="1"/>
  <c r="AY172"/>
  <c r="O22" i="7"/>
  <c r="J66" i="22"/>
  <c r="B67"/>
  <c r="K66"/>
  <c r="L66"/>
  <c r="J66" i="5"/>
  <c r="K66"/>
  <c r="B67"/>
  <c r="L66"/>
  <c r="K23" i="7"/>
  <c r="L23"/>
  <c r="B24"/>
  <c r="J23"/>
  <c r="M23" s="1"/>
  <c r="M50" i="53"/>
  <c r="C27" i="54"/>
  <c r="B67" i="20"/>
  <c r="J66"/>
  <c r="K66"/>
  <c r="L66"/>
  <c r="B25" i="50"/>
  <c r="J24"/>
  <c r="K24"/>
  <c r="L24"/>
  <c r="H6" i="7"/>
  <c r="H14"/>
  <c r="H22"/>
  <c r="H30"/>
  <c r="H5"/>
  <c r="H13"/>
  <c r="H21"/>
  <c r="H29"/>
  <c r="H10"/>
  <c r="H18"/>
  <c r="H26"/>
  <c r="H34"/>
  <c r="H7"/>
  <c r="H19"/>
  <c r="H32"/>
  <c r="H4"/>
  <c r="H17"/>
  <c r="H31"/>
  <c r="H16"/>
  <c r="H28"/>
  <c r="H11"/>
  <c r="H24"/>
  <c r="H23"/>
  <c r="H20"/>
  <c r="H15"/>
  <c r="H8"/>
  <c r="H33"/>
  <c r="H9"/>
  <c r="H27"/>
  <c r="H35"/>
  <c r="H25"/>
  <c r="H12"/>
  <c r="AY45" i="1"/>
  <c r="AZ224"/>
  <c r="Q224" s="1"/>
  <c r="AW225"/>
  <c r="AZ40"/>
  <c r="Q40" s="1"/>
  <c r="AW41"/>
  <c r="AY229"/>
  <c r="AW292"/>
  <c r="AZ292" s="1"/>
  <c r="Q292" s="1"/>
  <c r="AY293"/>
  <c r="AY173" l="1"/>
  <c r="AW172"/>
  <c r="AZ172" s="1"/>
  <c r="Q172" s="1"/>
  <c r="A46" i="29"/>
  <c r="O23" i="7"/>
  <c r="C28" i="54"/>
  <c r="M51" i="53"/>
  <c r="B68" i="5"/>
  <c r="K67"/>
  <c r="J67"/>
  <c r="L67"/>
  <c r="L25" i="50"/>
  <c r="B26"/>
  <c r="J25"/>
  <c r="K25"/>
  <c r="B68" i="20"/>
  <c r="J67"/>
  <c r="K67"/>
  <c r="L67"/>
  <c r="J24" i="7"/>
  <c r="M24" s="1"/>
  <c r="O24" s="1"/>
  <c r="K24"/>
  <c r="L24"/>
  <c r="B25"/>
  <c r="B68" i="22"/>
  <c r="K67"/>
  <c r="J67"/>
  <c r="L67"/>
  <c r="AZ41" i="1"/>
  <c r="Q41" s="1"/>
  <c r="AW42"/>
  <c r="N8" i="7"/>
  <c r="Q8"/>
  <c r="Q18"/>
  <c r="N18"/>
  <c r="Q14"/>
  <c r="N14"/>
  <c r="AY230" i="1"/>
  <c r="N16" i="7"/>
  <c r="Q16"/>
  <c r="Q22"/>
  <c r="N22"/>
  <c r="N9"/>
  <c r="Q9"/>
  <c r="N12"/>
  <c r="Q12"/>
  <c r="N20"/>
  <c r="Q20"/>
  <c r="Q4"/>
  <c r="N4"/>
  <c r="P4" s="1"/>
  <c r="AY46" i="1"/>
  <c r="N15" i="7"/>
  <c r="Q15"/>
  <c r="Q17"/>
  <c r="N17"/>
  <c r="Q10"/>
  <c r="N10"/>
  <c r="Q6"/>
  <c r="N6"/>
  <c r="AZ225" i="1"/>
  <c r="Q225" s="1"/>
  <c r="AW226"/>
  <c r="N11" i="7"/>
  <c r="Q11"/>
  <c r="N7"/>
  <c r="Q7"/>
  <c r="Q5"/>
  <c r="N5"/>
  <c r="Q19"/>
  <c r="N19"/>
  <c r="Q13"/>
  <c r="N13"/>
  <c r="AY294" i="1"/>
  <c r="AY295" s="1"/>
  <c r="AW293"/>
  <c r="AZ293" s="1"/>
  <c r="Q293" s="1"/>
  <c r="Q23" i="7"/>
  <c r="N23"/>
  <c r="Q21"/>
  <c r="N21"/>
  <c r="AW173" i="1" l="1"/>
  <c r="AZ173" s="1"/>
  <c r="Q173" s="1"/>
  <c r="AY174"/>
  <c r="A47" i="29"/>
  <c r="AY296" i="1"/>
  <c r="Q24" i="7"/>
  <c r="N24"/>
  <c r="B69" i="22"/>
  <c r="J68"/>
  <c r="K68"/>
  <c r="L68"/>
  <c r="K26" i="50"/>
  <c r="L26"/>
  <c r="B27"/>
  <c r="J26"/>
  <c r="C29" i="54"/>
  <c r="M52" i="53"/>
  <c r="B26" i="7"/>
  <c r="J25"/>
  <c r="M25" s="1"/>
  <c r="K25"/>
  <c r="L25"/>
  <c r="K68" i="20"/>
  <c r="J68"/>
  <c r="B69"/>
  <c r="L68"/>
  <c r="B69" i="5"/>
  <c r="J68"/>
  <c r="K68"/>
  <c r="L68"/>
  <c r="P5" i="7"/>
  <c r="P6" s="1"/>
  <c r="P7" s="1"/>
  <c r="P8" s="1"/>
  <c r="P9" s="1"/>
  <c r="P10" s="1"/>
  <c r="P11" s="1"/>
  <c r="P12" s="1"/>
  <c r="P13" s="1"/>
  <c r="P14" s="1"/>
  <c r="P15" s="1"/>
  <c r="P16" s="1"/>
  <c r="P17" s="1"/>
  <c r="P18" s="1"/>
  <c r="P19" s="1"/>
  <c r="P20" s="1"/>
  <c r="P21" s="1"/>
  <c r="P22" s="1"/>
  <c r="P23" s="1"/>
  <c r="P24" s="1"/>
  <c r="AW294" i="1"/>
  <c r="AZ294" s="1"/>
  <c r="Q294" s="1"/>
  <c r="AY231"/>
  <c r="AY47"/>
  <c r="AZ226"/>
  <c r="Q226" s="1"/>
  <c r="AW227"/>
  <c r="AZ42"/>
  <c r="Q42" s="1"/>
  <c r="AW43"/>
  <c r="A48" i="29" l="1"/>
  <c r="AW295" i="1"/>
  <c r="AZ295" s="1"/>
  <c r="Q295" s="1"/>
  <c r="AW174"/>
  <c r="AZ174" s="1"/>
  <c r="Q174" s="1"/>
  <c r="AY175"/>
  <c r="AY297"/>
  <c r="B70" i="5"/>
  <c r="J69"/>
  <c r="K69"/>
  <c r="L69"/>
  <c r="J69" i="20"/>
  <c r="B70"/>
  <c r="K69"/>
  <c r="L69"/>
  <c r="N25" i="7"/>
  <c r="P25" s="1"/>
  <c r="Q25"/>
  <c r="L26"/>
  <c r="B27"/>
  <c r="J26"/>
  <c r="K26"/>
  <c r="J27" i="50"/>
  <c r="K27"/>
  <c r="L27"/>
  <c r="B28"/>
  <c r="C30" i="54"/>
  <c r="M53" i="53"/>
  <c r="J69" i="22"/>
  <c r="B70"/>
  <c r="K69"/>
  <c r="L69"/>
  <c r="O25" i="7"/>
  <c r="AY48" i="1"/>
  <c r="AZ227"/>
  <c r="Q227" s="1"/>
  <c r="AW228"/>
  <c r="AY232"/>
  <c r="AZ43"/>
  <c r="Q43" s="1"/>
  <c r="AW44"/>
  <c r="A49" i="29" l="1"/>
  <c r="AW175" i="1"/>
  <c r="AZ175" s="1"/>
  <c r="Q175" s="1"/>
  <c r="AY176"/>
  <c r="AY298"/>
  <c r="AW297"/>
  <c r="AZ297" s="1"/>
  <c r="Q297" s="1"/>
  <c r="AW296"/>
  <c r="AZ296" s="1"/>
  <c r="Q296" s="1"/>
  <c r="B29" i="50"/>
  <c r="J28"/>
  <c r="K28"/>
  <c r="L28"/>
  <c r="J70" i="5"/>
  <c r="K70"/>
  <c r="B71"/>
  <c r="L70"/>
  <c r="B71" i="22"/>
  <c r="J70"/>
  <c r="K70"/>
  <c r="L70"/>
  <c r="M26" i="7"/>
  <c r="K27"/>
  <c r="L27"/>
  <c r="B28"/>
  <c r="J27"/>
  <c r="M27" s="1"/>
  <c r="C31" i="54"/>
  <c r="M54" i="53"/>
  <c r="B71" i="20"/>
  <c r="J70"/>
  <c r="K70"/>
  <c r="L70"/>
  <c r="AZ228" i="1"/>
  <c r="Q228" s="1"/>
  <c r="AW229"/>
  <c r="AY49"/>
  <c r="AZ44"/>
  <c r="Q44" s="1"/>
  <c r="AW45"/>
  <c r="AY233"/>
  <c r="A50" i="29" l="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W176" i="1"/>
  <c r="AZ176" s="1"/>
  <c r="Q176" s="1"/>
  <c r="AY177"/>
  <c r="AY299"/>
  <c r="AW298"/>
  <c r="AZ298" s="1"/>
  <c r="Q298" s="1"/>
  <c r="Q27" i="7"/>
  <c r="N27"/>
  <c r="Q26"/>
  <c r="N26"/>
  <c r="P26" s="1"/>
  <c r="B72" i="5"/>
  <c r="K71"/>
  <c r="J71"/>
  <c r="L71"/>
  <c r="J28" i="7"/>
  <c r="K28"/>
  <c r="L28"/>
  <c r="B29"/>
  <c r="O26"/>
  <c r="O27" s="1"/>
  <c r="B72" i="22"/>
  <c r="K71"/>
  <c r="J71"/>
  <c r="L71"/>
  <c r="L29" i="50"/>
  <c r="B30"/>
  <c r="J29"/>
  <c r="K29"/>
  <c r="B72" i="20"/>
  <c r="J71"/>
  <c r="K71"/>
  <c r="L71"/>
  <c r="C32" i="54"/>
  <c r="M55" i="53"/>
  <c r="AZ45" i="1"/>
  <c r="Q45" s="1"/>
  <c r="AW46"/>
  <c r="AY234"/>
  <c r="AZ229"/>
  <c r="Q229" s="1"/>
  <c r="AW230"/>
  <c r="AY50"/>
  <c r="AY178" l="1"/>
  <c r="AW177"/>
  <c r="AZ177" s="1"/>
  <c r="Q177" s="1"/>
  <c r="AY300"/>
  <c r="AW299"/>
  <c r="AZ299" s="1"/>
  <c r="Q299" s="1"/>
  <c r="P27" i="7"/>
  <c r="C33" i="54"/>
  <c r="M56" i="53"/>
  <c r="K30" i="50"/>
  <c r="L30"/>
  <c r="B31"/>
  <c r="J30"/>
  <c r="B30" i="7"/>
  <c r="J29"/>
  <c r="M29" s="1"/>
  <c r="K29"/>
  <c r="L29"/>
  <c r="J72" i="20"/>
  <c r="K72"/>
  <c r="B73"/>
  <c r="L72"/>
  <c r="B73" i="22"/>
  <c r="J72"/>
  <c r="K72"/>
  <c r="L72"/>
  <c r="B73" i="5"/>
  <c r="J72"/>
  <c r="K72"/>
  <c r="L72"/>
  <c r="M28" i="7"/>
  <c r="AY235" i="1"/>
  <c r="AZ46"/>
  <c r="Q46" s="1"/>
  <c r="AW47"/>
  <c r="AZ230"/>
  <c r="Q230" s="1"/>
  <c r="AW231"/>
  <c r="AY51"/>
  <c r="AY179" l="1"/>
  <c r="AW178"/>
  <c r="AZ178" s="1"/>
  <c r="Q178" s="1"/>
  <c r="AY301"/>
  <c r="AW300"/>
  <c r="AZ300" s="1"/>
  <c r="Q300" s="1"/>
  <c r="J31" i="50"/>
  <c r="K31"/>
  <c r="L31"/>
  <c r="B32"/>
  <c r="B74" i="20"/>
  <c r="J73"/>
  <c r="K73"/>
  <c r="L73"/>
  <c r="Q29" i="7"/>
  <c r="N29"/>
  <c r="N28"/>
  <c r="P28" s="1"/>
  <c r="Q28"/>
  <c r="L30"/>
  <c r="B31"/>
  <c r="J30"/>
  <c r="K30"/>
  <c r="C34" i="54"/>
  <c r="M57" i="53"/>
  <c r="O28" i="7"/>
  <c r="O29" s="1"/>
  <c r="B74" i="5"/>
  <c r="J73"/>
  <c r="K73"/>
  <c r="L73"/>
  <c r="B74" i="22"/>
  <c r="J73"/>
  <c r="K73"/>
  <c r="L73"/>
  <c r="AY52" i="1"/>
  <c r="AY236"/>
  <c r="AZ231"/>
  <c r="Q231" s="1"/>
  <c r="AW232"/>
  <c r="AZ47"/>
  <c r="Q47" s="1"/>
  <c r="AW48"/>
  <c r="AW179" l="1"/>
  <c r="AZ179" s="1"/>
  <c r="Q179" s="1"/>
  <c r="AY180"/>
  <c r="AY302"/>
  <c r="AW301"/>
  <c r="AZ301" s="1"/>
  <c r="Q301" s="1"/>
  <c r="P29" i="7"/>
  <c r="C35" i="54"/>
  <c r="M58" i="53"/>
  <c r="K31" i="7"/>
  <c r="L31"/>
  <c r="B32"/>
  <c r="J31"/>
  <c r="B33" i="50"/>
  <c r="J32"/>
  <c r="K32"/>
  <c r="L32"/>
  <c r="B75" i="22"/>
  <c r="K74"/>
  <c r="J74"/>
  <c r="L74"/>
  <c r="B75" i="5"/>
  <c r="J74"/>
  <c r="K74"/>
  <c r="L74"/>
  <c r="M30" i="7"/>
  <c r="B75" i="20"/>
  <c r="J74"/>
  <c r="K74"/>
  <c r="L74"/>
  <c r="AZ232" i="1"/>
  <c r="Q232" s="1"/>
  <c r="AW233"/>
  <c r="AZ48"/>
  <c r="Q48" s="1"/>
  <c r="AW49"/>
  <c r="AY53"/>
  <c r="AY237"/>
  <c r="AW180" l="1"/>
  <c r="AZ180" s="1"/>
  <c r="Q180" s="1"/>
  <c r="AY181"/>
  <c r="AY303"/>
  <c r="AW303" s="1"/>
  <c r="AZ303" s="1"/>
  <c r="Q303" s="1"/>
  <c r="AW302"/>
  <c r="AZ302" s="1"/>
  <c r="Q302" s="1"/>
  <c r="Q30" i="7"/>
  <c r="N30"/>
  <c r="P30" s="1"/>
  <c r="L33" i="50"/>
  <c r="B34"/>
  <c r="J33"/>
  <c r="K33"/>
  <c r="O30" i="7"/>
  <c r="B76" i="5"/>
  <c r="K75"/>
  <c r="J75"/>
  <c r="L75"/>
  <c r="B76" i="22"/>
  <c r="K75"/>
  <c r="J75"/>
  <c r="L75"/>
  <c r="B76" i="20"/>
  <c r="K75"/>
  <c r="J75"/>
  <c r="L75"/>
  <c r="M31" i="7"/>
  <c r="C36" i="54"/>
  <c r="M59" i="53"/>
  <c r="J32" i="7"/>
  <c r="K32"/>
  <c r="L32"/>
  <c r="B33"/>
  <c r="AY54" i="1"/>
  <c r="AZ233"/>
  <c r="Q233" s="1"/>
  <c r="AW234"/>
  <c r="AY238"/>
  <c r="AZ49"/>
  <c r="Q49" s="1"/>
  <c r="AW50"/>
  <c r="AY182" l="1"/>
  <c r="AW181"/>
  <c r="AZ181" s="1"/>
  <c r="Q181" s="1"/>
  <c r="O31" i="7"/>
  <c r="K34" i="50"/>
  <c r="L34"/>
  <c r="B35"/>
  <c r="J34"/>
  <c r="C37" i="54"/>
  <c r="M60" i="53"/>
  <c r="M32" i="7"/>
  <c r="J76" i="20"/>
  <c r="K76"/>
  <c r="B77"/>
  <c r="L76"/>
  <c r="B34" i="7"/>
  <c r="J33"/>
  <c r="M33" s="1"/>
  <c r="K33"/>
  <c r="L33"/>
  <c r="Q31"/>
  <c r="N31"/>
  <c r="P31" s="1"/>
  <c r="B77" i="22"/>
  <c r="J76"/>
  <c r="K76"/>
  <c r="L76"/>
  <c r="B77" i="5"/>
  <c r="J76"/>
  <c r="K76"/>
  <c r="L76"/>
  <c r="AZ50" i="1"/>
  <c r="Q50" s="1"/>
  <c r="AW51"/>
  <c r="AY55"/>
  <c r="AZ234"/>
  <c r="Q234" s="1"/>
  <c r="AW235"/>
  <c r="AY239"/>
  <c r="AY183" l="1"/>
  <c r="AW182"/>
  <c r="AZ182" s="1"/>
  <c r="Q182" s="1"/>
  <c r="B78" i="5"/>
  <c r="J77"/>
  <c r="K77"/>
  <c r="L77"/>
  <c r="K77" i="22"/>
  <c r="B78"/>
  <c r="J77"/>
  <c r="L77"/>
  <c r="Q32" i="7"/>
  <c r="N32"/>
  <c r="P32" s="1"/>
  <c r="Q33"/>
  <c r="N33"/>
  <c r="B78" i="20"/>
  <c r="J77"/>
  <c r="K77"/>
  <c r="L77"/>
  <c r="O32" i="7"/>
  <c r="O33" s="1"/>
  <c r="L34"/>
  <c r="B35"/>
  <c r="J34"/>
  <c r="K34"/>
  <c r="J35" i="50"/>
  <c r="K35"/>
  <c r="L35"/>
  <c r="B36"/>
  <c r="C38" i="54"/>
  <c r="M61" i="53"/>
  <c r="AZ51" i="1"/>
  <c r="Q51" s="1"/>
  <c r="AW52"/>
  <c r="AZ235"/>
  <c r="Q235" s="1"/>
  <c r="AW236"/>
  <c r="AY56"/>
  <c r="AY240"/>
  <c r="AY184" l="1"/>
  <c r="AW183"/>
  <c r="AZ183" s="1"/>
  <c r="Q183" s="1"/>
  <c r="P33" i="7"/>
  <c r="B37" i="50"/>
  <c r="J36"/>
  <c r="K36"/>
  <c r="L36"/>
  <c r="B79" i="20"/>
  <c r="K78"/>
  <c r="J78"/>
  <c r="L78"/>
  <c r="B79" i="22"/>
  <c r="K78"/>
  <c r="J78"/>
  <c r="L78"/>
  <c r="C39" i="54"/>
  <c r="M62" i="53"/>
  <c r="M34" i="7"/>
  <c r="O34" s="1"/>
  <c r="J78" i="5"/>
  <c r="B79"/>
  <c r="K78"/>
  <c r="L78"/>
  <c r="K35" i="7"/>
  <c r="L35"/>
  <c r="B36"/>
  <c r="J35"/>
  <c r="M35" s="1"/>
  <c r="AY57" i="1"/>
  <c r="AZ52"/>
  <c r="Q52" s="1"/>
  <c r="AW53"/>
  <c r="AY241"/>
  <c r="AZ236"/>
  <c r="Q236" s="1"/>
  <c r="AW237"/>
  <c r="AW184" l="1"/>
  <c r="AZ184" s="1"/>
  <c r="Q184" s="1"/>
  <c r="AY185"/>
  <c r="O35" i="7"/>
  <c r="L37" i="50"/>
  <c r="B38"/>
  <c r="J37"/>
  <c r="K37"/>
  <c r="N35" i="7"/>
  <c r="Q35"/>
  <c r="Q34"/>
  <c r="N34"/>
  <c r="P34" s="1"/>
  <c r="J36"/>
  <c r="K36"/>
  <c r="L36"/>
  <c r="B37"/>
  <c r="C40" i="54"/>
  <c r="M63" i="53"/>
  <c r="B80" i="5"/>
  <c r="K79"/>
  <c r="J79"/>
  <c r="L79"/>
  <c r="B80" i="22"/>
  <c r="J79"/>
  <c r="K79"/>
  <c r="L79"/>
  <c r="B80" i="20"/>
  <c r="J79"/>
  <c r="K79"/>
  <c r="L79"/>
  <c r="AY242" i="1"/>
  <c r="AY58"/>
  <c r="AZ237"/>
  <c r="Q237" s="1"/>
  <c r="AW238"/>
  <c r="AZ53"/>
  <c r="Q53" s="1"/>
  <c r="AW54"/>
  <c r="AW185" l="1"/>
  <c r="AZ185" s="1"/>
  <c r="Q185" s="1"/>
  <c r="AY186"/>
  <c r="B81" i="20"/>
  <c r="J80"/>
  <c r="K80"/>
  <c r="L80"/>
  <c r="B81" i="22"/>
  <c r="J80"/>
  <c r="K80"/>
  <c r="L80"/>
  <c r="B81" i="5"/>
  <c r="J80"/>
  <c r="K80"/>
  <c r="L80"/>
  <c r="C41" i="54"/>
  <c r="M64" i="53"/>
  <c r="P35" i="7"/>
  <c r="K38" i="50"/>
  <c r="L38"/>
  <c r="B39"/>
  <c r="J38"/>
  <c r="M36" i="7"/>
  <c r="B38"/>
  <c r="J37"/>
  <c r="K37"/>
  <c r="L37"/>
  <c r="AZ54" i="1"/>
  <c r="Q54" s="1"/>
  <c r="AW55"/>
  <c r="AY243"/>
  <c r="AY59"/>
  <c r="AZ238"/>
  <c r="Q238" s="1"/>
  <c r="AW239"/>
  <c r="AY187" l="1"/>
  <c r="AW186"/>
  <c r="AZ186" s="1"/>
  <c r="Q186" s="1"/>
  <c r="J39" i="50"/>
  <c r="K39"/>
  <c r="L39"/>
  <c r="B40"/>
  <c r="M37" i="7"/>
  <c r="C42" i="54"/>
  <c r="M65" i="53"/>
  <c r="L38" i="7"/>
  <c r="B39"/>
  <c r="J38"/>
  <c r="K38"/>
  <c r="N36"/>
  <c r="P36" s="1"/>
  <c r="Q36"/>
  <c r="O36"/>
  <c r="B82" i="5"/>
  <c r="J81"/>
  <c r="K81"/>
  <c r="L81"/>
  <c r="K81" i="22"/>
  <c r="J81"/>
  <c r="B82"/>
  <c r="L81"/>
  <c r="B82" i="20"/>
  <c r="J81"/>
  <c r="K81"/>
  <c r="L81"/>
  <c r="AZ239" i="1"/>
  <c r="Q239" s="1"/>
  <c r="AW240"/>
  <c r="AY60"/>
  <c r="AZ55"/>
  <c r="Q55" s="1"/>
  <c r="AW56"/>
  <c r="AY244"/>
  <c r="O37" i="7" l="1"/>
  <c r="AW187" i="1"/>
  <c r="AZ187" s="1"/>
  <c r="Q187" s="1"/>
  <c r="AY188"/>
  <c r="B83" i="22"/>
  <c r="J82"/>
  <c r="K82"/>
  <c r="L82"/>
  <c r="K39" i="7"/>
  <c r="L39"/>
  <c r="B40"/>
  <c r="J39"/>
  <c r="C43" i="54"/>
  <c r="M66" i="53"/>
  <c r="B41" i="50"/>
  <c r="J40"/>
  <c r="K40"/>
  <c r="L40"/>
  <c r="B83" i="20"/>
  <c r="K82"/>
  <c r="J82"/>
  <c r="L82"/>
  <c r="J82" i="5"/>
  <c r="K82"/>
  <c r="B83"/>
  <c r="L82"/>
  <c r="M38" i="7"/>
  <c r="N37"/>
  <c r="P37" s="1"/>
  <c r="Q37"/>
  <c r="AZ240" i="1"/>
  <c r="Q240" s="1"/>
  <c r="AW241"/>
  <c r="AY61"/>
  <c r="AY245"/>
  <c r="AZ56"/>
  <c r="Q56" s="1"/>
  <c r="AW57"/>
  <c r="AY189" l="1"/>
  <c r="AW188"/>
  <c r="AZ188" s="1"/>
  <c r="Q188" s="1"/>
  <c r="Q38" i="7"/>
  <c r="N38"/>
  <c r="P38" s="1"/>
  <c r="J40"/>
  <c r="K40"/>
  <c r="L40"/>
  <c r="B41"/>
  <c r="O38"/>
  <c r="B84" i="20"/>
  <c r="J83"/>
  <c r="K83"/>
  <c r="L83"/>
  <c r="L41" i="50"/>
  <c r="B42"/>
  <c r="J41"/>
  <c r="K41"/>
  <c r="C44" i="54"/>
  <c r="M67" i="53"/>
  <c r="B84" i="22"/>
  <c r="K83"/>
  <c r="J83"/>
  <c r="L83"/>
  <c r="B84" i="5"/>
  <c r="K83"/>
  <c r="J83"/>
  <c r="L83"/>
  <c r="M39" i="7"/>
  <c r="AZ57" i="1"/>
  <c r="Q57" s="1"/>
  <c r="AW58"/>
  <c r="AY246"/>
  <c r="AZ241"/>
  <c r="Q241" s="1"/>
  <c r="AW242"/>
  <c r="AY62"/>
  <c r="AY190" l="1"/>
  <c r="AW189"/>
  <c r="AZ189" s="1"/>
  <c r="Q189" s="1"/>
  <c r="B42" i="7"/>
  <c r="J41"/>
  <c r="K41"/>
  <c r="L41"/>
  <c r="N39"/>
  <c r="P39" s="1"/>
  <c r="Q39"/>
  <c r="C45" i="54"/>
  <c r="M68" i="53"/>
  <c r="K42" i="50"/>
  <c r="L42"/>
  <c r="B43"/>
  <c r="J42"/>
  <c r="B85" i="5"/>
  <c r="J84"/>
  <c r="K84"/>
  <c r="L84"/>
  <c r="B85" i="22"/>
  <c r="K84"/>
  <c r="J84"/>
  <c r="L84"/>
  <c r="K84" i="20"/>
  <c r="B85"/>
  <c r="J84"/>
  <c r="L84"/>
  <c r="O39" i="7"/>
  <c r="M40"/>
  <c r="AZ242" i="1"/>
  <c r="Q242" s="1"/>
  <c r="AW243"/>
  <c r="AZ58"/>
  <c r="Q58" s="1"/>
  <c r="AW59"/>
  <c r="AY247"/>
  <c r="AY63"/>
  <c r="AY191" l="1"/>
  <c r="AW190"/>
  <c r="AZ190" s="1"/>
  <c r="Q190" s="1"/>
  <c r="Q40" i="7"/>
  <c r="N40"/>
  <c r="P40" s="1"/>
  <c r="M41"/>
  <c r="O40"/>
  <c r="B86" i="20"/>
  <c r="J85"/>
  <c r="K85"/>
  <c r="L85"/>
  <c r="C46" i="54"/>
  <c r="M69" i="53"/>
  <c r="L42" i="7"/>
  <c r="B43"/>
  <c r="J42"/>
  <c r="K42"/>
  <c r="B86" i="22"/>
  <c r="J85"/>
  <c r="K85"/>
  <c r="L85"/>
  <c r="B86" i="5"/>
  <c r="J85"/>
  <c r="K85"/>
  <c r="L85"/>
  <c r="J43" i="50"/>
  <c r="K43"/>
  <c r="L43"/>
  <c r="B44"/>
  <c r="AZ243" i="1"/>
  <c r="Q243" s="1"/>
  <c r="AW244"/>
  <c r="AZ59"/>
  <c r="Q59" s="1"/>
  <c r="AW60"/>
  <c r="AY64"/>
  <c r="AY248"/>
  <c r="AW191" l="1"/>
  <c r="AZ191" s="1"/>
  <c r="Q191" s="1"/>
  <c r="AY192"/>
  <c r="O41" i="7"/>
  <c r="K43"/>
  <c r="L43"/>
  <c r="B44"/>
  <c r="J43"/>
  <c r="M43" s="1"/>
  <c r="B87" i="20"/>
  <c r="J86"/>
  <c r="K86"/>
  <c r="L86"/>
  <c r="J86" i="5"/>
  <c r="K86"/>
  <c r="B87"/>
  <c r="L86"/>
  <c r="B87" i="22"/>
  <c r="J86"/>
  <c r="K86"/>
  <c r="L86"/>
  <c r="B45" i="50"/>
  <c r="J44"/>
  <c r="K44"/>
  <c r="L44"/>
  <c r="N41" i="7"/>
  <c r="P41" s="1"/>
  <c r="Q41"/>
  <c r="M42"/>
  <c r="C47" i="54"/>
  <c r="M70" i="53"/>
  <c r="AZ60" i="1"/>
  <c r="Q60" s="1"/>
  <c r="AW61"/>
  <c r="AY65"/>
  <c r="AZ244"/>
  <c r="Q244" s="1"/>
  <c r="AW245"/>
  <c r="AY249"/>
  <c r="AW192" l="1"/>
  <c r="AZ192" s="1"/>
  <c r="Q192" s="1"/>
  <c r="AY193"/>
  <c r="C48" i="54"/>
  <c r="M71" i="53"/>
  <c r="Q43" i="7"/>
  <c r="N43"/>
  <c r="B88" i="5"/>
  <c r="K87"/>
  <c r="J87"/>
  <c r="L87"/>
  <c r="J44" i="7"/>
  <c r="K44"/>
  <c r="L44"/>
  <c r="B45"/>
  <c r="Q42"/>
  <c r="N42"/>
  <c r="P42" s="1"/>
  <c r="L45" i="50"/>
  <c r="B46"/>
  <c r="J45"/>
  <c r="K45"/>
  <c r="O42" i="7"/>
  <c r="O43" s="1"/>
  <c r="B88" i="22"/>
  <c r="K87"/>
  <c r="J87"/>
  <c r="L87"/>
  <c r="B88" i="20"/>
  <c r="J87"/>
  <c r="K87"/>
  <c r="L87"/>
  <c r="AY66" i="1"/>
  <c r="AZ61"/>
  <c r="Q61" s="1"/>
  <c r="AW62"/>
  <c r="AZ245"/>
  <c r="Q245" s="1"/>
  <c r="AW246"/>
  <c r="AY250"/>
  <c r="AW193" l="1"/>
  <c r="AZ193" s="1"/>
  <c r="Q193" s="1"/>
  <c r="AY194"/>
  <c r="P43" i="7"/>
  <c r="K88" i="20"/>
  <c r="B89"/>
  <c r="J88"/>
  <c r="L88"/>
  <c r="B89" i="22"/>
  <c r="K88"/>
  <c r="J88"/>
  <c r="L88"/>
  <c r="K46" i="50"/>
  <c r="L46"/>
  <c r="B47"/>
  <c r="J46"/>
  <c r="M44" i="7"/>
  <c r="B89" i="5"/>
  <c r="J88"/>
  <c r="K88"/>
  <c r="L88"/>
  <c r="C49" i="54"/>
  <c r="M72" i="53"/>
  <c r="B46" i="7"/>
  <c r="J45"/>
  <c r="M45" s="1"/>
  <c r="K45"/>
  <c r="L45"/>
  <c r="AZ62" i="1"/>
  <c r="Q62" s="1"/>
  <c r="AW63"/>
  <c r="AY67"/>
  <c r="AY251"/>
  <c r="AZ246"/>
  <c r="Q246" s="1"/>
  <c r="AW247"/>
  <c r="AW194" l="1"/>
  <c r="AZ194" s="1"/>
  <c r="Q194" s="1"/>
  <c r="AY195"/>
  <c r="N45" i="7"/>
  <c r="Q45"/>
  <c r="C50" i="54"/>
  <c r="M73" i="53"/>
  <c r="J47" i="50"/>
  <c r="K47"/>
  <c r="L47"/>
  <c r="B48"/>
  <c r="L46" i="7"/>
  <c r="B47"/>
  <c r="J46"/>
  <c r="K46"/>
  <c r="B90" i="5"/>
  <c r="J89"/>
  <c r="K89"/>
  <c r="L89"/>
  <c r="B90" i="20"/>
  <c r="J89"/>
  <c r="K89"/>
  <c r="L89"/>
  <c r="Q44" i="7"/>
  <c r="N44"/>
  <c r="P44" s="1"/>
  <c r="P45" s="1"/>
  <c r="O44"/>
  <c r="O45" s="1"/>
  <c r="J89" i="22"/>
  <c r="B90"/>
  <c r="K89"/>
  <c r="L89"/>
  <c r="AY252" i="1"/>
  <c r="AY68"/>
  <c r="AZ247"/>
  <c r="Q247" s="1"/>
  <c r="AW248"/>
  <c r="AZ63"/>
  <c r="Q63" s="1"/>
  <c r="AW64"/>
  <c r="AY196" l="1"/>
  <c r="AW195"/>
  <c r="AZ195" s="1"/>
  <c r="Q195" s="1"/>
  <c r="K47" i="7"/>
  <c r="L47"/>
  <c r="B48"/>
  <c r="J47"/>
  <c r="M47" s="1"/>
  <c r="B91" i="22"/>
  <c r="J90"/>
  <c r="K90"/>
  <c r="L90"/>
  <c r="B91" i="20"/>
  <c r="J90"/>
  <c r="K90"/>
  <c r="L90"/>
  <c r="B91" i="5"/>
  <c r="J90"/>
  <c r="K90"/>
  <c r="L90"/>
  <c r="B49" i="50"/>
  <c r="J48"/>
  <c r="K48"/>
  <c r="L48"/>
  <c r="C51" i="54"/>
  <c r="M74" i="53"/>
  <c r="M46" i="7"/>
  <c r="O46" s="1"/>
  <c r="AY69" i="1"/>
  <c r="AZ248"/>
  <c r="Q248" s="1"/>
  <c r="AW249"/>
  <c r="AZ64"/>
  <c r="Q64" s="1"/>
  <c r="AW65"/>
  <c r="AY253"/>
  <c r="AW196" l="1"/>
  <c r="AZ196" s="1"/>
  <c r="Q196" s="1"/>
  <c r="AY197"/>
  <c r="O47" i="7"/>
  <c r="N47"/>
  <c r="Q47"/>
  <c r="N46"/>
  <c r="P46" s="1"/>
  <c r="Q46"/>
  <c r="J48"/>
  <c r="K48"/>
  <c r="L48"/>
  <c r="B49"/>
  <c r="C52" i="54"/>
  <c r="M75" i="53"/>
  <c r="L49" i="50"/>
  <c r="B50"/>
  <c r="J49"/>
  <c r="K49"/>
  <c r="B92" i="5"/>
  <c r="K91"/>
  <c r="J91"/>
  <c r="L91"/>
  <c r="B92" i="20"/>
  <c r="J91"/>
  <c r="K91"/>
  <c r="L91"/>
  <c r="B92" i="22"/>
  <c r="K91"/>
  <c r="J91"/>
  <c r="L91"/>
  <c r="AZ249" i="1"/>
  <c r="Q249" s="1"/>
  <c r="AW250"/>
  <c r="AZ65"/>
  <c r="Q65" s="1"/>
  <c r="AW66"/>
  <c r="AY254"/>
  <c r="AY70"/>
  <c r="AY198" l="1"/>
  <c r="AW197"/>
  <c r="AZ197" s="1"/>
  <c r="Q197" s="1"/>
  <c r="K50" i="50"/>
  <c r="L50"/>
  <c r="B51"/>
  <c r="J50"/>
  <c r="B50" i="7"/>
  <c r="J49"/>
  <c r="M49" s="1"/>
  <c r="K49"/>
  <c r="L49"/>
  <c r="B93" i="22"/>
  <c r="K92"/>
  <c r="J92"/>
  <c r="L92"/>
  <c r="K92" i="20"/>
  <c r="B93"/>
  <c r="J92"/>
  <c r="L92"/>
  <c r="B93" i="5"/>
  <c r="J92"/>
  <c r="K92"/>
  <c r="L92"/>
  <c r="C53" i="54"/>
  <c r="M76" i="53"/>
  <c r="P47" i="7"/>
  <c r="M48"/>
  <c r="AY71" i="1"/>
  <c r="AZ66"/>
  <c r="Q66" s="1"/>
  <c r="AW67"/>
  <c r="AZ250"/>
  <c r="Q250" s="1"/>
  <c r="AW251"/>
  <c r="AY255"/>
  <c r="AY199" l="1"/>
  <c r="AW198"/>
  <c r="AZ198" s="1"/>
  <c r="Q198" s="1"/>
  <c r="L50" i="7"/>
  <c r="B51"/>
  <c r="J50"/>
  <c r="K50"/>
  <c r="Q48"/>
  <c r="N48"/>
  <c r="P48" s="1"/>
  <c r="O48"/>
  <c r="O49" s="1"/>
  <c r="C54" i="54"/>
  <c r="M77" i="53"/>
  <c r="B94" i="20"/>
  <c r="J93"/>
  <c r="K93"/>
  <c r="L93"/>
  <c r="J51" i="50"/>
  <c r="K51"/>
  <c r="L51"/>
  <c r="B52"/>
  <c r="B94" i="5"/>
  <c r="J93"/>
  <c r="K93"/>
  <c r="L93"/>
  <c r="J93" i="22"/>
  <c r="B94"/>
  <c r="K93"/>
  <c r="L93"/>
  <c r="Q49" i="7"/>
  <c r="N49"/>
  <c r="AZ67" i="1"/>
  <c r="Q67" s="1"/>
  <c r="AW68"/>
  <c r="AY72"/>
  <c r="AY256"/>
  <c r="AZ251"/>
  <c r="Q251" s="1"/>
  <c r="AW252"/>
  <c r="AY200" l="1"/>
  <c r="AW199"/>
  <c r="AZ199" s="1"/>
  <c r="Q199" s="1"/>
  <c r="P49" i="7"/>
  <c r="K51"/>
  <c r="L51"/>
  <c r="B52"/>
  <c r="J51"/>
  <c r="B95" i="22"/>
  <c r="J94"/>
  <c r="K94"/>
  <c r="L94"/>
  <c r="B95" i="20"/>
  <c r="J94"/>
  <c r="K94"/>
  <c r="L94"/>
  <c r="J94" i="5"/>
  <c r="B95"/>
  <c r="K94"/>
  <c r="L94"/>
  <c r="B53" i="50"/>
  <c r="J52"/>
  <c r="K52"/>
  <c r="L52"/>
  <c r="C55" i="54"/>
  <c r="M78" i="53"/>
  <c r="M50" i="7"/>
  <c r="Q50" s="1"/>
  <c r="AZ68" i="1"/>
  <c r="Q68" s="1"/>
  <c r="AW69"/>
  <c r="AY257"/>
  <c r="AY73"/>
  <c r="AZ252"/>
  <c r="Q252" s="1"/>
  <c r="AW253"/>
  <c r="AW200" l="1"/>
  <c r="AZ200" s="1"/>
  <c r="Q200" s="1"/>
  <c r="AY201"/>
  <c r="L53" i="50"/>
  <c r="B54"/>
  <c r="J53"/>
  <c r="K53"/>
  <c r="J52" i="7"/>
  <c r="K52"/>
  <c r="L52"/>
  <c r="B53"/>
  <c r="B96" i="20"/>
  <c r="J95"/>
  <c r="K95"/>
  <c r="L95"/>
  <c r="B96" i="22"/>
  <c r="K95"/>
  <c r="J95"/>
  <c r="L95"/>
  <c r="C56" i="54"/>
  <c r="M79" i="53"/>
  <c r="B96" i="5"/>
  <c r="K95"/>
  <c r="J95"/>
  <c r="L95"/>
  <c r="M51" i="7"/>
  <c r="Q51" s="1"/>
  <c r="O50"/>
  <c r="AZ69" i="1"/>
  <c r="Q69" s="1"/>
  <c r="AW70"/>
  <c r="AZ253"/>
  <c r="Q253" s="1"/>
  <c r="AW254"/>
  <c r="AY258"/>
  <c r="AY74"/>
  <c r="AY202" l="1"/>
  <c r="AW201"/>
  <c r="AZ201" s="1"/>
  <c r="Q201" s="1"/>
  <c r="B97" i="5"/>
  <c r="J96"/>
  <c r="K96"/>
  <c r="L96"/>
  <c r="B54" i="7"/>
  <c r="J53"/>
  <c r="K53"/>
  <c r="L53"/>
  <c r="C57" i="54"/>
  <c r="M80" i="53"/>
  <c r="B97" i="22"/>
  <c r="J96"/>
  <c r="K96"/>
  <c r="L96"/>
  <c r="B97" i="20"/>
  <c r="K96"/>
  <c r="J96"/>
  <c r="L96"/>
  <c r="K54" i="50"/>
  <c r="L54"/>
  <c r="B55"/>
  <c r="J54"/>
  <c r="O51" i="7"/>
  <c r="M52"/>
  <c r="Q52" s="1"/>
  <c r="AZ70" i="1"/>
  <c r="Q70" s="1"/>
  <c r="AW71"/>
  <c r="AZ254"/>
  <c r="Q254" s="1"/>
  <c r="AW255"/>
  <c r="AY75"/>
  <c r="AY259"/>
  <c r="AW202" l="1"/>
  <c r="AZ202" s="1"/>
  <c r="Q202" s="1"/>
  <c r="AY203"/>
  <c r="J55" i="50"/>
  <c r="K55"/>
  <c r="L55"/>
  <c r="B56"/>
  <c r="C58" i="54"/>
  <c r="M81" i="53"/>
  <c r="M53" i="7"/>
  <c r="Q53" s="1"/>
  <c r="L54"/>
  <c r="B55"/>
  <c r="J54"/>
  <c r="K54"/>
  <c r="B98" i="5"/>
  <c r="J97"/>
  <c r="K97"/>
  <c r="L97"/>
  <c r="O52" i="7"/>
  <c r="B98" i="20"/>
  <c r="J97"/>
  <c r="K97"/>
  <c r="L97"/>
  <c r="J97" i="22"/>
  <c r="K97"/>
  <c r="B98"/>
  <c r="L97"/>
  <c r="AY76" i="1"/>
  <c r="AZ71"/>
  <c r="Q71" s="1"/>
  <c r="AW72"/>
  <c r="AY260"/>
  <c r="AZ255"/>
  <c r="Q255" s="1"/>
  <c r="AW256"/>
  <c r="AY204" l="1"/>
  <c r="AW203"/>
  <c r="AZ203" s="1"/>
  <c r="Q203" s="1"/>
  <c r="O53" i="7"/>
  <c r="J98" i="5"/>
  <c r="K98"/>
  <c r="B99"/>
  <c r="L98"/>
  <c r="C59" i="54"/>
  <c r="M82" i="53"/>
  <c r="B99" i="22"/>
  <c r="J98"/>
  <c r="K98"/>
  <c r="L98"/>
  <c r="B57" i="50"/>
  <c r="J56"/>
  <c r="K56"/>
  <c r="L56"/>
  <c r="M54" i="7"/>
  <c r="Q54" s="1"/>
  <c r="B99" i="20"/>
  <c r="J98"/>
  <c r="K98"/>
  <c r="L98"/>
  <c r="K55" i="7"/>
  <c r="L55"/>
  <c r="B56"/>
  <c r="J55"/>
  <c r="AZ72" i="1"/>
  <c r="Q72" s="1"/>
  <c r="AW73"/>
  <c r="AY261"/>
  <c r="AZ256"/>
  <c r="Q256" s="1"/>
  <c r="AW257"/>
  <c r="AY77"/>
  <c r="AW204" l="1"/>
  <c r="AZ204" s="1"/>
  <c r="Q204" s="1"/>
  <c r="AY205"/>
  <c r="J56" i="7"/>
  <c r="K56"/>
  <c r="L56"/>
  <c r="B57"/>
  <c r="B100" i="22"/>
  <c r="K99"/>
  <c r="J99"/>
  <c r="L99"/>
  <c r="B100" i="5"/>
  <c r="K99"/>
  <c r="J99"/>
  <c r="L99"/>
  <c r="L57" i="50"/>
  <c r="B58"/>
  <c r="J57"/>
  <c r="K57"/>
  <c r="C60" i="54"/>
  <c r="M83" i="53"/>
  <c r="B100" i="20"/>
  <c r="J99"/>
  <c r="K99"/>
  <c r="L99"/>
  <c r="M55" i="7"/>
  <c r="Q55" s="1"/>
  <c r="N55" s="1"/>
  <c r="O54"/>
  <c r="AZ257" i="1"/>
  <c r="Q257" s="1"/>
  <c r="AW258"/>
  <c r="AY262"/>
  <c r="AY78"/>
  <c r="AZ73"/>
  <c r="Q73" s="1"/>
  <c r="AW74"/>
  <c r="AW205" l="1"/>
  <c r="AZ205" s="1"/>
  <c r="Q205" s="1"/>
  <c r="AY206"/>
  <c r="O55" i="7"/>
  <c r="C61" i="54"/>
  <c r="M84" i="53"/>
  <c r="K58" i="50"/>
  <c r="L58"/>
  <c r="B59"/>
  <c r="J58"/>
  <c r="B58" i="7"/>
  <c r="J57"/>
  <c r="K57"/>
  <c r="L57"/>
  <c r="J27" i="1"/>
  <c r="T55" i="7"/>
  <c r="J392" i="1"/>
  <c r="K100" i="20"/>
  <c r="B101"/>
  <c r="J100"/>
  <c r="L100"/>
  <c r="B101" i="5"/>
  <c r="J100"/>
  <c r="K100"/>
  <c r="L100"/>
  <c r="B101" i="22"/>
  <c r="J100"/>
  <c r="K100"/>
  <c r="L100"/>
  <c r="M56" i="7"/>
  <c r="Q56" s="1"/>
  <c r="N56" s="1"/>
  <c r="AZ74" i="1"/>
  <c r="Q74" s="1"/>
  <c r="AW75"/>
  <c r="AY79"/>
  <c r="AY263"/>
  <c r="AZ258"/>
  <c r="Q258" s="1"/>
  <c r="AW259"/>
  <c r="AW206" l="1"/>
  <c r="AZ206" s="1"/>
  <c r="Q206" s="1"/>
  <c r="AY207"/>
  <c r="B102" i="20"/>
  <c r="J101"/>
  <c r="K101"/>
  <c r="L101"/>
  <c r="L58" i="7"/>
  <c r="B59"/>
  <c r="J58"/>
  <c r="K58"/>
  <c r="T56"/>
  <c r="J393" i="1"/>
  <c r="J28"/>
  <c r="B102" i="22"/>
  <c r="J101"/>
  <c r="K101"/>
  <c r="L101"/>
  <c r="B102" i="5"/>
  <c r="J101"/>
  <c r="K101"/>
  <c r="L101"/>
  <c r="C62" i="54"/>
  <c r="M85" i="53"/>
  <c r="J59" i="50"/>
  <c r="K59"/>
  <c r="L59"/>
  <c r="B60"/>
  <c r="M57" i="7"/>
  <c r="Q57" s="1"/>
  <c r="N57" s="1"/>
  <c r="O56"/>
  <c r="AY264" i="1"/>
  <c r="AZ75"/>
  <c r="Q75" s="1"/>
  <c r="AW76"/>
  <c r="AZ259"/>
  <c r="Q259" s="1"/>
  <c r="AW260"/>
  <c r="AY80"/>
  <c r="AY208" l="1"/>
  <c r="AW207"/>
  <c r="AZ207" s="1"/>
  <c r="Q207" s="1"/>
  <c r="O57" i="7"/>
  <c r="K59"/>
  <c r="L59"/>
  <c r="B60"/>
  <c r="J59"/>
  <c r="B103" i="20"/>
  <c r="J102"/>
  <c r="K102"/>
  <c r="L102"/>
  <c r="C63" i="54"/>
  <c r="M86" i="53"/>
  <c r="J394" i="1"/>
  <c r="T57" i="7"/>
  <c r="J29" i="1"/>
  <c r="B61" i="50"/>
  <c r="J60"/>
  <c r="K60"/>
  <c r="L60"/>
  <c r="J102" i="5"/>
  <c r="K102"/>
  <c r="B103"/>
  <c r="L102"/>
  <c r="B103" i="22"/>
  <c r="J102"/>
  <c r="K102"/>
  <c r="L102"/>
  <c r="M58" i="7"/>
  <c r="Q58" s="1"/>
  <c r="N58" s="1"/>
  <c r="AY81" i="1"/>
  <c r="AZ260"/>
  <c r="Q260" s="1"/>
  <c r="AW261"/>
  <c r="AY265"/>
  <c r="AZ76"/>
  <c r="Q76" s="1"/>
  <c r="AW77"/>
  <c r="AW208" l="1"/>
  <c r="AZ208" s="1"/>
  <c r="Q208" s="1"/>
  <c r="B104" i="22"/>
  <c r="K103"/>
  <c r="J103"/>
  <c r="L103"/>
  <c r="L61" i="50"/>
  <c r="B62"/>
  <c r="J61"/>
  <c r="K61"/>
  <c r="J60" i="7"/>
  <c r="K60"/>
  <c r="L60"/>
  <c r="B61"/>
  <c r="C64" i="54"/>
  <c r="M87" i="53"/>
  <c r="B104" i="5"/>
  <c r="K103"/>
  <c r="J103"/>
  <c r="L103"/>
  <c r="O58" i="7"/>
  <c r="B104" i="20"/>
  <c r="J103"/>
  <c r="K103"/>
  <c r="L103"/>
  <c r="J30" i="1"/>
  <c r="T58" i="7"/>
  <c r="J395" i="1"/>
  <c r="M59" i="7"/>
  <c r="Q59" s="1"/>
  <c r="N59" s="1"/>
  <c r="AY82" i="1"/>
  <c r="AZ77"/>
  <c r="Q77" s="1"/>
  <c r="AW78"/>
  <c r="AZ261"/>
  <c r="Q261" s="1"/>
  <c r="AW262"/>
  <c r="J31" l="1"/>
  <c r="T59" i="7"/>
  <c r="J396" i="1"/>
  <c r="B62" i="7"/>
  <c r="J61"/>
  <c r="K61"/>
  <c r="L61"/>
  <c r="K62" i="50"/>
  <c r="L62"/>
  <c r="B63"/>
  <c r="J62"/>
  <c r="J104" i="20"/>
  <c r="K104"/>
  <c r="B105"/>
  <c r="L104"/>
  <c r="C65" i="54"/>
  <c r="M88" i="53"/>
  <c r="B105" i="22"/>
  <c r="J104"/>
  <c r="K104"/>
  <c r="L104"/>
  <c r="O59" i="7"/>
  <c r="B105" i="5"/>
  <c r="J104"/>
  <c r="K104"/>
  <c r="L104"/>
  <c r="M60" i="7"/>
  <c r="Q60" s="1"/>
  <c r="N60" s="1"/>
  <c r="AZ262" i="1"/>
  <c r="Q262" s="1"/>
  <c r="AW263"/>
  <c r="AY83"/>
  <c r="AZ78"/>
  <c r="Q78" s="1"/>
  <c r="AW79"/>
  <c r="T60" i="7" l="1"/>
  <c r="J397" i="1"/>
  <c r="J32"/>
  <c r="B106" i="5"/>
  <c r="J105"/>
  <c r="K105"/>
  <c r="L105"/>
  <c r="L62" i="7"/>
  <c r="B63"/>
  <c r="J62"/>
  <c r="K62"/>
  <c r="O60"/>
  <c r="K105" i="22"/>
  <c r="B106"/>
  <c r="J105"/>
  <c r="L105"/>
  <c r="B106" i="20"/>
  <c r="J105"/>
  <c r="K105"/>
  <c r="L105"/>
  <c r="J63" i="50"/>
  <c r="K63"/>
  <c r="L63"/>
  <c r="B64"/>
  <c r="C66" i="54"/>
  <c r="M89" i="53"/>
  <c r="M61" i="7"/>
  <c r="Q61" s="1"/>
  <c r="N61" s="1"/>
  <c r="AZ263" i="1"/>
  <c r="Q263" s="1"/>
  <c r="AW264"/>
  <c r="AZ79"/>
  <c r="Q79" s="1"/>
  <c r="AW80"/>
  <c r="AY84"/>
  <c r="T61" i="7" l="1"/>
  <c r="J398" i="1"/>
  <c r="J33"/>
  <c r="B65" i="50"/>
  <c r="J64"/>
  <c r="K64"/>
  <c r="L64"/>
  <c r="K63" i="7"/>
  <c r="L63"/>
  <c r="B64"/>
  <c r="J63"/>
  <c r="M63" s="1"/>
  <c r="Q63" s="1"/>
  <c r="N63" s="1"/>
  <c r="B107" i="5"/>
  <c r="J106"/>
  <c r="K106"/>
  <c r="L106"/>
  <c r="C67" i="54"/>
  <c r="M90" i="53"/>
  <c r="O61" i="7"/>
  <c r="B107" i="22"/>
  <c r="J106"/>
  <c r="K106"/>
  <c r="L106"/>
  <c r="B107" i="20"/>
  <c r="K106"/>
  <c r="J106"/>
  <c r="L106"/>
  <c r="M62" i="7"/>
  <c r="Q62" s="1"/>
  <c r="N62" s="1"/>
  <c r="AZ80" i="1"/>
  <c r="Q80" s="1"/>
  <c r="AW81"/>
  <c r="AZ264"/>
  <c r="Q264" s="1"/>
  <c r="AW265"/>
  <c r="AZ265" s="1"/>
  <c r="Q265" s="1"/>
  <c r="AY85"/>
  <c r="T62" i="7" l="1"/>
  <c r="J399" i="1"/>
  <c r="J34"/>
  <c r="B108" i="20"/>
  <c r="J107"/>
  <c r="K107"/>
  <c r="L107"/>
  <c r="B108" i="5"/>
  <c r="K107"/>
  <c r="J107"/>
  <c r="L107"/>
  <c r="L65" i="50"/>
  <c r="B66"/>
  <c r="J65"/>
  <c r="K65"/>
  <c r="B108" i="22"/>
  <c r="J107"/>
  <c r="K107"/>
  <c r="L107"/>
  <c r="J400" i="1"/>
  <c r="J35"/>
  <c r="T63" i="7"/>
  <c r="J64"/>
  <c r="K64"/>
  <c r="L64"/>
  <c r="B65"/>
  <c r="O62"/>
  <c r="O63" s="1"/>
  <c r="C68" i="54"/>
  <c r="M91" i="53"/>
  <c r="AY86" i="1"/>
  <c r="AZ81"/>
  <c r="Q81" s="1"/>
  <c r="AW82"/>
  <c r="C69" i="54" l="1"/>
  <c r="M92" i="53"/>
  <c r="K108" i="20"/>
  <c r="B109"/>
  <c r="J108"/>
  <c r="L108"/>
  <c r="B109" i="5"/>
  <c r="J108"/>
  <c r="K108"/>
  <c r="L108"/>
  <c r="M64" i="7"/>
  <c r="Q64" s="1"/>
  <c r="N64" s="1"/>
  <c r="B66"/>
  <c r="J65"/>
  <c r="M65" s="1"/>
  <c r="Q65" s="1"/>
  <c r="N65" s="1"/>
  <c r="K65"/>
  <c r="L65"/>
  <c r="B109" i="22"/>
  <c r="J108"/>
  <c r="K108"/>
  <c r="L108"/>
  <c r="K66" i="50"/>
  <c r="L66"/>
  <c r="B67"/>
  <c r="J66"/>
  <c r="AY87" i="1"/>
  <c r="AZ82"/>
  <c r="Q82" s="1"/>
  <c r="AW83"/>
  <c r="O64" i="7" l="1"/>
  <c r="O65" s="1"/>
  <c r="T65"/>
  <c r="J37" i="1"/>
  <c r="J402"/>
  <c r="B110" i="5"/>
  <c r="J109"/>
  <c r="K109"/>
  <c r="L109"/>
  <c r="B110" i="20"/>
  <c r="J109"/>
  <c r="K109"/>
  <c r="L109"/>
  <c r="B110" i="22"/>
  <c r="J109"/>
  <c r="K109"/>
  <c r="L109"/>
  <c r="L66" i="7"/>
  <c r="B67"/>
  <c r="J66"/>
  <c r="M66" s="1"/>
  <c r="Q66" s="1"/>
  <c r="N66" s="1"/>
  <c r="K66"/>
  <c r="C70" i="54"/>
  <c r="M93" i="53"/>
  <c r="J67" i="50"/>
  <c r="K67"/>
  <c r="L67"/>
  <c r="B68"/>
  <c r="J401" i="1"/>
  <c r="J36"/>
  <c r="T64" i="7"/>
  <c r="AY88" i="1"/>
  <c r="AZ83"/>
  <c r="Q83" s="1"/>
  <c r="AW84"/>
  <c r="K67" i="7" l="1"/>
  <c r="L67"/>
  <c r="B68"/>
  <c r="J67"/>
  <c r="M67" s="1"/>
  <c r="Q67" s="1"/>
  <c r="N67" s="1"/>
  <c r="B111" i="20"/>
  <c r="J110"/>
  <c r="K110"/>
  <c r="L110"/>
  <c r="J110" i="5"/>
  <c r="B111"/>
  <c r="K110"/>
  <c r="L110"/>
  <c r="B69" i="50"/>
  <c r="J68"/>
  <c r="K68"/>
  <c r="L68"/>
  <c r="C71" i="54"/>
  <c r="M94" i="53"/>
  <c r="B111" i="22"/>
  <c r="K110"/>
  <c r="J110"/>
  <c r="L110"/>
  <c r="O66" i="7"/>
  <c r="T66"/>
  <c r="J403" i="1"/>
  <c r="J38"/>
  <c r="AY89"/>
  <c r="AZ84"/>
  <c r="Q84" s="1"/>
  <c r="AW85"/>
  <c r="O67" i="7" l="1"/>
  <c r="L69" i="50"/>
  <c r="B70"/>
  <c r="J69"/>
  <c r="K69"/>
  <c r="B112" i="22"/>
  <c r="J111"/>
  <c r="K111"/>
  <c r="L111"/>
  <c r="T67" i="7"/>
  <c r="J404" i="1"/>
  <c r="J39"/>
  <c r="B112" i="5"/>
  <c r="K111"/>
  <c r="J111"/>
  <c r="L111"/>
  <c r="J68" i="7"/>
  <c r="M68" s="1"/>
  <c r="Q68" s="1"/>
  <c r="N68" s="1"/>
  <c r="K68"/>
  <c r="L68"/>
  <c r="B69"/>
  <c r="C72" i="54"/>
  <c r="M95" i="53"/>
  <c r="B112" i="20"/>
  <c r="K111"/>
  <c r="J111"/>
  <c r="L111"/>
  <c r="AY90" i="1"/>
  <c r="AZ85"/>
  <c r="Q85" s="1"/>
  <c r="AW86"/>
  <c r="J405" l="1"/>
  <c r="J40"/>
  <c r="T68" i="7"/>
  <c r="K70" i="50"/>
  <c r="L70"/>
  <c r="B71"/>
  <c r="J70"/>
  <c r="B113" i="20"/>
  <c r="J112"/>
  <c r="K112"/>
  <c r="L112"/>
  <c r="B70" i="7"/>
  <c r="J69"/>
  <c r="M69" s="1"/>
  <c r="Q69" s="1"/>
  <c r="N69" s="1"/>
  <c r="K69"/>
  <c r="L69"/>
  <c r="B113" i="5"/>
  <c r="J112"/>
  <c r="K112"/>
  <c r="L112"/>
  <c r="B113" i="22"/>
  <c r="J112"/>
  <c r="K112"/>
  <c r="L112"/>
  <c r="C73" i="54"/>
  <c r="M96" i="53"/>
  <c r="O68" i="7"/>
  <c r="AZ86" i="1"/>
  <c r="Q86" s="1"/>
  <c r="AW87"/>
  <c r="AY91"/>
  <c r="J406" l="1"/>
  <c r="J41"/>
  <c r="T69" i="7"/>
  <c r="C74" i="54"/>
  <c r="M97" i="53"/>
  <c r="L70" i="7"/>
  <c r="B71"/>
  <c r="J70"/>
  <c r="K70"/>
  <c r="B114" i="20"/>
  <c r="J113"/>
  <c r="K113"/>
  <c r="L113"/>
  <c r="J113" i="22"/>
  <c r="B114"/>
  <c r="K113"/>
  <c r="L113"/>
  <c r="B114" i="5"/>
  <c r="J113"/>
  <c r="K113"/>
  <c r="L113"/>
  <c r="O69" i="7"/>
  <c r="J71" i="50"/>
  <c r="K71"/>
  <c r="L71"/>
  <c r="B72"/>
  <c r="AZ87" i="1"/>
  <c r="Q87" s="1"/>
  <c r="AW88"/>
  <c r="AY92"/>
  <c r="B73" i="50" l="1"/>
  <c r="J72"/>
  <c r="K72"/>
  <c r="L72"/>
  <c r="J114" i="5"/>
  <c r="K114"/>
  <c r="B115"/>
  <c r="L114"/>
  <c r="K71" i="7"/>
  <c r="L71"/>
  <c r="B72"/>
  <c r="J71"/>
  <c r="M71" s="1"/>
  <c r="Q71" s="1"/>
  <c r="N71" s="1"/>
  <c r="B115" i="20"/>
  <c r="J114"/>
  <c r="K114"/>
  <c r="L114"/>
  <c r="B115" i="22"/>
  <c r="K114"/>
  <c r="J114"/>
  <c r="L114"/>
  <c r="M70" i="7"/>
  <c r="Q70" s="1"/>
  <c r="N70" s="1"/>
  <c r="C75" i="54"/>
  <c r="M98" i="53"/>
  <c r="AZ88" i="1"/>
  <c r="Q88" s="1"/>
  <c r="AW89"/>
  <c r="AY93"/>
  <c r="J407" l="1"/>
  <c r="J42"/>
  <c r="T70" i="7"/>
  <c r="B116" i="22"/>
  <c r="J115"/>
  <c r="K115"/>
  <c r="L115"/>
  <c r="B116" i="5"/>
  <c r="K115"/>
  <c r="J115"/>
  <c r="L115"/>
  <c r="J43" i="1"/>
  <c r="T71" i="7"/>
  <c r="J408" i="1"/>
  <c r="C76" i="54"/>
  <c r="M99" i="53"/>
  <c r="J72" i="7"/>
  <c r="K72"/>
  <c r="L72"/>
  <c r="B73"/>
  <c r="B116" i="20"/>
  <c r="K115"/>
  <c r="J115"/>
  <c r="L115"/>
  <c r="O70" i="7"/>
  <c r="O71" s="1"/>
  <c r="L73" i="50"/>
  <c r="B74"/>
  <c r="J73"/>
  <c r="K73"/>
  <c r="AY94" i="1"/>
  <c r="AZ89"/>
  <c r="Q89" s="1"/>
  <c r="AW90"/>
  <c r="B117" i="22" l="1"/>
  <c r="J116"/>
  <c r="K116"/>
  <c r="L116"/>
  <c r="J116" i="20"/>
  <c r="B117"/>
  <c r="K116"/>
  <c r="L116"/>
  <c r="M72" i="7"/>
  <c r="Q72" s="1"/>
  <c r="N72" s="1"/>
  <c r="B74"/>
  <c r="J73"/>
  <c r="K73"/>
  <c r="L73"/>
  <c r="C77" i="54"/>
  <c r="M100" i="53"/>
  <c r="K74" i="50"/>
  <c r="L74"/>
  <c r="B75"/>
  <c r="J74"/>
  <c r="B117" i="5"/>
  <c r="J116"/>
  <c r="K116"/>
  <c r="L116"/>
  <c r="AY95" i="1"/>
  <c r="AZ90"/>
  <c r="Q90" s="1"/>
  <c r="AW91"/>
  <c r="C78" i="54" l="1"/>
  <c r="M101" i="53"/>
  <c r="L74" i="7"/>
  <c r="B75"/>
  <c r="J74"/>
  <c r="K74"/>
  <c r="B118" i="20"/>
  <c r="K117"/>
  <c r="J117"/>
  <c r="L117"/>
  <c r="B118" i="5"/>
  <c r="J117"/>
  <c r="K117"/>
  <c r="L117"/>
  <c r="J75" i="50"/>
  <c r="K75"/>
  <c r="L75"/>
  <c r="B76"/>
  <c r="J44" i="1"/>
  <c r="J409"/>
  <c r="T72" i="7"/>
  <c r="O72"/>
  <c r="B118" i="22"/>
  <c r="J117"/>
  <c r="K117"/>
  <c r="L117"/>
  <c r="M73" i="7"/>
  <c r="Q73" s="1"/>
  <c r="N73" s="1"/>
  <c r="AZ91" i="1"/>
  <c r="Q91" s="1"/>
  <c r="AW92"/>
  <c r="AY96"/>
  <c r="K75" i="7" l="1"/>
  <c r="L75"/>
  <c r="B76"/>
  <c r="J75"/>
  <c r="M75" s="1"/>
  <c r="Q75" s="1"/>
  <c r="N75" s="1"/>
  <c r="B119" i="22"/>
  <c r="J118"/>
  <c r="K118"/>
  <c r="L118"/>
  <c r="B119" i="20"/>
  <c r="J118"/>
  <c r="K118"/>
  <c r="L118"/>
  <c r="J45" i="1"/>
  <c r="J410"/>
  <c r="T73" i="7"/>
  <c r="O73"/>
  <c r="J118" i="5"/>
  <c r="K118"/>
  <c r="B119"/>
  <c r="L118"/>
  <c r="C79" i="54"/>
  <c r="M102" i="53"/>
  <c r="B77" i="50"/>
  <c r="J76"/>
  <c r="K76"/>
  <c r="L76"/>
  <c r="M74" i="7"/>
  <c r="Q74" s="1"/>
  <c r="N74" s="1"/>
  <c r="AY97" i="1"/>
  <c r="AZ92"/>
  <c r="Q92" s="1"/>
  <c r="AW93"/>
  <c r="B120" i="20" l="1"/>
  <c r="K119"/>
  <c r="J119"/>
  <c r="L119"/>
  <c r="B120" i="22"/>
  <c r="J119"/>
  <c r="K119"/>
  <c r="L119"/>
  <c r="J411" i="1"/>
  <c r="T74" i="7"/>
  <c r="J46" i="1"/>
  <c r="O74" i="7"/>
  <c r="O75" s="1"/>
  <c r="L77" i="50"/>
  <c r="B78"/>
  <c r="J77"/>
  <c r="K77"/>
  <c r="B120" i="5"/>
  <c r="K119"/>
  <c r="J119"/>
  <c r="L119"/>
  <c r="J47" i="1"/>
  <c r="J412"/>
  <c r="T75" i="7"/>
  <c r="C80" i="54"/>
  <c r="M103" i="53"/>
  <c r="J76" i="7"/>
  <c r="K76"/>
  <c r="L76"/>
  <c r="B77"/>
  <c r="AZ93" i="1"/>
  <c r="Q93" s="1"/>
  <c r="AW94"/>
  <c r="AY98"/>
  <c r="K78" i="50" l="1"/>
  <c r="L78"/>
  <c r="B79"/>
  <c r="J78"/>
  <c r="C81" i="54"/>
  <c r="M104" i="53"/>
  <c r="B121" i="5"/>
  <c r="J120"/>
  <c r="K120"/>
  <c r="L120"/>
  <c r="M76" i="7"/>
  <c r="Q76" s="1"/>
  <c r="N76" s="1"/>
  <c r="B78"/>
  <c r="J77"/>
  <c r="M77" s="1"/>
  <c r="Q77" s="1"/>
  <c r="N77" s="1"/>
  <c r="K77"/>
  <c r="L77"/>
  <c r="B121" i="22"/>
  <c r="J120"/>
  <c r="K120"/>
  <c r="L120"/>
  <c r="J120" i="20"/>
  <c r="K120"/>
  <c r="B121"/>
  <c r="L120"/>
  <c r="AZ94" i="1"/>
  <c r="Q94" s="1"/>
  <c r="AW95"/>
  <c r="AY99"/>
  <c r="B122" i="20" l="1"/>
  <c r="K121"/>
  <c r="J121"/>
  <c r="L121"/>
  <c r="O76" i="7"/>
  <c r="O77" s="1"/>
  <c r="B122" i="5"/>
  <c r="J121"/>
  <c r="K121"/>
  <c r="L121"/>
  <c r="J121" i="22"/>
  <c r="B122"/>
  <c r="K121"/>
  <c r="L121"/>
  <c r="J49" i="1"/>
  <c r="T77" i="7"/>
  <c r="J414" i="1"/>
  <c r="J48"/>
  <c r="T76" i="7"/>
  <c r="J413" i="1"/>
  <c r="C82" i="54"/>
  <c r="M105" i="53"/>
  <c r="J79" i="50"/>
  <c r="K79"/>
  <c r="L79"/>
  <c r="B80"/>
  <c r="L78" i="7"/>
  <c r="B79"/>
  <c r="J78"/>
  <c r="M78" s="1"/>
  <c r="Q78" s="1"/>
  <c r="N78" s="1"/>
  <c r="K78"/>
  <c r="AY100" i="1"/>
  <c r="AZ95"/>
  <c r="Q95" s="1"/>
  <c r="AW96"/>
  <c r="J50" l="1"/>
  <c r="J415"/>
  <c r="T78" i="7"/>
  <c r="O78"/>
  <c r="K79"/>
  <c r="L79"/>
  <c r="B80"/>
  <c r="J79"/>
  <c r="M79" s="1"/>
  <c r="Q79" s="1"/>
  <c r="N79" s="1"/>
  <c r="B123" i="22"/>
  <c r="J122"/>
  <c r="K122"/>
  <c r="L122"/>
  <c r="B123" i="5"/>
  <c r="J122"/>
  <c r="K122"/>
  <c r="L122"/>
  <c r="B81" i="50"/>
  <c r="J80"/>
  <c r="K80"/>
  <c r="L80"/>
  <c r="C83" i="54"/>
  <c r="M106" i="53"/>
  <c r="B123" i="20"/>
  <c r="J122"/>
  <c r="K122"/>
  <c r="L122"/>
  <c r="AY101" i="1"/>
  <c r="AZ96"/>
  <c r="Q96" s="1"/>
  <c r="AW97"/>
  <c r="B124" i="20" l="1"/>
  <c r="J123"/>
  <c r="K123"/>
  <c r="L123"/>
  <c r="L81" i="50"/>
  <c r="B82"/>
  <c r="J81"/>
  <c r="K81"/>
  <c r="J416" i="1"/>
  <c r="J51"/>
  <c r="T79" i="7"/>
  <c r="O79"/>
  <c r="J80"/>
  <c r="M80" s="1"/>
  <c r="Q80" s="1"/>
  <c r="N80" s="1"/>
  <c r="K80"/>
  <c r="L80"/>
  <c r="B81"/>
  <c r="C84" i="54"/>
  <c r="M107" i="53"/>
  <c r="B124" i="5"/>
  <c r="K123"/>
  <c r="J123"/>
  <c r="L123"/>
  <c r="B124" i="22"/>
  <c r="J123"/>
  <c r="K123"/>
  <c r="L123"/>
  <c r="AY102" i="1"/>
  <c r="AZ97"/>
  <c r="Q97" s="1"/>
  <c r="AW98"/>
  <c r="C85" i="54" l="1"/>
  <c r="M108" i="53"/>
  <c r="T80" i="7"/>
  <c r="J52" i="1"/>
  <c r="J417"/>
  <c r="O80" i="7"/>
  <c r="B82"/>
  <c r="J81"/>
  <c r="K81"/>
  <c r="L81"/>
  <c r="K82" i="50"/>
  <c r="L82"/>
  <c r="B83"/>
  <c r="J82"/>
  <c r="B125" i="22"/>
  <c r="K124"/>
  <c r="J124"/>
  <c r="L124"/>
  <c r="B125" i="5"/>
  <c r="J124"/>
  <c r="K124"/>
  <c r="L124"/>
  <c r="J124" i="20"/>
  <c r="B125"/>
  <c r="K124"/>
  <c r="L124"/>
  <c r="AZ98" i="1"/>
  <c r="Q98" s="1"/>
  <c r="AW99"/>
  <c r="AY103"/>
  <c r="L82" i="7" l="1"/>
  <c r="B83"/>
  <c r="J82"/>
  <c r="M82" s="1"/>
  <c r="Q82" s="1"/>
  <c r="N82" s="1"/>
  <c r="K82"/>
  <c r="J83" i="50"/>
  <c r="K83"/>
  <c r="L83"/>
  <c r="B84"/>
  <c r="B126" i="20"/>
  <c r="K125"/>
  <c r="J125"/>
  <c r="L125"/>
  <c r="B126" i="5"/>
  <c r="J125"/>
  <c r="K125"/>
  <c r="L125"/>
  <c r="J125" i="22"/>
  <c r="K125"/>
  <c r="B126"/>
  <c r="L125"/>
  <c r="C86" i="54"/>
  <c r="M109" i="53"/>
  <c r="M81" i="7"/>
  <c r="Q81" s="1"/>
  <c r="N81" s="1"/>
  <c r="AZ99" i="1"/>
  <c r="Q99" s="1"/>
  <c r="AW100"/>
  <c r="AY104"/>
  <c r="J418" l="1"/>
  <c r="J53"/>
  <c r="T81" i="7"/>
  <c r="B127" i="22"/>
  <c r="J126"/>
  <c r="K126"/>
  <c r="L126"/>
  <c r="O81" i="7"/>
  <c r="O82" s="1"/>
  <c r="B85" i="50"/>
  <c r="J84"/>
  <c r="K84"/>
  <c r="L84"/>
  <c r="C87" i="54"/>
  <c r="M110" i="53"/>
  <c r="T82" i="7"/>
  <c r="J54" i="1"/>
  <c r="J419"/>
  <c r="J126" i="5"/>
  <c r="B127"/>
  <c r="K126"/>
  <c r="L126"/>
  <c r="B127" i="20"/>
  <c r="J126"/>
  <c r="K126"/>
  <c r="L126"/>
  <c r="K83" i="7"/>
  <c r="L83"/>
  <c r="B84"/>
  <c r="J83"/>
  <c r="M83" s="1"/>
  <c r="Q83" s="1"/>
  <c r="N83" s="1"/>
  <c r="AZ100" i="1"/>
  <c r="Q100" s="1"/>
  <c r="AW101"/>
  <c r="AY105"/>
  <c r="B128" i="20" l="1"/>
  <c r="J127"/>
  <c r="K127"/>
  <c r="L127"/>
  <c r="O83" i="7"/>
  <c r="T83"/>
  <c r="J420" i="1"/>
  <c r="J55"/>
  <c r="C88" i="54"/>
  <c r="M111" i="53"/>
  <c r="B128" i="22"/>
  <c r="K127"/>
  <c r="J127"/>
  <c r="L127"/>
  <c r="J84" i="7"/>
  <c r="K84"/>
  <c r="L84"/>
  <c r="B85"/>
  <c r="B128" i="5"/>
  <c r="K127"/>
  <c r="J127"/>
  <c r="L127"/>
  <c r="L85" i="50"/>
  <c r="B86"/>
  <c r="J85"/>
  <c r="K85"/>
  <c r="AY106" i="1"/>
  <c r="AZ101"/>
  <c r="Q101" s="1"/>
  <c r="AW102"/>
  <c r="K86" i="50" l="1"/>
  <c r="L86"/>
  <c r="B87"/>
  <c r="J86"/>
  <c r="B86" i="7"/>
  <c r="J85"/>
  <c r="K85"/>
  <c r="L85"/>
  <c r="B129" i="5"/>
  <c r="J128"/>
  <c r="K128"/>
  <c r="L128"/>
  <c r="B129" i="20"/>
  <c r="K128"/>
  <c r="J128"/>
  <c r="L128"/>
  <c r="M84" i="7"/>
  <c r="Q84" s="1"/>
  <c r="N84" s="1"/>
  <c r="B129" i="22"/>
  <c r="J128"/>
  <c r="K128"/>
  <c r="L128"/>
  <c r="AY107" i="1"/>
  <c r="AZ102"/>
  <c r="Q102" s="1"/>
  <c r="AW103"/>
  <c r="J421" l="1"/>
  <c r="J56"/>
  <c r="T84" i="7"/>
  <c r="O84"/>
  <c r="B130" i="5"/>
  <c r="J129"/>
  <c r="K129"/>
  <c r="L129"/>
  <c r="J87" i="50"/>
  <c r="K87"/>
  <c r="L87"/>
  <c r="B88"/>
  <c r="M85" i="7"/>
  <c r="Q85" s="1"/>
  <c r="N85" s="1"/>
  <c r="J129" i="22"/>
  <c r="B130"/>
  <c r="K129"/>
  <c r="L129"/>
  <c r="B130" i="20"/>
  <c r="J129"/>
  <c r="K129"/>
  <c r="L129"/>
  <c r="L86" i="7"/>
  <c r="B87"/>
  <c r="J86"/>
  <c r="M86" s="1"/>
  <c r="Q86" s="1"/>
  <c r="N86" s="1"/>
  <c r="K86"/>
  <c r="AY108" i="1"/>
  <c r="AZ103"/>
  <c r="Q103" s="1"/>
  <c r="AW104"/>
  <c r="K87" i="7" l="1"/>
  <c r="L87"/>
  <c r="B88"/>
  <c r="J87"/>
  <c r="M87" s="1"/>
  <c r="Q87" s="1"/>
  <c r="N87" s="1"/>
  <c r="B131" i="22"/>
  <c r="J130"/>
  <c r="K130"/>
  <c r="L130"/>
  <c r="O85" i="7"/>
  <c r="O86" s="1"/>
  <c r="B131" i="20"/>
  <c r="K130"/>
  <c r="J130"/>
  <c r="L130"/>
  <c r="T86" i="7"/>
  <c r="J423" i="1"/>
  <c r="J58"/>
  <c r="J422"/>
  <c r="T85" i="7"/>
  <c r="J57" i="1"/>
  <c r="B89" i="50"/>
  <c r="J88"/>
  <c r="K88"/>
  <c r="L88"/>
  <c r="J130" i="5"/>
  <c r="K130"/>
  <c r="B131"/>
  <c r="L130"/>
  <c r="AY109" i="1"/>
  <c r="AZ104"/>
  <c r="Q104" s="1"/>
  <c r="AW105"/>
  <c r="T87" i="7" l="1"/>
  <c r="J59" i="1"/>
  <c r="J424"/>
  <c r="B132" i="20"/>
  <c r="J131"/>
  <c r="K131"/>
  <c r="L131"/>
  <c r="J88" i="7"/>
  <c r="K88"/>
  <c r="L88"/>
  <c r="B89"/>
  <c r="O87"/>
  <c r="B132" i="22"/>
  <c r="J131"/>
  <c r="K131"/>
  <c r="L131"/>
  <c r="B132" i="5"/>
  <c r="K131"/>
  <c r="J131"/>
  <c r="L131"/>
  <c r="L89" i="50"/>
  <c r="B90"/>
  <c r="J89"/>
  <c r="K89"/>
  <c r="AZ105" i="1"/>
  <c r="Q105" s="1"/>
  <c r="AW106"/>
  <c r="AY110"/>
  <c r="K90" i="50" l="1"/>
  <c r="L90"/>
  <c r="B91"/>
  <c r="J90"/>
  <c r="B133" i="5"/>
  <c r="J132"/>
  <c r="K132"/>
  <c r="L132"/>
  <c r="B133" i="22"/>
  <c r="J132"/>
  <c r="K132"/>
  <c r="L132"/>
  <c r="B90" i="7"/>
  <c r="J89"/>
  <c r="K89"/>
  <c r="L89"/>
  <c r="J132" i="20"/>
  <c r="B133"/>
  <c r="K132"/>
  <c r="L132"/>
  <c r="M88" i="7"/>
  <c r="Q88" s="1"/>
  <c r="N88" s="1"/>
  <c r="AZ106" i="1"/>
  <c r="Q106" s="1"/>
  <c r="AW107"/>
  <c r="AY111"/>
  <c r="T88" i="7" l="1"/>
  <c r="J425" i="1"/>
  <c r="J60"/>
  <c r="O88" i="7"/>
  <c r="J91" i="50"/>
  <c r="K91"/>
  <c r="L91"/>
  <c r="B92"/>
  <c r="M89" i="7"/>
  <c r="Q89" s="1"/>
  <c r="N89" s="1"/>
  <c r="B134" i="20"/>
  <c r="K133"/>
  <c r="J133"/>
  <c r="L133"/>
  <c r="L90" i="7"/>
  <c r="B91"/>
  <c r="J90"/>
  <c r="M90" s="1"/>
  <c r="Q90" s="1"/>
  <c r="N90" s="1"/>
  <c r="K90"/>
  <c r="B134" i="22"/>
  <c r="J133"/>
  <c r="K133"/>
  <c r="L133"/>
  <c r="B134" i="5"/>
  <c r="J133"/>
  <c r="K133"/>
  <c r="L133"/>
  <c r="AZ107" i="1"/>
  <c r="Q107" s="1"/>
  <c r="AW108"/>
  <c r="AY112"/>
  <c r="J134" i="5" l="1"/>
  <c r="K134"/>
  <c r="B135"/>
  <c r="L134"/>
  <c r="B135" i="22"/>
  <c r="J134"/>
  <c r="K134"/>
  <c r="L134"/>
  <c r="B135" i="20"/>
  <c r="J134"/>
  <c r="K134"/>
  <c r="L134"/>
  <c r="J426" i="1"/>
  <c r="J61"/>
  <c r="T89" i="7"/>
  <c r="J427" i="1"/>
  <c r="J62"/>
  <c r="T90" i="7"/>
  <c r="K91"/>
  <c r="L91"/>
  <c r="B92"/>
  <c r="J91"/>
  <c r="M91" s="1"/>
  <c r="Q91" s="1"/>
  <c r="N91" s="1"/>
  <c r="B93" i="50"/>
  <c r="J92"/>
  <c r="K92"/>
  <c r="L92"/>
  <c r="O89" i="7"/>
  <c r="O90" s="1"/>
  <c r="AY113" i="1"/>
  <c r="AZ108"/>
  <c r="Q108" s="1"/>
  <c r="AW109"/>
  <c r="O91" i="7" l="1"/>
  <c r="L93" i="50"/>
  <c r="B94"/>
  <c r="J93"/>
  <c r="K93"/>
  <c r="J428" i="1"/>
  <c r="J63"/>
  <c r="T91" i="7"/>
  <c r="B136" i="5"/>
  <c r="K135"/>
  <c r="J135"/>
  <c r="L135"/>
  <c r="J92" i="7"/>
  <c r="K92"/>
  <c r="L92"/>
  <c r="B93"/>
  <c r="B136" i="20"/>
  <c r="J135"/>
  <c r="K135"/>
  <c r="L135"/>
  <c r="B136" i="22"/>
  <c r="K135"/>
  <c r="J135"/>
  <c r="L135"/>
  <c r="AY114" i="1"/>
  <c r="AZ109"/>
  <c r="Q109" s="1"/>
  <c r="AW110"/>
  <c r="B137" i="22" l="1"/>
  <c r="J136"/>
  <c r="K136"/>
  <c r="L136"/>
  <c r="K136" i="20"/>
  <c r="B137"/>
  <c r="J136"/>
  <c r="L136"/>
  <c r="B94" i="7"/>
  <c r="J93"/>
  <c r="K93"/>
  <c r="L93"/>
  <c r="K94" i="50"/>
  <c r="L94"/>
  <c r="B95"/>
  <c r="J94"/>
  <c r="M92" i="7"/>
  <c r="B137" i="5"/>
  <c r="J136"/>
  <c r="K136"/>
  <c r="L136"/>
  <c r="AY115" i="1"/>
  <c r="AZ110"/>
  <c r="Q110" s="1"/>
  <c r="AW111"/>
  <c r="B138" i="5" l="1"/>
  <c r="J137"/>
  <c r="K137"/>
  <c r="L137"/>
  <c r="J95" i="50"/>
  <c r="K95"/>
  <c r="L95"/>
  <c r="B96"/>
  <c r="M93" i="7"/>
  <c r="Q93" s="1"/>
  <c r="N93" s="1"/>
  <c r="B138" i="20"/>
  <c r="J137"/>
  <c r="K137"/>
  <c r="L137"/>
  <c r="Q92" i="7"/>
  <c r="N92" s="1"/>
  <c r="O92"/>
  <c r="L94"/>
  <c r="B95"/>
  <c r="J94"/>
  <c r="M94" s="1"/>
  <c r="Q94" s="1"/>
  <c r="N94" s="1"/>
  <c r="K94"/>
  <c r="B138" i="22"/>
  <c r="J137"/>
  <c r="K137"/>
  <c r="L137"/>
  <c r="AZ111" i="1"/>
  <c r="Q111" s="1"/>
  <c r="AW112"/>
  <c r="O93" i="7" l="1"/>
  <c r="O94" s="1"/>
  <c r="B97" i="50"/>
  <c r="J96"/>
  <c r="K96"/>
  <c r="L96"/>
  <c r="B139" i="5"/>
  <c r="J138"/>
  <c r="K138"/>
  <c r="L138"/>
  <c r="J66" i="1"/>
  <c r="T94" i="7"/>
  <c r="J431" i="1"/>
  <c r="T92" i="7"/>
  <c r="J64" i="1"/>
  <c r="J429"/>
  <c r="K95" i="7"/>
  <c r="L95"/>
  <c r="B96"/>
  <c r="J95"/>
  <c r="M95" s="1"/>
  <c r="Q95" s="1"/>
  <c r="N95" s="1"/>
  <c r="B139" i="20"/>
  <c r="K138"/>
  <c r="J138"/>
  <c r="L138"/>
  <c r="B139" i="22"/>
  <c r="J138"/>
  <c r="K138"/>
  <c r="L138"/>
  <c r="J430" i="1"/>
  <c r="J65"/>
  <c r="T93" i="7"/>
  <c r="AZ112" i="1"/>
  <c r="Q112" s="1"/>
  <c r="AW113"/>
  <c r="B140" i="5" l="1"/>
  <c r="K139"/>
  <c r="J139"/>
  <c r="L139"/>
  <c r="B140" i="22"/>
  <c r="K139"/>
  <c r="J139"/>
  <c r="L139"/>
  <c r="B140" i="20"/>
  <c r="J139"/>
  <c r="K139"/>
  <c r="L139"/>
  <c r="J67" i="1"/>
  <c r="T95" i="7"/>
  <c r="J432" i="1"/>
  <c r="L97" i="50"/>
  <c r="B98"/>
  <c r="J97"/>
  <c r="K97"/>
  <c r="J96" i="7"/>
  <c r="M96" s="1"/>
  <c r="Q96" s="1"/>
  <c r="N96" s="1"/>
  <c r="K96"/>
  <c r="L96"/>
  <c r="B97"/>
  <c r="O95"/>
  <c r="AZ113" i="1"/>
  <c r="Q113" s="1"/>
  <c r="AW114"/>
  <c r="O96" i="7" l="1"/>
  <c r="B98"/>
  <c r="J97"/>
  <c r="K97"/>
  <c r="L97"/>
  <c r="J433" i="1"/>
  <c r="J68"/>
  <c r="T96" i="7"/>
  <c r="K98" i="50"/>
  <c r="L98"/>
  <c r="B99"/>
  <c r="J98"/>
  <c r="K140" i="20"/>
  <c r="B141"/>
  <c r="J140"/>
  <c r="L140"/>
  <c r="B141" i="22"/>
  <c r="J140"/>
  <c r="K140"/>
  <c r="L140"/>
  <c r="B141" i="5"/>
  <c r="J140"/>
  <c r="K140"/>
  <c r="L140"/>
  <c r="AZ114" i="1"/>
  <c r="Q114" s="1"/>
  <c r="AW115"/>
  <c r="AZ115" s="1"/>
  <c r="Q115" s="1"/>
  <c r="B142" i="20" l="1"/>
  <c r="K141"/>
  <c r="J141"/>
  <c r="L141"/>
  <c r="B142" i="5"/>
  <c r="J141"/>
  <c r="K141"/>
  <c r="L141"/>
  <c r="J141" i="22"/>
  <c r="B142"/>
  <c r="K141"/>
  <c r="L141"/>
  <c r="M97" i="7"/>
  <c r="L98"/>
  <c r="B99"/>
  <c r="J98"/>
  <c r="M98" s="1"/>
  <c r="Q98" s="1"/>
  <c r="N98" s="1"/>
  <c r="K98"/>
  <c r="J99" i="50"/>
  <c r="K99"/>
  <c r="L99"/>
  <c r="B100"/>
  <c r="T98" i="7" l="1"/>
  <c r="J435" i="1"/>
  <c r="J70"/>
  <c r="Q97" i="7"/>
  <c r="N97" s="1"/>
  <c r="O97"/>
  <c r="O98" s="1"/>
  <c r="J142" i="5"/>
  <c r="B143"/>
  <c r="K142"/>
  <c r="L142"/>
  <c r="B143" i="20"/>
  <c r="J142"/>
  <c r="K142"/>
  <c r="L142"/>
  <c r="K99" i="7"/>
  <c r="L99"/>
  <c r="B100"/>
  <c r="J99"/>
  <c r="M99" s="1"/>
  <c r="Q99" s="1"/>
  <c r="N99" s="1"/>
  <c r="B101" i="50"/>
  <c r="J100"/>
  <c r="K100"/>
  <c r="L100"/>
  <c r="B143" i="22"/>
  <c r="K142"/>
  <c r="J142"/>
  <c r="L142"/>
  <c r="L101" i="50" l="1"/>
  <c r="B102"/>
  <c r="J101"/>
  <c r="K101"/>
  <c r="B144" i="5"/>
  <c r="K143"/>
  <c r="J143"/>
  <c r="L143"/>
  <c r="J434" i="1"/>
  <c r="J69"/>
  <c r="T97" i="7"/>
  <c r="B144" i="22"/>
  <c r="J143"/>
  <c r="K143"/>
  <c r="L143"/>
  <c r="B144" i="20"/>
  <c r="K143"/>
  <c r="J143"/>
  <c r="L143"/>
  <c r="J436" i="1"/>
  <c r="J71"/>
  <c r="T99" i="7"/>
  <c r="J100"/>
  <c r="M100" s="1"/>
  <c r="Q100" s="1"/>
  <c r="N100" s="1"/>
  <c r="K100"/>
  <c r="L100"/>
  <c r="B101"/>
  <c r="O99"/>
  <c r="O100" s="1"/>
  <c r="T100" l="1"/>
  <c r="J437" i="1"/>
  <c r="J72"/>
  <c r="B145" i="20"/>
  <c r="K144"/>
  <c r="J144"/>
  <c r="L144"/>
  <c r="B145" i="5"/>
  <c r="J144"/>
  <c r="K144"/>
  <c r="L144"/>
  <c r="B102" i="7"/>
  <c r="J101"/>
  <c r="K101"/>
  <c r="L101"/>
  <c r="B145" i="22"/>
  <c r="J144"/>
  <c r="K144"/>
  <c r="L144"/>
  <c r="K102" i="50"/>
  <c r="L102"/>
  <c r="B103"/>
  <c r="J102"/>
  <c r="J103" l="1"/>
  <c r="K103"/>
  <c r="L103"/>
  <c r="B104"/>
  <c r="M101" i="7"/>
  <c r="B146" i="20"/>
  <c r="J145"/>
  <c r="K145"/>
  <c r="L145"/>
  <c r="J145" i="22"/>
  <c r="B146"/>
  <c r="K145"/>
  <c r="L145"/>
  <c r="L102" i="7"/>
  <c r="B103"/>
  <c r="J102"/>
  <c r="K102"/>
  <c r="B146" i="5"/>
  <c r="J145"/>
  <c r="K145"/>
  <c r="L145"/>
  <c r="Q101" i="7" l="1"/>
  <c r="N101" s="1"/>
  <c r="O101"/>
  <c r="B105" i="50"/>
  <c r="J104"/>
  <c r="K104"/>
  <c r="L104"/>
  <c r="M102" i="7"/>
  <c r="Q102" s="1"/>
  <c r="N102" s="1"/>
  <c r="K103"/>
  <c r="L103"/>
  <c r="B104"/>
  <c r="J103"/>
  <c r="M103" s="1"/>
  <c r="Q103" s="1"/>
  <c r="N103" s="1"/>
  <c r="B147" i="22"/>
  <c r="J146"/>
  <c r="K146"/>
  <c r="L146"/>
  <c r="J146" i="5"/>
  <c r="K146"/>
  <c r="B147"/>
  <c r="L146"/>
  <c r="B147" i="20"/>
  <c r="K146"/>
  <c r="J146"/>
  <c r="L146"/>
  <c r="B148" i="5" l="1"/>
  <c r="K147"/>
  <c r="J147"/>
  <c r="L147"/>
  <c r="B148" i="22"/>
  <c r="K147"/>
  <c r="J147"/>
  <c r="L147"/>
  <c r="B148" i="20"/>
  <c r="J147"/>
  <c r="K147"/>
  <c r="L147"/>
  <c r="T103" i="7"/>
  <c r="J440" i="1"/>
  <c r="J75"/>
  <c r="J439"/>
  <c r="T102" i="7"/>
  <c r="J74" i="1"/>
  <c r="L105" i="50"/>
  <c r="B106"/>
  <c r="J105"/>
  <c r="K105"/>
  <c r="J104" i="7"/>
  <c r="M104" s="1"/>
  <c r="Q104" s="1"/>
  <c r="N104" s="1"/>
  <c r="K104"/>
  <c r="L104"/>
  <c r="B105"/>
  <c r="O102"/>
  <c r="O103" s="1"/>
  <c r="O104" s="1"/>
  <c r="T101"/>
  <c r="J73" i="1"/>
  <c r="J438"/>
  <c r="J441" l="1"/>
  <c r="J76"/>
  <c r="T104" i="7"/>
  <c r="B149" i="20"/>
  <c r="K148"/>
  <c r="J148"/>
  <c r="L148"/>
  <c r="B149" i="22"/>
  <c r="J148"/>
  <c r="K148"/>
  <c r="L148"/>
  <c r="B106" i="7"/>
  <c r="J105"/>
  <c r="K105"/>
  <c r="L105"/>
  <c r="K106" i="50"/>
  <c r="L106"/>
  <c r="B107"/>
  <c r="J106"/>
  <c r="B149" i="5"/>
  <c r="J148"/>
  <c r="K148"/>
  <c r="L148"/>
  <c r="J107" i="50" l="1"/>
  <c r="K107"/>
  <c r="L107"/>
  <c r="B108"/>
  <c r="M105" i="7"/>
  <c r="B150" i="5"/>
  <c r="J149"/>
  <c r="K149"/>
  <c r="L149"/>
  <c r="L106" i="7"/>
  <c r="B107"/>
  <c r="J106"/>
  <c r="M106" s="1"/>
  <c r="Q106" s="1"/>
  <c r="N106" s="1"/>
  <c r="K106"/>
  <c r="B150" i="22"/>
  <c r="J149"/>
  <c r="K149"/>
  <c r="L149"/>
  <c r="B150" i="20"/>
  <c r="K149"/>
  <c r="J149"/>
  <c r="L149"/>
  <c r="J78" i="1" l="1"/>
  <c r="J443"/>
  <c r="T106" i="7"/>
  <c r="Q105"/>
  <c r="N105" s="1"/>
  <c r="O105"/>
  <c r="O106" s="1"/>
  <c r="K107"/>
  <c r="L107"/>
  <c r="B108"/>
  <c r="J107"/>
  <c r="M107" s="1"/>
  <c r="Q107" s="1"/>
  <c r="N107" s="1"/>
  <c r="B109" i="50"/>
  <c r="J108"/>
  <c r="K108"/>
  <c r="L108"/>
  <c r="B151" i="20"/>
  <c r="J150"/>
  <c r="K150"/>
  <c r="L150"/>
  <c r="B151" i="22"/>
  <c r="J150"/>
  <c r="K150"/>
  <c r="L150"/>
  <c r="J150" i="5"/>
  <c r="K150"/>
  <c r="B151"/>
  <c r="L150"/>
  <c r="O107" i="7" l="1"/>
  <c r="J108"/>
  <c r="M108" s="1"/>
  <c r="Q108" s="1"/>
  <c r="N108" s="1"/>
  <c r="K108"/>
  <c r="L108"/>
  <c r="B109"/>
  <c r="B152" i="22"/>
  <c r="K151"/>
  <c r="J151"/>
  <c r="L151"/>
  <c r="B152" i="20"/>
  <c r="J151"/>
  <c r="K151"/>
  <c r="L151"/>
  <c r="L109" i="50"/>
  <c r="B110"/>
  <c r="J109"/>
  <c r="K109"/>
  <c r="T105" i="7"/>
  <c r="J442" i="1"/>
  <c r="J77"/>
  <c r="B152" i="5"/>
  <c r="K151"/>
  <c r="J151"/>
  <c r="L151"/>
  <c r="J444" i="1"/>
  <c r="T107" i="7"/>
  <c r="J79" i="1"/>
  <c r="O108" i="7" l="1"/>
  <c r="B153" i="5"/>
  <c r="J152"/>
  <c r="K152"/>
  <c r="L152"/>
  <c r="J152" i="20"/>
  <c r="B153"/>
  <c r="K152"/>
  <c r="L152"/>
  <c r="B153" i="22"/>
  <c r="J152"/>
  <c r="K152"/>
  <c r="L152"/>
  <c r="J80" i="1"/>
  <c r="T108" i="7"/>
  <c r="J445" i="1"/>
  <c r="B110" i="7"/>
  <c r="J109"/>
  <c r="K109"/>
  <c r="L109"/>
  <c r="K110" i="50"/>
  <c r="L110"/>
  <c r="B111"/>
  <c r="J110"/>
  <c r="J111" l="1"/>
  <c r="K111"/>
  <c r="L111"/>
  <c r="B112"/>
  <c r="M109" i="7"/>
  <c r="L110"/>
  <c r="B111"/>
  <c r="J110"/>
  <c r="K110"/>
  <c r="B154" i="20"/>
  <c r="K153"/>
  <c r="J153"/>
  <c r="L153"/>
  <c r="K153" i="22"/>
  <c r="B154"/>
  <c r="J153"/>
  <c r="L153"/>
  <c r="B154" i="5"/>
  <c r="J153"/>
  <c r="K153"/>
  <c r="L153"/>
  <c r="B155" i="20" l="1"/>
  <c r="K154"/>
  <c r="J154"/>
  <c r="L154"/>
  <c r="K111" i="7"/>
  <c r="L111"/>
  <c r="B112"/>
  <c r="J111"/>
  <c r="B113" i="50"/>
  <c r="J112"/>
  <c r="K112"/>
  <c r="L112"/>
  <c r="B155" i="5"/>
  <c r="J154"/>
  <c r="K154"/>
  <c r="L154"/>
  <c r="B155" i="22"/>
  <c r="J154"/>
  <c r="K154"/>
  <c r="L154"/>
  <c r="M110" i="7"/>
  <c r="Q110" s="1"/>
  <c r="N110" s="1"/>
  <c r="Q109"/>
  <c r="N109" s="1"/>
  <c r="O109"/>
  <c r="J446" i="1" l="1"/>
  <c r="T109" i="7"/>
  <c r="J81" i="1"/>
  <c r="L113" i="50"/>
  <c r="B114"/>
  <c r="J113"/>
  <c r="K113"/>
  <c r="B156" i="20"/>
  <c r="K155"/>
  <c r="J155"/>
  <c r="L155"/>
  <c r="T110" i="7"/>
  <c r="J82" i="1"/>
  <c r="J447"/>
  <c r="B156" i="22"/>
  <c r="J155"/>
  <c r="K155"/>
  <c r="L155"/>
  <c r="B156" i="5"/>
  <c r="K155"/>
  <c r="J155"/>
  <c r="L155"/>
  <c r="M111" i="7"/>
  <c r="Q111" s="1"/>
  <c r="N111" s="1"/>
  <c r="J112"/>
  <c r="K112"/>
  <c r="L112"/>
  <c r="B113"/>
  <c r="O110"/>
  <c r="O111" s="1"/>
  <c r="B114" l="1"/>
  <c r="J113"/>
  <c r="M113" s="1"/>
  <c r="Q113" s="1"/>
  <c r="N113" s="1"/>
  <c r="K113"/>
  <c r="L113"/>
  <c r="J156" i="20"/>
  <c r="B157"/>
  <c r="K156"/>
  <c r="L156"/>
  <c r="J83" i="1"/>
  <c r="T111" i="7"/>
  <c r="J448" i="1"/>
  <c r="B157" i="5"/>
  <c r="J156"/>
  <c r="K156"/>
  <c r="L156"/>
  <c r="B157" i="22"/>
  <c r="K156"/>
  <c r="J156"/>
  <c r="L156"/>
  <c r="M112" i="7"/>
  <c r="Q112" s="1"/>
  <c r="N112" s="1"/>
  <c r="K114" i="50"/>
  <c r="L114"/>
  <c r="B115"/>
  <c r="J114"/>
  <c r="J115" l="1"/>
  <c r="K115"/>
  <c r="L115"/>
  <c r="B116"/>
  <c r="B158" i="20"/>
  <c r="K157"/>
  <c r="J157"/>
  <c r="L157"/>
  <c r="T113" i="7"/>
  <c r="J450" i="1"/>
  <c r="J85"/>
  <c r="L114" i="7"/>
  <c r="B115"/>
  <c r="J114"/>
  <c r="M114" s="1"/>
  <c r="Q114" s="1"/>
  <c r="N114" s="1"/>
  <c r="K114"/>
  <c r="J84" i="1"/>
  <c r="T112" i="7"/>
  <c r="J449" i="1"/>
  <c r="J157" i="22"/>
  <c r="K157"/>
  <c r="B158"/>
  <c r="L157"/>
  <c r="B158" i="5"/>
  <c r="K157"/>
  <c r="J157"/>
  <c r="L157"/>
  <c r="O112" i="7"/>
  <c r="O113" s="1"/>
  <c r="B159" i="20" l="1"/>
  <c r="J158"/>
  <c r="K158"/>
  <c r="L158"/>
  <c r="B117" i="50"/>
  <c r="J116"/>
  <c r="K116"/>
  <c r="L116"/>
  <c r="B159" i="22"/>
  <c r="J158"/>
  <c r="K158"/>
  <c r="L158"/>
  <c r="T114" i="7"/>
  <c r="J451" i="1"/>
  <c r="J86"/>
  <c r="K115" i="7"/>
  <c r="L115"/>
  <c r="B116"/>
  <c r="J115"/>
  <c r="M115" s="1"/>
  <c r="Q115" s="1"/>
  <c r="N115" s="1"/>
  <c r="O114"/>
  <c r="J158" i="5"/>
  <c r="B159"/>
  <c r="K158"/>
  <c r="L158"/>
  <c r="O115" i="7" l="1"/>
  <c r="T115"/>
  <c r="J452" i="1"/>
  <c r="J87"/>
  <c r="J116" i="7"/>
  <c r="M116" s="1"/>
  <c r="Q116" s="1"/>
  <c r="N116" s="1"/>
  <c r="K116"/>
  <c r="L116"/>
  <c r="B117"/>
  <c r="B160" i="22"/>
  <c r="J159"/>
  <c r="K159"/>
  <c r="L159"/>
  <c r="L117" i="50"/>
  <c r="B118"/>
  <c r="J117"/>
  <c r="K117"/>
  <c r="B160" i="20"/>
  <c r="K159"/>
  <c r="J159"/>
  <c r="L159"/>
  <c r="B160" i="5"/>
  <c r="K159"/>
  <c r="J159"/>
  <c r="L159"/>
  <c r="K118" i="50" l="1"/>
  <c r="L118"/>
  <c r="B119"/>
  <c r="J118"/>
  <c r="B161" i="5"/>
  <c r="J160"/>
  <c r="K160"/>
  <c r="L160"/>
  <c r="B161" i="20"/>
  <c r="J160"/>
  <c r="K160"/>
  <c r="L160"/>
  <c r="B161" i="22"/>
  <c r="K160"/>
  <c r="J160"/>
  <c r="L160"/>
  <c r="J453" i="1"/>
  <c r="J88"/>
  <c r="T116" i="7"/>
  <c r="B118"/>
  <c r="J117"/>
  <c r="K117"/>
  <c r="L117"/>
  <c r="O116"/>
  <c r="J119" i="50" l="1"/>
  <c r="K119"/>
  <c r="L119"/>
  <c r="B120"/>
  <c r="M117" i="7"/>
  <c r="Q117" s="1"/>
  <c r="N117" s="1"/>
  <c r="J161" i="22"/>
  <c r="K161"/>
  <c r="B162"/>
  <c r="L161"/>
  <c r="B162" i="20"/>
  <c r="K161"/>
  <c r="J161"/>
  <c r="L161"/>
  <c r="B162" i="5"/>
  <c r="K161"/>
  <c r="J161"/>
  <c r="L161"/>
  <c r="L118" i="7"/>
  <c r="B119"/>
  <c r="J118"/>
  <c r="K118"/>
  <c r="K119" l="1"/>
  <c r="L119"/>
  <c r="B120"/>
  <c r="J119"/>
  <c r="M119" s="1"/>
  <c r="Q119" s="1"/>
  <c r="N119" s="1"/>
  <c r="J162" i="5"/>
  <c r="B163"/>
  <c r="K162"/>
  <c r="L162"/>
  <c r="B163" i="20"/>
  <c r="J162"/>
  <c r="K162"/>
  <c r="L162"/>
  <c r="J454" i="1"/>
  <c r="J89"/>
  <c r="T117" i="7"/>
  <c r="B163" i="22"/>
  <c r="J162"/>
  <c r="K162"/>
  <c r="L162"/>
  <c r="O117" i="7"/>
  <c r="M118"/>
  <c r="Q118" s="1"/>
  <c r="N118" s="1"/>
  <c r="B121" i="50"/>
  <c r="J120"/>
  <c r="K120"/>
  <c r="L120"/>
  <c r="O118" i="7" l="1"/>
  <c r="O119" s="1"/>
  <c r="B164" i="22"/>
  <c r="J163"/>
  <c r="K163"/>
  <c r="L163"/>
  <c r="J456" i="1"/>
  <c r="T119" i="7"/>
  <c r="J91" i="1"/>
  <c r="J120" i="7"/>
  <c r="K120"/>
  <c r="L120"/>
  <c r="B121"/>
  <c r="L121" i="50"/>
  <c r="B122"/>
  <c r="J121"/>
  <c r="K121"/>
  <c r="B164" i="5"/>
  <c r="K163"/>
  <c r="J163"/>
  <c r="L163"/>
  <c r="J90" i="1"/>
  <c r="T118" i="7"/>
  <c r="J455" i="1"/>
  <c r="B164" i="20"/>
  <c r="J163"/>
  <c r="K163"/>
  <c r="L163"/>
  <c r="K164" l="1"/>
  <c r="B165"/>
  <c r="J164"/>
  <c r="L164"/>
  <c r="B165" i="5"/>
  <c r="J164"/>
  <c r="K164"/>
  <c r="L164"/>
  <c r="K122" i="50"/>
  <c r="L122"/>
  <c r="B123"/>
  <c r="J122"/>
  <c r="M120" i="7"/>
  <c r="B165" i="22"/>
  <c r="K164"/>
  <c r="J164"/>
  <c r="L164"/>
  <c r="B122" i="7"/>
  <c r="J121"/>
  <c r="M121" s="1"/>
  <c r="Q121" s="1"/>
  <c r="N121" s="1"/>
  <c r="K121"/>
  <c r="L121"/>
  <c r="Q120" l="1"/>
  <c r="N120" s="1"/>
  <c r="O120"/>
  <c r="O121" s="1"/>
  <c r="J165" i="5"/>
  <c r="K165"/>
  <c r="B166"/>
  <c r="L165"/>
  <c r="J458" i="1"/>
  <c r="T121" i="7"/>
  <c r="J93" i="1"/>
  <c r="L122" i="7"/>
  <c r="B123"/>
  <c r="J122"/>
  <c r="M122" s="1"/>
  <c r="Q122" s="1"/>
  <c r="N122" s="1"/>
  <c r="K122"/>
  <c r="B166" i="22"/>
  <c r="J165"/>
  <c r="K165"/>
  <c r="L165"/>
  <c r="J123" i="50"/>
  <c r="K123"/>
  <c r="L123"/>
  <c r="B124"/>
  <c r="B166" i="20"/>
  <c r="K165"/>
  <c r="J165"/>
  <c r="L165"/>
  <c r="K123" i="7" l="1"/>
  <c r="L123"/>
  <c r="B124"/>
  <c r="J123"/>
  <c r="M123" s="1"/>
  <c r="Q123" s="1"/>
  <c r="N123" s="1"/>
  <c r="B167" i="22"/>
  <c r="J166"/>
  <c r="K166"/>
  <c r="L166"/>
  <c r="B167" i="5"/>
  <c r="J166"/>
  <c r="K166"/>
  <c r="L166"/>
  <c r="O122" i="7"/>
  <c r="B125" i="50"/>
  <c r="J124"/>
  <c r="K124"/>
  <c r="L124"/>
  <c r="J457" i="1"/>
  <c r="T120" i="7"/>
  <c r="J92" i="1"/>
  <c r="B167" i="20"/>
  <c r="K166"/>
  <c r="J166"/>
  <c r="L166"/>
  <c r="T122" i="7"/>
  <c r="J459" i="1"/>
  <c r="J94"/>
  <c r="O123" i="7" l="1"/>
  <c r="L125" i="50"/>
  <c r="B126"/>
  <c r="J125"/>
  <c r="K125"/>
  <c r="B168" i="20"/>
  <c r="K167"/>
  <c r="J167"/>
  <c r="L167"/>
  <c r="B168" i="5"/>
  <c r="J167"/>
  <c r="K167"/>
  <c r="L167"/>
  <c r="B168" i="22"/>
  <c r="K167"/>
  <c r="J167"/>
  <c r="L167"/>
  <c r="T123" i="7"/>
  <c r="J460" i="1"/>
  <c r="J95"/>
  <c r="J124" i="7"/>
  <c r="M124" s="1"/>
  <c r="Q124" s="1"/>
  <c r="N124" s="1"/>
  <c r="K124"/>
  <c r="L124"/>
  <c r="B125"/>
  <c r="B126" l="1"/>
  <c r="J125"/>
  <c r="K125"/>
  <c r="L125"/>
  <c r="B169" i="22"/>
  <c r="J168"/>
  <c r="K168"/>
  <c r="L168"/>
  <c r="B169" i="5"/>
  <c r="J168"/>
  <c r="K168"/>
  <c r="L168"/>
  <c r="K126" i="50"/>
  <c r="L126"/>
  <c r="B127"/>
  <c r="J126"/>
  <c r="O124" i="7"/>
  <c r="J168" i="20"/>
  <c r="B169"/>
  <c r="K168"/>
  <c r="L168"/>
  <c r="J461" i="1"/>
  <c r="J96"/>
  <c r="T124" i="7"/>
  <c r="B170" i="5" l="1"/>
  <c r="K169"/>
  <c r="J169"/>
  <c r="L169"/>
  <c r="K169" i="22"/>
  <c r="B170"/>
  <c r="J169"/>
  <c r="L169"/>
  <c r="B170" i="20"/>
  <c r="K169"/>
  <c r="J169"/>
  <c r="L169"/>
  <c r="J127" i="50"/>
  <c r="K127"/>
  <c r="L127"/>
  <c r="B128"/>
  <c r="M125" i="7"/>
  <c r="Q125" s="1"/>
  <c r="N125" s="1"/>
  <c r="L126"/>
  <c r="B127"/>
  <c r="J126"/>
  <c r="K126"/>
  <c r="M126" l="1"/>
  <c r="Q126" s="1"/>
  <c r="N126" s="1"/>
  <c r="T125"/>
  <c r="J97" i="1"/>
  <c r="J462"/>
  <c r="B171" i="20"/>
  <c r="K170"/>
  <c r="J170"/>
  <c r="L170"/>
  <c r="B171" i="22"/>
  <c r="J170"/>
  <c r="K170"/>
  <c r="L170"/>
  <c r="K127" i="7"/>
  <c r="L127"/>
  <c r="B128"/>
  <c r="J127"/>
  <c r="M127" s="1"/>
  <c r="Q127" s="1"/>
  <c r="N127" s="1"/>
  <c r="B129" i="50"/>
  <c r="J128"/>
  <c r="K128"/>
  <c r="L128"/>
  <c r="B171" i="5"/>
  <c r="J170"/>
  <c r="K170"/>
  <c r="L170"/>
  <c r="O125" i="7"/>
  <c r="O126" l="1"/>
  <c r="O127"/>
  <c r="T127"/>
  <c r="J464" i="1"/>
  <c r="J99"/>
  <c r="J128" i="7"/>
  <c r="M128" s="1"/>
  <c r="Q128" s="1"/>
  <c r="N128" s="1"/>
  <c r="K128"/>
  <c r="L128"/>
  <c r="B129"/>
  <c r="T126"/>
  <c r="J463" i="1"/>
  <c r="J98"/>
  <c r="B172" i="5"/>
  <c r="J171"/>
  <c r="K171"/>
  <c r="L171"/>
  <c r="L129" i="50"/>
  <c r="B130"/>
  <c r="J129"/>
  <c r="K129"/>
  <c r="B172" i="22"/>
  <c r="J171"/>
  <c r="K171"/>
  <c r="L171"/>
  <c r="B172" i="20"/>
  <c r="J171"/>
  <c r="K171"/>
  <c r="L171"/>
  <c r="K130" i="50" l="1"/>
  <c r="L130"/>
  <c r="B131"/>
  <c r="J130"/>
  <c r="J465" i="1"/>
  <c r="J100"/>
  <c r="T128" i="7"/>
  <c r="K172" i="20"/>
  <c r="J172"/>
  <c r="B173"/>
  <c r="L172"/>
  <c r="B173" i="22"/>
  <c r="K172"/>
  <c r="J172"/>
  <c r="L172"/>
  <c r="B130" i="7"/>
  <c r="J129"/>
  <c r="M129" s="1"/>
  <c r="Q129" s="1"/>
  <c r="N129" s="1"/>
  <c r="K129"/>
  <c r="L129"/>
  <c r="O128"/>
  <c r="B173" i="5"/>
  <c r="J172"/>
  <c r="K172"/>
  <c r="L172"/>
  <c r="B174" l="1"/>
  <c r="K173"/>
  <c r="J173"/>
  <c r="L173"/>
  <c r="J466" i="1"/>
  <c r="J101"/>
  <c r="T129" i="7"/>
  <c r="O129"/>
  <c r="L130"/>
  <c r="B131"/>
  <c r="J130"/>
  <c r="K130"/>
  <c r="J173" i="22"/>
  <c r="K173"/>
  <c r="B174"/>
  <c r="L173"/>
  <c r="B174" i="20"/>
  <c r="K173"/>
  <c r="J173"/>
  <c r="L173"/>
  <c r="J131" i="50"/>
  <c r="K131"/>
  <c r="L131"/>
  <c r="B132"/>
  <c r="B175" i="20" l="1"/>
  <c r="J174"/>
  <c r="K174"/>
  <c r="L174"/>
  <c r="B175" i="22"/>
  <c r="J174"/>
  <c r="K174"/>
  <c r="L174"/>
  <c r="M130" i="7"/>
  <c r="Q130" s="1"/>
  <c r="N130" s="1"/>
  <c r="B133" i="50"/>
  <c r="J132"/>
  <c r="K132"/>
  <c r="L132"/>
  <c r="K131" i="7"/>
  <c r="L131"/>
  <c r="B132"/>
  <c r="J131"/>
  <c r="B175" i="5"/>
  <c r="J174"/>
  <c r="K174"/>
  <c r="L174"/>
  <c r="J132" i="7" l="1"/>
  <c r="M132" s="1"/>
  <c r="Q132" s="1"/>
  <c r="N132" s="1"/>
  <c r="K132"/>
  <c r="L132"/>
  <c r="B133"/>
  <c r="L133" i="50"/>
  <c r="B134"/>
  <c r="J133"/>
  <c r="K133"/>
  <c r="B176" i="5"/>
  <c r="J175"/>
  <c r="K175"/>
  <c r="L175"/>
  <c r="J102" i="1"/>
  <c r="T130" i="7"/>
  <c r="J467" i="1"/>
  <c r="B176" i="22"/>
  <c r="J175"/>
  <c r="K175"/>
  <c r="L175"/>
  <c r="B176" i="20"/>
  <c r="K175"/>
  <c r="J175"/>
  <c r="L175"/>
  <c r="M131" i="7"/>
  <c r="Q131" s="1"/>
  <c r="N131" s="1"/>
  <c r="O130"/>
  <c r="T131" l="1"/>
  <c r="J103" i="1"/>
  <c r="J468"/>
  <c r="T132" i="7"/>
  <c r="J469" i="1"/>
  <c r="J104"/>
  <c r="B177" i="20"/>
  <c r="J176"/>
  <c r="K176"/>
  <c r="L176"/>
  <c r="B177" i="22"/>
  <c r="K176"/>
  <c r="J176"/>
  <c r="L176"/>
  <c r="B134" i="7"/>
  <c r="J133"/>
  <c r="M133" s="1"/>
  <c r="Q133" s="1"/>
  <c r="N133" s="1"/>
  <c r="K133"/>
  <c r="L133"/>
  <c r="K134" i="50"/>
  <c r="L134"/>
  <c r="B135"/>
  <c r="J134"/>
  <c r="O131" i="7"/>
  <c r="O132" s="1"/>
  <c r="B177" i="5"/>
  <c r="J176"/>
  <c r="K176"/>
  <c r="L176"/>
  <c r="J105" i="1" l="1"/>
  <c r="T133" i="7"/>
  <c r="J470" i="1"/>
  <c r="O133" i="7"/>
  <c r="L134"/>
  <c r="B135"/>
  <c r="J134"/>
  <c r="K134"/>
  <c r="J177" i="22"/>
  <c r="K177"/>
  <c r="B178"/>
  <c r="L177"/>
  <c r="B178" i="20"/>
  <c r="K177"/>
  <c r="J177"/>
  <c r="L177"/>
  <c r="B178" i="5"/>
  <c r="K177"/>
  <c r="J177"/>
  <c r="L177"/>
  <c r="J135" i="50"/>
  <c r="K135"/>
  <c r="L135"/>
  <c r="B136"/>
  <c r="B137" l="1"/>
  <c r="J136"/>
  <c r="K136"/>
  <c r="L136"/>
  <c r="K135" i="7"/>
  <c r="L135"/>
  <c r="B136"/>
  <c r="J135"/>
  <c r="B179" i="20"/>
  <c r="J178"/>
  <c r="K178"/>
  <c r="L178"/>
  <c r="B179" i="5"/>
  <c r="J178"/>
  <c r="K178"/>
  <c r="L178"/>
  <c r="B179" i="22"/>
  <c r="J178"/>
  <c r="K178"/>
  <c r="L178"/>
  <c r="M134" i="7"/>
  <c r="Q134" s="1"/>
  <c r="N134" s="1"/>
  <c r="O134" l="1"/>
  <c r="B180" i="5"/>
  <c r="J179"/>
  <c r="K179"/>
  <c r="L179"/>
  <c r="J136" i="7"/>
  <c r="M136" s="1"/>
  <c r="Q136" s="1"/>
  <c r="N136" s="1"/>
  <c r="K136"/>
  <c r="L136"/>
  <c r="B137"/>
  <c r="B180" i="20"/>
  <c r="J179"/>
  <c r="K179"/>
  <c r="L179"/>
  <c r="T134" i="7"/>
  <c r="J106" i="1"/>
  <c r="J471"/>
  <c r="B180" i="22"/>
  <c r="J179"/>
  <c r="K179"/>
  <c r="L179"/>
  <c r="M135" i="7"/>
  <c r="Q135" s="1"/>
  <c r="N135" s="1"/>
  <c r="L137" i="50"/>
  <c r="B138"/>
  <c r="J137"/>
  <c r="K137"/>
  <c r="J107" i="1" l="1"/>
  <c r="T135" i="7"/>
  <c r="J472" i="1"/>
  <c r="B181" i="22"/>
  <c r="K180"/>
  <c r="J180"/>
  <c r="L180"/>
  <c r="J473" i="1"/>
  <c r="J108"/>
  <c r="T136" i="7"/>
  <c r="O135"/>
  <c r="O136" s="1"/>
  <c r="B181" i="5"/>
  <c r="J180"/>
  <c r="K180"/>
  <c r="L180"/>
  <c r="K138" i="50"/>
  <c r="L138"/>
  <c r="B139"/>
  <c r="J138"/>
  <c r="K180" i="20"/>
  <c r="B181"/>
  <c r="J180"/>
  <c r="L180"/>
  <c r="B138" i="7"/>
  <c r="J137"/>
  <c r="M137" s="1"/>
  <c r="Q137" s="1"/>
  <c r="N137" s="1"/>
  <c r="K137"/>
  <c r="L137"/>
  <c r="T137" l="1"/>
  <c r="J474" i="1"/>
  <c r="J109"/>
  <c r="B182" i="20"/>
  <c r="K181"/>
  <c r="J181"/>
  <c r="L181"/>
  <c r="B182" i="5"/>
  <c r="K181"/>
  <c r="J181"/>
  <c r="L181"/>
  <c r="B182" i="22"/>
  <c r="J181"/>
  <c r="K181"/>
  <c r="L181"/>
  <c r="L138" i="7"/>
  <c r="B139"/>
  <c r="J138"/>
  <c r="M138" s="1"/>
  <c r="Q138" s="1"/>
  <c r="N138" s="1"/>
  <c r="K138"/>
  <c r="O137"/>
  <c r="J139" i="50"/>
  <c r="K139"/>
  <c r="L139"/>
  <c r="B140"/>
  <c r="O138" i="7" l="1"/>
  <c r="O139" s="1"/>
  <c r="J475" i="1"/>
  <c r="J110"/>
  <c r="T138" i="7"/>
  <c r="B183" i="5"/>
  <c r="J182"/>
  <c r="K182"/>
  <c r="L182"/>
  <c r="B183" i="20"/>
  <c r="K182"/>
  <c r="J182"/>
  <c r="L182"/>
  <c r="K139" i="7"/>
  <c r="L139"/>
  <c r="B140"/>
  <c r="J139"/>
  <c r="M139" s="1"/>
  <c r="Q139" s="1"/>
  <c r="N139" s="1"/>
  <c r="B141" i="50"/>
  <c r="J140"/>
  <c r="K140"/>
  <c r="L140"/>
  <c r="B183" i="22"/>
  <c r="J182"/>
  <c r="K182"/>
  <c r="L182"/>
  <c r="B184" l="1"/>
  <c r="K183"/>
  <c r="J183"/>
  <c r="L183"/>
  <c r="L141" i="50"/>
  <c r="B142"/>
  <c r="J141"/>
  <c r="K141"/>
  <c r="J111" i="1"/>
  <c r="T139" i="7"/>
  <c r="J476" i="1"/>
  <c r="J140" i="7"/>
  <c r="M140" s="1"/>
  <c r="Q140" s="1"/>
  <c r="N140" s="1"/>
  <c r="K140"/>
  <c r="L140"/>
  <c r="B141"/>
  <c r="B184" i="20"/>
  <c r="J183"/>
  <c r="K183"/>
  <c r="L183"/>
  <c r="B184" i="5"/>
  <c r="J183"/>
  <c r="K183"/>
  <c r="L183"/>
  <c r="J477" i="1" l="1"/>
  <c r="J112"/>
  <c r="T140" i="7"/>
  <c r="K142" i="50"/>
  <c r="L142"/>
  <c r="B143"/>
  <c r="J142"/>
  <c r="B142" i="7"/>
  <c r="J141"/>
  <c r="K141"/>
  <c r="L141"/>
  <c r="B185" i="5"/>
  <c r="J184"/>
  <c r="K184"/>
  <c r="L184"/>
  <c r="K184" i="20"/>
  <c r="B185"/>
  <c r="J184"/>
  <c r="L184"/>
  <c r="O140" i="7"/>
  <c r="B185" i="22"/>
  <c r="J184"/>
  <c r="K184"/>
  <c r="L184"/>
  <c r="B186" i="5" l="1"/>
  <c r="K185"/>
  <c r="J185"/>
  <c r="L185"/>
  <c r="L142" i="7"/>
  <c r="B143"/>
  <c r="J142"/>
  <c r="M142" s="1"/>
  <c r="Q142" s="1"/>
  <c r="N142" s="1"/>
  <c r="K142"/>
  <c r="B186" i="22"/>
  <c r="J185"/>
  <c r="K185"/>
  <c r="L185"/>
  <c r="J143" i="50"/>
  <c r="K143"/>
  <c r="L143"/>
  <c r="B144"/>
  <c r="B186" i="20"/>
  <c r="J185"/>
  <c r="K185"/>
  <c r="L185"/>
  <c r="M141" i="7"/>
  <c r="Q141" s="1"/>
  <c r="N141" s="1"/>
  <c r="O141" l="1"/>
  <c r="O142" s="1"/>
  <c r="T142"/>
  <c r="J114" i="1"/>
  <c r="J479"/>
  <c r="B145" i="50"/>
  <c r="J144"/>
  <c r="K144"/>
  <c r="L144"/>
  <c r="K143" i="7"/>
  <c r="L143"/>
  <c r="B144"/>
  <c r="J143"/>
  <c r="M143" s="1"/>
  <c r="Q143" s="1"/>
  <c r="N143" s="1"/>
  <c r="B187" i="5"/>
  <c r="J186"/>
  <c r="K186"/>
  <c r="L186"/>
  <c r="J478" i="1"/>
  <c r="J113"/>
  <c r="T141" i="7"/>
  <c r="B187" i="20"/>
  <c r="K186"/>
  <c r="J186"/>
  <c r="L186"/>
  <c r="B187" i="22"/>
  <c r="K186"/>
  <c r="J186"/>
  <c r="L186"/>
  <c r="B188" i="5" l="1"/>
  <c r="J187"/>
  <c r="K187"/>
  <c r="L187"/>
  <c r="J480" i="1"/>
  <c r="T143" i="7"/>
  <c r="J115" i="1"/>
  <c r="B188" i="22"/>
  <c r="K187"/>
  <c r="J187"/>
  <c r="L187"/>
  <c r="B188" i="20"/>
  <c r="K187"/>
  <c r="J187"/>
  <c r="L187"/>
  <c r="J144" i="7"/>
  <c r="M144" s="1"/>
  <c r="Q144" s="1"/>
  <c r="N144" s="1"/>
  <c r="K144"/>
  <c r="L144"/>
  <c r="B145"/>
  <c r="L145" i="50"/>
  <c r="B146"/>
  <c r="J145"/>
  <c r="K145"/>
  <c r="O143" i="7"/>
  <c r="O144" l="1"/>
  <c r="T144"/>
  <c r="J481" i="1"/>
  <c r="J116"/>
  <c r="J188" i="20"/>
  <c r="K188"/>
  <c r="B189"/>
  <c r="L188"/>
  <c r="B189" i="22"/>
  <c r="J188"/>
  <c r="K188"/>
  <c r="L188"/>
  <c r="B146" i="7"/>
  <c r="J145"/>
  <c r="M145" s="1"/>
  <c r="Q145" s="1"/>
  <c r="N145" s="1"/>
  <c r="K145"/>
  <c r="L145"/>
  <c r="K146" i="50"/>
  <c r="L146"/>
  <c r="B147"/>
  <c r="J146"/>
  <c r="B189" i="5"/>
  <c r="J188"/>
  <c r="K188"/>
  <c r="L188"/>
  <c r="B190" l="1"/>
  <c r="K189"/>
  <c r="J189"/>
  <c r="L189"/>
  <c r="J117" i="1"/>
  <c r="T145" i="7"/>
  <c r="J482" i="1"/>
  <c r="B190" i="20"/>
  <c r="J189"/>
  <c r="K189"/>
  <c r="L189"/>
  <c r="L146" i="7"/>
  <c r="B147"/>
  <c r="J146"/>
  <c r="K146"/>
  <c r="J147" i="50"/>
  <c r="K147"/>
  <c r="L147"/>
  <c r="B148"/>
  <c r="O145" i="7"/>
  <c r="K189" i="22"/>
  <c r="B190"/>
  <c r="J189"/>
  <c r="L189"/>
  <c r="B149" i="50" l="1"/>
  <c r="J148"/>
  <c r="K148"/>
  <c r="L148"/>
  <c r="B191" i="20"/>
  <c r="J190"/>
  <c r="K190"/>
  <c r="L190"/>
  <c r="B191" i="22"/>
  <c r="J190"/>
  <c r="K190"/>
  <c r="L190"/>
  <c r="M146" i="7"/>
  <c r="Q146" s="1"/>
  <c r="N146" s="1"/>
  <c r="K147"/>
  <c r="L147"/>
  <c r="B148"/>
  <c r="J147"/>
  <c r="M147" s="1"/>
  <c r="Q147" s="1"/>
  <c r="N147" s="1"/>
  <c r="B191" i="5"/>
  <c r="J190"/>
  <c r="K190"/>
  <c r="L190"/>
  <c r="O146" i="7" l="1"/>
  <c r="O147" s="1"/>
  <c r="T147"/>
  <c r="J484" i="1"/>
  <c r="J119"/>
  <c r="L149" i="50"/>
  <c r="B150"/>
  <c r="J149"/>
  <c r="K149"/>
  <c r="J148" i="7"/>
  <c r="M148" s="1"/>
  <c r="Q148" s="1"/>
  <c r="N148" s="1"/>
  <c r="K148"/>
  <c r="L148"/>
  <c r="B149"/>
  <c r="B192" i="5"/>
  <c r="J191"/>
  <c r="K191"/>
  <c r="L191"/>
  <c r="J118" i="1"/>
  <c r="T146" i="7"/>
  <c r="J483" i="1"/>
  <c r="B192" i="22"/>
  <c r="K191"/>
  <c r="J191"/>
  <c r="L191"/>
  <c r="B192" i="20"/>
  <c r="K191"/>
  <c r="J191"/>
  <c r="L191"/>
  <c r="T148" i="7" l="1"/>
  <c r="J485" i="1"/>
  <c r="J120"/>
  <c r="O148" i="7"/>
  <c r="B193" i="5"/>
  <c r="J192"/>
  <c r="K192"/>
  <c r="L192"/>
  <c r="B150" i="7"/>
  <c r="J149"/>
  <c r="M149" s="1"/>
  <c r="Q149" s="1"/>
  <c r="N149" s="1"/>
  <c r="K149"/>
  <c r="L149"/>
  <c r="B193" i="20"/>
  <c r="J192"/>
  <c r="K192"/>
  <c r="L192"/>
  <c r="B193" i="22"/>
  <c r="J192"/>
  <c r="K192"/>
  <c r="L192"/>
  <c r="K150" i="50"/>
  <c r="L150"/>
  <c r="B151"/>
  <c r="J150"/>
  <c r="O149" i="7" l="1"/>
  <c r="J193" i="22"/>
  <c r="K193"/>
  <c r="B194"/>
  <c r="L193"/>
  <c r="B194" i="20"/>
  <c r="K193"/>
  <c r="J193"/>
  <c r="L193"/>
  <c r="L150" i="7"/>
  <c r="B151"/>
  <c r="J150"/>
  <c r="M150" s="1"/>
  <c r="Q150" s="1"/>
  <c r="N150" s="1"/>
  <c r="K150"/>
  <c r="B194" i="5"/>
  <c r="K193"/>
  <c r="J193"/>
  <c r="L193"/>
  <c r="J151" i="50"/>
  <c r="K151"/>
  <c r="L151"/>
  <c r="B152"/>
  <c r="T149" i="7"/>
  <c r="J121" i="1"/>
  <c r="J486"/>
  <c r="B153" i="50" l="1"/>
  <c r="J152"/>
  <c r="K152"/>
  <c r="L152"/>
  <c r="J487" i="1"/>
  <c r="J122"/>
  <c r="T150" i="7"/>
  <c r="B195" i="22"/>
  <c r="J194"/>
  <c r="K194"/>
  <c r="L194"/>
  <c r="O150" i="7"/>
  <c r="K151"/>
  <c r="L151"/>
  <c r="B152"/>
  <c r="J151"/>
  <c r="M151" s="1"/>
  <c r="Q151" s="1"/>
  <c r="N151" s="1"/>
  <c r="B195" i="5"/>
  <c r="J194"/>
  <c r="K194"/>
  <c r="L194"/>
  <c r="B195" i="20"/>
  <c r="J194"/>
  <c r="K194"/>
  <c r="L194"/>
  <c r="J488" i="1" l="1"/>
  <c r="T151" i="7"/>
  <c r="J123" i="1"/>
  <c r="O151" i="7"/>
  <c r="B196" i="22"/>
  <c r="J195"/>
  <c r="K195"/>
  <c r="L195"/>
  <c r="J152" i="7"/>
  <c r="K152"/>
  <c r="L152"/>
  <c r="B153"/>
  <c r="B196" i="20"/>
  <c r="J195"/>
  <c r="K195"/>
  <c r="L195"/>
  <c r="B196" i="5"/>
  <c r="J195"/>
  <c r="K195"/>
  <c r="L195"/>
  <c r="L153" i="50"/>
  <c r="B154"/>
  <c r="J153"/>
  <c r="K153"/>
  <c r="K154" l="1"/>
  <c r="L154"/>
  <c r="B155"/>
  <c r="J154"/>
  <c r="M152" i="7"/>
  <c r="Q152" s="1"/>
  <c r="N152" s="1"/>
  <c r="B197" i="5"/>
  <c r="J196"/>
  <c r="K196"/>
  <c r="L196"/>
  <c r="K196" i="20"/>
  <c r="B197"/>
  <c r="J196"/>
  <c r="L196"/>
  <c r="B154" i="7"/>
  <c r="J153"/>
  <c r="K153"/>
  <c r="L153"/>
  <c r="B197" i="22"/>
  <c r="K196"/>
  <c r="J196"/>
  <c r="L196"/>
  <c r="B198" l="1"/>
  <c r="J197"/>
  <c r="K197"/>
  <c r="L197"/>
  <c r="J155" i="50"/>
  <c r="K155"/>
  <c r="L155"/>
  <c r="B156"/>
  <c r="M153" i="7"/>
  <c r="Q153" s="1"/>
  <c r="N153" s="1"/>
  <c r="B198" i="20"/>
  <c r="J197"/>
  <c r="K197"/>
  <c r="L197"/>
  <c r="J124" i="1"/>
  <c r="T152" i="7"/>
  <c r="J489" i="1"/>
  <c r="L154" i="7"/>
  <c r="B155"/>
  <c r="J154"/>
  <c r="K154"/>
  <c r="B198" i="5"/>
  <c r="K197"/>
  <c r="J197"/>
  <c r="L197"/>
  <c r="O152" i="7"/>
  <c r="O153" s="1"/>
  <c r="K155" l="1"/>
  <c r="L155"/>
  <c r="B156"/>
  <c r="J155"/>
  <c r="M155" s="1"/>
  <c r="Q155" s="1"/>
  <c r="N155" s="1"/>
  <c r="B199" i="5"/>
  <c r="J198"/>
  <c r="K198"/>
  <c r="L198"/>
  <c r="B157" i="50"/>
  <c r="J156"/>
  <c r="K156"/>
  <c r="L156"/>
  <c r="B199" i="20"/>
  <c r="K198"/>
  <c r="J198"/>
  <c r="L198"/>
  <c r="B199" i="22"/>
  <c r="K198"/>
  <c r="J198"/>
  <c r="L198"/>
  <c r="M154" i="7"/>
  <c r="Q154" s="1"/>
  <c r="N154" s="1"/>
  <c r="J490" i="1"/>
  <c r="J125"/>
  <c r="T153" i="7"/>
  <c r="J127" i="1" l="1"/>
  <c r="T155" i="7"/>
  <c r="J492" i="1"/>
  <c r="T154" i="7"/>
  <c r="J126" i="1"/>
  <c r="J491"/>
  <c r="B200" i="22"/>
  <c r="J199"/>
  <c r="K199"/>
  <c r="L199"/>
  <c r="B200" i="20"/>
  <c r="J199"/>
  <c r="K199"/>
  <c r="L199"/>
  <c r="J156" i="7"/>
  <c r="M156" s="1"/>
  <c r="Q156" s="1"/>
  <c r="N156" s="1"/>
  <c r="K156"/>
  <c r="L156"/>
  <c r="B157"/>
  <c r="O154"/>
  <c r="O155" s="1"/>
  <c r="O156" s="1"/>
  <c r="B200" i="5"/>
  <c r="J199"/>
  <c r="K199"/>
  <c r="L199"/>
  <c r="L157" i="50"/>
  <c r="B158"/>
  <c r="J157"/>
  <c r="K157"/>
  <c r="J493" i="1" l="1"/>
  <c r="J128"/>
  <c r="T156" i="7"/>
  <c r="K200" i="20"/>
  <c r="B201"/>
  <c r="J200"/>
  <c r="L200"/>
  <c r="B201" i="22"/>
  <c r="K200"/>
  <c r="J200"/>
  <c r="L200"/>
  <c r="K158" i="50"/>
  <c r="L158"/>
  <c r="B159"/>
  <c r="J158"/>
  <c r="B158" i="7"/>
  <c r="J157"/>
  <c r="M157" s="1"/>
  <c r="Q157" s="1"/>
  <c r="N157" s="1"/>
  <c r="K157"/>
  <c r="L157"/>
  <c r="B201" i="5"/>
  <c r="J200"/>
  <c r="K200"/>
  <c r="L200"/>
  <c r="J159" i="50" l="1"/>
  <c r="K159"/>
  <c r="L159"/>
  <c r="B160"/>
  <c r="T157" i="7"/>
  <c r="J494" i="1"/>
  <c r="J129"/>
  <c r="L158" i="7"/>
  <c r="B159"/>
  <c r="J158"/>
  <c r="M158" s="1"/>
  <c r="Q158" s="1"/>
  <c r="N158" s="1"/>
  <c r="K158"/>
  <c r="B202" i="20"/>
  <c r="J201"/>
  <c r="K201"/>
  <c r="L201"/>
  <c r="B202" i="5"/>
  <c r="K201"/>
  <c r="J201"/>
  <c r="L201"/>
  <c r="B202" i="22"/>
  <c r="J201"/>
  <c r="K201"/>
  <c r="L201"/>
  <c r="O157" i="7"/>
  <c r="O158" l="1"/>
  <c r="J495" i="1"/>
  <c r="J130"/>
  <c r="T158" i="7"/>
  <c r="B161" i="50"/>
  <c r="J160"/>
  <c r="K160"/>
  <c r="L160"/>
  <c r="K159" i="7"/>
  <c r="L159"/>
  <c r="B160"/>
  <c r="J159"/>
  <c r="M159" s="1"/>
  <c r="Q159" s="1"/>
  <c r="N159" s="1"/>
  <c r="B203" i="22"/>
  <c r="K202"/>
  <c r="J202"/>
  <c r="L202"/>
  <c r="B203" i="20"/>
  <c r="K202"/>
  <c r="J202"/>
  <c r="L202"/>
  <c r="B203" i="5"/>
  <c r="J202"/>
  <c r="K202"/>
  <c r="L202"/>
  <c r="B204" l="1"/>
  <c r="J203"/>
  <c r="K203"/>
  <c r="L203"/>
  <c r="J160" i="7"/>
  <c r="K160"/>
  <c r="L160"/>
  <c r="B161"/>
  <c r="L161" i="50"/>
  <c r="B162"/>
  <c r="J161"/>
  <c r="K161"/>
  <c r="B204" i="20"/>
  <c r="J203"/>
  <c r="K203"/>
  <c r="L203"/>
  <c r="B204" i="22"/>
  <c r="J203"/>
  <c r="K203"/>
  <c r="L203"/>
  <c r="O159" i="7"/>
  <c r="J131" i="1"/>
  <c r="T159" i="7"/>
  <c r="J496" i="1"/>
  <c r="B205" i="22" l="1"/>
  <c r="J204"/>
  <c r="K204"/>
  <c r="L204"/>
  <c r="J204" i="20"/>
  <c r="K204"/>
  <c r="B205"/>
  <c r="L204"/>
  <c r="K162" i="50"/>
  <c r="L162"/>
  <c r="B163"/>
  <c r="J162"/>
  <c r="M160" i="7"/>
  <c r="Q160" s="1"/>
  <c r="N160" s="1"/>
  <c r="B205" i="5"/>
  <c r="J204"/>
  <c r="K204"/>
  <c r="L204"/>
  <c r="B162" i="7"/>
  <c r="J161"/>
  <c r="K161"/>
  <c r="L161"/>
  <c r="B206" i="5" l="1"/>
  <c r="J205"/>
  <c r="K205"/>
  <c r="L205"/>
  <c r="J497" i="1"/>
  <c r="T160" i="7"/>
  <c r="J132" i="1"/>
  <c r="K205" i="22"/>
  <c r="B206"/>
  <c r="J205"/>
  <c r="L205"/>
  <c r="M161" i="7"/>
  <c r="Q161" s="1"/>
  <c r="N161" s="1"/>
  <c r="O160"/>
  <c r="L162"/>
  <c r="B163"/>
  <c r="J162"/>
  <c r="M162" s="1"/>
  <c r="Q162" s="1"/>
  <c r="N162" s="1"/>
  <c r="K162"/>
  <c r="J163" i="50"/>
  <c r="K163"/>
  <c r="L163"/>
  <c r="B164"/>
  <c r="B206" i="20"/>
  <c r="K205"/>
  <c r="J205"/>
  <c r="L205"/>
  <c r="O161" i="7" l="1"/>
  <c r="O162" s="1"/>
  <c r="B165" i="50"/>
  <c r="J164"/>
  <c r="K164"/>
  <c r="L164"/>
  <c r="T162" i="7"/>
  <c r="J499" i="1"/>
  <c r="J134"/>
  <c r="K163" i="7"/>
  <c r="L163"/>
  <c r="B164"/>
  <c r="J163"/>
  <c r="M163" s="1"/>
  <c r="Q163" s="1"/>
  <c r="N163" s="1"/>
  <c r="B207" i="22"/>
  <c r="J206"/>
  <c r="K206"/>
  <c r="L206"/>
  <c r="B207" i="5"/>
  <c r="J206"/>
  <c r="K206"/>
  <c r="L206"/>
  <c r="B207" i="20"/>
  <c r="J206"/>
  <c r="K206"/>
  <c r="L206"/>
  <c r="J498" i="1"/>
  <c r="J133"/>
  <c r="T161" i="7"/>
  <c r="J135" i="1" l="1"/>
  <c r="T163" i="7"/>
  <c r="J500" i="1"/>
  <c r="J164" i="7"/>
  <c r="M164" s="1"/>
  <c r="Q164" s="1"/>
  <c r="N164" s="1"/>
  <c r="K164"/>
  <c r="L164"/>
  <c r="B165"/>
  <c r="B208" i="20"/>
  <c r="K207"/>
  <c r="J207"/>
  <c r="L207"/>
  <c r="B208" i="5"/>
  <c r="J207"/>
  <c r="K207"/>
  <c r="L207"/>
  <c r="B208" i="22"/>
  <c r="J207"/>
  <c r="K207"/>
  <c r="L207"/>
  <c r="O163" i="7"/>
  <c r="L165" i="50"/>
  <c r="B166"/>
  <c r="J165"/>
  <c r="K165"/>
  <c r="O164" i="7" l="1"/>
  <c r="K166" i="50"/>
  <c r="L166"/>
  <c r="B167"/>
  <c r="J166"/>
  <c r="B209" i="22"/>
  <c r="J208"/>
  <c r="K208"/>
  <c r="L208"/>
  <c r="B209" i="5"/>
  <c r="K208"/>
  <c r="J208"/>
  <c r="L208"/>
  <c r="B209" i="20"/>
  <c r="J208"/>
  <c r="K208"/>
  <c r="L208"/>
  <c r="J136" i="1"/>
  <c r="T164" i="7"/>
  <c r="J501" i="1"/>
  <c r="B166" i="7"/>
  <c r="J165"/>
  <c r="K165"/>
  <c r="L165"/>
  <c r="J167" i="50" l="1"/>
  <c r="K167"/>
  <c r="L167"/>
  <c r="B168"/>
  <c r="M165" i="7"/>
  <c r="B210" i="20"/>
  <c r="K209"/>
  <c r="J209"/>
  <c r="L209"/>
  <c r="B210" i="5"/>
  <c r="J209"/>
  <c r="K209"/>
  <c r="L209"/>
  <c r="J209" i="22"/>
  <c r="K209"/>
  <c r="B210"/>
  <c r="L209"/>
  <c r="L166" i="7"/>
  <c r="B167"/>
  <c r="J166"/>
  <c r="K166"/>
  <c r="Q165" l="1"/>
  <c r="N165" s="1"/>
  <c r="O165"/>
  <c r="B211" i="22"/>
  <c r="J210"/>
  <c r="K210"/>
  <c r="L210"/>
  <c r="B169" i="50"/>
  <c r="J168"/>
  <c r="K168"/>
  <c r="L168"/>
  <c r="M166" i="7"/>
  <c r="Q166" s="1"/>
  <c r="N166" s="1"/>
  <c r="K167"/>
  <c r="L167"/>
  <c r="B168"/>
  <c r="J167"/>
  <c r="M167" s="1"/>
  <c r="Q167" s="1"/>
  <c r="N167" s="1"/>
  <c r="B211" i="5"/>
  <c r="J210"/>
  <c r="K210"/>
  <c r="L210"/>
  <c r="B211" i="20"/>
  <c r="J210"/>
  <c r="K210"/>
  <c r="L210"/>
  <c r="B212" i="22" l="1"/>
  <c r="J211"/>
  <c r="K211"/>
  <c r="L211"/>
  <c r="J504" i="1"/>
  <c r="T167" i="7"/>
  <c r="J139" i="1"/>
  <c r="T166" i="7"/>
  <c r="J503" i="1"/>
  <c r="J138"/>
  <c r="L169" i="50"/>
  <c r="B170"/>
  <c r="J169"/>
  <c r="K169"/>
  <c r="O166" i="7"/>
  <c r="O167" s="1"/>
  <c r="J168"/>
  <c r="M168" s="1"/>
  <c r="Q168" s="1"/>
  <c r="N168" s="1"/>
  <c r="K168"/>
  <c r="L168"/>
  <c r="B169"/>
  <c r="J137" i="1"/>
  <c r="T165" i="7"/>
  <c r="J502" i="1"/>
  <c r="B212" i="20"/>
  <c r="J211"/>
  <c r="K211"/>
  <c r="L211"/>
  <c r="B212" i="5"/>
  <c r="J211"/>
  <c r="K211"/>
  <c r="L211"/>
  <c r="B213" l="1"/>
  <c r="K212"/>
  <c r="J212"/>
  <c r="L212"/>
  <c r="K212" i="20"/>
  <c r="B213"/>
  <c r="J212"/>
  <c r="L212"/>
  <c r="J140" i="1"/>
  <c r="J505"/>
  <c r="T168" i="7"/>
  <c r="B213" i="22"/>
  <c r="K212"/>
  <c r="J212"/>
  <c r="L212"/>
  <c r="B170" i="7"/>
  <c r="J169"/>
  <c r="K169"/>
  <c r="L169"/>
  <c r="K170" i="50"/>
  <c r="L170"/>
  <c r="B171"/>
  <c r="J170"/>
  <c r="O168" i="7"/>
  <c r="L170" l="1"/>
  <c r="B171"/>
  <c r="J170"/>
  <c r="M170" s="1"/>
  <c r="Q170" s="1"/>
  <c r="N170" s="1"/>
  <c r="K170"/>
  <c r="B214" i="5"/>
  <c r="J213"/>
  <c r="K213"/>
  <c r="L213"/>
  <c r="B214" i="22"/>
  <c r="J213"/>
  <c r="K213"/>
  <c r="L213"/>
  <c r="J171" i="50"/>
  <c r="K171"/>
  <c r="L171"/>
  <c r="B172"/>
  <c r="M169" i="7"/>
  <c r="Q169" s="1"/>
  <c r="N169" s="1"/>
  <c r="B214" i="20"/>
  <c r="J213"/>
  <c r="K213"/>
  <c r="L213"/>
  <c r="B173" i="50" l="1"/>
  <c r="J172"/>
  <c r="K172"/>
  <c r="L172"/>
  <c r="B215" i="22"/>
  <c r="J214"/>
  <c r="K214"/>
  <c r="L214"/>
  <c r="T170" i="7"/>
  <c r="J507" i="1"/>
  <c r="J142"/>
  <c r="B215" i="20"/>
  <c r="J214"/>
  <c r="K214"/>
  <c r="L214"/>
  <c r="K171" i="7"/>
  <c r="L171"/>
  <c r="B172"/>
  <c r="J171"/>
  <c r="O169"/>
  <c r="O170" s="1"/>
  <c r="B215" i="5"/>
  <c r="J214"/>
  <c r="K214"/>
  <c r="L214"/>
  <c r="J141" i="1"/>
  <c r="T169" i="7"/>
  <c r="J506" i="1"/>
  <c r="B216" i="5" l="1"/>
  <c r="J215"/>
  <c r="K215"/>
  <c r="L215"/>
  <c r="B216" i="22"/>
  <c r="J215"/>
  <c r="K215"/>
  <c r="L215"/>
  <c r="L173" i="50"/>
  <c r="B174"/>
  <c r="J173"/>
  <c r="K173"/>
  <c r="M171" i="7"/>
  <c r="Q171" s="1"/>
  <c r="N171" s="1"/>
  <c r="B216" i="20"/>
  <c r="K215"/>
  <c r="J215"/>
  <c r="L215"/>
  <c r="J172" i="7"/>
  <c r="K172"/>
  <c r="L172"/>
  <c r="B173"/>
  <c r="O171" l="1"/>
  <c r="M172"/>
  <c r="Q172" s="1"/>
  <c r="N172" s="1"/>
  <c r="J216" i="20"/>
  <c r="B217"/>
  <c r="K216"/>
  <c r="L216"/>
  <c r="B174" i="7"/>
  <c r="J173"/>
  <c r="K173"/>
  <c r="L173"/>
  <c r="K174" i="50"/>
  <c r="L174"/>
  <c r="B175"/>
  <c r="J174"/>
  <c r="B217" i="5"/>
  <c r="K216"/>
  <c r="J216"/>
  <c r="L216"/>
  <c r="J508" i="1"/>
  <c r="J143"/>
  <c r="T171" i="7"/>
  <c r="B217" i="22"/>
  <c r="J216"/>
  <c r="K216"/>
  <c r="L216"/>
  <c r="K217" l="1"/>
  <c r="B218"/>
  <c r="J217"/>
  <c r="L217"/>
  <c r="B218" i="5"/>
  <c r="J217"/>
  <c r="K217"/>
  <c r="L217"/>
  <c r="M173" i="7"/>
  <c r="Q173" s="1"/>
  <c r="N173" s="1"/>
  <c r="B218" i="20"/>
  <c r="K217"/>
  <c r="J217"/>
  <c r="L217"/>
  <c r="L174" i="7"/>
  <c r="B175"/>
  <c r="J174"/>
  <c r="M174" s="1"/>
  <c r="Q174" s="1"/>
  <c r="N174" s="1"/>
  <c r="K174"/>
  <c r="J175" i="50"/>
  <c r="K175"/>
  <c r="L175"/>
  <c r="B176"/>
  <c r="T172" i="7"/>
  <c r="J509" i="1"/>
  <c r="J144"/>
  <c r="O172" i="7"/>
  <c r="T174" l="1"/>
  <c r="J511" i="1"/>
  <c r="J146"/>
  <c r="T173" i="7"/>
  <c r="J510" i="1"/>
  <c r="J145"/>
  <c r="K175" i="7"/>
  <c r="L175"/>
  <c r="B176"/>
  <c r="J175"/>
  <c r="B219" i="22"/>
  <c r="J218"/>
  <c r="K218"/>
  <c r="L218"/>
  <c r="O173" i="7"/>
  <c r="O174" s="1"/>
  <c r="B177" i="50"/>
  <c r="J176"/>
  <c r="K176"/>
  <c r="L176"/>
  <c r="B219" i="20"/>
  <c r="J218"/>
  <c r="K218"/>
  <c r="L218"/>
  <c r="B219" i="5"/>
  <c r="J218"/>
  <c r="K218"/>
  <c r="L218"/>
  <c r="J176" i="7" l="1"/>
  <c r="K176"/>
  <c r="L176"/>
  <c r="B177"/>
  <c r="B220" i="5"/>
  <c r="J219"/>
  <c r="K219"/>
  <c r="L219"/>
  <c r="B220" i="20"/>
  <c r="J219"/>
  <c r="K219"/>
  <c r="L219"/>
  <c r="L177" i="50"/>
  <c r="B178"/>
  <c r="J177"/>
  <c r="K177"/>
  <c r="B220" i="22"/>
  <c r="K219"/>
  <c r="J219"/>
  <c r="L219"/>
  <c r="M175" i="7"/>
  <c r="Q175" s="1"/>
  <c r="N175" s="1"/>
  <c r="J512" i="1" l="1"/>
  <c r="T175" i="7"/>
  <c r="J147" i="1"/>
  <c r="B221" i="22"/>
  <c r="K220"/>
  <c r="J220"/>
  <c r="L220"/>
  <c r="J220" i="20"/>
  <c r="K220"/>
  <c r="B221"/>
  <c r="L220"/>
  <c r="B221" i="5"/>
  <c r="K220"/>
  <c r="J220"/>
  <c r="L220"/>
  <c r="M176" i="7"/>
  <c r="Q176" s="1"/>
  <c r="N176" s="1"/>
  <c r="K178" i="50"/>
  <c r="L178"/>
  <c r="B179"/>
  <c r="J178"/>
  <c r="B178" i="7"/>
  <c r="J177"/>
  <c r="K177"/>
  <c r="L177"/>
  <c r="O175"/>
  <c r="O176" s="1"/>
  <c r="J513" i="1" l="1"/>
  <c r="J148"/>
  <c r="T176" i="7"/>
  <c r="B222" i="5"/>
  <c r="J221"/>
  <c r="K221"/>
  <c r="L221"/>
  <c r="J221" i="22"/>
  <c r="B222"/>
  <c r="K221"/>
  <c r="L221"/>
  <c r="M177" i="7"/>
  <c r="Q177" s="1"/>
  <c r="N177" s="1"/>
  <c r="J179" i="50"/>
  <c r="K179"/>
  <c r="L179"/>
  <c r="B180"/>
  <c r="L178" i="7"/>
  <c r="B179"/>
  <c r="J178"/>
  <c r="M178" s="1"/>
  <c r="Q178" s="1"/>
  <c r="N178" s="1"/>
  <c r="K178"/>
  <c r="B222" i="20"/>
  <c r="K221"/>
  <c r="J221"/>
  <c r="L221"/>
  <c r="B223" l="1"/>
  <c r="J222"/>
  <c r="K222"/>
  <c r="L222"/>
  <c r="B223" i="5"/>
  <c r="J222"/>
  <c r="K222"/>
  <c r="L222"/>
  <c r="O177" i="7"/>
  <c r="O178" s="1"/>
  <c r="B223" i="22"/>
  <c r="K222"/>
  <c r="J222"/>
  <c r="L222"/>
  <c r="J150" i="1"/>
  <c r="J515"/>
  <c r="T178" i="7"/>
  <c r="B181" i="50"/>
  <c r="J180"/>
  <c r="K180"/>
  <c r="L180"/>
  <c r="J514" i="1"/>
  <c r="J149"/>
  <c r="T177" i="7"/>
  <c r="K179"/>
  <c r="L179"/>
  <c r="B180"/>
  <c r="J179"/>
  <c r="B224" i="5" l="1"/>
  <c r="J223"/>
  <c r="K223"/>
  <c r="L223"/>
  <c r="L181" i="50"/>
  <c r="B182"/>
  <c r="J181"/>
  <c r="K181"/>
  <c r="M179" i="7"/>
  <c r="Q179" s="1"/>
  <c r="N179" s="1"/>
  <c r="J180"/>
  <c r="K180"/>
  <c r="L180"/>
  <c r="B181"/>
  <c r="B224" i="22"/>
  <c r="J223"/>
  <c r="K223"/>
  <c r="L223"/>
  <c r="B224" i="20"/>
  <c r="J223"/>
  <c r="K223"/>
  <c r="L223"/>
  <c r="K182" i="50" l="1"/>
  <c r="L182"/>
  <c r="B183"/>
  <c r="J182"/>
  <c r="B225" i="20"/>
  <c r="J224"/>
  <c r="K224"/>
  <c r="L224"/>
  <c r="B225" i="22"/>
  <c r="K224"/>
  <c r="J224"/>
  <c r="L224"/>
  <c r="M180" i="7"/>
  <c r="Q180" s="1"/>
  <c r="N180" s="1"/>
  <c r="T179"/>
  <c r="J516" i="1"/>
  <c r="J151"/>
  <c r="B225" i="5"/>
  <c r="J224"/>
  <c r="K224"/>
  <c r="L224"/>
  <c r="B182" i="7"/>
  <c r="J181"/>
  <c r="M181" s="1"/>
  <c r="Q181" s="1"/>
  <c r="N181" s="1"/>
  <c r="K181"/>
  <c r="L181"/>
  <c r="O179"/>
  <c r="O180" s="1"/>
  <c r="O181" s="1"/>
  <c r="L182" l="1"/>
  <c r="B183"/>
  <c r="J182"/>
  <c r="K182"/>
  <c r="B226" i="5"/>
  <c r="J225"/>
  <c r="K225"/>
  <c r="L225"/>
  <c r="J183" i="50"/>
  <c r="K183"/>
  <c r="L183"/>
  <c r="B184"/>
  <c r="J517" i="1"/>
  <c r="J152"/>
  <c r="T180" i="7"/>
  <c r="J225" i="22"/>
  <c r="B226"/>
  <c r="K225"/>
  <c r="L225"/>
  <c r="B226" i="20"/>
  <c r="J225"/>
  <c r="K225"/>
  <c r="L225"/>
  <c r="J153" i="1"/>
  <c r="T181" i="7"/>
  <c r="J518" i="1"/>
  <c r="B185" i="50" l="1"/>
  <c r="J184"/>
  <c r="K184"/>
  <c r="L184"/>
  <c r="M182" i="7"/>
  <c r="B227" i="22"/>
  <c r="K226"/>
  <c r="J226"/>
  <c r="L226"/>
  <c r="K183" i="7"/>
  <c r="L183"/>
  <c r="B184"/>
  <c r="J183"/>
  <c r="B227" i="20"/>
  <c r="J226"/>
  <c r="K226"/>
  <c r="L226"/>
  <c r="B227" i="5"/>
  <c r="K226"/>
  <c r="J226"/>
  <c r="L226"/>
  <c r="B228" l="1"/>
  <c r="K227"/>
  <c r="J227"/>
  <c r="L227"/>
  <c r="J184" i="7"/>
  <c r="M184" s="1"/>
  <c r="Q184" s="1"/>
  <c r="N184" s="1"/>
  <c r="K184"/>
  <c r="L184"/>
  <c r="B185"/>
  <c r="Q182"/>
  <c r="N182" s="1"/>
  <c r="O182"/>
  <c r="L185" i="50"/>
  <c r="B186"/>
  <c r="J185"/>
  <c r="K185"/>
  <c r="B228" i="20"/>
  <c r="J227"/>
  <c r="K227"/>
  <c r="L227"/>
  <c r="B228" i="22"/>
  <c r="J227"/>
  <c r="K227"/>
  <c r="L227"/>
  <c r="M183" i="7"/>
  <c r="Q183" s="1"/>
  <c r="N183" s="1"/>
  <c r="O183" l="1"/>
  <c r="O184" s="1"/>
  <c r="K228" i="20"/>
  <c r="B229"/>
  <c r="J228"/>
  <c r="L228"/>
  <c r="T184" i="7"/>
  <c r="J156" i="1"/>
  <c r="J521"/>
  <c r="T182" i="7"/>
  <c r="J519" i="1"/>
  <c r="J154"/>
  <c r="B186" i="7"/>
  <c r="J185"/>
  <c r="K185"/>
  <c r="L185"/>
  <c r="K186" i="50"/>
  <c r="L186"/>
  <c r="B187"/>
  <c r="J186"/>
  <c r="J520" i="1"/>
  <c r="J155"/>
  <c r="T183" i="7"/>
  <c r="B229" i="22"/>
  <c r="J228"/>
  <c r="K228"/>
  <c r="L228"/>
  <c r="B229" i="5"/>
  <c r="J228"/>
  <c r="K228"/>
  <c r="L228"/>
  <c r="J187" i="50" l="1"/>
  <c r="K187"/>
  <c r="L187"/>
  <c r="B188"/>
  <c r="M185" i="7"/>
  <c r="B230" i="20"/>
  <c r="J229"/>
  <c r="K229"/>
  <c r="L229"/>
  <c r="B230" i="5"/>
  <c r="J229"/>
  <c r="K229"/>
  <c r="L229"/>
  <c r="L186" i="7"/>
  <c r="B187"/>
  <c r="J186"/>
  <c r="K186"/>
  <c r="B230" i="22"/>
  <c r="K229"/>
  <c r="J229"/>
  <c r="L229"/>
  <c r="M186" i="7" l="1"/>
  <c r="Q186" s="1"/>
  <c r="N186" s="1"/>
  <c r="Q185"/>
  <c r="N185" s="1"/>
  <c r="O185"/>
  <c r="B189" i="50"/>
  <c r="J188"/>
  <c r="K188"/>
  <c r="L188"/>
  <c r="K187" i="7"/>
  <c r="L187"/>
  <c r="B188"/>
  <c r="J187"/>
  <c r="M187" s="1"/>
  <c r="Q187" s="1"/>
  <c r="N187" s="1"/>
  <c r="B231" i="22"/>
  <c r="J230"/>
  <c r="K230"/>
  <c r="L230"/>
  <c r="B231" i="5"/>
  <c r="K230"/>
  <c r="J230"/>
  <c r="L230"/>
  <c r="B231" i="20"/>
  <c r="K230"/>
  <c r="J230"/>
  <c r="L230"/>
  <c r="J523" i="1" l="1"/>
  <c r="T186" i="7"/>
  <c r="J158" i="1"/>
  <c r="B232" i="22"/>
  <c r="K231"/>
  <c r="J231"/>
  <c r="L231"/>
  <c r="L189" i="50"/>
  <c r="B190"/>
  <c r="J189"/>
  <c r="K189"/>
  <c r="J524" i="1"/>
  <c r="T187" i="7"/>
  <c r="J159" i="1"/>
  <c r="O186" i="7"/>
  <c r="O187" s="1"/>
  <c r="B232" i="20"/>
  <c r="J231"/>
  <c r="K231"/>
  <c r="L231"/>
  <c r="B232" i="5"/>
  <c r="J231"/>
  <c r="K231"/>
  <c r="L231"/>
  <c r="J188" i="7"/>
  <c r="K188"/>
  <c r="L188"/>
  <c r="B189"/>
  <c r="J157" i="1"/>
  <c r="J522"/>
  <c r="T185" i="7"/>
  <c r="B190" l="1"/>
  <c r="J189"/>
  <c r="K189"/>
  <c r="L189"/>
  <c r="B233" i="5"/>
  <c r="J232"/>
  <c r="K232"/>
  <c r="L232"/>
  <c r="J232" i="20"/>
  <c r="B233"/>
  <c r="K232"/>
  <c r="L232"/>
  <c r="B233" i="22"/>
  <c r="K232"/>
  <c r="J232"/>
  <c r="L232"/>
  <c r="M188" i="7"/>
  <c r="Q188" s="1"/>
  <c r="N188" s="1"/>
  <c r="K190" i="50"/>
  <c r="L190"/>
  <c r="B191"/>
  <c r="J190"/>
  <c r="B234" i="20" l="1"/>
  <c r="K233"/>
  <c r="J233"/>
  <c r="L233"/>
  <c r="J191" i="50"/>
  <c r="K191"/>
  <c r="L191"/>
  <c r="B192"/>
  <c r="T188" i="7"/>
  <c r="J525" i="1"/>
  <c r="J160"/>
  <c r="O188" i="7"/>
  <c r="J233" i="22"/>
  <c r="B234"/>
  <c r="K233"/>
  <c r="L233"/>
  <c r="B234" i="5"/>
  <c r="J233"/>
  <c r="K233"/>
  <c r="L233"/>
  <c r="M189" i="7"/>
  <c r="Q189" s="1"/>
  <c r="N189" s="1"/>
  <c r="L190"/>
  <c r="B191"/>
  <c r="J190"/>
  <c r="K190"/>
  <c r="K191" l="1"/>
  <c r="L191"/>
  <c r="B192"/>
  <c r="J191"/>
  <c r="M191" s="1"/>
  <c r="Q191" s="1"/>
  <c r="N191" s="1"/>
  <c r="B235" i="20"/>
  <c r="J234"/>
  <c r="K234"/>
  <c r="L234"/>
  <c r="O189" i="7"/>
  <c r="B193" i="50"/>
  <c r="J192"/>
  <c r="K192"/>
  <c r="L192"/>
  <c r="M190" i="7"/>
  <c r="Q190" s="1"/>
  <c r="N190" s="1"/>
  <c r="J526" i="1"/>
  <c r="T189" i="7"/>
  <c r="J161" i="1"/>
  <c r="B235" i="5"/>
  <c r="K234"/>
  <c r="J234"/>
  <c r="L234"/>
  <c r="B235" i="22"/>
  <c r="K234"/>
  <c r="J234"/>
  <c r="L234"/>
  <c r="B236" l="1"/>
  <c r="J235"/>
  <c r="K235"/>
  <c r="L235"/>
  <c r="B236" i="5"/>
  <c r="K235"/>
  <c r="J235"/>
  <c r="L235"/>
  <c r="J162" i="1"/>
  <c r="T190" i="7"/>
  <c r="J527" i="1"/>
  <c r="J163"/>
  <c r="T191" i="7"/>
  <c r="J528" i="1"/>
  <c r="J192" i="7"/>
  <c r="M192" s="1"/>
  <c r="Q192" s="1"/>
  <c r="N192" s="1"/>
  <c r="K192"/>
  <c r="L192"/>
  <c r="B193"/>
  <c r="L193" i="50"/>
  <c r="B194"/>
  <c r="J193"/>
  <c r="K193"/>
  <c r="O190" i="7"/>
  <c r="O191" s="1"/>
  <c r="B236" i="20"/>
  <c r="K235"/>
  <c r="J235"/>
  <c r="L235"/>
  <c r="J529" i="1" l="1"/>
  <c r="J164"/>
  <c r="T192" i="7"/>
  <c r="B194"/>
  <c r="J193"/>
  <c r="K193"/>
  <c r="L193"/>
  <c r="J236" i="20"/>
  <c r="K236"/>
  <c r="B237"/>
  <c r="L236"/>
  <c r="O192" i="7"/>
  <c r="K194" i="50"/>
  <c r="L194"/>
  <c r="B195"/>
  <c r="J194"/>
  <c r="B237" i="5"/>
  <c r="J236"/>
  <c r="K236"/>
  <c r="L236"/>
  <c r="B237" i="22"/>
  <c r="K236"/>
  <c r="J236"/>
  <c r="L236"/>
  <c r="L194" i="7" l="1"/>
  <c r="B195"/>
  <c r="J194"/>
  <c r="M194" s="1"/>
  <c r="Q194" s="1"/>
  <c r="N194" s="1"/>
  <c r="K194"/>
  <c r="J237" i="22"/>
  <c r="B238"/>
  <c r="K237"/>
  <c r="L237"/>
  <c r="B238" i="5"/>
  <c r="J237"/>
  <c r="K237"/>
  <c r="L237"/>
  <c r="B238" i="20"/>
  <c r="K237"/>
  <c r="J237"/>
  <c r="L237"/>
  <c r="J195" i="50"/>
  <c r="K195"/>
  <c r="L195"/>
  <c r="B196"/>
  <c r="M193" i="7"/>
  <c r="Q193" s="1"/>
  <c r="N193" s="1"/>
  <c r="T193" l="1"/>
  <c r="J530" i="1"/>
  <c r="J165"/>
  <c r="J531"/>
  <c r="J166"/>
  <c r="T194" i="7"/>
  <c r="B197" i="50"/>
  <c r="J196"/>
  <c r="K196"/>
  <c r="L196"/>
  <c r="O193" i="7"/>
  <c r="O194" s="1"/>
  <c r="B239" i="22"/>
  <c r="K238"/>
  <c r="J238"/>
  <c r="L238"/>
  <c r="K195" i="7"/>
  <c r="L195"/>
  <c r="B196"/>
  <c r="J195"/>
  <c r="B239" i="20"/>
  <c r="J238"/>
  <c r="K238"/>
  <c r="L238"/>
  <c r="B239" i="5"/>
  <c r="K238"/>
  <c r="J238"/>
  <c r="L238"/>
  <c r="B240" l="1"/>
  <c r="J239"/>
  <c r="K239"/>
  <c r="L239"/>
  <c r="B240" i="20"/>
  <c r="J239"/>
  <c r="K239"/>
  <c r="L239"/>
  <c r="B240" i="22"/>
  <c r="J239"/>
  <c r="K239"/>
  <c r="L239"/>
  <c r="M195" i="7"/>
  <c r="Q195" s="1"/>
  <c r="N195" s="1"/>
  <c r="L197" i="50"/>
  <c r="B198"/>
  <c r="J197"/>
  <c r="K197"/>
  <c r="J196" i="7"/>
  <c r="M196" s="1"/>
  <c r="Q196" s="1"/>
  <c r="N196" s="1"/>
  <c r="K196"/>
  <c r="L196"/>
  <c r="B197"/>
  <c r="O195" l="1"/>
  <c r="O196" s="1"/>
  <c r="T196"/>
  <c r="J533" i="1"/>
  <c r="J168"/>
  <c r="B241" i="20"/>
  <c r="K240"/>
  <c r="J240"/>
  <c r="L240"/>
  <c r="B241" i="5"/>
  <c r="J240"/>
  <c r="K240"/>
  <c r="L240"/>
  <c r="B198" i="7"/>
  <c r="J197"/>
  <c r="K197"/>
  <c r="L197"/>
  <c r="J532" i="1"/>
  <c r="J167"/>
  <c r="T195" i="7"/>
  <c r="B241" i="22"/>
  <c r="J240"/>
  <c r="K240"/>
  <c r="L240"/>
  <c r="K198" i="50"/>
  <c r="L198"/>
  <c r="B199"/>
  <c r="J198"/>
  <c r="L198" i="7" l="1"/>
  <c r="B199"/>
  <c r="J198"/>
  <c r="M198" s="1"/>
  <c r="Q198" s="1"/>
  <c r="N198" s="1"/>
  <c r="K198"/>
  <c r="B242" i="5"/>
  <c r="J241"/>
  <c r="K241"/>
  <c r="L241"/>
  <c r="B242" i="20"/>
  <c r="J241"/>
  <c r="K241"/>
  <c r="L241"/>
  <c r="K241" i="22"/>
  <c r="J241"/>
  <c r="B242"/>
  <c r="L241"/>
  <c r="J199" i="50"/>
  <c r="K199"/>
  <c r="L199"/>
  <c r="B200"/>
  <c r="M197" i="7"/>
  <c r="B243" i="22" l="1"/>
  <c r="J242"/>
  <c r="K242"/>
  <c r="L242"/>
  <c r="J535" i="1"/>
  <c r="J170"/>
  <c r="T198" i="7"/>
  <c r="Q197"/>
  <c r="N197" s="1"/>
  <c r="O197"/>
  <c r="O198" s="1"/>
  <c r="K199"/>
  <c r="L199"/>
  <c r="B200"/>
  <c r="J199"/>
  <c r="M199" s="1"/>
  <c r="Q199" s="1"/>
  <c r="N199" s="1"/>
  <c r="B201" i="50"/>
  <c r="J200"/>
  <c r="K200"/>
  <c r="L200"/>
  <c r="B243" i="20"/>
  <c r="K242"/>
  <c r="J242"/>
  <c r="L242"/>
  <c r="B243" i="5"/>
  <c r="K242"/>
  <c r="J242"/>
  <c r="L242"/>
  <c r="B244" l="1"/>
  <c r="K243"/>
  <c r="J243"/>
  <c r="L243"/>
  <c r="B244" i="20"/>
  <c r="J243"/>
  <c r="K243"/>
  <c r="L243"/>
  <c r="L201" i="50"/>
  <c r="B202"/>
  <c r="J201"/>
  <c r="K201"/>
  <c r="J171" i="1"/>
  <c r="J536"/>
  <c r="T199" i="7"/>
  <c r="O199"/>
  <c r="B244" i="22"/>
  <c r="K243"/>
  <c r="J243"/>
  <c r="L243"/>
  <c r="J200" i="7"/>
  <c r="K200"/>
  <c r="L200"/>
  <c r="B201"/>
  <c r="J169" i="1"/>
  <c r="T197" i="7"/>
  <c r="J534" i="1"/>
  <c r="M200" i="7" l="1"/>
  <c r="Q200" s="1"/>
  <c r="N200" s="1"/>
  <c r="B245" i="22"/>
  <c r="J244"/>
  <c r="K244"/>
  <c r="L244"/>
  <c r="B202" i="7"/>
  <c r="J201"/>
  <c r="M201" s="1"/>
  <c r="Q201" s="1"/>
  <c r="N201" s="1"/>
  <c r="K201"/>
  <c r="L201"/>
  <c r="B245" i="20"/>
  <c r="K244"/>
  <c r="J244"/>
  <c r="L244"/>
  <c r="B245" i="5"/>
  <c r="J244"/>
  <c r="K244"/>
  <c r="L244"/>
  <c r="K202" i="50"/>
  <c r="L202"/>
  <c r="B203"/>
  <c r="J202"/>
  <c r="O200" i="7" l="1"/>
  <c r="O201" s="1"/>
  <c r="J203" i="50"/>
  <c r="K203"/>
  <c r="L203"/>
  <c r="B204"/>
  <c r="B246" i="5"/>
  <c r="J245"/>
  <c r="K245"/>
  <c r="L245"/>
  <c r="B246" i="20"/>
  <c r="J245"/>
  <c r="K245"/>
  <c r="L245"/>
  <c r="J173" i="1"/>
  <c r="T201" i="7"/>
  <c r="J538" i="1"/>
  <c r="T200" i="7"/>
  <c r="J537" i="1"/>
  <c r="J172"/>
  <c r="L202" i="7"/>
  <c r="B203"/>
  <c r="J202"/>
  <c r="M202" s="1"/>
  <c r="Q202" s="1"/>
  <c r="N202" s="1"/>
  <c r="K202"/>
  <c r="B246" i="22"/>
  <c r="K245"/>
  <c r="J245"/>
  <c r="L245"/>
  <c r="O202" i="7" l="1"/>
  <c r="B205" i="50"/>
  <c r="J204"/>
  <c r="K204"/>
  <c r="L204"/>
  <c r="B247" i="22"/>
  <c r="J246"/>
  <c r="K246"/>
  <c r="L246"/>
  <c r="J174" i="1"/>
  <c r="T202" i="7"/>
  <c r="J539" i="1"/>
  <c r="K203" i="7"/>
  <c r="L203"/>
  <c r="B204"/>
  <c r="J203"/>
  <c r="B247" i="20"/>
  <c r="J246"/>
  <c r="K246"/>
  <c r="L246"/>
  <c r="B247" i="5"/>
  <c r="K246"/>
  <c r="J246"/>
  <c r="L246"/>
  <c r="B248" i="22" l="1"/>
  <c r="J247"/>
  <c r="K247"/>
  <c r="L247"/>
  <c r="M203" i="7"/>
  <c r="Q203" s="1"/>
  <c r="N203" s="1"/>
  <c r="L205" i="50"/>
  <c r="B206"/>
  <c r="J205"/>
  <c r="K205"/>
  <c r="B248" i="5"/>
  <c r="J247"/>
  <c r="K247"/>
  <c r="L247"/>
  <c r="B248" i="20"/>
  <c r="K247"/>
  <c r="J247"/>
  <c r="L247"/>
  <c r="J204" i="7"/>
  <c r="K204"/>
  <c r="L204"/>
  <c r="B205"/>
  <c r="B206" l="1"/>
  <c r="J205"/>
  <c r="K205"/>
  <c r="L205"/>
  <c r="J175" i="1"/>
  <c r="T203" i="7"/>
  <c r="J540" i="1"/>
  <c r="K206" i="50"/>
  <c r="L206"/>
  <c r="B207"/>
  <c r="J206"/>
  <c r="B249" i="22"/>
  <c r="K248"/>
  <c r="J248"/>
  <c r="L248"/>
  <c r="O203" i="7"/>
  <c r="M204"/>
  <c r="Q204" s="1"/>
  <c r="N204" s="1"/>
  <c r="J248" i="20"/>
  <c r="B249"/>
  <c r="K248"/>
  <c r="L248"/>
  <c r="B249" i="5"/>
  <c r="J248"/>
  <c r="K248"/>
  <c r="L248"/>
  <c r="O204" i="7" l="1"/>
  <c r="B250" i="20"/>
  <c r="J249"/>
  <c r="K249"/>
  <c r="L249"/>
  <c r="K249" i="22"/>
  <c r="B250"/>
  <c r="J249"/>
  <c r="L249"/>
  <c r="B250" i="5"/>
  <c r="J249"/>
  <c r="K249"/>
  <c r="L249"/>
  <c r="J207" i="50"/>
  <c r="K207"/>
  <c r="L207"/>
  <c r="B208"/>
  <c r="M205" i="7"/>
  <c r="Q205" s="1"/>
  <c r="N205" s="1"/>
  <c r="J176" i="1"/>
  <c r="T204" i="7"/>
  <c r="J541" i="1"/>
  <c r="L206" i="7"/>
  <c r="B207"/>
  <c r="J206"/>
  <c r="M206" s="1"/>
  <c r="Q206" s="1"/>
  <c r="N206" s="1"/>
  <c r="K206"/>
  <c r="T206" l="1"/>
  <c r="J543" i="1"/>
  <c r="J178"/>
  <c r="J542"/>
  <c r="J177"/>
  <c r="T205" i="7"/>
  <c r="K207"/>
  <c r="L207"/>
  <c r="B208"/>
  <c r="J207"/>
  <c r="M207" s="1"/>
  <c r="Q207" s="1"/>
  <c r="N207" s="1"/>
  <c r="B209" i="50"/>
  <c r="J208"/>
  <c r="K208"/>
  <c r="L208"/>
  <c r="B251" i="5"/>
  <c r="K250"/>
  <c r="J250"/>
  <c r="L250"/>
  <c r="B251" i="22"/>
  <c r="J250"/>
  <c r="K250"/>
  <c r="L250"/>
  <c r="B251" i="20"/>
  <c r="J250"/>
  <c r="K250"/>
  <c r="L250"/>
  <c r="O205" i="7"/>
  <c r="O206" s="1"/>
  <c r="O207" l="1"/>
  <c r="B252" i="22"/>
  <c r="J251"/>
  <c r="K251"/>
  <c r="L251"/>
  <c r="B252" i="5"/>
  <c r="K251"/>
  <c r="J251"/>
  <c r="L251"/>
  <c r="T207" i="7"/>
  <c r="J544" i="1"/>
  <c r="J179"/>
  <c r="J208" i="7"/>
  <c r="M208" s="1"/>
  <c r="Q208" s="1"/>
  <c r="N208" s="1"/>
  <c r="K208"/>
  <c r="L208"/>
  <c r="B209"/>
  <c r="B252" i="20"/>
  <c r="K251"/>
  <c r="J251"/>
  <c r="L251"/>
  <c r="L209" i="50"/>
  <c r="B210"/>
  <c r="J209"/>
  <c r="K209"/>
  <c r="K252" i="20" l="1"/>
  <c r="J252"/>
  <c r="B253"/>
  <c r="L252"/>
  <c r="T208" i="7"/>
  <c r="J180" i="1"/>
  <c r="J545"/>
  <c r="K210" i="50"/>
  <c r="L210"/>
  <c r="B211"/>
  <c r="J210"/>
  <c r="B210" i="7"/>
  <c r="J209"/>
  <c r="M209" s="1"/>
  <c r="Q209" s="1"/>
  <c r="N209" s="1"/>
  <c r="K209"/>
  <c r="L209"/>
  <c r="B253" i="5"/>
  <c r="J252"/>
  <c r="K252"/>
  <c r="L252"/>
  <c r="B253" i="22"/>
  <c r="J252"/>
  <c r="K252"/>
  <c r="L252"/>
  <c r="O208" i="7"/>
  <c r="O209" l="1"/>
  <c r="J253" i="22"/>
  <c r="K253"/>
  <c r="B254"/>
  <c r="L253"/>
  <c r="B254" i="5"/>
  <c r="J253"/>
  <c r="K253"/>
  <c r="L253"/>
  <c r="J211" i="50"/>
  <c r="K211"/>
  <c r="L211"/>
  <c r="B212"/>
  <c r="B254" i="20"/>
  <c r="J253"/>
  <c r="K253"/>
  <c r="L253"/>
  <c r="J181" i="1"/>
  <c r="J546"/>
  <c r="T209" i="7"/>
  <c r="L210"/>
  <c r="B211"/>
  <c r="J210"/>
  <c r="K210"/>
  <c r="M210" l="1"/>
  <c r="B255" i="20"/>
  <c r="J254"/>
  <c r="K254"/>
  <c r="L254"/>
  <c r="K211" i="7"/>
  <c r="L211"/>
  <c r="B212"/>
  <c r="J211"/>
  <c r="B213" i="50"/>
  <c r="J212"/>
  <c r="K212"/>
  <c r="L212"/>
  <c r="B255" i="5"/>
  <c r="K254"/>
  <c r="J254"/>
  <c r="L254"/>
  <c r="B255" i="22"/>
  <c r="J254"/>
  <c r="K254"/>
  <c r="L254"/>
  <c r="B256" l="1"/>
  <c r="K255"/>
  <c r="J255"/>
  <c r="L255"/>
  <c r="B256" i="5"/>
  <c r="J255"/>
  <c r="K255"/>
  <c r="L255"/>
  <c r="L213" i="50"/>
  <c r="B214"/>
  <c r="J213"/>
  <c r="K213"/>
  <c r="M211" i="7"/>
  <c r="Q211" s="1"/>
  <c r="N211" s="1"/>
  <c r="B256" i="20"/>
  <c r="J255"/>
  <c r="K255"/>
  <c r="L255"/>
  <c r="J212" i="7"/>
  <c r="K212"/>
  <c r="L212"/>
  <c r="B213"/>
  <c r="Q210"/>
  <c r="N210" s="1"/>
  <c r="O210"/>
  <c r="O211" l="1"/>
  <c r="B257" i="20"/>
  <c r="J256"/>
  <c r="K256"/>
  <c r="L256"/>
  <c r="T211" i="7"/>
  <c r="J548" i="1"/>
  <c r="J183"/>
  <c r="K214" i="50"/>
  <c r="L214"/>
  <c r="B215"/>
  <c r="J214"/>
  <c r="J547" i="1"/>
  <c r="T210" i="7"/>
  <c r="J182" i="1"/>
  <c r="M212" i="7"/>
  <c r="Q212" s="1"/>
  <c r="N212" s="1"/>
  <c r="B257" i="22"/>
  <c r="K256"/>
  <c r="J256"/>
  <c r="L256"/>
  <c r="J213" i="7"/>
  <c r="M213" s="1"/>
  <c r="Q213" s="1"/>
  <c r="N213" s="1"/>
  <c r="K213"/>
  <c r="L213"/>
  <c r="B214"/>
  <c r="B257" i="5"/>
  <c r="J256"/>
  <c r="K256"/>
  <c r="L256"/>
  <c r="O212" i="7" l="1"/>
  <c r="O213" s="1"/>
  <c r="J185" i="1"/>
  <c r="T213" i="7"/>
  <c r="J550" i="1"/>
  <c r="J257" i="22"/>
  <c r="B258"/>
  <c r="K257"/>
  <c r="L257"/>
  <c r="J184" i="1"/>
  <c r="T212" i="7"/>
  <c r="J549" i="1"/>
  <c r="B258" i="5"/>
  <c r="J257"/>
  <c r="K257"/>
  <c r="L257"/>
  <c r="B215" i="7"/>
  <c r="J214"/>
  <c r="M214" s="1"/>
  <c r="Q214" s="1"/>
  <c r="N214" s="1"/>
  <c r="K214"/>
  <c r="L214"/>
  <c r="J215" i="50"/>
  <c r="K215"/>
  <c r="L215"/>
  <c r="B216"/>
  <c r="B258" i="20"/>
  <c r="J257"/>
  <c r="K257"/>
  <c r="L257"/>
  <c r="L215" i="7" l="1"/>
  <c r="B216"/>
  <c r="J215"/>
  <c r="K215"/>
  <c r="B259" i="5"/>
  <c r="K258"/>
  <c r="J258"/>
  <c r="L258"/>
  <c r="O214" i="7"/>
  <c r="B259" i="20"/>
  <c r="K258"/>
  <c r="J258"/>
  <c r="L258"/>
  <c r="B217" i="50"/>
  <c r="J216"/>
  <c r="K216"/>
  <c r="L216"/>
  <c r="B259" i="22"/>
  <c r="J258"/>
  <c r="K258"/>
  <c r="L258"/>
  <c r="T214" i="7"/>
  <c r="J551" i="1"/>
  <c r="J186"/>
  <c r="L217" i="50" l="1"/>
  <c r="B218"/>
  <c r="J217"/>
  <c r="K217"/>
  <c r="B260" i="20"/>
  <c r="K259"/>
  <c r="J259"/>
  <c r="L259"/>
  <c r="K216" i="7"/>
  <c r="L216"/>
  <c r="B217"/>
  <c r="J216"/>
  <c r="M216" s="1"/>
  <c r="Q216" s="1"/>
  <c r="N216" s="1"/>
  <c r="B260" i="22"/>
  <c r="J259"/>
  <c r="K259"/>
  <c r="L259"/>
  <c r="B260" i="5"/>
  <c r="K259"/>
  <c r="J259"/>
  <c r="L259"/>
  <c r="M215" i="7"/>
  <c r="Q215" s="1"/>
  <c r="N215" s="1"/>
  <c r="J188" i="1" l="1"/>
  <c r="T216" i="7"/>
  <c r="J553" i="1"/>
  <c r="J217" i="7"/>
  <c r="K217"/>
  <c r="L217"/>
  <c r="B218"/>
  <c r="B261" i="5"/>
  <c r="J260"/>
  <c r="K260"/>
  <c r="L260"/>
  <c r="K218" i="50"/>
  <c r="L218"/>
  <c r="B219"/>
  <c r="J218"/>
  <c r="T215" i="7"/>
  <c r="J552" i="1"/>
  <c r="J187"/>
  <c r="O215" i="7"/>
  <c r="O216" s="1"/>
  <c r="B261" i="22"/>
  <c r="K260"/>
  <c r="J260"/>
  <c r="L260"/>
  <c r="B261" i="20"/>
  <c r="J260"/>
  <c r="K260"/>
  <c r="L260"/>
  <c r="B262" i="5" l="1"/>
  <c r="J261"/>
  <c r="K261"/>
  <c r="L261"/>
  <c r="B219" i="7"/>
  <c r="J218"/>
  <c r="K218"/>
  <c r="L218"/>
  <c r="J219" i="50"/>
  <c r="K219"/>
  <c r="L219"/>
  <c r="B220"/>
  <c r="B262" i="20"/>
  <c r="J261"/>
  <c r="K261"/>
  <c r="L261"/>
  <c r="B262" i="22"/>
  <c r="K261"/>
  <c r="J261"/>
  <c r="L261"/>
  <c r="M217" i="7"/>
  <c r="Q217" s="1"/>
  <c r="N217" s="1"/>
  <c r="B221" i="50" l="1"/>
  <c r="J220"/>
  <c r="K220"/>
  <c r="L220"/>
  <c r="T217" i="7"/>
  <c r="J189" i="1"/>
  <c r="J554"/>
  <c r="B263" i="22"/>
  <c r="K262"/>
  <c r="J262"/>
  <c r="L262"/>
  <c r="B263" i="20"/>
  <c r="J262"/>
  <c r="K262"/>
  <c r="L262"/>
  <c r="M218" i="7"/>
  <c r="Q218" s="1"/>
  <c r="N218" s="1"/>
  <c r="L219"/>
  <c r="B220"/>
  <c r="J219"/>
  <c r="M219" s="1"/>
  <c r="Q219" s="1"/>
  <c r="N219" s="1"/>
  <c r="K219"/>
  <c r="B263" i="5"/>
  <c r="K262"/>
  <c r="J262"/>
  <c r="L262"/>
  <c r="O217" i="7"/>
  <c r="O218" l="1"/>
  <c r="O219" s="1"/>
  <c r="T219"/>
  <c r="J556" i="1"/>
  <c r="J191"/>
  <c r="J555"/>
  <c r="T218" i="7"/>
  <c r="J190" i="1"/>
  <c r="B264" i="20"/>
  <c r="J263"/>
  <c r="K263"/>
  <c r="L263"/>
  <c r="B264" i="22"/>
  <c r="J263"/>
  <c r="K263"/>
  <c r="L263"/>
  <c r="K220" i="7"/>
  <c r="L220"/>
  <c r="B221"/>
  <c r="J220"/>
  <c r="B264" i="5"/>
  <c r="J263"/>
  <c r="K263"/>
  <c r="L263"/>
  <c r="L221" i="50"/>
  <c r="B222"/>
  <c r="J221"/>
  <c r="K221"/>
  <c r="B265" i="5" l="1"/>
  <c r="J264"/>
  <c r="K264"/>
  <c r="L264"/>
  <c r="J221" i="7"/>
  <c r="M221" s="1"/>
  <c r="Q221" s="1"/>
  <c r="N221" s="1"/>
  <c r="K221"/>
  <c r="L221"/>
  <c r="B222"/>
  <c r="B265" i="22"/>
  <c r="J264"/>
  <c r="K264"/>
  <c r="L264"/>
  <c r="K264" i="20"/>
  <c r="B265"/>
  <c r="J264"/>
  <c r="L264"/>
  <c r="K222" i="50"/>
  <c r="L222"/>
  <c r="B223"/>
  <c r="J222"/>
  <c r="M220" i="7"/>
  <c r="Q220" s="1"/>
  <c r="N220" s="1"/>
  <c r="B266" i="22" l="1"/>
  <c r="J265"/>
  <c r="K265"/>
  <c r="L265"/>
  <c r="J558" i="1"/>
  <c r="J193"/>
  <c r="T221" i="7"/>
  <c r="B266" i="5"/>
  <c r="J265"/>
  <c r="K265"/>
  <c r="L265"/>
  <c r="O220" i="7"/>
  <c r="O221" s="1"/>
  <c r="B223"/>
  <c r="J222"/>
  <c r="M222" s="1"/>
  <c r="Q222" s="1"/>
  <c r="N222" s="1"/>
  <c r="K222"/>
  <c r="L222"/>
  <c r="J223" i="50"/>
  <c r="K223"/>
  <c r="L223"/>
  <c r="B224"/>
  <c r="T220" i="7"/>
  <c r="J557" i="1"/>
  <c r="J192"/>
  <c r="B266" i="20"/>
  <c r="K265"/>
  <c r="J265"/>
  <c r="L265"/>
  <c r="B267" l="1"/>
  <c r="K266"/>
  <c r="J266"/>
  <c r="L266"/>
  <c r="J559" i="1"/>
  <c r="J194"/>
  <c r="T222" i="7"/>
  <c r="L223"/>
  <c r="B224"/>
  <c r="J223"/>
  <c r="M223" s="1"/>
  <c r="Q223" s="1"/>
  <c r="N223" s="1"/>
  <c r="K223"/>
  <c r="B267" i="22"/>
  <c r="J266"/>
  <c r="K266"/>
  <c r="L266"/>
  <c r="B225" i="50"/>
  <c r="J224"/>
  <c r="K224"/>
  <c r="L224"/>
  <c r="O222" i="7"/>
  <c r="B267" i="5"/>
  <c r="J266"/>
  <c r="K266"/>
  <c r="L266"/>
  <c r="B268" i="22" l="1"/>
  <c r="K267"/>
  <c r="J267"/>
  <c r="L267"/>
  <c r="B268" i="20"/>
  <c r="J267"/>
  <c r="K267"/>
  <c r="L267"/>
  <c r="B268" i="5"/>
  <c r="J267"/>
  <c r="K267"/>
  <c r="L267"/>
  <c r="J560" i="1"/>
  <c r="J195"/>
  <c r="T223" i="7"/>
  <c r="O223"/>
  <c r="L225" i="50"/>
  <c r="B226"/>
  <c r="J225"/>
  <c r="K225"/>
  <c r="K224" i="7"/>
  <c r="L224"/>
  <c r="B225"/>
  <c r="J224"/>
  <c r="M224" s="1"/>
  <c r="Q224" s="1"/>
  <c r="N224" s="1"/>
  <c r="J561" i="1" l="1"/>
  <c r="T224" i="7"/>
  <c r="J196" i="1"/>
  <c r="J268" i="20"/>
  <c r="K268"/>
  <c r="B269"/>
  <c r="L268"/>
  <c r="B269" i="22"/>
  <c r="J268"/>
  <c r="K268"/>
  <c r="L268"/>
  <c r="J225" i="7"/>
  <c r="M225" s="1"/>
  <c r="Q225" s="1"/>
  <c r="N225" s="1"/>
  <c r="K225"/>
  <c r="L225"/>
  <c r="B226"/>
  <c r="O224"/>
  <c r="K226" i="50"/>
  <c r="L226"/>
  <c r="B227"/>
  <c r="J226"/>
  <c r="B269" i="5"/>
  <c r="J268"/>
  <c r="K268"/>
  <c r="L268"/>
  <c r="O225" i="7" l="1"/>
  <c r="J197" i="1"/>
  <c r="T225" i="7"/>
  <c r="J562" i="1"/>
  <c r="B270" i="22"/>
  <c r="J269"/>
  <c r="K269"/>
  <c r="L269"/>
  <c r="J227" i="50"/>
  <c r="K227"/>
  <c r="L227"/>
  <c r="B228"/>
  <c r="B227" i="7"/>
  <c r="J226"/>
  <c r="K226"/>
  <c r="L226"/>
  <c r="B270" i="20"/>
  <c r="K269"/>
  <c r="J269"/>
  <c r="L269"/>
  <c r="B270" i="5"/>
  <c r="J269"/>
  <c r="K269"/>
  <c r="L269"/>
  <c r="B271" l="1"/>
  <c r="J270"/>
  <c r="K270"/>
  <c r="L270"/>
  <c r="L227" i="7"/>
  <c r="B228"/>
  <c r="J227"/>
  <c r="K227"/>
  <c r="B229" i="50"/>
  <c r="J228"/>
  <c r="K228"/>
  <c r="L228"/>
  <c r="B271" i="20"/>
  <c r="K270"/>
  <c r="J270"/>
  <c r="L270"/>
  <c r="M226" i="7"/>
  <c r="B271" i="22"/>
  <c r="J270"/>
  <c r="K270"/>
  <c r="L270"/>
  <c r="L229" i="50" l="1"/>
  <c r="B230"/>
  <c r="J229"/>
  <c r="K229"/>
  <c r="K228" i="7"/>
  <c r="L228"/>
  <c r="B229"/>
  <c r="J228"/>
  <c r="M228" s="1"/>
  <c r="Q228" s="1"/>
  <c r="N228" s="1"/>
  <c r="B272" i="22"/>
  <c r="J271"/>
  <c r="K271"/>
  <c r="L271"/>
  <c r="Q226" i="7"/>
  <c r="N226" s="1"/>
  <c r="O226"/>
  <c r="B272" i="20"/>
  <c r="K271"/>
  <c r="J271"/>
  <c r="L271"/>
  <c r="B272" i="5"/>
  <c r="J271"/>
  <c r="K271"/>
  <c r="L271"/>
  <c r="M227" i="7"/>
  <c r="Q227" s="1"/>
  <c r="N227" s="1"/>
  <c r="J198" i="1" l="1"/>
  <c r="J563"/>
  <c r="T226" i="7"/>
  <c r="J200" i="1"/>
  <c r="T228" i="7"/>
  <c r="J565" i="1"/>
  <c r="J564"/>
  <c r="J199"/>
  <c r="T227" i="7"/>
  <c r="B273" i="5"/>
  <c r="J272"/>
  <c r="K272"/>
  <c r="L272"/>
  <c r="J229" i="7"/>
  <c r="K229"/>
  <c r="L229"/>
  <c r="B230"/>
  <c r="B273" i="20"/>
  <c r="K272"/>
  <c r="J272"/>
  <c r="L272"/>
  <c r="K230" i="50"/>
  <c r="L230"/>
  <c r="B231"/>
  <c r="J230"/>
  <c r="O227" i="7"/>
  <c r="O228" s="1"/>
  <c r="B273" i="22"/>
  <c r="J272"/>
  <c r="K272"/>
  <c r="L272"/>
  <c r="B231" i="7" l="1"/>
  <c r="J230"/>
  <c r="K230"/>
  <c r="L230"/>
  <c r="J231" i="50"/>
  <c r="K231"/>
  <c r="L231"/>
  <c r="B232"/>
  <c r="J273" i="22"/>
  <c r="K273"/>
  <c r="B274"/>
  <c r="L273"/>
  <c r="B274" i="20"/>
  <c r="K273"/>
  <c r="J273"/>
  <c r="L273"/>
  <c r="M229" i="7"/>
  <c r="Q229" s="1"/>
  <c r="N229" s="1"/>
  <c r="B274" i="5"/>
  <c r="J273"/>
  <c r="K273"/>
  <c r="L273"/>
  <c r="B233" i="50" l="1"/>
  <c r="J232"/>
  <c r="K232"/>
  <c r="L232"/>
  <c r="L231" i="7"/>
  <c r="B232"/>
  <c r="J231"/>
  <c r="M231" s="1"/>
  <c r="Q231" s="1"/>
  <c r="N231" s="1"/>
  <c r="K231"/>
  <c r="B275" i="5"/>
  <c r="J274"/>
  <c r="K274"/>
  <c r="L274"/>
  <c r="B275" i="22"/>
  <c r="K274"/>
  <c r="J274"/>
  <c r="L274"/>
  <c r="T229" i="7"/>
  <c r="J201" i="1"/>
  <c r="J566"/>
  <c r="O229" i="7"/>
  <c r="B275" i="20"/>
  <c r="J274"/>
  <c r="K274"/>
  <c r="L274"/>
  <c r="M230" i="7"/>
  <c r="Q230" s="1"/>
  <c r="N230" s="1"/>
  <c r="J202" i="1" l="1"/>
  <c r="T230" i="7"/>
  <c r="J567" i="1"/>
  <c r="B276" i="5"/>
  <c r="J275"/>
  <c r="K275"/>
  <c r="L275"/>
  <c r="K232" i="7"/>
  <c r="L232"/>
  <c r="B233"/>
  <c r="J232"/>
  <c r="M232" s="1"/>
  <c r="Q232" s="1"/>
  <c r="N232" s="1"/>
  <c r="B276" i="20"/>
  <c r="J275"/>
  <c r="K275"/>
  <c r="L275"/>
  <c r="B276" i="22"/>
  <c r="J275"/>
  <c r="K275"/>
  <c r="L275"/>
  <c r="O230" i="7"/>
  <c r="O231" s="1"/>
  <c r="J203" i="1"/>
  <c r="T231" i="7"/>
  <c r="J568" i="1"/>
  <c r="L233" i="50"/>
  <c r="B234"/>
  <c r="J233"/>
  <c r="K233"/>
  <c r="O232" i="7" l="1"/>
  <c r="K234" i="50"/>
  <c r="L234"/>
  <c r="B235"/>
  <c r="J234"/>
  <c r="B277" i="22"/>
  <c r="J276"/>
  <c r="K276"/>
  <c r="L276"/>
  <c r="B277" i="20"/>
  <c r="K276"/>
  <c r="J276"/>
  <c r="L276"/>
  <c r="T232" i="7"/>
  <c r="J569" i="1"/>
  <c r="J204"/>
  <c r="J233" i="7"/>
  <c r="M233" s="1"/>
  <c r="Q233" s="1"/>
  <c r="N233" s="1"/>
  <c r="K233"/>
  <c r="L233"/>
  <c r="B234"/>
  <c r="B277" i="5"/>
  <c r="J276"/>
  <c r="K276"/>
  <c r="L276"/>
  <c r="J205" i="1" l="1"/>
  <c r="J570"/>
  <c r="T233" i="7"/>
  <c r="J235" i="50"/>
  <c r="K235"/>
  <c r="L235"/>
  <c r="B236"/>
  <c r="B278" i="5"/>
  <c r="J277"/>
  <c r="K277"/>
  <c r="L277"/>
  <c r="B235" i="7"/>
  <c r="J234"/>
  <c r="K234"/>
  <c r="L234"/>
  <c r="B278" i="20"/>
  <c r="K277"/>
  <c r="J277"/>
  <c r="L277"/>
  <c r="B278" i="22"/>
  <c r="J277"/>
  <c r="K277"/>
  <c r="L277"/>
  <c r="O233" i="7"/>
  <c r="B237" i="50" l="1"/>
  <c r="J236"/>
  <c r="K236"/>
  <c r="L236"/>
  <c r="B279" i="22"/>
  <c r="J278"/>
  <c r="K278"/>
  <c r="L278"/>
  <c r="B279" i="20"/>
  <c r="K278"/>
  <c r="J278"/>
  <c r="L278"/>
  <c r="M234" i="7"/>
  <c r="Q234" s="1"/>
  <c r="N234" s="1"/>
  <c r="L235"/>
  <c r="B236"/>
  <c r="J235"/>
  <c r="K235"/>
  <c r="B279" i="5"/>
  <c r="J278"/>
  <c r="K278"/>
  <c r="L278"/>
  <c r="O234" i="7" l="1"/>
  <c r="B280" i="5"/>
  <c r="J279"/>
  <c r="K279"/>
  <c r="L279"/>
  <c r="L237" i="50"/>
  <c r="B238"/>
  <c r="J237"/>
  <c r="K237"/>
  <c r="M235" i="7"/>
  <c r="Q235" s="1"/>
  <c r="N235" s="1"/>
  <c r="K236"/>
  <c r="L236"/>
  <c r="B237"/>
  <c r="J236"/>
  <c r="M236" s="1"/>
  <c r="Q236" s="1"/>
  <c r="N236" s="1"/>
  <c r="T234"/>
  <c r="J571" i="1"/>
  <c r="J206"/>
  <c r="B280" i="20"/>
  <c r="K279"/>
  <c r="J279"/>
  <c r="L279"/>
  <c r="B280" i="22"/>
  <c r="J279"/>
  <c r="K279"/>
  <c r="L279"/>
  <c r="O235" i="7" l="1"/>
  <c r="O236" s="1"/>
  <c r="J237"/>
  <c r="K237"/>
  <c r="L237"/>
  <c r="B238"/>
  <c r="K238" i="50"/>
  <c r="L238"/>
  <c r="B239"/>
  <c r="J238"/>
  <c r="J572" i="1"/>
  <c r="J207"/>
  <c r="T235" i="7"/>
  <c r="B281" i="22"/>
  <c r="J280"/>
  <c r="K280"/>
  <c r="L280"/>
  <c r="K280" i="20"/>
  <c r="B281"/>
  <c r="J280"/>
  <c r="L280"/>
  <c r="J208" i="1"/>
  <c r="T236" i="7"/>
  <c r="J573" i="1"/>
  <c r="B281" i="5"/>
  <c r="J280"/>
  <c r="K280"/>
  <c r="L280"/>
  <c r="B282" l="1"/>
  <c r="J281"/>
  <c r="K281"/>
  <c r="L281"/>
  <c r="B282" i="20"/>
  <c r="K281"/>
  <c r="J281"/>
  <c r="L281"/>
  <c r="J239" i="50"/>
  <c r="K239"/>
  <c r="L239"/>
  <c r="B240"/>
  <c r="B239" i="7"/>
  <c r="J238"/>
  <c r="K238"/>
  <c r="L238"/>
  <c r="J281" i="22"/>
  <c r="B282"/>
  <c r="K281"/>
  <c r="L281"/>
  <c r="M237" i="7"/>
  <c r="Q237" s="1"/>
  <c r="N237" s="1"/>
  <c r="O237" l="1"/>
  <c r="B241" i="50"/>
  <c r="J240"/>
  <c r="K240"/>
  <c r="L240"/>
  <c r="B283" i="22"/>
  <c r="J282"/>
  <c r="K282"/>
  <c r="L282"/>
  <c r="M238" i="7"/>
  <c r="Q238" s="1"/>
  <c r="N238" s="1"/>
  <c r="J574" i="1"/>
  <c r="J209"/>
  <c r="T237" i="7"/>
  <c r="L239"/>
  <c r="B240"/>
  <c r="J239"/>
  <c r="K239"/>
  <c r="B283" i="20"/>
  <c r="K282"/>
  <c r="J282"/>
  <c r="L282"/>
  <c r="B283" i="5"/>
  <c r="J282"/>
  <c r="K282"/>
  <c r="L282"/>
  <c r="B284" l="1"/>
  <c r="J283"/>
  <c r="K283"/>
  <c r="L283"/>
  <c r="B284" i="20"/>
  <c r="K283"/>
  <c r="J283"/>
  <c r="L283"/>
  <c r="M239" i="7"/>
  <c r="Q239" s="1"/>
  <c r="N239" s="1"/>
  <c r="J575" i="1"/>
  <c r="J210"/>
  <c r="T238" i="7"/>
  <c r="B284" i="22"/>
  <c r="J283"/>
  <c r="K283"/>
  <c r="L283"/>
  <c r="L241" i="50"/>
  <c r="B242"/>
  <c r="J241"/>
  <c r="K241"/>
  <c r="K240" i="7"/>
  <c r="L240"/>
  <c r="B241"/>
  <c r="J240"/>
  <c r="M240" s="1"/>
  <c r="Q240" s="1"/>
  <c r="N240" s="1"/>
  <c r="O238"/>
  <c r="O239" l="1"/>
  <c r="O240" s="1"/>
  <c r="J577" i="1"/>
  <c r="J212"/>
  <c r="T240" i="7"/>
  <c r="B285" i="22"/>
  <c r="J284"/>
  <c r="K284"/>
  <c r="L284"/>
  <c r="J241" i="7"/>
  <c r="K241"/>
  <c r="L241"/>
  <c r="B242"/>
  <c r="J211" i="1"/>
  <c r="J576"/>
  <c r="T239" i="7"/>
  <c r="K242" i="50"/>
  <c r="L242"/>
  <c r="B243"/>
  <c r="J242"/>
  <c r="K284" i="20"/>
  <c r="B285"/>
  <c r="J284"/>
  <c r="L284"/>
  <c r="B285" i="5"/>
  <c r="J284"/>
  <c r="K284"/>
  <c r="L284"/>
  <c r="B286" l="1"/>
  <c r="J285"/>
  <c r="K285"/>
  <c r="L285"/>
  <c r="B243" i="7"/>
  <c r="J242"/>
  <c r="K242"/>
  <c r="L242"/>
  <c r="J243" i="50"/>
  <c r="K243"/>
  <c r="L243"/>
  <c r="B244"/>
  <c r="B286" i="20"/>
  <c r="J285"/>
  <c r="K285"/>
  <c r="L285"/>
  <c r="M241" i="7"/>
  <c r="K285" i="22"/>
  <c r="B286"/>
  <c r="J285"/>
  <c r="L285"/>
  <c r="B245" i="50" l="1"/>
  <c r="J244"/>
  <c r="K244"/>
  <c r="L244"/>
  <c r="Q241" i="7"/>
  <c r="N241" s="1"/>
  <c r="O241"/>
  <c r="B287" i="20"/>
  <c r="K286"/>
  <c r="J286"/>
  <c r="L286"/>
  <c r="M242" i="7"/>
  <c r="Q242" s="1"/>
  <c r="N242" s="1"/>
  <c r="B287" i="22"/>
  <c r="J286"/>
  <c r="K286"/>
  <c r="L286"/>
  <c r="L243" i="7"/>
  <c r="B244"/>
  <c r="J243"/>
  <c r="K243"/>
  <c r="B287" i="5"/>
  <c r="J286"/>
  <c r="K286"/>
  <c r="L286"/>
  <c r="J214" i="1" l="1"/>
  <c r="T242" i="7"/>
  <c r="J579" i="1"/>
  <c r="B288" i="20"/>
  <c r="K287"/>
  <c r="J287"/>
  <c r="L287"/>
  <c r="M243" i="7"/>
  <c r="Q243" s="1"/>
  <c r="N243" s="1"/>
  <c r="O242"/>
  <c r="K244"/>
  <c r="L244"/>
  <c r="B245"/>
  <c r="J244"/>
  <c r="J213" i="1"/>
  <c r="T241" i="7"/>
  <c r="J578" i="1"/>
  <c r="B288" i="5"/>
  <c r="J287"/>
  <c r="K287"/>
  <c r="L287"/>
  <c r="B288" i="22"/>
  <c r="J287"/>
  <c r="K287"/>
  <c r="L287"/>
  <c r="L245" i="50"/>
  <c r="B246"/>
  <c r="J245"/>
  <c r="K245"/>
  <c r="O243" i="7" l="1"/>
  <c r="O244" s="1"/>
  <c r="B289" i="22"/>
  <c r="J288"/>
  <c r="K288"/>
  <c r="L288"/>
  <c r="B289" i="5"/>
  <c r="J288"/>
  <c r="K288"/>
  <c r="L288"/>
  <c r="M244" i="7"/>
  <c r="Q244" s="1"/>
  <c r="N244" s="1"/>
  <c r="K246" i="50"/>
  <c r="L246"/>
  <c r="B247"/>
  <c r="J246"/>
  <c r="J245" i="7"/>
  <c r="K245"/>
  <c r="L245"/>
  <c r="B246"/>
  <c r="T243"/>
  <c r="J580" i="1"/>
  <c r="J215"/>
  <c r="B289" i="20"/>
  <c r="K288"/>
  <c r="J288"/>
  <c r="L288"/>
  <c r="M245" i="7" l="1"/>
  <c r="Q245" s="1"/>
  <c r="N245" s="1"/>
  <c r="B290" i="20"/>
  <c r="K289"/>
  <c r="J289"/>
  <c r="L289"/>
  <c r="B247" i="7"/>
  <c r="J246"/>
  <c r="K246"/>
  <c r="L246"/>
  <c r="J247" i="50"/>
  <c r="K247"/>
  <c r="L247"/>
  <c r="B248"/>
  <c r="J581" i="1"/>
  <c r="J216"/>
  <c r="T244" i="7"/>
  <c r="B290" i="5"/>
  <c r="J289"/>
  <c r="K289"/>
  <c r="L289"/>
  <c r="J289" i="22"/>
  <c r="B290"/>
  <c r="K289"/>
  <c r="L289"/>
  <c r="B291" l="1"/>
  <c r="K290"/>
  <c r="J290"/>
  <c r="L290"/>
  <c r="L247" i="7"/>
  <c r="B248"/>
  <c r="J247"/>
  <c r="M247" s="1"/>
  <c r="Q247" s="1"/>
  <c r="N247" s="1"/>
  <c r="K247"/>
  <c r="B291" i="20"/>
  <c r="J290"/>
  <c r="K290"/>
  <c r="L290"/>
  <c r="T245" i="7"/>
  <c r="J582" i="1"/>
  <c r="J217"/>
  <c r="B291" i="5"/>
  <c r="J290"/>
  <c r="K290"/>
  <c r="L290"/>
  <c r="B249" i="50"/>
  <c r="J248"/>
  <c r="K248"/>
  <c r="L248"/>
  <c r="M246" i="7"/>
  <c r="Q246" s="1"/>
  <c r="N246" s="1"/>
  <c r="O245"/>
  <c r="O246" l="1"/>
  <c r="O247" s="1"/>
  <c r="L249" i="50"/>
  <c r="B250"/>
  <c r="J249"/>
  <c r="K249"/>
  <c r="B292" i="5"/>
  <c r="J291"/>
  <c r="K291"/>
  <c r="L291"/>
  <c r="T247" i="7"/>
  <c r="J219" i="1"/>
  <c r="J584"/>
  <c r="K248" i="7"/>
  <c r="L248"/>
  <c r="B249"/>
  <c r="J248"/>
  <c r="M248" s="1"/>
  <c r="Q248" s="1"/>
  <c r="N248" s="1"/>
  <c r="J218" i="1"/>
  <c r="T246" i="7"/>
  <c r="J583" i="1"/>
  <c r="B292" i="20"/>
  <c r="J291"/>
  <c r="K291"/>
  <c r="L291"/>
  <c r="B292" i="22"/>
  <c r="K291"/>
  <c r="J291"/>
  <c r="L291"/>
  <c r="J249" i="7" l="1"/>
  <c r="K249"/>
  <c r="L249"/>
  <c r="B250"/>
  <c r="O248"/>
  <c r="K250" i="50"/>
  <c r="L250"/>
  <c r="B251"/>
  <c r="J250"/>
  <c r="B293" i="5"/>
  <c r="J292"/>
  <c r="K292"/>
  <c r="L292"/>
  <c r="B293" i="22"/>
  <c r="K292"/>
  <c r="J292"/>
  <c r="L292"/>
  <c r="J292" i="20"/>
  <c r="B293"/>
  <c r="K292"/>
  <c r="L292"/>
  <c r="J220" i="1"/>
  <c r="T248" i="7"/>
  <c r="J585" i="1"/>
  <c r="B251" i="7" l="1"/>
  <c r="J250"/>
  <c r="M250" s="1"/>
  <c r="Q250" s="1"/>
  <c r="N250" s="1"/>
  <c r="K250"/>
  <c r="L250"/>
  <c r="B294" i="20"/>
  <c r="J293"/>
  <c r="K293"/>
  <c r="L293"/>
  <c r="J251" i="50"/>
  <c r="K251"/>
  <c r="L251"/>
  <c r="B252"/>
  <c r="B294" i="22"/>
  <c r="J293"/>
  <c r="K293"/>
  <c r="L293"/>
  <c r="B294" i="5"/>
  <c r="J293"/>
  <c r="K293"/>
  <c r="L293"/>
  <c r="M249" i="7"/>
  <c r="Q249" s="1"/>
  <c r="N249" s="1"/>
  <c r="O249" l="1"/>
  <c r="O250" s="1"/>
  <c r="B295" i="5"/>
  <c r="J294"/>
  <c r="K294"/>
  <c r="L294"/>
  <c r="B295" i="22"/>
  <c r="J294"/>
  <c r="K294"/>
  <c r="L294"/>
  <c r="J587" i="1"/>
  <c r="T250" i="7"/>
  <c r="J222" i="1"/>
  <c r="B295" i="20"/>
  <c r="K294"/>
  <c r="J294"/>
  <c r="L294"/>
  <c r="L251" i="7"/>
  <c r="B252"/>
  <c r="J251"/>
  <c r="M251" s="1"/>
  <c r="Q251" s="1"/>
  <c r="N251" s="1"/>
  <c r="K251"/>
  <c r="B253" i="50"/>
  <c r="J252"/>
  <c r="K252"/>
  <c r="L252"/>
  <c r="J586" i="1"/>
  <c r="T249" i="7"/>
  <c r="J221" i="1"/>
  <c r="L253" i="50" l="1"/>
  <c r="B254"/>
  <c r="J253"/>
  <c r="K253"/>
  <c r="B296" i="20"/>
  <c r="K295"/>
  <c r="J295"/>
  <c r="L295"/>
  <c r="B296" i="22"/>
  <c r="J295"/>
  <c r="K295"/>
  <c r="L295"/>
  <c r="B296" i="5"/>
  <c r="J295"/>
  <c r="K295"/>
  <c r="L295"/>
  <c r="J588" i="1"/>
  <c r="T251" i="7"/>
  <c r="J223" i="1"/>
  <c r="K252" i="7"/>
  <c r="L252"/>
  <c r="B253"/>
  <c r="J252"/>
  <c r="O251"/>
  <c r="M252" l="1"/>
  <c r="Q252" s="1"/>
  <c r="N252" s="1"/>
  <c r="K254" i="50"/>
  <c r="L254"/>
  <c r="B255"/>
  <c r="J254"/>
  <c r="J253" i="7"/>
  <c r="K253"/>
  <c r="L253"/>
  <c r="B254"/>
  <c r="B297" i="5"/>
  <c r="J296"/>
  <c r="K296"/>
  <c r="L296"/>
  <c r="B297" i="22"/>
  <c r="J296"/>
  <c r="K296"/>
  <c r="L296"/>
  <c r="K296" i="20"/>
  <c r="B297"/>
  <c r="J296"/>
  <c r="L296"/>
  <c r="B255" i="7" l="1"/>
  <c r="J254"/>
  <c r="K254"/>
  <c r="L254"/>
  <c r="J255" i="50"/>
  <c r="K255"/>
  <c r="L255"/>
  <c r="B256"/>
  <c r="B298" i="20"/>
  <c r="K297"/>
  <c r="J297"/>
  <c r="L297"/>
  <c r="T252" i="7"/>
  <c r="J589" i="1"/>
  <c r="J224"/>
  <c r="O252" i="7"/>
  <c r="B298" i="22"/>
  <c r="J297"/>
  <c r="K297"/>
  <c r="L297"/>
  <c r="B298" i="5"/>
  <c r="J297"/>
  <c r="K297"/>
  <c r="L297"/>
  <c r="M253" i="7"/>
  <c r="Q253" s="1"/>
  <c r="N253" s="1"/>
  <c r="O253" l="1"/>
  <c r="B299" i="20"/>
  <c r="J298"/>
  <c r="K298"/>
  <c r="L298"/>
  <c r="J590" i="1"/>
  <c r="T253" i="7"/>
  <c r="J225" i="1"/>
  <c r="B299" i="5"/>
  <c r="J298"/>
  <c r="K298"/>
  <c r="L298"/>
  <c r="B299" i="22"/>
  <c r="K298"/>
  <c r="J298"/>
  <c r="L298"/>
  <c r="B257" i="50"/>
  <c r="J256"/>
  <c r="K256"/>
  <c r="L256"/>
  <c r="M254" i="7"/>
  <c r="Q254" s="1"/>
  <c r="N254" s="1"/>
  <c r="L255"/>
  <c r="B256"/>
  <c r="J255"/>
  <c r="M255" s="1"/>
  <c r="Q255" s="1"/>
  <c r="N255" s="1"/>
  <c r="K255"/>
  <c r="T255" l="1"/>
  <c r="J592" i="1"/>
  <c r="J227"/>
  <c r="B300" i="22"/>
  <c r="K299"/>
  <c r="J299"/>
  <c r="L299"/>
  <c r="B300" i="5"/>
  <c r="J299"/>
  <c r="K299"/>
  <c r="L299"/>
  <c r="K256" i="7"/>
  <c r="L256"/>
  <c r="B257"/>
  <c r="J256"/>
  <c r="M256" s="1"/>
  <c r="Q256" s="1"/>
  <c r="N256" s="1"/>
  <c r="T254"/>
  <c r="J591" i="1"/>
  <c r="J226"/>
  <c r="L257" i="50"/>
  <c r="B258"/>
  <c r="J257"/>
  <c r="K257"/>
  <c r="O254" i="7"/>
  <c r="O255" s="1"/>
  <c r="O256" s="1"/>
  <c r="B300" i="20"/>
  <c r="J299"/>
  <c r="K299"/>
  <c r="L299"/>
  <c r="J593" i="1" l="1"/>
  <c r="T256" i="7"/>
  <c r="J228" i="1"/>
  <c r="J257" i="7"/>
  <c r="M257" s="1"/>
  <c r="Q257" s="1"/>
  <c r="N257" s="1"/>
  <c r="K257"/>
  <c r="L257"/>
  <c r="B258"/>
  <c r="J300" i="20"/>
  <c r="K300"/>
  <c r="B301"/>
  <c r="L300"/>
  <c r="K258" i="50"/>
  <c r="L258"/>
  <c r="B259"/>
  <c r="J258"/>
  <c r="B301" i="5"/>
  <c r="J300"/>
  <c r="K300"/>
  <c r="L300"/>
  <c r="B301" i="22"/>
  <c r="K300"/>
  <c r="J300"/>
  <c r="L300"/>
  <c r="J301" l="1"/>
  <c r="B302"/>
  <c r="K301"/>
  <c r="L301"/>
  <c r="B302" i="5"/>
  <c r="J301"/>
  <c r="K301"/>
  <c r="L301"/>
  <c r="T257" i="7"/>
  <c r="J594" i="1"/>
  <c r="J229"/>
  <c r="B259" i="7"/>
  <c r="J258"/>
  <c r="K258"/>
  <c r="L258"/>
  <c r="J259" i="50"/>
  <c r="K259"/>
  <c r="L259"/>
  <c r="B260"/>
  <c r="B302" i="20"/>
  <c r="J301"/>
  <c r="K301"/>
  <c r="L301"/>
  <c r="O257" i="7"/>
  <c r="B303" i="20" l="1"/>
  <c r="K302"/>
  <c r="J302"/>
  <c r="L302"/>
  <c r="M258" i="7"/>
  <c r="Q258" s="1"/>
  <c r="N258" s="1"/>
  <c r="B261" i="50"/>
  <c r="J260"/>
  <c r="K260"/>
  <c r="L260"/>
  <c r="L259" i="7"/>
  <c r="B260"/>
  <c r="J259"/>
  <c r="M259" s="1"/>
  <c r="Q259" s="1"/>
  <c r="N259" s="1"/>
  <c r="K259"/>
  <c r="B303" i="22"/>
  <c r="J302"/>
  <c r="K302"/>
  <c r="L302"/>
  <c r="B303" i="5"/>
  <c r="J302"/>
  <c r="K302"/>
  <c r="L302"/>
  <c r="O258" i="7" l="1"/>
  <c r="O259" s="1"/>
  <c r="B304" i="5"/>
  <c r="J303"/>
  <c r="K303"/>
  <c r="L303"/>
  <c r="B304" i="22"/>
  <c r="J303"/>
  <c r="K303"/>
  <c r="L303"/>
  <c r="B304" i="20"/>
  <c r="K303"/>
  <c r="J303"/>
  <c r="L303"/>
  <c r="L261" i="50"/>
  <c r="B262"/>
  <c r="J261"/>
  <c r="K261"/>
  <c r="T259" i="7"/>
  <c r="J596" i="1"/>
  <c r="J231"/>
  <c r="K260" i="7"/>
  <c r="L260"/>
  <c r="B261"/>
  <c r="J260"/>
  <c r="M260" s="1"/>
  <c r="Q260" s="1"/>
  <c r="N260" s="1"/>
  <c r="J230" i="1"/>
  <c r="J595"/>
  <c r="T258" i="7"/>
  <c r="J261" l="1"/>
  <c r="K261"/>
  <c r="L261"/>
  <c r="B262"/>
  <c r="B305" i="22"/>
  <c r="J304"/>
  <c r="K304"/>
  <c r="L304"/>
  <c r="B305" i="5"/>
  <c r="J304"/>
  <c r="K304"/>
  <c r="L304"/>
  <c r="K262" i="50"/>
  <c r="L262"/>
  <c r="B263"/>
  <c r="J262"/>
  <c r="J232" i="1"/>
  <c r="T260" i="7"/>
  <c r="J597" i="1"/>
  <c r="O260" i="7"/>
  <c r="B305" i="20"/>
  <c r="K304"/>
  <c r="J304"/>
  <c r="L304"/>
  <c r="J263" i="50" l="1"/>
  <c r="K263"/>
  <c r="L263"/>
  <c r="B264"/>
  <c r="B263" i="7"/>
  <c r="J262"/>
  <c r="M262" s="1"/>
  <c r="Q262" s="1"/>
  <c r="N262" s="1"/>
  <c r="K262"/>
  <c r="L262"/>
  <c r="B306" i="5"/>
  <c r="J305"/>
  <c r="K305"/>
  <c r="L305"/>
  <c r="J305" i="22"/>
  <c r="B306"/>
  <c r="K305"/>
  <c r="L305"/>
  <c r="B306" i="20"/>
  <c r="K305"/>
  <c r="J305"/>
  <c r="L305"/>
  <c r="M261" i="7"/>
  <c r="Q261" s="1"/>
  <c r="N261" s="1"/>
  <c r="B307" i="20" l="1"/>
  <c r="J306"/>
  <c r="K306"/>
  <c r="L306"/>
  <c r="T262" i="7"/>
  <c r="J599" i="1"/>
  <c r="J234"/>
  <c r="B307" i="22"/>
  <c r="K306"/>
  <c r="J306"/>
  <c r="L306"/>
  <c r="L263" i="7"/>
  <c r="B264"/>
  <c r="J263"/>
  <c r="K263"/>
  <c r="J233" i="1"/>
  <c r="J598"/>
  <c r="T261" i="7"/>
  <c r="B307" i="5"/>
  <c r="J306"/>
  <c r="K306"/>
  <c r="L306"/>
  <c r="O261" i="7"/>
  <c r="O262" s="1"/>
  <c r="B265" i="50"/>
  <c r="J264"/>
  <c r="K264"/>
  <c r="L264"/>
  <c r="B308" i="5" l="1"/>
  <c r="J307"/>
  <c r="K307"/>
  <c r="L307"/>
  <c r="B308" i="22"/>
  <c r="K307"/>
  <c r="J307"/>
  <c r="L307"/>
  <c r="M263" i="7"/>
  <c r="Q263" s="1"/>
  <c r="N263" s="1"/>
  <c r="B308" i="20"/>
  <c r="J307"/>
  <c r="K307"/>
  <c r="L307"/>
  <c r="L265" i="50"/>
  <c r="B266"/>
  <c r="J265"/>
  <c r="K265"/>
  <c r="K264" i="7"/>
  <c r="L264"/>
  <c r="B265"/>
  <c r="J264"/>
  <c r="K266" i="50" l="1"/>
  <c r="L266"/>
  <c r="B267"/>
  <c r="J266"/>
  <c r="J308" i="20"/>
  <c r="B309"/>
  <c r="K308"/>
  <c r="L308"/>
  <c r="J235" i="1"/>
  <c r="T263" i="7"/>
  <c r="M264"/>
  <c r="Q264" s="1"/>
  <c r="N264" s="1"/>
  <c r="B309" i="22"/>
  <c r="K308"/>
  <c r="J308"/>
  <c r="L308"/>
  <c r="B309" i="5"/>
  <c r="J308"/>
  <c r="K308"/>
  <c r="L308"/>
  <c r="J265" i="7"/>
  <c r="K265"/>
  <c r="L265"/>
  <c r="B266"/>
  <c r="O263"/>
  <c r="O264" l="1"/>
  <c r="M265"/>
  <c r="Q265" s="1"/>
  <c r="N265" s="1"/>
  <c r="B310" i="5"/>
  <c r="J309"/>
  <c r="K309"/>
  <c r="L309"/>
  <c r="B310" i="22"/>
  <c r="K309"/>
  <c r="J309"/>
  <c r="L309"/>
  <c r="J236" i="1"/>
  <c r="T264" i="7"/>
  <c r="J267" i="50"/>
  <c r="K267"/>
  <c r="L267"/>
  <c r="B268"/>
  <c r="B267" i="7"/>
  <c r="J266"/>
  <c r="M266" s="1"/>
  <c r="Q266" s="1"/>
  <c r="N266" s="1"/>
  <c r="K266"/>
  <c r="L266"/>
  <c r="B310" i="20"/>
  <c r="J309"/>
  <c r="K309"/>
  <c r="L309"/>
  <c r="O265" i="7" l="1"/>
  <c r="O266" s="1"/>
  <c r="B269" i="50"/>
  <c r="J268"/>
  <c r="K268"/>
  <c r="L268"/>
  <c r="B311" i="20"/>
  <c r="K310"/>
  <c r="J310"/>
  <c r="L310"/>
  <c r="T266" i="7"/>
  <c r="J238" i="1"/>
  <c r="B311" i="22"/>
  <c r="J310"/>
  <c r="K310"/>
  <c r="L310"/>
  <c r="B311" i="5"/>
  <c r="J310"/>
  <c r="K310"/>
  <c r="L310"/>
  <c r="L267" i="7"/>
  <c r="B268"/>
  <c r="J267"/>
  <c r="K267"/>
  <c r="T265"/>
  <c r="J237" i="1"/>
  <c r="K268" i="7" l="1"/>
  <c r="L268"/>
  <c r="B269"/>
  <c r="J268"/>
  <c r="M268" s="1"/>
  <c r="Q268" s="1"/>
  <c r="N268" s="1"/>
  <c r="B312" i="20"/>
  <c r="J311"/>
  <c r="K311"/>
  <c r="L311"/>
  <c r="M267" i="7"/>
  <c r="Q267" s="1"/>
  <c r="N267" s="1"/>
  <c r="B312" i="5"/>
  <c r="J311"/>
  <c r="K311"/>
  <c r="L311"/>
  <c r="B312" i="22"/>
  <c r="K311"/>
  <c r="J311"/>
  <c r="L311"/>
  <c r="L269" i="50"/>
  <c r="B270"/>
  <c r="J269"/>
  <c r="K269"/>
  <c r="O267" i="7" l="1"/>
  <c r="O268" s="1"/>
  <c r="J240" i="1"/>
  <c r="T268" i="7"/>
  <c r="J269"/>
  <c r="M269" s="1"/>
  <c r="Q269" s="1"/>
  <c r="N269" s="1"/>
  <c r="K269"/>
  <c r="L269"/>
  <c r="B270"/>
  <c r="K270" i="50"/>
  <c r="L270"/>
  <c r="B271"/>
  <c r="J270"/>
  <c r="B313" i="22"/>
  <c r="J312"/>
  <c r="K312"/>
  <c r="L312"/>
  <c r="B313" i="5"/>
  <c r="J312"/>
  <c r="K312"/>
  <c r="L312"/>
  <c r="T267" i="7"/>
  <c r="J239" i="1"/>
  <c r="K312" i="20"/>
  <c r="B313"/>
  <c r="J312"/>
  <c r="L312"/>
  <c r="T269" i="7" l="1"/>
  <c r="J241" i="1"/>
  <c r="B314" i="20"/>
  <c r="J313"/>
  <c r="K313"/>
  <c r="L313"/>
  <c r="B314" i="5"/>
  <c r="J313"/>
  <c r="K313"/>
  <c r="L313"/>
  <c r="K313" i="22"/>
  <c r="B314"/>
  <c r="J313"/>
  <c r="L313"/>
  <c r="B271" i="7"/>
  <c r="J270"/>
  <c r="K270"/>
  <c r="L270"/>
  <c r="O269"/>
  <c r="J271" i="50"/>
  <c r="K271"/>
  <c r="L271"/>
  <c r="B272"/>
  <c r="B273" l="1"/>
  <c r="J272"/>
  <c r="K272"/>
  <c r="L272"/>
  <c r="L271" i="7"/>
  <c r="B272"/>
  <c r="J271"/>
  <c r="M271" s="1"/>
  <c r="Q271" s="1"/>
  <c r="N271" s="1"/>
  <c r="K271"/>
  <c r="B315" i="5"/>
  <c r="J314"/>
  <c r="K314"/>
  <c r="L314"/>
  <c r="B315" i="20"/>
  <c r="K314"/>
  <c r="J314"/>
  <c r="L314"/>
  <c r="M270" i="7"/>
  <c r="Q270" s="1"/>
  <c r="N270" s="1"/>
  <c r="B315" i="22"/>
  <c r="J314"/>
  <c r="K314"/>
  <c r="L314"/>
  <c r="T271" i="7" l="1"/>
  <c r="J243" i="1"/>
  <c r="K272" i="7"/>
  <c r="L272"/>
  <c r="B273"/>
  <c r="J272"/>
  <c r="B316" i="22"/>
  <c r="J315"/>
  <c r="K315"/>
  <c r="L315"/>
  <c r="B316" i="20"/>
  <c r="K315"/>
  <c r="J315"/>
  <c r="L315"/>
  <c r="B316" i="5"/>
  <c r="J315"/>
  <c r="K315"/>
  <c r="L315"/>
  <c r="J242" i="1"/>
  <c r="T270" i="7"/>
  <c r="O270"/>
  <c r="O271" s="1"/>
  <c r="L273" i="50"/>
  <c r="B274"/>
  <c r="J273"/>
  <c r="K273"/>
  <c r="K274" l="1"/>
  <c r="L274"/>
  <c r="B275"/>
  <c r="J274"/>
  <c r="B317" i="5"/>
  <c r="J316"/>
  <c r="K316"/>
  <c r="L316"/>
  <c r="J316" i="20"/>
  <c r="B317"/>
  <c r="K316"/>
  <c r="L316"/>
  <c r="B317" i="22"/>
  <c r="K316"/>
  <c r="J316"/>
  <c r="L316"/>
  <c r="M272" i="7"/>
  <c r="Q272" s="1"/>
  <c r="N272" s="1"/>
  <c r="J273"/>
  <c r="K273"/>
  <c r="L273"/>
  <c r="B274"/>
  <c r="B275" l="1"/>
  <c r="J274"/>
  <c r="K274"/>
  <c r="L274"/>
  <c r="J244" i="1"/>
  <c r="T272" i="7"/>
  <c r="J317" i="22"/>
  <c r="B318"/>
  <c r="K317"/>
  <c r="L317"/>
  <c r="J275" i="50"/>
  <c r="K275"/>
  <c r="L275"/>
  <c r="B276"/>
  <c r="B318" i="20"/>
  <c r="K317"/>
  <c r="J317"/>
  <c r="L317"/>
  <c r="M273" i="7"/>
  <c r="Q273" s="1"/>
  <c r="N273" s="1"/>
  <c r="O272"/>
  <c r="B318" i="5"/>
  <c r="J317"/>
  <c r="K317"/>
  <c r="L317"/>
  <c r="T273" i="7" l="1"/>
  <c r="J245" i="1"/>
  <c r="B319" i="5"/>
  <c r="J318"/>
  <c r="K318"/>
  <c r="L318"/>
  <c r="B319" i="20"/>
  <c r="J318"/>
  <c r="K318"/>
  <c r="L318"/>
  <c r="B277" i="50"/>
  <c r="J276"/>
  <c r="K276"/>
  <c r="L276"/>
  <c r="M274" i="7"/>
  <c r="Q274" s="1"/>
  <c r="N274" s="1"/>
  <c r="L275"/>
  <c r="B276"/>
  <c r="J275"/>
  <c r="M275" s="1"/>
  <c r="Q275" s="1"/>
  <c r="N275" s="1"/>
  <c r="K275"/>
  <c r="O273"/>
  <c r="O274" s="1"/>
  <c r="B319" i="22"/>
  <c r="K318"/>
  <c r="J318"/>
  <c r="L318"/>
  <c r="T275" i="7" l="1"/>
  <c r="J247" i="1"/>
  <c r="O275" i="7"/>
  <c r="K276"/>
  <c r="L276"/>
  <c r="B277"/>
  <c r="J276"/>
  <c r="J246" i="1"/>
  <c r="T274" i="7"/>
  <c r="L277" i="50"/>
  <c r="B278"/>
  <c r="J277"/>
  <c r="K277"/>
  <c r="B320" i="20"/>
  <c r="J319"/>
  <c r="K319"/>
  <c r="L319"/>
  <c r="B320" i="5"/>
  <c r="J319"/>
  <c r="K319"/>
  <c r="L319"/>
  <c r="B320" i="22"/>
  <c r="J319"/>
  <c r="K319"/>
  <c r="L319"/>
  <c r="B321" l="1"/>
  <c r="K320"/>
  <c r="J320"/>
  <c r="L320"/>
  <c r="B321" i="5"/>
  <c r="J320"/>
  <c r="K320"/>
  <c r="L320"/>
  <c r="K278" i="50"/>
  <c r="L278"/>
  <c r="B279"/>
  <c r="J278"/>
  <c r="M276" i="7"/>
  <c r="Q276" s="1"/>
  <c r="N276" s="1"/>
  <c r="B321" i="20"/>
  <c r="K320"/>
  <c r="J320"/>
  <c r="L320"/>
  <c r="J277" i="7"/>
  <c r="K277"/>
  <c r="L277"/>
  <c r="B278"/>
  <c r="J248" i="1" l="1"/>
  <c r="T276" i="7"/>
  <c r="M277"/>
  <c r="Q277" s="1"/>
  <c r="N277" s="1"/>
  <c r="B322" i="20"/>
  <c r="J321"/>
  <c r="K321"/>
  <c r="L321"/>
  <c r="B279" i="7"/>
  <c r="J278"/>
  <c r="M278" s="1"/>
  <c r="Q278" s="1"/>
  <c r="N278" s="1"/>
  <c r="K278"/>
  <c r="L278"/>
  <c r="J279" i="50"/>
  <c r="K279"/>
  <c r="L279"/>
  <c r="B280"/>
  <c r="B322" i="5"/>
  <c r="J321"/>
  <c r="K321"/>
  <c r="L321"/>
  <c r="J321" i="22"/>
  <c r="B322"/>
  <c r="K321"/>
  <c r="L321"/>
  <c r="O276" i="7"/>
  <c r="O277" l="1"/>
  <c r="O278" s="1"/>
  <c r="B323" i="5"/>
  <c r="J322"/>
  <c r="K322"/>
  <c r="L322"/>
  <c r="T278" i="7"/>
  <c r="J250" i="1"/>
  <c r="B323" i="20"/>
  <c r="K322"/>
  <c r="J322"/>
  <c r="L322"/>
  <c r="L279" i="7"/>
  <c r="B280"/>
  <c r="J279"/>
  <c r="M279" s="1"/>
  <c r="Q279" s="1"/>
  <c r="N279" s="1"/>
  <c r="K279"/>
  <c r="T277"/>
  <c r="J249" i="1"/>
  <c r="B281" i="50"/>
  <c r="J280"/>
  <c r="K280"/>
  <c r="L280"/>
  <c r="B323" i="22"/>
  <c r="K322"/>
  <c r="J322"/>
  <c r="L322"/>
  <c r="T279" i="7" l="1"/>
  <c r="J251" i="1"/>
  <c r="B324" i="22"/>
  <c r="K323"/>
  <c r="J323"/>
  <c r="L323"/>
  <c r="K280" i="7"/>
  <c r="L280"/>
  <c r="B281"/>
  <c r="J280"/>
  <c r="M280" s="1"/>
  <c r="Q280" s="1"/>
  <c r="N280" s="1"/>
  <c r="B324" i="5"/>
  <c r="J323"/>
  <c r="K323"/>
  <c r="L323"/>
  <c r="O279" i="7"/>
  <c r="L281" i="50"/>
  <c r="B282"/>
  <c r="J281"/>
  <c r="K281"/>
  <c r="B324" i="20"/>
  <c r="J323"/>
  <c r="K323"/>
  <c r="L323"/>
  <c r="O280" i="7" l="1"/>
  <c r="B325" i="22"/>
  <c r="J324"/>
  <c r="K324"/>
  <c r="L324"/>
  <c r="B325" i="5"/>
  <c r="J324"/>
  <c r="K324"/>
  <c r="L324"/>
  <c r="J252" i="1"/>
  <c r="T280" i="7"/>
  <c r="B325" i="20"/>
  <c r="K324"/>
  <c r="J324"/>
  <c r="L324"/>
  <c r="K282" i="50"/>
  <c r="L282"/>
  <c r="B283"/>
  <c r="J282"/>
  <c r="J281" i="7"/>
  <c r="K281"/>
  <c r="L281"/>
  <c r="B282"/>
  <c r="J283" i="50" l="1"/>
  <c r="K283"/>
  <c r="L283"/>
  <c r="B284"/>
  <c r="B326" i="5"/>
  <c r="J325"/>
  <c r="K325"/>
  <c r="L325"/>
  <c r="B326" i="22"/>
  <c r="K325"/>
  <c r="J325"/>
  <c r="L325"/>
  <c r="M281" i="7"/>
  <c r="B326" i="20"/>
  <c r="J325"/>
  <c r="K325"/>
  <c r="L325"/>
  <c r="B283" i="7"/>
  <c r="J282"/>
  <c r="K282"/>
  <c r="L282"/>
  <c r="L283" l="1"/>
  <c r="B284"/>
  <c r="J283"/>
  <c r="K283"/>
  <c r="B327" i="20"/>
  <c r="K326"/>
  <c r="J326"/>
  <c r="L326"/>
  <c r="B327" i="22"/>
  <c r="J326"/>
  <c r="K326"/>
  <c r="L326"/>
  <c r="B327" i="5"/>
  <c r="J326"/>
  <c r="K326"/>
  <c r="L326"/>
  <c r="B285" i="50"/>
  <c r="J284"/>
  <c r="K284"/>
  <c r="L284"/>
  <c r="Q281" i="7"/>
  <c r="N281" s="1"/>
  <c r="O281"/>
  <c r="M282"/>
  <c r="Q282" s="1"/>
  <c r="N282" s="1"/>
  <c r="J254" i="1" l="1"/>
  <c r="T282" i="7"/>
  <c r="M283"/>
  <c r="Q283" s="1"/>
  <c r="N283" s="1"/>
  <c r="O282"/>
  <c r="K284"/>
  <c r="L284"/>
  <c r="B285"/>
  <c r="J284"/>
  <c r="J253" i="1"/>
  <c r="T281" i="7"/>
  <c r="L285" i="50"/>
  <c r="B286"/>
  <c r="J285"/>
  <c r="K285"/>
  <c r="B328" i="5"/>
  <c r="J327"/>
  <c r="K327"/>
  <c r="L327"/>
  <c r="B328" i="22"/>
  <c r="K327"/>
  <c r="J327"/>
  <c r="L327"/>
  <c r="B328" i="20"/>
  <c r="J327"/>
  <c r="K327"/>
  <c r="L327"/>
  <c r="J255" i="1" l="1"/>
  <c r="T283" i="7"/>
  <c r="K286" i="50"/>
  <c r="L286"/>
  <c r="B287"/>
  <c r="J286"/>
  <c r="M284" i="7"/>
  <c r="Q284" s="1"/>
  <c r="N284" s="1"/>
  <c r="K328" i="20"/>
  <c r="B329"/>
  <c r="J328"/>
  <c r="L328"/>
  <c r="B329" i="22"/>
  <c r="J328"/>
  <c r="K328"/>
  <c r="L328"/>
  <c r="B329" i="5"/>
  <c r="J328"/>
  <c r="K328"/>
  <c r="L328"/>
  <c r="J285" i="7"/>
  <c r="K285"/>
  <c r="L285"/>
  <c r="B286"/>
  <c r="O283"/>
  <c r="O284" s="1"/>
  <c r="B330" i="20" l="1"/>
  <c r="J329"/>
  <c r="K329"/>
  <c r="L329"/>
  <c r="M285" i="7"/>
  <c r="Q285" s="1"/>
  <c r="N285" s="1"/>
  <c r="B330" i="5"/>
  <c r="J329"/>
  <c r="K329"/>
  <c r="L329"/>
  <c r="K329" i="22"/>
  <c r="B330"/>
  <c r="J329"/>
  <c r="L329"/>
  <c r="T284" i="7"/>
  <c r="J256" i="1"/>
  <c r="B287" i="7"/>
  <c r="J286"/>
  <c r="M286" s="1"/>
  <c r="Q286" s="1"/>
  <c r="N286" s="1"/>
  <c r="K286"/>
  <c r="L286"/>
  <c r="J287" i="50"/>
  <c r="K287"/>
  <c r="L287"/>
  <c r="B288"/>
  <c r="B289" l="1"/>
  <c r="J288"/>
  <c r="K288"/>
  <c r="L288"/>
  <c r="T286" i="7"/>
  <c r="J258" i="1"/>
  <c r="J257"/>
  <c r="T285" i="7"/>
  <c r="B331" i="20"/>
  <c r="K330"/>
  <c r="J330"/>
  <c r="L330"/>
  <c r="L287" i="7"/>
  <c r="B288"/>
  <c r="J287"/>
  <c r="M287" s="1"/>
  <c r="Q287" s="1"/>
  <c r="N287" s="1"/>
  <c r="K287"/>
  <c r="O285"/>
  <c r="O286" s="1"/>
  <c r="B331" i="22"/>
  <c r="J330"/>
  <c r="K330"/>
  <c r="L330"/>
  <c r="B331" i="5"/>
  <c r="J330"/>
  <c r="K330"/>
  <c r="L330"/>
  <c r="J259" i="1" l="1"/>
  <c r="T287" i="7"/>
  <c r="K288"/>
  <c r="L288"/>
  <c r="B289"/>
  <c r="J288"/>
  <c r="B332" i="5"/>
  <c r="J331"/>
  <c r="K331"/>
  <c r="L331"/>
  <c r="B332" i="22"/>
  <c r="J331"/>
  <c r="K331"/>
  <c r="L331"/>
  <c r="B332" i="20"/>
  <c r="K331"/>
  <c r="J331"/>
  <c r="L331"/>
  <c r="O287" i="7"/>
  <c r="L289" i="50"/>
  <c r="B290"/>
  <c r="J289"/>
  <c r="K289"/>
  <c r="J332" i="20" l="1"/>
  <c r="B333"/>
  <c r="K332"/>
  <c r="L332"/>
  <c r="B333" i="22"/>
  <c r="K332"/>
  <c r="J332"/>
  <c r="L332"/>
  <c r="B333" i="5"/>
  <c r="J332"/>
  <c r="K332"/>
  <c r="L332"/>
  <c r="M288" i="7"/>
  <c r="Q288" s="1"/>
  <c r="N288" s="1"/>
  <c r="K290" i="50"/>
  <c r="L290"/>
  <c r="B291"/>
  <c r="J290"/>
  <c r="J289" i="7"/>
  <c r="K289"/>
  <c r="L289"/>
  <c r="B290"/>
  <c r="J291" i="50" l="1"/>
  <c r="K291"/>
  <c r="L291"/>
  <c r="B292"/>
  <c r="B334" i="20"/>
  <c r="K333"/>
  <c r="J333"/>
  <c r="L333"/>
  <c r="J260" i="1"/>
  <c r="T288" i="7"/>
  <c r="B334" i="5"/>
  <c r="J333"/>
  <c r="K333"/>
  <c r="L333"/>
  <c r="J333" i="22"/>
  <c r="B334"/>
  <c r="K333"/>
  <c r="L333"/>
  <c r="M289" i="7"/>
  <c r="Q289" s="1"/>
  <c r="N289" s="1"/>
  <c r="O288"/>
  <c r="B291"/>
  <c r="J290"/>
  <c r="K290"/>
  <c r="L290"/>
  <c r="O289" l="1"/>
  <c r="L291"/>
  <c r="B292"/>
  <c r="J291"/>
  <c r="M291" s="1"/>
  <c r="Q291" s="1"/>
  <c r="N291" s="1"/>
  <c r="K291"/>
  <c r="B335" i="20"/>
  <c r="J334"/>
  <c r="K334"/>
  <c r="L334"/>
  <c r="B293" i="50"/>
  <c r="J292"/>
  <c r="K292"/>
  <c r="L292"/>
  <c r="B335" i="22"/>
  <c r="K334"/>
  <c r="J334"/>
  <c r="L334"/>
  <c r="B335" i="5"/>
  <c r="J334"/>
  <c r="K334"/>
  <c r="L334"/>
  <c r="M290" i="7"/>
  <c r="Q290" s="1"/>
  <c r="N290" s="1"/>
  <c r="J261" i="1"/>
  <c r="T289" i="7"/>
  <c r="T291" l="1"/>
  <c r="J263" i="1"/>
  <c r="B336" i="5"/>
  <c r="J335"/>
  <c r="K335"/>
  <c r="L335"/>
  <c r="O290" i="7"/>
  <c r="O291" s="1"/>
  <c r="B336" i="22"/>
  <c r="J335"/>
  <c r="K335"/>
  <c r="L335"/>
  <c r="K292" i="7"/>
  <c r="L292"/>
  <c r="B293"/>
  <c r="J292"/>
  <c r="M292" s="1"/>
  <c r="Q292" s="1"/>
  <c r="N292" s="1"/>
  <c r="L293" i="50"/>
  <c r="B294"/>
  <c r="J293"/>
  <c r="K293"/>
  <c r="B336" i="20"/>
  <c r="K335"/>
  <c r="J335"/>
  <c r="L335"/>
  <c r="T290" i="7"/>
  <c r="J262" i="1"/>
  <c r="T292" i="7" l="1"/>
  <c r="J264" i="1"/>
  <c r="B337" i="22"/>
  <c r="K336"/>
  <c r="J336"/>
  <c r="L336"/>
  <c r="J293" i="7"/>
  <c r="M293" s="1"/>
  <c r="Q293" s="1"/>
  <c r="N293" s="1"/>
  <c r="K293"/>
  <c r="L293"/>
  <c r="B294"/>
  <c r="O292"/>
  <c r="O293" s="1"/>
  <c r="B337" i="5"/>
  <c r="J336"/>
  <c r="K336"/>
  <c r="L336"/>
  <c r="K294" i="50"/>
  <c r="L294"/>
  <c r="B295"/>
  <c r="J294"/>
  <c r="B337" i="20"/>
  <c r="J336"/>
  <c r="K336"/>
  <c r="L336"/>
  <c r="T293" i="7" l="1"/>
  <c r="J265" i="1"/>
  <c r="J295" i="50"/>
  <c r="K295"/>
  <c r="L295"/>
  <c r="B296"/>
  <c r="B295" i="7"/>
  <c r="J294"/>
  <c r="K294"/>
  <c r="L294"/>
  <c r="J337" i="22"/>
  <c r="K337"/>
  <c r="B338"/>
  <c r="L337"/>
  <c r="B338" i="20"/>
  <c r="K337"/>
  <c r="J337"/>
  <c r="L337"/>
  <c r="B338" i="5"/>
  <c r="J337"/>
  <c r="K337"/>
  <c r="L337"/>
  <c r="M294" i="7" l="1"/>
  <c r="B339" i="5"/>
  <c r="J338"/>
  <c r="K338"/>
  <c r="L338"/>
  <c r="B339" i="20"/>
  <c r="J338"/>
  <c r="K338"/>
  <c r="L338"/>
  <c r="L295" i="7"/>
  <c r="B296"/>
  <c r="J295"/>
  <c r="M295" s="1"/>
  <c r="Q295" s="1"/>
  <c r="N295" s="1"/>
  <c r="K295"/>
  <c r="B339" i="22"/>
  <c r="K338"/>
  <c r="J338"/>
  <c r="L338"/>
  <c r="B297" i="50"/>
  <c r="J296"/>
  <c r="K296"/>
  <c r="L296"/>
  <c r="K296" i="7" l="1"/>
  <c r="L296"/>
  <c r="B297"/>
  <c r="J296"/>
  <c r="M296" s="1"/>
  <c r="Q296" s="1"/>
  <c r="N296" s="1"/>
  <c r="B340" i="20"/>
  <c r="J339"/>
  <c r="K339"/>
  <c r="L339"/>
  <c r="B340" i="5"/>
  <c r="J339"/>
  <c r="K339"/>
  <c r="L339"/>
  <c r="L297" i="50"/>
  <c r="B298"/>
  <c r="J297"/>
  <c r="K297"/>
  <c r="B340" i="22"/>
  <c r="K339"/>
  <c r="J339"/>
  <c r="L339"/>
  <c r="Q294" i="7"/>
  <c r="N294" s="1"/>
  <c r="O294"/>
  <c r="O295" s="1"/>
  <c r="J267" i="1"/>
  <c r="T295" i="7"/>
  <c r="O296" l="1"/>
  <c r="J268" i="1"/>
  <c r="T296" i="7"/>
  <c r="T294"/>
  <c r="J266" i="1"/>
  <c r="K298" i="50"/>
  <c r="L298"/>
  <c r="B299"/>
  <c r="J298"/>
  <c r="J297" i="7"/>
  <c r="M297" s="1"/>
  <c r="Q297" s="1"/>
  <c r="N297" s="1"/>
  <c r="K297"/>
  <c r="L297"/>
  <c r="B298"/>
  <c r="B341" i="22"/>
  <c r="J340"/>
  <c r="K340"/>
  <c r="L340"/>
  <c r="B341" i="5"/>
  <c r="J340"/>
  <c r="K340"/>
  <c r="L340"/>
  <c r="K340" i="20"/>
  <c r="B341"/>
  <c r="J340"/>
  <c r="L340"/>
  <c r="B342" l="1"/>
  <c r="J341"/>
  <c r="K341"/>
  <c r="L341"/>
  <c r="B299" i="7"/>
  <c r="J298"/>
  <c r="K298"/>
  <c r="L298"/>
  <c r="B342" i="5"/>
  <c r="J341"/>
  <c r="K341"/>
  <c r="L341"/>
  <c r="J299" i="50"/>
  <c r="K299"/>
  <c r="L299"/>
  <c r="B300"/>
  <c r="B342" i="22"/>
  <c r="J341"/>
  <c r="K341"/>
  <c r="L341"/>
  <c r="J269" i="1"/>
  <c r="T297" i="7"/>
  <c r="O297"/>
  <c r="B343" i="22" l="1"/>
  <c r="J342"/>
  <c r="K342"/>
  <c r="L342"/>
  <c r="B301" i="50"/>
  <c r="J300"/>
  <c r="K300"/>
  <c r="L300"/>
  <c r="M298" i="7"/>
  <c r="Q298" s="1"/>
  <c r="N298" s="1"/>
  <c r="B343" i="5"/>
  <c r="J342"/>
  <c r="K342"/>
  <c r="L342"/>
  <c r="L299" i="7"/>
  <c r="B300"/>
  <c r="J299"/>
  <c r="M299" s="1"/>
  <c r="Q299" s="1"/>
  <c r="N299" s="1"/>
  <c r="K299"/>
  <c r="B343" i="20"/>
  <c r="K342"/>
  <c r="J342"/>
  <c r="L342"/>
  <c r="O298" i="7" l="1"/>
  <c r="J271" i="1"/>
  <c r="T299" i="7"/>
  <c r="K300"/>
  <c r="L300"/>
  <c r="B301"/>
  <c r="J300"/>
  <c r="M300" s="1"/>
  <c r="Q300" s="1"/>
  <c r="N300" s="1"/>
  <c r="O299"/>
  <c r="O300" s="1"/>
  <c r="B344" i="20"/>
  <c r="J343"/>
  <c r="K343"/>
  <c r="L343"/>
  <c r="B344" i="5"/>
  <c r="J343"/>
  <c r="K343"/>
  <c r="L343"/>
  <c r="J270" i="1"/>
  <c r="T298" i="7"/>
  <c r="L301" i="50"/>
  <c r="B302"/>
  <c r="J301"/>
  <c r="K301"/>
  <c r="B344" i="22"/>
  <c r="J343"/>
  <c r="K343"/>
  <c r="L343"/>
  <c r="J301" i="7" l="1"/>
  <c r="M301" s="1"/>
  <c r="Q301" s="1"/>
  <c r="N301" s="1"/>
  <c r="K301"/>
  <c r="L301"/>
  <c r="B302"/>
  <c r="K302" i="50"/>
  <c r="L302"/>
  <c r="B303"/>
  <c r="J302"/>
  <c r="B345" i="5"/>
  <c r="J344"/>
  <c r="K344"/>
  <c r="L344"/>
  <c r="B345" i="20"/>
  <c r="J344"/>
  <c r="K344"/>
  <c r="L344"/>
  <c r="B345" i="22"/>
  <c r="K344"/>
  <c r="J344"/>
  <c r="L344"/>
  <c r="T300" i="7"/>
  <c r="J272" i="1"/>
  <c r="T301" i="7" l="1"/>
  <c r="J273" i="1"/>
  <c r="J303" i="50"/>
  <c r="K303"/>
  <c r="L303"/>
  <c r="B304"/>
  <c r="B303" i="7"/>
  <c r="J302"/>
  <c r="K302"/>
  <c r="L302"/>
  <c r="O301"/>
  <c r="J345" i="22"/>
  <c r="B346"/>
  <c r="K345"/>
  <c r="L345"/>
  <c r="B346" i="20"/>
  <c r="J345"/>
  <c r="K345"/>
  <c r="L345"/>
  <c r="B346" i="5"/>
  <c r="J345"/>
  <c r="K345"/>
  <c r="L345"/>
  <c r="B305" i="50" l="1"/>
  <c r="J304"/>
  <c r="K304"/>
  <c r="L304"/>
  <c r="B347" i="22"/>
  <c r="J346"/>
  <c r="K346"/>
  <c r="L346"/>
  <c r="M302" i="7"/>
  <c r="Q302" s="1"/>
  <c r="N302" s="1"/>
  <c r="B347" i="5"/>
  <c r="J346"/>
  <c r="K346"/>
  <c r="L346"/>
  <c r="B347" i="20"/>
  <c r="J346"/>
  <c r="K346"/>
  <c r="L346"/>
  <c r="L303" i="7"/>
  <c r="B304"/>
  <c r="J303"/>
  <c r="K303"/>
  <c r="B348" i="20" l="1"/>
  <c r="K347"/>
  <c r="J347"/>
  <c r="L347"/>
  <c r="B348" i="5"/>
  <c r="J347"/>
  <c r="K347"/>
  <c r="L347"/>
  <c r="M303" i="7"/>
  <c r="Q303" s="1"/>
  <c r="N303" s="1"/>
  <c r="T302"/>
  <c r="J274" i="1"/>
  <c r="B348" i="22"/>
  <c r="J347"/>
  <c r="K347"/>
  <c r="L347"/>
  <c r="L305" i="50"/>
  <c r="B306"/>
  <c r="J305"/>
  <c r="K305"/>
  <c r="K304" i="7"/>
  <c r="L304"/>
  <c r="B305"/>
  <c r="J304"/>
  <c r="O302"/>
  <c r="O303" l="1"/>
  <c r="J305"/>
  <c r="K305"/>
  <c r="L305"/>
  <c r="B306"/>
  <c r="B349" i="5"/>
  <c r="J348"/>
  <c r="K348"/>
  <c r="L348"/>
  <c r="J348" i="20"/>
  <c r="K348"/>
  <c r="B349"/>
  <c r="L348"/>
  <c r="K306" i="50"/>
  <c r="L306"/>
  <c r="B307"/>
  <c r="J306"/>
  <c r="T303" i="7"/>
  <c r="J275" i="1"/>
  <c r="K348" i="22"/>
  <c r="J348"/>
  <c r="B349"/>
  <c r="L348"/>
  <c r="M304" i="7"/>
  <c r="Q304" s="1"/>
  <c r="N304" s="1"/>
  <c r="B350" i="20" l="1"/>
  <c r="K349"/>
  <c r="J349"/>
  <c r="L349"/>
  <c r="T304" i="7"/>
  <c r="J276" i="1"/>
  <c r="B350" i="5"/>
  <c r="J349"/>
  <c r="K349"/>
  <c r="L349"/>
  <c r="M305" i="7"/>
  <c r="Q305" s="1"/>
  <c r="N305" s="1"/>
  <c r="B350" i="22"/>
  <c r="J349"/>
  <c r="K349"/>
  <c r="L349"/>
  <c r="J307" i="50"/>
  <c r="K307"/>
  <c r="L307"/>
  <c r="B308"/>
  <c r="B307" i="7"/>
  <c r="J306"/>
  <c r="M306" s="1"/>
  <c r="Q306" s="1"/>
  <c r="N306" s="1"/>
  <c r="K306"/>
  <c r="L306"/>
  <c r="O304"/>
  <c r="O305" l="1"/>
  <c r="O306" s="1"/>
  <c r="J278" i="1"/>
  <c r="T306" i="7"/>
  <c r="L307"/>
  <c r="B308"/>
  <c r="J307"/>
  <c r="M307" s="1"/>
  <c r="Q307" s="1"/>
  <c r="N307" s="1"/>
  <c r="K307"/>
  <c r="B351" i="22"/>
  <c r="J350"/>
  <c r="K350"/>
  <c r="L350"/>
  <c r="B309" i="50"/>
  <c r="J308"/>
  <c r="K308"/>
  <c r="L308"/>
  <c r="T305" i="7"/>
  <c r="J277" i="1"/>
  <c r="B351" i="5"/>
  <c r="J350"/>
  <c r="K350"/>
  <c r="L350"/>
  <c r="B351" i="20"/>
  <c r="J350"/>
  <c r="K350"/>
  <c r="L350"/>
  <c r="B352" i="5" l="1"/>
  <c r="J351"/>
  <c r="K351"/>
  <c r="L351"/>
  <c r="T307" i="7"/>
  <c r="J279" i="1"/>
  <c r="K308" i="7"/>
  <c r="L308"/>
  <c r="B309"/>
  <c r="J308"/>
  <c r="M308" s="1"/>
  <c r="Q308" s="1"/>
  <c r="N308" s="1"/>
  <c r="L309" i="50"/>
  <c r="B310"/>
  <c r="J309"/>
  <c r="K309"/>
  <c r="B352" i="22"/>
  <c r="J351"/>
  <c r="K351"/>
  <c r="L351"/>
  <c r="B352" i="20"/>
  <c r="K351"/>
  <c r="J351"/>
  <c r="L351"/>
  <c r="O307" i="7"/>
  <c r="K310" i="50" l="1"/>
  <c r="L310"/>
  <c r="B311"/>
  <c r="J310"/>
  <c r="T308" i="7"/>
  <c r="J280" i="1"/>
  <c r="B353" i="22"/>
  <c r="J352"/>
  <c r="K352"/>
  <c r="L352"/>
  <c r="J309" i="7"/>
  <c r="M309" s="1"/>
  <c r="Q309" s="1"/>
  <c r="N309" s="1"/>
  <c r="K309"/>
  <c r="L309"/>
  <c r="B310"/>
  <c r="O308"/>
  <c r="B353" i="20"/>
  <c r="J352"/>
  <c r="K352"/>
  <c r="L352"/>
  <c r="B353" i="5"/>
  <c r="J352"/>
  <c r="K352"/>
  <c r="L352"/>
  <c r="O309" i="7" l="1"/>
  <c r="B354" i="5"/>
  <c r="J353"/>
  <c r="K353"/>
  <c r="L353"/>
  <c r="T309" i="7"/>
  <c r="J281" i="1"/>
  <c r="K353" i="22"/>
  <c r="B354"/>
  <c r="J353"/>
  <c r="L353"/>
  <c r="B311" i="7"/>
  <c r="J310"/>
  <c r="K310"/>
  <c r="L310"/>
  <c r="B354" i="20"/>
  <c r="J353"/>
  <c r="K353"/>
  <c r="L353"/>
  <c r="J311" i="50"/>
  <c r="K311"/>
  <c r="L311"/>
  <c r="B312"/>
  <c r="M310" i="7" l="1"/>
  <c r="B355" i="22"/>
  <c r="J354"/>
  <c r="K354"/>
  <c r="L354"/>
  <c r="B355" i="5"/>
  <c r="J354"/>
  <c r="K354"/>
  <c r="L354"/>
  <c r="B313" i="50"/>
  <c r="J312"/>
  <c r="K312"/>
  <c r="L312"/>
  <c r="B355" i="20"/>
  <c r="K354"/>
  <c r="J354"/>
  <c r="L354"/>
  <c r="L311" i="7"/>
  <c r="B312"/>
  <c r="J311"/>
  <c r="M311" s="1"/>
  <c r="Q311" s="1"/>
  <c r="N311" s="1"/>
  <c r="K311"/>
  <c r="T311" l="1"/>
  <c r="J283" i="1"/>
  <c r="K312" i="7"/>
  <c r="L312"/>
  <c r="B313"/>
  <c r="J312"/>
  <c r="M312" s="1"/>
  <c r="Q312" s="1"/>
  <c r="N312" s="1"/>
  <c r="L313" i="50"/>
  <c r="B314"/>
  <c r="J313"/>
  <c r="K313"/>
  <c r="B356" i="5"/>
  <c r="K355"/>
  <c r="J355"/>
  <c r="L355"/>
  <c r="B356" i="22"/>
  <c r="K355"/>
  <c r="J355"/>
  <c r="L355"/>
  <c r="B356" i="20"/>
  <c r="J355"/>
  <c r="K355"/>
  <c r="L355"/>
  <c r="Q310" i="7"/>
  <c r="N310" s="1"/>
  <c r="O310"/>
  <c r="O311" s="1"/>
  <c r="O312" s="1"/>
  <c r="T312" l="1"/>
  <c r="J284" i="1"/>
  <c r="J313" i="7"/>
  <c r="K313"/>
  <c r="L313"/>
  <c r="B314"/>
  <c r="K314" i="50"/>
  <c r="L314"/>
  <c r="B315"/>
  <c r="J314"/>
  <c r="T310" i="7"/>
  <c r="J282" i="1"/>
  <c r="K356" i="20"/>
  <c r="B357"/>
  <c r="J356"/>
  <c r="L356"/>
  <c r="J356" i="22"/>
  <c r="K356"/>
  <c r="B357"/>
  <c r="L356"/>
  <c r="B357" i="5"/>
  <c r="K356"/>
  <c r="J356"/>
  <c r="L356"/>
  <c r="B358" i="20" l="1"/>
  <c r="J357"/>
  <c r="K357"/>
  <c r="L357"/>
  <c r="K357" i="5"/>
  <c r="B358"/>
  <c r="J357"/>
  <c r="L357"/>
  <c r="J315" i="50"/>
  <c r="K315"/>
  <c r="L315"/>
  <c r="B316"/>
  <c r="M313" i="7"/>
  <c r="B358" i="22"/>
  <c r="J357"/>
  <c r="K357"/>
  <c r="L357"/>
  <c r="B315" i="7"/>
  <c r="J314"/>
  <c r="K314"/>
  <c r="L314"/>
  <c r="Q313" l="1"/>
  <c r="N313" s="1"/>
  <c r="O313"/>
  <c r="M314"/>
  <c r="Q314" s="1"/>
  <c r="N314" s="1"/>
  <c r="B317" i="50"/>
  <c r="J316"/>
  <c r="K316"/>
  <c r="L316"/>
  <c r="K358" i="5"/>
  <c r="B359"/>
  <c r="J358"/>
  <c r="L358"/>
  <c r="L315" i="7"/>
  <c r="B316"/>
  <c r="J315"/>
  <c r="M315" s="1"/>
  <c r="Q315" s="1"/>
  <c r="N315" s="1"/>
  <c r="K315"/>
  <c r="B359" i="22"/>
  <c r="J358"/>
  <c r="K358"/>
  <c r="L358"/>
  <c r="B359" i="20"/>
  <c r="K358"/>
  <c r="J358"/>
  <c r="L358"/>
  <c r="L317" i="50" l="1"/>
  <c r="B318"/>
  <c r="J317"/>
  <c r="K317"/>
  <c r="B360" i="20"/>
  <c r="J359"/>
  <c r="K359"/>
  <c r="L359"/>
  <c r="T315" i="7"/>
  <c r="J287" i="1"/>
  <c r="T314" i="7"/>
  <c r="J286" i="1"/>
  <c r="B360" i="22"/>
  <c r="J359"/>
  <c r="K359"/>
  <c r="L359"/>
  <c r="K316" i="7"/>
  <c r="L316"/>
  <c r="B317"/>
  <c r="J316"/>
  <c r="M316" s="1"/>
  <c r="Q316" s="1"/>
  <c r="N316" s="1"/>
  <c r="O314"/>
  <c r="O315" s="1"/>
  <c r="B360" i="5"/>
  <c r="K359"/>
  <c r="J359"/>
  <c r="L359"/>
  <c r="J285" i="1"/>
  <c r="T313" i="7"/>
  <c r="B361" i="5" l="1"/>
  <c r="K360"/>
  <c r="J360"/>
  <c r="L360"/>
  <c r="T316" i="7"/>
  <c r="J288" i="1"/>
  <c r="J317" i="7"/>
  <c r="M317" s="1"/>
  <c r="Q317" s="1"/>
  <c r="N317" s="1"/>
  <c r="K317"/>
  <c r="L317"/>
  <c r="B318"/>
  <c r="K318" i="50"/>
  <c r="L318"/>
  <c r="B319"/>
  <c r="J318"/>
  <c r="B361" i="22"/>
  <c r="K360"/>
  <c r="J360"/>
  <c r="L360"/>
  <c r="B361" i="20"/>
  <c r="J360"/>
  <c r="K360"/>
  <c r="L360"/>
  <c r="O316" i="7"/>
  <c r="J319" i="50" l="1"/>
  <c r="K319"/>
  <c r="L319"/>
  <c r="B320"/>
  <c r="T317" i="7"/>
  <c r="J289" i="1"/>
  <c r="B319" i="7"/>
  <c r="J318"/>
  <c r="K318"/>
  <c r="L318"/>
  <c r="O317"/>
  <c r="B362" i="20"/>
  <c r="J361"/>
  <c r="K361"/>
  <c r="L361"/>
  <c r="J361" i="22"/>
  <c r="B362"/>
  <c r="K361"/>
  <c r="L361"/>
  <c r="K361" i="5"/>
  <c r="B362"/>
  <c r="J361"/>
  <c r="L361"/>
  <c r="B321" i="50" l="1"/>
  <c r="J320"/>
  <c r="K320"/>
  <c r="L320"/>
  <c r="K362" i="5"/>
  <c r="B363"/>
  <c r="J362"/>
  <c r="L362"/>
  <c r="B363" i="22"/>
  <c r="J362"/>
  <c r="K362"/>
  <c r="L362"/>
  <c r="B363" i="20"/>
  <c r="J362"/>
  <c r="K362"/>
  <c r="L362"/>
  <c r="M318" i="7"/>
  <c r="Q318" s="1"/>
  <c r="N318" s="1"/>
  <c r="L319"/>
  <c r="B320"/>
  <c r="J319"/>
  <c r="K319"/>
  <c r="O318" l="1"/>
  <c r="B364" i="22"/>
  <c r="J363"/>
  <c r="K363"/>
  <c r="L363"/>
  <c r="L321" i="50"/>
  <c r="B322"/>
  <c r="J321"/>
  <c r="K321"/>
  <c r="M319" i="7"/>
  <c r="Q319" s="1"/>
  <c r="N319" s="1"/>
  <c r="T318"/>
  <c r="J290" i="1"/>
  <c r="B364" i="20"/>
  <c r="K363"/>
  <c r="J363"/>
  <c r="L363"/>
  <c r="K320" i="7"/>
  <c r="L320"/>
  <c r="B321"/>
  <c r="J320"/>
  <c r="M320" s="1"/>
  <c r="Q320" s="1"/>
  <c r="N320" s="1"/>
  <c r="B364" i="5"/>
  <c r="K363"/>
  <c r="J363"/>
  <c r="L363"/>
  <c r="T319" i="7" l="1"/>
  <c r="J291" i="1"/>
  <c r="K364" i="22"/>
  <c r="J364"/>
  <c r="B365"/>
  <c r="L364"/>
  <c r="J364" i="20"/>
  <c r="K364"/>
  <c r="B365"/>
  <c r="L364"/>
  <c r="J292" i="1"/>
  <c r="T320" i="7"/>
  <c r="B365" i="5"/>
  <c r="K364"/>
  <c r="J364"/>
  <c r="L364"/>
  <c r="J321" i="7"/>
  <c r="K321"/>
  <c r="L321"/>
  <c r="B322"/>
  <c r="K322" i="50"/>
  <c r="L322"/>
  <c r="B323"/>
  <c r="J322"/>
  <c r="O319" i="7"/>
  <c r="O320" s="1"/>
  <c r="B366" i="22" l="1"/>
  <c r="J365"/>
  <c r="K365"/>
  <c r="L365"/>
  <c r="M321" i="7"/>
  <c r="Q321" s="1"/>
  <c r="N321" s="1"/>
  <c r="K365" i="5"/>
  <c r="B366"/>
  <c r="J365"/>
  <c r="L365"/>
  <c r="J323" i="50"/>
  <c r="K323"/>
  <c r="L323"/>
  <c r="B324"/>
  <c r="B323" i="7"/>
  <c r="J322"/>
  <c r="K322"/>
  <c r="L322"/>
  <c r="B366" i="20"/>
  <c r="K365"/>
  <c r="J365"/>
  <c r="L365"/>
  <c r="B325" i="50" l="1"/>
  <c r="J324"/>
  <c r="K324"/>
  <c r="L324"/>
  <c r="J293" i="1"/>
  <c r="T321" i="7"/>
  <c r="M322"/>
  <c r="Q322" s="1"/>
  <c r="N322" s="1"/>
  <c r="B367" i="22"/>
  <c r="J366"/>
  <c r="K366"/>
  <c r="L366"/>
  <c r="B367" i="20"/>
  <c r="J366"/>
  <c r="K366"/>
  <c r="L366"/>
  <c r="L323" i="7"/>
  <c r="B324"/>
  <c r="J323"/>
  <c r="K323"/>
  <c r="K366" i="5"/>
  <c r="B367"/>
  <c r="J366"/>
  <c r="L366"/>
  <c r="O321" i="7"/>
  <c r="O322" l="1"/>
  <c r="B368" i="5"/>
  <c r="K367"/>
  <c r="J367"/>
  <c r="L367"/>
  <c r="K324" i="7"/>
  <c r="L324"/>
  <c r="B325"/>
  <c r="J324"/>
  <c r="B368" i="20"/>
  <c r="K367"/>
  <c r="J367"/>
  <c r="L367"/>
  <c r="B368" i="22"/>
  <c r="J367"/>
  <c r="K367"/>
  <c r="L367"/>
  <c r="T322" i="7"/>
  <c r="J294" i="1"/>
  <c r="M323" i="7"/>
  <c r="Q323" s="1"/>
  <c r="N323" s="1"/>
  <c r="L325" i="50"/>
  <c r="B326"/>
  <c r="J325"/>
  <c r="K325"/>
  <c r="J325" i="7" l="1"/>
  <c r="M325" s="1"/>
  <c r="Q325" s="1"/>
  <c r="N325" s="1"/>
  <c r="K325"/>
  <c r="L325"/>
  <c r="B326"/>
  <c r="J295" i="1"/>
  <c r="T323" i="7"/>
  <c r="K326" i="50"/>
  <c r="L326"/>
  <c r="B327"/>
  <c r="J326"/>
  <c r="B369" i="5"/>
  <c r="K368"/>
  <c r="J368"/>
  <c r="L368"/>
  <c r="B369" i="22"/>
  <c r="J368"/>
  <c r="K368"/>
  <c r="L368"/>
  <c r="B369" i="20"/>
  <c r="J368"/>
  <c r="K368"/>
  <c r="L368"/>
  <c r="M324" i="7"/>
  <c r="Q324" s="1"/>
  <c r="N324" s="1"/>
  <c r="O323"/>
  <c r="O324" l="1"/>
  <c r="O325" s="1"/>
  <c r="T325"/>
  <c r="J297" i="1"/>
  <c r="J327" i="50"/>
  <c r="K327"/>
  <c r="L327"/>
  <c r="B328"/>
  <c r="B327" i="7"/>
  <c r="J326"/>
  <c r="K326"/>
  <c r="L326"/>
  <c r="T324"/>
  <c r="J296" i="1"/>
  <c r="B370" i="20"/>
  <c r="J369"/>
  <c r="K369"/>
  <c r="L369"/>
  <c r="K369" i="22"/>
  <c r="B370"/>
  <c r="J369"/>
  <c r="L369"/>
  <c r="K369" i="5"/>
  <c r="B370"/>
  <c r="J369"/>
  <c r="L369"/>
  <c r="B371" i="20" l="1"/>
  <c r="K370"/>
  <c r="J370"/>
  <c r="L370"/>
  <c r="B329" i="50"/>
  <c r="J328"/>
  <c r="K328"/>
  <c r="L328"/>
  <c r="M326" i="7"/>
  <c r="K370" i="5"/>
  <c r="B371"/>
  <c r="J370"/>
  <c r="L370"/>
  <c r="B371" i="22"/>
  <c r="J370"/>
  <c r="K370"/>
  <c r="L370"/>
  <c r="L327" i="7"/>
  <c r="B328"/>
  <c r="J327"/>
  <c r="M327" s="1"/>
  <c r="Q327" s="1"/>
  <c r="N327" s="1"/>
  <c r="K327"/>
  <c r="B372" i="5" l="1"/>
  <c r="K371"/>
  <c r="J371"/>
  <c r="L371"/>
  <c r="T327" i="7"/>
  <c r="J299" i="1"/>
  <c r="B372" i="22"/>
  <c r="K371"/>
  <c r="J371"/>
  <c r="L371"/>
  <c r="L329" i="50"/>
  <c r="B330"/>
  <c r="J329"/>
  <c r="K329"/>
  <c r="B372" i="20"/>
  <c r="J371"/>
  <c r="K371"/>
  <c r="L371"/>
  <c r="K328" i="7"/>
  <c r="L328"/>
  <c r="B329"/>
  <c r="J328"/>
  <c r="Q326"/>
  <c r="N326" s="1"/>
  <c r="O326"/>
  <c r="O327" s="1"/>
  <c r="J329" l="1"/>
  <c r="K329"/>
  <c r="L329"/>
  <c r="B330"/>
  <c r="K330" i="50"/>
  <c r="L330"/>
  <c r="B331"/>
  <c r="J330"/>
  <c r="T326" i="7"/>
  <c r="J298" i="1"/>
  <c r="B373" i="20"/>
  <c r="K372"/>
  <c r="J372"/>
  <c r="L372"/>
  <c r="J372" i="22"/>
  <c r="B373"/>
  <c r="K372"/>
  <c r="L372"/>
  <c r="M328" i="7"/>
  <c r="Q328" s="1"/>
  <c r="N328" s="1"/>
  <c r="B373" i="5"/>
  <c r="K372"/>
  <c r="J372"/>
  <c r="L372"/>
  <c r="J300" i="1" l="1"/>
  <c r="T328" i="7"/>
  <c r="B374" i="20"/>
  <c r="K373"/>
  <c r="J373"/>
  <c r="L373"/>
  <c r="J331" i="50"/>
  <c r="K331"/>
  <c r="L331"/>
  <c r="B332"/>
  <c r="O328" i="7"/>
  <c r="M329"/>
  <c r="Q329" s="1"/>
  <c r="N329" s="1"/>
  <c r="K373" i="5"/>
  <c r="B374"/>
  <c r="J373"/>
  <c r="L373"/>
  <c r="B374" i="22"/>
  <c r="J373"/>
  <c r="K373"/>
  <c r="L373"/>
  <c r="B331" i="7"/>
  <c r="J330"/>
  <c r="M330" s="1"/>
  <c r="Q330" s="1"/>
  <c r="N330" s="1"/>
  <c r="K330"/>
  <c r="L330"/>
  <c r="J302" i="1" l="1"/>
  <c r="T330" i="7"/>
  <c r="J301" i="1"/>
  <c r="T329" i="7"/>
  <c r="O329"/>
  <c r="O330" s="1"/>
  <c r="B375" i="20"/>
  <c r="K374"/>
  <c r="J374"/>
  <c r="L374"/>
  <c r="L331" i="7"/>
  <c r="B332"/>
  <c r="J331"/>
  <c r="M331" s="1"/>
  <c r="Q331" s="1"/>
  <c r="N331" s="1"/>
  <c r="K331"/>
  <c r="B333" i="50"/>
  <c r="J332"/>
  <c r="K332"/>
  <c r="L332"/>
  <c r="K374" i="5"/>
  <c r="B375"/>
  <c r="J374"/>
  <c r="L374"/>
  <c r="B375" i="22"/>
  <c r="J374"/>
  <c r="K374"/>
  <c r="L374"/>
  <c r="T331" i="7" l="1"/>
  <c r="J303" i="1"/>
  <c r="K332" i="7"/>
  <c r="L332"/>
  <c r="B333"/>
  <c r="J332"/>
  <c r="B376" i="22"/>
  <c r="J375"/>
  <c r="K375"/>
  <c r="L375"/>
  <c r="L333" i="50"/>
  <c r="B334"/>
  <c r="J333"/>
  <c r="K333"/>
  <c r="B376" i="20"/>
  <c r="J375"/>
  <c r="K375"/>
  <c r="L375"/>
  <c r="B376" i="5"/>
  <c r="K375"/>
  <c r="J375"/>
  <c r="L375"/>
  <c r="O331" i="7"/>
  <c r="J333" l="1"/>
  <c r="K333"/>
  <c r="L333"/>
  <c r="B334"/>
  <c r="K334" i="50"/>
  <c r="L334"/>
  <c r="B335"/>
  <c r="J334"/>
  <c r="J376" i="22"/>
  <c r="B377"/>
  <c r="K376"/>
  <c r="L376"/>
  <c r="O332" i="7"/>
  <c r="B377" i="5"/>
  <c r="K376"/>
  <c r="J376"/>
  <c r="L376"/>
  <c r="K376" i="20"/>
  <c r="B377"/>
  <c r="J376"/>
  <c r="L376"/>
  <c r="M332" i="7"/>
  <c r="Q332" s="1"/>
  <c r="N332" s="1"/>
  <c r="B335" l="1"/>
  <c r="J334"/>
  <c r="K334"/>
  <c r="L334"/>
  <c r="B378" i="20"/>
  <c r="J377"/>
  <c r="K377"/>
  <c r="L377"/>
  <c r="J335" i="50"/>
  <c r="K335"/>
  <c r="L335"/>
  <c r="B336"/>
  <c r="T332" i="7"/>
  <c r="J304" i="1"/>
  <c r="K377" i="5"/>
  <c r="B378"/>
  <c r="J377"/>
  <c r="L377"/>
  <c r="K377" i="22"/>
  <c r="B378"/>
  <c r="J377"/>
  <c r="L377"/>
  <c r="M333" i="7"/>
  <c r="Q333" s="1"/>
  <c r="N333" s="1"/>
  <c r="L335" l="1"/>
  <c r="B336"/>
  <c r="J335"/>
  <c r="M335" s="1"/>
  <c r="Q335" s="1"/>
  <c r="N335" s="1"/>
  <c r="K335"/>
  <c r="B379" i="22"/>
  <c r="J378"/>
  <c r="K378"/>
  <c r="L378"/>
  <c r="K378" i="5"/>
  <c r="B379"/>
  <c r="J378"/>
  <c r="L378"/>
  <c r="B379" i="20"/>
  <c r="K378"/>
  <c r="J378"/>
  <c r="L378"/>
  <c r="B337" i="50"/>
  <c r="J336"/>
  <c r="K336"/>
  <c r="L336"/>
  <c r="T333" i="7"/>
  <c r="J305" i="1"/>
  <c r="M334" i="7"/>
  <c r="Q334" s="1"/>
  <c r="N334" s="1"/>
  <c r="O333"/>
  <c r="O334" l="1"/>
  <c r="O335" s="1"/>
  <c r="L337" i="50"/>
  <c r="B338"/>
  <c r="J337"/>
  <c r="K337"/>
  <c r="B380" i="20"/>
  <c r="J379"/>
  <c r="K379"/>
  <c r="L379"/>
  <c r="B380" i="5"/>
  <c r="K379"/>
  <c r="J379"/>
  <c r="L379"/>
  <c r="K336" i="7"/>
  <c r="L336"/>
  <c r="B337"/>
  <c r="J336"/>
  <c r="T334"/>
  <c r="J306" i="1"/>
  <c r="B380" i="22"/>
  <c r="K379"/>
  <c r="J379"/>
  <c r="L379"/>
  <c r="T335" i="7"/>
  <c r="J307" i="1"/>
  <c r="K338" i="50" l="1"/>
  <c r="L338"/>
  <c r="B339"/>
  <c r="J338"/>
  <c r="J380" i="22"/>
  <c r="B381"/>
  <c r="K380"/>
  <c r="L380"/>
  <c r="M336" i="7"/>
  <c r="Q336" s="1"/>
  <c r="N336" s="1"/>
  <c r="B381" i="5"/>
  <c r="K380"/>
  <c r="J380"/>
  <c r="L380"/>
  <c r="K380" i="20"/>
  <c r="B381"/>
  <c r="J380"/>
  <c r="L380"/>
  <c r="J337" i="7"/>
  <c r="M337" s="1"/>
  <c r="Q337" s="1"/>
  <c r="N337" s="1"/>
  <c r="K337"/>
  <c r="L337"/>
  <c r="B338"/>
  <c r="J309" i="1" l="1"/>
  <c r="T337" i="7"/>
  <c r="B382" i="20"/>
  <c r="K381"/>
  <c r="J381"/>
  <c r="L381"/>
  <c r="B382" i="22"/>
  <c r="J381"/>
  <c r="K381"/>
  <c r="L381"/>
  <c r="B339" i="7"/>
  <c r="J338"/>
  <c r="K338"/>
  <c r="L338"/>
  <c r="K381" i="5"/>
  <c r="B382"/>
  <c r="J381"/>
  <c r="L381"/>
  <c r="T336" i="7"/>
  <c r="J308" i="1"/>
  <c r="O336" i="7"/>
  <c r="O337" s="1"/>
  <c r="J339" i="50"/>
  <c r="K339"/>
  <c r="L339"/>
  <c r="B340"/>
  <c r="L339" i="7" l="1"/>
  <c r="B340"/>
  <c r="J339"/>
  <c r="M339" s="1"/>
  <c r="Q339" s="1"/>
  <c r="N339" s="1"/>
  <c r="K339"/>
  <c r="B383" i="22"/>
  <c r="J382"/>
  <c r="K382"/>
  <c r="L382"/>
  <c r="B383" i="20"/>
  <c r="K382"/>
  <c r="J382"/>
  <c r="L382"/>
  <c r="B341" i="50"/>
  <c r="J340"/>
  <c r="K340"/>
  <c r="L340"/>
  <c r="K382" i="5"/>
  <c r="B383"/>
  <c r="J382"/>
  <c r="L382"/>
  <c r="M338" i="7"/>
  <c r="Q338" s="1"/>
  <c r="N338" s="1"/>
  <c r="J311" i="1" l="1"/>
  <c r="T339" i="7"/>
  <c r="B384" i="5"/>
  <c r="K383"/>
  <c r="J383"/>
  <c r="L383"/>
  <c r="K340" i="7"/>
  <c r="L340"/>
  <c r="B341"/>
  <c r="J340"/>
  <c r="M340" s="1"/>
  <c r="Q340" s="1"/>
  <c r="N340" s="1"/>
  <c r="B384" i="20"/>
  <c r="J383"/>
  <c r="K383"/>
  <c r="L383"/>
  <c r="B384" i="22"/>
  <c r="J383"/>
  <c r="K383"/>
  <c r="L383"/>
  <c r="J310" i="1"/>
  <c r="T338" i="7"/>
  <c r="O338"/>
  <c r="O339" s="1"/>
  <c r="L341" i="50"/>
  <c r="B342"/>
  <c r="J341"/>
  <c r="K341"/>
  <c r="O340" i="7" l="1"/>
  <c r="T340"/>
  <c r="J312" i="1"/>
  <c r="B385" i="5"/>
  <c r="K384"/>
  <c r="J384"/>
  <c r="L384"/>
  <c r="K342" i="50"/>
  <c r="L342"/>
  <c r="B343"/>
  <c r="J342"/>
  <c r="J384" i="22"/>
  <c r="B385"/>
  <c r="K384"/>
  <c r="L384"/>
  <c r="B385" i="20"/>
  <c r="K384"/>
  <c r="J384"/>
  <c r="L384"/>
  <c r="J341" i="7"/>
  <c r="K341"/>
  <c r="L341"/>
  <c r="B342"/>
  <c r="J343" i="50" l="1"/>
  <c r="K343"/>
  <c r="L343"/>
  <c r="B344"/>
  <c r="K385" i="22"/>
  <c r="B386"/>
  <c r="J385"/>
  <c r="L385"/>
  <c r="M341" i="7"/>
  <c r="B386" i="20"/>
  <c r="J385"/>
  <c r="K385"/>
  <c r="L385"/>
  <c r="K385" i="5"/>
  <c r="B386"/>
  <c r="J385"/>
  <c r="L385"/>
  <c r="B343" i="7"/>
  <c r="J342"/>
  <c r="M342" s="1"/>
  <c r="Q342" s="1"/>
  <c r="N342" s="1"/>
  <c r="K342"/>
  <c r="L342"/>
  <c r="J314" i="1" l="1"/>
  <c r="T342" i="7"/>
  <c r="Q341"/>
  <c r="N341" s="1"/>
  <c r="O341"/>
  <c r="O342" s="1"/>
  <c r="L343"/>
  <c r="B344"/>
  <c r="J343"/>
  <c r="M343" s="1"/>
  <c r="Q343" s="1"/>
  <c r="N343" s="1"/>
  <c r="K343"/>
  <c r="K386" i="5"/>
  <c r="B387"/>
  <c r="J386"/>
  <c r="L386"/>
  <c r="B345" i="50"/>
  <c r="J344"/>
  <c r="K344"/>
  <c r="L344"/>
  <c r="B387" i="20"/>
  <c r="K386"/>
  <c r="J386"/>
  <c r="L386"/>
  <c r="B387" i="22"/>
  <c r="J386"/>
  <c r="K386"/>
  <c r="L386"/>
  <c r="B388" l="1"/>
  <c r="K387"/>
  <c r="J387"/>
  <c r="L387"/>
  <c r="B388" i="20"/>
  <c r="J387"/>
  <c r="K387"/>
  <c r="L387"/>
  <c r="J315" i="1"/>
  <c r="T343" i="7"/>
  <c r="O343"/>
  <c r="B388" i="5"/>
  <c r="J387"/>
  <c r="K387"/>
  <c r="L387"/>
  <c r="K344" i="7"/>
  <c r="L344"/>
  <c r="B345"/>
  <c r="J344"/>
  <c r="T341"/>
  <c r="J313" i="1"/>
  <c r="L345" i="50"/>
  <c r="B346"/>
  <c r="J345"/>
  <c r="K345"/>
  <c r="J345" i="7" l="1"/>
  <c r="M345" s="1"/>
  <c r="Q345" s="1"/>
  <c r="N345" s="1"/>
  <c r="K345"/>
  <c r="L345"/>
  <c r="B346"/>
  <c r="B389" i="5"/>
  <c r="J388"/>
  <c r="K388"/>
  <c r="L388"/>
  <c r="K346" i="50"/>
  <c r="L346"/>
  <c r="B347"/>
  <c r="J346"/>
  <c r="M344" i="7"/>
  <c r="Q344" s="1"/>
  <c r="N344" s="1"/>
  <c r="B389" i="20"/>
  <c r="K388"/>
  <c r="J388"/>
  <c r="L388"/>
  <c r="J388" i="22"/>
  <c r="B389"/>
  <c r="K388"/>
  <c r="L388"/>
  <c r="O344" i="7" l="1"/>
  <c r="O345" s="1"/>
  <c r="B390" i="20"/>
  <c r="K389"/>
  <c r="J389"/>
  <c r="L389"/>
  <c r="B390" i="5"/>
  <c r="J389"/>
  <c r="K389"/>
  <c r="L389"/>
  <c r="T345" i="7"/>
  <c r="J317" i="1"/>
  <c r="J316"/>
  <c r="T344" i="7"/>
  <c r="B347"/>
  <c r="J346"/>
  <c r="M346" s="1"/>
  <c r="Q346" s="1"/>
  <c r="N346" s="1"/>
  <c r="K346"/>
  <c r="L346"/>
  <c r="B390" i="22"/>
  <c r="J389"/>
  <c r="K389"/>
  <c r="L389"/>
  <c r="J347" i="50"/>
  <c r="K347"/>
  <c r="L347"/>
  <c r="B348"/>
  <c r="B391" i="22" l="1"/>
  <c r="J390"/>
  <c r="K390"/>
  <c r="L390"/>
  <c r="O346" i="7"/>
  <c r="B391" i="20"/>
  <c r="K390"/>
  <c r="J390"/>
  <c r="L390"/>
  <c r="B349" i="50"/>
  <c r="J348"/>
  <c r="K348"/>
  <c r="L348"/>
  <c r="T346" i="7"/>
  <c r="J318" i="1"/>
  <c r="L347" i="7"/>
  <c r="B348"/>
  <c r="J347"/>
  <c r="K347"/>
  <c r="B391" i="5"/>
  <c r="J390"/>
  <c r="K390"/>
  <c r="L390"/>
  <c r="M347" i="7" l="1"/>
  <c r="Q347" s="1"/>
  <c r="N347" s="1"/>
  <c r="L349" i="50"/>
  <c r="B350"/>
  <c r="J349"/>
  <c r="K349"/>
  <c r="B392" i="20"/>
  <c r="J391"/>
  <c r="K391"/>
  <c r="L391"/>
  <c r="B392" i="5"/>
  <c r="J391"/>
  <c r="K391"/>
  <c r="L391"/>
  <c r="K348" i="7"/>
  <c r="L348"/>
  <c r="B349"/>
  <c r="J348"/>
  <c r="B392" i="22"/>
  <c r="J391"/>
  <c r="K391"/>
  <c r="L391"/>
  <c r="O347" i="7" l="1"/>
  <c r="O348" s="1"/>
  <c r="J392" i="22"/>
  <c r="B393"/>
  <c r="K392"/>
  <c r="L392"/>
  <c r="T347" i="7"/>
  <c r="J319" i="1"/>
  <c r="B393" i="5"/>
  <c r="J392"/>
  <c r="K392"/>
  <c r="L392"/>
  <c r="K350" i="50"/>
  <c r="L350"/>
  <c r="B351"/>
  <c r="J350"/>
  <c r="M348" i="7"/>
  <c r="Q348" s="1"/>
  <c r="N348" s="1"/>
  <c r="K392" i="20"/>
  <c r="B393"/>
  <c r="J392"/>
  <c r="L392"/>
  <c r="J349" i="7"/>
  <c r="K349"/>
  <c r="L349"/>
  <c r="B350"/>
  <c r="B394" i="5" l="1"/>
  <c r="J393"/>
  <c r="K393"/>
  <c r="L393"/>
  <c r="J351" i="50"/>
  <c r="K351"/>
  <c r="L351"/>
  <c r="B352"/>
  <c r="O349" i="7"/>
  <c r="M349"/>
  <c r="Q349" s="1"/>
  <c r="N349" s="1"/>
  <c r="B394" i="20"/>
  <c r="J393"/>
  <c r="K393"/>
  <c r="L393"/>
  <c r="K393" i="22"/>
  <c r="B394"/>
  <c r="J393"/>
  <c r="L393"/>
  <c r="B351" i="7"/>
  <c r="J350"/>
  <c r="M350" s="1"/>
  <c r="Q350" s="1"/>
  <c r="N350" s="1"/>
  <c r="K350"/>
  <c r="L350"/>
  <c r="J320" i="1"/>
  <c r="T348" i="7"/>
  <c r="T350" l="1"/>
  <c r="J322" i="1"/>
  <c r="B395" i="22"/>
  <c r="J394"/>
  <c r="K394"/>
  <c r="L394"/>
  <c r="O350" i="7"/>
  <c r="B395" i="5"/>
  <c r="J394"/>
  <c r="K394"/>
  <c r="L394"/>
  <c r="L351" i="7"/>
  <c r="B352"/>
  <c r="J351"/>
  <c r="K351"/>
  <c r="B395" i="20"/>
  <c r="K394"/>
  <c r="J394"/>
  <c r="L394"/>
  <c r="B353" i="50"/>
  <c r="J352"/>
  <c r="K352"/>
  <c r="L352"/>
  <c r="T349" i="7"/>
  <c r="J321" i="1"/>
  <c r="L353" i="50" l="1"/>
  <c r="B354"/>
  <c r="J353"/>
  <c r="K353"/>
  <c r="B396" i="5"/>
  <c r="J395"/>
  <c r="K395"/>
  <c r="L395"/>
  <c r="K352" i="7"/>
  <c r="L352"/>
  <c r="B353"/>
  <c r="J352"/>
  <c r="M352" s="1"/>
  <c r="Q352" s="1"/>
  <c r="N352" s="1"/>
  <c r="B396" i="22"/>
  <c r="K395"/>
  <c r="J395"/>
  <c r="L395"/>
  <c r="B396" i="20"/>
  <c r="J395"/>
  <c r="K395"/>
  <c r="L395"/>
  <c r="M351" i="7"/>
  <c r="Q351" s="1"/>
  <c r="N351" s="1"/>
  <c r="O351" l="1"/>
  <c r="O352" s="1"/>
  <c r="T352"/>
  <c r="J324" i="1"/>
  <c r="J353" i="7"/>
  <c r="K353"/>
  <c r="L353"/>
  <c r="B354"/>
  <c r="J323" i="1"/>
  <c r="T351" i="7"/>
  <c r="K396" i="20"/>
  <c r="B397"/>
  <c r="J396"/>
  <c r="L396"/>
  <c r="J396" i="22"/>
  <c r="B397"/>
  <c r="K396"/>
  <c r="L396"/>
  <c r="K354" i="50"/>
  <c r="L354"/>
  <c r="B355"/>
  <c r="J354"/>
  <c r="B397" i="5"/>
  <c r="J396"/>
  <c r="K396"/>
  <c r="L396"/>
  <c r="B398" l="1"/>
  <c r="J397"/>
  <c r="K397"/>
  <c r="L397"/>
  <c r="J355" i="50"/>
  <c r="K355"/>
  <c r="L355"/>
  <c r="B356"/>
  <c r="M353" i="7"/>
  <c r="Q353" s="1"/>
  <c r="N353" s="1"/>
  <c r="B398" i="22"/>
  <c r="J397"/>
  <c r="K397"/>
  <c r="L397"/>
  <c r="B398" i="20"/>
  <c r="K397"/>
  <c r="J397"/>
  <c r="L397"/>
  <c r="B355" i="7"/>
  <c r="J354"/>
  <c r="K354"/>
  <c r="L354"/>
  <c r="O353" l="1"/>
  <c r="L355"/>
  <c r="B356"/>
  <c r="J355"/>
  <c r="K355"/>
  <c r="B399" i="20"/>
  <c r="K398"/>
  <c r="J398"/>
  <c r="L398"/>
  <c r="B399" i="22"/>
  <c r="J398"/>
  <c r="K398"/>
  <c r="L398"/>
  <c r="J325" i="1"/>
  <c r="T353" i="7"/>
  <c r="M354"/>
  <c r="Q354" s="1"/>
  <c r="N354" s="1"/>
  <c r="B357" i="50"/>
  <c r="J356"/>
  <c r="K356"/>
  <c r="L356"/>
  <c r="B399" i="5"/>
  <c r="J398"/>
  <c r="K398"/>
  <c r="L398"/>
  <c r="J326" i="1" l="1"/>
  <c r="T354" i="7"/>
  <c r="M355"/>
  <c r="Q355" s="1"/>
  <c r="N355" s="1"/>
  <c r="B400" i="5"/>
  <c r="J399"/>
  <c r="K399"/>
  <c r="L399"/>
  <c r="O354" i="7"/>
  <c r="K356"/>
  <c r="L356"/>
  <c r="B357"/>
  <c r="J356"/>
  <c r="L357" i="50"/>
  <c r="B358"/>
  <c r="J357"/>
  <c r="K357"/>
  <c r="B400" i="22"/>
  <c r="J399"/>
  <c r="K399"/>
  <c r="L399"/>
  <c r="B400" i="20"/>
  <c r="J399"/>
  <c r="K399"/>
  <c r="L399"/>
  <c r="O355" i="7" l="1"/>
  <c r="O356" s="1"/>
  <c r="O357" s="1"/>
  <c r="M356"/>
  <c r="Q356" s="1"/>
  <c r="N356" s="1"/>
  <c r="B401" i="20"/>
  <c r="K400"/>
  <c r="J400"/>
  <c r="L400"/>
  <c r="J400" i="22"/>
  <c r="B401"/>
  <c r="K400"/>
  <c r="L400"/>
  <c r="K358" i="50"/>
  <c r="L358"/>
  <c r="B359"/>
  <c r="J358"/>
  <c r="J357" i="7"/>
  <c r="M357" s="1"/>
  <c r="Q357" s="1"/>
  <c r="N357" s="1"/>
  <c r="K357"/>
  <c r="L357"/>
  <c r="B358"/>
  <c r="B401" i="5"/>
  <c r="J400"/>
  <c r="K400"/>
  <c r="L400"/>
  <c r="J327" i="1"/>
  <c r="T355" i="7"/>
  <c r="T356" l="1"/>
  <c r="J328" i="1"/>
  <c r="B359" i="7"/>
  <c r="J358"/>
  <c r="K358"/>
  <c r="L358"/>
  <c r="J359" i="50"/>
  <c r="K359"/>
  <c r="L359"/>
  <c r="B360"/>
  <c r="T357" i="7"/>
  <c r="J329" i="1"/>
  <c r="B402" i="20"/>
  <c r="J401"/>
  <c r="K401"/>
  <c r="L401"/>
  <c r="B402" i="5"/>
  <c r="J401"/>
  <c r="K401"/>
  <c r="L401"/>
  <c r="B402" i="22"/>
  <c r="J401"/>
  <c r="K401"/>
  <c r="L401"/>
  <c r="B403" l="1"/>
  <c r="J402"/>
  <c r="K402"/>
  <c r="L402"/>
  <c r="B403" i="5"/>
  <c r="K402"/>
  <c r="L402"/>
  <c r="J402"/>
  <c r="B403" i="20"/>
  <c r="K402"/>
  <c r="J402"/>
  <c r="L402"/>
  <c r="B361" i="50"/>
  <c r="J360"/>
  <c r="K360"/>
  <c r="L360"/>
  <c r="M358" i="7"/>
  <c r="L359"/>
  <c r="B360"/>
  <c r="J359"/>
  <c r="M359" s="1"/>
  <c r="Q359" s="1"/>
  <c r="N359" s="1"/>
  <c r="K359"/>
  <c r="L361" i="50" l="1"/>
  <c r="B362"/>
  <c r="J361"/>
  <c r="K361"/>
  <c r="K360" i="7"/>
  <c r="L360"/>
  <c r="B361"/>
  <c r="J360"/>
  <c r="T359"/>
  <c r="J331" i="1"/>
  <c r="Q358" i="7"/>
  <c r="N358" s="1"/>
  <c r="O358"/>
  <c r="O359" s="1"/>
  <c r="B404" i="20"/>
  <c r="J403"/>
  <c r="K403"/>
  <c r="L403"/>
  <c r="B404" i="5"/>
  <c r="K403"/>
  <c r="L403"/>
  <c r="J403"/>
  <c r="B404" i="22"/>
  <c r="J403"/>
  <c r="K403"/>
  <c r="L403"/>
  <c r="T358" i="7" l="1"/>
  <c r="J330" i="1"/>
  <c r="J361" i="7"/>
  <c r="K361"/>
  <c r="L361"/>
  <c r="B362"/>
  <c r="J404" i="22"/>
  <c r="K404"/>
  <c r="B405"/>
  <c r="L404"/>
  <c r="B405" i="5"/>
  <c r="K404"/>
  <c r="L404"/>
  <c r="J404"/>
  <c r="B405" i="20"/>
  <c r="K404"/>
  <c r="J404"/>
  <c r="L404"/>
  <c r="K362" i="50"/>
  <c r="L362"/>
  <c r="B363"/>
  <c r="J362"/>
  <c r="M360" i="7"/>
  <c r="Q360" s="1"/>
  <c r="N360" s="1"/>
  <c r="B406" i="20" l="1"/>
  <c r="J405"/>
  <c r="K405"/>
  <c r="L405"/>
  <c r="B406" i="5"/>
  <c r="K405"/>
  <c r="L405"/>
  <c r="J405"/>
  <c r="M361" i="7"/>
  <c r="Q361" s="1"/>
  <c r="N361" s="1"/>
  <c r="J363" i="50"/>
  <c r="K363"/>
  <c r="L363"/>
  <c r="B364"/>
  <c r="J332" i="1"/>
  <c r="T360" i="7"/>
  <c r="B363"/>
  <c r="J362"/>
  <c r="K362"/>
  <c r="L362"/>
  <c r="O360"/>
  <c r="B406" i="22"/>
  <c r="J405"/>
  <c r="K405"/>
  <c r="L405"/>
  <c r="O361" i="7" l="1"/>
  <c r="M362"/>
  <c r="Q362" s="1"/>
  <c r="N362" s="1"/>
  <c r="B365" i="50"/>
  <c r="J364"/>
  <c r="K364"/>
  <c r="L364"/>
  <c r="T361" i="7"/>
  <c r="J333" i="1"/>
  <c r="L363" i="7"/>
  <c r="B364"/>
  <c r="J363"/>
  <c r="M363" s="1"/>
  <c r="Q363" s="1"/>
  <c r="N363" s="1"/>
  <c r="K363"/>
  <c r="B407" i="5"/>
  <c r="K406"/>
  <c r="L406"/>
  <c r="J406"/>
  <c r="B407" i="20"/>
  <c r="K406"/>
  <c r="J406"/>
  <c r="L406"/>
  <c r="B407" i="22"/>
  <c r="J406"/>
  <c r="K406"/>
  <c r="L406"/>
  <c r="O362" i="7" l="1"/>
  <c r="O363" s="1"/>
  <c r="O364" s="1"/>
  <c r="K364"/>
  <c r="L364"/>
  <c r="B365"/>
  <c r="J364"/>
  <c r="M364" s="1"/>
  <c r="Q364" s="1"/>
  <c r="N364" s="1"/>
  <c r="B408" i="22"/>
  <c r="J407"/>
  <c r="K407"/>
  <c r="L407"/>
  <c r="B408" i="20"/>
  <c r="J407"/>
  <c r="K407"/>
  <c r="L407"/>
  <c r="B408" i="5"/>
  <c r="K407"/>
  <c r="L407"/>
  <c r="J407"/>
  <c r="L365" i="50"/>
  <c r="B366"/>
  <c r="J365"/>
  <c r="K365"/>
  <c r="J335" i="1"/>
  <c r="T363" i="7"/>
  <c r="T362"/>
  <c r="J334" i="1"/>
  <c r="O365" i="7" l="1"/>
  <c r="B409" i="5"/>
  <c r="K408"/>
  <c r="L408"/>
  <c r="J408"/>
  <c r="K408" i="20"/>
  <c r="B409"/>
  <c r="J408"/>
  <c r="L408"/>
  <c r="J408" i="22"/>
  <c r="B409"/>
  <c r="K408"/>
  <c r="L408"/>
  <c r="J365" i="7"/>
  <c r="M365" s="1"/>
  <c r="Q365" s="1"/>
  <c r="N365" s="1"/>
  <c r="K365"/>
  <c r="L365"/>
  <c r="B366"/>
  <c r="K366" i="50"/>
  <c r="L366"/>
  <c r="B367"/>
  <c r="J366"/>
  <c r="T364" i="7"/>
  <c r="J336" i="1"/>
  <c r="J367" i="50" l="1"/>
  <c r="K367"/>
  <c r="L367"/>
  <c r="B368"/>
  <c r="B410" i="22"/>
  <c r="K409"/>
  <c r="L409"/>
  <c r="J409"/>
  <c r="B410" i="20"/>
  <c r="J409"/>
  <c r="K409"/>
  <c r="L409"/>
  <c r="B367" i="7"/>
  <c r="J366"/>
  <c r="K366"/>
  <c r="L366"/>
  <c r="T365"/>
  <c r="J337" i="1"/>
  <c r="B410" i="5"/>
  <c r="K409"/>
  <c r="L409"/>
  <c r="J409"/>
  <c r="B369" i="50" l="1"/>
  <c r="J368"/>
  <c r="K368"/>
  <c r="L368"/>
  <c r="B411" i="5"/>
  <c r="K410"/>
  <c r="L410"/>
  <c r="J410"/>
  <c r="M366" i="7"/>
  <c r="L367"/>
  <c r="B368"/>
  <c r="J367"/>
  <c r="M367" s="1"/>
  <c r="Q367" s="1"/>
  <c r="N367" s="1"/>
  <c r="K367"/>
  <c r="B411" i="20"/>
  <c r="J410"/>
  <c r="K410"/>
  <c r="L410"/>
  <c r="B411" i="22"/>
  <c r="K410"/>
  <c r="L410"/>
  <c r="J410"/>
  <c r="J339" i="1" l="1"/>
  <c r="T367" i="7"/>
  <c r="B412" i="22"/>
  <c r="K411"/>
  <c r="L411"/>
  <c r="J411"/>
  <c r="B412" i="20"/>
  <c r="J411"/>
  <c r="K411"/>
  <c r="L411"/>
  <c r="K368" i="7"/>
  <c r="L368"/>
  <c r="B369"/>
  <c r="J368"/>
  <c r="Q366"/>
  <c r="N366" s="1"/>
  <c r="O366"/>
  <c r="O367" s="1"/>
  <c r="B412" i="5"/>
  <c r="K411"/>
  <c r="L411"/>
  <c r="J411"/>
  <c r="L369" i="50"/>
  <c r="B370"/>
  <c r="J369"/>
  <c r="K369"/>
  <c r="K370" l="1"/>
  <c r="L370"/>
  <c r="B371"/>
  <c r="J370"/>
  <c r="B413" i="5"/>
  <c r="K412"/>
  <c r="L412"/>
  <c r="J412"/>
  <c r="J369" i="7"/>
  <c r="K369"/>
  <c r="L369"/>
  <c r="B370"/>
  <c r="B413" i="20"/>
  <c r="J412"/>
  <c r="K412"/>
  <c r="L412"/>
  <c r="B413" i="22"/>
  <c r="K412"/>
  <c r="L412"/>
  <c r="J412"/>
  <c r="T366" i="7"/>
  <c r="J338" i="1"/>
  <c r="M368" i="7"/>
  <c r="Q368" s="1"/>
  <c r="N368" s="1"/>
  <c r="J371" i="50" l="1"/>
  <c r="K371"/>
  <c r="L371"/>
  <c r="B372"/>
  <c r="B414" i="22"/>
  <c r="K413"/>
  <c r="L413"/>
  <c r="J413"/>
  <c r="B414" i="20"/>
  <c r="J413"/>
  <c r="K413"/>
  <c r="L413"/>
  <c r="M369" i="7"/>
  <c r="Q369" s="1"/>
  <c r="N369" s="1"/>
  <c r="T368"/>
  <c r="J340" i="1"/>
  <c r="B371" i="7"/>
  <c r="J370"/>
  <c r="K370"/>
  <c r="L370"/>
  <c r="O368"/>
  <c r="O369" s="1"/>
  <c r="B414" i="5"/>
  <c r="K413"/>
  <c r="L413"/>
  <c r="J413"/>
  <c r="L371" i="7" l="1"/>
  <c r="B372"/>
  <c r="J371"/>
  <c r="M371" s="1"/>
  <c r="Q371" s="1"/>
  <c r="N371" s="1"/>
  <c r="K371"/>
  <c r="T369"/>
  <c r="J341" i="1"/>
  <c r="J414" i="20"/>
  <c r="K414"/>
  <c r="B415"/>
  <c r="L414"/>
  <c r="J414" i="22"/>
  <c r="B415"/>
  <c r="K414"/>
  <c r="L414"/>
  <c r="J414" i="5"/>
  <c r="K414"/>
  <c r="L414"/>
  <c r="B415"/>
  <c r="M370" i="7"/>
  <c r="Q370" s="1"/>
  <c r="N370" s="1"/>
  <c r="B373" i="50"/>
  <c r="J372"/>
  <c r="K372"/>
  <c r="L372"/>
  <c r="T371" i="7" l="1"/>
  <c r="J343" i="1"/>
  <c r="T370" i="7"/>
  <c r="J342" i="1"/>
  <c r="J415" i="20"/>
  <c r="K415"/>
  <c r="B416"/>
  <c r="K372" i="7"/>
  <c r="L372"/>
  <c r="B373"/>
  <c r="J372"/>
  <c r="J415" i="5"/>
  <c r="K415"/>
  <c r="B416"/>
  <c r="K415" i="22"/>
  <c r="J415"/>
  <c r="B416"/>
  <c r="L373" i="50"/>
  <c r="B374"/>
  <c r="J373"/>
  <c r="K373"/>
  <c r="O370" i="7"/>
  <c r="O371" s="1"/>
  <c r="M372" l="1"/>
  <c r="Q372" s="1"/>
  <c r="N372" s="1"/>
  <c r="K416" i="20"/>
  <c r="B417"/>
  <c r="J416"/>
  <c r="J416" i="5"/>
  <c r="K416"/>
  <c r="B417"/>
  <c r="J373" i="7"/>
  <c r="M373" s="1"/>
  <c r="Q373" s="1"/>
  <c r="N373" s="1"/>
  <c r="K373"/>
  <c r="L373"/>
  <c r="B374"/>
  <c r="K374" i="50"/>
  <c r="L374"/>
  <c r="B375"/>
  <c r="J374"/>
  <c r="J416" i="22"/>
  <c r="K416"/>
  <c r="B417"/>
  <c r="O372" i="7" l="1"/>
  <c r="O373" s="1"/>
  <c r="J375" i="50"/>
  <c r="K375"/>
  <c r="L375"/>
  <c r="B376"/>
  <c r="K417" i="20"/>
  <c r="B418"/>
  <c r="J417"/>
  <c r="J417" i="22"/>
  <c r="K417"/>
  <c r="B418"/>
  <c r="T373" i="7"/>
  <c r="J345" i="1"/>
  <c r="T372" i="7"/>
  <c r="J344" i="1"/>
  <c r="B375" i="7"/>
  <c r="J374"/>
  <c r="M374" s="1"/>
  <c r="Q374" s="1"/>
  <c r="N374" s="1"/>
  <c r="K374"/>
  <c r="L374"/>
  <c r="J417" i="5"/>
  <c r="K417"/>
  <c r="B418"/>
  <c r="T374" i="7" l="1"/>
  <c r="J346" i="1"/>
  <c r="K418" i="20"/>
  <c r="B419"/>
  <c r="J418"/>
  <c r="L375" i="7"/>
  <c r="B376"/>
  <c r="J375"/>
  <c r="K375"/>
  <c r="O374"/>
  <c r="J418" i="22"/>
  <c r="K418"/>
  <c r="B419"/>
  <c r="B377" i="50"/>
  <c r="J376"/>
  <c r="K376"/>
  <c r="L376"/>
  <c r="J418" i="5"/>
  <c r="K418"/>
  <c r="B419"/>
  <c r="K419" i="20" l="1"/>
  <c r="B420"/>
  <c r="J419"/>
  <c r="L377" i="50"/>
  <c r="B378"/>
  <c r="J377"/>
  <c r="K377"/>
  <c r="J419" i="22"/>
  <c r="K419"/>
  <c r="B420"/>
  <c r="M375" i="7"/>
  <c r="Q375" s="1"/>
  <c r="N375" s="1"/>
  <c r="J419" i="5"/>
  <c r="K419"/>
  <c r="B420"/>
  <c r="K376" i="7"/>
  <c r="L376"/>
  <c r="B377"/>
  <c r="J376"/>
  <c r="O375" l="1"/>
  <c r="J420" i="22"/>
  <c r="K420"/>
  <c r="B421"/>
  <c r="M376" i="7"/>
  <c r="Q376" s="1"/>
  <c r="N376" s="1"/>
  <c r="J420" i="5"/>
  <c r="K420"/>
  <c r="B421"/>
  <c r="J377" i="7"/>
  <c r="K377"/>
  <c r="L377"/>
  <c r="B378"/>
  <c r="T375"/>
  <c r="J347" i="1"/>
  <c r="K378" i="50"/>
  <c r="L378"/>
  <c r="B379"/>
  <c r="J378"/>
  <c r="K420" i="20"/>
  <c r="B421"/>
  <c r="J420"/>
  <c r="K421" l="1"/>
  <c r="B422"/>
  <c r="J421"/>
  <c r="J421" i="5"/>
  <c r="K421"/>
  <c r="B422"/>
  <c r="M377" i="7"/>
  <c r="Q377" s="1"/>
  <c r="N377" s="1"/>
  <c r="J421" i="22"/>
  <c r="K421"/>
  <c r="B422"/>
  <c r="B379" i="7"/>
  <c r="J378"/>
  <c r="M378" s="1"/>
  <c r="Q378" s="1"/>
  <c r="N378" s="1"/>
  <c r="K378"/>
  <c r="L378"/>
  <c r="O376"/>
  <c r="O377" s="1"/>
  <c r="J379" i="50"/>
  <c r="K379"/>
  <c r="L379"/>
  <c r="B380"/>
  <c r="T376" i="7"/>
  <c r="J348" i="1"/>
  <c r="O378" i="7" l="1"/>
  <c r="L379"/>
  <c r="B380"/>
  <c r="J379"/>
  <c r="K379"/>
  <c r="B381" i="50"/>
  <c r="J380"/>
  <c r="K380"/>
  <c r="L380"/>
  <c r="J422" i="22"/>
  <c r="K422"/>
  <c r="B423"/>
  <c r="J422" i="5"/>
  <c r="K422"/>
  <c r="B423"/>
  <c r="K422" i="20"/>
  <c r="B423"/>
  <c r="J422"/>
  <c r="J350" i="1"/>
  <c r="T378" i="7"/>
  <c r="T377"/>
  <c r="J349" i="1"/>
  <c r="K423" i="20" l="1"/>
  <c r="B424"/>
  <c r="J423"/>
  <c r="J423" i="22"/>
  <c r="K423"/>
  <c r="B424"/>
  <c r="J423" i="5"/>
  <c r="K423"/>
  <c r="B424"/>
  <c r="M379" i="7"/>
  <c r="L381" i="50"/>
  <c r="B382"/>
  <c r="J381"/>
  <c r="K381"/>
  <c r="K380" i="7"/>
  <c r="L380"/>
  <c r="B381"/>
  <c r="J380"/>
  <c r="M380" s="1"/>
  <c r="Q380" s="1"/>
  <c r="N380" s="1"/>
  <c r="K382" i="50" l="1"/>
  <c r="L382"/>
  <c r="B383"/>
  <c r="J382"/>
  <c r="Q379" i="7"/>
  <c r="N379" s="1"/>
  <c r="O379"/>
  <c r="O380" s="1"/>
  <c r="J352" i="1"/>
  <c r="T380" i="7"/>
  <c r="J424" i="5"/>
  <c r="K424"/>
  <c r="B425"/>
  <c r="J381" i="7"/>
  <c r="K381"/>
  <c r="L381"/>
  <c r="B382"/>
  <c r="J424" i="22"/>
  <c r="K424"/>
  <c r="B425"/>
  <c r="K424" i="20"/>
  <c r="B425"/>
  <c r="J424"/>
  <c r="J425" i="22" l="1"/>
  <c r="K425"/>
  <c r="B426"/>
  <c r="J425" i="5"/>
  <c r="K425"/>
  <c r="B426"/>
  <c r="J383" i="50"/>
  <c r="K383"/>
  <c r="L383"/>
  <c r="B384"/>
  <c r="K425" i="20"/>
  <c r="B426"/>
  <c r="J425"/>
  <c r="M381" i="7"/>
  <c r="Q381" s="1"/>
  <c r="N381" s="1"/>
  <c r="B383"/>
  <c r="J382"/>
  <c r="M382" s="1"/>
  <c r="Q382" s="1"/>
  <c r="N382" s="1"/>
  <c r="K382"/>
  <c r="L382"/>
  <c r="T379"/>
  <c r="J351" i="1"/>
  <c r="O381" i="7" l="1"/>
  <c r="O382" s="1"/>
  <c r="J353" i="1"/>
  <c r="T381" i="7"/>
  <c r="J426" i="22"/>
  <c r="K426"/>
  <c r="B427"/>
  <c r="T382" i="7"/>
  <c r="J354" i="1"/>
  <c r="B385" i="50"/>
  <c r="J384"/>
  <c r="K384"/>
  <c r="L384"/>
  <c r="L383" i="7"/>
  <c r="B384"/>
  <c r="J383"/>
  <c r="K383"/>
  <c r="K426" i="20"/>
  <c r="B427"/>
  <c r="J426"/>
  <c r="J426" i="5"/>
  <c r="K426"/>
  <c r="B427"/>
  <c r="K384" i="7" l="1"/>
  <c r="L384"/>
  <c r="B385"/>
  <c r="J384"/>
  <c r="J427" i="22"/>
  <c r="K427"/>
  <c r="B428"/>
  <c r="L385" i="50"/>
  <c r="B386"/>
  <c r="J385"/>
  <c r="K385"/>
  <c r="J427" i="5"/>
  <c r="K427"/>
  <c r="B428"/>
  <c r="K427" i="20"/>
  <c r="B428"/>
  <c r="J427"/>
  <c r="M383" i="7"/>
  <c r="Q383" s="1"/>
  <c r="N383" s="1"/>
  <c r="J428" i="5" l="1"/>
  <c r="K428"/>
  <c r="B429"/>
  <c r="K386" i="50"/>
  <c r="L386"/>
  <c r="B387"/>
  <c r="J386"/>
  <c r="J355" i="1"/>
  <c r="T383" i="7"/>
  <c r="O383"/>
  <c r="J428" i="22"/>
  <c r="K428"/>
  <c r="B429"/>
  <c r="M384" i="7"/>
  <c r="Q384" s="1"/>
  <c r="N384" s="1"/>
  <c r="K428" i="20"/>
  <c r="B429"/>
  <c r="J428"/>
  <c r="J385" i="7"/>
  <c r="M385" s="1"/>
  <c r="Q385" s="1"/>
  <c r="N385" s="1"/>
  <c r="K385"/>
  <c r="L385"/>
  <c r="B386"/>
  <c r="K429" i="20" l="1"/>
  <c r="B430"/>
  <c r="J429"/>
  <c r="J387" i="50"/>
  <c r="K387"/>
  <c r="L387"/>
  <c r="B388"/>
  <c r="J357" i="1"/>
  <c r="T385" i="7"/>
  <c r="T384"/>
  <c r="J356" i="1"/>
  <c r="O384" i="7"/>
  <c r="O385" s="1"/>
  <c r="J429" i="5"/>
  <c r="K429"/>
  <c r="B430"/>
  <c r="B387" i="7"/>
  <c r="J386"/>
  <c r="M386" s="1"/>
  <c r="Q386" s="1"/>
  <c r="N386" s="1"/>
  <c r="K386"/>
  <c r="L386"/>
  <c r="J429" i="22"/>
  <c r="K429"/>
  <c r="B430"/>
  <c r="J430" l="1"/>
  <c r="K430"/>
  <c r="B431"/>
  <c r="T386" i="7"/>
  <c r="J358" i="1"/>
  <c r="J430" i="5"/>
  <c r="K430"/>
  <c r="B431"/>
  <c r="K430" i="20"/>
  <c r="B431"/>
  <c r="J430"/>
  <c r="L387" i="7"/>
  <c r="B388"/>
  <c r="J387"/>
  <c r="M387" s="1"/>
  <c r="Q387" s="1"/>
  <c r="N387" s="1"/>
  <c r="K387"/>
  <c r="O386"/>
  <c r="B389" i="50"/>
  <c r="J388"/>
  <c r="K388"/>
  <c r="L388"/>
  <c r="J359" i="1" l="1"/>
  <c r="T387" i="7"/>
  <c r="J431" i="22"/>
  <c r="K431"/>
  <c r="B432"/>
  <c r="K388" i="7"/>
  <c r="L388"/>
  <c r="B389"/>
  <c r="J388"/>
  <c r="M388" s="1"/>
  <c r="Q388" s="1"/>
  <c r="N388" s="1"/>
  <c r="L389" i="50"/>
  <c r="B390"/>
  <c r="J389"/>
  <c r="K389"/>
  <c r="O387" i="7"/>
  <c r="K431" i="20"/>
  <c r="B432"/>
  <c r="J431"/>
  <c r="J431" i="5"/>
  <c r="K431"/>
  <c r="B432"/>
  <c r="O388" i="7" l="1"/>
  <c r="K432" i="20"/>
  <c r="B433"/>
  <c r="J432"/>
  <c r="J432" i="22"/>
  <c r="K432"/>
  <c r="B433"/>
  <c r="J432" i="5"/>
  <c r="K432"/>
  <c r="B433"/>
  <c r="K390" i="50"/>
  <c r="L390"/>
  <c r="B391"/>
  <c r="J390"/>
  <c r="T388" i="7"/>
  <c r="J360" i="1"/>
  <c r="J389" i="7"/>
  <c r="M389" s="1"/>
  <c r="Q389" s="1"/>
  <c r="N389" s="1"/>
  <c r="K389"/>
  <c r="L389"/>
  <c r="B390"/>
  <c r="T389" l="1"/>
  <c r="J361" i="1"/>
  <c r="J391" i="50"/>
  <c r="K391"/>
  <c r="L391"/>
  <c r="B392"/>
  <c r="K433" i="20"/>
  <c r="B434"/>
  <c r="J433"/>
  <c r="B391" i="7"/>
  <c r="J390"/>
  <c r="K390"/>
  <c r="L390"/>
  <c r="O389"/>
  <c r="J433" i="5"/>
  <c r="K433"/>
  <c r="B434"/>
  <c r="J433" i="22"/>
  <c r="K433"/>
  <c r="B434"/>
  <c r="L391" i="7" l="1"/>
  <c r="B392"/>
  <c r="J391"/>
  <c r="K391"/>
  <c r="B393" i="50"/>
  <c r="J392"/>
  <c r="K392"/>
  <c r="L392"/>
  <c r="J434" i="5"/>
  <c r="K434"/>
  <c r="B435"/>
  <c r="K434" i="20"/>
  <c r="B435"/>
  <c r="J434"/>
  <c r="J434" i="22"/>
  <c r="K434"/>
  <c r="B435"/>
  <c r="M390" i="7"/>
  <c r="Q390" s="1"/>
  <c r="N390" s="1"/>
  <c r="J435" i="5" l="1"/>
  <c r="K435"/>
  <c r="B436"/>
  <c r="J435" i="22"/>
  <c r="K435"/>
  <c r="B436"/>
  <c r="M391" i="7"/>
  <c r="Q391" s="1"/>
  <c r="N391" s="1"/>
  <c r="J362" i="1"/>
  <c r="T390" i="7"/>
  <c r="K435" i="20"/>
  <c r="B436"/>
  <c r="J435"/>
  <c r="K392" i="7"/>
  <c r="L392"/>
  <c r="B393"/>
  <c r="J392"/>
  <c r="O390"/>
  <c r="L393" i="50"/>
  <c r="B394"/>
  <c r="J393"/>
  <c r="K393"/>
  <c r="O391" i="7" l="1"/>
  <c r="J436" i="22"/>
  <c r="K436"/>
  <c r="B437"/>
  <c r="K394" i="50"/>
  <c r="L394"/>
  <c r="B395"/>
  <c r="J394"/>
  <c r="M392" i="7"/>
  <c r="Q392" s="1"/>
  <c r="N392" s="1"/>
  <c r="K436" i="20"/>
  <c r="B437"/>
  <c r="J436"/>
  <c r="J393" i="7"/>
  <c r="K393"/>
  <c r="L393"/>
  <c r="B394"/>
  <c r="J436" i="5"/>
  <c r="K436"/>
  <c r="B437"/>
  <c r="J363" i="1"/>
  <c r="T391" i="7"/>
  <c r="M393" l="1"/>
  <c r="Q393" s="1"/>
  <c r="N393" s="1"/>
  <c r="J437" i="22"/>
  <c r="K437"/>
  <c r="B438"/>
  <c r="J437" i="5"/>
  <c r="K437"/>
  <c r="B438"/>
  <c r="B395" i="7"/>
  <c r="J394"/>
  <c r="K394"/>
  <c r="L394"/>
  <c r="T392"/>
  <c r="J364" i="1"/>
  <c r="J395" i="50"/>
  <c r="K395"/>
  <c r="L395"/>
  <c r="B396"/>
  <c r="O392" i="7"/>
  <c r="K437" i="20"/>
  <c r="B438"/>
  <c r="J437"/>
  <c r="O393" i="7" l="1"/>
  <c r="B397" i="50"/>
  <c r="J396"/>
  <c r="K396"/>
  <c r="L396"/>
  <c r="M394" i="7"/>
  <c r="Q394" s="1"/>
  <c r="N394" s="1"/>
  <c r="J438" i="5"/>
  <c r="K438"/>
  <c r="B439"/>
  <c r="J438" i="22"/>
  <c r="K438"/>
  <c r="B439"/>
  <c r="T393" i="7"/>
  <c r="J365" i="1"/>
  <c r="L395" i="7"/>
  <c r="B396"/>
  <c r="J395"/>
  <c r="M395" s="1"/>
  <c r="Q395" s="1"/>
  <c r="N395" s="1"/>
  <c r="K395"/>
  <c r="K438" i="20"/>
  <c r="B439"/>
  <c r="J438"/>
  <c r="O394" i="7" l="1"/>
  <c r="O395" s="1"/>
  <c r="L397" i="50"/>
  <c r="B398"/>
  <c r="J397"/>
  <c r="K397"/>
  <c r="T395" i="7"/>
  <c r="J367" i="1"/>
  <c r="T394" i="7"/>
  <c r="J366" i="1"/>
  <c r="K439" i="20"/>
  <c r="B440"/>
  <c r="J439"/>
  <c r="K396" i="7"/>
  <c r="L396"/>
  <c r="B397"/>
  <c r="J396"/>
  <c r="J439" i="22"/>
  <c r="K439"/>
  <c r="B440"/>
  <c r="J439" i="5"/>
  <c r="K439"/>
  <c r="B440"/>
  <c r="M396" i="7" l="1"/>
  <c r="Q396" s="1"/>
  <c r="N396" s="1"/>
  <c r="K440" i="20"/>
  <c r="B441"/>
  <c r="J440"/>
  <c r="K398" i="50"/>
  <c r="L398"/>
  <c r="B399"/>
  <c r="J398"/>
  <c r="J440" i="22"/>
  <c r="K440"/>
  <c r="B441"/>
  <c r="J397" i="7"/>
  <c r="M397" s="1"/>
  <c r="Q397" s="1"/>
  <c r="N397" s="1"/>
  <c r="K397"/>
  <c r="L397"/>
  <c r="B398"/>
  <c r="J440" i="5"/>
  <c r="K440"/>
  <c r="B441"/>
  <c r="O396" i="7" l="1"/>
  <c r="O397" s="1"/>
  <c r="J399" i="50"/>
  <c r="K399"/>
  <c r="L399"/>
  <c r="B400"/>
  <c r="K441" i="20"/>
  <c r="B442"/>
  <c r="J441"/>
  <c r="J369" i="1"/>
  <c r="T397" i="7"/>
  <c r="J441" i="5"/>
  <c r="K441"/>
  <c r="B442"/>
  <c r="B399" i="7"/>
  <c r="J398"/>
  <c r="M398" s="1"/>
  <c r="Q398" s="1"/>
  <c r="N398" s="1"/>
  <c r="K398"/>
  <c r="L398"/>
  <c r="J441" i="22"/>
  <c r="K441"/>
  <c r="B442"/>
  <c r="J368" i="1"/>
  <c r="T396" i="7"/>
  <c r="J370" i="1" l="1"/>
  <c r="T398" i="7"/>
  <c r="B401" i="50"/>
  <c r="J400"/>
  <c r="K400"/>
  <c r="L400"/>
  <c r="O398" i="7"/>
  <c r="L399"/>
  <c r="B400"/>
  <c r="J399"/>
  <c r="M399" s="1"/>
  <c r="Q399" s="1"/>
  <c r="N399" s="1"/>
  <c r="K399"/>
  <c r="K442" i="20"/>
  <c r="B443"/>
  <c r="J442"/>
  <c r="J442" i="22"/>
  <c r="K442"/>
  <c r="B443"/>
  <c r="J442" i="5"/>
  <c r="K442"/>
  <c r="B443"/>
  <c r="K400" i="7" l="1"/>
  <c r="L400"/>
  <c r="B401"/>
  <c r="J400"/>
  <c r="M400" s="1"/>
  <c r="Q400" s="1"/>
  <c r="N400" s="1"/>
  <c r="J443" i="22"/>
  <c r="K443"/>
  <c r="B444"/>
  <c r="J443" i="5"/>
  <c r="K443"/>
  <c r="B444"/>
  <c r="K443" i="20"/>
  <c r="B444"/>
  <c r="J443"/>
  <c r="J371" i="1"/>
  <c r="T399" i="7"/>
  <c r="O399"/>
  <c r="L401" i="50"/>
  <c r="B402"/>
  <c r="J401"/>
  <c r="K401"/>
  <c r="O400" i="7" l="1"/>
  <c r="K402" i="50"/>
  <c r="L402"/>
  <c r="B403"/>
  <c r="J402"/>
  <c r="K444" i="20"/>
  <c r="B445"/>
  <c r="J444"/>
  <c r="J444" i="5"/>
  <c r="K444"/>
  <c r="B445"/>
  <c r="T400" i="7"/>
  <c r="J372" i="1"/>
  <c r="J401" i="7"/>
  <c r="M401" s="1"/>
  <c r="Q401" s="1"/>
  <c r="N401" s="1"/>
  <c r="K401"/>
  <c r="L401"/>
  <c r="B402"/>
  <c r="J444" i="22"/>
  <c r="K444"/>
  <c r="B445"/>
  <c r="J445" l="1"/>
  <c r="K445"/>
  <c r="B446"/>
  <c r="T401" i="7"/>
  <c r="J373" i="1"/>
  <c r="B403" i="7"/>
  <c r="J402"/>
  <c r="K402"/>
  <c r="L402"/>
  <c r="J445" i="5"/>
  <c r="K445"/>
  <c r="B446"/>
  <c r="K445" i="20"/>
  <c r="B446"/>
  <c r="J445"/>
  <c r="O401" i="7"/>
  <c r="J403" i="50"/>
  <c r="K403"/>
  <c r="L403"/>
  <c r="B404"/>
  <c r="J446" i="5" l="1"/>
  <c r="K446"/>
  <c r="B447"/>
  <c r="M402" i="7"/>
  <c r="Q402" s="1"/>
  <c r="N402" s="1"/>
  <c r="K446" i="20"/>
  <c r="B447"/>
  <c r="J446"/>
  <c r="L403" i="7"/>
  <c r="B404"/>
  <c r="J403"/>
  <c r="M403" s="1"/>
  <c r="Q403" s="1"/>
  <c r="N403" s="1"/>
  <c r="K403"/>
  <c r="B405" i="50"/>
  <c r="J404"/>
  <c r="K404"/>
  <c r="L404"/>
  <c r="J446" i="22"/>
  <c r="K446"/>
  <c r="B447"/>
  <c r="J375" i="1" l="1"/>
  <c r="T403" i="7"/>
  <c r="J447" i="5"/>
  <c r="K447"/>
  <c r="B448"/>
  <c r="J447" i="22"/>
  <c r="K447"/>
  <c r="B448"/>
  <c r="K404" i="7"/>
  <c r="L404"/>
  <c r="B405"/>
  <c r="J404"/>
  <c r="M404" s="1"/>
  <c r="Q404" s="1"/>
  <c r="N404" s="1"/>
  <c r="K447" i="20"/>
  <c r="B448"/>
  <c r="J447"/>
  <c r="L405" i="50"/>
  <c r="B406"/>
  <c r="J405"/>
  <c r="K405"/>
  <c r="J374" i="1"/>
  <c r="T402" i="7"/>
  <c r="O402"/>
  <c r="O403" s="1"/>
  <c r="O404" l="1"/>
  <c r="O405" s="1"/>
  <c r="T404"/>
  <c r="J376" i="1"/>
  <c r="J405" i="7"/>
  <c r="M405" s="1"/>
  <c r="Q405" s="1"/>
  <c r="N405" s="1"/>
  <c r="K405"/>
  <c r="L405"/>
  <c r="B406"/>
  <c r="K406" i="50"/>
  <c r="L406"/>
  <c r="B407"/>
  <c r="J406"/>
  <c r="K448" i="20"/>
  <c r="B449"/>
  <c r="J448"/>
  <c r="J448" i="22"/>
  <c r="K448"/>
  <c r="B449"/>
  <c r="J448" i="5"/>
  <c r="K448"/>
  <c r="B449"/>
  <c r="B407" i="7" l="1"/>
  <c r="J406"/>
  <c r="K406"/>
  <c r="L406"/>
  <c r="J449" i="22"/>
  <c r="K449"/>
  <c r="B450"/>
  <c r="K449" i="20"/>
  <c r="B450"/>
  <c r="J449"/>
  <c r="J449" i="5"/>
  <c r="K449"/>
  <c r="B450"/>
  <c r="J407" i="50"/>
  <c r="K407"/>
  <c r="L407"/>
  <c r="B408"/>
  <c r="T405" i="7"/>
  <c r="J377" i="1"/>
  <c r="B409" i="50" l="1"/>
  <c r="J408"/>
  <c r="K408"/>
  <c r="L408"/>
  <c r="J450" i="5"/>
  <c r="K450"/>
  <c r="B451"/>
  <c r="K450" i="20"/>
  <c r="B451"/>
  <c r="J450"/>
  <c r="L407" i="7"/>
  <c r="B408"/>
  <c r="J407"/>
  <c r="M407" s="1"/>
  <c r="Q407" s="1"/>
  <c r="N407" s="1"/>
  <c r="K407"/>
  <c r="J450" i="22"/>
  <c r="K450"/>
  <c r="B451"/>
  <c r="M406" i="7"/>
  <c r="J451" i="5" l="1"/>
  <c r="K451"/>
  <c r="B452"/>
  <c r="J379" i="1"/>
  <c r="T407" i="7"/>
  <c r="Q406"/>
  <c r="N406" s="1"/>
  <c r="O406"/>
  <c r="O407" s="1"/>
  <c r="K408"/>
  <c r="L408"/>
  <c r="B409"/>
  <c r="J408"/>
  <c r="M408" s="1"/>
  <c r="Q408" s="1"/>
  <c r="N408" s="1"/>
  <c r="K451" i="20"/>
  <c r="B452"/>
  <c r="J451"/>
  <c r="L409" i="50"/>
  <c r="B410"/>
  <c r="J409"/>
  <c r="K409"/>
  <c r="J451" i="22"/>
  <c r="K451"/>
  <c r="B452"/>
  <c r="K452" i="20" l="1"/>
  <c r="B453"/>
  <c r="J452"/>
  <c r="T406" i="7"/>
  <c r="J378" i="1"/>
  <c r="J452" i="22"/>
  <c r="K452"/>
  <c r="B453"/>
  <c r="K410" i="50"/>
  <c r="L410"/>
  <c r="B411"/>
  <c r="J410"/>
  <c r="T408" i="7"/>
  <c r="J380" i="1"/>
  <c r="J452" i="5"/>
  <c r="K452"/>
  <c r="B453"/>
  <c r="J409" i="7"/>
  <c r="M409" s="1"/>
  <c r="Q409" s="1"/>
  <c r="K409"/>
  <c r="L409"/>
  <c r="B410"/>
  <c r="O408"/>
  <c r="O409" l="1"/>
  <c r="B411"/>
  <c r="J410"/>
  <c r="M410" s="1"/>
  <c r="Q410" s="1"/>
  <c r="K410"/>
  <c r="L410"/>
  <c r="J453" i="5"/>
  <c r="K453"/>
  <c r="B454"/>
  <c r="J453" i="22"/>
  <c r="K453"/>
  <c r="B454"/>
  <c r="K453" i="20"/>
  <c r="B454"/>
  <c r="J453"/>
  <c r="J411" i="50"/>
  <c r="K411"/>
  <c r="L411"/>
  <c r="B412"/>
  <c r="O410" i="7" l="1"/>
  <c r="B413" i="50"/>
  <c r="J412"/>
  <c r="K412"/>
  <c r="L412"/>
  <c r="K454" i="20"/>
  <c r="B455"/>
  <c r="J454"/>
  <c r="J454" i="22"/>
  <c r="K454"/>
  <c r="B455"/>
  <c r="L411" i="7"/>
  <c r="B412"/>
  <c r="J411"/>
  <c r="K411"/>
  <c r="J454" i="5"/>
  <c r="K454"/>
  <c r="B455"/>
  <c r="L413" i="50" l="1"/>
  <c r="B414"/>
  <c r="J413"/>
  <c r="K413"/>
  <c r="M411" i="7"/>
  <c r="J455" i="22"/>
  <c r="K455"/>
  <c r="B456"/>
  <c r="J455" i="5"/>
  <c r="K455"/>
  <c r="B456"/>
  <c r="K412" i="7"/>
  <c r="L412"/>
  <c r="B413"/>
  <c r="J412"/>
  <c r="K455" i="20"/>
  <c r="B456"/>
  <c r="J455"/>
  <c r="M412" i="7" l="1"/>
  <c r="Q412" s="1"/>
  <c r="J456" i="5"/>
  <c r="K456"/>
  <c r="B457"/>
  <c r="K456" i="20"/>
  <c r="B457"/>
  <c r="J456"/>
  <c r="J413" i="7"/>
  <c r="M413" s="1"/>
  <c r="Q413" s="1"/>
  <c r="K413"/>
  <c r="L413"/>
  <c r="B414"/>
  <c r="J456" i="22"/>
  <c r="K456"/>
  <c r="B457"/>
  <c r="K414" i="50"/>
  <c r="L414"/>
  <c r="B415"/>
  <c r="J414"/>
  <c r="Q411" i="7"/>
  <c r="O411"/>
  <c r="O412" l="1"/>
  <c r="O413" s="1"/>
  <c r="B415"/>
  <c r="J414"/>
  <c r="K414"/>
  <c r="L414"/>
  <c r="J457" i="22"/>
  <c r="K457"/>
  <c r="B458"/>
  <c r="K457" i="20"/>
  <c r="B458"/>
  <c r="J457"/>
  <c r="J415" i="50"/>
  <c r="K415"/>
  <c r="B416"/>
  <c r="J457" i="5"/>
  <c r="K457"/>
  <c r="B458"/>
  <c r="J416" i="50" l="1"/>
  <c r="K416"/>
  <c r="B417"/>
  <c r="K458" i="20"/>
  <c r="B459"/>
  <c r="J458"/>
  <c r="J458" i="5"/>
  <c r="K458"/>
  <c r="B459"/>
  <c r="M414" i="7"/>
  <c r="J458" i="22"/>
  <c r="K458"/>
  <c r="B459"/>
  <c r="B416" i="7"/>
  <c r="J415"/>
  <c r="M415" s="1"/>
  <c r="Q415" s="1"/>
  <c r="N415" s="1"/>
  <c r="K415"/>
  <c r="K459" i="20" l="1"/>
  <c r="B460"/>
  <c r="J459"/>
  <c r="J459" i="5"/>
  <c r="K459"/>
  <c r="B460"/>
  <c r="J417" i="50"/>
  <c r="K417"/>
  <c r="B418"/>
  <c r="B417" i="7"/>
  <c r="J416"/>
  <c r="K416"/>
  <c r="J459" i="22"/>
  <c r="K459"/>
  <c r="B460"/>
  <c r="Q414" i="7"/>
  <c r="O414"/>
  <c r="O415" s="1"/>
  <c r="B418" l="1"/>
  <c r="J417"/>
  <c r="M417" s="1"/>
  <c r="K417"/>
  <c r="J460" i="5"/>
  <c r="K460"/>
  <c r="N50" i="7"/>
  <c r="N414"/>
  <c r="J418" i="50"/>
  <c r="K418"/>
  <c r="B419"/>
  <c r="J460" i="22"/>
  <c r="K460"/>
  <c r="M416" i="7"/>
  <c r="O416" s="1"/>
  <c r="K460" i="20"/>
  <c r="J460"/>
  <c r="O417" i="7" l="1"/>
  <c r="N416"/>
  <c r="Q416"/>
  <c r="J419" i="50"/>
  <c r="K419"/>
  <c r="B420"/>
  <c r="J386" i="1"/>
  <c r="T415" i="7"/>
  <c r="T414"/>
  <c r="R414"/>
  <c r="N409" s="1"/>
  <c r="N417"/>
  <c r="Q417"/>
  <c r="J22" i="1"/>
  <c r="T50" i="7"/>
  <c r="J387" i="1"/>
  <c r="P50" i="7"/>
  <c r="R50"/>
  <c r="N51" s="1"/>
  <c r="B419"/>
  <c r="J418"/>
  <c r="M418" s="1"/>
  <c r="K418"/>
  <c r="P51" l="1"/>
  <c r="N418"/>
  <c r="Q418"/>
  <c r="J23" i="1"/>
  <c r="N52" i="7"/>
  <c r="J388" i="1"/>
  <c r="T51" i="7"/>
  <c r="B420"/>
  <c r="J419"/>
  <c r="K419"/>
  <c r="J381" i="1"/>
  <c r="N410" i="7"/>
  <c r="T409"/>
  <c r="J420" i="50"/>
  <c r="K420"/>
  <c r="B421"/>
  <c r="O418" i="7"/>
  <c r="J421" i="50" l="1"/>
  <c r="K421"/>
  <c r="B422"/>
  <c r="T410" i="7"/>
  <c r="J382" i="1"/>
  <c r="N411" i="7"/>
  <c r="J24" i="1"/>
  <c r="N53" i="7"/>
  <c r="T52"/>
  <c r="J389" i="1"/>
  <c r="M419" i="7"/>
  <c r="B421"/>
  <c r="J420"/>
  <c r="K420"/>
  <c r="P52"/>
  <c r="P53" l="1"/>
  <c r="B422"/>
  <c r="J421"/>
  <c r="K421"/>
  <c r="J25" i="1"/>
  <c r="T53" i="7"/>
  <c r="N54"/>
  <c r="J390" i="1"/>
  <c r="N419" i="7"/>
  <c r="Q419"/>
  <c r="J422" i="50"/>
  <c r="K422"/>
  <c r="B423"/>
  <c r="M420" i="7"/>
  <c r="J383" i="1"/>
  <c r="N412" i="7"/>
  <c r="T411"/>
  <c r="O419"/>
  <c r="O420" s="1"/>
  <c r="P54" l="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P245" s="1"/>
  <c r="P246" s="1"/>
  <c r="P247" s="1"/>
  <c r="P248" s="1"/>
  <c r="P249" s="1"/>
  <c r="P250" s="1"/>
  <c r="P251" s="1"/>
  <c r="P252" s="1"/>
  <c r="P253" s="1"/>
  <c r="P254" s="1"/>
  <c r="P255" s="1"/>
  <c r="P256" s="1"/>
  <c r="P257" s="1"/>
  <c r="P258" s="1"/>
  <c r="P259" s="1"/>
  <c r="P260" s="1"/>
  <c r="P261" s="1"/>
  <c r="P262" s="1"/>
  <c r="P263" s="1"/>
  <c r="P264" s="1"/>
  <c r="P265" s="1"/>
  <c r="P266" s="1"/>
  <c r="P267" s="1"/>
  <c r="P268" s="1"/>
  <c r="P269" s="1"/>
  <c r="P270" s="1"/>
  <c r="P271" s="1"/>
  <c r="P272" s="1"/>
  <c r="P273" s="1"/>
  <c r="P274" s="1"/>
  <c r="P275" s="1"/>
  <c r="P276" s="1"/>
  <c r="P277" s="1"/>
  <c r="P278" s="1"/>
  <c r="P279" s="1"/>
  <c r="P280" s="1"/>
  <c r="P281" s="1"/>
  <c r="P282" s="1"/>
  <c r="P283" s="1"/>
  <c r="P284" s="1"/>
  <c r="P285" s="1"/>
  <c r="P286" s="1"/>
  <c r="P287" s="1"/>
  <c r="P288" s="1"/>
  <c r="P289" s="1"/>
  <c r="P290" s="1"/>
  <c r="P291" s="1"/>
  <c r="P292" s="1"/>
  <c r="P293" s="1"/>
  <c r="P294" s="1"/>
  <c r="P295" s="1"/>
  <c r="P296" s="1"/>
  <c r="P297" s="1"/>
  <c r="P298" s="1"/>
  <c r="P299" s="1"/>
  <c r="P300" s="1"/>
  <c r="P301" s="1"/>
  <c r="P302" s="1"/>
  <c r="P303" s="1"/>
  <c r="P304" s="1"/>
  <c r="P305" s="1"/>
  <c r="P306" s="1"/>
  <c r="P307" s="1"/>
  <c r="P308" s="1"/>
  <c r="P309" s="1"/>
  <c r="P310" s="1"/>
  <c r="P311" s="1"/>
  <c r="P312" s="1"/>
  <c r="P313" s="1"/>
  <c r="P314" s="1"/>
  <c r="P315" s="1"/>
  <c r="P316" s="1"/>
  <c r="P317" s="1"/>
  <c r="P318" s="1"/>
  <c r="P319" s="1"/>
  <c r="P320" s="1"/>
  <c r="P321" s="1"/>
  <c r="P322" s="1"/>
  <c r="P323" s="1"/>
  <c r="P324" s="1"/>
  <c r="P325" s="1"/>
  <c r="P326" s="1"/>
  <c r="P327" s="1"/>
  <c r="P328" s="1"/>
  <c r="P329" s="1"/>
  <c r="P330" s="1"/>
  <c r="P331" s="1"/>
  <c r="P332" s="1"/>
  <c r="P333" s="1"/>
  <c r="P334" s="1"/>
  <c r="P335" s="1"/>
  <c r="P336" s="1"/>
  <c r="P337" s="1"/>
  <c r="P338" s="1"/>
  <c r="P339" s="1"/>
  <c r="P340" s="1"/>
  <c r="P341" s="1"/>
  <c r="P342" s="1"/>
  <c r="P343" s="1"/>
  <c r="P344" s="1"/>
  <c r="P345" s="1"/>
  <c r="P346" s="1"/>
  <c r="P347" s="1"/>
  <c r="P348" s="1"/>
  <c r="P349" s="1"/>
  <c r="P350" s="1"/>
  <c r="P351" s="1"/>
  <c r="P352" s="1"/>
  <c r="P353" s="1"/>
  <c r="P354" s="1"/>
  <c r="P355" s="1"/>
  <c r="P356" s="1"/>
  <c r="P357" s="1"/>
  <c r="P358" s="1"/>
  <c r="P359" s="1"/>
  <c r="P360" s="1"/>
  <c r="P361" s="1"/>
  <c r="P362" s="1"/>
  <c r="P363" s="1"/>
  <c r="P364" s="1"/>
  <c r="P365" s="1"/>
  <c r="P366" s="1"/>
  <c r="P367" s="1"/>
  <c r="P368" s="1"/>
  <c r="P369" s="1"/>
  <c r="P370" s="1"/>
  <c r="P371" s="1"/>
  <c r="P372" s="1"/>
  <c r="P373" s="1"/>
  <c r="P374" s="1"/>
  <c r="P375" s="1"/>
  <c r="P376" s="1"/>
  <c r="P377" s="1"/>
  <c r="P378" s="1"/>
  <c r="P379" s="1"/>
  <c r="P380" s="1"/>
  <c r="P381" s="1"/>
  <c r="P382" s="1"/>
  <c r="P383" s="1"/>
  <c r="P384" s="1"/>
  <c r="P385" s="1"/>
  <c r="P386" s="1"/>
  <c r="P387" s="1"/>
  <c r="P388" s="1"/>
  <c r="P389" s="1"/>
  <c r="P390" s="1"/>
  <c r="P391" s="1"/>
  <c r="P392" s="1"/>
  <c r="P393" s="1"/>
  <c r="P394" s="1"/>
  <c r="P395" s="1"/>
  <c r="P396" s="1"/>
  <c r="P397" s="1"/>
  <c r="P398" s="1"/>
  <c r="P399" s="1"/>
  <c r="P400" s="1"/>
  <c r="P401" s="1"/>
  <c r="P402" s="1"/>
  <c r="P403" s="1"/>
  <c r="P404" s="1"/>
  <c r="P405" s="1"/>
  <c r="P406" s="1"/>
  <c r="P407" s="1"/>
  <c r="P408" s="1"/>
  <c r="P409" s="1"/>
  <c r="P410" s="1"/>
  <c r="P411" s="1"/>
  <c r="P412" s="1"/>
  <c r="Q420"/>
  <c r="N420"/>
  <c r="J423" i="50"/>
  <c r="K423"/>
  <c r="B424"/>
  <c r="T412" i="7"/>
  <c r="J384" i="1"/>
  <c r="N413" i="7"/>
  <c r="M421"/>
  <c r="J391" i="1"/>
  <c r="J26"/>
  <c r="T54" i="7"/>
  <c r="B423"/>
  <c r="J422"/>
  <c r="K422"/>
  <c r="P413" l="1"/>
  <c r="P414" s="1"/>
  <c r="P415" s="1"/>
  <c r="P416" s="1"/>
  <c r="P417" s="1"/>
  <c r="P418" s="1"/>
  <c r="P419" s="1"/>
  <c r="P420" s="1"/>
  <c r="N421"/>
  <c r="Q421"/>
  <c r="O421"/>
  <c r="M422"/>
  <c r="B424"/>
  <c r="J423"/>
  <c r="K423"/>
  <c r="T413"/>
  <c r="J385" i="1"/>
  <c r="J424" i="50"/>
  <c r="K424"/>
  <c r="B425"/>
  <c r="P421" i="7" l="1"/>
  <c r="M423"/>
  <c r="B425"/>
  <c r="J424"/>
  <c r="K424"/>
  <c r="O422"/>
  <c r="J425" i="50"/>
  <c r="K425"/>
  <c r="B426"/>
  <c r="Q422" i="7"/>
  <c r="N422"/>
  <c r="O423" l="1"/>
  <c r="P422"/>
  <c r="B426"/>
  <c r="J425"/>
  <c r="K425"/>
  <c r="Q423"/>
  <c r="N423"/>
  <c r="J426" i="50"/>
  <c r="K426"/>
  <c r="B427"/>
  <c r="M424" i="7"/>
  <c r="P423" l="1"/>
  <c r="J427" i="50"/>
  <c r="K427"/>
  <c r="B428"/>
  <c r="M425" i="7"/>
  <c r="Q424"/>
  <c r="N424"/>
  <c r="O424"/>
  <c r="B427"/>
  <c r="J426"/>
  <c r="K426"/>
  <c r="P424" l="1"/>
  <c r="O425"/>
  <c r="J428" i="50"/>
  <c r="K428"/>
  <c r="B429"/>
  <c r="M426" i="7"/>
  <c r="B428"/>
  <c r="J427"/>
  <c r="K427"/>
  <c r="N425"/>
  <c r="P425" s="1"/>
  <c r="Q425"/>
  <c r="O426" l="1"/>
  <c r="B429"/>
  <c r="J428"/>
  <c r="K428"/>
  <c r="Q426"/>
  <c r="N426"/>
  <c r="P426" s="1"/>
  <c r="M427"/>
  <c r="J429" i="50"/>
  <c r="K429"/>
  <c r="B430"/>
  <c r="B430" i="7" l="1"/>
  <c r="J429"/>
  <c r="M429" s="1"/>
  <c r="K429"/>
  <c r="N427"/>
  <c r="P427" s="1"/>
  <c r="Q427"/>
  <c r="J430" i="50"/>
  <c r="K430"/>
  <c r="B431"/>
  <c r="M428" i="7"/>
  <c r="O427"/>
  <c r="N428" l="1"/>
  <c r="P428" s="1"/>
  <c r="Q428"/>
  <c r="N429"/>
  <c r="Q429"/>
  <c r="O428"/>
  <c r="O429" s="1"/>
  <c r="J431" i="50"/>
  <c r="K431"/>
  <c r="B432"/>
  <c r="B431" i="7"/>
  <c r="J430"/>
  <c r="K430"/>
  <c r="P429" l="1"/>
  <c r="B432"/>
  <c r="J431"/>
  <c r="K431"/>
  <c r="J432" i="50"/>
  <c r="K432"/>
  <c r="B433"/>
  <c r="M430" i="7"/>
  <c r="N430" l="1"/>
  <c r="P430" s="1"/>
  <c r="Q430"/>
  <c r="M431"/>
  <c r="J433" i="50"/>
  <c r="K433"/>
  <c r="B434"/>
  <c r="B433" i="7"/>
  <c r="J432"/>
  <c r="M432" s="1"/>
  <c r="K432"/>
  <c r="O430"/>
  <c r="O431" l="1"/>
  <c r="O432" s="1"/>
  <c r="Q432"/>
  <c r="N432"/>
  <c r="B434"/>
  <c r="J433"/>
  <c r="K433"/>
  <c r="N431"/>
  <c r="Q431"/>
  <c r="J434" i="50"/>
  <c r="K434"/>
  <c r="B435"/>
  <c r="P431" i="7"/>
  <c r="P432" l="1"/>
  <c r="B435"/>
  <c r="J434"/>
  <c r="M434" s="1"/>
  <c r="K434"/>
  <c r="J435" i="50"/>
  <c r="K435"/>
  <c r="B436"/>
  <c r="M433" i="7"/>
  <c r="Q434" l="1"/>
  <c r="N434"/>
  <c r="B436"/>
  <c r="J435"/>
  <c r="K435"/>
  <c r="J436" i="50"/>
  <c r="K436"/>
  <c r="B437"/>
  <c r="Q433" i="7"/>
  <c r="N433"/>
  <c r="P433" s="1"/>
  <c r="P434" s="1"/>
  <c r="O433"/>
  <c r="O434" s="1"/>
  <c r="B437" l="1"/>
  <c r="J436"/>
  <c r="M436" s="1"/>
  <c r="K436"/>
  <c r="J437" i="50"/>
  <c r="K437"/>
  <c r="B438"/>
  <c r="M435" i="7"/>
  <c r="N435" l="1"/>
  <c r="P435" s="1"/>
  <c r="Q435"/>
  <c r="O435"/>
  <c r="O436" s="1"/>
  <c r="J438" i="50"/>
  <c r="K438"/>
  <c r="B439"/>
  <c r="Q436" i="7"/>
  <c r="N436"/>
  <c r="B438"/>
  <c r="J437"/>
  <c r="K437"/>
  <c r="M437" l="1"/>
  <c r="O437" s="1"/>
  <c r="B439"/>
  <c r="J438"/>
  <c r="K438"/>
  <c r="J439" i="50"/>
  <c r="K439"/>
  <c r="B440"/>
  <c r="P436" i="7"/>
  <c r="J440" i="50" l="1"/>
  <c r="K440"/>
  <c r="B441"/>
  <c r="M438" i="7"/>
  <c r="O438" s="1"/>
  <c r="B440"/>
  <c r="J439"/>
  <c r="K439"/>
  <c r="Q437"/>
  <c r="N437"/>
  <c r="P437" s="1"/>
  <c r="J441" i="50" l="1"/>
  <c r="K441"/>
  <c r="B442"/>
  <c r="M439" i="7"/>
  <c r="B441"/>
  <c r="J440"/>
  <c r="M440" s="1"/>
  <c r="K440"/>
  <c r="Q438"/>
  <c r="N438"/>
  <c r="P438" s="1"/>
  <c r="N440" l="1"/>
  <c r="Q440"/>
  <c r="B442"/>
  <c r="J441"/>
  <c r="K441"/>
  <c r="Q439"/>
  <c r="N439"/>
  <c r="P439" s="1"/>
  <c r="O439"/>
  <c r="O440" s="1"/>
  <c r="J442" i="50"/>
  <c r="K442"/>
  <c r="B443"/>
  <c r="P440" i="7" l="1"/>
  <c r="J443" i="50"/>
  <c r="K443"/>
  <c r="B444"/>
  <c r="M441" i="7"/>
  <c r="B443"/>
  <c r="J442"/>
  <c r="M442" s="1"/>
  <c r="K442"/>
  <c r="O441"/>
  <c r="O442" s="1"/>
  <c r="Q442" l="1"/>
  <c r="N442"/>
  <c r="N441"/>
  <c r="P441" s="1"/>
  <c r="Q441"/>
  <c r="B444"/>
  <c r="J443"/>
  <c r="K443"/>
  <c r="J444" i="50"/>
  <c r="K444"/>
  <c r="B445"/>
  <c r="P442" i="7" l="1"/>
  <c r="J445" i="50"/>
  <c r="K445"/>
  <c r="B446"/>
  <c r="M443" i="7"/>
  <c r="B445"/>
  <c r="J444"/>
  <c r="K444"/>
  <c r="B446" l="1"/>
  <c r="J445"/>
  <c r="K445"/>
  <c r="N443"/>
  <c r="P443" s="1"/>
  <c r="Q443"/>
  <c r="O443"/>
  <c r="J446" i="50"/>
  <c r="K446"/>
  <c r="B447"/>
  <c r="M444" i="7"/>
  <c r="O444" l="1"/>
  <c r="M445"/>
  <c r="Q444"/>
  <c r="N444"/>
  <c r="P444" s="1"/>
  <c r="J447" i="50"/>
  <c r="K447"/>
  <c r="B448"/>
  <c r="B447" i="7"/>
  <c r="J446"/>
  <c r="K446"/>
  <c r="O445" l="1"/>
  <c r="M446"/>
  <c r="B448"/>
  <c r="J447"/>
  <c r="K447"/>
  <c r="J448" i="50"/>
  <c r="K448"/>
  <c r="B449"/>
  <c r="N445" i="7"/>
  <c r="P445" s="1"/>
  <c r="Q445"/>
  <c r="O446" l="1"/>
  <c r="B449"/>
  <c r="J448"/>
  <c r="M448" s="1"/>
  <c r="K448"/>
  <c r="J449" i="50"/>
  <c r="K449"/>
  <c r="B450"/>
  <c r="M447" i="7"/>
  <c r="Q446"/>
  <c r="N446"/>
  <c r="P446" s="1"/>
  <c r="Q447" l="1"/>
  <c r="N447"/>
  <c r="P447" s="1"/>
  <c r="Q448"/>
  <c r="N448"/>
  <c r="J450" i="50"/>
  <c r="K450"/>
  <c r="B451"/>
  <c r="O447" i="7"/>
  <c r="O448" s="1"/>
  <c r="B450"/>
  <c r="J449"/>
  <c r="M449" s="1"/>
  <c r="K449"/>
  <c r="P448" l="1"/>
  <c r="Q449"/>
  <c r="N449"/>
  <c r="B451"/>
  <c r="J450"/>
  <c r="M450" s="1"/>
  <c r="K450"/>
  <c r="O449"/>
  <c r="J451" i="50"/>
  <c r="K451"/>
  <c r="B452"/>
  <c r="P449" i="7" l="1"/>
  <c r="J452" i="50"/>
  <c r="K452"/>
  <c r="B453"/>
  <c r="Q450" i="7"/>
  <c r="N450"/>
  <c r="B452"/>
  <c r="J451"/>
  <c r="K451"/>
  <c r="O450"/>
  <c r="P450" l="1"/>
  <c r="B453"/>
  <c r="J452"/>
  <c r="M452" s="1"/>
  <c r="K452"/>
  <c r="J453" i="50"/>
  <c r="K453"/>
  <c r="B454"/>
  <c r="M451" i="7"/>
  <c r="Q451" l="1"/>
  <c r="N451"/>
  <c r="P451" s="1"/>
  <c r="J454" i="50"/>
  <c r="K454"/>
  <c r="B455"/>
  <c r="N452" i="7"/>
  <c r="Q452"/>
  <c r="B454"/>
  <c r="J453"/>
  <c r="M453" s="1"/>
  <c r="K453"/>
  <c r="O451"/>
  <c r="O452" s="1"/>
  <c r="N453" l="1"/>
  <c r="Q453"/>
  <c r="O453"/>
  <c r="B455"/>
  <c r="J454"/>
  <c r="K454"/>
  <c r="J455" i="50"/>
  <c r="K455"/>
  <c r="B456"/>
  <c r="P452" i="7"/>
  <c r="P453" l="1"/>
  <c r="J456" i="50"/>
  <c r="K456"/>
  <c r="B457"/>
  <c r="M454" i="7"/>
  <c r="B456"/>
  <c r="J455"/>
  <c r="K455"/>
  <c r="N454" l="1"/>
  <c r="P454" s="1"/>
  <c r="Q454"/>
  <c r="O454"/>
  <c r="M455"/>
  <c r="J457" i="50"/>
  <c r="K457"/>
  <c r="B458"/>
  <c r="B457" i="7"/>
  <c r="J456"/>
  <c r="M456" s="1"/>
  <c r="K456"/>
  <c r="Q455" l="1"/>
  <c r="N455"/>
  <c r="P455" s="1"/>
  <c r="J458" i="50"/>
  <c r="K458"/>
  <c r="B459"/>
  <c r="O455" i="7"/>
  <c r="O456" s="1"/>
  <c r="Q456"/>
  <c r="N456"/>
  <c r="B458"/>
  <c r="J457"/>
  <c r="K457"/>
  <c r="P456" l="1"/>
  <c r="M457"/>
  <c r="J459" i="50"/>
  <c r="K459"/>
  <c r="B460"/>
  <c r="B459" i="7"/>
  <c r="J458"/>
  <c r="K458"/>
  <c r="B460" l="1"/>
  <c r="J459"/>
  <c r="K459"/>
  <c r="Q457"/>
  <c r="N457"/>
  <c r="P457" s="1"/>
  <c r="J460" i="50"/>
  <c r="K460"/>
  <c r="O457" i="7"/>
  <c r="M458"/>
  <c r="N458" l="1"/>
  <c r="P458" s="1"/>
  <c r="Q458"/>
  <c r="O458"/>
  <c r="M459"/>
  <c r="J460"/>
  <c r="M460" s="1"/>
  <c r="K460"/>
  <c r="O459" l="1"/>
  <c r="O460" s="1"/>
  <c r="Q460"/>
  <c r="N460"/>
  <c r="N459"/>
  <c r="P459" s="1"/>
  <c r="Q459"/>
  <c r="P460" l="1"/>
  <c r="E361" i="26" l="1"/>
  <c r="I377" i="1" s="1"/>
  <c r="E363" i="26"/>
  <c r="I379" i="1" s="1"/>
  <c r="E362" i="26"/>
  <c r="I378" i="1" s="1"/>
  <c r="E359" i="26"/>
  <c r="I375" i="1" s="1"/>
  <c r="E358" i="26"/>
  <c r="I374" i="1" s="1"/>
  <c r="E364" i="26"/>
  <c r="I380" i="1" s="1"/>
  <c r="E360" i="26"/>
  <c r="I376" i="1" s="1"/>
  <c r="E357" i="26"/>
  <c r="I373" i="1" s="1"/>
  <c r="E355" i="26" l="1"/>
  <c r="I371" i="1" s="1"/>
  <c r="E346" i="26"/>
  <c r="I362" i="1" s="1"/>
  <c r="E343" i="26"/>
  <c r="I359" i="1" s="1"/>
  <c r="E339" i="26"/>
  <c r="I355" i="1" s="1"/>
  <c r="E352" i="26"/>
  <c r="I368" i="1" s="1"/>
  <c r="E330" i="26"/>
  <c r="I346" i="1" s="1"/>
  <c r="AV379"/>
  <c r="C386" i="53"/>
  <c r="AI25" i="55" s="1"/>
  <c r="C387" i="53"/>
  <c r="AI26" i="55" s="1"/>
  <c r="AV380" i="1"/>
  <c r="E340" i="26"/>
  <c r="I356" i="1" s="1"/>
  <c r="E334" i="26"/>
  <c r="I350" i="1" s="1"/>
  <c r="E351" i="26"/>
  <c r="I367" i="1" s="1"/>
  <c r="E354" i="26"/>
  <c r="I370" i="1" s="1"/>
  <c r="E342" i="26"/>
  <c r="I358" i="1" s="1"/>
  <c r="E335" i="26"/>
  <c r="I351" i="1" s="1"/>
  <c r="E356" i="26"/>
  <c r="I372" i="1" s="1"/>
  <c r="C382" i="53"/>
  <c r="AI21" i="55" s="1"/>
  <c r="AV375" i="1"/>
  <c r="C385" i="53"/>
  <c r="AI24" i="55" s="1"/>
  <c r="AV378" i="1"/>
  <c r="E347" i="26"/>
  <c r="I363" i="1" s="1"/>
  <c r="E350" i="26"/>
  <c r="I366" i="1" s="1"/>
  <c r="E332" i="26"/>
  <c r="I348" i="1" s="1"/>
  <c r="E337" i="26"/>
  <c r="I353" i="1" s="1"/>
  <c r="E336" i="26"/>
  <c r="I352" i="1" s="1"/>
  <c r="E338" i="26"/>
  <c r="I354" i="1" s="1"/>
  <c r="E348" i="26"/>
  <c r="I364" i="1" s="1"/>
  <c r="E344" i="26"/>
  <c r="I360" i="1" s="1"/>
  <c r="E349" i="26"/>
  <c r="I365" i="1" s="1"/>
  <c r="E353" i="26"/>
  <c r="I369" i="1" s="1"/>
  <c r="C384" i="53"/>
  <c r="AI23" i="55" s="1"/>
  <c r="AV377" i="1"/>
  <c r="C383" i="53"/>
  <c r="AI22" i="55" s="1"/>
  <c r="AV376" i="1"/>
  <c r="AV373"/>
  <c r="C380" i="53"/>
  <c r="AI19" i="55" s="1"/>
  <c r="E345" i="26"/>
  <c r="I361" i="1" s="1"/>
  <c r="E331" i="26"/>
  <c r="I347" i="1" s="1"/>
  <c r="E333" i="26"/>
  <c r="I349" i="1" s="1"/>
  <c r="E341" i="26"/>
  <c r="I357" i="1" s="1"/>
  <c r="C381" i="53"/>
  <c r="AI20" i="55" s="1"/>
  <c r="AV374" i="1"/>
  <c r="C372" i="53" l="1"/>
  <c r="AI11" i="55" s="1"/>
  <c r="AV365" i="1"/>
  <c r="C359" i="53"/>
  <c r="AH28" i="55" s="1"/>
  <c r="AV352" i="1"/>
  <c r="C364" i="53"/>
  <c r="AI3" i="55" s="1"/>
  <c r="AV357" i="1"/>
  <c r="C376" i="53"/>
  <c r="AI15" i="55" s="1"/>
  <c r="AV369" i="1"/>
  <c r="AV360"/>
  <c r="C367" i="53"/>
  <c r="AI6" i="55" s="1"/>
  <c r="C361" i="53"/>
  <c r="AH30" i="55" s="1"/>
  <c r="AV354" i="1"/>
  <c r="C360" i="53"/>
  <c r="AH29" i="55" s="1"/>
  <c r="AV353" i="1"/>
  <c r="C373" i="53"/>
  <c r="AI12" i="55" s="1"/>
  <c r="AV366" i="1"/>
  <c r="AV351"/>
  <c r="C358" i="53"/>
  <c r="AH27" i="55" s="1"/>
  <c r="AV370" i="1"/>
  <c r="C377" i="53"/>
  <c r="AI16" i="55" s="1"/>
  <c r="AV350" i="1"/>
  <c r="C357" i="53"/>
  <c r="AH26" i="55" s="1"/>
  <c r="C362" i="53"/>
  <c r="AH31" i="55" s="1"/>
  <c r="AV355" i="1"/>
  <c r="C369" i="53"/>
  <c r="AI8" i="55" s="1"/>
  <c r="AV362" i="1"/>
  <c r="AV349"/>
  <c r="C356" i="53"/>
  <c r="AH25" i="55" s="1"/>
  <c r="C368" i="53"/>
  <c r="AI7" i="55" s="1"/>
  <c r="AV361" i="1"/>
  <c r="AY377"/>
  <c r="AY378" s="1"/>
  <c r="AY379" s="1"/>
  <c r="AY380" s="1"/>
  <c r="AV364"/>
  <c r="C371" i="53"/>
  <c r="AI10" i="55" s="1"/>
  <c r="AV363" i="1"/>
  <c r="C370" i="53"/>
  <c r="AI9" i="55" s="1"/>
  <c r="AV372" i="1"/>
  <c r="C379" i="53"/>
  <c r="AI18" i="55" s="1"/>
  <c r="AV358" i="1"/>
  <c r="C365" i="53"/>
  <c r="AI4" i="55" s="1"/>
  <c r="C374" i="53"/>
  <c r="AI13" i="55" s="1"/>
  <c r="AV367" i="1"/>
  <c r="C363" i="53"/>
  <c r="AH32" i="55" s="1"/>
  <c r="AV356" i="1"/>
  <c r="AG346"/>
  <c r="AG347" s="1"/>
  <c r="AG348" s="1"/>
  <c r="AG349" s="1"/>
  <c r="AG350" s="1"/>
  <c r="AG351" s="1"/>
  <c r="AG352" s="1"/>
  <c r="AG353" s="1"/>
  <c r="AG354" s="1"/>
  <c r="AG355" s="1"/>
  <c r="AG356" s="1"/>
  <c r="AG357" s="1"/>
  <c r="AG358" s="1"/>
  <c r="AG359" s="1"/>
  <c r="AG360" s="1"/>
  <c r="AG361" s="1"/>
  <c r="AG362" s="1"/>
  <c r="AG363" s="1"/>
  <c r="AG364" s="1"/>
  <c r="AG365" s="1"/>
  <c r="AG366" s="1"/>
  <c r="AG367" s="1"/>
  <c r="AG368" s="1"/>
  <c r="AG369" s="1"/>
  <c r="AG370" s="1"/>
  <c r="AG371" s="1"/>
  <c r="AG372" s="1"/>
  <c r="AG373" s="1"/>
  <c r="AG374" s="1"/>
  <c r="AG375" s="1"/>
  <c r="AG376" s="1"/>
  <c r="AG377" s="1"/>
  <c r="AG378" s="1"/>
  <c r="AG379" s="1"/>
  <c r="AG380" s="1"/>
  <c r="C353" i="53"/>
  <c r="AV346" i="1"/>
  <c r="C375" i="53"/>
  <c r="AI14" i="55" s="1"/>
  <c r="AV368" i="1"/>
  <c r="C366" i="53"/>
  <c r="AI5" i="55" s="1"/>
  <c r="AV359" i="1"/>
  <c r="C378" i="53"/>
  <c r="AI17" i="55" s="1"/>
  <c r="AV371" i="1"/>
  <c r="AV348"/>
  <c r="C355" i="53"/>
  <c r="AH24" i="55" s="1"/>
  <c r="AV347" i="1"/>
  <c r="C354" i="53"/>
  <c r="AH23" i="55" s="1"/>
  <c r="AW377" i="1" l="1"/>
  <c r="AZ377" s="1"/>
  <c r="Q377" s="1"/>
  <c r="AY371"/>
  <c r="AY372" s="1"/>
  <c r="AY373" s="1"/>
  <c r="AY346"/>
  <c r="AY347" s="1"/>
  <c r="AY348" s="1"/>
  <c r="AY356"/>
  <c r="AW356" s="1"/>
  <c r="AZ356" s="1"/>
  <c r="Q356" s="1"/>
  <c r="AY358"/>
  <c r="AY359" s="1"/>
  <c r="AY353"/>
  <c r="AW353" s="1"/>
  <c r="AZ353" s="1"/>
  <c r="Q353" s="1"/>
  <c r="AY357"/>
  <c r="AW357" s="1"/>
  <c r="AZ357" s="1"/>
  <c r="Q357" s="1"/>
  <c r="AH22" i="55"/>
  <c r="AH35" s="1"/>
  <c r="AY364" i="1"/>
  <c r="AW364" s="1"/>
  <c r="AZ364" s="1"/>
  <c r="Q364" s="1"/>
  <c r="AY349"/>
  <c r="AW349" s="1"/>
  <c r="AZ349" s="1"/>
  <c r="Q349" s="1"/>
  <c r="AY370"/>
  <c r="AW370" s="1"/>
  <c r="AZ370" s="1"/>
  <c r="Q370" s="1"/>
  <c r="AY366"/>
  <c r="AW366" s="1"/>
  <c r="AZ366" s="1"/>
  <c r="Q366" s="1"/>
  <c r="AY365"/>
  <c r="AW365" s="1"/>
  <c r="AZ365" s="1"/>
  <c r="Q365" s="1"/>
  <c r="AY354"/>
  <c r="AY355" s="1"/>
  <c r="AY360"/>
  <c r="AW360" s="1"/>
  <c r="AZ360" s="1"/>
  <c r="Q360" s="1"/>
  <c r="AW378" l="1"/>
  <c r="AW379" s="1"/>
  <c r="AW371"/>
  <c r="AZ371" s="1"/>
  <c r="Q371" s="1"/>
  <c r="AW354"/>
  <c r="AZ354" s="1"/>
  <c r="Q354" s="1"/>
  <c r="AW346"/>
  <c r="AW358"/>
  <c r="AY361"/>
  <c r="AY367"/>
  <c r="AY350"/>
  <c r="AY374"/>
  <c r="AZ378" l="1"/>
  <c r="Q378" s="1"/>
  <c r="AW372"/>
  <c r="AW355"/>
  <c r="AZ355" s="1"/>
  <c r="Q355" s="1"/>
  <c r="AZ346"/>
  <c r="Q346" s="1"/>
  <c r="AW347"/>
  <c r="AY368"/>
  <c r="AW367"/>
  <c r="AZ367" s="1"/>
  <c r="Q367" s="1"/>
  <c r="AW350"/>
  <c r="AZ350" s="1"/>
  <c r="Q350" s="1"/>
  <c r="AY351"/>
  <c r="AY362"/>
  <c r="AW361"/>
  <c r="AZ361" s="1"/>
  <c r="Q361" s="1"/>
  <c r="AY375"/>
  <c r="AZ379"/>
  <c r="Q379" s="1"/>
  <c r="AW380"/>
  <c r="AZ380" s="1"/>
  <c r="Q380" s="1"/>
  <c r="AZ358"/>
  <c r="Q358" s="1"/>
  <c r="AW359"/>
  <c r="AZ359" s="1"/>
  <c r="Q359" s="1"/>
  <c r="AZ372" l="1"/>
  <c r="Q372" s="1"/>
  <c r="AW373"/>
  <c r="AZ347"/>
  <c r="Q347" s="1"/>
  <c r="AW348"/>
  <c r="AZ348" s="1"/>
  <c r="Q348" s="1"/>
  <c r="E578" i="26"/>
  <c r="I594" i="1" s="1"/>
  <c r="E577" i="26"/>
  <c r="I593" i="1" s="1"/>
  <c r="E569" i="26"/>
  <c r="I585" i="1" s="1"/>
  <c r="E574" i="26"/>
  <c r="I590" i="1" s="1"/>
  <c r="AY376"/>
  <c r="AW351"/>
  <c r="AZ351" s="1"/>
  <c r="Q351" s="1"/>
  <c r="AY352"/>
  <c r="E576" i="26"/>
  <c r="I592" i="1" s="1"/>
  <c r="E579" i="26"/>
  <c r="I595" i="1" s="1"/>
  <c r="E581" i="26"/>
  <c r="I597" i="1" s="1"/>
  <c r="E582" i="26"/>
  <c r="I598" i="1" s="1"/>
  <c r="E571" i="26"/>
  <c r="I587" i="1" s="1"/>
  <c r="E570" i="26"/>
  <c r="I586" i="1" s="1"/>
  <c r="E575" i="26"/>
  <c r="I591" i="1" s="1"/>
  <c r="E573" i="26"/>
  <c r="I589" i="1" s="1"/>
  <c r="E572" i="26"/>
  <c r="I588" i="1" s="1"/>
  <c r="E580" i="26"/>
  <c r="I596" i="1" s="1"/>
  <c r="AY363"/>
  <c r="AW362"/>
  <c r="AZ362" s="1"/>
  <c r="Q362" s="1"/>
  <c r="E583" i="26"/>
  <c r="I599" i="1" s="1"/>
  <c r="AY369"/>
  <c r="AW368"/>
  <c r="AZ368" s="1"/>
  <c r="Q368" s="1"/>
  <c r="AZ373" l="1"/>
  <c r="Q373" s="1"/>
  <c r="AW374"/>
  <c r="AW369"/>
  <c r="AZ369" s="1"/>
  <c r="Q369" s="1"/>
  <c r="AV599"/>
  <c r="C606" i="53"/>
  <c r="AP33" i="55" s="1"/>
  <c r="E562" i="26"/>
  <c r="I578" i="1" s="1"/>
  <c r="E559" i="26"/>
  <c r="I575" i="1" s="1"/>
  <c r="AV596"/>
  <c r="C603" i="53"/>
  <c r="AP30" i="55" s="1"/>
  <c r="AV588" i="1"/>
  <c r="C595" i="53"/>
  <c r="AP22" i="55" s="1"/>
  <c r="AW363" i="1"/>
  <c r="AZ363" s="1"/>
  <c r="Q363" s="1"/>
  <c r="E548" i="26"/>
  <c r="I564" i="1" s="1"/>
  <c r="E561" i="26"/>
  <c r="I577" i="1" s="1"/>
  <c r="E544" i="26"/>
  <c r="I560" i="1" s="1"/>
  <c r="E556" i="26"/>
  <c r="I572" i="1" s="1"/>
  <c r="E551" i="26"/>
  <c r="I567" i="1" s="1"/>
  <c r="C605" i="53"/>
  <c r="AP32" i="55" s="1"/>
  <c r="AV598" i="1"/>
  <c r="E557" i="26"/>
  <c r="I573" i="1" s="1"/>
  <c r="AW352"/>
  <c r="AZ352" s="1"/>
  <c r="Q352" s="1"/>
  <c r="E545" i="26"/>
  <c r="I561" i="1" s="1"/>
  <c r="E547" i="26"/>
  <c r="I563" i="1" s="1"/>
  <c r="E565" i="26"/>
  <c r="I581" i="1" s="1"/>
  <c r="E552" i="26"/>
  <c r="I568" i="1" s="1"/>
  <c r="E550" i="26"/>
  <c r="I566" i="1" s="1"/>
  <c r="AV589"/>
  <c r="C596" i="53"/>
  <c r="AP23" i="55" s="1"/>
  <c r="E568" i="26"/>
  <c r="I584" i="1" s="1"/>
  <c r="C602" i="53"/>
  <c r="AP29" i="55" s="1"/>
  <c r="AV595" i="1"/>
  <c r="E546" i="26"/>
  <c r="I562" i="1" s="1"/>
  <c r="C592" i="53"/>
  <c r="AP19" i="55" s="1"/>
  <c r="AV585" i="1"/>
  <c r="C600" i="53"/>
  <c r="AP27" i="55" s="1"/>
  <c r="AV593" i="1"/>
  <c r="E560" i="26"/>
  <c r="I576" i="1" s="1"/>
  <c r="E541" i="26"/>
  <c r="I557" i="1" s="1"/>
  <c r="E553" i="26"/>
  <c r="I569" i="1" s="1"/>
  <c r="E554" i="26"/>
  <c r="I570" i="1" s="1"/>
  <c r="C598" i="53"/>
  <c r="AP25" i="55" s="1"/>
  <c r="AV591" i="1"/>
  <c r="AV586"/>
  <c r="C593" i="53"/>
  <c r="AP20" i="55" s="1"/>
  <c r="E555" i="26"/>
  <c r="I571" i="1" s="1"/>
  <c r="E540" i="26"/>
  <c r="I556" i="1" s="1"/>
  <c r="E543" i="26"/>
  <c r="I559" i="1" s="1"/>
  <c r="AW376"/>
  <c r="AZ376" s="1"/>
  <c r="Q376" s="1"/>
  <c r="E539" i="26"/>
  <c r="I555" i="1" s="1"/>
  <c r="E549" i="26"/>
  <c r="I565" i="1" s="1"/>
  <c r="E566" i="26"/>
  <c r="I582" i="1" s="1"/>
  <c r="C597" i="53"/>
  <c r="AP24" i="55" s="1"/>
  <c r="AV590" i="1"/>
  <c r="E563" i="26"/>
  <c r="I579" i="1" s="1"/>
  <c r="E558" i="26"/>
  <c r="I574" i="1" s="1"/>
  <c r="E564" i="26"/>
  <c r="I580" i="1" s="1"/>
  <c r="AV594"/>
  <c r="C601" i="53"/>
  <c r="AP28" i="55" s="1"/>
  <c r="AV587" i="1"/>
  <c r="C594" i="53"/>
  <c r="AP21" i="55" s="1"/>
  <c r="E542" i="26"/>
  <c r="I558" i="1" s="1"/>
  <c r="AV597"/>
  <c r="C604" i="53"/>
  <c r="AP31" i="55" s="1"/>
  <c r="C599" i="53"/>
  <c r="AP26" i="55" s="1"/>
  <c r="AV592" i="1"/>
  <c r="E567" i="26"/>
  <c r="I583" i="1" s="1"/>
  <c r="AZ374" l="1"/>
  <c r="Q374" s="1"/>
  <c r="AW375"/>
  <c r="AZ375" s="1"/>
  <c r="Q375" s="1"/>
  <c r="E512" i="26"/>
  <c r="I528" i="1" s="1"/>
  <c r="E520" i="26"/>
  <c r="I536" i="1" s="1"/>
  <c r="E518" i="26"/>
  <c r="I534" i="1" s="1"/>
  <c r="C578" i="53"/>
  <c r="AP5" i="55" s="1"/>
  <c r="AV571" i="1"/>
  <c r="C569" i="53"/>
  <c r="AO26" i="55" s="1"/>
  <c r="AV562" i="1"/>
  <c r="E526" i="26"/>
  <c r="I542" i="1" s="1"/>
  <c r="E529" i="26"/>
  <c r="I545" i="1" s="1"/>
  <c r="C591" i="53"/>
  <c r="AP18" i="55" s="1"/>
  <c r="AV584" i="1"/>
  <c r="C573" i="53"/>
  <c r="AO30" i="55" s="1"/>
  <c r="AV566" i="1"/>
  <c r="C588" i="53"/>
  <c r="AP15" i="55" s="1"/>
  <c r="AV581" i="1"/>
  <c r="AV561"/>
  <c r="C568" i="53"/>
  <c r="AO25" i="55" s="1"/>
  <c r="C567" i="53"/>
  <c r="AO24" i="55" s="1"/>
  <c r="AV560" i="1"/>
  <c r="C571" i="53"/>
  <c r="AO28" i="55" s="1"/>
  <c r="AV564" i="1"/>
  <c r="C581" i="53"/>
  <c r="AP8" i="55" s="1"/>
  <c r="AV574" i="1"/>
  <c r="C566" i="53"/>
  <c r="AO23" i="55" s="1"/>
  <c r="AV559" i="1"/>
  <c r="C564" i="53"/>
  <c r="AO21" i="55" s="1"/>
  <c r="AV557" i="1"/>
  <c r="E534" i="26"/>
  <c r="I550" i="1" s="1"/>
  <c r="E514" i="26"/>
  <c r="I530" i="1" s="1"/>
  <c r="E537" i="26"/>
  <c r="I553" i="1" s="1"/>
  <c r="E536" i="26"/>
  <c r="I552" i="1" s="1"/>
  <c r="E535" i="26"/>
  <c r="I551" i="1" s="1"/>
  <c r="AV563"/>
  <c r="C570" i="53"/>
  <c r="AO27" i="55" s="1"/>
  <c r="AV567" i="1"/>
  <c r="C574" i="53"/>
  <c r="AO31" i="55" s="1"/>
  <c r="AY599" i="1"/>
  <c r="AW599" s="1"/>
  <c r="AZ599" s="1"/>
  <c r="Q599" s="1"/>
  <c r="E511" i="26"/>
  <c r="I527" i="1" s="1"/>
  <c r="E523" i="26"/>
  <c r="I539" i="1" s="1"/>
  <c r="AV558"/>
  <c r="C565" i="53"/>
  <c r="AO22" i="55" s="1"/>
  <c r="E521" i="26"/>
  <c r="I537" i="1" s="1"/>
  <c r="E519" i="26"/>
  <c r="I535" i="1" s="1"/>
  <c r="E530" i="26"/>
  <c r="I546" i="1" s="1"/>
  <c r="AV583"/>
  <c r="C590" i="53"/>
  <c r="AP17" i="55" s="1"/>
  <c r="E509" i="26"/>
  <c r="I525" i="1" s="1"/>
  <c r="E515" i="26"/>
  <c r="I531" i="1" s="1"/>
  <c r="AV582"/>
  <c r="C589" i="53"/>
  <c r="AP16" i="55" s="1"/>
  <c r="E516" i="26"/>
  <c r="I532" i="1" s="1"/>
  <c r="E525" i="26"/>
  <c r="I541" i="1" s="1"/>
  <c r="E528" i="26"/>
  <c r="I544" i="1" s="1"/>
  <c r="E527" i="26"/>
  <c r="I543" i="1" s="1"/>
  <c r="E510" i="26"/>
  <c r="I526" i="1" s="1"/>
  <c r="C562" i="53"/>
  <c r="AO19" i="55" s="1"/>
  <c r="AV555" i="1"/>
  <c r="AV556"/>
  <c r="C563" i="53"/>
  <c r="AO20" i="55" s="1"/>
  <c r="E532" i="26"/>
  <c r="I548" i="1" s="1"/>
  <c r="AV568"/>
  <c r="C575" i="53"/>
  <c r="AO32" i="55" s="1"/>
  <c r="E538" i="26"/>
  <c r="I554" i="1" s="1"/>
  <c r="E533" i="26"/>
  <c r="I549" i="1" s="1"/>
  <c r="AV573"/>
  <c r="C580" i="53"/>
  <c r="AP7" i="55" s="1"/>
  <c r="AV572" i="1"/>
  <c r="C579" i="53"/>
  <c r="AP6" i="55" s="1"/>
  <c r="AV580" i="1"/>
  <c r="C587" i="53"/>
  <c r="AP14" i="55" s="1"/>
  <c r="C586" i="53"/>
  <c r="AP13" i="55" s="1"/>
  <c r="AV579" i="1"/>
  <c r="E513" i="26"/>
  <c r="I529" i="1" s="1"/>
  <c r="E522" i="26"/>
  <c r="I538" i="1" s="1"/>
  <c r="AV565"/>
  <c r="C572" i="53"/>
  <c r="AO29" i="55" s="1"/>
  <c r="C577" i="53"/>
  <c r="AP4" i="55" s="1"/>
  <c r="AV570" i="1"/>
  <c r="AV569"/>
  <c r="C576" i="53"/>
  <c r="AP3" i="55" s="1"/>
  <c r="C583" i="53"/>
  <c r="AP10" i="55" s="1"/>
  <c r="AV576" i="1"/>
  <c r="E524" i="26"/>
  <c r="I540" i="1" s="1"/>
  <c r="E517" i="26"/>
  <c r="I533" i="1" s="1"/>
  <c r="E508" i="26"/>
  <c r="I524" i="1" s="1"/>
  <c r="E531" i="26"/>
  <c r="I547" i="1" s="1"/>
  <c r="AV577"/>
  <c r="C584" i="53"/>
  <c r="AP11" i="55" s="1"/>
  <c r="C582" i="53"/>
  <c r="AP9" i="55" s="1"/>
  <c r="AV575" i="1"/>
  <c r="C585" i="53"/>
  <c r="AP12" i="55" s="1"/>
  <c r="AV578" i="1"/>
  <c r="AV540" l="1"/>
  <c r="C547" i="53"/>
  <c r="AO4" i="55" s="1"/>
  <c r="AP35"/>
  <c r="AV549" i="1"/>
  <c r="C556" i="53"/>
  <c r="AO13" i="55" s="1"/>
  <c r="E497" i="26"/>
  <c r="I513" i="1" s="1"/>
  <c r="C561" i="53"/>
  <c r="AO18" i="55" s="1"/>
  <c r="AV554" i="1"/>
  <c r="AV544"/>
  <c r="C551" i="53"/>
  <c r="AO8" i="55" s="1"/>
  <c r="AV532" i="1"/>
  <c r="C539" i="53"/>
  <c r="AN27" i="55" s="1"/>
  <c r="AV527" i="1"/>
  <c r="C534" i="53"/>
  <c r="AN22" i="55" s="1"/>
  <c r="E502" i="26"/>
  <c r="I518" i="1" s="1"/>
  <c r="E489" i="26"/>
  <c r="I505" i="1" s="1"/>
  <c r="E495" i="26"/>
  <c r="I511" i="1" s="1"/>
  <c r="C559" i="53"/>
  <c r="AO16" i="55" s="1"/>
  <c r="AV552" i="1"/>
  <c r="E504" i="26"/>
  <c r="I520" i="1" s="1"/>
  <c r="E490" i="26"/>
  <c r="I506" i="1" s="1"/>
  <c r="E487" i="26"/>
  <c r="I503" i="1" s="1"/>
  <c r="C543" i="53"/>
  <c r="AN31" i="55" s="1"/>
  <c r="AV536" i="1"/>
  <c r="C554" i="53"/>
  <c r="AO11" i="55" s="1"/>
  <c r="AV547" i="1"/>
  <c r="E493" i="26"/>
  <c r="I509" i="1" s="1"/>
  <c r="E505" i="26"/>
  <c r="I521" i="1" s="1"/>
  <c r="E499" i="26"/>
  <c r="I515" i="1" s="1"/>
  <c r="AV524"/>
  <c r="C531" i="53"/>
  <c r="AN19" i="55" s="1"/>
  <c r="AV538" i="1"/>
  <c r="C545" i="53"/>
  <c r="AN33" i="55" s="1"/>
  <c r="E492" i="26"/>
  <c r="I508" i="1" s="1"/>
  <c r="E482" i="26"/>
  <c r="I498" i="1" s="1"/>
  <c r="AV526"/>
  <c r="C533" i="53"/>
  <c r="AN21" i="55" s="1"/>
  <c r="C538" i="53"/>
  <c r="AN26" i="55" s="1"/>
  <c r="AV531" i="1"/>
  <c r="C542" i="53"/>
  <c r="AN30" i="55" s="1"/>
  <c r="AV535" i="1"/>
  <c r="E506" i="26"/>
  <c r="I522" i="1" s="1"/>
  <c r="AV530"/>
  <c r="C537" i="53"/>
  <c r="AN25" i="55" s="1"/>
  <c r="E494" i="26"/>
  <c r="I510" i="1" s="1"/>
  <c r="C549" i="53"/>
  <c r="AO6" i="55" s="1"/>
  <c r="AV542" i="1"/>
  <c r="E503" i="26"/>
  <c r="I519" i="1" s="1"/>
  <c r="E483" i="26"/>
  <c r="I499" i="1" s="1"/>
  <c r="E485" i="26"/>
  <c r="I501" i="1" s="1"/>
  <c r="C540" i="53"/>
  <c r="AN28" i="55" s="1"/>
  <c r="AV533" i="1"/>
  <c r="E484" i="26"/>
  <c r="I500" i="1" s="1"/>
  <c r="E496" i="26"/>
  <c r="I512" i="1" s="1"/>
  <c r="AV548"/>
  <c r="C555" i="53"/>
  <c r="AO12" i="55" s="1"/>
  <c r="AV543" i="1"/>
  <c r="C550" i="53"/>
  <c r="AO7" i="55" s="1"/>
  <c r="AV541" i="1"/>
  <c r="C548" i="53"/>
  <c r="AO5" i="55" s="1"/>
  <c r="AV525" i="1"/>
  <c r="C532" i="53"/>
  <c r="AN20" i="55" s="1"/>
  <c r="AV537" i="1"/>
  <c r="C544" i="53"/>
  <c r="AN32" i="55" s="1"/>
  <c r="AV539" i="1"/>
  <c r="C546" i="53"/>
  <c r="AO3" i="55" s="1"/>
  <c r="E498" i="26"/>
  <c r="I514" i="1" s="1"/>
  <c r="E481" i="26"/>
  <c r="I497" i="1" s="1"/>
  <c r="C558" i="53"/>
  <c r="AO15" i="55" s="1"/>
  <c r="AV551" i="1"/>
  <c r="E478" i="26"/>
  <c r="I494" i="1" s="1"/>
  <c r="E501" i="26"/>
  <c r="I517" i="1" s="1"/>
  <c r="E479" i="26"/>
  <c r="I495" i="1" s="1"/>
  <c r="AV534"/>
  <c r="C541" i="53"/>
  <c r="AN29" i="55" s="1"/>
  <c r="AV528" i="1"/>
  <c r="C535" i="53"/>
  <c r="AN23" i="55" s="1"/>
  <c r="E500" i="26"/>
  <c r="I516" i="1" s="1"/>
  <c r="E507" i="26"/>
  <c r="I523" i="1" s="1"/>
  <c r="AY565"/>
  <c r="AY566" s="1"/>
  <c r="AV529"/>
  <c r="C536" i="53"/>
  <c r="AN24" i="55" s="1"/>
  <c r="E480" i="26"/>
  <c r="I496" i="1" s="1"/>
  <c r="E486" i="26"/>
  <c r="I502" i="1" s="1"/>
  <c r="C553" i="53"/>
  <c r="AO10" i="55" s="1"/>
  <c r="AV546" i="1"/>
  <c r="E491" i="26"/>
  <c r="I507" i="1" s="1"/>
  <c r="AV553"/>
  <c r="C560" i="53"/>
  <c r="AO17" i="55" s="1"/>
  <c r="AV550" i="1"/>
  <c r="C557" i="53"/>
  <c r="AO14" i="55" s="1"/>
  <c r="E488" i="26"/>
  <c r="I504" i="1" s="1"/>
  <c r="AV545"/>
  <c r="C552" i="53"/>
  <c r="AO9" i="55" s="1"/>
  <c r="AW565" i="1" l="1"/>
  <c r="AZ565" s="1"/>
  <c r="Q565" s="1"/>
  <c r="AY567"/>
  <c r="AV496"/>
  <c r="C503" i="53"/>
  <c r="AM21" i="55" s="1"/>
  <c r="C530" i="53"/>
  <c r="AN18" i="55" s="1"/>
  <c r="AV523" i="1"/>
  <c r="C523" i="53"/>
  <c r="AN11" i="55" s="1"/>
  <c r="AV516" i="1"/>
  <c r="C524" i="53"/>
  <c r="AN12" i="55" s="1"/>
  <c r="AV517" i="1"/>
  <c r="C504" i="53"/>
  <c r="AM22" i="55" s="1"/>
  <c r="AV497" i="1"/>
  <c r="AY548"/>
  <c r="AW548" s="1"/>
  <c r="AZ548" s="1"/>
  <c r="Q548" s="1"/>
  <c r="C508" i="53"/>
  <c r="AM26" i="55" s="1"/>
  <c r="AV501" i="1"/>
  <c r="E467" i="26"/>
  <c r="I483" i="1" s="1"/>
  <c r="E471" i="26"/>
  <c r="I487" i="1" s="1"/>
  <c r="E448" i="26"/>
  <c r="I464" i="1" s="1"/>
  <c r="E468" i="26"/>
  <c r="I484" i="1" s="1"/>
  <c r="AV519"/>
  <c r="C526" i="53"/>
  <c r="AN14" i="55" s="1"/>
  <c r="E473" i="26"/>
  <c r="I489" i="1" s="1"/>
  <c r="E474" i="26"/>
  <c r="I490" i="1" s="1"/>
  <c r="E466" i="26"/>
  <c r="I482" i="1" s="1"/>
  <c r="E477" i="26"/>
  <c r="I493" i="1" s="1"/>
  <c r="C512" i="53"/>
  <c r="AM30" i="55" s="1"/>
  <c r="AV505" i="1"/>
  <c r="AY549"/>
  <c r="AW549" s="1"/>
  <c r="AZ549" s="1"/>
  <c r="Q549" s="1"/>
  <c r="AV504"/>
  <c r="C511" i="53"/>
  <c r="AM29" i="55" s="1"/>
  <c r="AY550" i="1"/>
  <c r="AW550" s="1"/>
  <c r="E469" i="26"/>
  <c r="I485" i="1" s="1"/>
  <c r="E472" i="26"/>
  <c r="I488" i="1" s="1"/>
  <c r="AV512"/>
  <c r="C519" i="53"/>
  <c r="AN7" i="55" s="1"/>
  <c r="E463" i="26"/>
  <c r="I479" i="1" s="1"/>
  <c r="E449" i="26"/>
  <c r="I465" i="1" s="1"/>
  <c r="AV510"/>
  <c r="C517" i="53"/>
  <c r="AN5" i="55" s="1"/>
  <c r="C505" i="53"/>
  <c r="AM23" i="55" s="1"/>
  <c r="AV498" i="1"/>
  <c r="C528" i="53"/>
  <c r="AN16" i="55" s="1"/>
  <c r="AV521" i="1"/>
  <c r="AV503"/>
  <c r="C510" i="53"/>
  <c r="AM28" i="55" s="1"/>
  <c r="C527" i="53"/>
  <c r="AN15" i="55" s="1"/>
  <c r="AV520" i="1"/>
  <c r="AV511"/>
  <c r="C518" i="53"/>
  <c r="AN6" i="55" s="1"/>
  <c r="C525" i="53"/>
  <c r="AN13" i="55" s="1"/>
  <c r="AV518" i="1"/>
  <c r="AV513"/>
  <c r="C520" i="53"/>
  <c r="AN8" i="55" s="1"/>
  <c r="E461" i="26"/>
  <c r="I477" i="1" s="1"/>
  <c r="E452" i="26"/>
  <c r="I468" i="1" s="1"/>
  <c r="E475" i="26"/>
  <c r="I491" i="1" s="1"/>
  <c r="AV507"/>
  <c r="C514" i="53"/>
  <c r="AM32" i="55" s="1"/>
  <c r="E447" i="26"/>
  <c r="I463" i="1" s="1"/>
  <c r="AV514"/>
  <c r="C521" i="53"/>
  <c r="AN9" i="55" s="1"/>
  <c r="AO35"/>
  <c r="AY533" i="1"/>
  <c r="AW533" s="1"/>
  <c r="AZ533" s="1"/>
  <c r="Q533" s="1"/>
  <c r="C529" i="53"/>
  <c r="AN17" i="55" s="1"/>
  <c r="AV522" i="1"/>
  <c r="AV508"/>
  <c r="C515" i="53"/>
  <c r="AN3" i="55" s="1"/>
  <c r="AV515" i="1"/>
  <c r="C522" i="53"/>
  <c r="AN10" i="55" s="1"/>
  <c r="E457" i="26"/>
  <c r="I473" i="1" s="1"/>
  <c r="E450" i="26"/>
  <c r="I466" i="1" s="1"/>
  <c r="AV509"/>
  <c r="C516" i="53"/>
  <c r="AN4" i="55" s="1"/>
  <c r="AY553" i="1"/>
  <c r="AW553" s="1"/>
  <c r="AV502"/>
  <c r="C509" i="53"/>
  <c r="AM27" i="55" s="1"/>
  <c r="E476" i="26"/>
  <c r="I492" i="1" s="1"/>
  <c r="E453" i="26"/>
  <c r="I469" i="1" s="1"/>
  <c r="E464" i="26"/>
  <c r="I480" i="1" s="1"/>
  <c r="C502" i="53"/>
  <c r="AM20" i="55" s="1"/>
  <c r="AV495" i="1"/>
  <c r="AV494"/>
  <c r="C501" i="53"/>
  <c r="AM19" i="55" s="1"/>
  <c r="C507" i="53"/>
  <c r="AM25" i="55" s="1"/>
  <c r="AV500" i="1"/>
  <c r="E456" i="26"/>
  <c r="I472" i="1" s="1"/>
  <c r="E459" i="26"/>
  <c r="I475" i="1" s="1"/>
  <c r="E455" i="26"/>
  <c r="I471" i="1" s="1"/>
  <c r="E451" i="26"/>
  <c r="I467" i="1" s="1"/>
  <c r="E458" i="26"/>
  <c r="I474" i="1" s="1"/>
  <c r="C506" i="53"/>
  <c r="AM24" i="55" s="1"/>
  <c r="AV499" i="1"/>
  <c r="E465" i="26"/>
  <c r="I481" i="1" s="1"/>
  <c r="E462" i="26"/>
  <c r="I478" i="1" s="1"/>
  <c r="C513" i="53"/>
  <c r="AM31" i="55" s="1"/>
  <c r="AV506" i="1"/>
  <c r="E460" i="26"/>
  <c r="I476" i="1" s="1"/>
  <c r="E470" i="26"/>
  <c r="I486" i="1" s="1"/>
  <c r="E454" i="26"/>
  <c r="I470" i="1" s="1"/>
  <c r="AY554" l="1"/>
  <c r="AY555" s="1"/>
  <c r="AW566"/>
  <c r="AZ566" s="1"/>
  <c r="Q566" s="1"/>
  <c r="AY551"/>
  <c r="AY552" s="1"/>
  <c r="AZ550"/>
  <c r="Q550" s="1"/>
  <c r="AZ553"/>
  <c r="Q553" s="1"/>
  <c r="AW554"/>
  <c r="AZ554" s="1"/>
  <c r="Q554" s="1"/>
  <c r="AY506"/>
  <c r="AW506" s="1"/>
  <c r="AZ506" s="1"/>
  <c r="Q506" s="1"/>
  <c r="AV474"/>
  <c r="C481" i="53"/>
  <c r="AL30" i="55" s="1"/>
  <c r="E446" i="26"/>
  <c r="I462" i="1" s="1"/>
  <c r="E425" i="26"/>
  <c r="I441" i="1" s="1"/>
  <c r="E428" i="26"/>
  <c r="I444" i="1" s="1"/>
  <c r="AY509"/>
  <c r="AW509" s="1"/>
  <c r="AZ509" s="1"/>
  <c r="Q509" s="1"/>
  <c r="AN35" i="55"/>
  <c r="C484" i="53"/>
  <c r="AL33" i="55" s="1"/>
  <c r="AV477" i="1"/>
  <c r="AY503"/>
  <c r="AW503" s="1"/>
  <c r="AZ503" s="1"/>
  <c r="Q503" s="1"/>
  <c r="AV479"/>
  <c r="C486" i="53"/>
  <c r="AM4" i="55" s="1"/>
  <c r="E420" i="26"/>
  <c r="I436" i="1" s="1"/>
  <c r="E427" i="26"/>
  <c r="I443" i="1" s="1"/>
  <c r="E432" i="26"/>
  <c r="I448" i="1" s="1"/>
  <c r="AY534"/>
  <c r="C492" i="53"/>
  <c r="AM10" i="55" s="1"/>
  <c r="AV485" i="1"/>
  <c r="AV493"/>
  <c r="C500" i="53"/>
  <c r="AM18" i="55" s="1"/>
  <c r="AV464" i="1"/>
  <c r="C471" i="53"/>
  <c r="AL20" i="55" s="1"/>
  <c r="C490" i="53"/>
  <c r="AM8" i="55" s="1"/>
  <c r="AV483" i="1"/>
  <c r="AY501"/>
  <c r="AW501" s="1"/>
  <c r="AZ501" s="1"/>
  <c r="Q501" s="1"/>
  <c r="AY517"/>
  <c r="AW517" s="1"/>
  <c r="AZ517" s="1"/>
  <c r="Q517" s="1"/>
  <c r="AV481"/>
  <c r="C488" i="53"/>
  <c r="AM6" i="55" s="1"/>
  <c r="C483" i="53"/>
  <c r="AL32" i="55" s="1"/>
  <c r="AV476" i="1"/>
  <c r="C493" i="53"/>
  <c r="AM11" i="55" s="1"/>
  <c r="AV486" i="1"/>
  <c r="AY556"/>
  <c r="C485" i="53"/>
  <c r="AM3" i="55" s="1"/>
  <c r="AV478" i="1"/>
  <c r="C474" i="53"/>
  <c r="AL23" i="55" s="1"/>
  <c r="AV467" i="1"/>
  <c r="C482" i="53"/>
  <c r="AL31" i="55" s="1"/>
  <c r="AV475" i="1"/>
  <c r="E436" i="26"/>
  <c r="I452" i="1" s="1"/>
  <c r="E417" i="26"/>
  <c r="I433" i="1" s="1"/>
  <c r="AY502"/>
  <c r="AW502" s="1"/>
  <c r="AZ502" s="1"/>
  <c r="Q502" s="1"/>
  <c r="C473" i="53"/>
  <c r="AL22" i="55" s="1"/>
  <c r="AV466" i="1"/>
  <c r="E441" i="26"/>
  <c r="I457" i="1" s="1"/>
  <c r="C498" i="53"/>
  <c r="AM16" i="55" s="1"/>
  <c r="AV491" i="1"/>
  <c r="AY521"/>
  <c r="AW521" s="1"/>
  <c r="AZ521" s="1"/>
  <c r="Q521" s="1"/>
  <c r="E440" i="26"/>
  <c r="I456" i="1" s="1"/>
  <c r="E419" i="26"/>
  <c r="I435" i="1" s="1"/>
  <c r="E429" i="26"/>
  <c r="I445" i="1" s="1"/>
  <c r="C495" i="53"/>
  <c r="AM13" i="55" s="1"/>
  <c r="AV488" i="1"/>
  <c r="AY504"/>
  <c r="C489" i="53"/>
  <c r="AM7" i="55" s="1"/>
  <c r="AV482" i="1"/>
  <c r="AV489"/>
  <c r="C496" i="53"/>
  <c r="AM14" i="55" s="1"/>
  <c r="E418" i="26"/>
  <c r="I434" i="1" s="1"/>
  <c r="C477" i="53"/>
  <c r="AL26" i="55" s="1"/>
  <c r="AV470" i="1"/>
  <c r="E426" i="26"/>
  <c r="I442" i="1" s="1"/>
  <c r="E444" i="26"/>
  <c r="I460" i="1" s="1"/>
  <c r="E433" i="26"/>
  <c r="I449" i="1" s="1"/>
  <c r="E439" i="26"/>
  <c r="I455" i="1" s="1"/>
  <c r="C487" i="53"/>
  <c r="AM5" i="55" s="1"/>
  <c r="AV480" i="1"/>
  <c r="C499" i="53"/>
  <c r="AM17" i="55" s="1"/>
  <c r="AV492" i="1"/>
  <c r="C472" i="53"/>
  <c r="AL21" i="55" s="1"/>
  <c r="AV465" i="1"/>
  <c r="E422" i="26"/>
  <c r="I438" i="1" s="1"/>
  <c r="E442" i="26"/>
  <c r="I458" i="1" s="1"/>
  <c r="E430" i="26"/>
  <c r="I446" i="1" s="1"/>
  <c r="AY568"/>
  <c r="AW567"/>
  <c r="AZ567" s="1"/>
  <c r="Q567" s="1"/>
  <c r="C478" i="53"/>
  <c r="AL27" i="55" s="1"/>
  <c r="AV471" i="1"/>
  <c r="C479" i="53"/>
  <c r="AL28" i="55" s="1"/>
  <c r="AV472" i="1"/>
  <c r="E421" i="26"/>
  <c r="I437" i="1" s="1"/>
  <c r="E438" i="26"/>
  <c r="I454" i="1" s="1"/>
  <c r="E431" i="26"/>
  <c r="I447" i="1" s="1"/>
  <c r="AY500"/>
  <c r="AW500" s="1"/>
  <c r="AZ500" s="1"/>
  <c r="Q500" s="1"/>
  <c r="C476" i="53"/>
  <c r="AL25" i="55" s="1"/>
  <c r="AV469" i="1"/>
  <c r="C480" i="53"/>
  <c r="AL29" i="55" s="1"/>
  <c r="AV473" i="1"/>
  <c r="E443" i="26"/>
  <c r="I459" i="1" s="1"/>
  <c r="C470" i="53"/>
  <c r="AL19" i="55" s="1"/>
  <c r="AV463" i="1"/>
  <c r="AY507"/>
  <c r="AY508" s="1"/>
  <c r="AV468"/>
  <c r="C475" i="53"/>
  <c r="AL24" i="55" s="1"/>
  <c r="E423" i="26"/>
  <c r="I439" i="1" s="1"/>
  <c r="E445" i="26"/>
  <c r="I461" i="1" s="1"/>
  <c r="E437" i="26"/>
  <c r="I453" i="1" s="1"/>
  <c r="E434" i="26"/>
  <c r="I450" i="1" s="1"/>
  <c r="E424" i="26"/>
  <c r="I440" i="1" s="1"/>
  <c r="AY505"/>
  <c r="C497" i="53"/>
  <c r="AM15" i="55" s="1"/>
  <c r="AV490" i="1"/>
  <c r="AV484"/>
  <c r="C491" i="53"/>
  <c r="AM9" i="55" s="1"/>
  <c r="C494" i="53"/>
  <c r="AM12" i="55" s="1"/>
  <c r="AV487" i="1"/>
  <c r="E435" i="26"/>
  <c r="I451" i="1" s="1"/>
  <c r="AW555" l="1"/>
  <c r="AZ555" s="1"/>
  <c r="Q555" s="1"/>
  <c r="AY510"/>
  <c r="AW510" s="1"/>
  <c r="AZ510" s="1"/>
  <c r="Q510" s="1"/>
  <c r="AY518"/>
  <c r="AW518" s="1"/>
  <c r="AZ518" s="1"/>
  <c r="Q518" s="1"/>
  <c r="AW551"/>
  <c r="AZ551" s="1"/>
  <c r="Q551" s="1"/>
  <c r="AY522"/>
  <c r="AY523" s="1"/>
  <c r="AW507"/>
  <c r="AZ507" s="1"/>
  <c r="Q507" s="1"/>
  <c r="AW504"/>
  <c r="AZ504" s="1"/>
  <c r="Q504" s="1"/>
  <c r="AW522"/>
  <c r="AZ522" s="1"/>
  <c r="Q522" s="1"/>
  <c r="AY524"/>
  <c r="AV461"/>
  <c r="C468" i="53"/>
  <c r="AL17" i="55" s="1"/>
  <c r="C447" i="53"/>
  <c r="AK24" i="55" s="1"/>
  <c r="AV440" i="1"/>
  <c r="C460" i="53"/>
  <c r="AL9" i="55" s="1"/>
  <c r="AV453" i="1"/>
  <c r="AY468"/>
  <c r="AW468" s="1"/>
  <c r="AZ468" s="1"/>
  <c r="Q468" s="1"/>
  <c r="AY469"/>
  <c r="AW469" s="1"/>
  <c r="AZ469" s="1"/>
  <c r="Q469" s="1"/>
  <c r="E407" i="26"/>
  <c r="I423" i="1" s="1"/>
  <c r="C444" i="53"/>
  <c r="AK21" i="55" s="1"/>
  <c r="AV437" i="1"/>
  <c r="AY465"/>
  <c r="AW465" s="1"/>
  <c r="AZ465" s="1"/>
  <c r="Q465" s="1"/>
  <c r="AV455"/>
  <c r="C462" i="53"/>
  <c r="AL11" i="55" s="1"/>
  <c r="C467" i="53"/>
  <c r="AL16" i="55" s="1"/>
  <c r="AV460" i="1"/>
  <c r="E402" i="26"/>
  <c r="I418" i="1" s="1"/>
  <c r="C440" i="53"/>
  <c r="AK17" i="55" s="1"/>
  <c r="AV433" i="1"/>
  <c r="E410" i="26"/>
  <c r="I426" i="1" s="1"/>
  <c r="AW534"/>
  <c r="AZ534" s="1"/>
  <c r="Q534" s="1"/>
  <c r="AY535"/>
  <c r="AV436"/>
  <c r="C443" i="53"/>
  <c r="AK20" i="55" s="1"/>
  <c r="C469" i="53"/>
  <c r="AL18" i="55" s="1"/>
  <c r="AV462" i="1"/>
  <c r="E391" i="26"/>
  <c r="I407" i="1" s="1"/>
  <c r="E386" i="26"/>
  <c r="I402" i="1" s="1"/>
  <c r="E388" i="26"/>
  <c r="I404" i="1" s="1"/>
  <c r="E397" i="26"/>
  <c r="I413" i="1" s="1"/>
  <c r="C461" i="53"/>
  <c r="AL10" i="55" s="1"/>
  <c r="AV454" i="1"/>
  <c r="E389" i="26"/>
  <c r="I405" i="1" s="1"/>
  <c r="E405" i="26"/>
  <c r="I421" i="1" s="1"/>
  <c r="AY569"/>
  <c r="AW568"/>
  <c r="AZ568" s="1"/>
  <c r="Q568" s="1"/>
  <c r="C453" i="53"/>
  <c r="AK30" i="55" s="1"/>
  <c r="AV446" i="1"/>
  <c r="C465" i="53"/>
  <c r="AL14" i="55" s="1"/>
  <c r="AV458" i="1"/>
  <c r="E406" i="26"/>
  <c r="I422" i="1" s="1"/>
  <c r="E413" i="26"/>
  <c r="I429" i="1" s="1"/>
  <c r="AV457"/>
  <c r="C464" i="53"/>
  <c r="AL13" i="55" s="1"/>
  <c r="E415" i="26"/>
  <c r="I431" i="1" s="1"/>
  <c r="E390" i="26"/>
  <c r="I406" i="1" s="1"/>
  <c r="E398" i="26"/>
  <c r="I414" i="1" s="1"/>
  <c r="E416" i="26"/>
  <c r="I432" i="1" s="1"/>
  <c r="AY557"/>
  <c r="AW556"/>
  <c r="AZ556" s="1"/>
  <c r="Q556" s="1"/>
  <c r="E404" i="26"/>
  <c r="I420" i="1" s="1"/>
  <c r="E400" i="26"/>
  <c r="I416" i="1" s="1"/>
  <c r="E392" i="26"/>
  <c r="I408" i="1" s="1"/>
  <c r="C446" i="53"/>
  <c r="AK23" i="55" s="1"/>
  <c r="AV439" i="1"/>
  <c r="C457" i="53"/>
  <c r="AL6" i="55" s="1"/>
  <c r="AV450" i="1"/>
  <c r="E414" i="26"/>
  <c r="I430" i="1" s="1"/>
  <c r="AV449"/>
  <c r="C456" i="53"/>
  <c r="AL5" i="55" s="1"/>
  <c r="E393" i="26"/>
  <c r="I409" i="1" s="1"/>
  <c r="E387" i="26"/>
  <c r="I403" i="1" s="1"/>
  <c r="AV442"/>
  <c r="C449" i="53"/>
  <c r="AK26" i="55" s="1"/>
  <c r="C442" i="53"/>
  <c r="AK19" i="55" s="1"/>
  <c r="AV435" i="1"/>
  <c r="C459" i="53"/>
  <c r="AL8" i="55" s="1"/>
  <c r="AV452" i="1"/>
  <c r="E409" i="26"/>
  <c r="I425" i="1" s="1"/>
  <c r="AY478"/>
  <c r="AY479" s="1"/>
  <c r="AY480" s="1"/>
  <c r="AY481" s="1"/>
  <c r="AY482" s="1"/>
  <c r="AY483" s="1"/>
  <c r="AY484" s="1"/>
  <c r="C450" i="53"/>
  <c r="AK27" i="55" s="1"/>
  <c r="AV443" i="1"/>
  <c r="AY477"/>
  <c r="AW477" s="1"/>
  <c r="AZ477" s="1"/>
  <c r="Q477" s="1"/>
  <c r="AV441"/>
  <c r="C448" i="53"/>
  <c r="AK25" i="55" s="1"/>
  <c r="E399" i="26"/>
  <c r="I415" i="1" s="1"/>
  <c r="C458" i="53"/>
  <c r="AL7" i="55" s="1"/>
  <c r="AV451" i="1"/>
  <c r="C466" i="53"/>
  <c r="AL15" i="55" s="1"/>
  <c r="AV459" i="1"/>
  <c r="C454" i="53"/>
  <c r="AV447" i="1"/>
  <c r="E403" i="26"/>
  <c r="I419" i="1" s="1"/>
  <c r="E396" i="26"/>
  <c r="I412" i="1" s="1"/>
  <c r="E394" i="26"/>
  <c r="I410" i="1" s="1"/>
  <c r="AV438"/>
  <c r="C445" i="53"/>
  <c r="AK22" i="55" s="1"/>
  <c r="E408" i="26"/>
  <c r="I424" i="1" s="1"/>
  <c r="E411" i="26"/>
  <c r="I427" i="1" s="1"/>
  <c r="C441" i="53"/>
  <c r="AK18" i="55" s="1"/>
  <c r="AV434" i="1"/>
  <c r="C452" i="53"/>
  <c r="AK29" i="55" s="1"/>
  <c r="AV445" i="1"/>
  <c r="AV456"/>
  <c r="C463" i="53"/>
  <c r="AL12" i="55" s="1"/>
  <c r="E412" i="26"/>
  <c r="I428" i="1" s="1"/>
  <c r="E395" i="26"/>
  <c r="I411" i="1" s="1"/>
  <c r="E401" i="26"/>
  <c r="I417" i="1" s="1"/>
  <c r="AM35" i="55"/>
  <c r="C455" i="53"/>
  <c r="AL4" i="55" s="1"/>
  <c r="AV448" i="1"/>
  <c r="AV444"/>
  <c r="C451" i="53"/>
  <c r="AK28" i="55" s="1"/>
  <c r="AY470" i="1" l="1"/>
  <c r="AY471" s="1"/>
  <c r="AY472" s="1"/>
  <c r="AY473" s="1"/>
  <c r="AY511"/>
  <c r="AY519"/>
  <c r="AW552"/>
  <c r="AZ552" s="1"/>
  <c r="Q552" s="1"/>
  <c r="AW508"/>
  <c r="AZ508" s="1"/>
  <c r="Q508" s="1"/>
  <c r="AW523"/>
  <c r="AZ523" s="1"/>
  <c r="Q523" s="1"/>
  <c r="AW505"/>
  <c r="AZ505" s="1"/>
  <c r="Q505" s="1"/>
  <c r="AW470"/>
  <c r="AZ470" s="1"/>
  <c r="Q470" s="1"/>
  <c r="AW478"/>
  <c r="AZ478" s="1"/>
  <c r="Q478" s="1"/>
  <c r="AY466"/>
  <c r="AY474"/>
  <c r="AV411"/>
  <c r="C418" i="53"/>
  <c r="AJ26" i="55" s="1"/>
  <c r="AY444" i="1"/>
  <c r="AW444" s="1"/>
  <c r="AZ444" s="1"/>
  <c r="Q444" s="1"/>
  <c r="AV427"/>
  <c r="C434" i="53"/>
  <c r="AK11" i="55" s="1"/>
  <c r="AV410" i="1"/>
  <c r="C417" i="53"/>
  <c r="AJ25" i="55" s="1"/>
  <c r="AY485" i="1"/>
  <c r="AY442"/>
  <c r="AW442" s="1"/>
  <c r="AZ442" s="1"/>
  <c r="Q442" s="1"/>
  <c r="E382" i="26"/>
  <c r="I398" i="1" s="1"/>
  <c r="AY450"/>
  <c r="AY451" s="1"/>
  <c r="AY452" s="1"/>
  <c r="C423" i="53"/>
  <c r="AJ31" i="55" s="1"/>
  <c r="AV416" i="1"/>
  <c r="C421" i="53"/>
  <c r="AJ29" i="55" s="1"/>
  <c r="AV414" i="1"/>
  <c r="E383" i="26"/>
  <c r="I399" i="1" s="1"/>
  <c r="AV404"/>
  <c r="C411" i="53"/>
  <c r="AJ19" i="55" s="1"/>
  <c r="AY436" i="1"/>
  <c r="AW436" s="1"/>
  <c r="AZ436" s="1"/>
  <c r="Q436" s="1"/>
  <c r="C433" i="53"/>
  <c r="AK10" i="55" s="1"/>
  <c r="AV426" i="1"/>
  <c r="C424" i="53"/>
  <c r="AJ32" i="55" s="1"/>
  <c r="AV417" i="1"/>
  <c r="AV428"/>
  <c r="C435" i="53"/>
  <c r="AK12" i="55" s="1"/>
  <c r="E384" i="26"/>
  <c r="I400" i="1" s="1"/>
  <c r="C432" i="53"/>
  <c r="AK9" i="55" s="1"/>
  <c r="AV425" i="1"/>
  <c r="C416" i="53"/>
  <c r="AJ24" i="55" s="1"/>
  <c r="AV409" i="1"/>
  <c r="AW557"/>
  <c r="AZ557" s="1"/>
  <c r="Q557" s="1"/>
  <c r="AY558"/>
  <c r="C438" i="53"/>
  <c r="AK15" i="55" s="1"/>
  <c r="AV431" i="1"/>
  <c r="E385" i="26"/>
  <c r="I401" i="1" s="1"/>
  <c r="C428" i="53"/>
  <c r="AK5" i="55" s="1"/>
  <c r="AV421" i="1"/>
  <c r="C414" i="53"/>
  <c r="AJ22" i="55" s="1"/>
  <c r="AV407" i="1"/>
  <c r="AW535"/>
  <c r="AZ535" s="1"/>
  <c r="Q535" s="1"/>
  <c r="AY536"/>
  <c r="C430" i="53"/>
  <c r="AK7" i="55" s="1"/>
  <c r="AV423" i="1"/>
  <c r="AY525"/>
  <c r="C431" i="53"/>
  <c r="AK8" i="55" s="1"/>
  <c r="AV424" i="1"/>
  <c r="E376" i="26"/>
  <c r="I392" i="1" s="1"/>
  <c r="AY438"/>
  <c r="AY439" s="1"/>
  <c r="C419" i="53"/>
  <c r="AJ27" i="55" s="1"/>
  <c r="AV412" i="1"/>
  <c r="AK31" i="55"/>
  <c r="AL3"/>
  <c r="AL35" s="1"/>
  <c r="C422" i="53"/>
  <c r="AJ30" i="55" s="1"/>
  <c r="AV415" i="1"/>
  <c r="AY443"/>
  <c r="AV403"/>
  <c r="C410" i="53"/>
  <c r="AJ18" i="55" s="1"/>
  <c r="AV408" i="1"/>
  <c r="C415" i="53"/>
  <c r="AJ23" i="55" s="1"/>
  <c r="C427" i="53"/>
  <c r="AK4" i="55" s="1"/>
  <c r="AV420" i="1"/>
  <c r="C436" i="53"/>
  <c r="AK13" i="55" s="1"/>
  <c r="AV429" i="1"/>
  <c r="E378" i="26"/>
  <c r="I394" i="1" s="1"/>
  <c r="E377" i="26"/>
  <c r="I393" i="1" s="1"/>
  <c r="C420" i="53"/>
  <c r="AJ28" i="55" s="1"/>
  <c r="AV413" i="1"/>
  <c r="AY433"/>
  <c r="AW433" s="1"/>
  <c r="AZ433" s="1"/>
  <c r="Q433" s="1"/>
  <c r="C425" i="53"/>
  <c r="AJ33" i="55" s="1"/>
  <c r="AV418" i="1"/>
  <c r="E381" i="26"/>
  <c r="I397" i="1" s="1"/>
  <c r="AY437"/>
  <c r="AW437" s="1"/>
  <c r="AZ437" s="1"/>
  <c r="Q437" s="1"/>
  <c r="AY440"/>
  <c r="AY441" s="1"/>
  <c r="E379" i="26"/>
  <c r="I395" i="1" s="1"/>
  <c r="C426" i="53"/>
  <c r="AK3" i="55" s="1"/>
  <c r="AV419" i="1"/>
  <c r="E380" i="26"/>
  <c r="I396" i="1" s="1"/>
  <c r="AV430"/>
  <c r="C437" i="53"/>
  <c r="AK14" i="55" s="1"/>
  <c r="C439" i="53"/>
  <c r="AK16" i="55" s="1"/>
  <c r="AV432" i="1"/>
  <c r="AV406"/>
  <c r="C413" i="53"/>
  <c r="AJ21" i="55" s="1"/>
  <c r="AV422" i="1"/>
  <c r="C429" i="53"/>
  <c r="AK6" i="55" s="1"/>
  <c r="AY570" i="1"/>
  <c r="AW569"/>
  <c r="AZ569" s="1"/>
  <c r="Q569" s="1"/>
  <c r="C412" i="53"/>
  <c r="AJ20" i="55" s="1"/>
  <c r="AV405" i="1"/>
  <c r="C409" i="53"/>
  <c r="AJ17" i="55" s="1"/>
  <c r="AV402" i="1"/>
  <c r="AY512" l="1"/>
  <c r="AW511"/>
  <c r="AZ511" s="1"/>
  <c r="Q511" s="1"/>
  <c r="AY520"/>
  <c r="AW519"/>
  <c r="AZ519" s="1"/>
  <c r="Q519" s="1"/>
  <c r="AW524"/>
  <c r="AZ524" s="1"/>
  <c r="Q524" s="1"/>
  <c r="AY445"/>
  <c r="AW445" s="1"/>
  <c r="AZ445" s="1"/>
  <c r="Q445" s="1"/>
  <c r="AW438"/>
  <c r="AZ438" s="1"/>
  <c r="Q438" s="1"/>
  <c r="AW479"/>
  <c r="AW480" s="1"/>
  <c r="AW471"/>
  <c r="AW450"/>
  <c r="AW466"/>
  <c r="AZ466" s="1"/>
  <c r="Q466" s="1"/>
  <c r="AY467"/>
  <c r="AW443"/>
  <c r="AZ443" s="1"/>
  <c r="Q443" s="1"/>
  <c r="AY571"/>
  <c r="AW570"/>
  <c r="AZ570" s="1"/>
  <c r="Q570" s="1"/>
  <c r="AK35" i="55"/>
  <c r="AY413" i="1"/>
  <c r="AY414" s="1"/>
  <c r="AY415" s="1"/>
  <c r="AY404"/>
  <c r="AY405" s="1"/>
  <c r="AY406" s="1"/>
  <c r="AY446"/>
  <c r="AY416"/>
  <c r="AW416" s="1"/>
  <c r="AZ416" s="1"/>
  <c r="Q416" s="1"/>
  <c r="AV395"/>
  <c r="C402" i="53"/>
  <c r="AJ10" i="55" s="1"/>
  <c r="C400" i="53"/>
  <c r="AJ8" i="55" s="1"/>
  <c r="AV393" i="1"/>
  <c r="AY420"/>
  <c r="AW420" s="1"/>
  <c r="AZ420" s="1"/>
  <c r="Q420" s="1"/>
  <c r="AV392"/>
  <c r="C399" i="53"/>
  <c r="AJ7" i="55" s="1"/>
  <c r="AY407" i="1"/>
  <c r="AW407" s="1"/>
  <c r="AZ407" s="1"/>
  <c r="Q407" s="1"/>
  <c r="C407" i="53"/>
  <c r="AJ15" i="55" s="1"/>
  <c r="AV400" i="1"/>
  <c r="AY417"/>
  <c r="AW417" s="1"/>
  <c r="AZ417" s="1"/>
  <c r="Q417" s="1"/>
  <c r="E372" i="26"/>
  <c r="I388" i="1" s="1"/>
  <c r="AY475"/>
  <c r="E370" i="26"/>
  <c r="I386" i="1" s="1"/>
  <c r="C403" i="53"/>
  <c r="AJ11" i="55" s="1"/>
  <c r="AV396" i="1"/>
  <c r="C404" i="53"/>
  <c r="AJ12" i="55" s="1"/>
  <c r="AV397" i="1"/>
  <c r="AY434"/>
  <c r="AW525"/>
  <c r="AZ525" s="1"/>
  <c r="Q525" s="1"/>
  <c r="AY526"/>
  <c r="AW536"/>
  <c r="AZ536" s="1"/>
  <c r="Q536" s="1"/>
  <c r="AY537"/>
  <c r="C408" i="53"/>
  <c r="AJ16" i="55" s="1"/>
  <c r="AV401" i="1"/>
  <c r="AY453"/>
  <c r="E371" i="26"/>
  <c r="I387" i="1" s="1"/>
  <c r="C406" i="53"/>
  <c r="AJ14" i="55" s="1"/>
  <c r="AV399" i="1"/>
  <c r="AY486"/>
  <c r="AY411"/>
  <c r="AW411" s="1"/>
  <c r="AZ411" s="1"/>
  <c r="Q411" s="1"/>
  <c r="AY402"/>
  <c r="AY403" s="1"/>
  <c r="AV394"/>
  <c r="C401" i="53"/>
  <c r="AJ9" i="55" s="1"/>
  <c r="AW558" i="1"/>
  <c r="AZ558" s="1"/>
  <c r="Q558" s="1"/>
  <c r="AY559"/>
  <c r="C405" i="53"/>
  <c r="AJ13" i="55" s="1"/>
  <c r="AV398" i="1"/>
  <c r="AY513" l="1"/>
  <c r="AW512"/>
  <c r="AZ512" s="1"/>
  <c r="Q512" s="1"/>
  <c r="AW520"/>
  <c r="AZ520" s="1"/>
  <c r="Q520" s="1"/>
  <c r="AW467"/>
  <c r="AZ467" s="1"/>
  <c r="Q467" s="1"/>
  <c r="AW439"/>
  <c r="AZ479"/>
  <c r="Q479" s="1"/>
  <c r="AW405"/>
  <c r="AZ405" s="1"/>
  <c r="Q405" s="1"/>
  <c r="AY421"/>
  <c r="AY422" s="1"/>
  <c r="AY423" s="1"/>
  <c r="AW402"/>
  <c r="AZ402" s="1"/>
  <c r="Q402" s="1"/>
  <c r="AZ471"/>
  <c r="Q471" s="1"/>
  <c r="AW472"/>
  <c r="AZ450"/>
  <c r="Q450" s="1"/>
  <c r="AW451"/>
  <c r="E373" i="26"/>
  <c r="I389" i="1" s="1"/>
  <c r="AZ480"/>
  <c r="Q480" s="1"/>
  <c r="AW481"/>
  <c r="AY487"/>
  <c r="AY424"/>
  <c r="AY476"/>
  <c r="AY412"/>
  <c r="AW412" s="1"/>
  <c r="AZ412" s="1"/>
  <c r="Q412" s="1"/>
  <c r="AW404"/>
  <c r="AZ404" s="1"/>
  <c r="Q404" s="1"/>
  <c r="AY418"/>
  <c r="AY560"/>
  <c r="AW559"/>
  <c r="AZ559" s="1"/>
  <c r="Q559" s="1"/>
  <c r="AY435"/>
  <c r="AW434"/>
  <c r="AZ434" s="1"/>
  <c r="Q434" s="1"/>
  <c r="AV386"/>
  <c r="C393" i="53"/>
  <c r="AI32" i="55" s="1"/>
  <c r="C395" i="53"/>
  <c r="AJ3" i="55" s="1"/>
  <c r="AV388" i="1"/>
  <c r="AW571"/>
  <c r="AZ571" s="1"/>
  <c r="Q571" s="1"/>
  <c r="AY572"/>
  <c r="C394" i="53"/>
  <c r="AI33" i="55" s="1"/>
  <c r="AV387" i="1"/>
  <c r="AY454"/>
  <c r="AW537"/>
  <c r="AZ537" s="1"/>
  <c r="Q537" s="1"/>
  <c r="AY538"/>
  <c r="E365" i="26"/>
  <c r="I381" i="1" s="1"/>
  <c r="AW413"/>
  <c r="AY527"/>
  <c r="AW526"/>
  <c r="AZ526" s="1"/>
  <c r="Q526" s="1"/>
  <c r="AW446"/>
  <c r="AZ446" s="1"/>
  <c r="Q446" s="1"/>
  <c r="AY447"/>
  <c r="AY408"/>
  <c r="AY514" l="1"/>
  <c r="AW513"/>
  <c r="AZ513" s="1"/>
  <c r="Q513" s="1"/>
  <c r="AW406"/>
  <c r="AZ406" s="1"/>
  <c r="Q406" s="1"/>
  <c r="AZ439"/>
  <c r="Q439" s="1"/>
  <c r="AW440"/>
  <c r="AW421"/>
  <c r="AZ472"/>
  <c r="Q472" s="1"/>
  <c r="AW473"/>
  <c r="AW403"/>
  <c r="AZ403" s="1"/>
  <c r="Q403" s="1"/>
  <c r="AZ451"/>
  <c r="Q451" s="1"/>
  <c r="AW452"/>
  <c r="AZ413"/>
  <c r="Q413" s="1"/>
  <c r="AW414"/>
  <c r="AY455"/>
  <c r="AW527"/>
  <c r="AZ527" s="1"/>
  <c r="Q527" s="1"/>
  <c r="AY528"/>
  <c r="E374" i="26"/>
  <c r="I390" i="1" s="1"/>
  <c r="AW435"/>
  <c r="AZ435" s="1"/>
  <c r="Q435" s="1"/>
  <c r="AY419"/>
  <c r="AW419" s="1"/>
  <c r="AZ419" s="1"/>
  <c r="Q419" s="1"/>
  <c r="AW418"/>
  <c r="AZ418" s="1"/>
  <c r="Q418" s="1"/>
  <c r="AY425"/>
  <c r="AZ481"/>
  <c r="Q481" s="1"/>
  <c r="AW482"/>
  <c r="E366" i="26"/>
  <c r="I382" i="1" s="1"/>
  <c r="AY409"/>
  <c r="AW408"/>
  <c r="AZ408" s="1"/>
  <c r="Q408" s="1"/>
  <c r="AY448"/>
  <c r="AW447"/>
  <c r="AZ447" s="1"/>
  <c r="Q447" s="1"/>
  <c r="AW538"/>
  <c r="AZ538" s="1"/>
  <c r="Q538" s="1"/>
  <c r="AY539"/>
  <c r="AW572"/>
  <c r="AZ572" s="1"/>
  <c r="Q572" s="1"/>
  <c r="AY573"/>
  <c r="AY561"/>
  <c r="AW560"/>
  <c r="AZ560" s="1"/>
  <c r="Q560" s="1"/>
  <c r="AY488"/>
  <c r="C388" i="53"/>
  <c r="AV381" i="1"/>
  <c r="AG381"/>
  <c r="AV389"/>
  <c r="C396" i="53"/>
  <c r="AJ4" i="55" s="1"/>
  <c r="AY515" i="1" l="1"/>
  <c r="AW514"/>
  <c r="AZ514" s="1"/>
  <c r="Q514" s="1"/>
  <c r="AG382"/>
  <c r="AZ440"/>
  <c r="Q440" s="1"/>
  <c r="AW441"/>
  <c r="AZ441" s="1"/>
  <c r="Q441" s="1"/>
  <c r="AZ421"/>
  <c r="Q421" s="1"/>
  <c r="AW422"/>
  <c r="AZ473"/>
  <c r="Q473" s="1"/>
  <c r="AW474"/>
  <c r="AZ452"/>
  <c r="Q452" s="1"/>
  <c r="AW453"/>
  <c r="AI27" i="55"/>
  <c r="AY489" i="1"/>
  <c r="AY410"/>
  <c r="AW409"/>
  <c r="AZ409" s="1"/>
  <c r="Q409" s="1"/>
  <c r="AZ482"/>
  <c r="Q482" s="1"/>
  <c r="AW483"/>
  <c r="AV390"/>
  <c r="C397" i="53"/>
  <c r="AJ5" i="55" s="1"/>
  <c r="AW528" i="1"/>
  <c r="AZ528" s="1"/>
  <c r="Q528" s="1"/>
  <c r="AY529"/>
  <c r="AW539"/>
  <c r="AZ539" s="1"/>
  <c r="Q539" s="1"/>
  <c r="AY540"/>
  <c r="C389" i="53"/>
  <c r="AI28" i="55" s="1"/>
  <c r="AV382" i="1"/>
  <c r="AW573"/>
  <c r="AZ573" s="1"/>
  <c r="Q573" s="1"/>
  <c r="AY574"/>
  <c r="AY449"/>
  <c r="AW448"/>
  <c r="AZ448" s="1"/>
  <c r="Q448" s="1"/>
  <c r="AY426"/>
  <c r="E367" i="26"/>
  <c r="I383" i="1" s="1"/>
  <c r="AY381"/>
  <c r="AW381" s="1"/>
  <c r="AZ381" s="1"/>
  <c r="Q381" s="1"/>
  <c r="AY562"/>
  <c r="AW561"/>
  <c r="AZ561" s="1"/>
  <c r="Q561" s="1"/>
  <c r="E375" i="26"/>
  <c r="I391" i="1" s="1"/>
  <c r="AY456"/>
  <c r="AZ414"/>
  <c r="Q414" s="1"/>
  <c r="AW415"/>
  <c r="AZ415" s="1"/>
  <c r="Q415" s="1"/>
  <c r="AY516" l="1"/>
  <c r="AW516" s="1"/>
  <c r="AZ516" s="1"/>
  <c r="Q516" s="1"/>
  <c r="AW515"/>
  <c r="AZ515" s="1"/>
  <c r="Q515" s="1"/>
  <c r="AW449"/>
  <c r="AZ449" s="1"/>
  <c r="Q449" s="1"/>
  <c r="AZ422"/>
  <c r="Q422" s="1"/>
  <c r="AW423"/>
  <c r="AZ474"/>
  <c r="Q474" s="1"/>
  <c r="AW475"/>
  <c r="AZ453"/>
  <c r="Q453" s="1"/>
  <c r="AW454"/>
  <c r="C398" i="53"/>
  <c r="AJ6" i="55" s="1"/>
  <c r="AJ35" s="1"/>
  <c r="AV391" i="1"/>
  <c r="E369" i="26"/>
  <c r="I385" i="1" s="1"/>
  <c r="AY563"/>
  <c r="AW562"/>
  <c r="AZ562" s="1"/>
  <c r="Q562" s="1"/>
  <c r="C390" i="53"/>
  <c r="AI29" i="55" s="1"/>
  <c r="AV383" i="1"/>
  <c r="AW574"/>
  <c r="AZ574" s="1"/>
  <c r="Q574" s="1"/>
  <c r="AY575"/>
  <c r="AY382"/>
  <c r="AW382" s="1"/>
  <c r="AZ382" s="1"/>
  <c r="Q382" s="1"/>
  <c r="AY530"/>
  <c r="AW529"/>
  <c r="AZ529" s="1"/>
  <c r="Q529" s="1"/>
  <c r="AZ483"/>
  <c r="Q483" s="1"/>
  <c r="AW484"/>
  <c r="E368" i="26"/>
  <c r="I384" i="1" s="1"/>
  <c r="AG383"/>
  <c r="AY457"/>
  <c r="AY427"/>
  <c r="AW540"/>
  <c r="AZ540" s="1"/>
  <c r="Q540" s="1"/>
  <c r="AY541"/>
  <c r="AW410"/>
  <c r="AZ410" s="1"/>
  <c r="Q410" s="1"/>
  <c r="AY490"/>
  <c r="AZ423" l="1"/>
  <c r="Q423" s="1"/>
  <c r="AW424"/>
  <c r="AZ475"/>
  <c r="Q475" s="1"/>
  <c r="AW476"/>
  <c r="AZ476" s="1"/>
  <c r="Q476" s="1"/>
  <c r="AZ454"/>
  <c r="Q454" s="1"/>
  <c r="AW455"/>
  <c r="AY428"/>
  <c r="AZ484"/>
  <c r="Q484" s="1"/>
  <c r="AW485"/>
  <c r="AY576"/>
  <c r="AW575"/>
  <c r="AZ575" s="1"/>
  <c r="Q575" s="1"/>
  <c r="AY491"/>
  <c r="AW541"/>
  <c r="AZ541" s="1"/>
  <c r="Q541" s="1"/>
  <c r="AY542"/>
  <c r="AY383"/>
  <c r="AW383" s="1"/>
  <c r="AZ383" s="1"/>
  <c r="Q383" s="1"/>
  <c r="AY564"/>
  <c r="AW563"/>
  <c r="AZ563" s="1"/>
  <c r="Q563" s="1"/>
  <c r="AY458"/>
  <c r="AG384"/>
  <c r="AG385" s="1"/>
  <c r="AG386" s="1"/>
  <c r="AG387" s="1"/>
  <c r="AG388" s="1"/>
  <c r="AG389" s="1"/>
  <c r="AG390" s="1"/>
  <c r="AG391" s="1"/>
  <c r="AG392" s="1"/>
  <c r="AG393" s="1"/>
  <c r="AG394" s="1"/>
  <c r="AG395" s="1"/>
  <c r="AG396" s="1"/>
  <c r="AG397" s="1"/>
  <c r="AG398" s="1"/>
  <c r="AG399" s="1"/>
  <c r="AG400" s="1"/>
  <c r="AG401" s="1"/>
  <c r="AG402" s="1"/>
  <c r="AG403" s="1"/>
  <c r="AG404" s="1"/>
  <c r="AG405" s="1"/>
  <c r="AG406" s="1"/>
  <c r="AG407" s="1"/>
  <c r="AG408" s="1"/>
  <c r="AG409" s="1"/>
  <c r="AG410" s="1"/>
  <c r="AG411" s="1"/>
  <c r="AG412" s="1"/>
  <c r="AG413" s="1"/>
  <c r="AG414" s="1"/>
  <c r="AG415" s="1"/>
  <c r="AG416" s="1"/>
  <c r="AG417" s="1"/>
  <c r="AG418" s="1"/>
  <c r="AG419" s="1"/>
  <c r="AG420" s="1"/>
  <c r="AG421" s="1"/>
  <c r="AG422" s="1"/>
  <c r="AG423" s="1"/>
  <c r="AG424" s="1"/>
  <c r="AG425" s="1"/>
  <c r="AG426" s="1"/>
  <c r="AG427" s="1"/>
  <c r="AG428" s="1"/>
  <c r="AG429" s="1"/>
  <c r="AG430" s="1"/>
  <c r="AG431" s="1"/>
  <c r="AG432" s="1"/>
  <c r="AG433" s="1"/>
  <c r="AG434" s="1"/>
  <c r="AG435" s="1"/>
  <c r="AG436" s="1"/>
  <c r="AG437" s="1"/>
  <c r="AG438" s="1"/>
  <c r="AG439" s="1"/>
  <c r="AG440" s="1"/>
  <c r="AG441" s="1"/>
  <c r="AG442" s="1"/>
  <c r="AG443" s="1"/>
  <c r="AG444" s="1"/>
  <c r="AG445" s="1"/>
  <c r="AG446" s="1"/>
  <c r="AG447" s="1"/>
  <c r="AG448" s="1"/>
  <c r="AG449" s="1"/>
  <c r="AG450" s="1"/>
  <c r="AG451" s="1"/>
  <c r="AG452" s="1"/>
  <c r="AG453" s="1"/>
  <c r="AG454" s="1"/>
  <c r="AG455" s="1"/>
  <c r="AG456" s="1"/>
  <c r="AG457" s="1"/>
  <c r="AG458" s="1"/>
  <c r="AG459" s="1"/>
  <c r="AG460" s="1"/>
  <c r="AG461" s="1"/>
  <c r="AG462" s="1"/>
  <c r="AG463" s="1"/>
  <c r="AG464" s="1"/>
  <c r="AG465" s="1"/>
  <c r="AG466" s="1"/>
  <c r="AG467" s="1"/>
  <c r="AG468" s="1"/>
  <c r="AG469" s="1"/>
  <c r="AG470" s="1"/>
  <c r="AG471" s="1"/>
  <c r="AG472" s="1"/>
  <c r="AG473" s="1"/>
  <c r="AG474" s="1"/>
  <c r="AG475" s="1"/>
  <c r="AG476" s="1"/>
  <c r="AG477" s="1"/>
  <c r="AG478" s="1"/>
  <c r="AG479" s="1"/>
  <c r="AG480" s="1"/>
  <c r="AG481" s="1"/>
  <c r="AG482" s="1"/>
  <c r="AG483" s="1"/>
  <c r="AG484" s="1"/>
  <c r="AG485" s="1"/>
  <c r="AG486" s="1"/>
  <c r="AG487" s="1"/>
  <c r="AG488" s="1"/>
  <c r="AG489" s="1"/>
  <c r="AG490" s="1"/>
  <c r="AG491" s="1"/>
  <c r="AG492" s="1"/>
  <c r="AG493" s="1"/>
  <c r="AG494" s="1"/>
  <c r="AG495" s="1"/>
  <c r="AG496" s="1"/>
  <c r="AG497" s="1"/>
  <c r="AG498" s="1"/>
  <c r="AG499" s="1"/>
  <c r="AG500" s="1"/>
  <c r="AG501" s="1"/>
  <c r="AG502" s="1"/>
  <c r="AG503" s="1"/>
  <c r="AG504" s="1"/>
  <c r="AG505" s="1"/>
  <c r="AG506" s="1"/>
  <c r="AG507" s="1"/>
  <c r="AG508" s="1"/>
  <c r="AG509" s="1"/>
  <c r="AG510" s="1"/>
  <c r="AG511" s="1"/>
  <c r="AG512" s="1"/>
  <c r="AG513" s="1"/>
  <c r="AG514" s="1"/>
  <c r="AG515" s="1"/>
  <c r="AG516" s="1"/>
  <c r="AG517" s="1"/>
  <c r="AG518" s="1"/>
  <c r="AG519" s="1"/>
  <c r="AG520" s="1"/>
  <c r="AG521" s="1"/>
  <c r="AG522" s="1"/>
  <c r="AG523" s="1"/>
  <c r="AG524" s="1"/>
  <c r="AG525" s="1"/>
  <c r="AG526" s="1"/>
  <c r="AG527" s="1"/>
  <c r="AG528" s="1"/>
  <c r="AG529" s="1"/>
  <c r="AG530" s="1"/>
  <c r="AG531" s="1"/>
  <c r="AG532" s="1"/>
  <c r="AG533" s="1"/>
  <c r="AG534" s="1"/>
  <c r="AG535" s="1"/>
  <c r="AG536" s="1"/>
  <c r="AG537" s="1"/>
  <c r="AG538" s="1"/>
  <c r="AG539" s="1"/>
  <c r="AG540" s="1"/>
  <c r="AG541" s="1"/>
  <c r="AG542" s="1"/>
  <c r="AG543" s="1"/>
  <c r="AG544" s="1"/>
  <c r="AG545" s="1"/>
  <c r="AG546" s="1"/>
  <c r="AG547" s="1"/>
  <c r="AG548" s="1"/>
  <c r="AG549" s="1"/>
  <c r="AG550" s="1"/>
  <c r="AG551" s="1"/>
  <c r="AG552" s="1"/>
  <c r="AG553" s="1"/>
  <c r="AG554" s="1"/>
  <c r="AG555" s="1"/>
  <c r="AG556" s="1"/>
  <c r="AG557" s="1"/>
  <c r="AG558" s="1"/>
  <c r="AG559" s="1"/>
  <c r="AG560" s="1"/>
  <c r="AG561" s="1"/>
  <c r="AG562" s="1"/>
  <c r="AG563" s="1"/>
  <c r="AG564" s="1"/>
  <c r="AG565" s="1"/>
  <c r="AG566" s="1"/>
  <c r="AG567" s="1"/>
  <c r="AG568" s="1"/>
  <c r="AG569" s="1"/>
  <c r="AG570" s="1"/>
  <c r="AG571" s="1"/>
  <c r="AG572" s="1"/>
  <c r="AG573" s="1"/>
  <c r="AG574" s="1"/>
  <c r="AG575" s="1"/>
  <c r="AG576" s="1"/>
  <c r="AG577" s="1"/>
  <c r="AG578" s="1"/>
  <c r="AG579" s="1"/>
  <c r="AG580" s="1"/>
  <c r="AG581" s="1"/>
  <c r="AG582" s="1"/>
  <c r="AG583" s="1"/>
  <c r="AG584" s="1"/>
  <c r="AG585" s="1"/>
  <c r="AG586" s="1"/>
  <c r="AG587" s="1"/>
  <c r="AG588" s="1"/>
  <c r="AG589" s="1"/>
  <c r="AG590" s="1"/>
  <c r="AG591" s="1"/>
  <c r="AG592" s="1"/>
  <c r="AG593" s="1"/>
  <c r="AG594" s="1"/>
  <c r="AG595" s="1"/>
  <c r="AG596" s="1"/>
  <c r="AG597" s="1"/>
  <c r="AG598" s="1"/>
  <c r="AG599" s="1"/>
  <c r="C391" i="53"/>
  <c r="AV384" i="1"/>
  <c r="AW530"/>
  <c r="AZ530" s="1"/>
  <c r="Q530" s="1"/>
  <c r="AY531"/>
  <c r="AV385"/>
  <c r="C392" i="53"/>
  <c r="AI31" i="55" s="1"/>
  <c r="AZ424" i="1" l="1"/>
  <c r="Q424" s="1"/>
  <c r="AW425"/>
  <c r="AZ455"/>
  <c r="Q455" s="1"/>
  <c r="AW456"/>
  <c r="AW531"/>
  <c r="AZ531" s="1"/>
  <c r="Q531" s="1"/>
  <c r="AY532"/>
  <c r="AI30" i="55"/>
  <c r="AI35" s="1"/>
  <c r="AW542" i="1"/>
  <c r="AZ542" s="1"/>
  <c r="Q542" s="1"/>
  <c r="AY543"/>
  <c r="AY459"/>
  <c r="AW576"/>
  <c r="AZ576" s="1"/>
  <c r="Q576" s="1"/>
  <c r="AY577"/>
  <c r="AY384"/>
  <c r="AY385" s="1"/>
  <c r="AY386" s="1"/>
  <c r="AW564"/>
  <c r="AZ564" s="1"/>
  <c r="Q564" s="1"/>
  <c r="AY492"/>
  <c r="AZ485"/>
  <c r="Q485" s="1"/>
  <c r="AW486"/>
  <c r="AY429"/>
  <c r="AZ425" l="1"/>
  <c r="Q425" s="1"/>
  <c r="AW426"/>
  <c r="AW532"/>
  <c r="AZ532" s="1"/>
  <c r="Q532" s="1"/>
  <c r="AZ456"/>
  <c r="Q456" s="1"/>
  <c r="AW457"/>
  <c r="AY430"/>
  <c r="AY460"/>
  <c r="AY578"/>
  <c r="AW577"/>
  <c r="AZ577" s="1"/>
  <c r="Q577" s="1"/>
  <c r="AW543"/>
  <c r="AZ543" s="1"/>
  <c r="Q543" s="1"/>
  <c r="AY544"/>
  <c r="AY493"/>
  <c r="AZ486"/>
  <c r="Q486" s="1"/>
  <c r="AW487"/>
  <c r="AW384"/>
  <c r="AZ384" s="1"/>
  <c r="Q384" s="1"/>
  <c r="AY387"/>
  <c r="AZ426" l="1"/>
  <c r="Q426" s="1"/>
  <c r="AW427"/>
  <c r="AW385"/>
  <c r="AZ385" s="1"/>
  <c r="Q385" s="1"/>
  <c r="AZ457"/>
  <c r="Q457" s="1"/>
  <c r="AW458"/>
  <c r="AW544"/>
  <c r="AZ544" s="1"/>
  <c r="Q544" s="1"/>
  <c r="AY545"/>
  <c r="AY388"/>
  <c r="AZ487"/>
  <c r="Q487" s="1"/>
  <c r="AW488"/>
  <c r="AY461"/>
  <c r="AY431"/>
  <c r="AY494"/>
  <c r="AW578"/>
  <c r="AZ578" s="1"/>
  <c r="Q578" s="1"/>
  <c r="AY579"/>
  <c r="AZ427" l="1"/>
  <c r="Q427" s="1"/>
  <c r="AW428"/>
  <c r="AW386"/>
  <c r="AZ386" s="1"/>
  <c r="Q386" s="1"/>
  <c r="AZ458"/>
  <c r="Q458" s="1"/>
  <c r="AW459"/>
  <c r="AW579"/>
  <c r="AZ579" s="1"/>
  <c r="Q579" s="1"/>
  <c r="AY580"/>
  <c r="AY462"/>
  <c r="AZ488"/>
  <c r="Q488" s="1"/>
  <c r="AW489"/>
  <c r="AY432"/>
  <c r="AW545"/>
  <c r="AZ545" s="1"/>
  <c r="Q545" s="1"/>
  <c r="AY546"/>
  <c r="AY495"/>
  <c r="AY389"/>
  <c r="AZ428" l="1"/>
  <c r="Q428" s="1"/>
  <c r="AW429"/>
  <c r="AW387"/>
  <c r="AZ387" s="1"/>
  <c r="Q387" s="1"/>
  <c r="AZ459"/>
  <c r="Q459" s="1"/>
  <c r="AW460"/>
  <c r="AZ489"/>
  <c r="Q489" s="1"/>
  <c r="AW490"/>
  <c r="AY496"/>
  <c r="AY547"/>
  <c r="AW546"/>
  <c r="AZ546" s="1"/>
  <c r="Q546" s="1"/>
  <c r="AY463"/>
  <c r="AY390"/>
  <c r="AY581"/>
  <c r="AW580"/>
  <c r="AZ580" s="1"/>
  <c r="Q580" s="1"/>
  <c r="AZ429" l="1"/>
  <c r="Q429" s="1"/>
  <c r="AW430"/>
  <c r="AW388"/>
  <c r="AZ460"/>
  <c r="Q460" s="1"/>
  <c r="AW461"/>
  <c r="AW581"/>
  <c r="AZ581" s="1"/>
  <c r="Q581" s="1"/>
  <c r="AY582"/>
  <c r="AY391"/>
  <c r="AY464"/>
  <c r="AW547"/>
  <c r="AZ547" s="1"/>
  <c r="Q547" s="1"/>
  <c r="AY497"/>
  <c r="AZ490"/>
  <c r="Q490" s="1"/>
  <c r="AW491"/>
  <c r="AZ388" l="1"/>
  <c r="Q388" s="1"/>
  <c r="AW389"/>
  <c r="AZ430"/>
  <c r="Q430" s="1"/>
  <c r="AW431"/>
  <c r="AZ461"/>
  <c r="Q461" s="1"/>
  <c r="AW462"/>
  <c r="AY583"/>
  <c r="AW582"/>
  <c r="AZ582" s="1"/>
  <c r="Q582" s="1"/>
  <c r="AZ491"/>
  <c r="Q491" s="1"/>
  <c r="AW492"/>
  <c r="AY392"/>
  <c r="AY498"/>
  <c r="AZ431" l="1"/>
  <c r="Q431" s="1"/>
  <c r="AW432"/>
  <c r="AZ432" s="1"/>
  <c r="Q432" s="1"/>
  <c r="AZ389"/>
  <c r="Q389" s="1"/>
  <c r="AW390"/>
  <c r="AZ462"/>
  <c r="Q462" s="1"/>
  <c r="AW463"/>
  <c r="AY393"/>
  <c r="AW583"/>
  <c r="AZ583" s="1"/>
  <c r="Q583" s="1"/>
  <c r="AY584"/>
  <c r="AY499"/>
  <c r="AZ492"/>
  <c r="Q492" s="1"/>
  <c r="AW493"/>
  <c r="AZ390" l="1"/>
  <c r="Q390" s="1"/>
  <c r="AW391"/>
  <c r="AZ463"/>
  <c r="Q463" s="1"/>
  <c r="AW464"/>
  <c r="AZ464" s="1"/>
  <c r="Q464" s="1"/>
  <c r="AY394"/>
  <c r="AZ493"/>
  <c r="Q493" s="1"/>
  <c r="AW494"/>
  <c r="AY585"/>
  <c r="AW584"/>
  <c r="AZ584" s="1"/>
  <c r="Q584" s="1"/>
  <c r="AZ391" l="1"/>
  <c r="Q391" s="1"/>
  <c r="AW392"/>
  <c r="AZ494"/>
  <c r="Q494" s="1"/>
  <c r="AW495"/>
  <c r="AY586"/>
  <c r="AW585"/>
  <c r="AZ585" s="1"/>
  <c r="Q585" s="1"/>
  <c r="AY395"/>
  <c r="AZ392" l="1"/>
  <c r="Q392" s="1"/>
  <c r="AW393"/>
  <c r="AY396"/>
  <c r="AY587"/>
  <c r="AW586"/>
  <c r="AZ586" s="1"/>
  <c r="Q586" s="1"/>
  <c r="AZ495"/>
  <c r="Q495" s="1"/>
  <c r="AW496"/>
  <c r="AZ393" l="1"/>
  <c r="Q393" s="1"/>
  <c r="AW394"/>
  <c r="AY588"/>
  <c r="AW587"/>
  <c r="AZ587" s="1"/>
  <c r="Q587" s="1"/>
  <c r="AZ496"/>
  <c r="Q496" s="1"/>
  <c r="AW497"/>
  <c r="AY397"/>
  <c r="AZ394" l="1"/>
  <c r="Q394" s="1"/>
  <c r="AW395"/>
  <c r="AW588"/>
  <c r="AZ588" s="1"/>
  <c r="Q588" s="1"/>
  <c r="AY589"/>
  <c r="AY398"/>
  <c r="AZ497"/>
  <c r="Q497" s="1"/>
  <c r="AW498"/>
  <c r="AZ395" l="1"/>
  <c r="Q395" s="1"/>
  <c r="AW396"/>
  <c r="AZ498"/>
  <c r="Q498" s="1"/>
  <c r="AW499"/>
  <c r="AZ499" s="1"/>
  <c r="Q499" s="1"/>
  <c r="AY399"/>
  <c r="AW589"/>
  <c r="AZ589" s="1"/>
  <c r="Q589" s="1"/>
  <c r="AY590"/>
  <c r="AZ396" l="1"/>
  <c r="Q396" s="1"/>
  <c r="AW397"/>
  <c r="AY591"/>
  <c r="AW590"/>
  <c r="AZ590" s="1"/>
  <c r="Q590" s="1"/>
  <c r="AY400"/>
  <c r="AZ397" l="1"/>
  <c r="Q397" s="1"/>
  <c r="AW398"/>
  <c r="AW591"/>
  <c r="AZ591" s="1"/>
  <c r="Q591" s="1"/>
  <c r="AY592"/>
  <c r="AY401"/>
  <c r="AZ398" l="1"/>
  <c r="Q398" s="1"/>
  <c r="AW399"/>
  <c r="AY593"/>
  <c r="AW592"/>
  <c r="AZ592" s="1"/>
  <c r="Q592" s="1"/>
  <c r="AZ399" l="1"/>
  <c r="Q399" s="1"/>
  <c r="AW400"/>
  <c r="AW593"/>
  <c r="AZ593" s="1"/>
  <c r="Q593" s="1"/>
  <c r="AY594"/>
  <c r="AZ400" l="1"/>
  <c r="Q400" s="1"/>
  <c r="AW401"/>
  <c r="AZ401" s="1"/>
  <c r="Q401" s="1"/>
  <c r="AY595"/>
  <c r="AW594"/>
  <c r="AZ594" s="1"/>
  <c r="Q594" s="1"/>
  <c r="AW595" l="1"/>
  <c r="AZ595" s="1"/>
  <c r="Q595" s="1"/>
  <c r="AY596"/>
  <c r="AW596" l="1"/>
  <c r="AZ596" s="1"/>
  <c r="Q596" s="1"/>
  <c r="AY597"/>
  <c r="AW597" l="1"/>
  <c r="AZ597" s="1"/>
  <c r="Q597" s="1"/>
  <c r="AY598"/>
  <c r="AW598" l="1"/>
  <c r="AZ598" s="1"/>
  <c r="Q598" s="1"/>
  <c r="K11" i="8"/>
  <c r="C6" i="4" s="1"/>
  <c r="L2" i="1"/>
  <c r="A3" i="37"/>
  <c r="A3" i="29"/>
  <c r="O113" s="1"/>
  <c r="B22" i="1"/>
  <c r="F6" i="4" l="1"/>
  <c r="F18"/>
  <c r="E22" i="1"/>
  <c r="B23"/>
  <c r="L22"/>
  <c r="B5" i="38"/>
  <c r="A29" i="53"/>
  <c r="O135" i="29"/>
  <c r="O109"/>
  <c r="O117"/>
  <c r="A6" i="26"/>
  <c r="B6" s="1"/>
  <c r="S139" i="29"/>
  <c r="O106"/>
  <c r="O115"/>
  <c r="F24" i="52"/>
  <c r="O21" s="1"/>
  <c r="S141" i="29"/>
  <c r="O102"/>
  <c r="S50"/>
  <c r="S16"/>
  <c r="S144"/>
  <c r="S119"/>
  <c r="S111"/>
  <c r="S22"/>
  <c r="S12"/>
  <c r="S17"/>
  <c r="O56"/>
  <c r="O48"/>
  <c r="S5"/>
  <c r="S128"/>
  <c r="S122"/>
  <c r="S114"/>
  <c r="S100"/>
  <c r="O134"/>
  <c r="O141"/>
  <c r="S145"/>
  <c r="O66"/>
  <c r="O50"/>
  <c r="S30"/>
  <c r="S36"/>
  <c r="O7"/>
  <c r="O13"/>
  <c r="S26"/>
  <c r="O52"/>
  <c r="S44"/>
  <c r="S60"/>
  <c r="O27"/>
  <c r="O11"/>
  <c r="O64"/>
  <c r="O62"/>
  <c r="O26"/>
  <c r="O30"/>
  <c r="S9"/>
  <c r="O133"/>
  <c r="S121"/>
  <c r="S113"/>
  <c r="R113" s="1"/>
  <c r="S96"/>
  <c r="O153"/>
  <c r="O139"/>
  <c r="O150"/>
  <c r="O122"/>
  <c r="O114"/>
  <c r="O107"/>
  <c r="O104"/>
  <c r="O101"/>
  <c r="O94"/>
  <c r="O90"/>
  <c r="O86"/>
  <c r="O82"/>
  <c r="O78"/>
  <c r="O74"/>
  <c r="O70"/>
  <c r="O65"/>
  <c r="S39"/>
  <c r="O63"/>
  <c r="O58"/>
  <c r="S63"/>
  <c r="S64"/>
  <c r="O22"/>
  <c r="O18"/>
  <c r="O17"/>
  <c r="O12"/>
  <c r="S23"/>
  <c r="O29"/>
  <c r="S48"/>
  <c r="S24"/>
  <c r="O32"/>
  <c r="O10"/>
  <c r="O8"/>
  <c r="O152"/>
  <c r="O136"/>
  <c r="O121"/>
  <c r="S13"/>
  <c r="S153"/>
  <c r="S129"/>
  <c r="S105"/>
  <c r="S97"/>
  <c r="S92"/>
  <c r="S88"/>
  <c r="S84"/>
  <c r="S80"/>
  <c r="S76"/>
  <c r="S72"/>
  <c r="S68"/>
  <c r="S53"/>
  <c r="S57"/>
  <c r="S35"/>
  <c r="S19"/>
  <c r="O35"/>
  <c r="S56"/>
  <c r="S4"/>
  <c r="O155"/>
  <c r="S133"/>
  <c r="O129"/>
  <c r="O140"/>
  <c r="O132"/>
  <c r="O154"/>
  <c r="O39"/>
  <c r="O33"/>
  <c r="S18"/>
  <c r="O6"/>
  <c r="O24"/>
  <c r="S45"/>
  <c r="S61"/>
  <c r="S52"/>
  <c r="S147"/>
  <c r="S150"/>
  <c r="S146"/>
  <c r="S140"/>
  <c r="S138"/>
  <c r="O137"/>
  <c r="O142"/>
  <c r="O128"/>
  <c r="O120"/>
  <c r="O112"/>
  <c r="S103"/>
  <c r="S95"/>
  <c r="S91"/>
  <c r="S87"/>
  <c r="S83"/>
  <c r="S79"/>
  <c r="S75"/>
  <c r="S71"/>
  <c r="S67"/>
  <c r="O108"/>
  <c r="O105"/>
  <c r="O95"/>
  <c r="O91"/>
  <c r="O87"/>
  <c r="O83"/>
  <c r="O79"/>
  <c r="O75"/>
  <c r="O71"/>
  <c r="O67"/>
  <c r="S59"/>
  <c r="O31"/>
  <c r="S21"/>
  <c r="O21"/>
  <c r="O19"/>
  <c r="O60"/>
  <c r="S42"/>
  <c r="S6"/>
  <c r="O14"/>
  <c r="O49"/>
  <c r="S124"/>
  <c r="S116"/>
  <c r="S108"/>
  <c r="S134"/>
  <c r="S130"/>
  <c r="O144"/>
  <c r="O123"/>
  <c r="S10"/>
  <c r="S58"/>
  <c r="S62"/>
  <c r="S8"/>
  <c r="S149"/>
  <c r="S148"/>
  <c r="S123"/>
  <c r="S115"/>
  <c r="S104"/>
  <c r="O37"/>
  <c r="O46"/>
  <c r="S15"/>
  <c r="O138"/>
  <c r="S126"/>
  <c r="S118"/>
  <c r="S110"/>
  <c r="O130"/>
  <c r="S143"/>
  <c r="S137"/>
  <c r="S31"/>
  <c r="S20"/>
  <c r="S27"/>
  <c r="O47"/>
  <c r="S55"/>
  <c r="O15"/>
  <c r="S125"/>
  <c r="S117"/>
  <c r="S109"/>
  <c r="S106"/>
  <c r="O151"/>
  <c r="O145"/>
  <c r="O126"/>
  <c r="O118"/>
  <c r="O110"/>
  <c r="O99"/>
  <c r="O96"/>
  <c r="O92"/>
  <c r="O88"/>
  <c r="O84"/>
  <c r="O80"/>
  <c r="O76"/>
  <c r="O72"/>
  <c r="O68"/>
  <c r="O36"/>
  <c r="O53"/>
  <c r="O20"/>
  <c r="S29"/>
  <c r="S43"/>
  <c r="S34"/>
  <c r="O44"/>
  <c r="S37"/>
  <c r="S32"/>
  <c r="O4"/>
  <c r="S7"/>
  <c r="O43"/>
  <c r="O25"/>
  <c r="O148"/>
  <c r="O125"/>
  <c r="S25"/>
  <c r="S49"/>
  <c r="S54"/>
  <c r="S155"/>
  <c r="S142"/>
  <c r="S98"/>
  <c r="S101"/>
  <c r="S94"/>
  <c r="S90"/>
  <c r="S86"/>
  <c r="S82"/>
  <c r="S78"/>
  <c r="S74"/>
  <c r="S70"/>
  <c r="S65"/>
  <c r="S33"/>
  <c r="S40"/>
  <c r="S51"/>
  <c r="O41"/>
  <c r="O40"/>
  <c r="S14"/>
  <c r="O28"/>
  <c r="O38"/>
  <c r="S131"/>
  <c r="O149"/>
  <c r="S28"/>
  <c r="O16"/>
  <c r="S11"/>
  <c r="S41"/>
  <c r="O51"/>
  <c r="O54"/>
  <c r="S38"/>
  <c r="S47"/>
  <c r="O9"/>
  <c r="O23"/>
  <c r="S152"/>
  <c r="S151"/>
  <c r="S136"/>
  <c r="S135"/>
  <c r="S154"/>
  <c r="O131"/>
  <c r="O143"/>
  <c r="O146"/>
  <c r="O124"/>
  <c r="O116"/>
  <c r="S107"/>
  <c r="S99"/>
  <c r="S93"/>
  <c r="S89"/>
  <c r="S85"/>
  <c r="S81"/>
  <c r="S77"/>
  <c r="S73"/>
  <c r="S69"/>
  <c r="O103"/>
  <c r="O100"/>
  <c r="O97"/>
  <c r="O93"/>
  <c r="O89"/>
  <c r="O85"/>
  <c r="O81"/>
  <c r="O77"/>
  <c r="O73"/>
  <c r="O69"/>
  <c r="O59"/>
  <c r="O57"/>
  <c r="O34"/>
  <c r="O45"/>
  <c r="O61"/>
  <c r="O55"/>
  <c r="S46"/>
  <c r="O5"/>
  <c r="O42"/>
  <c r="O147"/>
  <c r="S127"/>
  <c r="S120"/>
  <c r="S112"/>
  <c r="S66"/>
  <c r="S132"/>
  <c r="S102"/>
  <c r="O127"/>
  <c r="O119"/>
  <c r="O98"/>
  <c r="O111"/>
  <c r="F459" i="5" l="1"/>
  <c r="F446"/>
  <c r="F442"/>
  <c r="F431"/>
  <c r="G417"/>
  <c r="G413"/>
  <c r="G421"/>
  <c r="G429"/>
  <c r="F445"/>
  <c r="F449"/>
  <c r="F436"/>
  <c r="F456"/>
  <c r="G401"/>
  <c r="G427"/>
  <c r="G419"/>
  <c r="G418"/>
  <c r="F434"/>
  <c r="F458"/>
  <c r="F433"/>
  <c r="F437"/>
  <c r="G410"/>
  <c r="G405"/>
  <c r="G404"/>
  <c r="G415"/>
  <c r="G422"/>
  <c r="F457"/>
  <c r="F440"/>
  <c r="F447"/>
  <c r="F455"/>
  <c r="G407"/>
  <c r="G403"/>
  <c r="G412"/>
  <c r="F453"/>
  <c r="F460"/>
  <c r="F441"/>
  <c r="F450"/>
  <c r="G428"/>
  <c r="G416"/>
  <c r="G414"/>
  <c r="F432"/>
  <c r="F451"/>
  <c r="F448"/>
  <c r="F452"/>
  <c r="G408"/>
  <c r="G406"/>
  <c r="G409"/>
  <c r="G420"/>
  <c r="F435"/>
  <c r="F430"/>
  <c r="F438"/>
  <c r="G425"/>
  <c r="G424"/>
  <c r="G402"/>
  <c r="G426"/>
  <c r="F444"/>
  <c r="F439"/>
  <c r="F443"/>
  <c r="F454"/>
  <c r="G423"/>
  <c r="G411"/>
  <c r="F91"/>
  <c r="F68"/>
  <c r="F66"/>
  <c r="F70"/>
  <c r="G44"/>
  <c r="G58"/>
  <c r="G55"/>
  <c r="F92"/>
  <c r="F78"/>
  <c r="F72"/>
  <c r="F95"/>
  <c r="G49"/>
  <c r="G50"/>
  <c r="G39"/>
  <c r="F81"/>
  <c r="F71"/>
  <c r="F73"/>
  <c r="F77"/>
  <c r="G45"/>
  <c r="G52"/>
  <c r="G40"/>
  <c r="G43"/>
  <c r="G54"/>
  <c r="F88"/>
  <c r="F84"/>
  <c r="F90"/>
  <c r="F67"/>
  <c r="G53"/>
  <c r="G62"/>
  <c r="G63"/>
  <c r="G47"/>
  <c r="F74"/>
  <c r="F86"/>
  <c r="F87"/>
  <c r="F65"/>
  <c r="G60"/>
  <c r="G42"/>
  <c r="G51"/>
  <c r="G46"/>
  <c r="F85"/>
  <c r="F79"/>
  <c r="F93"/>
  <c r="F69"/>
  <c r="G41"/>
  <c r="G38"/>
  <c r="G59"/>
  <c r="G56"/>
  <c r="F83"/>
  <c r="F75"/>
  <c r="F94"/>
  <c r="G61"/>
  <c r="G57"/>
  <c r="G36"/>
  <c r="F80"/>
  <c r="F82"/>
  <c r="F89"/>
  <c r="F76"/>
  <c r="G48"/>
  <c r="G37"/>
  <c r="G64"/>
  <c r="Q69" i="29"/>
  <c r="T69" s="1"/>
  <c r="P69"/>
  <c r="R69"/>
  <c r="S20" i="37"/>
  <c r="R72" i="29"/>
  <c r="P72"/>
  <c r="Q72"/>
  <c r="P98"/>
  <c r="R98"/>
  <c r="U98" s="1"/>
  <c r="Q98"/>
  <c r="V127"/>
  <c r="Q34"/>
  <c r="T34" s="1"/>
  <c r="P34"/>
  <c r="R34"/>
  <c r="Q89"/>
  <c r="P89"/>
  <c r="R89"/>
  <c r="V89" s="1"/>
  <c r="P23"/>
  <c r="R23"/>
  <c r="U23" s="1"/>
  <c r="Q23"/>
  <c r="P38"/>
  <c r="R38"/>
  <c r="U38" s="1"/>
  <c r="Q38"/>
  <c r="T38" s="1"/>
  <c r="R41"/>
  <c r="Q41"/>
  <c r="P41"/>
  <c r="O4" i="37"/>
  <c r="P4" i="29"/>
  <c r="P4" i="37" s="1"/>
  <c r="R4" i="29"/>
  <c r="Q4"/>
  <c r="R76"/>
  <c r="P76"/>
  <c r="Q76"/>
  <c r="T76" s="1"/>
  <c r="R118"/>
  <c r="U118" s="1"/>
  <c r="P118"/>
  <c r="Q118"/>
  <c r="S24" i="37"/>
  <c r="R91" i="29"/>
  <c r="U91" s="1"/>
  <c r="P91"/>
  <c r="Q91"/>
  <c r="T91" s="1"/>
  <c r="Q55"/>
  <c r="T55" s="1"/>
  <c r="R55"/>
  <c r="V55" s="1"/>
  <c r="P55"/>
  <c r="Q77"/>
  <c r="P77"/>
  <c r="R77"/>
  <c r="Q9"/>
  <c r="R9"/>
  <c r="O17" i="37"/>
  <c r="P9" i="29"/>
  <c r="P17" i="37" s="1"/>
  <c r="Q51" i="29"/>
  <c r="T51" s="1"/>
  <c r="R51"/>
  <c r="P51"/>
  <c r="Q28"/>
  <c r="P28"/>
  <c r="R28"/>
  <c r="V28" s="1"/>
  <c r="Q25"/>
  <c r="T25" s="1"/>
  <c r="P25"/>
  <c r="R25"/>
  <c r="R80"/>
  <c r="P80"/>
  <c r="Q80"/>
  <c r="P96"/>
  <c r="Q96"/>
  <c r="T96" s="1"/>
  <c r="R96"/>
  <c r="V96" s="1"/>
  <c r="R126"/>
  <c r="U126" s="1"/>
  <c r="P126"/>
  <c r="Q126"/>
  <c r="S6" i="37"/>
  <c r="S5"/>
  <c r="O26"/>
  <c r="Q19" i="29"/>
  <c r="R19"/>
  <c r="V19" s="1"/>
  <c r="V26" i="37" s="1"/>
  <c r="P19" i="29"/>
  <c r="P26" i="37" s="1"/>
  <c r="S28"/>
  <c r="I12" i="1" s="1"/>
  <c r="K12" s="1"/>
  <c r="P95" i="29"/>
  <c r="R95"/>
  <c r="U95" s="1"/>
  <c r="Q95"/>
  <c r="P112"/>
  <c r="R112"/>
  <c r="U112" s="1"/>
  <c r="Q112"/>
  <c r="R137"/>
  <c r="V137" s="1"/>
  <c r="Q137"/>
  <c r="T137" s="1"/>
  <c r="P137"/>
  <c r="O27" i="37"/>
  <c r="P33" i="29"/>
  <c r="P27" i="37" s="1"/>
  <c r="R33" i="29"/>
  <c r="Q33"/>
  <c r="S4" i="37"/>
  <c r="V4" i="29"/>
  <c r="V4" i="37" s="1"/>
  <c r="V72" i="29"/>
  <c r="R22"/>
  <c r="Q22"/>
  <c r="O7" i="37"/>
  <c r="P22" i="29"/>
  <c r="P7" i="37" s="1"/>
  <c r="Q74" i="29"/>
  <c r="T74" s="1"/>
  <c r="R74"/>
  <c r="V74" s="1"/>
  <c r="P74"/>
  <c r="Q90"/>
  <c r="R90"/>
  <c r="V90" s="1"/>
  <c r="P90"/>
  <c r="P107"/>
  <c r="R107"/>
  <c r="U107" s="1"/>
  <c r="Q107"/>
  <c r="T107" s="1"/>
  <c r="P26"/>
  <c r="Q26"/>
  <c r="R26"/>
  <c r="V26" s="1"/>
  <c r="S13" i="37"/>
  <c r="Q141" i="29"/>
  <c r="T141" s="1"/>
  <c r="P141"/>
  <c r="R141"/>
  <c r="P56"/>
  <c r="Q56"/>
  <c r="R56"/>
  <c r="V56" s="1"/>
  <c r="S10" i="37"/>
  <c r="P117" i="29"/>
  <c r="Q117"/>
  <c r="R117"/>
  <c r="E5" i="38"/>
  <c r="D5"/>
  <c r="F5"/>
  <c r="AM5" s="1"/>
  <c r="E23" i="1"/>
  <c r="A7" i="26"/>
  <c r="B7" s="1"/>
  <c r="B6" i="38"/>
  <c r="A30" i="53"/>
  <c r="F25" i="52"/>
  <c r="L23" i="1"/>
  <c r="M22" s="1"/>
  <c r="B24"/>
  <c r="P113" i="29"/>
  <c r="P127"/>
  <c r="Q127"/>
  <c r="R127"/>
  <c r="P42"/>
  <c r="Q42"/>
  <c r="R42"/>
  <c r="V42" s="1"/>
  <c r="R61"/>
  <c r="U61" s="1"/>
  <c r="Q61"/>
  <c r="T61" s="1"/>
  <c r="P61"/>
  <c r="P59"/>
  <c r="P28" i="37" s="1"/>
  <c r="Q59" i="29"/>
  <c r="O28" i="37"/>
  <c r="R59" i="29"/>
  <c r="Q81"/>
  <c r="P81"/>
  <c r="R81"/>
  <c r="R97"/>
  <c r="Q97"/>
  <c r="P97"/>
  <c r="Q116"/>
  <c r="P116"/>
  <c r="R116"/>
  <c r="Q131"/>
  <c r="R131"/>
  <c r="P131"/>
  <c r="V41"/>
  <c r="Q149"/>
  <c r="T149" s="1"/>
  <c r="P149"/>
  <c r="R149"/>
  <c r="S25" i="37"/>
  <c r="S22"/>
  <c r="R43" i="29"/>
  <c r="P43"/>
  <c r="Q43"/>
  <c r="R68"/>
  <c r="U68" s="1"/>
  <c r="P68"/>
  <c r="Q68"/>
  <c r="R84"/>
  <c r="P84"/>
  <c r="Q84"/>
  <c r="P99"/>
  <c r="Q99"/>
  <c r="R99"/>
  <c r="Q145"/>
  <c r="P145"/>
  <c r="R145"/>
  <c r="V117"/>
  <c r="Q47"/>
  <c r="T47" s="1"/>
  <c r="P47"/>
  <c r="R47"/>
  <c r="V47" s="1"/>
  <c r="Q46"/>
  <c r="R46"/>
  <c r="P46"/>
  <c r="V62"/>
  <c r="P144"/>
  <c r="Q144"/>
  <c r="R144"/>
  <c r="V144" s="1"/>
  <c r="O23" i="37"/>
  <c r="R21" i="29"/>
  <c r="V21" s="1"/>
  <c r="V23" i="37" s="1"/>
  <c r="Q21" i="29"/>
  <c r="P21"/>
  <c r="P23" i="37" s="1"/>
  <c r="Q67" i="29"/>
  <c r="T67" s="1"/>
  <c r="R67"/>
  <c r="P67"/>
  <c r="R83"/>
  <c r="P83"/>
  <c r="Q83"/>
  <c r="Q105"/>
  <c r="P105"/>
  <c r="R105"/>
  <c r="U105" s="1"/>
  <c r="V91"/>
  <c r="P120"/>
  <c r="R120"/>
  <c r="U120" s="1"/>
  <c r="Q120"/>
  <c r="Q24"/>
  <c r="T24" s="1"/>
  <c r="P24"/>
  <c r="R24"/>
  <c r="V24" s="1"/>
  <c r="O14" i="37"/>
  <c r="P39" i="29"/>
  <c r="P14" i="37" s="1"/>
  <c r="R39" i="29"/>
  <c r="V39" s="1"/>
  <c r="V14" i="37" s="1"/>
  <c r="Q39" i="29"/>
  <c r="R129"/>
  <c r="Q129"/>
  <c r="T129" s="1"/>
  <c r="P129"/>
  <c r="S15" i="37"/>
  <c r="V76" i="29"/>
  <c r="P152"/>
  <c r="Q152"/>
  <c r="R152"/>
  <c r="V152" s="1"/>
  <c r="R12"/>
  <c r="U12" s="1"/>
  <c r="P12"/>
  <c r="Q12"/>
  <c r="S19" i="37"/>
  <c r="S14"/>
  <c r="Q78" i="29"/>
  <c r="R78"/>
  <c r="P78"/>
  <c r="Q94"/>
  <c r="R94"/>
  <c r="P94"/>
  <c r="R114"/>
  <c r="U114" s="1"/>
  <c r="Q114"/>
  <c r="T114" s="1"/>
  <c r="P114"/>
  <c r="P153"/>
  <c r="Q153"/>
  <c r="R153"/>
  <c r="V153" s="1"/>
  <c r="R133"/>
  <c r="P133"/>
  <c r="Q133"/>
  <c r="P62"/>
  <c r="R62"/>
  <c r="Q62"/>
  <c r="R13"/>
  <c r="Q13"/>
  <c r="P13"/>
  <c r="R50"/>
  <c r="V50" s="1"/>
  <c r="V10" i="37" s="1"/>
  <c r="O10"/>
  <c r="P50" i="29"/>
  <c r="P10" i="37" s="1"/>
  <c r="Q50" i="29"/>
  <c r="P134"/>
  <c r="R134"/>
  <c r="Q134"/>
  <c r="R102"/>
  <c r="P102"/>
  <c r="Q102"/>
  <c r="P106"/>
  <c r="R106"/>
  <c r="V106" s="1"/>
  <c r="Q106"/>
  <c r="P109"/>
  <c r="Q109"/>
  <c r="R109"/>
  <c r="E24" i="52"/>
  <c r="P111" i="29"/>
  <c r="Q111"/>
  <c r="R111"/>
  <c r="V77"/>
  <c r="P40"/>
  <c r="Q40"/>
  <c r="O22" i="37"/>
  <c r="R40" i="29"/>
  <c r="V40" s="1"/>
  <c r="O25" i="37"/>
  <c r="Q20" i="29"/>
  <c r="P20"/>
  <c r="P24" i="37" s="1"/>
  <c r="O24"/>
  <c r="R20" i="29"/>
  <c r="R110"/>
  <c r="P110"/>
  <c r="Q110"/>
  <c r="T110" s="1"/>
  <c r="V125"/>
  <c r="V126"/>
  <c r="R37"/>
  <c r="U37" s="1"/>
  <c r="P37"/>
  <c r="Q37"/>
  <c r="S9" i="37"/>
  <c r="S23"/>
  <c r="P71" i="29"/>
  <c r="R71"/>
  <c r="U71" s="1"/>
  <c r="Q71"/>
  <c r="P87"/>
  <c r="R87"/>
  <c r="Q87"/>
  <c r="Q108"/>
  <c r="R108"/>
  <c r="P108"/>
  <c r="V95"/>
  <c r="P128"/>
  <c r="R128"/>
  <c r="U128" s="1"/>
  <c r="Q128"/>
  <c r="P6"/>
  <c r="R6"/>
  <c r="Q6"/>
  <c r="R154"/>
  <c r="V154" s="1"/>
  <c r="Q154"/>
  <c r="T154" s="1"/>
  <c r="P154"/>
  <c r="V133"/>
  <c r="R35"/>
  <c r="P35"/>
  <c r="Q35"/>
  <c r="S21" i="37"/>
  <c r="V80" i="29"/>
  <c r="V97"/>
  <c r="V13"/>
  <c r="O5" i="37"/>
  <c r="P8" i="29"/>
  <c r="P5" i="37" s="1"/>
  <c r="Q8" i="29"/>
  <c r="R8"/>
  <c r="P17"/>
  <c r="Q17"/>
  <c r="R17"/>
  <c r="S16" i="37"/>
  <c r="P65" i="29"/>
  <c r="Q65"/>
  <c r="R65"/>
  <c r="Q82"/>
  <c r="R82"/>
  <c r="V82" s="1"/>
  <c r="P82"/>
  <c r="P101"/>
  <c r="R101"/>
  <c r="U101" s="1"/>
  <c r="Q101"/>
  <c r="R122"/>
  <c r="Q122"/>
  <c r="P122"/>
  <c r="V9"/>
  <c r="V17" i="37" s="1"/>
  <c r="S17"/>
  <c r="R64" i="29"/>
  <c r="V64" s="1"/>
  <c r="V19" i="37" s="1"/>
  <c r="Q64" i="29"/>
  <c r="O19" i="37"/>
  <c r="P64" i="29"/>
  <c r="P19" i="37" s="1"/>
  <c r="P7" i="29"/>
  <c r="P20" i="37" s="1"/>
  <c r="Q7" i="29"/>
  <c r="O20" i="37"/>
  <c r="R7" i="29"/>
  <c r="V7" s="1"/>
  <c r="V20" i="37" s="1"/>
  <c r="P66" i="29"/>
  <c r="R66"/>
  <c r="U66" s="1"/>
  <c r="Q66"/>
  <c r="S11" i="37"/>
  <c r="V141" i="29"/>
  <c r="P135"/>
  <c r="R135"/>
  <c r="U135" s="1"/>
  <c r="Q135"/>
  <c r="R5"/>
  <c r="P5"/>
  <c r="P11" i="37" s="1"/>
  <c r="O11"/>
  <c r="Q5" i="29"/>
  <c r="Q85"/>
  <c r="T85" s="1"/>
  <c r="P85"/>
  <c r="R85"/>
  <c r="V131"/>
  <c r="S27" i="37"/>
  <c r="V33" i="29"/>
  <c r="V27" i="37" s="1"/>
  <c r="P125" i="29"/>
  <c r="Q125"/>
  <c r="R125"/>
  <c r="R88"/>
  <c r="U88" s="1"/>
  <c r="P88"/>
  <c r="Q88"/>
  <c r="V46"/>
  <c r="P146"/>
  <c r="R146"/>
  <c r="U146" s="1"/>
  <c r="Q146"/>
  <c r="P16"/>
  <c r="Q16"/>
  <c r="R16"/>
  <c r="V16" s="1"/>
  <c r="V34"/>
  <c r="R92"/>
  <c r="P92"/>
  <c r="Q92"/>
  <c r="Q15"/>
  <c r="R15"/>
  <c r="V15" s="1"/>
  <c r="V6" i="37" s="1"/>
  <c r="O6"/>
  <c r="P15" i="29"/>
  <c r="P6" i="37" s="1"/>
  <c r="Q138" i="29"/>
  <c r="T138" s="1"/>
  <c r="P138"/>
  <c r="R138"/>
  <c r="P49"/>
  <c r="Q49"/>
  <c r="R49"/>
  <c r="R60"/>
  <c r="P60"/>
  <c r="Q60"/>
  <c r="R75"/>
  <c r="P75"/>
  <c r="Q75"/>
  <c r="T75" s="1"/>
  <c r="V67"/>
  <c r="V83"/>
  <c r="R142"/>
  <c r="U142" s="1"/>
  <c r="Q142"/>
  <c r="P142"/>
  <c r="S12" i="37"/>
  <c r="R132" i="29"/>
  <c r="Q132"/>
  <c r="T132" s="1"/>
  <c r="P132"/>
  <c r="P155"/>
  <c r="Q155"/>
  <c r="R155"/>
  <c r="U155" s="1"/>
  <c r="S26" i="37"/>
  <c r="V68" i="29"/>
  <c r="V84"/>
  <c r="R121"/>
  <c r="P121"/>
  <c r="Q121"/>
  <c r="T121" s="1"/>
  <c r="Q10"/>
  <c r="R10"/>
  <c r="V10" s="1"/>
  <c r="P10"/>
  <c r="R29"/>
  <c r="U29" s="1"/>
  <c r="Q29"/>
  <c r="T29" s="1"/>
  <c r="P29"/>
  <c r="O12" i="37"/>
  <c r="P18" i="29"/>
  <c r="P12" i="37" s="1"/>
  <c r="R18" i="29"/>
  <c r="Q18"/>
  <c r="P58"/>
  <c r="P9" i="37" s="1"/>
  <c r="R58" i="29"/>
  <c r="V58" s="1"/>
  <c r="V9" i="37" s="1"/>
  <c r="O9"/>
  <c r="Q58" i="29"/>
  <c r="Q70"/>
  <c r="R70"/>
  <c r="U70" s="1"/>
  <c r="P70"/>
  <c r="Q86"/>
  <c r="R86"/>
  <c r="P86"/>
  <c r="R104"/>
  <c r="U104" s="1"/>
  <c r="P104"/>
  <c r="Q104"/>
  <c r="Q150"/>
  <c r="T150" s="1"/>
  <c r="R150"/>
  <c r="P150"/>
  <c r="V113"/>
  <c r="O13" i="37"/>
  <c r="P30" i="29"/>
  <c r="P13" i="37" s="1"/>
  <c r="Q30" i="29"/>
  <c r="R30"/>
  <c r="R11"/>
  <c r="U11" s="1"/>
  <c r="P11"/>
  <c r="Q11"/>
  <c r="P52"/>
  <c r="R52"/>
  <c r="U52" s="1"/>
  <c r="Q52"/>
  <c r="S8" i="37"/>
  <c r="V145" i="29"/>
  <c r="Q48"/>
  <c r="P48"/>
  <c r="R48"/>
  <c r="U48" s="1"/>
  <c r="V22"/>
  <c r="V7" i="37" s="1"/>
  <c r="S7"/>
  <c r="B30" i="53"/>
  <c r="A28"/>
  <c r="B29" s="1"/>
  <c r="Q113" i="29"/>
  <c r="P45"/>
  <c r="Q45"/>
  <c r="R45"/>
  <c r="R100"/>
  <c r="V100" s="1"/>
  <c r="P100"/>
  <c r="Q100"/>
  <c r="Q124"/>
  <c r="T124" s="1"/>
  <c r="P124"/>
  <c r="R124"/>
  <c r="V11"/>
  <c r="V94"/>
  <c r="P44"/>
  <c r="R44"/>
  <c r="U44" s="1"/>
  <c r="Q44"/>
  <c r="R151"/>
  <c r="P151"/>
  <c r="Q151"/>
  <c r="T151" s="1"/>
  <c r="V132"/>
  <c r="Q73"/>
  <c r="T73" s="1"/>
  <c r="P73"/>
  <c r="R73"/>
  <c r="P103"/>
  <c r="R103"/>
  <c r="U103" s="1"/>
  <c r="Q103"/>
  <c r="R54"/>
  <c r="U54" s="1"/>
  <c r="Q54"/>
  <c r="T54" s="1"/>
  <c r="P54"/>
  <c r="V65"/>
  <c r="R148"/>
  <c r="P148"/>
  <c r="Q148"/>
  <c r="T148" s="1"/>
  <c r="P53"/>
  <c r="P21" i="37" s="1"/>
  <c r="O21"/>
  <c r="Q53" i="29"/>
  <c r="R53"/>
  <c r="V53" s="1"/>
  <c r="V21" i="37" s="1"/>
  <c r="P130" i="29"/>
  <c r="R130"/>
  <c r="Q130"/>
  <c r="V149"/>
  <c r="O18" i="37"/>
  <c r="P31" i="29"/>
  <c r="P18" i="37" s="1"/>
  <c r="R31" i="29"/>
  <c r="V31" s="1"/>
  <c r="V18" i="37" s="1"/>
  <c r="Q31" i="29"/>
  <c r="P119"/>
  <c r="Q119"/>
  <c r="R119"/>
  <c r="U119" s="1"/>
  <c r="Q147"/>
  <c r="T147" s="1"/>
  <c r="P147"/>
  <c r="R147"/>
  <c r="P57"/>
  <c r="P15" i="37" s="1"/>
  <c r="O15"/>
  <c r="Q57" i="29"/>
  <c r="R57"/>
  <c r="Q93"/>
  <c r="P93"/>
  <c r="R93"/>
  <c r="P143"/>
  <c r="Q143"/>
  <c r="R143"/>
  <c r="V143" s="1"/>
  <c r="V51"/>
  <c r="O8" i="37"/>
  <c r="R36" i="29"/>
  <c r="V36" s="1"/>
  <c r="V8" i="37" s="1"/>
  <c r="Q36" i="29"/>
  <c r="P36"/>
  <c r="P8" i="37" s="1"/>
  <c r="V109" i="29"/>
  <c r="S18" i="37"/>
  <c r="P123" i="29"/>
  <c r="Q123"/>
  <c r="T123" s="1"/>
  <c r="R123"/>
  <c r="Q14"/>
  <c r="T14" s="1"/>
  <c r="P14"/>
  <c r="R14"/>
  <c r="P79"/>
  <c r="R79"/>
  <c r="Q79"/>
  <c r="V87"/>
  <c r="V150"/>
  <c r="P140"/>
  <c r="R140"/>
  <c r="Q140"/>
  <c r="R136"/>
  <c r="P136"/>
  <c r="Q136"/>
  <c r="T136" s="1"/>
  <c r="R32"/>
  <c r="U32" s="1"/>
  <c r="Q32"/>
  <c r="T32" s="1"/>
  <c r="P32"/>
  <c r="R63"/>
  <c r="V63" s="1"/>
  <c r="V16" i="37" s="1"/>
  <c r="O16"/>
  <c r="Q63" i="29"/>
  <c r="P63"/>
  <c r="P16" i="37" s="1"/>
  <c r="Q139" i="29"/>
  <c r="P139"/>
  <c r="R139"/>
  <c r="R27"/>
  <c r="P27"/>
  <c r="Q27"/>
  <c r="T27" s="1"/>
  <c r="P115"/>
  <c r="Q115"/>
  <c r="R115"/>
  <c r="U115" s="1"/>
  <c r="U116" l="1"/>
  <c r="U69"/>
  <c r="U73"/>
  <c r="T135"/>
  <c r="T101"/>
  <c r="T106"/>
  <c r="T62"/>
  <c r="U78"/>
  <c r="U99"/>
  <c r="U81"/>
  <c r="T26"/>
  <c r="U25"/>
  <c r="T140"/>
  <c r="U14"/>
  <c r="V101"/>
  <c r="T44"/>
  <c r="T142"/>
  <c r="U122"/>
  <c r="T128"/>
  <c r="U87"/>
  <c r="U134"/>
  <c r="U13"/>
  <c r="T120"/>
  <c r="V118"/>
  <c r="T145"/>
  <c r="U97"/>
  <c r="T90"/>
  <c r="V23"/>
  <c r="T126"/>
  <c r="U51"/>
  <c r="T111"/>
  <c r="T52"/>
  <c r="T144"/>
  <c r="V88"/>
  <c r="T113"/>
  <c r="V114"/>
  <c r="T87"/>
  <c r="U77"/>
  <c r="U79"/>
  <c r="V120"/>
  <c r="T48"/>
  <c r="T10"/>
  <c r="V61"/>
  <c r="U92"/>
  <c r="V81"/>
  <c r="T82"/>
  <c r="U6"/>
  <c r="T105"/>
  <c r="V112"/>
  <c r="T117"/>
  <c r="T80"/>
  <c r="T28"/>
  <c r="V69"/>
  <c r="T89"/>
  <c r="T72"/>
  <c r="U123"/>
  <c r="V105"/>
  <c r="U85"/>
  <c r="T143"/>
  <c r="I9" i="1"/>
  <c r="K9" s="1"/>
  <c r="L9" s="1"/>
  <c r="V98" i="29"/>
  <c r="T130"/>
  <c r="V135"/>
  <c r="U124"/>
  <c r="V25"/>
  <c r="I8" i="1"/>
  <c r="K8" s="1"/>
  <c r="L8" s="1"/>
  <c r="S8" s="1"/>
  <c r="U41" i="29"/>
  <c r="T115"/>
  <c r="U27"/>
  <c r="U140"/>
  <c r="T79"/>
  <c r="V85"/>
  <c r="U57"/>
  <c r="U15" i="37" s="1"/>
  <c r="R15"/>
  <c r="U147" i="29"/>
  <c r="T119"/>
  <c r="U130"/>
  <c r="T53"/>
  <c r="T21" i="37" s="1"/>
  <c r="Q21"/>
  <c r="T103" i="29"/>
  <c r="U100"/>
  <c r="U30"/>
  <c r="U13" i="37" s="1"/>
  <c r="R13"/>
  <c r="T104" i="29"/>
  <c r="U86"/>
  <c r="T70"/>
  <c r="T155"/>
  <c r="U132"/>
  <c r="V146"/>
  <c r="V103"/>
  <c r="U60"/>
  <c r="T92"/>
  <c r="T146"/>
  <c r="U125"/>
  <c r="V12"/>
  <c r="T66"/>
  <c r="T122"/>
  <c r="U65"/>
  <c r="V48"/>
  <c r="U35"/>
  <c r="U154"/>
  <c r="V52"/>
  <c r="U108"/>
  <c r="V130"/>
  <c r="T37"/>
  <c r="R25" i="37"/>
  <c r="R22"/>
  <c r="U40" i="29"/>
  <c r="U109"/>
  <c r="U106"/>
  <c r="U102"/>
  <c r="T134"/>
  <c r="T13"/>
  <c r="U62"/>
  <c r="U133"/>
  <c r="U94"/>
  <c r="T78"/>
  <c r="V57"/>
  <c r="V15" i="37" s="1"/>
  <c r="U129" i="29"/>
  <c r="V147"/>
  <c r="U83"/>
  <c r="V6"/>
  <c r="U46"/>
  <c r="U47"/>
  <c r="U145"/>
  <c r="T99"/>
  <c r="U84"/>
  <c r="V29"/>
  <c r="U43"/>
  <c r="V14"/>
  <c r="U131"/>
  <c r="T116"/>
  <c r="T97"/>
  <c r="T81"/>
  <c r="U42"/>
  <c r="U127"/>
  <c r="E25" i="52"/>
  <c r="U56" i="29"/>
  <c r="U141"/>
  <c r="V30"/>
  <c r="V13" i="37" s="1"/>
  <c r="V129" i="29"/>
  <c r="U137"/>
  <c r="V71"/>
  <c r="L12" i="1"/>
  <c r="T19" i="29"/>
  <c r="T26" i="37" s="1"/>
  <c r="Q26"/>
  <c r="U96" i="29"/>
  <c r="V70"/>
  <c r="V107"/>
  <c r="T77"/>
  <c r="V66"/>
  <c r="V134"/>
  <c r="T118"/>
  <c r="T41"/>
  <c r="V99"/>
  <c r="U34"/>
  <c r="T98"/>
  <c r="V78"/>
  <c r="T139"/>
  <c r="U139"/>
  <c r="Q16" i="37"/>
  <c r="T63" i="29"/>
  <c r="T16" i="37" s="1"/>
  <c r="U136" i="29"/>
  <c r="V115"/>
  <c r="V32"/>
  <c r="U143"/>
  <c r="U93"/>
  <c r="Q15" i="37"/>
  <c r="T57" i="29"/>
  <c r="T15" i="37" s="1"/>
  <c r="U148" i="29"/>
  <c r="U151"/>
  <c r="U45"/>
  <c r="T11"/>
  <c r="T30"/>
  <c r="T13" i="37" s="1"/>
  <c r="Q13"/>
  <c r="T86" i="29"/>
  <c r="Q9" i="37"/>
  <c r="T58" i="29"/>
  <c r="T9" i="37" s="1"/>
  <c r="T18" i="29"/>
  <c r="T12" i="37" s="1"/>
  <c r="Q12"/>
  <c r="U10" i="29"/>
  <c r="U121"/>
  <c r="U75"/>
  <c r="U49"/>
  <c r="U138"/>
  <c r="U16"/>
  <c r="T88"/>
  <c r="T125"/>
  <c r="U5"/>
  <c r="U11" i="37" s="1"/>
  <c r="R11"/>
  <c r="V139" i="29"/>
  <c r="V5"/>
  <c r="V11" i="37" s="1"/>
  <c r="T7" i="29"/>
  <c r="T20" i="37" s="1"/>
  <c r="Q20"/>
  <c r="T65" i="29"/>
  <c r="U17"/>
  <c r="R5" i="37"/>
  <c r="U8" i="29"/>
  <c r="U5" i="37" s="1"/>
  <c r="T6" i="29"/>
  <c r="V140"/>
  <c r="T108"/>
  <c r="T71"/>
  <c r="V27"/>
  <c r="U110"/>
  <c r="T20"/>
  <c r="T24" i="37" s="1"/>
  <c r="Q24"/>
  <c r="T109" i="29"/>
  <c r="V119"/>
  <c r="U153"/>
  <c r="T94"/>
  <c r="T12"/>
  <c r="U152"/>
  <c r="V92"/>
  <c r="Q14" i="37"/>
  <c r="T39" i="29"/>
  <c r="T14" i="37" s="1"/>
  <c r="U24" i="29"/>
  <c r="V138"/>
  <c r="Q23" i="37"/>
  <c r="T21" i="29"/>
  <c r="T23" i="37" s="1"/>
  <c r="V116" i="29"/>
  <c r="T46"/>
  <c r="T68"/>
  <c r="V37"/>
  <c r="U149"/>
  <c r="T131"/>
  <c r="R28" i="37"/>
  <c r="I11" i="1" s="1"/>
  <c r="U59" i="29"/>
  <c r="U28" i="37" s="1"/>
  <c r="T42" i="29"/>
  <c r="T127"/>
  <c r="E24" i="1"/>
  <c r="A31" i="53"/>
  <c r="B7" i="38"/>
  <c r="F26" i="52"/>
  <c r="L24" i="1"/>
  <c r="M23" s="1"/>
  <c r="B25"/>
  <c r="A8" i="26"/>
  <c r="B8" s="1"/>
  <c r="B31" i="53"/>
  <c r="T56" i="29"/>
  <c r="V121"/>
  <c r="U74"/>
  <c r="T22"/>
  <c r="T7" i="37" s="1"/>
  <c r="Q7"/>
  <c r="Q27"/>
  <c r="T33" i="29"/>
  <c r="T27" i="37" s="1"/>
  <c r="V45" i="29"/>
  <c r="T112"/>
  <c r="T95"/>
  <c r="V59"/>
  <c r="V28" i="37" s="1"/>
  <c r="U80" i="29"/>
  <c r="U28"/>
  <c r="R17" i="37"/>
  <c r="U9" i="29"/>
  <c r="U17" i="37" s="1"/>
  <c r="V104" i="29"/>
  <c r="U76"/>
  <c r="T23"/>
  <c r="U89"/>
  <c r="U72"/>
  <c r="V38"/>
  <c r="T36"/>
  <c r="T8" i="37" s="1"/>
  <c r="Q8"/>
  <c r="Q18"/>
  <c r="T31" i="29"/>
  <c r="T18" i="37" s="1"/>
  <c r="T100" i="29"/>
  <c r="T45"/>
  <c r="U150"/>
  <c r="R12" i="37"/>
  <c r="U18" i="29"/>
  <c r="U12" i="37" s="1"/>
  <c r="V18" i="29"/>
  <c r="V12" i="37" s="1"/>
  <c r="T60" i="29"/>
  <c r="T49"/>
  <c r="U15"/>
  <c r="U6" i="37" s="1"/>
  <c r="R6"/>
  <c r="T16" i="29"/>
  <c r="T5"/>
  <c r="T11" i="37" s="1"/>
  <c r="Q11"/>
  <c r="Q19"/>
  <c r="T64" i="29"/>
  <c r="T19" i="37" s="1"/>
  <c r="U82" i="29"/>
  <c r="T17"/>
  <c r="Q5" i="37"/>
  <c r="T8" i="29"/>
  <c r="T5" i="37" s="1"/>
  <c r="T35" i="29"/>
  <c r="V79"/>
  <c r="R24" i="37"/>
  <c r="U20" i="29"/>
  <c r="U24" i="37" s="1"/>
  <c r="V155" i="29"/>
  <c r="Q22" i="37"/>
  <c r="Q25"/>
  <c r="T40" i="29"/>
  <c r="U111"/>
  <c r="T102"/>
  <c r="V17"/>
  <c r="R10" i="37"/>
  <c r="U50" i="29"/>
  <c r="U10" i="37" s="1"/>
  <c r="V60" i="29"/>
  <c r="T133"/>
  <c r="T153"/>
  <c r="T152"/>
  <c r="R14" i="37"/>
  <c r="U39" i="29"/>
  <c r="U14" i="37" s="1"/>
  <c r="V75" i="29"/>
  <c r="T83"/>
  <c r="U67"/>
  <c r="R23" i="37"/>
  <c r="U21" i="29"/>
  <c r="U23" i="37" s="1"/>
  <c r="U144" i="29"/>
  <c r="V123"/>
  <c r="T84"/>
  <c r="T43"/>
  <c r="V142"/>
  <c r="V22" i="37"/>
  <c r="V25"/>
  <c r="V151" i="29"/>
  <c r="V73"/>
  <c r="E6" i="38"/>
  <c r="D6"/>
  <c r="F6"/>
  <c r="AM6" s="1"/>
  <c r="AN5"/>
  <c r="AO5"/>
  <c r="AP5" s="1"/>
  <c r="AQ5" s="1"/>
  <c r="U117" i="29"/>
  <c r="U26"/>
  <c r="U90"/>
  <c r="R7" i="37"/>
  <c r="U22" i="29"/>
  <c r="U7" i="37" s="1"/>
  <c r="V35" i="29"/>
  <c r="R27" i="37"/>
  <c r="U33" i="29"/>
  <c r="U27" i="37" s="1"/>
  <c r="V108" i="29"/>
  <c r="V43"/>
  <c r="V49"/>
  <c r="T9"/>
  <c r="T17" i="37" s="1"/>
  <c r="Q17"/>
  <c r="U55" i="29"/>
  <c r="V20"/>
  <c r="V24" i="37" s="1"/>
  <c r="T4" i="29"/>
  <c r="T4" i="37" s="1"/>
  <c r="Q4"/>
  <c r="V54" i="29"/>
  <c r="V93"/>
  <c r="V102"/>
  <c r="U63"/>
  <c r="U16" i="37" s="1"/>
  <c r="R16"/>
  <c r="R8"/>
  <c r="U36" i="29"/>
  <c r="U8" i="37" s="1"/>
  <c r="T93" i="29"/>
  <c r="R18" i="37"/>
  <c r="U31" i="29"/>
  <c r="U18" i="37" s="1"/>
  <c r="U53" i="29"/>
  <c r="U21" i="37" s="1"/>
  <c r="R21"/>
  <c r="R9"/>
  <c r="U58" i="29"/>
  <c r="U9" i="37" s="1"/>
  <c r="T15" i="29"/>
  <c r="T6" i="37" s="1"/>
  <c r="Q6"/>
  <c r="R20"/>
  <c r="U7" i="29"/>
  <c r="U20" i="37" s="1"/>
  <c r="V44" i="29"/>
  <c r="U64"/>
  <c r="U19" i="37" s="1"/>
  <c r="R19"/>
  <c r="V124" i="29"/>
  <c r="V148"/>
  <c r="P22" i="37"/>
  <c r="P25"/>
  <c r="V128" i="29"/>
  <c r="Q10" i="37"/>
  <c r="T50" i="29"/>
  <c r="T10" i="37" s="1"/>
  <c r="T59" i="29"/>
  <c r="T28" i="37" s="1"/>
  <c r="Q28"/>
  <c r="I10" i="1" s="1"/>
  <c r="K10" s="1"/>
  <c r="L10" s="1"/>
  <c r="V111" i="29"/>
  <c r="V122"/>
  <c r="R26" i="37"/>
  <c r="U19" i="29"/>
  <c r="U26" i="37" s="1"/>
  <c r="V8" i="29"/>
  <c r="V5" i="37" s="1"/>
  <c r="V110" i="29"/>
  <c r="V86"/>
  <c r="V136"/>
  <c r="R4" i="37"/>
  <c r="U4" i="29"/>
  <c r="U4" i="37" s="1"/>
  <c r="U113" i="29"/>
  <c r="B6" i="48" l="1"/>
  <c r="B13" s="1"/>
  <c r="B14" s="1"/>
  <c r="G151" i="37"/>
  <c r="D147"/>
  <c r="D129"/>
  <c r="C126"/>
  <c r="B127"/>
  <c r="I39"/>
  <c r="R72"/>
  <c r="U75"/>
  <c r="J105"/>
  <c r="E93"/>
  <c r="K139"/>
  <c r="Q144"/>
  <c r="F122"/>
  <c r="L94"/>
  <c r="Q104"/>
  <c r="F136"/>
  <c r="I98"/>
  <c r="Q108"/>
  <c r="U51"/>
  <c r="F135"/>
  <c r="O43"/>
  <c r="B31"/>
  <c r="K45"/>
  <c r="E61"/>
  <c r="D87"/>
  <c r="H65"/>
  <c r="L127"/>
  <c r="B111"/>
  <c r="P63"/>
  <c r="V106"/>
  <c r="D80"/>
  <c r="H36"/>
  <c r="T144"/>
  <c r="U81"/>
  <c r="P71"/>
  <c r="L153"/>
  <c r="T72"/>
  <c r="Q63"/>
  <c r="N57"/>
  <c r="R60"/>
  <c r="K99"/>
  <c r="I140"/>
  <c r="B141"/>
  <c r="P41"/>
  <c r="S119"/>
  <c r="V114"/>
  <c r="O102"/>
  <c r="R64"/>
  <c r="Q61"/>
  <c r="R125"/>
  <c r="G73"/>
  <c r="E67"/>
  <c r="S78"/>
  <c r="I95"/>
  <c r="S56"/>
  <c r="R53"/>
  <c r="I33"/>
  <c r="I133"/>
  <c r="L77"/>
  <c r="G127"/>
  <c r="F154"/>
  <c r="F140"/>
  <c r="L111"/>
  <c r="B52"/>
  <c r="O150"/>
  <c r="S137"/>
  <c r="E147"/>
  <c r="T70"/>
  <c r="Q65"/>
  <c r="C131"/>
  <c r="T115"/>
  <c r="E127"/>
  <c r="L85"/>
  <c r="M54"/>
  <c r="S136"/>
  <c r="N97"/>
  <c r="U143"/>
  <c r="C155"/>
  <c r="H39"/>
  <c r="D121"/>
  <c r="E78"/>
  <c r="G36"/>
  <c r="T128"/>
  <c r="C90"/>
  <c r="F104"/>
  <c r="S123"/>
  <c r="B88"/>
  <c r="V137"/>
  <c r="H154"/>
  <c r="J93"/>
  <c r="G133"/>
  <c r="P101"/>
  <c r="T135"/>
  <c r="K74"/>
  <c r="E145"/>
  <c r="B91"/>
  <c r="R42"/>
  <c r="J89"/>
  <c r="I37"/>
  <c r="U155"/>
  <c r="V112"/>
  <c r="R147"/>
  <c r="V141"/>
  <c r="L104"/>
  <c r="N113"/>
  <c r="F76"/>
  <c r="K113"/>
  <c r="U96"/>
  <c r="S50"/>
  <c r="E38"/>
  <c r="C116"/>
  <c r="P52"/>
  <c r="C77"/>
  <c r="Q131"/>
  <c r="T148"/>
  <c r="V65"/>
  <c r="C127"/>
  <c r="T48"/>
  <c r="H93"/>
  <c r="P103"/>
  <c r="L48"/>
  <c r="M131"/>
  <c r="K87"/>
  <c r="T100"/>
  <c r="B87"/>
  <c r="R129"/>
  <c r="G114"/>
  <c r="J36"/>
  <c r="E108"/>
  <c r="L61"/>
  <c r="K146"/>
  <c r="V123"/>
  <c r="J123"/>
  <c r="V72"/>
  <c r="R120"/>
  <c r="J139"/>
  <c r="U84"/>
  <c r="J68"/>
  <c r="T101"/>
  <c r="F56"/>
  <c r="J101"/>
  <c r="B98"/>
  <c r="N139"/>
  <c r="S80"/>
  <c r="D94"/>
  <c r="J48"/>
  <c r="V108"/>
  <c r="B58"/>
  <c r="R97"/>
  <c r="R100"/>
  <c r="J53"/>
  <c r="E89"/>
  <c r="B29"/>
  <c r="E73"/>
  <c r="J29"/>
  <c r="F102"/>
  <c r="G126"/>
  <c r="M107"/>
  <c r="T102"/>
  <c r="S67"/>
  <c r="G38"/>
  <c r="C67"/>
  <c r="V132"/>
  <c r="D103"/>
  <c r="N146"/>
  <c r="G95"/>
  <c r="P42"/>
  <c r="S58"/>
  <c r="B125"/>
  <c r="Q123"/>
  <c r="H87"/>
  <c r="N112"/>
  <c r="E128"/>
  <c r="D155"/>
  <c r="S69"/>
  <c r="V88"/>
  <c r="C154"/>
  <c r="M119"/>
  <c r="M51"/>
  <c r="E153"/>
  <c r="N40"/>
  <c r="I79"/>
  <c r="V109"/>
  <c r="S97"/>
  <c r="S45"/>
  <c r="R146"/>
  <c r="L133"/>
  <c r="E137"/>
  <c r="L53"/>
  <c r="V121"/>
  <c r="V84"/>
  <c r="V111"/>
  <c r="K32"/>
  <c r="K105"/>
  <c r="R112"/>
  <c r="C144"/>
  <c r="J82"/>
  <c r="T83"/>
  <c r="L142"/>
  <c r="L115"/>
  <c r="T90"/>
  <c r="P134"/>
  <c r="P119"/>
  <c r="F148"/>
  <c r="C32"/>
  <c r="M45"/>
  <c r="C101"/>
  <c r="J151"/>
  <c r="R79"/>
  <c r="M110"/>
  <c r="O107"/>
  <c r="R75"/>
  <c r="D116"/>
  <c r="U52"/>
  <c r="F97"/>
  <c r="M79"/>
  <c r="K39"/>
  <c r="M151"/>
  <c r="O147"/>
  <c r="B100"/>
  <c r="I150"/>
  <c r="E149"/>
  <c r="E148"/>
  <c r="P110"/>
  <c r="C45"/>
  <c r="I32"/>
  <c r="M109"/>
  <c r="T151"/>
  <c r="L120"/>
  <c r="V81"/>
  <c r="I131"/>
  <c r="C85"/>
  <c r="J135"/>
  <c r="H121"/>
  <c r="O138"/>
  <c r="P73"/>
  <c r="E150"/>
  <c r="G140"/>
  <c r="K112"/>
  <c r="L79"/>
  <c r="L128"/>
  <c r="E125"/>
  <c r="G79"/>
  <c r="S82"/>
  <c r="N123"/>
  <c r="F80"/>
  <c r="U105"/>
  <c r="H38"/>
  <c r="O111"/>
  <c r="N46"/>
  <c r="T75"/>
  <c r="C88"/>
  <c r="G97"/>
  <c r="P106"/>
  <c r="S68"/>
  <c r="S133"/>
  <c r="G103"/>
  <c r="N87"/>
  <c r="Q83"/>
  <c r="K73"/>
  <c r="T35"/>
  <c r="E114"/>
  <c r="S131"/>
  <c r="C43"/>
  <c r="H139"/>
  <c r="F95"/>
  <c r="E113"/>
  <c r="P74"/>
  <c r="P51"/>
  <c r="R78"/>
  <c r="D151"/>
  <c r="J43"/>
  <c r="V86"/>
  <c r="R50"/>
  <c r="C62"/>
  <c r="T153"/>
  <c r="U129"/>
  <c r="F150"/>
  <c r="S125"/>
  <c r="B112"/>
  <c r="B154"/>
  <c r="N43"/>
  <c r="Q64"/>
  <c r="S85"/>
  <c r="S48"/>
  <c r="T31"/>
  <c r="R138"/>
  <c r="R126"/>
  <c r="V144"/>
  <c r="H40"/>
  <c r="D88"/>
  <c r="P139"/>
  <c r="P153"/>
  <c r="K155"/>
  <c r="T59"/>
  <c r="H99"/>
  <c r="C143"/>
  <c r="J34"/>
  <c r="P68"/>
  <c r="S75"/>
  <c r="M78"/>
  <c r="R95"/>
  <c r="M98"/>
  <c r="D65"/>
  <c r="O125"/>
  <c r="H116"/>
  <c r="H108"/>
  <c r="C109"/>
  <c r="M84"/>
  <c r="M96"/>
  <c r="K117"/>
  <c r="M87"/>
  <c r="U115"/>
  <c r="R67"/>
  <c r="H55"/>
  <c r="J121"/>
  <c r="U77"/>
  <c r="I99"/>
  <c r="G39"/>
  <c r="I139"/>
  <c r="O149"/>
  <c r="O116"/>
  <c r="K37"/>
  <c r="C152"/>
  <c r="U80"/>
  <c r="G108"/>
  <c r="E135"/>
  <c r="R90"/>
  <c r="M144"/>
  <c r="S92"/>
  <c r="V47"/>
  <c r="H134"/>
  <c r="D144"/>
  <c r="B47"/>
  <c r="B72"/>
  <c r="U58"/>
  <c r="P128"/>
  <c r="B82"/>
  <c r="I77"/>
  <c r="U136"/>
  <c r="R86"/>
  <c r="F60"/>
  <c r="M123"/>
  <c r="S31"/>
  <c r="G134"/>
  <c r="K92"/>
  <c r="V70"/>
  <c r="O33"/>
  <c r="M149"/>
  <c r="Q66"/>
  <c r="F99"/>
  <c r="O44"/>
  <c r="F92"/>
  <c r="M118"/>
  <c r="Q74"/>
  <c r="K66"/>
  <c r="S51"/>
  <c r="Q130"/>
  <c r="D91"/>
  <c r="S129"/>
  <c r="R122"/>
  <c r="I96"/>
  <c r="T87"/>
  <c r="I31"/>
  <c r="U147"/>
  <c r="G90"/>
  <c r="D39"/>
  <c r="D150"/>
  <c r="F31"/>
  <c r="N69"/>
  <c r="N72"/>
  <c r="K59"/>
  <c r="E76"/>
  <c r="B108"/>
  <c r="R74"/>
  <c r="C74"/>
  <c r="E51"/>
  <c r="H151"/>
  <c r="M55"/>
  <c r="R116"/>
  <c r="F81"/>
  <c r="F33"/>
  <c r="T37"/>
  <c r="F85"/>
  <c r="O66"/>
  <c r="M146"/>
  <c r="S110"/>
  <c r="P97"/>
  <c r="T113"/>
  <c r="G115"/>
  <c r="M95"/>
  <c r="T30"/>
  <c r="G53"/>
  <c r="H45"/>
  <c r="I62"/>
  <c r="K102"/>
  <c r="U70"/>
  <c r="F48"/>
  <c r="Q41"/>
  <c r="I90"/>
  <c r="K152"/>
  <c r="O129"/>
  <c r="M48"/>
  <c r="F137"/>
  <c r="L40"/>
  <c r="G125"/>
  <c r="C148"/>
  <c r="B92"/>
  <c r="T139"/>
  <c r="N133"/>
  <c r="P81"/>
  <c r="S98"/>
  <c r="N54"/>
  <c r="T66"/>
  <c r="S104"/>
  <c r="M41"/>
  <c r="E71"/>
  <c r="U110"/>
  <c r="D108"/>
  <c r="F35"/>
  <c r="L51"/>
  <c r="P60"/>
  <c r="C115"/>
  <c r="Q153"/>
  <c r="O89"/>
  <c r="M120"/>
  <c r="L31"/>
  <c r="S120"/>
  <c r="D56"/>
  <c r="J47"/>
  <c r="H71"/>
  <c r="F54"/>
  <c r="H143"/>
  <c r="B132"/>
  <c r="N30"/>
  <c r="K91"/>
  <c r="L29"/>
  <c r="M49"/>
  <c r="I50"/>
  <c r="G100"/>
  <c r="G55"/>
  <c r="U153"/>
  <c r="L110"/>
  <c r="N153"/>
  <c r="K86"/>
  <c r="P54"/>
  <c r="N119"/>
  <c r="U30"/>
  <c r="G74"/>
  <c r="C120"/>
  <c r="B60"/>
  <c r="L106"/>
  <c r="T47"/>
  <c r="S128"/>
  <c r="L42"/>
  <c r="G144"/>
  <c r="O42"/>
  <c r="J106"/>
  <c r="E99"/>
  <c r="M125"/>
  <c r="R48"/>
  <c r="U62"/>
  <c r="Q105"/>
  <c r="U72"/>
  <c r="E97"/>
  <c r="I94"/>
  <c r="M105"/>
  <c r="U29"/>
  <c r="E91"/>
  <c r="Q73"/>
  <c r="I42"/>
  <c r="N108"/>
  <c r="P69"/>
  <c r="B69"/>
  <c r="V67"/>
  <c r="N100"/>
  <c r="K143"/>
  <c r="H79"/>
  <c r="B152"/>
  <c r="S63"/>
  <c r="V103"/>
  <c r="I152"/>
  <c r="S84"/>
  <c r="U35"/>
  <c r="I64"/>
  <c r="P56"/>
  <c r="K95"/>
  <c r="Q56"/>
  <c r="M104"/>
  <c r="E37"/>
  <c r="U39"/>
  <c r="D82"/>
  <c r="M100"/>
  <c r="H29"/>
  <c r="B67"/>
  <c r="O36"/>
  <c r="G30"/>
  <c r="I93"/>
  <c r="L131"/>
  <c r="E144"/>
  <c r="N65"/>
  <c r="R56"/>
  <c r="J88"/>
  <c r="I146"/>
  <c r="D35"/>
  <c r="C91"/>
  <c r="K150"/>
  <c r="H110"/>
  <c r="Q55"/>
  <c r="J40"/>
  <c r="F98"/>
  <c r="V130"/>
  <c r="G52"/>
  <c r="K85"/>
  <c r="M113"/>
  <c r="M86"/>
  <c r="C114"/>
  <c r="U50"/>
  <c r="T65"/>
  <c r="O154"/>
  <c r="O152"/>
  <c r="O86"/>
  <c r="D104"/>
  <c r="C34"/>
  <c r="R123"/>
  <c r="I104"/>
  <c r="S36"/>
  <c r="D110"/>
  <c r="M72"/>
  <c r="S37"/>
  <c r="I49"/>
  <c r="L30"/>
  <c r="V134"/>
  <c r="Q69"/>
  <c r="E82"/>
  <c r="U134"/>
  <c r="L46"/>
  <c r="N64"/>
  <c r="E98"/>
  <c r="J119"/>
  <c r="T133"/>
  <c r="G106"/>
  <c r="V102"/>
  <c r="N136"/>
  <c r="C97"/>
  <c r="N86"/>
  <c r="N88"/>
  <c r="O39"/>
  <c r="D118"/>
  <c r="P66"/>
  <c r="N63"/>
  <c r="O63"/>
  <c r="C118"/>
  <c r="L67"/>
  <c r="H83"/>
  <c r="G33"/>
  <c r="D153"/>
  <c r="B153"/>
  <c r="K149"/>
  <c r="S30"/>
  <c r="S43"/>
  <c r="S79"/>
  <c r="H58"/>
  <c r="P77"/>
  <c r="Q106"/>
  <c r="K132"/>
  <c r="H48"/>
  <c r="I73"/>
  <c r="F83"/>
  <c r="H144"/>
  <c r="V53"/>
  <c r="B28"/>
  <c r="L43"/>
  <c r="M71"/>
  <c r="H47"/>
  <c r="E101"/>
  <c r="P91"/>
  <c r="S112"/>
  <c r="G105"/>
  <c r="R133"/>
  <c r="C31"/>
  <c r="M62"/>
  <c r="R143"/>
  <c r="D146"/>
  <c r="T77"/>
  <c r="C94"/>
  <c r="O60"/>
  <c r="G141"/>
  <c r="B64"/>
  <c r="N99"/>
  <c r="D86"/>
  <c r="C96"/>
  <c r="N77"/>
  <c r="L116"/>
  <c r="I101"/>
  <c r="S130"/>
  <c r="D111"/>
  <c r="V90"/>
  <c r="C50"/>
  <c r="H152"/>
  <c r="M108"/>
  <c r="H100"/>
  <c r="E70"/>
  <c r="J148"/>
  <c r="F34"/>
  <c r="T110"/>
  <c r="P38"/>
  <c r="C89"/>
  <c r="G145"/>
  <c r="S71"/>
  <c r="D60"/>
  <c r="L33"/>
  <c r="T95"/>
  <c r="B62"/>
  <c r="S39"/>
  <c r="B86"/>
  <c r="D48"/>
  <c r="S77"/>
  <c r="H86"/>
  <c r="M38"/>
  <c r="E30"/>
  <c r="B136"/>
  <c r="Q147"/>
  <c r="P92"/>
  <c r="G32"/>
  <c r="U54"/>
  <c r="V46"/>
  <c r="M89"/>
  <c r="O50"/>
  <c r="O133"/>
  <c r="V87"/>
  <c r="K56"/>
  <c r="G84"/>
  <c r="M88"/>
  <c r="P84"/>
  <c r="P114"/>
  <c r="T62"/>
  <c r="V125"/>
  <c r="G146"/>
  <c r="S126"/>
  <c r="E121"/>
  <c r="M152"/>
  <c r="T108"/>
  <c r="D133"/>
  <c r="U69"/>
  <c r="U131"/>
  <c r="F115"/>
  <c r="F94"/>
  <c r="D131"/>
  <c r="Q42"/>
  <c r="D64"/>
  <c r="U94"/>
  <c r="E139"/>
  <c r="M121"/>
  <c r="T142"/>
  <c r="S70"/>
  <c r="I136"/>
  <c r="J122"/>
  <c r="U116"/>
  <c r="R135"/>
  <c r="T81"/>
  <c r="Q57"/>
  <c r="D29"/>
  <c r="U104"/>
  <c r="N143"/>
  <c r="D34"/>
  <c r="I89"/>
  <c r="F74"/>
  <c r="U125"/>
  <c r="J103"/>
  <c r="N127"/>
  <c r="B139"/>
  <c r="F127"/>
  <c r="P83"/>
  <c r="P144"/>
  <c r="J154"/>
  <c r="H146"/>
  <c r="T152"/>
  <c r="V54"/>
  <c r="S116"/>
  <c r="O139"/>
  <c r="U140"/>
  <c r="M97"/>
  <c r="U37"/>
  <c r="J33"/>
  <c r="D130"/>
  <c r="L35"/>
  <c r="K140"/>
  <c r="B99"/>
  <c r="U73"/>
  <c r="G124"/>
  <c r="P57"/>
  <c r="K145"/>
  <c r="S100"/>
  <c r="R65"/>
  <c r="M148"/>
  <c r="R80"/>
  <c r="E42"/>
  <c r="B76"/>
  <c r="O47"/>
  <c r="R57"/>
  <c r="S134"/>
  <c r="Q141"/>
  <c r="N107"/>
  <c r="B50"/>
  <c r="R102"/>
  <c r="B74"/>
  <c r="L102"/>
  <c r="J129"/>
  <c r="B33"/>
  <c r="Q71"/>
  <c r="R31"/>
  <c r="S94"/>
  <c r="K88"/>
  <c r="J132"/>
  <c r="M50"/>
  <c r="K122"/>
  <c r="F111"/>
  <c r="T118"/>
  <c r="L130"/>
  <c r="M63"/>
  <c r="K142"/>
  <c r="T154"/>
  <c r="P141"/>
  <c r="H105"/>
  <c r="J102"/>
  <c r="V133"/>
  <c r="I29"/>
  <c r="K79"/>
  <c r="I119"/>
  <c r="O69"/>
  <c r="L137"/>
  <c r="F96"/>
  <c r="H126"/>
  <c r="Q70"/>
  <c r="T93"/>
  <c r="P70"/>
  <c r="S111"/>
  <c r="H124"/>
  <c r="O142"/>
  <c r="L70"/>
  <c r="J51"/>
  <c r="S147"/>
  <c r="R77"/>
  <c r="R30"/>
  <c r="K71"/>
  <c r="J117"/>
  <c r="O126"/>
  <c r="S38"/>
  <c r="E102"/>
  <c r="I88"/>
  <c r="I91"/>
  <c r="Q99"/>
  <c r="I130"/>
  <c r="D139"/>
  <c r="M73"/>
  <c r="C51"/>
  <c r="O46"/>
  <c r="O38"/>
  <c r="F119"/>
  <c r="P108"/>
  <c r="K93"/>
  <c r="O98"/>
  <c r="Q38"/>
  <c r="I70"/>
  <c r="R91"/>
  <c r="D68"/>
  <c r="G78"/>
  <c r="K89"/>
  <c r="K126"/>
  <c r="R127"/>
  <c r="H34"/>
  <c r="S154"/>
  <c r="M117"/>
  <c r="P143"/>
  <c r="Q145"/>
  <c r="S127"/>
  <c r="L44"/>
  <c r="F117"/>
  <c r="S57"/>
  <c r="L99"/>
  <c r="S107"/>
  <c r="Q72"/>
  <c r="I141"/>
  <c r="L56"/>
  <c r="J54"/>
  <c r="T150"/>
  <c r="V60"/>
  <c r="L143"/>
  <c r="D90"/>
  <c r="J112"/>
  <c r="E138"/>
  <c r="T84"/>
  <c r="C95"/>
  <c r="G91"/>
  <c r="F153"/>
  <c r="L82"/>
  <c r="I122"/>
  <c r="Q122"/>
  <c r="O45"/>
  <c r="N120"/>
  <c r="R55"/>
  <c r="N126"/>
  <c r="S132"/>
  <c r="N155"/>
  <c r="V76"/>
  <c r="G155"/>
  <c r="U92"/>
  <c r="D42"/>
  <c r="U121"/>
  <c r="F41"/>
  <c r="D73"/>
  <c r="D50"/>
  <c r="F112"/>
  <c r="K70"/>
  <c r="Q118"/>
  <c r="F114"/>
  <c r="R144"/>
  <c r="T121"/>
  <c r="O155"/>
  <c r="O64"/>
  <c r="E47"/>
  <c r="H70"/>
  <c r="D113"/>
  <c r="D107"/>
  <c r="E64"/>
  <c r="N94"/>
  <c r="D99"/>
  <c r="N121"/>
  <c r="R38"/>
  <c r="T109"/>
  <c r="M147"/>
  <c r="K128"/>
  <c r="G122"/>
  <c r="S115"/>
  <c r="I78"/>
  <c r="H113"/>
  <c r="E54"/>
  <c r="N67"/>
  <c r="B37"/>
  <c r="N117"/>
  <c r="F46"/>
  <c r="H153"/>
  <c r="H73"/>
  <c r="O143"/>
  <c r="D52"/>
  <c r="B78"/>
  <c r="F133"/>
  <c r="L93"/>
  <c r="E58"/>
  <c r="L59"/>
  <c r="I154"/>
  <c r="L50"/>
  <c r="V99"/>
  <c r="J98"/>
  <c r="M56"/>
  <c r="B93"/>
  <c r="H52"/>
  <c r="O151"/>
  <c r="F68"/>
  <c r="B137"/>
  <c r="S62"/>
  <c r="O80"/>
  <c r="V34"/>
  <c r="U138"/>
  <c r="K62"/>
  <c r="V38"/>
  <c r="V124"/>
  <c r="N110"/>
  <c r="B80"/>
  <c r="V150"/>
  <c r="L97"/>
  <c r="T96"/>
  <c r="I144"/>
  <c r="F116"/>
  <c r="S102"/>
  <c r="K120"/>
  <c r="C124"/>
  <c r="L121"/>
  <c r="T44"/>
  <c r="F32"/>
  <c r="B66"/>
  <c r="C35"/>
  <c r="P137"/>
  <c r="V151"/>
  <c r="Q109"/>
  <c r="R128"/>
  <c r="J153"/>
  <c r="F142"/>
  <c r="N71"/>
  <c r="R107"/>
  <c r="T80"/>
  <c r="R137"/>
  <c r="T74"/>
  <c r="D126"/>
  <c r="K52"/>
  <c r="B38"/>
  <c r="U78"/>
  <c r="K104"/>
  <c r="J142"/>
  <c r="E154"/>
  <c r="H94"/>
  <c r="H155"/>
  <c r="D30"/>
  <c r="I113"/>
  <c r="I121"/>
  <c r="H76"/>
  <c r="G123"/>
  <c r="C66"/>
  <c r="O134"/>
  <c r="T54"/>
  <c r="Q86"/>
  <c r="K134"/>
  <c r="V56"/>
  <c r="E92"/>
  <c r="D93"/>
  <c r="N91"/>
  <c r="I74"/>
  <c r="G99"/>
  <c r="S108"/>
  <c r="N103"/>
  <c r="F86"/>
  <c r="D134"/>
  <c r="B89"/>
  <c r="H117"/>
  <c r="D138"/>
  <c r="M58"/>
  <c r="V43"/>
  <c r="V119"/>
  <c r="U107"/>
  <c r="C60"/>
  <c r="P140"/>
  <c r="I132"/>
  <c r="P30"/>
  <c r="H137"/>
  <c r="S41"/>
  <c r="C38"/>
  <c r="I114"/>
  <c r="E34"/>
  <c r="R89"/>
  <c r="J109"/>
  <c r="K63"/>
  <c r="Q60"/>
  <c r="P50"/>
  <c r="V44"/>
  <c r="S99"/>
  <c r="O90"/>
  <c r="S32"/>
  <c r="Q116"/>
  <c r="R66"/>
  <c r="B34"/>
  <c r="S90"/>
  <c r="I135"/>
  <c r="T105"/>
  <c r="M139"/>
  <c r="B73"/>
  <c r="M134"/>
  <c r="Q37"/>
  <c r="R76"/>
  <c r="V120"/>
  <c r="B128"/>
  <c r="S150"/>
  <c r="T45"/>
  <c r="P145"/>
  <c r="G70"/>
  <c r="O40"/>
  <c r="L73"/>
  <c r="O91"/>
  <c r="J75"/>
  <c r="J35"/>
  <c r="G89"/>
  <c r="U114"/>
  <c r="V85"/>
  <c r="C80"/>
  <c r="V152"/>
  <c r="T126"/>
  <c r="D43"/>
  <c r="O85"/>
  <c r="M153"/>
  <c r="Q51"/>
  <c r="S55"/>
  <c r="Q129"/>
  <c r="K127"/>
  <c r="C128"/>
  <c r="V91"/>
  <c r="I145"/>
  <c r="G93"/>
  <c r="K84"/>
  <c r="V66"/>
  <c r="P76"/>
  <c r="B48"/>
  <c r="R119"/>
  <c r="N134"/>
  <c r="D59"/>
  <c r="M116"/>
  <c r="B79"/>
  <c r="B59"/>
  <c r="E124"/>
  <c r="L135"/>
  <c r="N148"/>
  <c r="V129"/>
  <c r="H138"/>
  <c r="C123"/>
  <c r="I63"/>
  <c r="S33"/>
  <c r="T98"/>
  <c r="I71"/>
  <c r="O112"/>
  <c r="L154"/>
  <c r="G9"/>
  <c r="U83"/>
  <c r="K115"/>
  <c r="V57"/>
  <c r="G59"/>
  <c r="H33"/>
  <c r="G45"/>
  <c r="K50"/>
  <c r="E130"/>
  <c r="P138"/>
  <c r="H96"/>
  <c r="O97"/>
  <c r="D83"/>
  <c r="V50"/>
  <c r="K49"/>
  <c r="J37"/>
  <c r="S142"/>
  <c r="E140"/>
  <c r="G81"/>
  <c r="R110"/>
  <c r="U126"/>
  <c r="F109"/>
  <c r="K65"/>
  <c r="G62"/>
  <c r="P67"/>
  <c r="P58"/>
  <c r="P135"/>
  <c r="C41"/>
  <c r="K123"/>
  <c r="R35"/>
  <c r="C122"/>
  <c r="O78"/>
  <c r="P85"/>
  <c r="D89"/>
  <c r="E141"/>
  <c r="K46"/>
  <c r="G63"/>
  <c r="V128"/>
  <c r="L141"/>
  <c r="E109"/>
  <c r="E63"/>
  <c r="G67"/>
  <c r="O52"/>
  <c r="J137"/>
  <c r="Q149"/>
  <c r="T50"/>
  <c r="K83"/>
  <c r="I120"/>
  <c r="H103"/>
  <c r="G110"/>
  <c r="C84"/>
  <c r="U90"/>
  <c r="K43"/>
  <c r="O29"/>
  <c r="D117"/>
  <c r="E83"/>
  <c r="Q84"/>
  <c r="B68"/>
  <c r="H37"/>
  <c r="C98"/>
  <c r="H128"/>
  <c r="P107"/>
  <c r="Q148"/>
  <c r="N150"/>
  <c r="C141"/>
  <c r="D132"/>
  <c r="O49"/>
  <c r="T73"/>
  <c r="N89"/>
  <c r="H142"/>
  <c r="B45"/>
  <c r="P37"/>
  <c r="U89"/>
  <c r="J63"/>
  <c r="I116"/>
  <c r="I111"/>
  <c r="V42"/>
  <c r="I129"/>
  <c r="O82"/>
  <c r="F30"/>
  <c r="K77"/>
  <c r="R150"/>
  <c r="C55"/>
  <c r="H46"/>
  <c r="V94"/>
  <c r="K38"/>
  <c r="H50"/>
  <c r="F47"/>
  <c r="O70"/>
  <c r="V41"/>
  <c r="I148"/>
  <c r="J62"/>
  <c r="B70"/>
  <c r="S89"/>
  <c r="U60"/>
  <c r="B36"/>
  <c r="R136"/>
  <c r="E56"/>
  <c r="S87"/>
  <c r="M132"/>
  <c r="N73"/>
  <c r="K72"/>
  <c r="C57"/>
  <c r="T141"/>
  <c r="U76"/>
  <c r="N68"/>
  <c r="I40"/>
  <c r="F78"/>
  <c r="D102"/>
  <c r="M129"/>
  <c r="Q117"/>
  <c r="C147"/>
  <c r="G44"/>
  <c r="B95"/>
  <c r="I36"/>
  <c r="U149"/>
  <c r="O122"/>
  <c r="H148"/>
  <c r="N138"/>
  <c r="T143"/>
  <c r="C103"/>
  <c r="S49"/>
  <c r="I43"/>
  <c r="U49"/>
  <c r="H125"/>
  <c r="P117"/>
  <c r="U74"/>
  <c r="E134"/>
  <c r="E106"/>
  <c r="V39"/>
  <c r="L113"/>
  <c r="U67"/>
  <c r="E94"/>
  <c r="N142"/>
  <c r="U40"/>
  <c r="P98"/>
  <c r="F29"/>
  <c r="V64"/>
  <c r="Q126"/>
  <c r="M32"/>
  <c r="G47"/>
  <c r="M90"/>
  <c r="M101"/>
  <c r="O113"/>
  <c r="D85"/>
  <c r="E33"/>
  <c r="G118"/>
  <c r="E96"/>
  <c r="B150"/>
  <c r="J41"/>
  <c r="O124"/>
  <c r="I106"/>
  <c r="P147"/>
  <c r="P118"/>
  <c r="G148"/>
  <c r="B138"/>
  <c r="T60"/>
  <c r="I142"/>
  <c r="Q39"/>
  <c r="G61"/>
  <c r="I134"/>
  <c r="R84"/>
  <c r="D142"/>
  <c r="D101"/>
  <c r="O136"/>
  <c r="B144"/>
  <c r="K153"/>
  <c r="Q135"/>
  <c r="Q88"/>
  <c r="O55"/>
  <c r="M137"/>
  <c r="B135"/>
  <c r="G153"/>
  <c r="M99"/>
  <c r="L119"/>
  <c r="U118"/>
  <c r="M145"/>
  <c r="E74"/>
  <c r="K53"/>
  <c r="U146"/>
  <c r="S149"/>
  <c r="D97"/>
  <c r="I149"/>
  <c r="L125"/>
  <c r="N38"/>
  <c r="T131"/>
  <c r="K51"/>
  <c r="D136"/>
  <c r="F113"/>
  <c r="C56"/>
  <c r="F124"/>
  <c r="N76"/>
  <c r="N145"/>
  <c r="K125"/>
  <c r="V136"/>
  <c r="C100"/>
  <c r="Q35"/>
  <c r="H150"/>
  <c r="V148"/>
  <c r="C121"/>
  <c r="T49"/>
  <c r="P102"/>
  <c r="T64"/>
  <c r="N48"/>
  <c r="R103"/>
  <c r="U41"/>
  <c r="V155"/>
  <c r="E69"/>
  <c r="G135"/>
  <c r="E60"/>
  <c r="R104"/>
  <c r="M36"/>
  <c r="K131"/>
  <c r="I55"/>
  <c r="D79"/>
  <c r="E90"/>
  <c r="N41"/>
  <c r="I123"/>
  <c r="M37"/>
  <c r="O119"/>
  <c r="R47"/>
  <c r="J92"/>
  <c r="N61"/>
  <c r="B120"/>
  <c r="R98"/>
  <c r="K135"/>
  <c r="N129"/>
  <c r="Q112"/>
  <c r="H109"/>
  <c r="R99"/>
  <c r="G57"/>
  <c r="G101"/>
  <c r="R140"/>
  <c r="N45"/>
  <c r="S146"/>
  <c r="J39"/>
  <c r="I60"/>
  <c r="V33"/>
  <c r="O73"/>
  <c r="H95"/>
  <c r="D36"/>
  <c r="U57"/>
  <c r="N29"/>
  <c r="J46"/>
  <c r="I81"/>
  <c r="Q30"/>
  <c r="J141"/>
  <c r="I86"/>
  <c r="U99"/>
  <c r="S152"/>
  <c r="O108"/>
  <c r="L91"/>
  <c r="D125"/>
  <c r="G80"/>
  <c r="G42"/>
  <c r="C73"/>
  <c r="S148"/>
  <c r="J90"/>
  <c r="N149"/>
  <c r="V78"/>
  <c r="S81"/>
  <c r="C42"/>
  <c r="P127"/>
  <c r="C65"/>
  <c r="R58"/>
  <c r="P65"/>
  <c r="T127"/>
  <c r="E59"/>
  <c r="M91"/>
  <c r="N115"/>
  <c r="M155"/>
  <c r="S65"/>
  <c r="S74"/>
  <c r="T79"/>
  <c r="D44"/>
  <c r="N135"/>
  <c r="G31"/>
  <c r="M40"/>
  <c r="O67"/>
  <c r="O72"/>
  <c r="K96"/>
  <c r="H66"/>
  <c r="H112"/>
  <c r="O137"/>
  <c r="Q52"/>
  <c r="T147"/>
  <c r="Q46"/>
  <c r="U108"/>
  <c r="L107"/>
  <c r="V35"/>
  <c r="V126"/>
  <c r="N140"/>
  <c r="S151"/>
  <c r="N60"/>
  <c r="P89"/>
  <c r="R145"/>
  <c r="T32"/>
  <c r="B143"/>
  <c r="K124"/>
  <c r="V107"/>
  <c r="P120"/>
  <c r="T88"/>
  <c r="J67"/>
  <c r="G82"/>
  <c r="Q107"/>
  <c r="N151"/>
  <c r="O83"/>
  <c r="N39"/>
  <c r="T58"/>
  <c r="M66"/>
  <c r="P55"/>
  <c r="T89"/>
  <c r="L66"/>
  <c r="L109"/>
  <c r="P126"/>
  <c r="P90"/>
  <c r="T71"/>
  <c r="E68"/>
  <c r="N56"/>
  <c r="V48"/>
  <c r="O109"/>
  <c r="F155"/>
  <c r="M127"/>
  <c r="G96"/>
  <c r="E146"/>
  <c r="G48"/>
  <c r="V147"/>
  <c r="G116"/>
  <c r="P149"/>
  <c r="V59"/>
  <c r="P82"/>
  <c r="C61"/>
  <c r="P46"/>
  <c r="Q113"/>
  <c r="V145"/>
  <c r="B44"/>
  <c r="F51"/>
  <c r="K151"/>
  <c r="H74"/>
  <c r="D55"/>
  <c r="T57"/>
  <c r="F40"/>
  <c r="L63"/>
  <c r="J147"/>
  <c r="N132"/>
  <c r="R63"/>
  <c r="N152"/>
  <c r="L92"/>
  <c r="Q68"/>
  <c r="U141"/>
  <c r="I138"/>
  <c r="H133"/>
  <c r="S40"/>
  <c r="F70"/>
  <c r="L155"/>
  <c r="I151"/>
  <c r="H145"/>
  <c r="P129"/>
  <c r="F93"/>
  <c r="D78"/>
  <c r="B77"/>
  <c r="C81"/>
  <c r="J31"/>
  <c r="K61"/>
  <c r="J61"/>
  <c r="G41"/>
  <c r="R39"/>
  <c r="N93"/>
  <c r="K29"/>
  <c r="B15"/>
  <c r="U63"/>
  <c r="B65"/>
  <c r="F36"/>
  <c r="L71"/>
  <c r="E48"/>
  <c r="M122"/>
  <c r="G76"/>
  <c r="M67"/>
  <c r="Q49"/>
  <c r="R154"/>
  <c r="E53"/>
  <c r="J78"/>
  <c r="E123"/>
  <c r="F63"/>
  <c r="G65"/>
  <c r="S141"/>
  <c r="B115"/>
  <c r="E107"/>
  <c r="M76"/>
  <c r="M61"/>
  <c r="Q154"/>
  <c r="V118"/>
  <c r="G43"/>
  <c r="V80"/>
  <c r="N79"/>
  <c r="E155"/>
  <c r="E100"/>
  <c r="S61"/>
  <c r="S66"/>
  <c r="L144"/>
  <c r="L145"/>
  <c r="Q45"/>
  <c r="J128"/>
  <c r="E118"/>
  <c r="U38"/>
  <c r="T103"/>
  <c r="C136"/>
  <c r="H114"/>
  <c r="H82"/>
  <c r="H84"/>
  <c r="B109"/>
  <c r="O123"/>
  <c r="H92"/>
  <c r="J55"/>
  <c r="P87"/>
  <c r="K44"/>
  <c r="P40"/>
  <c r="H129"/>
  <c r="G60"/>
  <c r="S135"/>
  <c r="R139"/>
  <c r="P116"/>
  <c r="J52"/>
  <c r="R83"/>
  <c r="V73"/>
  <c r="O100"/>
  <c r="T149"/>
  <c r="N130"/>
  <c r="J152"/>
  <c r="H141"/>
  <c r="G120"/>
  <c r="O144"/>
  <c r="R111"/>
  <c r="Q127"/>
  <c r="I115"/>
  <c r="H130"/>
  <c r="P154"/>
  <c r="N116"/>
  <c r="J57"/>
  <c r="J65"/>
  <c r="O103"/>
  <c r="M133"/>
  <c r="B142"/>
  <c r="L90"/>
  <c r="G130"/>
  <c r="J42"/>
  <c r="R121"/>
  <c r="G132"/>
  <c r="R46"/>
  <c r="G75"/>
  <c r="J127"/>
  <c r="O132"/>
  <c r="K101"/>
  <c r="B84"/>
  <c r="P125"/>
  <c r="N37"/>
  <c r="N75"/>
  <c r="K81"/>
  <c r="G139"/>
  <c r="S59"/>
  <c r="Q119"/>
  <c r="J86"/>
  <c r="M81"/>
  <c r="P49"/>
  <c r="U86"/>
  <c r="T106"/>
  <c r="T41"/>
  <c r="U88"/>
  <c r="R82"/>
  <c r="K147"/>
  <c r="T137"/>
  <c r="L118"/>
  <c r="E43"/>
  <c r="V89"/>
  <c r="E126"/>
  <c r="U137"/>
  <c r="T130"/>
  <c r="P48"/>
  <c r="T33"/>
  <c r="E95"/>
  <c r="I137"/>
  <c r="D45"/>
  <c r="C153"/>
  <c r="Q140"/>
  <c r="F67"/>
  <c r="G86"/>
  <c r="Q91"/>
  <c r="K30"/>
  <c r="H136"/>
  <c r="O71"/>
  <c r="U79"/>
  <c r="H57"/>
  <c r="O34"/>
  <c r="F100"/>
  <c r="E62"/>
  <c r="F141"/>
  <c r="H127"/>
  <c r="G113"/>
  <c r="N58"/>
  <c r="Q138"/>
  <c r="D41"/>
  <c r="C139"/>
  <c r="N80"/>
  <c r="F61"/>
  <c r="H85"/>
  <c r="R54"/>
  <c r="P44"/>
  <c r="J84"/>
  <c r="P146"/>
  <c r="I82"/>
  <c r="D66"/>
  <c r="F147"/>
  <c r="H42"/>
  <c r="P133"/>
  <c r="Q77"/>
  <c r="K76"/>
  <c r="J77"/>
  <c r="D140"/>
  <c r="L148"/>
  <c r="I45"/>
  <c r="I76"/>
  <c r="O75"/>
  <c r="U142"/>
  <c r="S34"/>
  <c r="C112"/>
  <c r="E105"/>
  <c r="K114"/>
  <c r="L78"/>
  <c r="L49"/>
  <c r="S72"/>
  <c r="N19"/>
  <c r="I118"/>
  <c r="B101"/>
  <c r="G56"/>
  <c r="M106"/>
  <c r="C119"/>
  <c r="G37"/>
  <c r="U133"/>
  <c r="L88"/>
  <c r="F52"/>
  <c r="L32"/>
  <c r="I83"/>
  <c r="E132"/>
  <c r="B16"/>
  <c r="N52"/>
  <c r="L75"/>
  <c r="S153"/>
  <c r="T46"/>
  <c r="H115"/>
  <c r="M57"/>
  <c r="Q62"/>
  <c r="U36"/>
  <c r="O105"/>
  <c r="C52"/>
  <c r="F90"/>
  <c r="H132"/>
  <c r="V135"/>
  <c r="S54"/>
  <c r="T76"/>
  <c r="T99"/>
  <c r="R70"/>
  <c r="R34"/>
  <c r="C68"/>
  <c r="U59"/>
  <c r="F43"/>
  <c r="S122"/>
  <c r="F123"/>
  <c r="M69"/>
  <c r="Q96"/>
  <c r="G138"/>
  <c r="S83"/>
  <c r="F75"/>
  <c r="J149"/>
  <c r="O57"/>
  <c r="I107"/>
  <c r="V115"/>
  <c r="D70"/>
  <c r="V63"/>
  <c r="I124"/>
  <c r="R68"/>
  <c r="M43"/>
  <c r="Q143"/>
  <c r="I38"/>
  <c r="D62"/>
  <c r="B90"/>
  <c r="T138"/>
  <c r="N128"/>
  <c r="V36"/>
  <c r="R52"/>
  <c r="D75"/>
  <c r="J131"/>
  <c r="G35"/>
  <c r="N31"/>
  <c r="Q36"/>
  <c r="C102"/>
  <c r="N92"/>
  <c r="G109"/>
  <c r="N53"/>
  <c r="H98"/>
  <c r="L80"/>
  <c r="B85"/>
  <c r="M59"/>
  <c r="Q92"/>
  <c r="P132"/>
  <c r="N122"/>
  <c r="J136"/>
  <c r="R115"/>
  <c r="O58"/>
  <c r="R32"/>
  <c r="V154"/>
  <c r="J155"/>
  <c r="M39"/>
  <c r="M154"/>
  <c r="I110"/>
  <c r="M75"/>
  <c r="T51"/>
  <c r="L54"/>
  <c r="C87"/>
  <c r="U31"/>
  <c r="L86"/>
  <c r="L81"/>
  <c r="R33"/>
  <c r="M33"/>
  <c r="P131"/>
  <c r="C125"/>
  <c r="U42"/>
  <c r="U44"/>
  <c r="N59"/>
  <c r="E122"/>
  <c r="M141"/>
  <c r="I153"/>
  <c r="T67"/>
  <c r="K60"/>
  <c r="L112"/>
  <c r="S143"/>
  <c r="E104"/>
  <c r="C92"/>
  <c r="N85"/>
  <c r="J60"/>
  <c r="K75"/>
  <c r="Q151"/>
  <c r="K78"/>
  <c r="I112"/>
  <c r="T53"/>
  <c r="Q98"/>
  <c r="L98"/>
  <c r="V30"/>
  <c r="U124"/>
  <c r="Q50"/>
  <c r="F73"/>
  <c r="B42"/>
  <c r="O53"/>
  <c r="S114"/>
  <c r="C64"/>
  <c r="K133"/>
  <c r="B102"/>
  <c r="R93"/>
  <c r="M52"/>
  <c r="F144"/>
  <c r="O93"/>
  <c r="U93"/>
  <c r="N141"/>
  <c r="G83"/>
  <c r="L129"/>
  <c r="P39"/>
  <c r="C72"/>
  <c r="U55"/>
  <c r="I47"/>
  <c r="F44"/>
  <c r="H106"/>
  <c r="V95"/>
  <c r="M85"/>
  <c r="O99"/>
  <c r="J145"/>
  <c r="J76"/>
  <c r="H43"/>
  <c r="G143"/>
  <c r="T94"/>
  <c r="J143"/>
  <c r="H140"/>
  <c r="P111"/>
  <c r="T136"/>
  <c r="H135"/>
  <c r="K35"/>
  <c r="E117"/>
  <c r="M82"/>
  <c r="M31"/>
  <c r="E75"/>
  <c r="Q85"/>
  <c r="C149"/>
  <c r="V69"/>
  <c r="D38"/>
  <c r="E36"/>
  <c r="C39"/>
  <c r="G104"/>
  <c r="O81"/>
  <c r="U71"/>
  <c r="U97"/>
  <c r="N81"/>
  <c r="H72"/>
  <c r="L69"/>
  <c r="F59"/>
  <c r="E44"/>
  <c r="E86"/>
  <c r="H131"/>
  <c r="M77"/>
  <c r="O35"/>
  <c r="T86"/>
  <c r="I46"/>
  <c r="V32"/>
  <c r="F107"/>
  <c r="S155"/>
  <c r="M64"/>
  <c r="O31"/>
  <c r="T129"/>
  <c r="E85"/>
  <c r="E115"/>
  <c r="F110"/>
  <c r="F84"/>
  <c r="J81"/>
  <c r="K116"/>
  <c r="Q150"/>
  <c r="R29"/>
  <c r="U150"/>
  <c r="C48"/>
  <c r="K80"/>
  <c r="G129"/>
  <c r="T116"/>
  <c r="P93"/>
  <c r="O92"/>
  <c r="T132"/>
  <c r="F72"/>
  <c r="O94"/>
  <c r="U43"/>
  <c r="J72"/>
  <c r="H35"/>
  <c r="R69"/>
  <c r="Q33"/>
  <c r="U85"/>
  <c r="S139"/>
  <c r="B133"/>
  <c r="J114"/>
  <c r="H90"/>
  <c r="K107"/>
  <c r="C151"/>
  <c r="E136"/>
  <c r="K67"/>
  <c r="F82"/>
  <c r="T78"/>
  <c r="U91"/>
  <c r="G50"/>
  <c r="J111"/>
  <c r="G117"/>
  <c r="B75"/>
  <c r="L122"/>
  <c r="I53"/>
  <c r="N36"/>
  <c r="K103"/>
  <c r="R131"/>
  <c r="M103"/>
  <c r="D81"/>
  <c r="E46"/>
  <c r="P142"/>
  <c r="Q78"/>
  <c r="D31"/>
  <c r="B81"/>
  <c r="G107"/>
  <c r="J45"/>
  <c r="C99"/>
  <c r="L38"/>
  <c r="Q76"/>
  <c r="R73"/>
  <c r="S144"/>
  <c r="R96"/>
  <c r="B56"/>
  <c r="Q136"/>
  <c r="U48"/>
  <c r="S109"/>
  <c r="D63"/>
  <c r="L52"/>
  <c r="I51"/>
  <c r="G16"/>
  <c r="T38"/>
  <c r="D53"/>
  <c r="B41"/>
  <c r="V113"/>
  <c r="L10"/>
  <c r="B32"/>
  <c r="R41"/>
  <c r="J118"/>
  <c r="P78"/>
  <c r="O30"/>
  <c r="B140"/>
  <c r="U120"/>
  <c r="L89"/>
  <c r="S124"/>
  <c r="G119"/>
  <c r="Q44"/>
  <c r="K48"/>
  <c r="D51"/>
  <c r="J85"/>
  <c r="P109"/>
  <c r="D105"/>
  <c r="G98"/>
  <c r="E116"/>
  <c r="U152"/>
  <c r="L117"/>
  <c r="U53"/>
  <c r="L150"/>
  <c r="F125"/>
  <c r="R36"/>
  <c r="V149"/>
  <c r="C30"/>
  <c r="T117"/>
  <c r="D71"/>
  <c r="S101"/>
  <c r="M74"/>
  <c r="R108"/>
  <c r="G77"/>
  <c r="L101"/>
  <c r="S64"/>
  <c r="K90"/>
  <c r="S145"/>
  <c r="V131"/>
  <c r="J146"/>
  <c r="Q102"/>
  <c r="N95"/>
  <c r="F88"/>
  <c r="D40"/>
  <c r="L124"/>
  <c r="D109"/>
  <c r="O115"/>
  <c r="B151"/>
  <c r="D148"/>
  <c r="R109"/>
  <c r="P123"/>
  <c r="O32"/>
  <c r="R153"/>
  <c r="C129"/>
  <c r="B103"/>
  <c r="B83"/>
  <c r="R151"/>
  <c r="M94"/>
  <c r="F143"/>
  <c r="E32"/>
  <c r="L83"/>
  <c r="M111"/>
  <c r="I85"/>
  <c r="Q155"/>
  <c r="M115"/>
  <c r="E40"/>
  <c r="V55"/>
  <c r="P72"/>
  <c r="I52"/>
  <c r="G46"/>
  <c r="C130"/>
  <c r="L55"/>
  <c r="B63"/>
  <c r="J94"/>
  <c r="E152"/>
  <c r="Q115"/>
  <c r="K41"/>
  <c r="R105"/>
  <c r="P62"/>
  <c r="E112"/>
  <c r="P64"/>
  <c r="T112"/>
  <c r="R81"/>
  <c r="G111"/>
  <c r="K9"/>
  <c r="D154"/>
  <c r="B123"/>
  <c r="F53"/>
  <c r="V117"/>
  <c r="O59"/>
  <c r="V110"/>
  <c r="J110"/>
  <c r="P86"/>
  <c r="O68"/>
  <c r="V96"/>
  <c r="Q82"/>
  <c r="V68"/>
  <c r="B131"/>
  <c r="N154"/>
  <c r="K138"/>
  <c r="B104"/>
  <c r="N47"/>
  <c r="E120"/>
  <c r="O76"/>
  <c r="M65"/>
  <c r="H88"/>
  <c r="U148"/>
  <c r="M92"/>
  <c r="O114"/>
  <c r="Q133"/>
  <c r="B97"/>
  <c r="D58"/>
  <c r="M135"/>
  <c r="R71"/>
  <c r="C63"/>
  <c r="N78"/>
  <c r="C36"/>
  <c r="U46"/>
  <c r="J97"/>
  <c r="R106"/>
  <c r="B9"/>
  <c r="D120"/>
  <c r="G128"/>
  <c r="B149"/>
  <c r="P47"/>
  <c r="L146"/>
  <c r="H68"/>
  <c r="D114"/>
  <c r="P36"/>
  <c r="Q111"/>
  <c r="F42"/>
  <c r="K19"/>
  <c r="H119"/>
  <c r="K118"/>
  <c r="L72"/>
  <c r="R92"/>
  <c r="P34"/>
  <c r="H69"/>
  <c r="G136"/>
  <c r="L36"/>
  <c r="I117"/>
  <c r="F28"/>
  <c r="D74"/>
  <c r="B43"/>
  <c r="G88"/>
  <c r="G131"/>
  <c r="O130"/>
  <c r="S105"/>
  <c r="C33"/>
  <c r="F151"/>
  <c r="P100"/>
  <c r="V75"/>
  <c r="D100"/>
  <c r="M80"/>
  <c r="G71"/>
  <c r="K55"/>
  <c r="C83"/>
  <c r="L96"/>
  <c r="Q121"/>
  <c r="Q139"/>
  <c r="B148"/>
  <c r="O145"/>
  <c r="Q67"/>
  <c r="O61"/>
  <c r="Q152"/>
  <c r="T104"/>
  <c r="R43"/>
  <c r="S60"/>
  <c r="L47"/>
  <c r="I97"/>
  <c r="E35"/>
  <c r="D84"/>
  <c r="M42"/>
  <c r="D143"/>
  <c r="K148"/>
  <c r="Q75"/>
  <c r="V105"/>
  <c r="B117"/>
  <c r="Q58"/>
  <c r="V58"/>
  <c r="M138"/>
  <c r="F145"/>
  <c r="S103"/>
  <c r="P113"/>
  <c r="P136"/>
  <c r="O51"/>
  <c r="H56"/>
  <c r="P59"/>
  <c r="N104"/>
  <c r="L16"/>
  <c r="K58"/>
  <c r="E131"/>
  <c r="M114"/>
  <c r="U127"/>
  <c r="H30"/>
  <c r="D76"/>
  <c r="I80"/>
  <c r="T124"/>
  <c r="K130"/>
  <c r="I48"/>
  <c r="M126"/>
  <c r="C76"/>
  <c r="O106"/>
  <c r="V79"/>
  <c r="V31"/>
  <c r="R155"/>
  <c r="L134"/>
  <c r="P121"/>
  <c r="I143"/>
  <c r="H19"/>
  <c r="O96"/>
  <c r="E81"/>
  <c r="I84"/>
  <c r="B49"/>
  <c r="C133"/>
  <c r="H78"/>
  <c r="N105"/>
  <c r="I59"/>
  <c r="T97"/>
  <c r="N125"/>
  <c r="D72"/>
  <c r="E133"/>
  <c r="K106"/>
  <c r="H59"/>
  <c r="M10"/>
  <c r="E45"/>
  <c r="D67"/>
  <c r="S95"/>
  <c r="V61"/>
  <c r="J58"/>
  <c r="D33"/>
  <c r="D135"/>
  <c r="N35"/>
  <c r="V83"/>
  <c r="H9"/>
  <c r="D141"/>
  <c r="I56"/>
  <c r="B145"/>
  <c r="J83"/>
  <c r="B130"/>
  <c r="B54"/>
  <c r="T119"/>
  <c r="C104"/>
  <c r="T107"/>
  <c r="B114"/>
  <c r="B21"/>
  <c r="J59"/>
  <c r="U117"/>
  <c r="Q79"/>
  <c r="D77"/>
  <c r="G85"/>
  <c r="B55"/>
  <c r="P99"/>
  <c r="V153"/>
  <c r="L149"/>
  <c r="J104"/>
  <c r="Q29"/>
  <c r="F89"/>
  <c r="L87"/>
  <c r="E10"/>
  <c r="K42"/>
  <c r="D115"/>
  <c r="P152"/>
  <c r="T69"/>
  <c r="Q97"/>
  <c r="C10"/>
  <c r="H32"/>
  <c r="O37"/>
  <c r="U151"/>
  <c r="I125"/>
  <c r="K64"/>
  <c r="I66"/>
  <c r="C78"/>
  <c r="C70"/>
  <c r="K31"/>
  <c r="B57"/>
  <c r="M112"/>
  <c r="J99"/>
  <c r="P53"/>
  <c r="O146"/>
  <c r="R59"/>
  <c r="G154"/>
  <c r="S117"/>
  <c r="J16"/>
  <c r="R124"/>
  <c r="U100"/>
  <c r="L65"/>
  <c r="I30"/>
  <c r="N34"/>
  <c r="C82"/>
  <c r="L95"/>
  <c r="K137"/>
  <c r="S113"/>
  <c r="J120"/>
  <c r="Q54"/>
  <c r="L39"/>
  <c r="D46"/>
  <c r="Q114"/>
  <c r="N74"/>
  <c r="E88"/>
  <c r="E41"/>
  <c r="Q137"/>
  <c r="F71"/>
  <c r="B30"/>
  <c r="P150"/>
  <c r="F55"/>
  <c r="B105"/>
  <c r="L140"/>
  <c r="F132"/>
  <c r="C142"/>
  <c r="C71"/>
  <c r="Q89"/>
  <c r="C53"/>
  <c r="K47"/>
  <c r="C75"/>
  <c r="L139"/>
  <c r="D32"/>
  <c r="H107"/>
  <c r="U47"/>
  <c r="M30"/>
  <c r="C137"/>
  <c r="B61"/>
  <c r="L114"/>
  <c r="K36"/>
  <c r="T34"/>
  <c r="L57"/>
  <c r="E143"/>
  <c r="S91"/>
  <c r="N124"/>
  <c r="U66"/>
  <c r="B126"/>
  <c r="C150"/>
  <c r="I41"/>
  <c r="Q59"/>
  <c r="D47"/>
  <c r="D128"/>
  <c r="U64"/>
  <c r="R114"/>
  <c r="Q124"/>
  <c r="D49"/>
  <c r="O140"/>
  <c r="D137"/>
  <c r="F91"/>
  <c r="U119"/>
  <c r="T146"/>
  <c r="U65"/>
  <c r="C46"/>
  <c r="T114"/>
  <c r="E31"/>
  <c r="R149"/>
  <c r="L147"/>
  <c r="K100"/>
  <c r="L151"/>
  <c r="F15"/>
  <c r="M140"/>
  <c r="N42"/>
  <c r="J79"/>
  <c r="B39"/>
  <c r="C59"/>
  <c r="D124"/>
  <c r="E77"/>
  <c r="D127"/>
  <c r="F57"/>
  <c r="N82"/>
  <c r="Q110"/>
  <c r="C37"/>
  <c r="J73"/>
  <c r="S29"/>
  <c r="N131"/>
  <c r="D95"/>
  <c r="U144"/>
  <c r="R134"/>
  <c r="G94"/>
  <c r="G21"/>
  <c r="N106"/>
  <c r="E52"/>
  <c r="H54"/>
  <c r="V146"/>
  <c r="E50"/>
  <c r="E55"/>
  <c r="J30"/>
  <c r="H44"/>
  <c r="F130"/>
  <c r="B35"/>
  <c r="K68"/>
  <c r="K129"/>
  <c r="M47"/>
  <c r="J130"/>
  <c r="V139"/>
  <c r="N137"/>
  <c r="C134"/>
  <c r="F65"/>
  <c r="C108"/>
  <c r="N118"/>
  <c r="T61"/>
  <c r="K109"/>
  <c r="P33"/>
  <c r="N62"/>
  <c r="N144"/>
  <c r="V98"/>
  <c r="Q48"/>
  <c r="V93"/>
  <c r="E142"/>
  <c r="M70"/>
  <c r="Q120"/>
  <c r="G29"/>
  <c r="F128"/>
  <c r="B71"/>
  <c r="K57"/>
  <c r="I57"/>
  <c r="T29"/>
  <c r="H122"/>
  <c r="P43"/>
  <c r="Q47"/>
  <c r="M136"/>
  <c r="P122"/>
  <c r="G87"/>
  <c r="C140"/>
  <c r="B94"/>
  <c r="U113"/>
  <c r="F58"/>
  <c r="J113"/>
  <c r="C146"/>
  <c r="G72"/>
  <c r="I100"/>
  <c r="N70"/>
  <c r="M29"/>
  <c r="E66"/>
  <c r="F39"/>
  <c r="C58"/>
  <c r="V122"/>
  <c r="H61"/>
  <c r="F131"/>
  <c r="S47"/>
  <c r="J134"/>
  <c r="Q94"/>
  <c r="F106"/>
  <c r="R85"/>
  <c r="Q101"/>
  <c r="D149"/>
  <c r="D37"/>
  <c r="G69"/>
  <c r="P75"/>
  <c r="U34"/>
  <c r="V138"/>
  <c r="I103"/>
  <c r="B147"/>
  <c r="G112"/>
  <c r="V104"/>
  <c r="J150"/>
  <c r="U111"/>
  <c r="U98"/>
  <c r="U82"/>
  <c r="N66"/>
  <c r="K21"/>
  <c r="H97"/>
  <c r="I44"/>
  <c r="G150"/>
  <c r="C110"/>
  <c r="C47"/>
  <c r="M102"/>
  <c r="E57"/>
  <c r="H118"/>
  <c r="O118"/>
  <c r="D28"/>
  <c r="N28"/>
  <c r="F87"/>
  <c r="T123"/>
  <c r="B40"/>
  <c r="S73"/>
  <c r="V82"/>
  <c r="I54"/>
  <c r="H77"/>
  <c r="H149"/>
  <c r="E29"/>
  <c r="M60"/>
  <c r="N15"/>
  <c r="O77"/>
  <c r="K82"/>
  <c r="V71"/>
  <c r="C93"/>
  <c r="S138"/>
  <c r="I67"/>
  <c r="L100"/>
  <c r="E16"/>
  <c r="Q31"/>
  <c r="J100"/>
  <c r="D15"/>
  <c r="G121"/>
  <c r="F138"/>
  <c r="O87"/>
  <c r="C69"/>
  <c r="R45"/>
  <c r="T52"/>
  <c r="G137"/>
  <c r="L74"/>
  <c r="J124"/>
  <c r="R40"/>
  <c r="J38"/>
  <c r="J66"/>
  <c r="G149"/>
  <c r="C132"/>
  <c r="Q53"/>
  <c r="J70"/>
  <c r="R49"/>
  <c r="S53"/>
  <c r="I61"/>
  <c r="H64"/>
  <c r="L76"/>
  <c r="K144"/>
  <c r="J74"/>
  <c r="K97"/>
  <c r="Q95"/>
  <c r="R88"/>
  <c r="H111"/>
  <c r="L62"/>
  <c r="H81"/>
  <c r="K94"/>
  <c r="M53"/>
  <c r="S35"/>
  <c r="J140"/>
  <c r="H15"/>
  <c r="Q87"/>
  <c r="F38"/>
  <c r="L45"/>
  <c r="Q103"/>
  <c r="M34"/>
  <c r="L58"/>
  <c r="E103"/>
  <c r="L152"/>
  <c r="D119"/>
  <c r="E39"/>
  <c r="S86"/>
  <c r="C9"/>
  <c r="P124"/>
  <c r="L108"/>
  <c r="J108"/>
  <c r="J133"/>
  <c r="U95"/>
  <c r="S88"/>
  <c r="G58"/>
  <c r="C107"/>
  <c r="P104"/>
  <c r="I34"/>
  <c r="R87"/>
  <c r="F118"/>
  <c r="O141"/>
  <c r="C28"/>
  <c r="L3" i="1" s="1"/>
  <c r="R61" i="37"/>
  <c r="H41"/>
  <c r="B53"/>
  <c r="T63"/>
  <c r="F121"/>
  <c r="C79"/>
  <c r="L68"/>
  <c r="P31"/>
  <c r="E119"/>
  <c r="E110"/>
  <c r="G92"/>
  <c r="O117"/>
  <c r="F126"/>
  <c r="B51"/>
  <c r="G68"/>
  <c r="P35"/>
  <c r="D57"/>
  <c r="Q125"/>
  <c r="D54"/>
  <c r="O127"/>
  <c r="F103"/>
  <c r="S118"/>
  <c r="V37"/>
  <c r="F37"/>
  <c r="L41"/>
  <c r="K69"/>
  <c r="U145"/>
  <c r="U87"/>
  <c r="N49"/>
  <c r="F62"/>
  <c r="K154"/>
  <c r="C54"/>
  <c r="S140"/>
  <c r="B46"/>
  <c r="T39"/>
  <c r="I108"/>
  <c r="B113"/>
  <c r="F134"/>
  <c r="S121"/>
  <c r="O56"/>
  <c r="U135"/>
  <c r="F49"/>
  <c r="U122"/>
  <c r="U109"/>
  <c r="J64"/>
  <c r="F139"/>
  <c r="L132"/>
  <c r="K108"/>
  <c r="J80"/>
  <c r="I102"/>
  <c r="U68"/>
  <c r="K141"/>
  <c r="G19"/>
  <c r="H53"/>
  <c r="I65"/>
  <c r="Q134"/>
  <c r="D152"/>
  <c r="R142"/>
  <c r="O65"/>
  <c r="M44"/>
  <c r="Q100"/>
  <c r="K10"/>
  <c r="C145"/>
  <c r="P148"/>
  <c r="C113"/>
  <c r="B10"/>
  <c r="V45"/>
  <c r="J49"/>
  <c r="R62"/>
  <c r="C106"/>
  <c r="O62"/>
  <c r="J44"/>
  <c r="J144"/>
  <c r="B121"/>
  <c r="U106"/>
  <c r="F108"/>
  <c r="J69"/>
  <c r="M46"/>
  <c r="F152"/>
  <c r="E79"/>
  <c r="L9"/>
  <c r="R141"/>
  <c r="Q146"/>
  <c r="H120"/>
  <c r="O110"/>
  <c r="V74"/>
  <c r="R44"/>
  <c r="F129"/>
  <c r="N84"/>
  <c r="O121"/>
  <c r="O95"/>
  <c r="T134"/>
  <c r="H49"/>
  <c r="T43"/>
  <c r="R132"/>
  <c r="B122"/>
  <c r="B129"/>
  <c r="S52"/>
  <c r="R148"/>
  <c r="N83"/>
  <c r="L60"/>
  <c r="R117"/>
  <c r="I109"/>
  <c r="T82"/>
  <c r="D92"/>
  <c r="N33"/>
  <c r="R94"/>
  <c r="V49"/>
  <c r="E129"/>
  <c r="L105"/>
  <c r="M142"/>
  <c r="M150"/>
  <c r="G54"/>
  <c r="R51"/>
  <c r="J115"/>
  <c r="F101"/>
  <c r="I147"/>
  <c r="R118"/>
  <c r="F45"/>
  <c r="R113"/>
  <c r="T55"/>
  <c r="N44"/>
  <c r="N32"/>
  <c r="O74"/>
  <c r="L34"/>
  <c r="L37"/>
  <c r="I69"/>
  <c r="H31"/>
  <c r="L126"/>
  <c r="J32"/>
  <c r="G49"/>
  <c r="O88"/>
  <c r="T125"/>
  <c r="K121"/>
  <c r="I92"/>
  <c r="H67"/>
  <c r="P95"/>
  <c r="J126"/>
  <c r="P45"/>
  <c r="K33"/>
  <c r="P130"/>
  <c r="G66"/>
  <c r="U45"/>
  <c r="H80"/>
  <c r="K34"/>
  <c r="N102"/>
  <c r="G51"/>
  <c r="J95"/>
  <c r="U130"/>
  <c r="D19"/>
  <c r="P151"/>
  <c r="O84"/>
  <c r="Q32"/>
  <c r="L103"/>
  <c r="Q142"/>
  <c r="P61"/>
  <c r="D145"/>
  <c r="B155"/>
  <c r="V29"/>
  <c r="C86"/>
  <c r="H60"/>
  <c r="Q128"/>
  <c r="H62"/>
  <c r="O148"/>
  <c r="N101"/>
  <c r="U112"/>
  <c r="D69"/>
  <c r="T111"/>
  <c r="L136"/>
  <c r="O104"/>
  <c r="P105"/>
  <c r="G40"/>
  <c r="I35"/>
  <c r="I21"/>
  <c r="B116"/>
  <c r="L138"/>
  <c r="D98"/>
  <c r="N51"/>
  <c r="J116"/>
  <c r="J9"/>
  <c r="O131"/>
  <c r="T68"/>
  <c r="I9"/>
  <c r="F9"/>
  <c r="V62"/>
  <c r="M128"/>
  <c r="D122"/>
  <c r="D61"/>
  <c r="J87"/>
  <c r="E80"/>
  <c r="T122"/>
  <c r="O153"/>
  <c r="U102"/>
  <c r="E84"/>
  <c r="Q80"/>
  <c r="N50"/>
  <c r="T42"/>
  <c r="J107"/>
  <c r="U101"/>
  <c r="Q40"/>
  <c r="H102"/>
  <c r="O54"/>
  <c r="T56"/>
  <c r="H10"/>
  <c r="O48"/>
  <c r="U123"/>
  <c r="V101"/>
  <c r="L84"/>
  <c r="H147"/>
  <c r="T85"/>
  <c r="C49"/>
  <c r="B124"/>
  <c r="S44"/>
  <c r="I127"/>
  <c r="K110"/>
  <c r="I68"/>
  <c r="H51"/>
  <c r="D21"/>
  <c r="E28"/>
  <c r="C29"/>
  <c r="J96"/>
  <c r="U103"/>
  <c r="M83"/>
  <c r="K40"/>
  <c r="P80"/>
  <c r="U132"/>
  <c r="N98"/>
  <c r="T140"/>
  <c r="Q90"/>
  <c r="N55"/>
  <c r="I75"/>
  <c r="V143"/>
  <c r="P88"/>
  <c r="P32"/>
  <c r="G34"/>
  <c r="F79"/>
  <c r="F50"/>
  <c r="D112"/>
  <c r="M130"/>
  <c r="T91"/>
  <c r="U32"/>
  <c r="T36"/>
  <c r="G15"/>
  <c r="C138"/>
  <c r="U56"/>
  <c r="N147"/>
  <c r="C117"/>
  <c r="S76"/>
  <c r="G147"/>
  <c r="K136"/>
  <c r="G102"/>
  <c r="F146"/>
  <c r="G142"/>
  <c r="M124"/>
  <c r="P96"/>
  <c r="V97"/>
  <c r="E72"/>
  <c r="J138"/>
  <c r="B107"/>
  <c r="K111"/>
  <c r="P115"/>
  <c r="K54"/>
  <c r="U128"/>
  <c r="E111"/>
  <c r="P29"/>
  <c r="B119"/>
  <c r="F120"/>
  <c r="B118"/>
  <c r="V77"/>
  <c r="N90"/>
  <c r="E49"/>
  <c r="B106"/>
  <c r="T145"/>
  <c r="E65"/>
  <c r="H75"/>
  <c r="V127"/>
  <c r="P155"/>
  <c r="J50"/>
  <c r="V52"/>
  <c r="N96"/>
  <c r="Q43"/>
  <c r="Q81"/>
  <c r="R37"/>
  <c r="K119"/>
  <c r="H63"/>
  <c r="F69"/>
  <c r="O128"/>
  <c r="C40"/>
  <c r="V40"/>
  <c r="J125"/>
  <c r="V51"/>
  <c r="G64"/>
  <c r="S106"/>
  <c r="B110"/>
  <c r="L64"/>
  <c r="P79"/>
  <c r="H89"/>
  <c r="G152"/>
  <c r="C105"/>
  <c r="B146"/>
  <c r="T120"/>
  <c r="O79"/>
  <c r="F66"/>
  <c r="P94"/>
  <c r="O120"/>
  <c r="F77"/>
  <c r="R152"/>
  <c r="O101"/>
  <c r="H123"/>
  <c r="I87"/>
  <c r="U139"/>
  <c r="Q93"/>
  <c r="U61"/>
  <c r="D106"/>
  <c r="R130"/>
  <c r="N111"/>
  <c r="V142"/>
  <c r="I155"/>
  <c r="H104"/>
  <c r="I126"/>
  <c r="D96"/>
  <c r="S42"/>
  <c r="S93"/>
  <c r="P112"/>
  <c r="M68"/>
  <c r="U33"/>
  <c r="S46"/>
  <c r="C135"/>
  <c r="I72"/>
  <c r="O135"/>
  <c r="C111"/>
  <c r="O41"/>
  <c r="B96"/>
  <c r="V116"/>
  <c r="M143"/>
  <c r="C44"/>
  <c r="D123"/>
  <c r="S96"/>
  <c r="H91"/>
  <c r="B19"/>
  <c r="M35"/>
  <c r="N109"/>
  <c r="N114"/>
  <c r="V140"/>
  <c r="M9"/>
  <c r="E87"/>
  <c r="R101"/>
  <c r="V92"/>
  <c r="F149"/>
  <c r="M93"/>
  <c r="U154"/>
  <c r="T40"/>
  <c r="E151"/>
  <c r="J56"/>
  <c r="I58"/>
  <c r="D10"/>
  <c r="Q34"/>
  <c r="T92"/>
  <c r="J71"/>
  <c r="B134"/>
  <c r="V100"/>
  <c r="T155"/>
  <c r="Q132"/>
  <c r="I105"/>
  <c r="F64"/>
  <c r="F105"/>
  <c r="J91"/>
  <c r="H101"/>
  <c r="L123"/>
  <c r="I128"/>
  <c r="K98"/>
  <c r="C21"/>
  <c r="J15"/>
  <c r="D16"/>
  <c r="M15"/>
  <c r="I19"/>
  <c r="M28"/>
  <c r="N9"/>
  <c r="M16"/>
  <c r="J28"/>
  <c r="R12" i="1" s="1"/>
  <c r="E9" i="37"/>
  <c r="L15"/>
  <c r="H28"/>
  <c r="R10" i="1" s="1"/>
  <c r="P1" i="38" s="1"/>
  <c r="C19" i="37"/>
  <c r="E15"/>
  <c r="I28"/>
  <c r="R11" i="1" s="1"/>
  <c r="J10" i="37"/>
  <c r="K28"/>
  <c r="F19"/>
  <c r="C16"/>
  <c r="F16"/>
  <c r="J19"/>
  <c r="L28"/>
  <c r="J21"/>
  <c r="G28"/>
  <c r="R9" i="1" s="1"/>
  <c r="R8" s="1"/>
  <c r="F10" i="37"/>
  <c r="L21"/>
  <c r="K15"/>
  <c r="I10"/>
  <c r="E21"/>
  <c r="M19"/>
  <c r="N10"/>
  <c r="F21"/>
  <c r="H16"/>
  <c r="H21"/>
  <c r="G10"/>
  <c r="D9"/>
  <c r="L19"/>
  <c r="I15"/>
  <c r="C15"/>
  <c r="E19"/>
  <c r="K16"/>
  <c r="N16"/>
  <c r="M21"/>
  <c r="I16"/>
  <c r="N21"/>
  <c r="K11" i="1"/>
  <c r="L11" s="1"/>
  <c r="B32" i="53"/>
  <c r="K23" i="1"/>
  <c r="N23" s="1"/>
  <c r="C22"/>
  <c r="D22" s="1"/>
  <c r="C24"/>
  <c r="D24" s="1"/>
  <c r="K22"/>
  <c r="N22" s="1"/>
  <c r="K24"/>
  <c r="N24" s="1"/>
  <c r="AO6" i="38"/>
  <c r="AP6" s="1"/>
  <c r="AQ6" s="1"/>
  <c r="AN6"/>
  <c r="E25" i="1"/>
  <c r="A9" i="26"/>
  <c r="B9" s="1"/>
  <c r="A32" i="53"/>
  <c r="A25" i="1"/>
  <c r="L25"/>
  <c r="M24" s="1"/>
  <c r="C25"/>
  <c r="D25" s="1"/>
  <c r="B8" i="38"/>
  <c r="F27" i="52"/>
  <c r="K25" i="1"/>
  <c r="N25" s="1"/>
  <c r="B26"/>
  <c r="E7" i="38"/>
  <c r="F7"/>
  <c r="AM7" s="1"/>
  <c r="D7"/>
  <c r="E26" i="52"/>
  <c r="S11" i="1"/>
  <c r="B9" i="48"/>
  <c r="A23" i="1"/>
  <c r="T22" i="37"/>
  <c r="T25"/>
  <c r="A24" i="1"/>
  <c r="A22"/>
  <c r="U22" i="37"/>
  <c r="U25"/>
  <c r="B8" i="48"/>
  <c r="S10" i="1"/>
  <c r="AR5" i="38"/>
  <c r="B10" i="48"/>
  <c r="S12" i="1"/>
  <c r="T12" s="1"/>
  <c r="B7" i="48"/>
  <c r="S9" i="1"/>
  <c r="T9" s="1"/>
  <c r="C23"/>
  <c r="D23" s="1"/>
  <c r="P22" l="1"/>
  <c r="R22" s="1"/>
  <c r="Z12"/>
  <c r="W11"/>
  <c r="W8"/>
  <c r="X8" s="1"/>
  <c r="Z10"/>
  <c r="Y14" s="1"/>
  <c r="W12"/>
  <c r="X12" s="1"/>
  <c r="Z8"/>
  <c r="W10"/>
  <c r="R2"/>
  <c r="K21" s="1"/>
  <c r="O22"/>
  <c r="O23" s="1"/>
  <c r="Z11"/>
  <c r="AC14" s="1"/>
  <c r="W9"/>
  <c r="X9" s="1"/>
  <c r="Z9"/>
  <c r="Z14" s="1"/>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B33" i="53"/>
  <c r="C13" i="48"/>
  <c r="V13" s="1"/>
  <c r="V6"/>
  <c r="E13"/>
  <c r="X13" s="1"/>
  <c r="D13"/>
  <c r="W13" s="1"/>
  <c r="F13"/>
  <c r="Y13" s="1"/>
  <c r="AJ22" i="1"/>
  <c r="AM22"/>
  <c r="AI22"/>
  <c r="Z22"/>
  <c r="AH22"/>
  <c r="AC22"/>
  <c r="AL22"/>
  <c r="BC22"/>
  <c r="BA22" s="1"/>
  <c r="BD22" s="1"/>
  <c r="BE22" s="1"/>
  <c r="T22" s="1"/>
  <c r="U22" s="1"/>
  <c r="V22" s="1"/>
  <c r="W22"/>
  <c r="AL24"/>
  <c r="Z24"/>
  <c r="AM24"/>
  <c r="AJ24"/>
  <c r="AH24"/>
  <c r="AI24"/>
  <c r="AC24"/>
  <c r="AL23"/>
  <c r="Z23"/>
  <c r="AJ23"/>
  <c r="AM23"/>
  <c r="AH23"/>
  <c r="AI23"/>
  <c r="AC23"/>
  <c r="AI25"/>
  <c r="Z25"/>
  <c r="AJ25"/>
  <c r="AL25"/>
  <c r="AM25"/>
  <c r="AC25"/>
  <c r="AH25"/>
  <c r="AR6" i="38"/>
  <c r="BK5"/>
  <c r="AS5"/>
  <c r="AU5" s="1"/>
  <c r="AV5" s="1"/>
  <c r="BA5" s="1"/>
  <c r="BB5" s="1"/>
  <c r="BH5" s="1"/>
  <c r="BJ5" s="1"/>
  <c r="P5" s="1"/>
  <c r="T10" i="1"/>
  <c r="H1" i="38"/>
  <c r="V8" i="48"/>
  <c r="X8"/>
  <c r="E8" i="38"/>
  <c r="D8"/>
  <c r="F8"/>
  <c r="AM8" s="1"/>
  <c r="I15" i="1"/>
  <c r="D14" i="48"/>
  <c r="W14" s="1"/>
  <c r="E14"/>
  <c r="X14" s="1"/>
  <c r="C14"/>
  <c r="B15"/>
  <c r="X7"/>
  <c r="V7"/>
  <c r="J1" i="38"/>
  <c r="T11" i="1"/>
  <c r="C26"/>
  <c r="D26" s="1"/>
  <c r="A10" i="26"/>
  <c r="B10" s="1"/>
  <c r="A33" i="53"/>
  <c r="B34" s="1"/>
  <c r="E26" i="1"/>
  <c r="B27"/>
  <c r="B9" i="38"/>
  <c r="F28" i="52"/>
  <c r="L26" i="1"/>
  <c r="M25" s="1"/>
  <c r="K26"/>
  <c r="N26" s="1"/>
  <c r="A26"/>
  <c r="X9" i="48"/>
  <c r="V9"/>
  <c r="AN7" i="38"/>
  <c r="AO7"/>
  <c r="AP7" s="1"/>
  <c r="AQ7" s="1"/>
  <c r="E27" i="52"/>
  <c r="O24" i="1" l="1"/>
  <c r="P23"/>
  <c r="AA14"/>
  <c r="AA11"/>
  <c r="Z8" i="38"/>
  <c r="AA8" s="1"/>
  <c r="S23" i="1"/>
  <c r="E28" i="52"/>
  <c r="AR7" i="38"/>
  <c r="AH26" i="1"/>
  <c r="AL26"/>
  <c r="Z26"/>
  <c r="AJ26"/>
  <c r="AC26"/>
  <c r="AI26"/>
  <c r="AM26"/>
  <c r="Z9" i="38"/>
  <c r="AA9" s="1"/>
  <c r="D9"/>
  <c r="F9"/>
  <c r="AM9" s="1"/>
  <c r="E9"/>
  <c r="AN8"/>
  <c r="AR8" s="1"/>
  <c r="AO8"/>
  <c r="AP8" s="1"/>
  <c r="AQ8" s="1"/>
  <c r="O5"/>
  <c r="AA10" i="1"/>
  <c r="I14"/>
  <c r="D15" i="48"/>
  <c r="W15" s="1"/>
  <c r="B16"/>
  <c r="C15"/>
  <c r="E15"/>
  <c r="X15" s="1"/>
  <c r="S24" i="1"/>
  <c r="BC23"/>
  <c r="F29" i="52"/>
  <c r="A34" i="53"/>
  <c r="B35" s="1"/>
  <c r="K27" i="1"/>
  <c r="N27" s="1"/>
  <c r="E27"/>
  <c r="A11" i="26"/>
  <c r="B11" s="1"/>
  <c r="C27" i="1"/>
  <c r="D27" s="1"/>
  <c r="B10" i="38"/>
  <c r="L27" i="1"/>
  <c r="M26" s="1"/>
  <c r="A27"/>
  <c r="B28"/>
  <c r="V14" i="48"/>
  <c r="F14"/>
  <c r="Y14" s="1"/>
  <c r="Z5" i="38"/>
  <c r="AA5" s="1"/>
  <c r="Z6"/>
  <c r="AA6" s="1"/>
  <c r="Z7"/>
  <c r="AA7" s="1"/>
  <c r="AS6"/>
  <c r="AU6" s="1"/>
  <c r="AV6" s="1"/>
  <c r="BA6" s="1"/>
  <c r="BB6" s="1"/>
  <c r="BH6" s="1"/>
  <c r="BJ6" s="1"/>
  <c r="P6" s="1"/>
  <c r="O6" s="1"/>
  <c r="BK6"/>
  <c r="AA9" i="1"/>
  <c r="I13"/>
  <c r="X22"/>
  <c r="S22"/>
  <c r="O25" l="1"/>
  <c r="P24"/>
  <c r="R23"/>
  <c r="W23"/>
  <c r="AB22"/>
  <c r="AA22"/>
  <c r="E29" i="53" s="1"/>
  <c r="E29" i="52"/>
  <c r="F15" i="48"/>
  <c r="Y15" s="1"/>
  <c r="V15"/>
  <c r="D10" i="38"/>
  <c r="Z10"/>
  <c r="AA10" s="1"/>
  <c r="E10"/>
  <c r="F10"/>
  <c r="AM10" s="1"/>
  <c r="S25" i="1"/>
  <c r="C16" i="48"/>
  <c r="D16"/>
  <c r="W16" s="1"/>
  <c r="E16"/>
  <c r="X16" s="1"/>
  <c r="B17"/>
  <c r="BK8" i="38"/>
  <c r="AS8"/>
  <c r="AU8" s="1"/>
  <c r="AV8" s="1"/>
  <c r="BA8" s="1"/>
  <c r="BB8" s="1"/>
  <c r="BH8" s="1"/>
  <c r="BJ8" s="1"/>
  <c r="P8" s="1"/>
  <c r="O8" s="1"/>
  <c r="AS7"/>
  <c r="AU7" s="1"/>
  <c r="AV7" s="1"/>
  <c r="BA7" s="1"/>
  <c r="BB7" s="1"/>
  <c r="BH7" s="1"/>
  <c r="BJ7" s="1"/>
  <c r="P7" s="1"/>
  <c r="O7" s="1"/>
  <c r="BK7"/>
  <c r="E28" i="1"/>
  <c r="B11" i="38"/>
  <c r="K28" i="1"/>
  <c r="N28" s="1"/>
  <c r="A35" i="53"/>
  <c r="F30" i="52"/>
  <c r="A12" i="26"/>
  <c r="B12" s="1"/>
  <c r="L28" i="1"/>
  <c r="M27" s="1"/>
  <c r="C28"/>
  <c r="D28" s="1"/>
  <c r="A28"/>
  <c r="B29"/>
  <c r="AC27"/>
  <c r="AH27"/>
  <c r="AL27"/>
  <c r="AJ27"/>
  <c r="AM27"/>
  <c r="AI27"/>
  <c r="Z27"/>
  <c r="BA23"/>
  <c r="BD23" s="1"/>
  <c r="BE23" s="1"/>
  <c r="T23" s="1"/>
  <c r="U23" s="1"/>
  <c r="BC24"/>
  <c r="AO9" i="38"/>
  <c r="AP9" s="1"/>
  <c r="AQ9" s="1"/>
  <c r="AN9"/>
  <c r="O26" i="1" l="1"/>
  <c r="P25"/>
  <c r="R24"/>
  <c r="W24"/>
  <c r="AR9" i="38"/>
  <c r="AS9" s="1"/>
  <c r="AU9" s="1"/>
  <c r="AV9" s="1"/>
  <c r="BA9" s="1"/>
  <c r="BB9" s="1"/>
  <c r="BH9" s="1"/>
  <c r="BJ9" s="1"/>
  <c r="P9" s="1"/>
  <c r="Z28" i="1"/>
  <c r="AI28"/>
  <c r="AL28"/>
  <c r="AJ28"/>
  <c r="AM28"/>
  <c r="AC28"/>
  <c r="AH28"/>
  <c r="E30" i="52"/>
  <c r="G29" i="53"/>
  <c r="AS3" i="55"/>
  <c r="BA24" i="1"/>
  <c r="BD24" s="1"/>
  <c r="BE24" s="1"/>
  <c r="T24" s="1"/>
  <c r="U24" s="1"/>
  <c r="BC25"/>
  <c r="B36" i="53"/>
  <c r="L29"/>
  <c r="V16" i="48"/>
  <c r="F16"/>
  <c r="Y16" s="1"/>
  <c r="S26" i="1"/>
  <c r="AE22"/>
  <c r="AK22" s="1"/>
  <c r="AD22"/>
  <c r="V23"/>
  <c r="X23"/>
  <c r="D17" i="48"/>
  <c r="W17" s="1"/>
  <c r="B18"/>
  <c r="E17"/>
  <c r="X17" s="1"/>
  <c r="C17"/>
  <c r="A13" i="26"/>
  <c r="B13" s="1"/>
  <c r="A36" i="53"/>
  <c r="L29" i="1"/>
  <c r="M28" s="1"/>
  <c r="K29"/>
  <c r="N29" s="1"/>
  <c r="B12" i="38"/>
  <c r="C29" i="1"/>
  <c r="D29" s="1"/>
  <c r="E29"/>
  <c r="F31" i="52"/>
  <c r="A29" i="1"/>
  <c r="B30"/>
  <c r="D11" i="38"/>
  <c r="Z11"/>
  <c r="AA11" s="1"/>
  <c r="F11"/>
  <c r="AM11" s="1"/>
  <c r="E11"/>
  <c r="AN10"/>
  <c r="AO10"/>
  <c r="AP10" s="1"/>
  <c r="AQ10" s="1"/>
  <c r="O27" i="1" l="1"/>
  <c r="P26"/>
  <c r="BK9" i="38"/>
  <c r="W25" i="1"/>
  <c r="R25"/>
  <c r="B37" i="53"/>
  <c r="F17" i="48"/>
  <c r="Y17" s="1"/>
  <c r="V17"/>
  <c r="V24" i="1"/>
  <c r="X24"/>
  <c r="AR10" i="38"/>
  <c r="S27" i="1"/>
  <c r="AO11" i="38"/>
  <c r="AP11" s="1"/>
  <c r="AQ11" s="1"/>
  <c r="AN11"/>
  <c r="AC29" i="1"/>
  <c r="Z29"/>
  <c r="AH29"/>
  <c r="AM29"/>
  <c r="AJ29"/>
  <c r="AI29"/>
  <c r="AL29"/>
  <c r="E12" i="38"/>
  <c r="Z12"/>
  <c r="AA12" s="1"/>
  <c r="F12"/>
  <c r="AM12" s="1"/>
  <c r="D12"/>
  <c r="AB23" i="1"/>
  <c r="AE23" s="1"/>
  <c r="AK23" s="1"/>
  <c r="AA23"/>
  <c r="E30" i="53" s="1"/>
  <c r="B7" i="54"/>
  <c r="L30" i="53"/>
  <c r="I29"/>
  <c r="BN3" i="55"/>
  <c r="D29" i="53"/>
  <c r="F32" i="52"/>
  <c r="A37" i="53"/>
  <c r="B38" s="1"/>
  <c r="K30" i="1"/>
  <c r="N30" s="1"/>
  <c r="A30"/>
  <c r="B31"/>
  <c r="L30"/>
  <c r="M29" s="1"/>
  <c r="B13" i="38"/>
  <c r="E30" i="1"/>
  <c r="C30"/>
  <c r="D30" s="1"/>
  <c r="A14" i="26"/>
  <c r="B14" s="1"/>
  <c r="D18" i="48"/>
  <c r="W18" s="1"/>
  <c r="E18"/>
  <c r="X18" s="1"/>
  <c r="B19"/>
  <c r="C18"/>
  <c r="O9" i="38"/>
  <c r="E31" i="52"/>
  <c r="AF22" i="1"/>
  <c r="AD23"/>
  <c r="BA25"/>
  <c r="BD25" s="1"/>
  <c r="BE25" s="1"/>
  <c r="T25" s="1"/>
  <c r="U25" s="1"/>
  <c r="BC26"/>
  <c r="O28" l="1"/>
  <c r="P27"/>
  <c r="R26"/>
  <c r="W26"/>
  <c r="AR11" i="38"/>
  <c r="AS11" s="1"/>
  <c r="AU11" s="1"/>
  <c r="AV11" s="1"/>
  <c r="BA11" s="1"/>
  <c r="BB11" s="1"/>
  <c r="BH11" s="1"/>
  <c r="BJ11" s="1"/>
  <c r="P11" s="1"/>
  <c r="O11" s="1"/>
  <c r="E13"/>
  <c r="Z13"/>
  <c r="AA13" s="1"/>
  <c r="D13"/>
  <c r="F13"/>
  <c r="AM13" s="1"/>
  <c r="BK11"/>
  <c r="AB24" i="1"/>
  <c r="AE24" s="1"/>
  <c r="AK24" s="1"/>
  <c r="AA24"/>
  <c r="E31" i="53" s="1"/>
  <c r="BA26" i="1"/>
  <c r="BD26" s="1"/>
  <c r="BE26" s="1"/>
  <c r="T26" s="1"/>
  <c r="U26" s="1"/>
  <c r="BC27"/>
  <c r="V25"/>
  <c r="X25"/>
  <c r="CI3" i="55"/>
  <c r="AS4"/>
  <c r="G30" i="53"/>
  <c r="BK10" i="38"/>
  <c r="AS10"/>
  <c r="AU10" s="1"/>
  <c r="AV10" s="1"/>
  <c r="BA10" s="1"/>
  <c r="BB10" s="1"/>
  <c r="BH10" s="1"/>
  <c r="BJ10" s="1"/>
  <c r="P10" s="1"/>
  <c r="AF23" i="1"/>
  <c r="AD24"/>
  <c r="F18" i="48"/>
  <c r="Y18" s="1"/>
  <c r="V18"/>
  <c r="A38" i="53"/>
  <c r="B39" s="1"/>
  <c r="E31" i="1"/>
  <c r="A15" i="26"/>
  <c r="B15" s="1"/>
  <c r="A31" i="1"/>
  <c r="B32"/>
  <c r="L31"/>
  <c r="M30" s="1"/>
  <c r="F33" i="52"/>
  <c r="B14" i="38"/>
  <c r="C31" i="1"/>
  <c r="D31" s="1"/>
  <c r="K31"/>
  <c r="N31" s="1"/>
  <c r="B8" i="54"/>
  <c r="L31" i="53"/>
  <c r="AN12" i="38"/>
  <c r="AO12"/>
  <c r="AP12" s="1"/>
  <c r="AQ12" s="1"/>
  <c r="C19" i="48"/>
  <c r="D19"/>
  <c r="W19" s="1"/>
  <c r="B20"/>
  <c r="E19"/>
  <c r="X19" s="1"/>
  <c r="E32" i="52"/>
  <c r="AL30" i="1"/>
  <c r="AH30"/>
  <c r="AC30"/>
  <c r="Z30"/>
  <c r="AJ30"/>
  <c r="AI30"/>
  <c r="AM30"/>
  <c r="C3" i="55"/>
  <c r="S28" i="1"/>
  <c r="O29" l="1"/>
  <c r="P28"/>
  <c r="R27"/>
  <c r="W27"/>
  <c r="V26"/>
  <c r="X26"/>
  <c r="E20" i="48"/>
  <c r="X20" s="1"/>
  <c r="D20"/>
  <c r="W20" s="1"/>
  <c r="C20"/>
  <c r="B21"/>
  <c r="P31" i="1"/>
  <c r="E33" i="52"/>
  <c r="AF24" i="1"/>
  <c r="O10" i="38"/>
  <c r="I30" i="53"/>
  <c r="D30"/>
  <c r="BN4" i="55"/>
  <c r="AB25" i="1"/>
  <c r="AE25" s="1"/>
  <c r="AK25" s="1"/>
  <c r="AA25"/>
  <c r="E32" i="53" s="1"/>
  <c r="AR12" i="38"/>
  <c r="F34" i="52"/>
  <c r="A32" i="1"/>
  <c r="A16" i="26"/>
  <c r="B16" s="1"/>
  <c r="B33" i="1"/>
  <c r="B15" i="38"/>
  <c r="L32" i="1"/>
  <c r="M31" s="1"/>
  <c r="C32"/>
  <c r="D32" s="1"/>
  <c r="A39" i="53"/>
  <c r="B40" s="1"/>
  <c r="E32" i="1"/>
  <c r="K32"/>
  <c r="N32" s="1"/>
  <c r="AS5" i="55"/>
  <c r="G31" i="53"/>
  <c r="AO13" i="38"/>
  <c r="AP13" s="1"/>
  <c r="AQ13" s="1"/>
  <c r="AN13"/>
  <c r="V19" i="48"/>
  <c r="F19"/>
  <c r="Y19" s="1"/>
  <c r="L32" i="53"/>
  <c r="B9" i="54"/>
  <c r="E14" i="38"/>
  <c r="D14"/>
  <c r="Z14"/>
  <c r="AA14" s="1"/>
  <c r="F14"/>
  <c r="AM14" s="1"/>
  <c r="AM31" i="1"/>
  <c r="Z31"/>
  <c r="AJ31"/>
  <c r="AI31"/>
  <c r="AH31"/>
  <c r="AL31"/>
  <c r="AC31"/>
  <c r="S29"/>
  <c r="BA27"/>
  <c r="BD27" s="1"/>
  <c r="BE27" s="1"/>
  <c r="T27" s="1"/>
  <c r="U27" s="1"/>
  <c r="BC28"/>
  <c r="W28" l="1"/>
  <c r="R28"/>
  <c r="AR13" i="38"/>
  <c r="O30" i="1"/>
  <c r="P30" s="1"/>
  <c r="P29"/>
  <c r="V27"/>
  <c r="X27"/>
  <c r="L33" i="53"/>
  <c r="B10" i="54"/>
  <c r="E34" i="52"/>
  <c r="E15" i="38"/>
  <c r="Z15"/>
  <c r="AA15" s="1"/>
  <c r="D15"/>
  <c r="F15"/>
  <c r="AM15" s="1"/>
  <c r="AD25" i="1"/>
  <c r="AB26"/>
  <c r="AE26" s="1"/>
  <c r="AK26" s="1"/>
  <c r="AA26"/>
  <c r="E33" i="53" s="1"/>
  <c r="BN5" i="55"/>
  <c r="I31" i="53"/>
  <c r="CI5" i="55" s="1"/>
  <c r="D31" i="53"/>
  <c r="C5" i="55" s="1"/>
  <c r="A33" i="1"/>
  <c r="A40" i="53"/>
  <c r="B41" s="1"/>
  <c r="F35" i="52"/>
  <c r="L33" i="1"/>
  <c r="M32" s="1"/>
  <c r="E33"/>
  <c r="C33"/>
  <c r="D33" s="1"/>
  <c r="A17" i="26"/>
  <c r="B17" s="1"/>
  <c r="K33" i="1"/>
  <c r="N33" s="1"/>
  <c r="B34"/>
  <c r="B16" i="38"/>
  <c r="BK12"/>
  <c r="AS12"/>
  <c r="AU12" s="1"/>
  <c r="AV12" s="1"/>
  <c r="BA12" s="1"/>
  <c r="BB12" s="1"/>
  <c r="BH12" s="1"/>
  <c r="BJ12" s="1"/>
  <c r="P12" s="1"/>
  <c r="C4" i="55"/>
  <c r="D21" i="48"/>
  <c r="W21" s="1"/>
  <c r="B22"/>
  <c r="E21"/>
  <c r="X21" s="1"/>
  <c r="C21"/>
  <c r="S30" i="1"/>
  <c r="CI4" i="55"/>
  <c r="F20" i="48"/>
  <c r="Y20" s="1"/>
  <c r="V20"/>
  <c r="BA28" i="1"/>
  <c r="BD28" s="1"/>
  <c r="BE28" s="1"/>
  <c r="T28" s="1"/>
  <c r="U28" s="1"/>
  <c r="BC29"/>
  <c r="AN14" i="38"/>
  <c r="AO14"/>
  <c r="AP14" s="1"/>
  <c r="AQ14" s="1"/>
  <c r="BK13"/>
  <c r="AS13"/>
  <c r="AU13" s="1"/>
  <c r="AV13" s="1"/>
  <c r="BA13" s="1"/>
  <c r="BB13" s="1"/>
  <c r="BH13" s="1"/>
  <c r="BJ13" s="1"/>
  <c r="P13" s="1"/>
  <c r="O13" s="1"/>
  <c r="P32" i="1"/>
  <c r="AJ32"/>
  <c r="AC32"/>
  <c r="AI32"/>
  <c r="AH32"/>
  <c r="AM32"/>
  <c r="Z32"/>
  <c r="AL32"/>
  <c r="AS6" i="55"/>
  <c r="G32" i="53"/>
  <c r="R31" i="1"/>
  <c r="W31"/>
  <c r="W30" l="1"/>
  <c r="R30"/>
  <c r="R29"/>
  <c r="W29"/>
  <c r="BN6" i="55"/>
  <c r="D32" i="53"/>
  <c r="I32"/>
  <c r="C22" i="48"/>
  <c r="E22"/>
  <c r="X22" s="1"/>
  <c r="D22"/>
  <c r="W22" s="1"/>
  <c r="B23"/>
  <c r="AO15" i="38"/>
  <c r="AP15" s="1"/>
  <c r="AQ15" s="1"/>
  <c r="AN15"/>
  <c r="S31" i="1"/>
  <c r="W32"/>
  <c r="R32"/>
  <c r="AR14" i="38"/>
  <c r="E16"/>
  <c r="Z16"/>
  <c r="AA16" s="1"/>
  <c r="F16"/>
  <c r="AM16" s="1"/>
  <c r="D16"/>
  <c r="AS7" i="55"/>
  <c r="G33" i="53"/>
  <c r="B11" i="54"/>
  <c r="L34" i="53"/>
  <c r="BA29" i="1"/>
  <c r="BD29" s="1"/>
  <c r="BE29" s="1"/>
  <c r="T29" s="1"/>
  <c r="U29" s="1"/>
  <c r="BC30"/>
  <c r="V21" i="48"/>
  <c r="F21"/>
  <c r="Y21" s="1"/>
  <c r="A41" i="53"/>
  <c r="B42" s="1"/>
  <c r="B17" i="38"/>
  <c r="L34" i="1"/>
  <c r="M33" s="1"/>
  <c r="K34"/>
  <c r="N34" s="1"/>
  <c r="F36" i="52"/>
  <c r="B35" i="1"/>
  <c r="C34"/>
  <c r="D34" s="1"/>
  <c r="E34"/>
  <c r="A34"/>
  <c r="A18" i="26"/>
  <c r="B18" s="1"/>
  <c r="E35" i="52"/>
  <c r="AM33" i="1"/>
  <c r="AL33"/>
  <c r="AJ33"/>
  <c r="AC33"/>
  <c r="AH33"/>
  <c r="AI33"/>
  <c r="Z33"/>
  <c r="AB27"/>
  <c r="AE27" s="1"/>
  <c r="AK27" s="1"/>
  <c r="AA27"/>
  <c r="E34" i="53" s="1"/>
  <c r="V28" i="1"/>
  <c r="X28"/>
  <c r="O12" i="38"/>
  <c r="P33" i="1"/>
  <c r="AF25"/>
  <c r="AD26"/>
  <c r="AR15" i="38" l="1"/>
  <c r="BK15" s="1"/>
  <c r="AB28" i="1"/>
  <c r="AE28" s="1"/>
  <c r="AK28" s="1"/>
  <c r="AA28"/>
  <c r="E35" i="53" s="1"/>
  <c r="AS8" i="55"/>
  <c r="G34" i="53"/>
  <c r="BA30" i="1"/>
  <c r="BD30" s="1"/>
  <c r="BE30" s="1"/>
  <c r="T30" s="1"/>
  <c r="U30" s="1"/>
  <c r="BC31"/>
  <c r="C6" i="55"/>
  <c r="F37" i="52"/>
  <c r="L35" i="1"/>
  <c r="M34" s="1"/>
  <c r="B36"/>
  <c r="C35"/>
  <c r="D35" s="1"/>
  <c r="E35"/>
  <c r="K35"/>
  <c r="N35" s="1"/>
  <c r="A19" i="26"/>
  <c r="B19" s="1"/>
  <c r="B18" i="38"/>
  <c r="A35" i="1"/>
  <c r="A42" i="53"/>
  <c r="B43" s="1"/>
  <c r="Z17" i="38"/>
  <c r="AA17" s="1"/>
  <c r="E17"/>
  <c r="F17"/>
  <c r="AM17" s="1"/>
  <c r="D17"/>
  <c r="V29" i="1"/>
  <c r="X29"/>
  <c r="AS14" i="38"/>
  <c r="AU14" s="1"/>
  <c r="AV14" s="1"/>
  <c r="BA14" s="1"/>
  <c r="BB14" s="1"/>
  <c r="BH14" s="1"/>
  <c r="BJ14" s="1"/>
  <c r="P14" s="1"/>
  <c r="BK14"/>
  <c r="F22" i="48"/>
  <c r="Y22" s="1"/>
  <c r="V22"/>
  <c r="AF26" i="1"/>
  <c r="AD27"/>
  <c r="W33"/>
  <c r="R33"/>
  <c r="AM34"/>
  <c r="AJ34"/>
  <c r="AC34"/>
  <c r="AH34"/>
  <c r="AL34"/>
  <c r="AI34"/>
  <c r="Z34"/>
  <c r="I33" i="53"/>
  <c r="CI7" i="55" s="1"/>
  <c r="D33" i="53"/>
  <c r="C7" i="55" s="1"/>
  <c r="BN7"/>
  <c r="S32" i="1"/>
  <c r="C23" i="48"/>
  <c r="E23"/>
  <c r="X23" s="1"/>
  <c r="D23"/>
  <c r="W23" s="1"/>
  <c r="B24"/>
  <c r="E36" i="52"/>
  <c r="P34" i="1"/>
  <c r="B12" i="54"/>
  <c r="L35" i="53"/>
  <c r="AN16" i="38"/>
  <c r="AR16" s="1"/>
  <c r="AO16"/>
  <c r="AP16" s="1"/>
  <c r="AQ16" s="1"/>
  <c r="CI6" i="55"/>
  <c r="AS15" i="38" l="1"/>
  <c r="AU15" s="1"/>
  <c r="AV15" s="1"/>
  <c r="BA15" s="1"/>
  <c r="BB15" s="1"/>
  <c r="BH15" s="1"/>
  <c r="BJ15" s="1"/>
  <c r="P15" s="1"/>
  <c r="O15" s="1"/>
  <c r="BK16"/>
  <c r="AS16"/>
  <c r="AU16" s="1"/>
  <c r="AV16" s="1"/>
  <c r="BA16" s="1"/>
  <c r="BB16" s="1"/>
  <c r="BH16" s="1"/>
  <c r="BJ16" s="1"/>
  <c r="P16" s="1"/>
  <c r="O16" s="1"/>
  <c r="B25" i="48"/>
  <c r="E24"/>
  <c r="X24" s="1"/>
  <c r="D24"/>
  <c r="W24" s="1"/>
  <c r="C24"/>
  <c r="S33" i="1"/>
  <c r="C36"/>
  <c r="D36" s="1"/>
  <c r="E36"/>
  <c r="B37"/>
  <c r="F38" i="52"/>
  <c r="A43" i="53"/>
  <c r="B44" s="1"/>
  <c r="K36" i="1"/>
  <c r="N36" s="1"/>
  <c r="B19" i="38"/>
  <c r="L36" i="1"/>
  <c r="M35" s="1"/>
  <c r="A20" i="26"/>
  <c r="B20" s="1"/>
  <c r="A36" i="1"/>
  <c r="AS9" i="55"/>
  <c r="G35" i="53"/>
  <c r="L36"/>
  <c r="B13" i="54"/>
  <c r="P35" i="1"/>
  <c r="I34" i="53"/>
  <c r="BN8" i="55"/>
  <c r="D34" i="53"/>
  <c r="C8" i="55" s="1"/>
  <c r="AF27" i="1"/>
  <c r="AD28"/>
  <c r="O14" i="38"/>
  <c r="AO17"/>
  <c r="AP17" s="1"/>
  <c r="AQ17" s="1"/>
  <c r="AN17"/>
  <c r="AM35" i="1"/>
  <c r="AL35"/>
  <c r="AC35"/>
  <c r="AI35"/>
  <c r="AH35"/>
  <c r="AJ35"/>
  <c r="Z35"/>
  <c r="E37" i="52"/>
  <c r="BA31" i="1"/>
  <c r="BD31" s="1"/>
  <c r="BE31" s="1"/>
  <c r="T31" s="1"/>
  <c r="U31" s="1"/>
  <c r="BC32"/>
  <c r="R34"/>
  <c r="W34"/>
  <c r="V23" i="48"/>
  <c r="F23"/>
  <c r="Y23" s="1"/>
  <c r="AB29" i="1"/>
  <c r="AE29" s="1"/>
  <c r="AK29" s="1"/>
  <c r="AA29"/>
  <c r="E36" i="53" s="1"/>
  <c r="F18" i="38"/>
  <c r="AM18" s="1"/>
  <c r="Z18"/>
  <c r="AA18" s="1"/>
  <c r="D18"/>
  <c r="E18"/>
  <c r="V30" i="1"/>
  <c r="X30"/>
  <c r="AN18" i="38" l="1"/>
  <c r="AO18"/>
  <c r="AP18" s="1"/>
  <c r="AQ18" s="1"/>
  <c r="W35" i="1"/>
  <c r="R35"/>
  <c r="L37" i="53"/>
  <c r="B14" i="54"/>
  <c r="D19" i="38"/>
  <c r="E19"/>
  <c r="F19"/>
  <c r="AM19" s="1"/>
  <c r="Z19"/>
  <c r="AA19" s="1"/>
  <c r="K37" i="1"/>
  <c r="N37" s="1"/>
  <c r="F39" i="52"/>
  <c r="L37" i="1"/>
  <c r="M36" s="1"/>
  <c r="C37"/>
  <c r="D37" s="1"/>
  <c r="A44" i="53"/>
  <c r="B45" s="1"/>
  <c r="B20" i="38"/>
  <c r="A21" i="26"/>
  <c r="B21" s="1"/>
  <c r="E37" i="1"/>
  <c r="B38"/>
  <c r="A37"/>
  <c r="D25" i="48"/>
  <c r="W25" s="1"/>
  <c r="C25"/>
  <c r="E25"/>
  <c r="X25" s="1"/>
  <c r="B26"/>
  <c r="AB30" i="1"/>
  <c r="AE30" s="1"/>
  <c r="AK30" s="1"/>
  <c r="AA30"/>
  <c r="E37" i="53" s="1"/>
  <c r="BA32" i="1"/>
  <c r="BD32" s="1"/>
  <c r="BE32" s="1"/>
  <c r="T32" s="1"/>
  <c r="U32" s="1"/>
  <c r="BC33"/>
  <c r="CI8" i="55"/>
  <c r="D35" i="53"/>
  <c r="BN9" i="55"/>
  <c r="I35" i="53"/>
  <c r="CI9" i="55" s="1"/>
  <c r="AH36" i="1"/>
  <c r="AC36"/>
  <c r="Z36"/>
  <c r="AL36"/>
  <c r="AI36"/>
  <c r="AM36"/>
  <c r="AJ36"/>
  <c r="P36"/>
  <c r="E38" i="52"/>
  <c r="F24" i="48"/>
  <c r="Y24" s="1"/>
  <c r="V24"/>
  <c r="AS10" i="55"/>
  <c r="G36" i="53"/>
  <c r="V31" i="1"/>
  <c r="X31"/>
  <c r="AF28"/>
  <c r="AD29"/>
  <c r="S34"/>
  <c r="AR17" i="38"/>
  <c r="I36" i="53" l="1"/>
  <c r="CI10" i="55" s="1"/>
  <c r="BN10"/>
  <c r="D36" i="53"/>
  <c r="C9" i="55"/>
  <c r="BA33" i="1"/>
  <c r="BD33" s="1"/>
  <c r="BE33" s="1"/>
  <c r="T33" s="1"/>
  <c r="U33" s="1"/>
  <c r="BC34"/>
  <c r="C26" i="48"/>
  <c r="B27"/>
  <c r="E26"/>
  <c r="X26" s="1"/>
  <c r="D26"/>
  <c r="W26" s="1"/>
  <c r="AM37" i="1"/>
  <c r="AC37"/>
  <c r="AI37"/>
  <c r="Z37"/>
  <c r="AJ37"/>
  <c r="AH37"/>
  <c r="AL37"/>
  <c r="Z20" i="38"/>
  <c r="AA20" s="1"/>
  <c r="E20"/>
  <c r="D20"/>
  <c r="F20"/>
  <c r="AM20" s="1"/>
  <c r="BK17"/>
  <c r="AS17"/>
  <c r="AU17" s="1"/>
  <c r="AV17" s="1"/>
  <c r="BA17" s="1"/>
  <c r="BB17" s="1"/>
  <c r="BH17" s="1"/>
  <c r="BJ17" s="1"/>
  <c r="P17" s="1"/>
  <c r="AB31" i="1"/>
  <c r="AE31" s="1"/>
  <c r="AK31" s="1"/>
  <c r="AA31"/>
  <c r="E38" i="53" s="1"/>
  <c r="V32" i="1"/>
  <c r="X32"/>
  <c r="F40" i="52"/>
  <c r="C38" i="1"/>
  <c r="D38" s="1"/>
  <c r="A38"/>
  <c r="B21" i="38"/>
  <c r="A45" i="53"/>
  <c r="B46" s="1"/>
  <c r="K38" i="1"/>
  <c r="N38" s="1"/>
  <c r="A22" i="26"/>
  <c r="B22" s="1"/>
  <c r="E38" i="1"/>
  <c r="L38"/>
  <c r="M37" s="1"/>
  <c r="B39"/>
  <c r="P37"/>
  <c r="B15" i="54"/>
  <c r="L38" i="53"/>
  <c r="AS11" i="55"/>
  <c r="G37" i="53"/>
  <c r="V25" i="48"/>
  <c r="F25"/>
  <c r="Y25" s="1"/>
  <c r="E39" i="52"/>
  <c r="S35" i="1"/>
  <c r="AR18" i="38"/>
  <c r="AF29" i="1"/>
  <c r="AD30"/>
  <c r="R36"/>
  <c r="W36"/>
  <c r="AO19" i="38"/>
  <c r="AP19" s="1"/>
  <c r="AQ19" s="1"/>
  <c r="AN19"/>
  <c r="AS18" l="1"/>
  <c r="AU18" s="1"/>
  <c r="AV18" s="1"/>
  <c r="BA18" s="1"/>
  <c r="BB18" s="1"/>
  <c r="BH18" s="1"/>
  <c r="BJ18" s="1"/>
  <c r="P18" s="1"/>
  <c r="O18" s="1"/>
  <c r="BK18"/>
  <c r="C27" i="48"/>
  <c r="D27"/>
  <c r="W27" s="1"/>
  <c r="E27"/>
  <c r="X27" s="1"/>
  <c r="B28"/>
  <c r="C10" i="55"/>
  <c r="AR19" i="38"/>
  <c r="S36" i="1"/>
  <c r="E40" i="52"/>
  <c r="E21" i="38"/>
  <c r="F21"/>
  <c r="AM21" s="1"/>
  <c r="D21"/>
  <c r="Z21"/>
  <c r="AA21" s="1"/>
  <c r="AB32" i="1"/>
  <c r="AE32" s="1"/>
  <c r="AK32" s="1"/>
  <c r="AA32"/>
  <c r="E39" i="53" s="1"/>
  <c r="AS12" i="55"/>
  <c r="G38" i="53"/>
  <c r="F26" i="48"/>
  <c r="Y26" s="1"/>
  <c r="V26"/>
  <c r="AF30" i="1"/>
  <c r="AD31"/>
  <c r="I37" i="53"/>
  <c r="BN11" i="55"/>
  <c r="D37" i="53"/>
  <c r="B16" i="54"/>
  <c r="L39" i="53"/>
  <c r="W37" i="1"/>
  <c r="R37"/>
  <c r="AI38"/>
  <c r="AM38"/>
  <c r="AL38"/>
  <c r="AH38"/>
  <c r="AC38"/>
  <c r="Z38"/>
  <c r="AJ38"/>
  <c r="BA34"/>
  <c r="BD34" s="1"/>
  <c r="BE34" s="1"/>
  <c r="T34" s="1"/>
  <c r="U34" s="1"/>
  <c r="BC35"/>
  <c r="A23" i="26"/>
  <c r="B23" s="1"/>
  <c r="C39" i="1"/>
  <c r="D39" s="1"/>
  <c r="L39"/>
  <c r="M38" s="1"/>
  <c r="F41" i="52"/>
  <c r="K39" i="1"/>
  <c r="N39" s="1"/>
  <c r="B22" i="38"/>
  <c r="A39" i="1"/>
  <c r="E39"/>
  <c r="A46" i="53"/>
  <c r="B47" s="1"/>
  <c r="B40" i="1"/>
  <c r="P38"/>
  <c r="O17" i="38"/>
  <c r="AO20"/>
  <c r="AP20" s="1"/>
  <c r="AQ20" s="1"/>
  <c r="AN20"/>
  <c r="V33" i="1"/>
  <c r="X33"/>
  <c r="R38" l="1"/>
  <c r="W38"/>
  <c r="A24" i="26"/>
  <c r="B24" s="1"/>
  <c r="C40" i="1"/>
  <c r="D40" s="1"/>
  <c r="F42" i="52"/>
  <c r="A40" i="1"/>
  <c r="K40"/>
  <c r="N40" s="1"/>
  <c r="B23" i="38"/>
  <c r="L40" i="1"/>
  <c r="M39" s="1"/>
  <c r="B41"/>
  <c r="A47" i="53"/>
  <c r="B48" s="1"/>
  <c r="E40" i="1"/>
  <c r="E22" i="38"/>
  <c r="D22"/>
  <c r="Z22"/>
  <c r="AA22" s="1"/>
  <c r="F22"/>
  <c r="AM22" s="1"/>
  <c r="B17" i="54"/>
  <c r="L40" i="53"/>
  <c r="C11" i="55"/>
  <c r="BN12"/>
  <c r="D38" i="53"/>
  <c r="C12" i="55" s="1"/>
  <c r="I38" i="53"/>
  <c r="CI12" i="55" s="1"/>
  <c r="AR20" i="38"/>
  <c r="P39" i="1"/>
  <c r="V27" i="48"/>
  <c r="F27"/>
  <c r="Y27" s="1"/>
  <c r="E41" i="52"/>
  <c r="BA35" i="1"/>
  <c r="BD35" s="1"/>
  <c r="BE35" s="1"/>
  <c r="T35" s="1"/>
  <c r="U35" s="1"/>
  <c r="BC36"/>
  <c r="S37"/>
  <c r="CI11" i="55"/>
  <c r="AS13"/>
  <c r="G39" i="53"/>
  <c r="AN21" i="38"/>
  <c r="AO21"/>
  <c r="AP21" s="1"/>
  <c r="AQ21" s="1"/>
  <c r="AS19"/>
  <c r="AU19" s="1"/>
  <c r="AV19" s="1"/>
  <c r="BA19" s="1"/>
  <c r="BB19" s="1"/>
  <c r="BH19" s="1"/>
  <c r="BJ19" s="1"/>
  <c r="P19" s="1"/>
  <c r="BK19"/>
  <c r="B29" i="48"/>
  <c r="E28"/>
  <c r="X28" s="1"/>
  <c r="C28"/>
  <c r="D28"/>
  <c r="W28" s="1"/>
  <c r="AB33" i="1"/>
  <c r="AE33" s="1"/>
  <c r="AK33" s="1"/>
  <c r="AA33"/>
  <c r="E40" i="53" s="1"/>
  <c r="Z39" i="1"/>
  <c r="AM39"/>
  <c r="AL39"/>
  <c r="AI39"/>
  <c r="AJ39"/>
  <c r="AH39"/>
  <c r="AC39"/>
  <c r="V34"/>
  <c r="X34"/>
  <c r="AF31"/>
  <c r="AD32"/>
  <c r="AF32" l="1"/>
  <c r="AD33"/>
  <c r="O19" i="38"/>
  <c r="D39" i="53"/>
  <c r="BN13" i="55"/>
  <c r="I39" i="53"/>
  <c r="BA36" i="1"/>
  <c r="BD36" s="1"/>
  <c r="BE36" s="1"/>
  <c r="T36" s="1"/>
  <c r="U36" s="1"/>
  <c r="BC37"/>
  <c r="L41" i="53"/>
  <c r="B18" i="54"/>
  <c r="L41" i="1"/>
  <c r="M40" s="1"/>
  <c r="A41"/>
  <c r="B24" i="38"/>
  <c r="A48" i="53"/>
  <c r="B49" s="1"/>
  <c r="B42" i="1"/>
  <c r="E41"/>
  <c r="F43" i="52"/>
  <c r="A25" i="26"/>
  <c r="B25" s="1"/>
  <c r="K41" i="1"/>
  <c r="N41" s="1"/>
  <c r="C41"/>
  <c r="D41" s="1"/>
  <c r="AJ40"/>
  <c r="AC40"/>
  <c r="AH40"/>
  <c r="AI40"/>
  <c r="AM40"/>
  <c r="AL40"/>
  <c r="Z40"/>
  <c r="E29" i="48"/>
  <c r="X29" s="1"/>
  <c r="D29"/>
  <c r="W29" s="1"/>
  <c r="C29"/>
  <c r="B30"/>
  <c r="V35" i="1"/>
  <c r="X35"/>
  <c r="S38"/>
  <c r="AB34"/>
  <c r="AE34" s="1"/>
  <c r="AK34" s="1"/>
  <c r="AA34"/>
  <c r="E41" i="53" s="1"/>
  <c r="W39" i="1"/>
  <c r="R39"/>
  <c r="AS20" i="38"/>
  <c r="AU20" s="1"/>
  <c r="AV20" s="1"/>
  <c r="BA20" s="1"/>
  <c r="BB20" s="1"/>
  <c r="BH20" s="1"/>
  <c r="BJ20" s="1"/>
  <c r="P20" s="1"/>
  <c r="O20" s="1"/>
  <c r="BK20"/>
  <c r="AN22"/>
  <c r="AR22" s="1"/>
  <c r="AO22"/>
  <c r="AP22" s="1"/>
  <c r="AQ22" s="1"/>
  <c r="E42" i="52"/>
  <c r="E23" i="38"/>
  <c r="Z23"/>
  <c r="AA23" s="1"/>
  <c r="F23"/>
  <c r="AM23" s="1"/>
  <c r="D23"/>
  <c r="AS14" i="55"/>
  <c r="G40" i="53"/>
  <c r="V28" i="48"/>
  <c r="F28"/>
  <c r="Y28" s="1"/>
  <c r="AR21" i="38"/>
  <c r="P40" i="1"/>
  <c r="D30" i="48" l="1"/>
  <c r="W30" s="1"/>
  <c r="B31"/>
  <c r="C30"/>
  <c r="E30"/>
  <c r="X30" s="1"/>
  <c r="P41" i="1"/>
  <c r="C42"/>
  <c r="D42" s="1"/>
  <c r="B25" i="38"/>
  <c r="A42" i="1"/>
  <c r="F44" i="52"/>
  <c r="E42" i="1"/>
  <c r="A26" i="26"/>
  <c r="B26" s="1"/>
  <c r="K42" i="1"/>
  <c r="N42" s="1"/>
  <c r="L42"/>
  <c r="M41" s="1"/>
  <c r="B43"/>
  <c r="A49" i="53"/>
  <c r="B50" s="1"/>
  <c r="C13" i="55"/>
  <c r="AS21" i="38"/>
  <c r="AU21" s="1"/>
  <c r="AV21" s="1"/>
  <c r="BA21" s="1"/>
  <c r="BB21" s="1"/>
  <c r="BH21" s="1"/>
  <c r="BJ21" s="1"/>
  <c r="P21" s="1"/>
  <c r="O21" s="1"/>
  <c r="BK21"/>
  <c r="AB35" i="1"/>
  <c r="AE35" s="1"/>
  <c r="AK35" s="1"/>
  <c r="AA35"/>
  <c r="E42" i="53" s="1"/>
  <c r="V29" i="48"/>
  <c r="F29"/>
  <c r="Y29" s="1"/>
  <c r="L42" i="53"/>
  <c r="B19" i="54"/>
  <c r="BA37" i="1"/>
  <c r="BD37" s="1"/>
  <c r="BE37" s="1"/>
  <c r="T37" s="1"/>
  <c r="U37" s="1"/>
  <c r="BC38"/>
  <c r="BN14" i="55"/>
  <c r="D40" i="53"/>
  <c r="I40"/>
  <c r="CI14" i="55" s="1"/>
  <c r="BK22" i="38"/>
  <c r="AS22"/>
  <c r="AU22" s="1"/>
  <c r="AV22" s="1"/>
  <c r="BA22" s="1"/>
  <c r="BB22" s="1"/>
  <c r="BH22" s="1"/>
  <c r="BJ22" s="1"/>
  <c r="P22" s="1"/>
  <c r="O22" s="1"/>
  <c r="AS15" i="55"/>
  <c r="G41" i="53"/>
  <c r="D24" i="38"/>
  <c r="E24"/>
  <c r="Z24"/>
  <c r="AA24" s="1"/>
  <c r="F24"/>
  <c r="AM24" s="1"/>
  <c r="V36" i="1"/>
  <c r="X36"/>
  <c r="CI13" i="55"/>
  <c r="AF33" i="1"/>
  <c r="AD34"/>
  <c r="R40"/>
  <c r="W40"/>
  <c r="AO23" i="38"/>
  <c r="AP23" s="1"/>
  <c r="AQ23" s="1"/>
  <c r="AN23"/>
  <c r="S39" i="1"/>
  <c r="E43" i="52"/>
  <c r="AI41" i="1"/>
  <c r="AH41"/>
  <c r="AC41"/>
  <c r="AM41"/>
  <c r="Z41"/>
  <c r="AJ41"/>
  <c r="AL41"/>
  <c r="AR23" i="38" l="1"/>
  <c r="BK23" s="1"/>
  <c r="D41" i="53"/>
  <c r="C15" i="55" s="1"/>
  <c r="BN15"/>
  <c r="I41" i="53"/>
  <c r="V37" i="1"/>
  <c r="X37"/>
  <c r="P42"/>
  <c r="AJ42"/>
  <c r="AL42"/>
  <c r="AM42"/>
  <c r="AC42"/>
  <c r="AH42"/>
  <c r="Z42"/>
  <c r="AI42"/>
  <c r="W41"/>
  <c r="R41"/>
  <c r="V30" i="48"/>
  <c r="F30"/>
  <c r="Y30" s="1"/>
  <c r="Z25" i="38"/>
  <c r="AA25" s="1"/>
  <c r="E25"/>
  <c r="F25"/>
  <c r="AM25" s="1"/>
  <c r="D25"/>
  <c r="B32" i="48"/>
  <c r="D31"/>
  <c r="W31" s="1"/>
  <c r="C31"/>
  <c r="E31"/>
  <c r="X31" s="1"/>
  <c r="S40" i="1"/>
  <c r="C14" i="55"/>
  <c r="AS16"/>
  <c r="G42" i="53"/>
  <c r="F45" i="52"/>
  <c r="C43" i="1"/>
  <c r="D43" s="1"/>
  <c r="A43"/>
  <c r="B26" i="38"/>
  <c r="K43" i="1"/>
  <c r="N43" s="1"/>
  <c r="A27" i="26"/>
  <c r="B27" s="1"/>
  <c r="A50" i="53"/>
  <c r="B51" s="1"/>
  <c r="L43" i="1"/>
  <c r="M42" s="1"/>
  <c r="E43"/>
  <c r="B44"/>
  <c r="E44" i="52"/>
  <c r="AF34" i="1"/>
  <c r="AD35"/>
  <c r="AB36"/>
  <c r="AE36" s="1"/>
  <c r="AK36" s="1"/>
  <c r="AA36"/>
  <c r="E43" i="53" s="1"/>
  <c r="AO24" i="38"/>
  <c r="AP24" s="1"/>
  <c r="AQ24" s="1"/>
  <c r="AN24"/>
  <c r="AR24" s="1"/>
  <c r="BA38" i="1"/>
  <c r="BD38" s="1"/>
  <c r="BE38" s="1"/>
  <c r="T38" s="1"/>
  <c r="U38" s="1"/>
  <c r="BC39"/>
  <c r="B20" i="54"/>
  <c r="L43" i="53"/>
  <c r="AS23" i="38" l="1"/>
  <c r="AU23" s="1"/>
  <c r="AV23" s="1"/>
  <c r="BA23" s="1"/>
  <c r="BB23" s="1"/>
  <c r="BH23" s="1"/>
  <c r="BJ23" s="1"/>
  <c r="P23" s="1"/>
  <c r="O23" s="1"/>
  <c r="BA39" i="1"/>
  <c r="BD39" s="1"/>
  <c r="BE39" s="1"/>
  <c r="T39" s="1"/>
  <c r="U39" s="1"/>
  <c r="BC40"/>
  <c r="BK24" i="38"/>
  <c r="AS24"/>
  <c r="AU24" s="1"/>
  <c r="AV24" s="1"/>
  <c r="BA24" s="1"/>
  <c r="BB24" s="1"/>
  <c r="BH24" s="1"/>
  <c r="BJ24" s="1"/>
  <c r="P24" s="1"/>
  <c r="AF35" i="1"/>
  <c r="AD36"/>
  <c r="F46" i="52"/>
  <c r="A28" i="26"/>
  <c r="B28" s="1"/>
  <c r="B27" i="38"/>
  <c r="B45" i="1"/>
  <c r="A44"/>
  <c r="L44"/>
  <c r="M43" s="1"/>
  <c r="A51" i="53"/>
  <c r="B52" s="1"/>
  <c r="C44" i="1"/>
  <c r="D44" s="1"/>
  <c r="E44"/>
  <c r="K44"/>
  <c r="N44" s="1"/>
  <c r="I42" i="53"/>
  <c r="CI16" i="55" s="1"/>
  <c r="BN16"/>
  <c r="D42" i="53"/>
  <c r="C32" i="48"/>
  <c r="D32"/>
  <c r="W32" s="1"/>
  <c r="B33"/>
  <c r="E32"/>
  <c r="X32" s="1"/>
  <c r="R42" i="1"/>
  <c r="W42"/>
  <c r="AB37"/>
  <c r="AE37" s="1"/>
  <c r="AK37" s="1"/>
  <c r="AA37"/>
  <c r="E44" i="53" s="1"/>
  <c r="V38" i="1"/>
  <c r="X38"/>
  <c r="E45" i="52"/>
  <c r="P43" i="1"/>
  <c r="L44" i="53"/>
  <c r="B21" i="54"/>
  <c r="AS17" i="55"/>
  <c r="G43" i="53"/>
  <c r="F26" i="38"/>
  <c r="AM26" s="1"/>
  <c r="D26"/>
  <c r="Z26"/>
  <c r="AA26" s="1"/>
  <c r="E26"/>
  <c r="F31" i="48"/>
  <c r="Y31" s="1"/>
  <c r="V31"/>
  <c r="AN25" i="38"/>
  <c r="AO25"/>
  <c r="AP25" s="1"/>
  <c r="AQ25" s="1"/>
  <c r="S41" i="1"/>
  <c r="CI15" i="55"/>
  <c r="AC43" i="1"/>
  <c r="AM43"/>
  <c r="AL43"/>
  <c r="AI43"/>
  <c r="AJ43"/>
  <c r="Z43"/>
  <c r="AH43"/>
  <c r="AB38" l="1"/>
  <c r="AE38" s="1"/>
  <c r="AK38" s="1"/>
  <c r="AA38"/>
  <c r="E45" i="53" s="1"/>
  <c r="AS18" i="55"/>
  <c r="G44" i="53"/>
  <c r="S42" i="1"/>
  <c r="C16" i="55"/>
  <c r="P44" i="1"/>
  <c r="O24" i="38"/>
  <c r="AR25"/>
  <c r="W43" i="1"/>
  <c r="R43"/>
  <c r="D33" i="48"/>
  <c r="W33" s="1"/>
  <c r="C33"/>
  <c r="E33"/>
  <c r="X33" s="1"/>
  <c r="B34"/>
  <c r="E46" i="52"/>
  <c r="Z44" i="1"/>
  <c r="AC44"/>
  <c r="AI44"/>
  <c r="AL44"/>
  <c r="AM44"/>
  <c r="AH44"/>
  <c r="AJ44"/>
  <c r="AN26" i="38"/>
  <c r="AO26"/>
  <c r="AP26" s="1"/>
  <c r="AQ26" s="1"/>
  <c r="E45" i="1"/>
  <c r="B28" i="38"/>
  <c r="C45" i="1"/>
  <c r="D45" s="1"/>
  <c r="F47" i="52"/>
  <c r="A52" i="53"/>
  <c r="B53" s="1"/>
  <c r="A45" i="1"/>
  <c r="B46"/>
  <c r="A29" i="26"/>
  <c r="B29" s="1"/>
  <c r="L45" i="1"/>
  <c r="M44" s="1"/>
  <c r="K45"/>
  <c r="N45" s="1"/>
  <c r="AF36"/>
  <c r="AD37"/>
  <c r="BA40"/>
  <c r="BD40" s="1"/>
  <c r="BE40" s="1"/>
  <c r="T40" s="1"/>
  <c r="U40" s="1"/>
  <c r="BC41"/>
  <c r="D43" i="53"/>
  <c r="C17" i="55" s="1"/>
  <c r="BN17"/>
  <c r="I43" i="53"/>
  <c r="L45"/>
  <c r="B22" i="54"/>
  <c r="V32" i="48"/>
  <c r="F32"/>
  <c r="Y32" s="1"/>
  <c r="Z27" i="38"/>
  <c r="AA27" s="1"/>
  <c r="F27"/>
  <c r="AM27" s="1"/>
  <c r="D27"/>
  <c r="E27"/>
  <c r="V39" i="1"/>
  <c r="X39"/>
  <c r="AR26" i="38" l="1"/>
  <c r="BK26" s="1"/>
  <c r="AF37" i="1"/>
  <c r="AD38"/>
  <c r="AS26" i="38"/>
  <c r="AU26" s="1"/>
  <c r="AV26" s="1"/>
  <c r="BA26" s="1"/>
  <c r="BB26" s="1"/>
  <c r="BH26" s="1"/>
  <c r="BJ26" s="1"/>
  <c r="P26" s="1"/>
  <c r="O26" s="1"/>
  <c r="B23" i="54"/>
  <c r="L46" i="53"/>
  <c r="F48" i="52"/>
  <c r="A53" i="53"/>
  <c r="B54" s="1"/>
  <c r="K46" i="1"/>
  <c r="N46" s="1"/>
  <c r="A46"/>
  <c r="B47"/>
  <c r="C46"/>
  <c r="D46" s="1"/>
  <c r="E46"/>
  <c r="L46"/>
  <c r="M45" s="1"/>
  <c r="B29" i="38"/>
  <c r="A30" i="26"/>
  <c r="B30" s="1"/>
  <c r="V33" i="48"/>
  <c r="F33"/>
  <c r="Y33" s="1"/>
  <c r="BK25" i="38"/>
  <c r="AS25"/>
  <c r="AU25" s="1"/>
  <c r="AV25" s="1"/>
  <c r="BA25" s="1"/>
  <c r="BB25" s="1"/>
  <c r="BH25" s="1"/>
  <c r="BJ25" s="1"/>
  <c r="P25" s="1"/>
  <c r="AB39" i="1"/>
  <c r="AE39" s="1"/>
  <c r="AK39" s="1"/>
  <c r="AA39"/>
  <c r="E46" i="53" s="1"/>
  <c r="AN27" i="38"/>
  <c r="AO27"/>
  <c r="AP27" s="1"/>
  <c r="AQ27" s="1"/>
  <c r="CI17" i="55"/>
  <c r="BA41" i="1"/>
  <c r="BD41" s="1"/>
  <c r="BE41" s="1"/>
  <c r="T41" s="1"/>
  <c r="U41" s="1"/>
  <c r="BC42"/>
  <c r="P45"/>
  <c r="Z45"/>
  <c r="AJ45"/>
  <c r="AC45"/>
  <c r="AI45"/>
  <c r="AL45"/>
  <c r="AH45"/>
  <c r="AM45"/>
  <c r="E28" i="38"/>
  <c r="Z28"/>
  <c r="AA28" s="1"/>
  <c r="F28"/>
  <c r="AM28" s="1"/>
  <c r="D28"/>
  <c r="S43" i="1"/>
  <c r="W44"/>
  <c r="R44"/>
  <c r="BN18" i="55"/>
  <c r="I44" i="53"/>
  <c r="CI18" i="55" s="1"/>
  <c r="D44" i="53"/>
  <c r="C18" i="55" s="1"/>
  <c r="AS19"/>
  <c r="G45" i="53"/>
  <c r="V40" i="1"/>
  <c r="X40"/>
  <c r="E47" i="52"/>
  <c r="D34" i="48"/>
  <c r="W34" s="1"/>
  <c r="C34"/>
  <c r="E34"/>
  <c r="X34" s="1"/>
  <c r="B35"/>
  <c r="V34" l="1"/>
  <c r="F34"/>
  <c r="Y34" s="1"/>
  <c r="AB40" i="1"/>
  <c r="AE40" s="1"/>
  <c r="AK40" s="1"/>
  <c r="AA40"/>
  <c r="E47" i="53" s="1"/>
  <c r="I45"/>
  <c r="CI19" i="55" s="1"/>
  <c r="BN19"/>
  <c r="D45" i="53"/>
  <c r="AO28" i="38"/>
  <c r="AP28" s="1"/>
  <c r="AQ28" s="1"/>
  <c r="AN28"/>
  <c r="AR28" s="1"/>
  <c r="W45" i="1"/>
  <c r="R45"/>
  <c r="AI46"/>
  <c r="AC46"/>
  <c r="AM46"/>
  <c r="AL46"/>
  <c r="Z46"/>
  <c r="AJ46"/>
  <c r="AH46"/>
  <c r="B24" i="54"/>
  <c r="L47" i="53"/>
  <c r="AR27" i="38"/>
  <c r="O25"/>
  <c r="E48" i="52"/>
  <c r="P46" i="1"/>
  <c r="D35" i="48"/>
  <c r="W35" s="1"/>
  <c r="B36"/>
  <c r="C35"/>
  <c r="E35"/>
  <c r="X35" s="1"/>
  <c r="BA42" i="1"/>
  <c r="BD42" s="1"/>
  <c r="BE42" s="1"/>
  <c r="T42" s="1"/>
  <c r="U42" s="1"/>
  <c r="BC43"/>
  <c r="AS20" i="55"/>
  <c r="G46" i="53"/>
  <c r="AF38" i="1"/>
  <c r="AD39"/>
  <c r="S44"/>
  <c r="V41"/>
  <c r="X41"/>
  <c r="D29" i="38"/>
  <c r="F29"/>
  <c r="AM29" s="1"/>
  <c r="E29"/>
  <c r="Z29"/>
  <c r="AA29" s="1"/>
  <c r="B48" i="1"/>
  <c r="F49" i="52"/>
  <c r="L47" i="1"/>
  <c r="M46" s="1"/>
  <c r="A54" i="53"/>
  <c r="B55" s="1"/>
  <c r="K47" i="1"/>
  <c r="N47" s="1"/>
  <c r="B30" i="38"/>
  <c r="C47" i="1"/>
  <c r="D47" s="1"/>
  <c r="E47"/>
  <c r="A31" i="26"/>
  <c r="B31" s="1"/>
  <c r="A47" i="1"/>
  <c r="V35" i="48" l="1"/>
  <c r="F35"/>
  <c r="Y35" s="1"/>
  <c r="W46" i="1"/>
  <c r="R46"/>
  <c r="B25" i="54"/>
  <c r="L48" i="53"/>
  <c r="BK28" i="38"/>
  <c r="AS28"/>
  <c r="AU28" s="1"/>
  <c r="AV28" s="1"/>
  <c r="BA28" s="1"/>
  <c r="BB28" s="1"/>
  <c r="BH28" s="1"/>
  <c r="BJ28" s="1"/>
  <c r="P28" s="1"/>
  <c r="O28" s="1"/>
  <c r="AI47" i="1"/>
  <c r="AM47"/>
  <c r="Z47"/>
  <c r="AH47"/>
  <c r="AC47"/>
  <c r="AL47"/>
  <c r="AJ47"/>
  <c r="Z30" i="38"/>
  <c r="AA30" s="1"/>
  <c r="E30"/>
  <c r="D30"/>
  <c r="F30"/>
  <c r="AM30" s="1"/>
  <c r="AN29"/>
  <c r="AO29"/>
  <c r="AP29" s="1"/>
  <c r="AQ29" s="1"/>
  <c r="AF39" i="1"/>
  <c r="AD40"/>
  <c r="E36" i="48"/>
  <c r="X36" s="1"/>
  <c r="D36"/>
  <c r="W36" s="1"/>
  <c r="C36"/>
  <c r="B37"/>
  <c r="BK27" i="38"/>
  <c r="AS27"/>
  <c r="AU27" s="1"/>
  <c r="AV27" s="1"/>
  <c r="BA27" s="1"/>
  <c r="BB27" s="1"/>
  <c r="BH27" s="1"/>
  <c r="BJ27" s="1"/>
  <c r="P27" s="1"/>
  <c r="BA43" i="1"/>
  <c r="BD43" s="1"/>
  <c r="BE43" s="1"/>
  <c r="T43" s="1"/>
  <c r="U43" s="1"/>
  <c r="BC44"/>
  <c r="S45"/>
  <c r="AS21" i="55"/>
  <c r="G47" i="53"/>
  <c r="P47" i="1"/>
  <c r="F50" i="52"/>
  <c r="K48" i="1"/>
  <c r="N48" s="1"/>
  <c r="L48"/>
  <c r="M47" s="1"/>
  <c r="A55" i="53"/>
  <c r="B56" s="1"/>
  <c r="E48" i="1"/>
  <c r="A48"/>
  <c r="B49"/>
  <c r="C48"/>
  <c r="D48" s="1"/>
  <c r="A32" i="26"/>
  <c r="B32" s="1"/>
  <c r="B31" i="38"/>
  <c r="E49" i="52"/>
  <c r="AB41" i="1"/>
  <c r="AE41" s="1"/>
  <c r="AK41" s="1"/>
  <c r="AA41"/>
  <c r="E48" i="53" s="1"/>
  <c r="I46"/>
  <c r="D46"/>
  <c r="BN20" i="55"/>
  <c r="V42" i="1"/>
  <c r="X42"/>
  <c r="C19" i="55"/>
  <c r="AB42" i="1" l="1"/>
  <c r="AE42" s="1"/>
  <c r="AK42" s="1"/>
  <c r="AA42"/>
  <c r="E49" i="53" s="1"/>
  <c r="CI20" i="55"/>
  <c r="F31" i="38"/>
  <c r="AM31" s="1"/>
  <c r="Z31"/>
  <c r="AA31" s="1"/>
  <c r="E31"/>
  <c r="D31"/>
  <c r="Z48" i="1"/>
  <c r="AL48"/>
  <c r="AM48"/>
  <c r="AJ48"/>
  <c r="AI48"/>
  <c r="AC48"/>
  <c r="AH48"/>
  <c r="P48"/>
  <c r="V43"/>
  <c r="X43"/>
  <c r="V36" i="48"/>
  <c r="F36"/>
  <c r="Y36" s="1"/>
  <c r="S46" i="1"/>
  <c r="AS22" i="55"/>
  <c r="G48" i="53"/>
  <c r="E50" i="52"/>
  <c r="BN21" i="55"/>
  <c r="I47" i="53"/>
  <c r="CI21" i="55" s="1"/>
  <c r="D47" i="53"/>
  <c r="AF40" i="1"/>
  <c r="AD41"/>
  <c r="AR29" i="38"/>
  <c r="B26" i="54"/>
  <c r="L49" i="53"/>
  <c r="C20" i="55"/>
  <c r="F51" i="52"/>
  <c r="L49" i="1"/>
  <c r="M48" s="1"/>
  <c r="E49"/>
  <c r="A56" i="53"/>
  <c r="B57" s="1"/>
  <c r="B50" i="1"/>
  <c r="C49"/>
  <c r="D49" s="1"/>
  <c r="K49"/>
  <c r="N49" s="1"/>
  <c r="B32" i="38"/>
  <c r="A49" i="1"/>
  <c r="A33" i="26"/>
  <c r="B33" s="1"/>
  <c r="R47" i="1"/>
  <c r="W47"/>
  <c r="BA44"/>
  <c r="BD44" s="1"/>
  <c r="BE44" s="1"/>
  <c r="T44" s="1"/>
  <c r="U44" s="1"/>
  <c r="BC45"/>
  <c r="O27" i="38"/>
  <c r="C37" i="48"/>
  <c r="B38"/>
  <c r="D37"/>
  <c r="W37" s="1"/>
  <c r="E37"/>
  <c r="X37" s="1"/>
  <c r="AN30" i="38"/>
  <c r="AO30"/>
  <c r="AP30" s="1"/>
  <c r="AQ30" s="1"/>
  <c r="V37" i="48" l="1"/>
  <c r="F37"/>
  <c r="Y37" s="1"/>
  <c r="S47" i="1"/>
  <c r="P49"/>
  <c r="E51" i="52"/>
  <c r="AS29" i="38"/>
  <c r="AU29" s="1"/>
  <c r="AV29" s="1"/>
  <c r="BA29" s="1"/>
  <c r="BB29" s="1"/>
  <c r="BH29" s="1"/>
  <c r="BJ29" s="1"/>
  <c r="P29" s="1"/>
  <c r="BK29"/>
  <c r="D48" i="53"/>
  <c r="BN22" i="55"/>
  <c r="I48" i="53"/>
  <c r="CI22" i="55" s="1"/>
  <c r="AO31" i="38"/>
  <c r="AP31" s="1"/>
  <c r="AQ31" s="1"/>
  <c r="AN31"/>
  <c r="BA45" i="1"/>
  <c r="BD45" s="1"/>
  <c r="BE45" s="1"/>
  <c r="T45" s="1"/>
  <c r="U45" s="1"/>
  <c r="BC46"/>
  <c r="AI49"/>
  <c r="AL49"/>
  <c r="AH49"/>
  <c r="AM49"/>
  <c r="Z49"/>
  <c r="AC49"/>
  <c r="AJ49"/>
  <c r="E50"/>
  <c r="F52" i="52"/>
  <c r="C50" i="1"/>
  <c r="D50" s="1"/>
  <c r="A50"/>
  <c r="A34" i="26"/>
  <c r="B34" s="1"/>
  <c r="L50" i="1"/>
  <c r="M49" s="1"/>
  <c r="B33" i="38"/>
  <c r="B51" i="1"/>
  <c r="A57" i="53"/>
  <c r="B58" s="1"/>
  <c r="K50" i="1"/>
  <c r="N50" s="1"/>
  <c r="B27" i="54"/>
  <c r="L50" i="53"/>
  <c r="AF41" i="1"/>
  <c r="AD42"/>
  <c r="C21" i="55"/>
  <c r="AR30" i="38"/>
  <c r="E38" i="48"/>
  <c r="X38" s="1"/>
  <c r="D38"/>
  <c r="W38" s="1"/>
  <c r="B39"/>
  <c r="C38"/>
  <c r="V44" i="1"/>
  <c r="X44"/>
  <c r="E32" i="38"/>
  <c r="F32"/>
  <c r="AM32" s="1"/>
  <c r="Z32"/>
  <c r="AA32" s="1"/>
  <c r="D32"/>
  <c r="AB43" i="1"/>
  <c r="AE43" s="1"/>
  <c r="AK43" s="1"/>
  <c r="AA43"/>
  <c r="E50" i="53" s="1"/>
  <c r="W48" i="1"/>
  <c r="R48"/>
  <c r="AS23" i="55"/>
  <c r="G49" i="53"/>
  <c r="BN23" i="55" l="1"/>
  <c r="D49" i="53"/>
  <c r="I49"/>
  <c r="AN32" i="38"/>
  <c r="AO32"/>
  <c r="AP32" s="1"/>
  <c r="AQ32" s="1"/>
  <c r="V38" i="48"/>
  <c r="F38"/>
  <c r="Y38" s="1"/>
  <c r="BK30" i="38"/>
  <c r="AS30"/>
  <c r="AU30" s="1"/>
  <c r="AV30" s="1"/>
  <c r="BA30" s="1"/>
  <c r="BB30" s="1"/>
  <c r="BH30" s="1"/>
  <c r="BJ30" s="1"/>
  <c r="P30" s="1"/>
  <c r="O30" s="1"/>
  <c r="E52" i="52"/>
  <c r="BA46" i="1"/>
  <c r="BD46" s="1"/>
  <c r="BE46" s="1"/>
  <c r="T46" s="1"/>
  <c r="U46" s="1"/>
  <c r="BC47"/>
  <c r="AR31" i="38"/>
  <c r="D39" i="48"/>
  <c r="W39" s="1"/>
  <c r="C39"/>
  <c r="E39"/>
  <c r="X39" s="1"/>
  <c r="B40"/>
  <c r="B28" i="54"/>
  <c r="L51" i="53"/>
  <c r="K51" i="1"/>
  <c r="N51" s="1"/>
  <c r="B52"/>
  <c r="C51"/>
  <c r="D51" s="1"/>
  <c r="A58" i="53"/>
  <c r="B59" s="1"/>
  <c r="A35" i="26"/>
  <c r="B35" s="1"/>
  <c r="F53" i="52"/>
  <c r="E51" i="1"/>
  <c r="A51"/>
  <c r="B34" i="38"/>
  <c r="L51" i="1"/>
  <c r="M50" s="1"/>
  <c r="Z50"/>
  <c r="AL50"/>
  <c r="AC50"/>
  <c r="AM50"/>
  <c r="AI50"/>
  <c r="AH50"/>
  <c r="AJ50"/>
  <c r="V45"/>
  <c r="X45"/>
  <c r="C22" i="55"/>
  <c r="R49" i="1"/>
  <c r="W49"/>
  <c r="AS24" i="55"/>
  <c r="G50" i="53"/>
  <c r="AB44" i="1"/>
  <c r="AE44" s="1"/>
  <c r="AK44" s="1"/>
  <c r="AA44"/>
  <c r="E51" i="53" s="1"/>
  <c r="E33" i="38"/>
  <c r="Z33"/>
  <c r="AA33" s="1"/>
  <c r="D33"/>
  <c r="F33"/>
  <c r="AM33" s="1"/>
  <c r="S48" i="1"/>
  <c r="AF42"/>
  <c r="AD43"/>
  <c r="P50"/>
  <c r="O29" i="38"/>
  <c r="W50" i="1" l="1"/>
  <c r="R50"/>
  <c r="AS25" i="55"/>
  <c r="G51" i="53"/>
  <c r="AB45" i="1"/>
  <c r="AE45" s="1"/>
  <c r="AK45" s="1"/>
  <c r="AA45"/>
  <c r="E52" i="53" s="1"/>
  <c r="E53" i="52"/>
  <c r="BA47" i="1"/>
  <c r="BD47" s="1"/>
  <c r="BE47" s="1"/>
  <c r="T47" s="1"/>
  <c r="U47" s="1"/>
  <c r="BC48"/>
  <c r="AR32" i="38"/>
  <c r="C23" i="55"/>
  <c r="AO33" i="38"/>
  <c r="AP33" s="1"/>
  <c r="AQ33" s="1"/>
  <c r="AN33"/>
  <c r="A36" i="26"/>
  <c r="B36" s="1"/>
  <c r="B35" i="38"/>
  <c r="B53" i="1"/>
  <c r="L52"/>
  <c r="M51" s="1"/>
  <c r="K52"/>
  <c r="N52" s="1"/>
  <c r="A59" i="53"/>
  <c r="B60" s="1"/>
  <c r="E52" i="1"/>
  <c r="C52"/>
  <c r="D52" s="1"/>
  <c r="F54" i="52"/>
  <c r="A52" i="1"/>
  <c r="V39" i="48"/>
  <c r="F39"/>
  <c r="Y39" s="1"/>
  <c r="V46" i="1"/>
  <c r="X46"/>
  <c r="AF43"/>
  <c r="AD44"/>
  <c r="D50" i="53"/>
  <c r="BN24" i="55"/>
  <c r="I50" i="53"/>
  <c r="CI24" i="55" s="1"/>
  <c r="S49" i="1"/>
  <c r="E34" i="38"/>
  <c r="Z34"/>
  <c r="AA34" s="1"/>
  <c r="D34"/>
  <c r="F34"/>
  <c r="AM34" s="1"/>
  <c r="P51" i="1"/>
  <c r="AJ51"/>
  <c r="AC51"/>
  <c r="Z51"/>
  <c r="AI51"/>
  <c r="AM51"/>
  <c r="AL51"/>
  <c r="AH51"/>
  <c r="L52" i="53"/>
  <c r="B29" i="54"/>
  <c r="B41" i="48"/>
  <c r="E40"/>
  <c r="X40" s="1"/>
  <c r="D40"/>
  <c r="W40" s="1"/>
  <c r="C40"/>
  <c r="AS31" i="38"/>
  <c r="AU31" s="1"/>
  <c r="AV31" s="1"/>
  <c r="BA31" s="1"/>
  <c r="BB31" s="1"/>
  <c r="BH31" s="1"/>
  <c r="BJ31" s="1"/>
  <c r="P31" s="1"/>
  <c r="BK31"/>
  <c r="CI23" i="55"/>
  <c r="E54" i="52" l="1"/>
  <c r="F55"/>
  <c r="C53" i="1"/>
  <c r="D53" s="1"/>
  <c r="A53"/>
  <c r="A37" i="26"/>
  <c r="B37" s="1"/>
  <c r="B54" i="1"/>
  <c r="B36" i="38"/>
  <c r="A60" i="53"/>
  <c r="B61" s="1"/>
  <c r="K53" i="1"/>
  <c r="N53" s="1"/>
  <c r="L53"/>
  <c r="M52" s="1"/>
  <c r="E53"/>
  <c r="AR33" i="38"/>
  <c r="V47" i="1"/>
  <c r="X47"/>
  <c r="C41" i="48"/>
  <c r="D41"/>
  <c r="W41" s="1"/>
  <c r="B42"/>
  <c r="E41"/>
  <c r="X41" s="1"/>
  <c r="AO34" i="38"/>
  <c r="AP34" s="1"/>
  <c r="AQ34" s="1"/>
  <c r="AN34"/>
  <c r="AR34" s="1"/>
  <c r="AF44" i="1"/>
  <c r="AD45"/>
  <c r="Z52"/>
  <c r="AH52"/>
  <c r="AM52"/>
  <c r="AJ52"/>
  <c r="AL52"/>
  <c r="AC52"/>
  <c r="AI52"/>
  <c r="E35" i="38"/>
  <c r="F35"/>
  <c r="AM35" s="1"/>
  <c r="D35"/>
  <c r="Z35"/>
  <c r="AA35" s="1"/>
  <c r="AS26" i="55"/>
  <c r="G52" i="53"/>
  <c r="V40" i="48"/>
  <c r="F40"/>
  <c r="Y40" s="1"/>
  <c r="B30" i="54"/>
  <c r="L53" i="53"/>
  <c r="P52" i="1"/>
  <c r="BN25" i="55"/>
  <c r="I51" i="53"/>
  <c r="D51"/>
  <c r="C25" i="55" s="1"/>
  <c r="O31" i="38"/>
  <c r="W51" i="1"/>
  <c r="R51"/>
  <c r="C24" i="55"/>
  <c r="AB46" i="1"/>
  <c r="AE46" s="1"/>
  <c r="AK46" s="1"/>
  <c r="AA46"/>
  <c r="E53" i="53" s="1"/>
  <c r="BK32" i="38"/>
  <c r="AS32"/>
  <c r="AU32" s="1"/>
  <c r="AV32" s="1"/>
  <c r="BA32" s="1"/>
  <c r="BB32" s="1"/>
  <c r="BH32" s="1"/>
  <c r="BJ32" s="1"/>
  <c r="P32" s="1"/>
  <c r="O32" s="1"/>
  <c r="BA48" i="1"/>
  <c r="BD48" s="1"/>
  <c r="BE48" s="1"/>
  <c r="T48" s="1"/>
  <c r="U48" s="1"/>
  <c r="BC49"/>
  <c r="S50"/>
  <c r="V48" l="1"/>
  <c r="X48"/>
  <c r="S51"/>
  <c r="W52"/>
  <c r="R52"/>
  <c r="I52" i="53"/>
  <c r="CI26" i="55" s="1"/>
  <c r="D52" i="53"/>
  <c r="BN26" i="55"/>
  <c r="AO35" i="38"/>
  <c r="AP35" s="1"/>
  <c r="AQ35" s="1"/>
  <c r="AN35"/>
  <c r="V41" i="48"/>
  <c r="F41"/>
  <c r="Y41" s="1"/>
  <c r="BK33" i="38"/>
  <c r="AS33"/>
  <c r="AU33" s="1"/>
  <c r="AV33" s="1"/>
  <c r="BA33" s="1"/>
  <c r="BB33" s="1"/>
  <c r="BH33" s="1"/>
  <c r="BJ33" s="1"/>
  <c r="P33" s="1"/>
  <c r="O33" s="1"/>
  <c r="P53" i="1"/>
  <c r="AS27" i="55"/>
  <c r="G53" i="53"/>
  <c r="AH53" i="1"/>
  <c r="AC53"/>
  <c r="AJ53"/>
  <c r="AL53"/>
  <c r="Z53"/>
  <c r="AI53"/>
  <c r="AM53"/>
  <c r="CI25" i="55"/>
  <c r="B31" i="54"/>
  <c r="L54" i="53"/>
  <c r="B43" i="48"/>
  <c r="D42"/>
  <c r="W42" s="1"/>
  <c r="E42"/>
  <c r="X42" s="1"/>
  <c r="C42"/>
  <c r="AB47" i="1"/>
  <c r="AE47" s="1"/>
  <c r="AK47" s="1"/>
  <c r="AA47"/>
  <c r="E54" i="53" s="1"/>
  <c r="E55" i="52"/>
  <c r="D36" i="38"/>
  <c r="E36"/>
  <c r="F36"/>
  <c r="AM36" s="1"/>
  <c r="Z36"/>
  <c r="AA36" s="1"/>
  <c r="BA49" i="1"/>
  <c r="BD49" s="1"/>
  <c r="BE49" s="1"/>
  <c r="T49" s="1"/>
  <c r="U49" s="1"/>
  <c r="BC50"/>
  <c r="AF45"/>
  <c r="AD46"/>
  <c r="BK34" i="38"/>
  <c r="AS34"/>
  <c r="AU34" s="1"/>
  <c r="AV34" s="1"/>
  <c r="BA34" s="1"/>
  <c r="BB34" s="1"/>
  <c r="BH34" s="1"/>
  <c r="BJ34" s="1"/>
  <c r="P34" s="1"/>
  <c r="O34" s="1"/>
  <c r="E54" i="1"/>
  <c r="A54"/>
  <c r="L54"/>
  <c r="M53" s="1"/>
  <c r="A38" i="26"/>
  <c r="B38" s="1"/>
  <c r="B55" i="1"/>
  <c r="K54"/>
  <c r="N54" s="1"/>
  <c r="B37" i="38"/>
  <c r="F56" i="52"/>
  <c r="A61" i="53"/>
  <c r="B62" s="1"/>
  <c r="C54" i="1"/>
  <c r="D54" s="1"/>
  <c r="AR35" i="38" l="1"/>
  <c r="BK35" s="1"/>
  <c r="P54" i="1"/>
  <c r="AH54"/>
  <c r="AJ54"/>
  <c r="AM54"/>
  <c r="Z54"/>
  <c r="AC54"/>
  <c r="AI54"/>
  <c r="AL54"/>
  <c r="F57" i="52"/>
  <c r="E55" i="1"/>
  <c r="K55"/>
  <c r="N55" s="1"/>
  <c r="B38" i="38"/>
  <c r="A55" i="1"/>
  <c r="B56"/>
  <c r="A62" i="53"/>
  <c r="B63" s="1"/>
  <c r="C55" i="1"/>
  <c r="D55" s="1"/>
  <c r="A39" i="26"/>
  <c r="B39" s="1"/>
  <c r="L55" i="1"/>
  <c r="M54" s="1"/>
  <c r="E56" i="52"/>
  <c r="BA50" i="1"/>
  <c r="BD50" s="1"/>
  <c r="BE50" s="1"/>
  <c r="T50" s="1"/>
  <c r="U50" s="1"/>
  <c r="BC51"/>
  <c r="AO36" i="38"/>
  <c r="AP36" s="1"/>
  <c r="AQ36" s="1"/>
  <c r="AN36"/>
  <c r="AR36" s="1"/>
  <c r="AS28" i="55"/>
  <c r="G54" i="53"/>
  <c r="E43" i="48"/>
  <c r="X43" s="1"/>
  <c r="C43"/>
  <c r="B44"/>
  <c r="D43"/>
  <c r="W43" s="1"/>
  <c r="C26" i="55"/>
  <c r="AB48" i="1"/>
  <c r="AE48" s="1"/>
  <c r="AK48" s="1"/>
  <c r="AA48"/>
  <c r="E55" i="53" s="1"/>
  <c r="AF46" i="1"/>
  <c r="AD47"/>
  <c r="V49"/>
  <c r="X49"/>
  <c r="F42" i="48"/>
  <c r="Y42" s="1"/>
  <c r="V42"/>
  <c r="B32" i="54"/>
  <c r="L55" i="53"/>
  <c r="D53"/>
  <c r="BN27" i="55"/>
  <c r="I53" i="53"/>
  <c r="W53" i="1"/>
  <c r="R53"/>
  <c r="S52"/>
  <c r="E37" i="38"/>
  <c r="Z37"/>
  <c r="AA37" s="1"/>
  <c r="D37"/>
  <c r="F37"/>
  <c r="AM37" s="1"/>
  <c r="AS35" l="1"/>
  <c r="AU35" s="1"/>
  <c r="AV35" s="1"/>
  <c r="BA35" s="1"/>
  <c r="BB35" s="1"/>
  <c r="BH35" s="1"/>
  <c r="BJ35" s="1"/>
  <c r="P35" s="1"/>
  <c r="O35" s="1"/>
  <c r="C27" i="55"/>
  <c r="B33" i="54"/>
  <c r="L56" i="53"/>
  <c r="D44" i="48"/>
  <c r="W44" s="1"/>
  <c r="E44"/>
  <c r="X44" s="1"/>
  <c r="C44"/>
  <c r="B45"/>
  <c r="AS36" i="38"/>
  <c r="AU36" s="1"/>
  <c r="AV36" s="1"/>
  <c r="BA36" s="1"/>
  <c r="BB36" s="1"/>
  <c r="BH36" s="1"/>
  <c r="BJ36" s="1"/>
  <c r="P36" s="1"/>
  <c r="BK36"/>
  <c r="AJ55" i="1"/>
  <c r="AM55"/>
  <c r="AC55"/>
  <c r="AI55"/>
  <c r="Z55"/>
  <c r="AL55"/>
  <c r="AH55"/>
  <c r="S53"/>
  <c r="AF47"/>
  <c r="AD48"/>
  <c r="F43" i="48"/>
  <c r="Y43" s="1"/>
  <c r="V43"/>
  <c r="BN28" i="55"/>
  <c r="D54" i="53"/>
  <c r="I54"/>
  <c r="CI28" i="55" s="1"/>
  <c r="D38" i="38"/>
  <c r="E38"/>
  <c r="Z38"/>
  <c r="AA38" s="1"/>
  <c r="F38"/>
  <c r="AM38" s="1"/>
  <c r="AO37"/>
  <c r="AP37" s="1"/>
  <c r="AQ37" s="1"/>
  <c r="AN37"/>
  <c r="CI27" i="55"/>
  <c r="AB49" i="1"/>
  <c r="AE49" s="1"/>
  <c r="AK49" s="1"/>
  <c r="AA49"/>
  <c r="E56" i="53" s="1"/>
  <c r="BA51" i="1"/>
  <c r="BD51" s="1"/>
  <c r="BE51" s="1"/>
  <c r="T51" s="1"/>
  <c r="U51" s="1"/>
  <c r="BC52"/>
  <c r="P55"/>
  <c r="R54"/>
  <c r="W54"/>
  <c r="AS29" i="55"/>
  <c r="G55" i="53"/>
  <c r="V50" i="1"/>
  <c r="X50"/>
  <c r="F58" i="52"/>
  <c r="A40" i="26"/>
  <c r="B40" s="1"/>
  <c r="A63" i="53"/>
  <c r="B64" s="1"/>
  <c r="E56" i="1"/>
  <c r="C56"/>
  <c r="D56" s="1"/>
  <c r="A56"/>
  <c r="K56"/>
  <c r="N56" s="1"/>
  <c r="B57"/>
  <c r="B39" i="38"/>
  <c r="L56" i="1"/>
  <c r="M55" s="1"/>
  <c r="E57" i="52"/>
  <c r="BN29" i="55" l="1"/>
  <c r="I55" i="53"/>
  <c r="D55"/>
  <c r="AR37" i="38"/>
  <c r="AF48" i="1"/>
  <c r="AD49"/>
  <c r="O36" i="38"/>
  <c r="D45" i="48"/>
  <c r="W45" s="1"/>
  <c r="C45"/>
  <c r="E45"/>
  <c r="X45" s="1"/>
  <c r="B46"/>
  <c r="B34" i="54"/>
  <c r="L57" i="53"/>
  <c r="Z39" i="38"/>
  <c r="AA39" s="1"/>
  <c r="D39"/>
  <c r="E39"/>
  <c r="F39"/>
  <c r="AM39" s="1"/>
  <c r="F59" i="52"/>
  <c r="A41" i="26"/>
  <c r="B41" s="1"/>
  <c r="E57" i="1"/>
  <c r="L57"/>
  <c r="M56" s="1"/>
  <c r="B58"/>
  <c r="A64" i="53"/>
  <c r="B65" s="1"/>
  <c r="C57" i="1"/>
  <c r="D57" s="1"/>
  <c r="A57"/>
  <c r="B40" i="38"/>
  <c r="K57" i="1"/>
  <c r="N57" s="1"/>
  <c r="E58" i="52"/>
  <c r="AB50" i="1"/>
  <c r="AE50" s="1"/>
  <c r="AK50" s="1"/>
  <c r="AA50"/>
  <c r="E57" i="53" s="1"/>
  <c r="S54" i="1"/>
  <c r="R55"/>
  <c r="W55"/>
  <c r="AS30" i="55"/>
  <c r="G56" i="53"/>
  <c r="V44" i="48"/>
  <c r="F44"/>
  <c r="Y44" s="1"/>
  <c r="BA52" i="1"/>
  <c r="BD52" s="1"/>
  <c r="BE52" s="1"/>
  <c r="T52" s="1"/>
  <c r="U52" s="1"/>
  <c r="BC53"/>
  <c r="C28" i="55"/>
  <c r="P56" i="1"/>
  <c r="Z56"/>
  <c r="AM56"/>
  <c r="AL56"/>
  <c r="AI56"/>
  <c r="AC56"/>
  <c r="AH56"/>
  <c r="AJ56"/>
  <c r="V51"/>
  <c r="X51"/>
  <c r="AO38" i="38"/>
  <c r="AP38" s="1"/>
  <c r="AQ38" s="1"/>
  <c r="AN38"/>
  <c r="AR38" s="1"/>
  <c r="R56" i="1" l="1"/>
  <c r="W56"/>
  <c r="E40" i="38"/>
  <c r="D40"/>
  <c r="F40"/>
  <c r="AM40" s="1"/>
  <c r="Z40"/>
  <c r="AA40" s="1"/>
  <c r="B59" i="1"/>
  <c r="B41" i="38"/>
  <c r="F60" i="52"/>
  <c r="C58" i="1"/>
  <c r="D58" s="1"/>
  <c r="A58"/>
  <c r="A65" i="53"/>
  <c r="B66" s="1"/>
  <c r="L58" i="1"/>
  <c r="M57" s="1"/>
  <c r="K58"/>
  <c r="N58" s="1"/>
  <c r="E58"/>
  <c r="A42" i="26"/>
  <c r="B42" s="1"/>
  <c r="AS37" i="38"/>
  <c r="AU37" s="1"/>
  <c r="AV37" s="1"/>
  <c r="BA37" s="1"/>
  <c r="BB37" s="1"/>
  <c r="BH37" s="1"/>
  <c r="BJ37" s="1"/>
  <c r="P37" s="1"/>
  <c r="BK37"/>
  <c r="AB51" i="1"/>
  <c r="AE51" s="1"/>
  <c r="AK51" s="1"/>
  <c r="AA51"/>
  <c r="E58" i="53" s="1"/>
  <c r="AI57" i="1"/>
  <c r="AL57"/>
  <c r="AM57"/>
  <c r="AJ57"/>
  <c r="AH57"/>
  <c r="Z57"/>
  <c r="AC57"/>
  <c r="AO39" i="38"/>
  <c r="AP39" s="1"/>
  <c r="AQ39" s="1"/>
  <c r="AN39"/>
  <c r="L58" i="53"/>
  <c r="B35" i="54"/>
  <c r="D46" i="48"/>
  <c r="W46" s="1"/>
  <c r="C46"/>
  <c r="E46"/>
  <c r="X46" s="1"/>
  <c r="B47"/>
  <c r="AF49" i="1"/>
  <c r="AD50"/>
  <c r="C29" i="55"/>
  <c r="BA53" i="1"/>
  <c r="BD53" s="1"/>
  <c r="BE53" s="1"/>
  <c r="T53" s="1"/>
  <c r="U53" s="1"/>
  <c r="BC54"/>
  <c r="AS31" i="55"/>
  <c r="G57" i="53"/>
  <c r="E59" i="52"/>
  <c r="CI29" i="55"/>
  <c r="AS38" i="38"/>
  <c r="AU38" s="1"/>
  <c r="AV38" s="1"/>
  <c r="BA38" s="1"/>
  <c r="BB38" s="1"/>
  <c r="BH38" s="1"/>
  <c r="BJ38" s="1"/>
  <c r="P38" s="1"/>
  <c r="O38" s="1"/>
  <c r="BK38"/>
  <c r="V52" i="1"/>
  <c r="X52"/>
  <c r="BN30" i="55"/>
  <c r="I56" i="53"/>
  <c r="CI30" i="55" s="1"/>
  <c r="D56" i="53"/>
  <c r="S55" i="1"/>
  <c r="P57"/>
  <c r="F45" i="48"/>
  <c r="Y45" s="1"/>
  <c r="V45"/>
  <c r="BN31" i="55" l="1"/>
  <c r="I57" i="53"/>
  <c r="D57"/>
  <c r="C31" i="55" s="1"/>
  <c r="V53" i="1"/>
  <c r="X53"/>
  <c r="E47" i="48"/>
  <c r="X47" s="1"/>
  <c r="B48"/>
  <c r="C47"/>
  <c r="D47"/>
  <c r="W47" s="1"/>
  <c r="D41" i="38"/>
  <c r="F41"/>
  <c r="AM41" s="1"/>
  <c r="E41"/>
  <c r="Z41"/>
  <c r="AA41" s="1"/>
  <c r="B36" i="54"/>
  <c r="L59" i="53"/>
  <c r="E60" i="52"/>
  <c r="AI58" i="1"/>
  <c r="AM58"/>
  <c r="AH58"/>
  <c r="AJ58"/>
  <c r="AL58"/>
  <c r="Z58"/>
  <c r="AC58"/>
  <c r="A66" i="53"/>
  <c r="B67" s="1"/>
  <c r="A59" i="1"/>
  <c r="B60"/>
  <c r="L59"/>
  <c r="M58" s="1"/>
  <c r="E59"/>
  <c r="C59"/>
  <c r="D59" s="1"/>
  <c r="F61" i="52"/>
  <c r="B42" i="38"/>
  <c r="A43" i="26"/>
  <c r="B43" s="1"/>
  <c r="K59" i="1"/>
  <c r="N59" s="1"/>
  <c r="R57"/>
  <c r="W57"/>
  <c r="AB52"/>
  <c r="AE52" s="1"/>
  <c r="AK52" s="1"/>
  <c r="Y52"/>
  <c r="AA52"/>
  <c r="E59" i="53" s="1"/>
  <c r="AF50" i="1"/>
  <c r="AD51"/>
  <c r="F46" i="48"/>
  <c r="Y46" s="1"/>
  <c r="V46"/>
  <c r="AR39" i="38"/>
  <c r="O37"/>
  <c r="P58" i="1"/>
  <c r="C30" i="55"/>
  <c r="BA54" i="1"/>
  <c r="BD54" s="1"/>
  <c r="BE54" s="1"/>
  <c r="T54" s="1"/>
  <c r="U54" s="1"/>
  <c r="BC55"/>
  <c r="AS32" i="55"/>
  <c r="G58" i="53"/>
  <c r="AO40" i="38"/>
  <c r="AP40" s="1"/>
  <c r="AQ40" s="1"/>
  <c r="AN40"/>
  <c r="S56" i="1"/>
  <c r="D58" i="53" l="1"/>
  <c r="I58"/>
  <c r="BN32" i="55"/>
  <c r="BA55" i="1"/>
  <c r="BD55" s="1"/>
  <c r="BE55" s="1"/>
  <c r="T55" s="1"/>
  <c r="U55" s="1"/>
  <c r="BC56"/>
  <c r="W58"/>
  <c r="R58"/>
  <c r="P59"/>
  <c r="Z59"/>
  <c r="AJ59"/>
  <c r="AH59"/>
  <c r="AC59"/>
  <c r="AL59"/>
  <c r="AI59"/>
  <c r="AM59"/>
  <c r="C48" i="48"/>
  <c r="E48"/>
  <c r="X48" s="1"/>
  <c r="B49"/>
  <c r="D48"/>
  <c r="W48" s="1"/>
  <c r="CI31" i="55"/>
  <c r="AR40" i="38"/>
  <c r="V54" i="1"/>
  <c r="X54"/>
  <c r="E61" i="52"/>
  <c r="B37" i="54"/>
  <c r="L60" i="53"/>
  <c r="AO41" i="38"/>
  <c r="AP41" s="1"/>
  <c r="AQ41" s="1"/>
  <c r="AN41"/>
  <c r="AF51" i="1"/>
  <c r="AD52"/>
  <c r="D42" i="38"/>
  <c r="Z42"/>
  <c r="AA42" s="1"/>
  <c r="E42"/>
  <c r="F42"/>
  <c r="AM42" s="1"/>
  <c r="AS39"/>
  <c r="AU39" s="1"/>
  <c r="AV39" s="1"/>
  <c r="BA39" s="1"/>
  <c r="BB39" s="1"/>
  <c r="BH39" s="1"/>
  <c r="BJ39" s="1"/>
  <c r="P39" s="1"/>
  <c r="BK39"/>
  <c r="AS33" i="55"/>
  <c r="AS35" s="1"/>
  <c r="G59" i="53"/>
  <c r="S57" i="1"/>
  <c r="A44" i="26"/>
  <c r="B44" s="1"/>
  <c r="K60" i="1"/>
  <c r="N60" s="1"/>
  <c r="A60"/>
  <c r="F62" i="52"/>
  <c r="B43" i="38"/>
  <c r="L60" i="1"/>
  <c r="M59" s="1"/>
  <c r="A67" i="53"/>
  <c r="B68" s="1"/>
  <c r="B61" i="1"/>
  <c r="C60"/>
  <c r="D60" s="1"/>
  <c r="E60"/>
  <c r="V47" i="48"/>
  <c r="F47"/>
  <c r="Y47" s="1"/>
  <c r="AB53" i="1"/>
  <c r="AE53" s="1"/>
  <c r="AK53" s="1"/>
  <c r="AA53"/>
  <c r="E60" i="53" s="1"/>
  <c r="G60" l="1"/>
  <c r="AT3" i="55"/>
  <c r="E62" i="52"/>
  <c r="P60" i="1"/>
  <c r="BN33" i="55"/>
  <c r="BN35" s="1"/>
  <c r="D59" i="53"/>
  <c r="I59"/>
  <c r="AR41" i="38"/>
  <c r="BK40"/>
  <c r="AS40"/>
  <c r="AU40" s="1"/>
  <c r="AV40" s="1"/>
  <c r="BA40" s="1"/>
  <c r="BB40" s="1"/>
  <c r="BH40" s="1"/>
  <c r="BJ40" s="1"/>
  <c r="P40" s="1"/>
  <c r="O40" s="1"/>
  <c r="F48" i="48"/>
  <c r="Y48" s="1"/>
  <c r="V48"/>
  <c r="W59" i="1"/>
  <c r="R59"/>
  <c r="BA56"/>
  <c r="BD56" s="1"/>
  <c r="BE56" s="1"/>
  <c r="T56" s="1"/>
  <c r="U56" s="1"/>
  <c r="BC57"/>
  <c r="CI32" i="55"/>
  <c r="E43" i="38"/>
  <c r="D43"/>
  <c r="F43"/>
  <c r="AM43" s="1"/>
  <c r="Z43"/>
  <c r="AA43" s="1"/>
  <c r="O39"/>
  <c r="B38" i="54"/>
  <c r="L61" i="53"/>
  <c r="AB54" i="1"/>
  <c r="AE54" s="1"/>
  <c r="AK54" s="1"/>
  <c r="AA54"/>
  <c r="E61" i="53" s="1"/>
  <c r="V55" i="1"/>
  <c r="X55"/>
  <c r="C32" i="55"/>
  <c r="L61" i="1"/>
  <c r="M60" s="1"/>
  <c r="K61"/>
  <c r="N61" s="1"/>
  <c r="F63" i="52"/>
  <c r="E61" i="1"/>
  <c r="A61"/>
  <c r="C61"/>
  <c r="D61" s="1"/>
  <c r="A68" i="53"/>
  <c r="B69" s="1"/>
  <c r="A45" i="26"/>
  <c r="B45" s="1"/>
  <c r="B44" i="38"/>
  <c r="B62" i="1"/>
  <c r="AN42" i="38"/>
  <c r="AO42"/>
  <c r="AP42" s="1"/>
  <c r="AQ42" s="1"/>
  <c r="B50" i="48"/>
  <c r="C49"/>
  <c r="D49"/>
  <c r="W49" s="1"/>
  <c r="E49"/>
  <c r="X49" s="1"/>
  <c r="S58" i="1"/>
  <c r="AH60"/>
  <c r="AI60"/>
  <c r="AM60"/>
  <c r="Z60"/>
  <c r="AL60"/>
  <c r="AJ60"/>
  <c r="AC60"/>
  <c r="AF52"/>
  <c r="AD53"/>
  <c r="F64" i="52" l="1"/>
  <c r="A46" i="26"/>
  <c r="B46" s="1"/>
  <c r="E62" i="1"/>
  <c r="C62"/>
  <c r="D62" s="1"/>
  <c r="K62"/>
  <c r="N62" s="1"/>
  <c r="B45" i="38"/>
  <c r="B63" i="1"/>
  <c r="L62"/>
  <c r="M61" s="1"/>
  <c r="A69" i="53"/>
  <c r="B70" s="1"/>
  <c r="A62" i="1"/>
  <c r="P61"/>
  <c r="AB55"/>
  <c r="AE55" s="1"/>
  <c r="AK55" s="1"/>
  <c r="AA55"/>
  <c r="E62" i="53" s="1"/>
  <c r="AO43" i="38"/>
  <c r="AP43" s="1"/>
  <c r="AQ43" s="1"/>
  <c r="AN43"/>
  <c r="V56" i="1"/>
  <c r="X56"/>
  <c r="CI33" i="55"/>
  <c r="D60" i="53"/>
  <c r="BO3" i="55"/>
  <c r="I60" i="53"/>
  <c r="V49" i="48"/>
  <c r="F49"/>
  <c r="Y49" s="1"/>
  <c r="AR42" i="38"/>
  <c r="Z44"/>
  <c r="AA44" s="1"/>
  <c r="F44"/>
  <c r="AM44" s="1"/>
  <c r="D44"/>
  <c r="E44"/>
  <c r="AJ61" i="1"/>
  <c r="AC61"/>
  <c r="AM61"/>
  <c r="AL61"/>
  <c r="Z61"/>
  <c r="AI61"/>
  <c r="AH61"/>
  <c r="B39" i="54"/>
  <c r="L62" i="53"/>
  <c r="AS41" i="38"/>
  <c r="AU41" s="1"/>
  <c r="AV41" s="1"/>
  <c r="BA41" s="1"/>
  <c r="BB41" s="1"/>
  <c r="BH41" s="1"/>
  <c r="BJ41" s="1"/>
  <c r="P41" s="1"/>
  <c r="BK41"/>
  <c r="C33" i="55"/>
  <c r="C35" s="1"/>
  <c r="E50" i="48"/>
  <c r="X50" s="1"/>
  <c r="D50"/>
  <c r="W50" s="1"/>
  <c r="B51"/>
  <c r="C50"/>
  <c r="E63" i="52"/>
  <c r="S59" i="1"/>
  <c r="AF53"/>
  <c r="AD54"/>
  <c r="AT4" i="55"/>
  <c r="G61" i="53"/>
  <c r="BA57" i="1"/>
  <c r="BD57" s="1"/>
  <c r="BE57" s="1"/>
  <c r="T57" s="1"/>
  <c r="U57" s="1"/>
  <c r="BC58"/>
  <c r="R60"/>
  <c r="W60"/>
  <c r="AF54" l="1"/>
  <c r="AD55"/>
  <c r="E51" i="48"/>
  <c r="X51" s="1"/>
  <c r="C51"/>
  <c r="B52"/>
  <c r="D51"/>
  <c r="W51" s="1"/>
  <c r="AN44" i="38"/>
  <c r="AO44"/>
  <c r="AP44" s="1"/>
  <c r="AQ44" s="1"/>
  <c r="CJ3" i="55"/>
  <c r="AR43" i="38"/>
  <c r="P62" i="1"/>
  <c r="AT5" i="55"/>
  <c r="G62" i="53"/>
  <c r="R61" i="1"/>
  <c r="W61"/>
  <c r="BA58"/>
  <c r="BD58" s="1"/>
  <c r="BE58" s="1"/>
  <c r="T58" s="1"/>
  <c r="U58" s="1"/>
  <c r="BC59"/>
  <c r="D3" i="55"/>
  <c r="AB56" i="1"/>
  <c r="AE56" s="1"/>
  <c r="AK56" s="1"/>
  <c r="AA56"/>
  <c r="E63" i="53" s="1"/>
  <c r="F65" i="52"/>
  <c r="A70" i="53"/>
  <c r="B71" s="1"/>
  <c r="B46" i="38"/>
  <c r="A63" i="1"/>
  <c r="E63"/>
  <c r="B64"/>
  <c r="C63"/>
  <c r="D63" s="1"/>
  <c r="A47" i="26"/>
  <c r="B47" s="1"/>
  <c r="K63" i="1"/>
  <c r="N63" s="1"/>
  <c r="L63"/>
  <c r="M62" s="1"/>
  <c r="E64" i="52"/>
  <c r="S60" i="1"/>
  <c r="V57"/>
  <c r="X57"/>
  <c r="I61" i="53"/>
  <c r="CJ4" i="55" s="1"/>
  <c r="BO4"/>
  <c r="D61" i="53"/>
  <c r="F50" i="48"/>
  <c r="Y50" s="1"/>
  <c r="V50"/>
  <c r="O41" i="38"/>
  <c r="L63" i="53"/>
  <c r="B40" i="54"/>
  <c r="BK42" i="38"/>
  <c r="AS42"/>
  <c r="AU42" s="1"/>
  <c r="AV42" s="1"/>
  <c r="BA42" s="1"/>
  <c r="BB42" s="1"/>
  <c r="BH42" s="1"/>
  <c r="BJ42" s="1"/>
  <c r="P42" s="1"/>
  <c r="O42" s="1"/>
  <c r="AH62" i="1"/>
  <c r="AJ62"/>
  <c r="AL62"/>
  <c r="Z62"/>
  <c r="AI62"/>
  <c r="AM62"/>
  <c r="AC62"/>
  <c r="E45" i="38"/>
  <c r="D45"/>
  <c r="Z45"/>
  <c r="AA45" s="1"/>
  <c r="F45"/>
  <c r="AM45" s="1"/>
  <c r="D4" i="55" l="1"/>
  <c r="AC63" i="1"/>
  <c r="AL63"/>
  <c r="AI63"/>
  <c r="AH63"/>
  <c r="Z63"/>
  <c r="AJ63"/>
  <c r="AM63"/>
  <c r="AT6" i="55"/>
  <c r="G63" i="53"/>
  <c r="BA59" i="1"/>
  <c r="BD59" s="1"/>
  <c r="BE59" s="1"/>
  <c r="T59" s="1"/>
  <c r="U59" s="1"/>
  <c r="BC60"/>
  <c r="S61"/>
  <c r="B53" i="48"/>
  <c r="E52"/>
  <c r="X52" s="1"/>
  <c r="C52"/>
  <c r="D52"/>
  <c r="W52" s="1"/>
  <c r="E46" i="38"/>
  <c r="D46"/>
  <c r="F46"/>
  <c r="AM46" s="1"/>
  <c r="Z46"/>
  <c r="AA46" s="1"/>
  <c r="V58" i="1"/>
  <c r="X58"/>
  <c r="BO5" i="55"/>
  <c r="D62" i="53"/>
  <c r="D5" i="55" s="1"/>
  <c r="I62" i="53"/>
  <c r="R62" i="1"/>
  <c r="W62"/>
  <c r="V51" i="48"/>
  <c r="F51"/>
  <c r="Y51" s="1"/>
  <c r="AO45" i="38"/>
  <c r="AP45" s="1"/>
  <c r="AQ45" s="1"/>
  <c r="AN45"/>
  <c r="F66" i="52"/>
  <c r="C64" i="1"/>
  <c r="D64" s="1"/>
  <c r="L64"/>
  <c r="M63" s="1"/>
  <c r="A64"/>
  <c r="K64"/>
  <c r="N64" s="1"/>
  <c r="B65"/>
  <c r="B47" i="38"/>
  <c r="E64" i="1"/>
  <c r="A71" i="53"/>
  <c r="B72" s="1"/>
  <c r="A48" i="26"/>
  <c r="B48" s="1"/>
  <c r="B41" i="54"/>
  <c r="L64" i="53"/>
  <c r="AB57" i="1"/>
  <c r="AE57" s="1"/>
  <c r="AK57" s="1"/>
  <c r="AA57"/>
  <c r="E64" i="53" s="1"/>
  <c r="P63" i="1"/>
  <c r="E65" i="52"/>
  <c r="AS43" i="38"/>
  <c r="AU43" s="1"/>
  <c r="AV43" s="1"/>
  <c r="BA43" s="1"/>
  <c r="BB43" s="1"/>
  <c r="BH43" s="1"/>
  <c r="BJ43" s="1"/>
  <c r="P43" s="1"/>
  <c r="O43" s="1"/>
  <c r="BK43"/>
  <c r="AR44"/>
  <c r="AF55" i="1"/>
  <c r="AD56"/>
  <c r="AF56" l="1"/>
  <c r="AD57"/>
  <c r="E66" i="52"/>
  <c r="AL64" i="1"/>
  <c r="AJ64"/>
  <c r="AI64"/>
  <c r="AH64"/>
  <c r="AC64"/>
  <c r="AM64"/>
  <c r="Z64"/>
  <c r="S62"/>
  <c r="CJ5" i="55"/>
  <c r="AN46" i="38"/>
  <c r="AO46"/>
  <c r="AP46" s="1"/>
  <c r="AQ46" s="1"/>
  <c r="BA60" i="1"/>
  <c r="BD60" s="1"/>
  <c r="BE60" s="1"/>
  <c r="T60" s="1"/>
  <c r="U60" s="1"/>
  <c r="BC61"/>
  <c r="I63" i="53"/>
  <c r="BO6" i="55"/>
  <c r="D63" i="53"/>
  <c r="BK44" i="38"/>
  <c r="AS44"/>
  <c r="AU44" s="1"/>
  <c r="AV44" s="1"/>
  <c r="BA44" s="1"/>
  <c r="BB44" s="1"/>
  <c r="BH44" s="1"/>
  <c r="BJ44" s="1"/>
  <c r="P44" s="1"/>
  <c r="O44" s="1"/>
  <c r="R63" i="1"/>
  <c r="W63"/>
  <c r="E47" i="38"/>
  <c r="D47"/>
  <c r="Z47"/>
  <c r="AA47" s="1"/>
  <c r="F47"/>
  <c r="AM47" s="1"/>
  <c r="E53" i="48"/>
  <c r="X53" s="1"/>
  <c r="D53"/>
  <c r="W53" s="1"/>
  <c r="B54"/>
  <c r="C53"/>
  <c r="V59" i="1"/>
  <c r="X59"/>
  <c r="AT7" i="55"/>
  <c r="G64" i="53"/>
  <c r="C65" i="1"/>
  <c r="D65" s="1"/>
  <c r="A49" i="26"/>
  <c r="B49" s="1"/>
  <c r="E65" i="1"/>
  <c r="L65"/>
  <c r="M64" s="1"/>
  <c r="B66"/>
  <c r="F67" i="52"/>
  <c r="A72" i="53"/>
  <c r="B73" s="1"/>
  <c r="K65" i="1"/>
  <c r="N65" s="1"/>
  <c r="B48" i="38"/>
  <c r="A65" i="1"/>
  <c r="AR45" i="38"/>
  <c r="L65" i="53"/>
  <c r="B42" i="54"/>
  <c r="P64" i="1"/>
  <c r="AB58"/>
  <c r="AE58" s="1"/>
  <c r="AK58" s="1"/>
  <c r="AA58"/>
  <c r="E65" i="53" s="1"/>
  <c r="F52" i="48"/>
  <c r="Y52" s="1"/>
  <c r="V52"/>
  <c r="AT8" i="55" l="1"/>
  <c r="G65" i="53"/>
  <c r="D48" i="38"/>
  <c r="F48"/>
  <c r="AM48" s="1"/>
  <c r="Z48"/>
  <c r="AA48" s="1"/>
  <c r="E48"/>
  <c r="A50" i="26"/>
  <c r="B50" s="1"/>
  <c r="E66" i="1"/>
  <c r="F68" i="52"/>
  <c r="C66" i="1"/>
  <c r="D66" s="1"/>
  <c r="L66"/>
  <c r="M65" s="1"/>
  <c r="A73" i="53"/>
  <c r="B74" s="1"/>
  <c r="K66" i="1"/>
  <c r="N66" s="1"/>
  <c r="B67"/>
  <c r="B49" i="38"/>
  <c r="A66" i="1"/>
  <c r="BO7" i="55"/>
  <c r="I64" i="53"/>
  <c r="D64"/>
  <c r="AF57" i="1"/>
  <c r="AD58"/>
  <c r="BK45" i="38"/>
  <c r="AS45"/>
  <c r="AU45" s="1"/>
  <c r="AV45" s="1"/>
  <c r="BA45" s="1"/>
  <c r="BB45" s="1"/>
  <c r="BH45" s="1"/>
  <c r="BJ45" s="1"/>
  <c r="P45" s="1"/>
  <c r="P65" i="1"/>
  <c r="F53" i="48"/>
  <c r="Y53" s="1"/>
  <c r="V53"/>
  <c r="D6" i="55"/>
  <c r="AR46" i="38"/>
  <c r="R64" i="1"/>
  <c r="W64"/>
  <c r="E67" i="52"/>
  <c r="D54" i="48"/>
  <c r="W54" s="1"/>
  <c r="C54"/>
  <c r="E54"/>
  <c r="X54" s="1"/>
  <c r="B55"/>
  <c r="AO47" i="38"/>
  <c r="AP47" s="1"/>
  <c r="AQ47" s="1"/>
  <c r="AN47"/>
  <c r="S63" i="1"/>
  <c r="BA61"/>
  <c r="BD61" s="1"/>
  <c r="BE61" s="1"/>
  <c r="T61" s="1"/>
  <c r="U61" s="1"/>
  <c r="BC62"/>
  <c r="B43" i="54"/>
  <c r="L66" i="53"/>
  <c r="AH65" i="1"/>
  <c r="AM65"/>
  <c r="AJ65"/>
  <c r="Z65"/>
  <c r="AL65"/>
  <c r="AC65"/>
  <c r="AI65"/>
  <c r="AB59"/>
  <c r="AE59" s="1"/>
  <c r="AK59" s="1"/>
  <c r="AA59"/>
  <c r="E66" i="53" s="1"/>
  <c r="CJ6" i="55"/>
  <c r="V60" i="1"/>
  <c r="X60"/>
  <c r="AR47" i="38" l="1"/>
  <c r="BK47" s="1"/>
  <c r="AL66" i="1"/>
  <c r="AM66"/>
  <c r="AC66"/>
  <c r="AI66"/>
  <c r="AH66"/>
  <c r="Z66"/>
  <c r="AJ66"/>
  <c r="E68" i="52"/>
  <c r="AN48" i="38"/>
  <c r="AR48" s="1"/>
  <c r="AO48"/>
  <c r="AP48" s="1"/>
  <c r="AQ48" s="1"/>
  <c r="BA62" i="1"/>
  <c r="BD62" s="1"/>
  <c r="BE62" s="1"/>
  <c r="T62" s="1"/>
  <c r="U62" s="1"/>
  <c r="BC63"/>
  <c r="D55" i="48"/>
  <c r="W55" s="1"/>
  <c r="E55"/>
  <c r="X55" s="1"/>
  <c r="B56"/>
  <c r="C55"/>
  <c r="AS46" i="38"/>
  <c r="AU46" s="1"/>
  <c r="AV46" s="1"/>
  <c r="BA46" s="1"/>
  <c r="BB46" s="1"/>
  <c r="BH46" s="1"/>
  <c r="BJ46" s="1"/>
  <c r="P46" s="1"/>
  <c r="BK46"/>
  <c r="D7" i="55"/>
  <c r="E49" i="38"/>
  <c r="F49"/>
  <c r="AM49" s="1"/>
  <c r="Z49"/>
  <c r="AA49" s="1"/>
  <c r="D49"/>
  <c r="BO8" i="55"/>
  <c r="D65" i="53"/>
  <c r="I65"/>
  <c r="AT9" i="55"/>
  <c r="G66" i="53"/>
  <c r="L67"/>
  <c r="B44" i="54"/>
  <c r="V61" i="1"/>
  <c r="X61"/>
  <c r="O45" i="38"/>
  <c r="CJ7" i="55"/>
  <c r="A74" i="53"/>
  <c r="B75" s="1"/>
  <c r="A67" i="1"/>
  <c r="B50" i="38"/>
  <c r="L67" i="1"/>
  <c r="M66" s="1"/>
  <c r="C67"/>
  <c r="D67" s="1"/>
  <c r="E67"/>
  <c r="K67"/>
  <c r="N67" s="1"/>
  <c r="F69" i="52"/>
  <c r="A51" i="26"/>
  <c r="B51" s="1"/>
  <c r="B68" i="1"/>
  <c r="AB60"/>
  <c r="AE60" s="1"/>
  <c r="AK60" s="1"/>
  <c r="AA60"/>
  <c r="E67" i="53" s="1"/>
  <c r="V54" i="48"/>
  <c r="F54"/>
  <c r="Y54" s="1"/>
  <c r="S64" i="1"/>
  <c r="W65"/>
  <c r="R65"/>
  <c r="AF58"/>
  <c r="AD59"/>
  <c r="P66"/>
  <c r="AS47" i="38" l="1"/>
  <c r="AU47" s="1"/>
  <c r="AV47" s="1"/>
  <c r="BA47" s="1"/>
  <c r="BB47" s="1"/>
  <c r="BH47" s="1"/>
  <c r="BJ47" s="1"/>
  <c r="P47" s="1"/>
  <c r="O47" s="1"/>
  <c r="W66" i="1"/>
  <c r="R66"/>
  <c r="AF59"/>
  <c r="AD60"/>
  <c r="S65"/>
  <c r="D8" i="55"/>
  <c r="AO49" i="38"/>
  <c r="AP49" s="1"/>
  <c r="AQ49" s="1"/>
  <c r="AN49"/>
  <c r="O46"/>
  <c r="F55" i="48"/>
  <c r="Y55" s="1"/>
  <c r="V55"/>
  <c r="P67" i="1"/>
  <c r="E50" i="38"/>
  <c r="Z50"/>
  <c r="AA50" s="1"/>
  <c r="F50"/>
  <c r="AM50" s="1"/>
  <c r="D50"/>
  <c r="C56" i="48"/>
  <c r="E56"/>
  <c r="X56" s="1"/>
  <c r="B57"/>
  <c r="D56"/>
  <c r="W56" s="1"/>
  <c r="F70" i="52"/>
  <c r="K68" i="1"/>
  <c r="N68" s="1"/>
  <c r="B69"/>
  <c r="A68"/>
  <c r="C68"/>
  <c r="D68" s="1"/>
  <c r="A75" i="53"/>
  <c r="B76" s="1"/>
  <c r="A52" i="26"/>
  <c r="B52" s="1"/>
  <c r="B51" i="38"/>
  <c r="L68" i="1"/>
  <c r="M67" s="1"/>
  <c r="E68"/>
  <c r="E69" i="52"/>
  <c r="AJ67" i="1"/>
  <c r="Z67"/>
  <c r="AC67"/>
  <c r="AM67"/>
  <c r="AL67"/>
  <c r="AH67"/>
  <c r="AI67"/>
  <c r="L68" i="53"/>
  <c r="B45" i="54"/>
  <c r="D66" i="53"/>
  <c r="I66"/>
  <c r="BO9" i="55"/>
  <c r="BA63" i="1"/>
  <c r="BD63" s="1"/>
  <c r="BE63" s="1"/>
  <c r="T63" s="1"/>
  <c r="U63" s="1"/>
  <c r="BC64"/>
  <c r="AS48" i="38"/>
  <c r="AU48" s="1"/>
  <c r="AV48" s="1"/>
  <c r="BA48" s="1"/>
  <c r="BB48" s="1"/>
  <c r="BH48" s="1"/>
  <c r="BJ48" s="1"/>
  <c r="P48" s="1"/>
  <c r="BK48"/>
  <c r="AT10" i="55"/>
  <c r="G67" i="53"/>
  <c r="AB61" i="1"/>
  <c r="AE61" s="1"/>
  <c r="AK61" s="1"/>
  <c r="AA61"/>
  <c r="E68" i="53" s="1"/>
  <c r="CJ8" i="55"/>
  <c r="V62" i="1"/>
  <c r="X62"/>
  <c r="AT11" i="55" l="1"/>
  <c r="G68" i="53"/>
  <c r="BA64" i="1"/>
  <c r="BD64" s="1"/>
  <c r="BE64" s="1"/>
  <c r="T64" s="1"/>
  <c r="U64" s="1"/>
  <c r="BC65"/>
  <c r="E57" i="48"/>
  <c r="X57" s="1"/>
  <c r="C57"/>
  <c r="D57"/>
  <c r="W57" s="1"/>
  <c r="B58"/>
  <c r="R67" i="1"/>
  <c r="W67"/>
  <c r="AR49" i="38"/>
  <c r="AB62" i="1"/>
  <c r="AE62" s="1"/>
  <c r="AK62" s="1"/>
  <c r="AA62"/>
  <c r="E69" i="53" s="1"/>
  <c r="O48" i="38"/>
  <c r="V63" i="1"/>
  <c r="X63"/>
  <c r="CJ9" i="55"/>
  <c r="E51" i="38"/>
  <c r="D51"/>
  <c r="Z51"/>
  <c r="AA51" s="1"/>
  <c r="F51"/>
  <c r="AM51" s="1"/>
  <c r="AI68" i="1"/>
  <c r="AJ68"/>
  <c r="AL68"/>
  <c r="AH68"/>
  <c r="AC68"/>
  <c r="AM68"/>
  <c r="Z68"/>
  <c r="AF60"/>
  <c r="AD61"/>
  <c r="D9" i="55"/>
  <c r="B46" i="54"/>
  <c r="L69" i="53"/>
  <c r="A53" i="26"/>
  <c r="B53" s="1"/>
  <c r="L69" i="1"/>
  <c r="M68" s="1"/>
  <c r="B52" i="38"/>
  <c r="C69" i="1"/>
  <c r="D69" s="1"/>
  <c r="A76" i="53"/>
  <c r="B77" s="1"/>
  <c r="A69" i="1"/>
  <c r="F71" i="52"/>
  <c r="E69" i="1"/>
  <c r="K69"/>
  <c r="N69" s="1"/>
  <c r="B70"/>
  <c r="F56" i="48"/>
  <c r="Y56" s="1"/>
  <c r="V56"/>
  <c r="BO10" i="55"/>
  <c r="I67" i="53"/>
  <c r="D67"/>
  <c r="E70" i="52"/>
  <c r="P68" i="1"/>
  <c r="AN50" i="38"/>
  <c r="AO50"/>
  <c r="AP50" s="1"/>
  <c r="AQ50" s="1"/>
  <c r="S66" i="1"/>
  <c r="P69" l="1"/>
  <c r="R68"/>
  <c r="W68"/>
  <c r="E71" i="52"/>
  <c r="AS49" i="38"/>
  <c r="AU49" s="1"/>
  <c r="AV49" s="1"/>
  <c r="BA49" s="1"/>
  <c r="BB49" s="1"/>
  <c r="BH49" s="1"/>
  <c r="BJ49" s="1"/>
  <c r="P49" s="1"/>
  <c r="BK49"/>
  <c r="E58" i="48"/>
  <c r="X58" s="1"/>
  <c r="B59"/>
  <c r="D58"/>
  <c r="W58" s="1"/>
  <c r="C58"/>
  <c r="D10" i="55"/>
  <c r="AR50" i="38"/>
  <c r="D52"/>
  <c r="E52"/>
  <c r="F52"/>
  <c r="AM52" s="1"/>
  <c r="Z52"/>
  <c r="AA52" s="1"/>
  <c r="B47" i="54"/>
  <c r="L70" i="53"/>
  <c r="AF61" i="1"/>
  <c r="AD62"/>
  <c r="AT12" i="55"/>
  <c r="G69" i="53"/>
  <c r="BA65" i="1"/>
  <c r="BD65" s="1"/>
  <c r="BE65" s="1"/>
  <c r="T65" s="1"/>
  <c r="U65" s="1"/>
  <c r="BC66"/>
  <c r="CJ10" i="55"/>
  <c r="A77" i="53"/>
  <c r="B78" s="1"/>
  <c r="A70" i="1"/>
  <c r="B71"/>
  <c r="L70"/>
  <c r="M69" s="1"/>
  <c r="A54" i="26"/>
  <c r="B54" s="1"/>
  <c r="K70" i="1"/>
  <c r="N70" s="1"/>
  <c r="F72" i="52"/>
  <c r="C70" i="1"/>
  <c r="D70" s="1"/>
  <c r="E70"/>
  <c r="B53" i="38"/>
  <c r="AI69" i="1"/>
  <c r="AJ69"/>
  <c r="AL69"/>
  <c r="AM69"/>
  <c r="AC69"/>
  <c r="Z69"/>
  <c r="AH69"/>
  <c r="AN51" i="38"/>
  <c r="AO51"/>
  <c r="AP51" s="1"/>
  <c r="AQ51" s="1"/>
  <c r="AB63" i="1"/>
  <c r="AE63" s="1"/>
  <c r="AK63" s="1"/>
  <c r="AA63"/>
  <c r="E70" i="53" s="1"/>
  <c r="V57" i="48"/>
  <c r="F57"/>
  <c r="Y57" s="1"/>
  <c r="V64" i="1"/>
  <c r="X64"/>
  <c r="S67"/>
  <c r="BO11" i="55"/>
  <c r="I68" i="53"/>
  <c r="D68"/>
  <c r="D11" i="55" l="1"/>
  <c r="AB64" i="1"/>
  <c r="AE64" s="1"/>
  <c r="AK64" s="1"/>
  <c r="AA64"/>
  <c r="E71" i="53" s="1"/>
  <c r="O49" i="38"/>
  <c r="CJ11" i="55"/>
  <c r="C71" i="1"/>
  <c r="D71" s="1"/>
  <c r="A55" i="26"/>
  <c r="B55" s="1"/>
  <c r="A78" i="53"/>
  <c r="B79" s="1"/>
  <c r="K71" i="1"/>
  <c r="N71" s="1"/>
  <c r="E71"/>
  <c r="L71"/>
  <c r="M70" s="1"/>
  <c r="A71"/>
  <c r="B54" i="38"/>
  <c r="F73" i="52"/>
  <c r="B72" i="1"/>
  <c r="BA66"/>
  <c r="BD66" s="1"/>
  <c r="BE66" s="1"/>
  <c r="T66" s="1"/>
  <c r="U66" s="1"/>
  <c r="BC67"/>
  <c r="BO12" i="55"/>
  <c r="D69" i="53"/>
  <c r="I69"/>
  <c r="CJ12" i="55" s="1"/>
  <c r="AN52" i="38"/>
  <c r="AO52"/>
  <c r="AP52" s="1"/>
  <c r="AQ52" s="1"/>
  <c r="F58" i="48"/>
  <c r="Y58" s="1"/>
  <c r="V58"/>
  <c r="S68" i="1"/>
  <c r="AR51" i="38"/>
  <c r="F53"/>
  <c r="AM53" s="1"/>
  <c r="D53"/>
  <c r="E53"/>
  <c r="Z53"/>
  <c r="AA53" s="1"/>
  <c r="P70" i="1"/>
  <c r="AL70"/>
  <c r="AM70"/>
  <c r="Z70"/>
  <c r="AI70"/>
  <c r="AH70"/>
  <c r="AJ70"/>
  <c r="AC70"/>
  <c r="V65"/>
  <c r="X65"/>
  <c r="L71" i="53"/>
  <c r="B48" i="54"/>
  <c r="BK50" i="38"/>
  <c r="AS50"/>
  <c r="AU50" s="1"/>
  <c r="AV50" s="1"/>
  <c r="BA50" s="1"/>
  <c r="BB50" s="1"/>
  <c r="BH50" s="1"/>
  <c r="BJ50" s="1"/>
  <c r="P50" s="1"/>
  <c r="O50" s="1"/>
  <c r="W69" i="1"/>
  <c r="R69"/>
  <c r="AT13" i="55"/>
  <c r="G70" i="53"/>
  <c r="E72" i="52"/>
  <c r="AF62" i="1"/>
  <c r="AD63"/>
  <c r="B60" i="48"/>
  <c r="C59"/>
  <c r="E59"/>
  <c r="X59" s="1"/>
  <c r="D59"/>
  <c r="W59" s="1"/>
  <c r="AR52" i="38" l="1"/>
  <c r="AS52" s="1"/>
  <c r="AU52" s="1"/>
  <c r="AV52" s="1"/>
  <c r="BA52" s="1"/>
  <c r="BB52" s="1"/>
  <c r="BH52" s="1"/>
  <c r="BJ52" s="1"/>
  <c r="P52" s="1"/>
  <c r="O52" s="1"/>
  <c r="D60" i="48"/>
  <c r="W60" s="1"/>
  <c r="B61"/>
  <c r="C60"/>
  <c r="E60"/>
  <c r="X60" s="1"/>
  <c r="E54" i="38"/>
  <c r="D54"/>
  <c r="Z54"/>
  <c r="AA54" s="1"/>
  <c r="F54"/>
  <c r="AM54" s="1"/>
  <c r="P71" i="1"/>
  <c r="AO53" i="38"/>
  <c r="AP53" s="1"/>
  <c r="AQ53" s="1"/>
  <c r="AN53"/>
  <c r="AR53" s="1"/>
  <c r="AH71" i="1"/>
  <c r="AJ71"/>
  <c r="AC71"/>
  <c r="Z71"/>
  <c r="AM71"/>
  <c r="AL71"/>
  <c r="AI71"/>
  <c r="AT14" i="55"/>
  <c r="G71" i="53"/>
  <c r="S69" i="1"/>
  <c r="BA67"/>
  <c r="BD67" s="1"/>
  <c r="BE67" s="1"/>
  <c r="T67" s="1"/>
  <c r="U67" s="1"/>
  <c r="BC68"/>
  <c r="A56" i="26"/>
  <c r="B56" s="1"/>
  <c r="B73" i="1"/>
  <c r="L72"/>
  <c r="M71" s="1"/>
  <c r="F74" i="52"/>
  <c r="E72" i="1"/>
  <c r="C72"/>
  <c r="D72" s="1"/>
  <c r="A79" i="53"/>
  <c r="B80" s="1"/>
  <c r="A72" i="1"/>
  <c r="K72"/>
  <c r="N72" s="1"/>
  <c r="B55" i="38"/>
  <c r="F59" i="48"/>
  <c r="Y59" s="1"/>
  <c r="V59"/>
  <c r="AF63" i="1"/>
  <c r="AD64"/>
  <c r="D70" i="53"/>
  <c r="I70"/>
  <c r="BO13" i="55"/>
  <c r="B49" i="54"/>
  <c r="L72" i="53"/>
  <c r="AB65" i="1"/>
  <c r="AE65" s="1"/>
  <c r="AK65" s="1"/>
  <c r="AA65"/>
  <c r="E72" i="53" s="1"/>
  <c r="W70" i="1"/>
  <c r="R70"/>
  <c r="BK51" i="38"/>
  <c r="AS51"/>
  <c r="AU51" s="1"/>
  <c r="AV51" s="1"/>
  <c r="BA51" s="1"/>
  <c r="BB51" s="1"/>
  <c r="BH51" s="1"/>
  <c r="BJ51" s="1"/>
  <c r="P51" s="1"/>
  <c r="O51" s="1"/>
  <c r="D12" i="55"/>
  <c r="V66" i="1"/>
  <c r="X66"/>
  <c r="E73" i="52"/>
  <c r="BK52" i="38" l="1"/>
  <c r="AB66" i="1"/>
  <c r="AE66" s="1"/>
  <c r="AK66" s="1"/>
  <c r="AA66"/>
  <c r="E73" i="53" s="1"/>
  <c r="BA68" i="1"/>
  <c r="BD68" s="1"/>
  <c r="BE68" s="1"/>
  <c r="T68" s="1"/>
  <c r="U68" s="1"/>
  <c r="BC69"/>
  <c r="BO14" i="55"/>
  <c r="D71" i="53"/>
  <c r="I71"/>
  <c r="BK53" i="38"/>
  <c r="AS53"/>
  <c r="AU53" s="1"/>
  <c r="AV53" s="1"/>
  <c r="BA53" s="1"/>
  <c r="BB53" s="1"/>
  <c r="BH53" s="1"/>
  <c r="BJ53" s="1"/>
  <c r="P53" s="1"/>
  <c r="E61" i="48"/>
  <c r="X61" s="1"/>
  <c r="B62"/>
  <c r="C61"/>
  <c r="D61"/>
  <c r="W61" s="1"/>
  <c r="S70" i="1"/>
  <c r="B50" i="54"/>
  <c r="L73" i="53"/>
  <c r="CJ13" i="55"/>
  <c r="Z55" i="38"/>
  <c r="AA55" s="1"/>
  <c r="F55"/>
  <c r="AM55" s="1"/>
  <c r="E55"/>
  <c r="D55"/>
  <c r="E73" i="1"/>
  <c r="F75" i="52"/>
  <c r="L73" i="1"/>
  <c r="M72" s="1"/>
  <c r="A57" i="26"/>
  <c r="B57" s="1"/>
  <c r="A80" i="53"/>
  <c r="B81" s="1"/>
  <c r="K73" i="1"/>
  <c r="N73" s="1"/>
  <c r="A73"/>
  <c r="C73"/>
  <c r="D73" s="1"/>
  <c r="B74"/>
  <c r="B56" i="38"/>
  <c r="V67" i="1"/>
  <c r="X67"/>
  <c r="D13" i="55"/>
  <c r="P72" i="1"/>
  <c r="E74" i="52"/>
  <c r="AT15" i="55"/>
  <c r="G72" i="53"/>
  <c r="AF64" i="1"/>
  <c r="AD65"/>
  <c r="Z72"/>
  <c r="AH72"/>
  <c r="AC72"/>
  <c r="AM72"/>
  <c r="AJ72"/>
  <c r="AL72"/>
  <c r="AI72"/>
  <c r="W71"/>
  <c r="R71"/>
  <c r="AO54" i="38"/>
  <c r="AP54" s="1"/>
  <c r="AQ54" s="1"/>
  <c r="AN54"/>
  <c r="V60" i="48"/>
  <c r="F60"/>
  <c r="Y60" s="1"/>
  <c r="AR54" i="38" l="1"/>
  <c r="AS54" s="1"/>
  <c r="AU54" s="1"/>
  <c r="AV54" s="1"/>
  <c r="BA54" s="1"/>
  <c r="BB54" s="1"/>
  <c r="BH54" s="1"/>
  <c r="BJ54" s="1"/>
  <c r="P54" s="1"/>
  <c r="S71" i="1"/>
  <c r="AJ73"/>
  <c r="AC73"/>
  <c r="Z73"/>
  <c r="AL73"/>
  <c r="AH73"/>
  <c r="AM73"/>
  <c r="AI73"/>
  <c r="B51" i="54"/>
  <c r="L74" i="53"/>
  <c r="V68" i="1"/>
  <c r="X68"/>
  <c r="AF65"/>
  <c r="AD66"/>
  <c r="R72"/>
  <c r="W72"/>
  <c r="F56" i="38"/>
  <c r="AM56" s="1"/>
  <c r="D56"/>
  <c r="E56"/>
  <c r="Z56"/>
  <c r="AA56" s="1"/>
  <c r="P73" i="1"/>
  <c r="AN55" i="38"/>
  <c r="AO55"/>
  <c r="AP55" s="1"/>
  <c r="AQ55" s="1"/>
  <c r="V61" i="48"/>
  <c r="F61"/>
  <c r="Y61" s="1"/>
  <c r="AT16" i="55"/>
  <c r="G73" i="53"/>
  <c r="AB67" i="1"/>
  <c r="AE67" s="1"/>
  <c r="AK67" s="1"/>
  <c r="AA67"/>
  <c r="E74" i="53" s="1"/>
  <c r="L74" i="1"/>
  <c r="M73" s="1"/>
  <c r="A58" i="26"/>
  <c r="B58" s="1"/>
  <c r="A74" i="1"/>
  <c r="B57" i="38"/>
  <c r="F76" i="52"/>
  <c r="A81" i="53"/>
  <c r="B82" s="1"/>
  <c r="B75" i="1"/>
  <c r="C74"/>
  <c r="D74" s="1"/>
  <c r="E74"/>
  <c r="K74"/>
  <c r="N74" s="1"/>
  <c r="E75" i="52"/>
  <c r="E62" i="48"/>
  <c r="X62" s="1"/>
  <c r="D62"/>
  <c r="W62" s="1"/>
  <c r="C62"/>
  <c r="B63"/>
  <c r="CJ14" i="55"/>
  <c r="BO15"/>
  <c r="D72" i="53"/>
  <c r="I72"/>
  <c r="O53" i="38"/>
  <c r="D14" i="55"/>
  <c r="BA69" i="1"/>
  <c r="BD69" s="1"/>
  <c r="BE69" s="1"/>
  <c r="T69" s="1"/>
  <c r="U69" s="1"/>
  <c r="BC70"/>
  <c r="BK54" i="38" l="1"/>
  <c r="A82" i="53"/>
  <c r="B83" s="1"/>
  <c r="C75" i="1"/>
  <c r="D75" s="1"/>
  <c r="F77" i="52"/>
  <c r="E75" i="1"/>
  <c r="K75"/>
  <c r="N75" s="1"/>
  <c r="A59" i="26"/>
  <c r="B59" s="1"/>
  <c r="L75" i="1"/>
  <c r="M74" s="1"/>
  <c r="A75"/>
  <c r="B76"/>
  <c r="B58" i="38"/>
  <c r="Z74" i="1"/>
  <c r="AJ74"/>
  <c r="AL74"/>
  <c r="AI74"/>
  <c r="AM74"/>
  <c r="AC74"/>
  <c r="AH74"/>
  <c r="CJ15" i="55"/>
  <c r="P74" i="1"/>
  <c r="I73" i="53"/>
  <c r="BO16" i="55"/>
  <c r="D73" i="53"/>
  <c r="AR55" i="38"/>
  <c r="AN56"/>
  <c r="AR56" s="1"/>
  <c r="AO56"/>
  <c r="AP56" s="1"/>
  <c r="AQ56" s="1"/>
  <c r="AF66" i="1"/>
  <c r="AD67"/>
  <c r="AB68"/>
  <c r="AE68" s="1"/>
  <c r="AK68" s="1"/>
  <c r="AA68"/>
  <c r="E75" i="53" s="1"/>
  <c r="BA70" i="1"/>
  <c r="BD70" s="1"/>
  <c r="BE70" s="1"/>
  <c r="T70" s="1"/>
  <c r="U70" s="1"/>
  <c r="BC71"/>
  <c r="D15" i="55"/>
  <c r="B64" i="48"/>
  <c r="C63"/>
  <c r="E63"/>
  <c r="X63" s="1"/>
  <c r="D63"/>
  <c r="W63" s="1"/>
  <c r="E76" i="52"/>
  <c r="O54" i="38"/>
  <c r="S72" i="1"/>
  <c r="V69"/>
  <c r="X69"/>
  <c r="V62" i="48"/>
  <c r="F62"/>
  <c r="Y62" s="1"/>
  <c r="D57" i="38"/>
  <c r="E57"/>
  <c r="F57"/>
  <c r="AM57" s="1"/>
  <c r="Z57"/>
  <c r="AA57" s="1"/>
  <c r="AT17" i="55"/>
  <c r="G74" i="53"/>
  <c r="R73" i="1"/>
  <c r="W73"/>
  <c r="L75" i="53"/>
  <c r="B52" i="54"/>
  <c r="V63" i="48" l="1"/>
  <c r="F63"/>
  <c r="Y63" s="1"/>
  <c r="BK56" i="38"/>
  <c r="AS56"/>
  <c r="AU56" s="1"/>
  <c r="AV56" s="1"/>
  <c r="BA56" s="1"/>
  <c r="BB56" s="1"/>
  <c r="BH56" s="1"/>
  <c r="BJ56" s="1"/>
  <c r="P56" s="1"/>
  <c r="O56" s="1"/>
  <c r="CJ16" i="55"/>
  <c r="Z58" i="38"/>
  <c r="AA58" s="1"/>
  <c r="F58"/>
  <c r="AM58" s="1"/>
  <c r="D58"/>
  <c r="E58"/>
  <c r="S73" i="1"/>
  <c r="B65" i="48"/>
  <c r="C64"/>
  <c r="E64"/>
  <c r="X64" s="1"/>
  <c r="D64"/>
  <c r="W64" s="1"/>
  <c r="BA71" i="1"/>
  <c r="BD71" s="1"/>
  <c r="BE71" s="1"/>
  <c r="T71" s="1"/>
  <c r="U71" s="1"/>
  <c r="BC72"/>
  <c r="AF67"/>
  <c r="AD68"/>
  <c r="BK55" i="38"/>
  <c r="AS55"/>
  <c r="AU55" s="1"/>
  <c r="AV55" s="1"/>
  <c r="BA55" s="1"/>
  <c r="BB55" s="1"/>
  <c r="BH55" s="1"/>
  <c r="BJ55" s="1"/>
  <c r="P55" s="1"/>
  <c r="B59"/>
  <c r="A60" i="26"/>
  <c r="B60" s="1"/>
  <c r="L76" i="1"/>
  <c r="M75" s="1"/>
  <c r="A76"/>
  <c r="K76"/>
  <c r="N76" s="1"/>
  <c r="B77"/>
  <c r="F78" i="52"/>
  <c r="C76" i="1"/>
  <c r="D76" s="1"/>
  <c r="E76"/>
  <c r="A83" i="53"/>
  <c r="B84" s="1"/>
  <c r="P75" i="1"/>
  <c r="BO17" i="55"/>
  <c r="I74" i="53"/>
  <c r="D74"/>
  <c r="AN57" i="38"/>
  <c r="AO57"/>
  <c r="AP57" s="1"/>
  <c r="AQ57" s="1"/>
  <c r="V70" i="1"/>
  <c r="X70"/>
  <c r="D16" i="55"/>
  <c r="R74" i="1"/>
  <c r="W74"/>
  <c r="AH75"/>
  <c r="AI75"/>
  <c r="AC75"/>
  <c r="Z75"/>
  <c r="AL75"/>
  <c r="AJ75"/>
  <c r="AM75"/>
  <c r="E77" i="52"/>
  <c r="L76" i="53"/>
  <c r="B53" i="54"/>
  <c r="AB69" i="1"/>
  <c r="AE69" s="1"/>
  <c r="AK69" s="1"/>
  <c r="AA69"/>
  <c r="E76" i="53" s="1"/>
  <c r="AT18" i="55"/>
  <c r="G75" i="53"/>
  <c r="B54" i="54" l="1"/>
  <c r="L77" i="53"/>
  <c r="S74" i="1"/>
  <c r="AR57" i="38"/>
  <c r="BA72" i="1"/>
  <c r="BD72" s="1"/>
  <c r="BE72" s="1"/>
  <c r="T72" s="1"/>
  <c r="U72" s="1"/>
  <c r="BC73"/>
  <c r="D65" i="48"/>
  <c r="W65" s="1"/>
  <c r="B66"/>
  <c r="C65"/>
  <c r="E65"/>
  <c r="X65" s="1"/>
  <c r="AT19" i="55"/>
  <c r="G76" i="53"/>
  <c r="AB70" i="1"/>
  <c r="AE70" s="1"/>
  <c r="AK70" s="1"/>
  <c r="AA70"/>
  <c r="E77" i="53" s="1"/>
  <c r="R75" i="1"/>
  <c r="W75"/>
  <c r="A61" i="26"/>
  <c r="B61" s="1"/>
  <c r="K77" i="1"/>
  <c r="N77" s="1"/>
  <c r="B78"/>
  <c r="E77"/>
  <c r="L77"/>
  <c r="M76" s="1"/>
  <c r="F79" i="52"/>
  <c r="C77" i="1"/>
  <c r="D77" s="1"/>
  <c r="A77"/>
  <c r="B60" i="38"/>
  <c r="A84" i="53"/>
  <c r="B85" s="1"/>
  <c r="AF68" i="1"/>
  <c r="AD69"/>
  <c r="V71"/>
  <c r="X71"/>
  <c r="I75" i="53"/>
  <c r="BO18" i="55"/>
  <c r="D75" i="53"/>
  <c r="D17" i="55"/>
  <c r="E78" i="52"/>
  <c r="P76" i="1"/>
  <c r="Z59" i="38"/>
  <c r="AA59" s="1"/>
  <c r="E59"/>
  <c r="F59"/>
  <c r="AM59" s="1"/>
  <c r="D59"/>
  <c r="AN58"/>
  <c r="AO58"/>
  <c r="AP58" s="1"/>
  <c r="AQ58" s="1"/>
  <c r="CJ17" i="55"/>
  <c r="AH76" i="1"/>
  <c r="Z76"/>
  <c r="AI76"/>
  <c r="AJ76"/>
  <c r="AM76"/>
  <c r="AL76"/>
  <c r="AC76"/>
  <c r="O55" i="38"/>
  <c r="F64" i="48"/>
  <c r="Y64" s="1"/>
  <c r="V64"/>
  <c r="AR58" i="38" l="1"/>
  <c r="W76" i="1"/>
  <c r="R76"/>
  <c r="D18" i="55"/>
  <c r="AF69" i="1"/>
  <c r="AD70"/>
  <c r="D60" i="38"/>
  <c r="F60"/>
  <c r="AM60" s="1"/>
  <c r="E60"/>
  <c r="Z60"/>
  <c r="AA60" s="1"/>
  <c r="BA73" i="1"/>
  <c r="BD73" s="1"/>
  <c r="BE73" s="1"/>
  <c r="T73" s="1"/>
  <c r="U73" s="1"/>
  <c r="BC74"/>
  <c r="Z77"/>
  <c r="AM77"/>
  <c r="AL77"/>
  <c r="AC77"/>
  <c r="AH77"/>
  <c r="AJ77"/>
  <c r="AI77"/>
  <c r="E79" i="52"/>
  <c r="S75" i="1"/>
  <c r="F65" i="48"/>
  <c r="Y65" s="1"/>
  <c r="V65"/>
  <c r="V72" i="1"/>
  <c r="X72"/>
  <c r="BK57" i="38"/>
  <c r="AS57"/>
  <c r="AU57" s="1"/>
  <c r="AV57" s="1"/>
  <c r="BA57" s="1"/>
  <c r="BB57" s="1"/>
  <c r="BH57" s="1"/>
  <c r="BJ57" s="1"/>
  <c r="P57" s="1"/>
  <c r="B55" i="54"/>
  <c r="L78" i="53"/>
  <c r="CJ18" i="55"/>
  <c r="AB71" i="1"/>
  <c r="AE71" s="1"/>
  <c r="AK71" s="1"/>
  <c r="AA71"/>
  <c r="E78" i="53" s="1"/>
  <c r="L78" i="1"/>
  <c r="M77" s="1"/>
  <c r="K78"/>
  <c r="N78" s="1"/>
  <c r="F80" i="52"/>
  <c r="C78" i="1"/>
  <c r="D78" s="1"/>
  <c r="B61" i="38"/>
  <c r="B79" i="1"/>
  <c r="A62" i="26"/>
  <c r="B62" s="1"/>
  <c r="E78" i="1"/>
  <c r="A78"/>
  <c r="A85" i="53"/>
  <c r="B86" s="1"/>
  <c r="AT20" i="55"/>
  <c r="G77" i="53"/>
  <c r="B67" i="48"/>
  <c r="D66"/>
  <c r="W66" s="1"/>
  <c r="E66"/>
  <c r="X66" s="1"/>
  <c r="C66"/>
  <c r="AO59" i="38"/>
  <c r="AP59" s="1"/>
  <c r="AQ59" s="1"/>
  <c r="AN59"/>
  <c r="P77" i="1"/>
  <c r="D76" i="53"/>
  <c r="BO19" i="55"/>
  <c r="I76" i="53"/>
  <c r="AR59" i="38" l="1"/>
  <c r="BK59" s="1"/>
  <c r="D19" i="55"/>
  <c r="C67" i="48"/>
  <c r="D67"/>
  <c r="W67" s="1"/>
  <c r="E67"/>
  <c r="X67" s="1"/>
  <c r="B68"/>
  <c r="AT21" i="55"/>
  <c r="G78" i="53"/>
  <c r="BA74" i="1"/>
  <c r="BD74" s="1"/>
  <c r="BE74" s="1"/>
  <c r="T74" s="1"/>
  <c r="U74" s="1"/>
  <c r="BC75"/>
  <c r="AF70"/>
  <c r="AD71"/>
  <c r="W77"/>
  <c r="R77"/>
  <c r="V66" i="48"/>
  <c r="F66"/>
  <c r="Y66" s="1"/>
  <c r="F81" i="52"/>
  <c r="L79" i="1"/>
  <c r="M78" s="1"/>
  <c r="A63" i="26"/>
  <c r="B63" s="1"/>
  <c r="E79" i="1"/>
  <c r="B62" i="38"/>
  <c r="A86" i="53"/>
  <c r="B87" s="1"/>
  <c r="C79" i="1"/>
  <c r="D79" s="1"/>
  <c r="K79"/>
  <c r="N79" s="1"/>
  <c r="A79"/>
  <c r="B80"/>
  <c r="P78"/>
  <c r="O57" i="38"/>
  <c r="V73" i="1"/>
  <c r="X73"/>
  <c r="AN60" i="38"/>
  <c r="AO60"/>
  <c r="AP60" s="1"/>
  <c r="AQ60" s="1"/>
  <c r="BK58"/>
  <c r="AS58"/>
  <c r="AU58" s="1"/>
  <c r="AV58" s="1"/>
  <c r="BA58" s="1"/>
  <c r="BB58" s="1"/>
  <c r="BH58" s="1"/>
  <c r="BJ58" s="1"/>
  <c r="P58" s="1"/>
  <c r="O58" s="1"/>
  <c r="CJ19" i="55"/>
  <c r="D77" i="53"/>
  <c r="D20" i="55" s="1"/>
  <c r="I77" i="53"/>
  <c r="BO20" i="55"/>
  <c r="AM78" i="1"/>
  <c r="AH78"/>
  <c r="AC78"/>
  <c r="Z78"/>
  <c r="AI78"/>
  <c r="AL78"/>
  <c r="AJ78"/>
  <c r="D61" i="38"/>
  <c r="E61"/>
  <c r="F61"/>
  <c r="AM61" s="1"/>
  <c r="Z61"/>
  <c r="AA61" s="1"/>
  <c r="E80" i="52"/>
  <c r="L79" i="53"/>
  <c r="B56" i="54"/>
  <c r="AB72" i="1"/>
  <c r="AE72" s="1"/>
  <c r="AK72" s="1"/>
  <c r="AA72"/>
  <c r="E79" i="53" s="1"/>
  <c r="S76" i="1"/>
  <c r="AS59" i="38" l="1"/>
  <c r="AU59" s="1"/>
  <c r="AV59" s="1"/>
  <c r="BA59" s="1"/>
  <c r="BB59" s="1"/>
  <c r="BH59" s="1"/>
  <c r="BJ59" s="1"/>
  <c r="P59" s="1"/>
  <c r="O59" s="1"/>
  <c r="W78" i="1"/>
  <c r="R78"/>
  <c r="AC79"/>
  <c r="AJ79"/>
  <c r="AL79"/>
  <c r="AI79"/>
  <c r="Z79"/>
  <c r="AH79"/>
  <c r="AM79"/>
  <c r="E62" i="38"/>
  <c r="Z62"/>
  <c r="AA62" s="1"/>
  <c r="D62"/>
  <c r="F62"/>
  <c r="AM62" s="1"/>
  <c r="V74" i="1"/>
  <c r="X74"/>
  <c r="D68" i="48"/>
  <c r="W68" s="1"/>
  <c r="C68"/>
  <c r="E68"/>
  <c r="X68" s="1"/>
  <c r="B69"/>
  <c r="AO61" i="38"/>
  <c r="AP61" s="1"/>
  <c r="AQ61" s="1"/>
  <c r="AN61"/>
  <c r="P79" i="1"/>
  <c r="E81" i="52"/>
  <c r="BO21" i="55"/>
  <c r="D78" i="53"/>
  <c r="I78"/>
  <c r="AT22" i="55"/>
  <c r="G79" i="53"/>
  <c r="B57" i="54"/>
  <c r="L80" i="53"/>
  <c r="S77" i="1"/>
  <c r="CJ20" i="55"/>
  <c r="AR60" i="38"/>
  <c r="AB73" i="1"/>
  <c r="AE73" s="1"/>
  <c r="AK73" s="1"/>
  <c r="AA73"/>
  <c r="E80" i="53" s="1"/>
  <c r="A64" i="26"/>
  <c r="B64" s="1"/>
  <c r="K80" i="1"/>
  <c r="N80" s="1"/>
  <c r="C80"/>
  <c r="D80" s="1"/>
  <c r="F82" i="52"/>
  <c r="B63" i="38"/>
  <c r="A80" i="1"/>
  <c r="A87" i="53"/>
  <c r="B88" s="1"/>
  <c r="L80" i="1"/>
  <c r="M79" s="1"/>
  <c r="B81"/>
  <c r="E80"/>
  <c r="AF71"/>
  <c r="AD72"/>
  <c r="BA75"/>
  <c r="BD75" s="1"/>
  <c r="BE75" s="1"/>
  <c r="T75" s="1"/>
  <c r="U75" s="1"/>
  <c r="BC76"/>
  <c r="F67" i="48"/>
  <c r="Y67" s="1"/>
  <c r="V67"/>
  <c r="AR61" i="38" l="1"/>
  <c r="BK61" s="1"/>
  <c r="AT23" i="55"/>
  <c r="G80" i="53"/>
  <c r="AS60" i="38"/>
  <c r="AU60" s="1"/>
  <c r="AV60" s="1"/>
  <c r="BA60" s="1"/>
  <c r="BB60" s="1"/>
  <c r="BH60" s="1"/>
  <c r="BJ60" s="1"/>
  <c r="P60" s="1"/>
  <c r="BK60"/>
  <c r="CJ21" i="55"/>
  <c r="D69" i="48"/>
  <c r="W69" s="1"/>
  <c r="B70"/>
  <c r="E69"/>
  <c r="X69" s="1"/>
  <c r="C69"/>
  <c r="S78" i="1"/>
  <c r="BA76"/>
  <c r="BD76" s="1"/>
  <c r="BE76" s="1"/>
  <c r="T76" s="1"/>
  <c r="U76" s="1"/>
  <c r="BC77"/>
  <c r="D21" i="55"/>
  <c r="R79" i="1"/>
  <c r="W79"/>
  <c r="AN62" i="38"/>
  <c r="AR62" s="1"/>
  <c r="AO62"/>
  <c r="AP62" s="1"/>
  <c r="AQ62" s="1"/>
  <c r="V75" i="1"/>
  <c r="X75"/>
  <c r="AF72"/>
  <c r="AD73"/>
  <c r="E82" i="52"/>
  <c r="AH80" i="1"/>
  <c r="AI80"/>
  <c r="AM80"/>
  <c r="AL80"/>
  <c r="AJ80"/>
  <c r="AC80"/>
  <c r="Z80"/>
  <c r="P80"/>
  <c r="AS61" i="38"/>
  <c r="AU61" s="1"/>
  <c r="AV61" s="1"/>
  <c r="BA61" s="1"/>
  <c r="BB61" s="1"/>
  <c r="BH61" s="1"/>
  <c r="BJ61" s="1"/>
  <c r="P61" s="1"/>
  <c r="O61" s="1"/>
  <c r="V68" i="48"/>
  <c r="F68"/>
  <c r="Y68" s="1"/>
  <c r="A88" i="53"/>
  <c r="B89" s="1"/>
  <c r="C81" i="1"/>
  <c r="D81" s="1"/>
  <c r="K81"/>
  <c r="N81" s="1"/>
  <c r="A81"/>
  <c r="F83" i="52"/>
  <c r="B82" i="1"/>
  <c r="L81"/>
  <c r="M80" s="1"/>
  <c r="E81"/>
  <c r="B64" i="38"/>
  <c r="A65" i="26"/>
  <c r="B65" s="1"/>
  <c r="E63" i="38"/>
  <c r="Z63"/>
  <c r="AA63" s="1"/>
  <c r="F63"/>
  <c r="AM63" s="1"/>
  <c r="D63"/>
  <c r="B58" i="54"/>
  <c r="L81" i="53"/>
  <c r="D79"/>
  <c r="I79"/>
  <c r="BO22" i="55"/>
  <c r="AB74" i="1"/>
  <c r="AE74" s="1"/>
  <c r="AK74" s="1"/>
  <c r="AA74"/>
  <c r="E81" i="53" s="1"/>
  <c r="L82" l="1"/>
  <c r="B59" i="54"/>
  <c r="P81" i="1"/>
  <c r="AF73"/>
  <c r="AD74"/>
  <c r="BA77"/>
  <c r="BD77" s="1"/>
  <c r="BE77" s="1"/>
  <c r="T77" s="1"/>
  <c r="U77" s="1"/>
  <c r="BC78"/>
  <c r="C70" i="48"/>
  <c r="B71"/>
  <c r="E70"/>
  <c r="X70" s="1"/>
  <c r="D70"/>
  <c r="W70" s="1"/>
  <c r="O60" i="38"/>
  <c r="F84" i="52"/>
  <c r="E82" i="1"/>
  <c r="A89" i="53"/>
  <c r="B90" s="1"/>
  <c r="K82" i="1"/>
  <c r="N82" s="1"/>
  <c r="B83"/>
  <c r="L82"/>
  <c r="M81" s="1"/>
  <c r="A82"/>
  <c r="A66" i="26"/>
  <c r="B66" s="1"/>
  <c r="B65" i="38"/>
  <c r="C82" i="1"/>
  <c r="D82" s="1"/>
  <c r="S79"/>
  <c r="V76"/>
  <c r="X76"/>
  <c r="BO23" i="55"/>
  <c r="I80" i="53"/>
  <c r="D80"/>
  <c r="AT24" i="55"/>
  <c r="G81" i="53"/>
  <c r="CJ22" i="55"/>
  <c r="AN63" i="38"/>
  <c r="AO63"/>
  <c r="AP63" s="1"/>
  <c r="AQ63" s="1"/>
  <c r="D64"/>
  <c r="F64"/>
  <c r="AM64" s="1"/>
  <c r="E64"/>
  <c r="Z64"/>
  <c r="AA64" s="1"/>
  <c r="AB75" i="1"/>
  <c r="AE75" s="1"/>
  <c r="AK75" s="1"/>
  <c r="AA75"/>
  <c r="E82" i="53" s="1"/>
  <c r="BK62" i="38"/>
  <c r="AS62"/>
  <c r="AU62" s="1"/>
  <c r="AV62" s="1"/>
  <c r="BA62" s="1"/>
  <c r="BB62" s="1"/>
  <c r="BH62" s="1"/>
  <c r="BJ62" s="1"/>
  <c r="P62" s="1"/>
  <c r="O62" s="1"/>
  <c r="V69" i="48"/>
  <c r="F69"/>
  <c r="Y69" s="1"/>
  <c r="D22" i="55"/>
  <c r="E83" i="52"/>
  <c r="Z81" i="1"/>
  <c r="AI81"/>
  <c r="AL81"/>
  <c r="AC81"/>
  <c r="AM81"/>
  <c r="AH81"/>
  <c r="AJ81"/>
  <c r="W80"/>
  <c r="R80"/>
  <c r="S80" l="1"/>
  <c r="AT25" i="55"/>
  <c r="G82" i="53"/>
  <c r="D23" i="55"/>
  <c r="E84" i="52"/>
  <c r="V70" i="48"/>
  <c r="F70"/>
  <c r="Y70" s="1"/>
  <c r="V77" i="1"/>
  <c r="X77"/>
  <c r="AF74"/>
  <c r="AD75"/>
  <c r="AR63" i="38"/>
  <c r="CJ23" i="55"/>
  <c r="AB76" i="1"/>
  <c r="AE76" s="1"/>
  <c r="AK76" s="1"/>
  <c r="AA76"/>
  <c r="E83" i="53" s="1"/>
  <c r="F65" i="38"/>
  <c r="AM65" s="1"/>
  <c r="E65"/>
  <c r="Z65"/>
  <c r="AA65" s="1"/>
  <c r="D65"/>
  <c r="B66"/>
  <c r="F85" i="52"/>
  <c r="E83" i="1"/>
  <c r="L83"/>
  <c r="M82" s="1"/>
  <c r="A90" i="53"/>
  <c r="B91" s="1"/>
  <c r="B84" i="1"/>
  <c r="A67" i="26"/>
  <c r="B67" s="1"/>
  <c r="K83" i="1"/>
  <c r="N83" s="1"/>
  <c r="A83"/>
  <c r="C83"/>
  <c r="D83" s="1"/>
  <c r="W81"/>
  <c r="R81"/>
  <c r="AO64" i="38"/>
  <c r="AP64" s="1"/>
  <c r="AQ64" s="1"/>
  <c r="AN64"/>
  <c r="P82" i="1"/>
  <c r="I81" i="53"/>
  <c r="BO24" i="55"/>
  <c r="D81" i="53"/>
  <c r="Z82" i="1"/>
  <c r="AM82"/>
  <c r="AJ82"/>
  <c r="AI82"/>
  <c r="AC82"/>
  <c r="AH82"/>
  <c r="AL82"/>
  <c r="C71" i="48"/>
  <c r="B72"/>
  <c r="E71"/>
  <c r="X71" s="1"/>
  <c r="D71"/>
  <c r="W71" s="1"/>
  <c r="BA78" i="1"/>
  <c r="BD78" s="1"/>
  <c r="BE78" s="1"/>
  <c r="T78" s="1"/>
  <c r="U78" s="1"/>
  <c r="BC79"/>
  <c r="B60" i="54"/>
  <c r="L83" i="53"/>
  <c r="W82" i="1" l="1"/>
  <c r="R82"/>
  <c r="E85" i="52"/>
  <c r="AF75" i="1"/>
  <c r="AD76"/>
  <c r="BO25" i="55"/>
  <c r="D82" i="53"/>
  <c r="I82"/>
  <c r="BA79" i="1"/>
  <c r="BD79" s="1"/>
  <c r="BE79" s="1"/>
  <c r="T79" s="1"/>
  <c r="U79" s="1"/>
  <c r="BC80"/>
  <c r="D72" i="48"/>
  <c r="W72" s="1"/>
  <c r="C72"/>
  <c r="E72"/>
  <c r="X72" s="1"/>
  <c r="B73"/>
  <c r="B61" i="54"/>
  <c r="L84" i="53"/>
  <c r="V78" i="1"/>
  <c r="X78"/>
  <c r="V71" i="48"/>
  <c r="F71"/>
  <c r="Y71" s="1"/>
  <c r="D24" i="55"/>
  <c r="S81" i="1"/>
  <c r="B67" i="38"/>
  <c r="A91" i="53"/>
  <c r="B92" s="1"/>
  <c r="A84" i="1"/>
  <c r="B85"/>
  <c r="E84"/>
  <c r="L84"/>
  <c r="M83" s="1"/>
  <c r="K84"/>
  <c r="N84" s="1"/>
  <c r="F86" i="52"/>
  <c r="A68" i="26"/>
  <c r="B68" s="1"/>
  <c r="C84" i="1"/>
  <c r="D84" s="1"/>
  <c r="AR64" i="38"/>
  <c r="AJ83" i="1"/>
  <c r="AL83"/>
  <c r="Z83"/>
  <c r="AM83"/>
  <c r="AH83"/>
  <c r="AC83"/>
  <c r="AI83"/>
  <c r="E66" i="38"/>
  <c r="D66"/>
  <c r="F66"/>
  <c r="AM66" s="1"/>
  <c r="Z66"/>
  <c r="AA66" s="1"/>
  <c r="AO65"/>
  <c r="AP65" s="1"/>
  <c r="AQ65" s="1"/>
  <c r="AN65"/>
  <c r="AT26" i="55"/>
  <c r="G83" i="53"/>
  <c r="BK63" i="38"/>
  <c r="AS63"/>
  <c r="AU63" s="1"/>
  <c r="AV63" s="1"/>
  <c r="BA63" s="1"/>
  <c r="BB63" s="1"/>
  <c r="BH63" s="1"/>
  <c r="BJ63" s="1"/>
  <c r="P63" s="1"/>
  <c r="AB77" i="1"/>
  <c r="AE77" s="1"/>
  <c r="AK77" s="1"/>
  <c r="AA77"/>
  <c r="E84" i="53" s="1"/>
  <c r="CJ24" i="55"/>
  <c r="P83" i="1"/>
  <c r="O63" i="38" l="1"/>
  <c r="AR65"/>
  <c r="P84" i="1"/>
  <c r="AJ84"/>
  <c r="AM84"/>
  <c r="Z84"/>
  <c r="AI84"/>
  <c r="AH84"/>
  <c r="AC84"/>
  <c r="AL84"/>
  <c r="V79"/>
  <c r="X79"/>
  <c r="AF76"/>
  <c r="AD77"/>
  <c r="S82"/>
  <c r="R83"/>
  <c r="W83"/>
  <c r="I83" i="53"/>
  <c r="BO26" i="55"/>
  <c r="D83" i="53"/>
  <c r="B62" i="54"/>
  <c r="L85" i="53"/>
  <c r="F72" i="48"/>
  <c r="Y72" s="1"/>
  <c r="V72"/>
  <c r="AS64" i="38"/>
  <c r="AU64" s="1"/>
  <c r="AV64" s="1"/>
  <c r="BA64" s="1"/>
  <c r="BB64" s="1"/>
  <c r="BH64" s="1"/>
  <c r="BJ64" s="1"/>
  <c r="P64" s="1"/>
  <c r="O64" s="1"/>
  <c r="BK64"/>
  <c r="E86" i="52"/>
  <c r="D67" i="38"/>
  <c r="Z67"/>
  <c r="AA67" s="1"/>
  <c r="E67"/>
  <c r="F67"/>
  <c r="AM67" s="1"/>
  <c r="CJ25" i="55"/>
  <c r="AT27"/>
  <c r="G84" i="53"/>
  <c r="AO66" i="38"/>
  <c r="AP66" s="1"/>
  <c r="AQ66" s="1"/>
  <c r="AN66"/>
  <c r="AR66" s="1"/>
  <c r="A85" i="1"/>
  <c r="K85"/>
  <c r="N85" s="1"/>
  <c r="C85"/>
  <c r="D85" s="1"/>
  <c r="F87" i="52"/>
  <c r="A69" i="26"/>
  <c r="B69" s="1"/>
  <c r="A92" i="53"/>
  <c r="B93" s="1"/>
  <c r="E85" i="1"/>
  <c r="B86"/>
  <c r="B68" i="38"/>
  <c r="L85" i="1"/>
  <c r="M84" s="1"/>
  <c r="AB78"/>
  <c r="AE78" s="1"/>
  <c r="AK78" s="1"/>
  <c r="AA78"/>
  <c r="E85" i="53" s="1"/>
  <c r="B74" i="48"/>
  <c r="D73"/>
  <c r="W73" s="1"/>
  <c r="E73"/>
  <c r="X73" s="1"/>
  <c r="C73"/>
  <c r="BA80" i="1"/>
  <c r="BD80" s="1"/>
  <c r="BE80" s="1"/>
  <c r="T80" s="1"/>
  <c r="U80" s="1"/>
  <c r="BC81"/>
  <c r="D25" i="55"/>
  <c r="V73" i="48" l="1"/>
  <c r="F73"/>
  <c r="Y73" s="1"/>
  <c r="AT28" i="55"/>
  <c r="G85" i="53"/>
  <c r="F68" i="38"/>
  <c r="AM68" s="1"/>
  <c r="E68"/>
  <c r="D68"/>
  <c r="Z68"/>
  <c r="AA68" s="1"/>
  <c r="AL85" i="1"/>
  <c r="AM85"/>
  <c r="Z85"/>
  <c r="AJ85"/>
  <c r="AI85"/>
  <c r="AH85"/>
  <c r="AC85"/>
  <c r="D84" i="53"/>
  <c r="I84"/>
  <c r="BO27" i="55"/>
  <c r="B63" i="54"/>
  <c r="L86" i="53"/>
  <c r="CJ26" i="55"/>
  <c r="AF77" i="1"/>
  <c r="AD78"/>
  <c r="AB79"/>
  <c r="AE79" s="1"/>
  <c r="AK79" s="1"/>
  <c r="AA79"/>
  <c r="E86" i="53" s="1"/>
  <c r="BA81" i="1"/>
  <c r="BD81" s="1"/>
  <c r="BE81" s="1"/>
  <c r="T81" s="1"/>
  <c r="U81" s="1"/>
  <c r="BC82"/>
  <c r="V80"/>
  <c r="X80"/>
  <c r="E74" i="48"/>
  <c r="X74" s="1"/>
  <c r="C74"/>
  <c r="B75"/>
  <c r="D74"/>
  <c r="W74" s="1"/>
  <c r="P85" i="1"/>
  <c r="A93" i="53"/>
  <c r="B94" s="1"/>
  <c r="B69" i="38"/>
  <c r="F88" i="52"/>
  <c r="E86" i="1"/>
  <c r="A70" i="26"/>
  <c r="B70" s="1"/>
  <c r="K86" i="1"/>
  <c r="N86" s="1"/>
  <c r="C86"/>
  <c r="D86" s="1"/>
  <c r="A86"/>
  <c r="L86"/>
  <c r="M85" s="1"/>
  <c r="B87"/>
  <c r="AO67" i="38"/>
  <c r="AP67" s="1"/>
  <c r="AQ67" s="1"/>
  <c r="AN67"/>
  <c r="AR67" s="1"/>
  <c r="S83" i="1"/>
  <c r="E87" i="52"/>
  <c r="BK66" i="38"/>
  <c r="AS66"/>
  <c r="AU66" s="1"/>
  <c r="AV66" s="1"/>
  <c r="BA66" s="1"/>
  <c r="BB66" s="1"/>
  <c r="BH66" s="1"/>
  <c r="BJ66" s="1"/>
  <c r="P66" s="1"/>
  <c r="O66" s="1"/>
  <c r="D26" i="55"/>
  <c r="AS65" i="38"/>
  <c r="AU65" s="1"/>
  <c r="AV65" s="1"/>
  <c r="BA65" s="1"/>
  <c r="BB65" s="1"/>
  <c r="BH65" s="1"/>
  <c r="BJ65" s="1"/>
  <c r="P65" s="1"/>
  <c r="O65" s="1"/>
  <c r="BK65"/>
  <c r="W84" i="1"/>
  <c r="R84"/>
  <c r="V74" i="48" l="1"/>
  <c r="F74"/>
  <c r="Y74" s="1"/>
  <c r="BA82" i="1"/>
  <c r="BD82" s="1"/>
  <c r="BE82" s="1"/>
  <c r="T82" s="1"/>
  <c r="U82" s="1"/>
  <c r="BC83"/>
  <c r="D27" i="55"/>
  <c r="AN68" i="38"/>
  <c r="AO68"/>
  <c r="AP68" s="1"/>
  <c r="AQ68" s="1"/>
  <c r="AC86" i="1"/>
  <c r="AJ86"/>
  <c r="AL86"/>
  <c r="AI86"/>
  <c r="AM86"/>
  <c r="Z86"/>
  <c r="AH86"/>
  <c r="E88" i="52"/>
  <c r="R85" i="1"/>
  <c r="W85"/>
  <c r="V81"/>
  <c r="X81"/>
  <c r="AT29" i="55"/>
  <c r="G86" i="53"/>
  <c r="I85"/>
  <c r="BO28" i="55"/>
  <c r="D85" i="53"/>
  <c r="AS67" i="38"/>
  <c r="AU67" s="1"/>
  <c r="AV67" s="1"/>
  <c r="BA67" s="1"/>
  <c r="BB67" s="1"/>
  <c r="BH67" s="1"/>
  <c r="BJ67" s="1"/>
  <c r="P67" s="1"/>
  <c r="BK67"/>
  <c r="AB80" i="1"/>
  <c r="AE80" s="1"/>
  <c r="AK80" s="1"/>
  <c r="Y80"/>
  <c r="AA80"/>
  <c r="E87" i="53" s="1"/>
  <c r="S84" i="1"/>
  <c r="F89" i="52"/>
  <c r="A71" i="26"/>
  <c r="B71" s="1"/>
  <c r="K87" i="1"/>
  <c r="N87" s="1"/>
  <c r="B88"/>
  <c r="A94" i="53"/>
  <c r="B95" s="1"/>
  <c r="B70" i="38"/>
  <c r="L87" i="1"/>
  <c r="M86" s="1"/>
  <c r="E87"/>
  <c r="C87"/>
  <c r="D87" s="1"/>
  <c r="A87"/>
  <c r="P86"/>
  <c r="F69" i="38"/>
  <c r="AM69" s="1"/>
  <c r="E69"/>
  <c r="Z69"/>
  <c r="AA69" s="1"/>
  <c r="D69"/>
  <c r="B76" i="48"/>
  <c r="E75"/>
  <c r="X75" s="1"/>
  <c r="D75"/>
  <c r="W75" s="1"/>
  <c r="C75"/>
  <c r="AF78" i="1"/>
  <c r="AD79"/>
  <c r="B64" i="54"/>
  <c r="L87" i="53"/>
  <c r="CJ27" i="55"/>
  <c r="R86" i="1" l="1"/>
  <c r="W86"/>
  <c r="AI87"/>
  <c r="AL87"/>
  <c r="AM87"/>
  <c r="AC87"/>
  <c r="AH87"/>
  <c r="Z87"/>
  <c r="AJ87"/>
  <c r="E70" i="38"/>
  <c r="D70"/>
  <c r="Z70"/>
  <c r="AA70" s="1"/>
  <c r="F70"/>
  <c r="AM70" s="1"/>
  <c r="BO29" i="55"/>
  <c r="I86" i="53"/>
  <c r="D86"/>
  <c r="AB81" i="1"/>
  <c r="AE81" s="1"/>
  <c r="AK81" s="1"/>
  <c r="Y81"/>
  <c r="AA81"/>
  <c r="E88" i="53" s="1"/>
  <c r="V82" i="1"/>
  <c r="X82"/>
  <c r="E76" i="48"/>
  <c r="X76" s="1"/>
  <c r="D76"/>
  <c r="W76" s="1"/>
  <c r="B77"/>
  <c r="C76"/>
  <c r="CJ28" i="55"/>
  <c r="AR68" i="38"/>
  <c r="AF79" i="1"/>
  <c r="AD80"/>
  <c r="F75" i="48"/>
  <c r="Y75" s="1"/>
  <c r="V75"/>
  <c r="E89" i="52"/>
  <c r="E88" i="1"/>
  <c r="A88"/>
  <c r="K88"/>
  <c r="N88" s="1"/>
  <c r="A95" i="53"/>
  <c r="B96" s="1"/>
  <c r="C88" i="1"/>
  <c r="D88" s="1"/>
  <c r="L88"/>
  <c r="M87" s="1"/>
  <c r="A72" i="26"/>
  <c r="B72" s="1"/>
  <c r="B89" i="1"/>
  <c r="B71" i="38"/>
  <c r="F90" i="52"/>
  <c r="AT30" i="55"/>
  <c r="G87" i="53"/>
  <c r="O67" i="38"/>
  <c r="S85" i="1"/>
  <c r="B65" i="54"/>
  <c r="L88" i="53"/>
  <c r="AO69" i="38"/>
  <c r="AP69" s="1"/>
  <c r="AQ69" s="1"/>
  <c r="AN69"/>
  <c r="P87" i="1"/>
  <c r="D28" i="55"/>
  <c r="BA83" i="1"/>
  <c r="BD83" s="1"/>
  <c r="BE83" s="1"/>
  <c r="T83" s="1"/>
  <c r="U83" s="1"/>
  <c r="BC84"/>
  <c r="B66" i="54" l="1"/>
  <c r="L89" i="53"/>
  <c r="P88" i="1"/>
  <c r="AF80"/>
  <c r="AD81"/>
  <c r="AI88"/>
  <c r="AC88"/>
  <c r="AM88"/>
  <c r="AH88"/>
  <c r="AL88"/>
  <c r="AJ88"/>
  <c r="Z88"/>
  <c r="BK68" i="38"/>
  <c r="AS68"/>
  <c r="AU68" s="1"/>
  <c r="AV68" s="1"/>
  <c r="BA68" s="1"/>
  <c r="BB68" s="1"/>
  <c r="BH68" s="1"/>
  <c r="BJ68" s="1"/>
  <c r="P68" s="1"/>
  <c r="V76" i="48"/>
  <c r="F76"/>
  <c r="Y76" s="1"/>
  <c r="AB82" i="1"/>
  <c r="AE82" s="1"/>
  <c r="AK82" s="1"/>
  <c r="AA82"/>
  <c r="E89" i="53" s="1"/>
  <c r="D29" i="55"/>
  <c r="BA84" i="1"/>
  <c r="BD84" s="1"/>
  <c r="BE84" s="1"/>
  <c r="T84" s="1"/>
  <c r="U84" s="1"/>
  <c r="BC85"/>
  <c r="W87"/>
  <c r="R87"/>
  <c r="AR69" i="38"/>
  <c r="D87" i="53"/>
  <c r="BO30" i="55"/>
  <c r="I87" i="53"/>
  <c r="E71" i="38"/>
  <c r="D71"/>
  <c r="Z71"/>
  <c r="AA71" s="1"/>
  <c r="F71"/>
  <c r="AM71" s="1"/>
  <c r="E90" i="52"/>
  <c r="B78" i="48"/>
  <c r="E77"/>
  <c r="X77" s="1"/>
  <c r="C77"/>
  <c r="D77"/>
  <c r="W77" s="1"/>
  <c r="AT31" i="55"/>
  <c r="AT35" s="1"/>
  <c r="G88" i="53"/>
  <c r="CJ29" i="55"/>
  <c r="AN70" i="38"/>
  <c r="AO70"/>
  <c r="AP70" s="1"/>
  <c r="AQ70" s="1"/>
  <c r="S86" i="1"/>
  <c r="V83"/>
  <c r="X83"/>
  <c r="L89"/>
  <c r="M88" s="1"/>
  <c r="C89"/>
  <c r="D89" s="1"/>
  <c r="A89"/>
  <c r="E89"/>
  <c r="A96" i="53"/>
  <c r="B97" s="1"/>
  <c r="B90" i="1"/>
  <c r="F91" i="52"/>
  <c r="A73" i="26"/>
  <c r="B73" s="1"/>
  <c r="K89" i="1"/>
  <c r="N89" s="1"/>
  <c r="B72" i="38"/>
  <c r="E91" i="52" l="1"/>
  <c r="AB83" i="1"/>
  <c r="AE83" s="1"/>
  <c r="AK83" s="1"/>
  <c r="AA83"/>
  <c r="E90" i="53" s="1"/>
  <c r="D30" i="55"/>
  <c r="BA85" i="1"/>
  <c r="BD85" s="1"/>
  <c r="BE85" s="1"/>
  <c r="T85" s="1"/>
  <c r="U85" s="1"/>
  <c r="BC86"/>
  <c r="AU3" i="55"/>
  <c r="G89" i="53"/>
  <c r="R88" i="1"/>
  <c r="W88"/>
  <c r="AM89"/>
  <c r="AI89"/>
  <c r="AH89"/>
  <c r="AC89"/>
  <c r="Z89"/>
  <c r="AJ89"/>
  <c r="AL89"/>
  <c r="F77" i="48"/>
  <c r="Y77" s="1"/>
  <c r="V77"/>
  <c r="AS69" i="38"/>
  <c r="AU69" s="1"/>
  <c r="AV69" s="1"/>
  <c r="BA69" s="1"/>
  <c r="BB69" s="1"/>
  <c r="BH69" s="1"/>
  <c r="BJ69" s="1"/>
  <c r="P69" s="1"/>
  <c r="O69" s="1"/>
  <c r="BK69"/>
  <c r="V84" i="1"/>
  <c r="X84"/>
  <c r="AF81"/>
  <c r="AD82"/>
  <c r="F72" i="38"/>
  <c r="AM72" s="1"/>
  <c r="D72"/>
  <c r="E72"/>
  <c r="Z72"/>
  <c r="AA72" s="1"/>
  <c r="A74" i="26"/>
  <c r="B74" s="1"/>
  <c r="B91" i="1"/>
  <c r="F92" i="52"/>
  <c r="A97" i="53"/>
  <c r="B98" s="1"/>
  <c r="E90" i="1"/>
  <c r="K90"/>
  <c r="N90" s="1"/>
  <c r="B73" i="38"/>
  <c r="C90" i="1"/>
  <c r="D90" s="1"/>
  <c r="A90"/>
  <c r="L90"/>
  <c r="M89" s="1"/>
  <c r="AR70" i="38"/>
  <c r="AO71"/>
  <c r="AP71" s="1"/>
  <c r="AQ71" s="1"/>
  <c r="AN71"/>
  <c r="CJ30" i="55"/>
  <c r="S87" i="1"/>
  <c r="O68" i="38"/>
  <c r="P89" i="1"/>
  <c r="BO31" i="55"/>
  <c r="BO35" s="1"/>
  <c r="D88" i="53"/>
  <c r="I88"/>
  <c r="D78" i="48"/>
  <c r="W78" s="1"/>
  <c r="E78"/>
  <c r="X78" s="1"/>
  <c r="B79"/>
  <c r="C78"/>
  <c r="L90" i="53"/>
  <c r="B67" i="54"/>
  <c r="AR71" i="38" l="1"/>
  <c r="AS71" s="1"/>
  <c r="AU71" s="1"/>
  <c r="AV71" s="1"/>
  <c r="BA71" s="1"/>
  <c r="BB71" s="1"/>
  <c r="BH71" s="1"/>
  <c r="BJ71" s="1"/>
  <c r="P71" s="1"/>
  <c r="O71" s="1"/>
  <c r="F78" i="48"/>
  <c r="Y78" s="1"/>
  <c r="V78"/>
  <c r="P90" i="1"/>
  <c r="L91"/>
  <c r="M90" s="1"/>
  <c r="B92"/>
  <c r="E91"/>
  <c r="A75" i="26"/>
  <c r="B75" s="1"/>
  <c r="F93" i="52"/>
  <c r="A98" i="53"/>
  <c r="B99" s="1"/>
  <c r="B74" i="38"/>
  <c r="K91" i="1"/>
  <c r="N91" s="1"/>
  <c r="C91"/>
  <c r="D91" s="1"/>
  <c r="A91"/>
  <c r="B68" i="54"/>
  <c r="L91" i="53"/>
  <c r="B80" i="48"/>
  <c r="C79"/>
  <c r="D79"/>
  <c r="W79" s="1"/>
  <c r="E79"/>
  <c r="X79" s="1"/>
  <c r="CJ31" i="55"/>
  <c r="AJ90" i="1"/>
  <c r="AC90"/>
  <c r="AL90"/>
  <c r="AI90"/>
  <c r="AM90"/>
  <c r="Z90"/>
  <c r="AH90"/>
  <c r="E92" i="52"/>
  <c r="AO72" i="38"/>
  <c r="AP72" s="1"/>
  <c r="AQ72" s="1"/>
  <c r="AN72"/>
  <c r="AB84" i="1"/>
  <c r="AE84" s="1"/>
  <c r="AK84" s="1"/>
  <c r="AA84"/>
  <c r="E91" i="53" s="1"/>
  <c r="S88" i="1"/>
  <c r="I89" i="53"/>
  <c r="CK3" i="55" s="1"/>
  <c r="D89" i="53"/>
  <c r="E3" i="55" s="1"/>
  <c r="BP3"/>
  <c r="BA86" i="1"/>
  <c r="BD86" s="1"/>
  <c r="BE86" s="1"/>
  <c r="T86" s="1"/>
  <c r="U86" s="1"/>
  <c r="BC87"/>
  <c r="AU4" i="55"/>
  <c r="G90" i="53"/>
  <c r="D31" i="55"/>
  <c r="D35" s="1"/>
  <c r="V85" i="1"/>
  <c r="X85"/>
  <c r="W89"/>
  <c r="R89"/>
  <c r="BK70" i="38"/>
  <c r="AS70"/>
  <c r="AU70" s="1"/>
  <c r="AV70" s="1"/>
  <c r="BA70" s="1"/>
  <c r="BB70" s="1"/>
  <c r="BH70" s="1"/>
  <c r="BJ70" s="1"/>
  <c r="P70" s="1"/>
  <c r="D73"/>
  <c r="E73"/>
  <c r="Z73"/>
  <c r="AA73" s="1"/>
  <c r="F73"/>
  <c r="AM73" s="1"/>
  <c r="AF82" i="1"/>
  <c r="AD83"/>
  <c r="BK71" i="38" l="1"/>
  <c r="S89" i="1"/>
  <c r="AR72" i="38"/>
  <c r="D80" i="48"/>
  <c r="W80" s="1"/>
  <c r="E80"/>
  <c r="X80" s="1"/>
  <c r="B81"/>
  <c r="C80"/>
  <c r="AN73" i="38"/>
  <c r="AO73"/>
  <c r="AP73" s="1"/>
  <c r="AQ73" s="1"/>
  <c r="O70"/>
  <c r="AB85" i="1"/>
  <c r="AE85" s="1"/>
  <c r="AK85" s="1"/>
  <c r="AA85"/>
  <c r="E92" i="53" s="1"/>
  <c r="D90"/>
  <c r="BP4" i="55"/>
  <c r="I90" i="53"/>
  <c r="BA87" i="1"/>
  <c r="BD87" s="1"/>
  <c r="BE87" s="1"/>
  <c r="T87" s="1"/>
  <c r="U87" s="1"/>
  <c r="BC88"/>
  <c r="B69" i="54"/>
  <c r="L92" i="53"/>
  <c r="P91" i="1"/>
  <c r="W90"/>
  <c r="R90"/>
  <c r="V86"/>
  <c r="X86"/>
  <c r="AU5" i="55"/>
  <c r="G91" i="53"/>
  <c r="E74" i="38"/>
  <c r="D74"/>
  <c r="Z74"/>
  <c r="AA74" s="1"/>
  <c r="F74"/>
  <c r="AM74" s="1"/>
  <c r="E93" i="52"/>
  <c r="AF83" i="1"/>
  <c r="AD84"/>
  <c r="V79" i="48"/>
  <c r="F79"/>
  <c r="Y79" s="1"/>
  <c r="AH91" i="1"/>
  <c r="AJ91"/>
  <c r="AC91"/>
  <c r="Z91"/>
  <c r="AL91"/>
  <c r="AI91"/>
  <c r="AM91"/>
  <c r="A76" i="26"/>
  <c r="B76" s="1"/>
  <c r="F94" i="52"/>
  <c r="C92" i="1"/>
  <c r="D92" s="1"/>
  <c r="K92"/>
  <c r="N92" s="1"/>
  <c r="B93"/>
  <c r="L92"/>
  <c r="M91" s="1"/>
  <c r="E92"/>
  <c r="B75" i="38"/>
  <c r="A99" i="53"/>
  <c r="B100" s="1"/>
  <c r="A92" i="1"/>
  <c r="AR73" i="38" l="1"/>
  <c r="AS73" s="1"/>
  <c r="AU73" s="1"/>
  <c r="AV73" s="1"/>
  <c r="BA73" s="1"/>
  <c r="BB73" s="1"/>
  <c r="BH73" s="1"/>
  <c r="BJ73" s="1"/>
  <c r="P73" s="1"/>
  <c r="O73" s="1"/>
  <c r="AJ92" i="1"/>
  <c r="AH92"/>
  <c r="AM92"/>
  <c r="Z92"/>
  <c r="AI92"/>
  <c r="AL92"/>
  <c r="AC92"/>
  <c r="S90"/>
  <c r="V87"/>
  <c r="X87"/>
  <c r="CK4" i="55"/>
  <c r="BK72" i="38"/>
  <c r="AS72"/>
  <c r="AU72" s="1"/>
  <c r="AV72" s="1"/>
  <c r="BA72" s="1"/>
  <c r="BB72" s="1"/>
  <c r="BH72" s="1"/>
  <c r="BJ72" s="1"/>
  <c r="P72" s="1"/>
  <c r="E93" i="1"/>
  <c r="A93"/>
  <c r="A100" i="53"/>
  <c r="B101" s="1"/>
  <c r="C93" i="1"/>
  <c r="D93" s="1"/>
  <c r="L93"/>
  <c r="M92" s="1"/>
  <c r="B94"/>
  <c r="B76" i="38"/>
  <c r="F95" i="52"/>
  <c r="A77" i="26"/>
  <c r="B77" s="1"/>
  <c r="K93" i="1"/>
  <c r="N93" s="1"/>
  <c r="AN74" i="38"/>
  <c r="AR74" s="1"/>
  <c r="AO74"/>
  <c r="AP74" s="1"/>
  <c r="AQ74" s="1"/>
  <c r="AB86" i="1"/>
  <c r="AE86" s="1"/>
  <c r="AK86" s="1"/>
  <c r="AA86"/>
  <c r="E93" i="53" s="1"/>
  <c r="L93"/>
  <c r="B70" i="54"/>
  <c r="V80" i="48"/>
  <c r="F80"/>
  <c r="Y80" s="1"/>
  <c r="E75" i="38"/>
  <c r="Z75"/>
  <c r="AA75" s="1"/>
  <c r="D75"/>
  <c r="F75"/>
  <c r="AM75" s="1"/>
  <c r="P92" i="1"/>
  <c r="BP5" i="55"/>
  <c r="I91" i="53"/>
  <c r="D91"/>
  <c r="E4" i="55"/>
  <c r="D81" i="48"/>
  <c r="W81" s="1"/>
  <c r="E81"/>
  <c r="X81" s="1"/>
  <c r="B82"/>
  <c r="C81"/>
  <c r="E94" i="52"/>
  <c r="AF84" i="1"/>
  <c r="AD85"/>
  <c r="W91"/>
  <c r="R91"/>
  <c r="BA88"/>
  <c r="BD88" s="1"/>
  <c r="BE88" s="1"/>
  <c r="T88" s="1"/>
  <c r="U88" s="1"/>
  <c r="BC89"/>
  <c r="AU6" i="55"/>
  <c r="G92" i="53"/>
  <c r="BK73" i="38" l="1"/>
  <c r="BA89" i="1"/>
  <c r="BD89" s="1"/>
  <c r="BE89" s="1"/>
  <c r="T89" s="1"/>
  <c r="U89" s="1"/>
  <c r="BC90"/>
  <c r="S91"/>
  <c r="AU7" i="55"/>
  <c r="G93" i="53"/>
  <c r="BK74" i="38"/>
  <c r="AS74"/>
  <c r="AU74" s="1"/>
  <c r="AV74" s="1"/>
  <c r="BA74" s="1"/>
  <c r="BB74" s="1"/>
  <c r="BH74" s="1"/>
  <c r="BJ74" s="1"/>
  <c r="P74" s="1"/>
  <c r="O74" s="1"/>
  <c r="E95" i="52"/>
  <c r="AB87" i="1"/>
  <c r="AE87" s="1"/>
  <c r="AK87" s="1"/>
  <c r="AA87"/>
  <c r="E94" i="53" s="1"/>
  <c r="V88" i="1"/>
  <c r="X88"/>
  <c r="B71" i="54"/>
  <c r="L94" i="53"/>
  <c r="BP6" i="55"/>
  <c r="D92" i="53"/>
  <c r="I92"/>
  <c r="F81" i="48"/>
  <c r="Y81" s="1"/>
  <c r="V81"/>
  <c r="E5" i="55"/>
  <c r="AO75" i="38"/>
  <c r="AP75" s="1"/>
  <c r="AQ75" s="1"/>
  <c r="AN75"/>
  <c r="E76"/>
  <c r="Z76"/>
  <c r="AA76" s="1"/>
  <c r="D76"/>
  <c r="F76"/>
  <c r="AM76" s="1"/>
  <c r="O72"/>
  <c r="AF85" i="1"/>
  <c r="AD86"/>
  <c r="C82" i="48"/>
  <c r="B83"/>
  <c r="D82"/>
  <c r="W82" s="1"/>
  <c r="E82"/>
  <c r="X82" s="1"/>
  <c r="CK5" i="55"/>
  <c r="W92" i="1"/>
  <c r="R92"/>
  <c r="P93"/>
  <c r="E94"/>
  <c r="L94"/>
  <c r="M93" s="1"/>
  <c r="K94"/>
  <c r="N94" s="1"/>
  <c r="A78" i="26"/>
  <c r="B78" s="1"/>
  <c r="A101" i="53"/>
  <c r="B102" s="1"/>
  <c r="B77" i="38"/>
  <c r="F96" i="52"/>
  <c r="C94" i="1"/>
  <c r="D94" s="1"/>
  <c r="B95"/>
  <c r="A94"/>
  <c r="Z93"/>
  <c r="AC93"/>
  <c r="AJ93"/>
  <c r="AI93"/>
  <c r="AM93"/>
  <c r="AL93"/>
  <c r="AH93"/>
  <c r="K95" l="1"/>
  <c r="N95" s="1"/>
  <c r="A102" i="53"/>
  <c r="B103" s="1"/>
  <c r="B96" i="1"/>
  <c r="L95"/>
  <c r="M94" s="1"/>
  <c r="C95"/>
  <c r="D95" s="1"/>
  <c r="B78" i="38"/>
  <c r="E95" i="1"/>
  <c r="A79" i="26"/>
  <c r="B79" s="1"/>
  <c r="A95" i="1"/>
  <c r="F97" i="52"/>
  <c r="E96"/>
  <c r="V82" i="48"/>
  <c r="F82"/>
  <c r="Y82" s="1"/>
  <c r="AR75" i="38"/>
  <c r="B72" i="54"/>
  <c r="L95" i="53"/>
  <c r="V89" i="1"/>
  <c r="X89"/>
  <c r="W93"/>
  <c r="R93"/>
  <c r="S92"/>
  <c r="P94"/>
  <c r="AF86"/>
  <c r="AD87"/>
  <c r="AN76" i="38"/>
  <c r="AO76"/>
  <c r="AP76" s="1"/>
  <c r="AQ76" s="1"/>
  <c r="CK6" i="55"/>
  <c r="AB88" i="1"/>
  <c r="AE88" s="1"/>
  <c r="AK88" s="1"/>
  <c r="AA88"/>
  <c r="E95" i="53" s="1"/>
  <c r="AJ94" i="1"/>
  <c r="AC94"/>
  <c r="Z94"/>
  <c r="AL94"/>
  <c r="AI94"/>
  <c r="AM94"/>
  <c r="AH94"/>
  <c r="E77" i="38"/>
  <c r="D77"/>
  <c r="Z77"/>
  <c r="AA77" s="1"/>
  <c r="F77"/>
  <c r="AM77" s="1"/>
  <c r="D83" i="48"/>
  <c r="W83" s="1"/>
  <c r="C83"/>
  <c r="E83"/>
  <c r="X83" s="1"/>
  <c r="B84"/>
  <c r="E6" i="55"/>
  <c r="AU8"/>
  <c r="G94" i="53"/>
  <c r="I93"/>
  <c r="BP7" i="55"/>
  <c r="D93" i="53"/>
  <c r="BA90" i="1"/>
  <c r="BD90" s="1"/>
  <c r="BE90" s="1"/>
  <c r="T90" s="1"/>
  <c r="U90" s="1"/>
  <c r="BC91"/>
  <c r="CK7" i="55" l="1"/>
  <c r="BA91" i="1"/>
  <c r="BD91" s="1"/>
  <c r="BE91" s="1"/>
  <c r="T91" s="1"/>
  <c r="U91" s="1"/>
  <c r="BC92"/>
  <c r="C84" i="48"/>
  <c r="B85"/>
  <c r="D84"/>
  <c r="W84" s="1"/>
  <c r="E84"/>
  <c r="X84" s="1"/>
  <c r="AO77" i="38"/>
  <c r="AP77" s="1"/>
  <c r="AQ77" s="1"/>
  <c r="AN77"/>
  <c r="AR76"/>
  <c r="S93" i="1"/>
  <c r="D78" i="38"/>
  <c r="F78"/>
  <c r="AM78" s="1"/>
  <c r="Z78"/>
  <c r="AA78" s="1"/>
  <c r="E78"/>
  <c r="V90" i="1"/>
  <c r="X90"/>
  <c r="E7" i="55"/>
  <c r="W94" i="1"/>
  <c r="R94"/>
  <c r="AI95"/>
  <c r="AM95"/>
  <c r="AH95"/>
  <c r="AC95"/>
  <c r="Z95"/>
  <c r="AL95"/>
  <c r="AJ95"/>
  <c r="P95"/>
  <c r="V83" i="48"/>
  <c r="F83"/>
  <c r="Y83" s="1"/>
  <c r="AU9" i="55"/>
  <c r="G95" i="53"/>
  <c r="B73" i="54"/>
  <c r="L96" i="53"/>
  <c r="BP8" i="55"/>
  <c r="D94" i="53"/>
  <c r="E8" i="55" s="1"/>
  <c r="I94" i="53"/>
  <c r="CK8" i="55" s="1"/>
  <c r="AF87" i="1"/>
  <c r="AD88"/>
  <c r="AB89"/>
  <c r="AE89" s="1"/>
  <c r="AK89" s="1"/>
  <c r="AA89"/>
  <c r="E96" i="53" s="1"/>
  <c r="BK75" i="38"/>
  <c r="AS75"/>
  <c r="AU75" s="1"/>
  <c r="AV75" s="1"/>
  <c r="BA75" s="1"/>
  <c r="BB75" s="1"/>
  <c r="BH75" s="1"/>
  <c r="BJ75" s="1"/>
  <c r="P75" s="1"/>
  <c r="E97" i="52"/>
  <c r="F98"/>
  <c r="A96" i="1"/>
  <c r="B79" i="38"/>
  <c r="A80" i="26"/>
  <c r="B80" s="1"/>
  <c r="C96" i="1"/>
  <c r="D96" s="1"/>
  <c r="A103" i="53"/>
  <c r="B104" s="1"/>
  <c r="K96" i="1"/>
  <c r="N96" s="1"/>
  <c r="B97"/>
  <c r="E96"/>
  <c r="L96"/>
  <c r="M95" s="1"/>
  <c r="AH96" l="1"/>
  <c r="Z96"/>
  <c r="AC96"/>
  <c r="AL96"/>
  <c r="AI96"/>
  <c r="AJ96"/>
  <c r="AM96"/>
  <c r="L97" i="53"/>
  <c r="B74" i="54"/>
  <c r="D95" i="53"/>
  <c r="I95"/>
  <c r="BP9" i="55"/>
  <c r="V84" i="48"/>
  <c r="F84"/>
  <c r="Y84" s="1"/>
  <c r="V91" i="1"/>
  <c r="X91"/>
  <c r="O75" i="38"/>
  <c r="AN78"/>
  <c r="AO78"/>
  <c r="AP78" s="1"/>
  <c r="AQ78" s="1"/>
  <c r="E98" i="52"/>
  <c r="C97" i="1"/>
  <c r="D97" s="1"/>
  <c r="B98"/>
  <c r="E97"/>
  <c r="K97"/>
  <c r="N97" s="1"/>
  <c r="A104" i="53"/>
  <c r="B105" s="1"/>
  <c r="F99" i="52"/>
  <c r="A81" i="26"/>
  <c r="B81" s="1"/>
  <c r="A97" i="1"/>
  <c r="B80" i="38"/>
  <c r="L97" i="1"/>
  <c r="M96" s="1"/>
  <c r="AU10" i="55"/>
  <c r="G96" i="53"/>
  <c r="W95" i="1"/>
  <c r="R95"/>
  <c r="S94"/>
  <c r="AB90"/>
  <c r="AE90" s="1"/>
  <c r="AK90" s="1"/>
  <c r="AA90"/>
  <c r="E97" i="53" s="1"/>
  <c r="P96" i="1"/>
  <c r="D79" i="38"/>
  <c r="Z79"/>
  <c r="AA79" s="1"/>
  <c r="E79"/>
  <c r="F79"/>
  <c r="AM79" s="1"/>
  <c r="AF88" i="1"/>
  <c r="AD89"/>
  <c r="BK76" i="38"/>
  <c r="AS76"/>
  <c r="AU76" s="1"/>
  <c r="AV76" s="1"/>
  <c r="BA76" s="1"/>
  <c r="BB76" s="1"/>
  <c r="BH76" s="1"/>
  <c r="BJ76" s="1"/>
  <c r="P76" s="1"/>
  <c r="O76" s="1"/>
  <c r="AR77"/>
  <c r="C85" i="48"/>
  <c r="E85"/>
  <c r="X85" s="1"/>
  <c r="B86"/>
  <c r="D85"/>
  <c r="W85" s="1"/>
  <c r="BA92" i="1"/>
  <c r="BD92" s="1"/>
  <c r="BE92" s="1"/>
  <c r="T92" s="1"/>
  <c r="U92" s="1"/>
  <c r="BC93"/>
  <c r="E86" i="48" l="1"/>
  <c r="X86" s="1"/>
  <c r="D86"/>
  <c r="W86" s="1"/>
  <c r="C86"/>
  <c r="B87"/>
  <c r="AO79" i="38"/>
  <c r="AP79" s="1"/>
  <c r="AQ79" s="1"/>
  <c r="AN79"/>
  <c r="W96" i="1"/>
  <c r="R96"/>
  <c r="BP10" i="55"/>
  <c r="D96" i="53"/>
  <c r="I96"/>
  <c r="Z80" i="38"/>
  <c r="AA80" s="1"/>
  <c r="F80"/>
  <c r="AM80" s="1"/>
  <c r="D80"/>
  <c r="E80"/>
  <c r="AB91" i="1"/>
  <c r="AE91" s="1"/>
  <c r="AK91" s="1"/>
  <c r="AA91"/>
  <c r="E98" i="53" s="1"/>
  <c r="BA93" i="1"/>
  <c r="BD93" s="1"/>
  <c r="BE93" s="1"/>
  <c r="T93" s="1"/>
  <c r="U93" s="1"/>
  <c r="BC94"/>
  <c r="S95"/>
  <c r="AJ97"/>
  <c r="AM97"/>
  <c r="AH97"/>
  <c r="Z97"/>
  <c r="AL97"/>
  <c r="AI97"/>
  <c r="AC97"/>
  <c r="P97"/>
  <c r="CK9" i="55"/>
  <c r="B75" i="54"/>
  <c r="L98" i="53"/>
  <c r="V92" i="1"/>
  <c r="X92"/>
  <c r="V85" i="48"/>
  <c r="F85"/>
  <c r="Y85" s="1"/>
  <c r="AF89" i="1"/>
  <c r="AD90"/>
  <c r="E99" i="52"/>
  <c r="E9" i="55"/>
  <c r="AS77" i="38"/>
  <c r="AU77" s="1"/>
  <c r="AV77" s="1"/>
  <c r="BA77" s="1"/>
  <c r="BB77" s="1"/>
  <c r="BH77" s="1"/>
  <c r="BJ77" s="1"/>
  <c r="P77" s="1"/>
  <c r="O77" s="1"/>
  <c r="BK77"/>
  <c r="AU11" i="55"/>
  <c r="G97" i="53"/>
  <c r="A82" i="26"/>
  <c r="B82" s="1"/>
  <c r="L98" i="1"/>
  <c r="M97" s="1"/>
  <c r="B81" i="38"/>
  <c r="A105" i="53"/>
  <c r="B106" s="1"/>
  <c r="F100" i="52"/>
  <c r="A98" i="1"/>
  <c r="C98"/>
  <c r="D98" s="1"/>
  <c r="E98"/>
  <c r="K98"/>
  <c r="N98" s="1"/>
  <c r="B99"/>
  <c r="AR78" i="38"/>
  <c r="F101" i="52" l="1"/>
  <c r="C99" i="1"/>
  <c r="D99" s="1"/>
  <c r="L99"/>
  <c r="M98" s="1"/>
  <c r="B82" i="38"/>
  <c r="A106" i="53"/>
  <c r="B107" s="1"/>
  <c r="K99" i="1"/>
  <c r="N99" s="1"/>
  <c r="A99"/>
  <c r="E99"/>
  <c r="A83" i="26"/>
  <c r="B83" s="1"/>
  <c r="B100" i="1"/>
  <c r="Z98"/>
  <c r="AI98"/>
  <c r="AL98"/>
  <c r="AH98"/>
  <c r="AC98"/>
  <c r="AM98"/>
  <c r="AJ98"/>
  <c r="BA94"/>
  <c r="BD94" s="1"/>
  <c r="BE94" s="1"/>
  <c r="T94" s="1"/>
  <c r="U94" s="1"/>
  <c r="BC95"/>
  <c r="S96"/>
  <c r="D87" i="48"/>
  <c r="W87" s="1"/>
  <c r="C87"/>
  <c r="B88"/>
  <c r="E87"/>
  <c r="X87" s="1"/>
  <c r="P98" i="1"/>
  <c r="V93"/>
  <c r="X93"/>
  <c r="V86" i="48"/>
  <c r="F86"/>
  <c r="Y86" s="1"/>
  <c r="BK78" i="38"/>
  <c r="AS78"/>
  <c r="AU78" s="1"/>
  <c r="AV78" s="1"/>
  <c r="BA78" s="1"/>
  <c r="BB78" s="1"/>
  <c r="BH78" s="1"/>
  <c r="BJ78" s="1"/>
  <c r="P78" s="1"/>
  <c r="E100" i="52"/>
  <c r="AF90" i="1"/>
  <c r="AD91"/>
  <c r="AB92"/>
  <c r="AE92" s="1"/>
  <c r="AK92" s="1"/>
  <c r="AA92"/>
  <c r="E99" i="53" s="1"/>
  <c r="B76" i="54"/>
  <c r="L99" i="53"/>
  <c r="W97" i="1"/>
  <c r="R97"/>
  <c r="AU12" i="55"/>
  <c r="G98" i="53"/>
  <c r="AN80" i="38"/>
  <c r="AO80"/>
  <c r="AP80" s="1"/>
  <c r="AQ80" s="1"/>
  <c r="CK10" i="55"/>
  <c r="AR79" i="38"/>
  <c r="E81"/>
  <c r="Z81"/>
  <c r="AA81" s="1"/>
  <c r="F81"/>
  <c r="AM81" s="1"/>
  <c r="D81"/>
  <c r="BP11" i="55"/>
  <c r="I97" i="53"/>
  <c r="D97"/>
  <c r="E10" i="55"/>
  <c r="CK11" l="1"/>
  <c r="BP12"/>
  <c r="I98" i="53"/>
  <c r="CK12" i="55" s="1"/>
  <c r="D98" i="53"/>
  <c r="S97" i="1"/>
  <c r="B77" i="54"/>
  <c r="L100" i="53"/>
  <c r="AF91" i="1"/>
  <c r="AD92"/>
  <c r="O78" i="38"/>
  <c r="C88" i="48"/>
  <c r="E88"/>
  <c r="X88" s="1"/>
  <c r="D88"/>
  <c r="W88" s="1"/>
  <c r="B89"/>
  <c r="F102" i="52"/>
  <c r="C100" i="1"/>
  <c r="D100" s="1"/>
  <c r="L100"/>
  <c r="M99" s="1"/>
  <c r="B101"/>
  <c r="B83" i="38"/>
  <c r="A84" i="26"/>
  <c r="B84" s="1"/>
  <c r="K100" i="1"/>
  <c r="N100" s="1"/>
  <c r="A100"/>
  <c r="A107" i="53"/>
  <c r="B108" s="1"/>
  <c r="E100" i="1"/>
  <c r="P99"/>
  <c r="V87" i="48"/>
  <c r="F87"/>
  <c r="Y87" s="1"/>
  <c r="BA95" i="1"/>
  <c r="BD95" s="1"/>
  <c r="BE95" s="1"/>
  <c r="T95" s="1"/>
  <c r="U95" s="1"/>
  <c r="BC96"/>
  <c r="AU13" i="55"/>
  <c r="G99" i="53"/>
  <c r="AB93" i="1"/>
  <c r="AE93" s="1"/>
  <c r="AK93" s="1"/>
  <c r="AA93"/>
  <c r="E100" i="53" s="1"/>
  <c r="V94" i="1"/>
  <c r="X94"/>
  <c r="E101" i="52"/>
  <c r="D82" i="38"/>
  <c r="E82"/>
  <c r="Z82"/>
  <c r="AA82" s="1"/>
  <c r="F82"/>
  <c r="AM82" s="1"/>
  <c r="E11" i="55"/>
  <c r="AN81" i="38"/>
  <c r="AO81"/>
  <c r="AP81" s="1"/>
  <c r="AQ81" s="1"/>
  <c r="AS79"/>
  <c r="AU79" s="1"/>
  <c r="AV79" s="1"/>
  <c r="BA79" s="1"/>
  <c r="BB79" s="1"/>
  <c r="BH79" s="1"/>
  <c r="BJ79" s="1"/>
  <c r="P79" s="1"/>
  <c r="BK79"/>
  <c r="AR80"/>
  <c r="W98" i="1"/>
  <c r="R98"/>
  <c r="Z99"/>
  <c r="AC99"/>
  <c r="AH99"/>
  <c r="AI99"/>
  <c r="AM99"/>
  <c r="AJ99"/>
  <c r="AL99"/>
  <c r="S98" l="1"/>
  <c r="AO82" i="38"/>
  <c r="AP82" s="1"/>
  <c r="AQ82" s="1"/>
  <c r="AN82"/>
  <c r="AB94" i="1"/>
  <c r="AE94" s="1"/>
  <c r="AK94" s="1"/>
  <c r="AA94"/>
  <c r="E101" i="53" s="1"/>
  <c r="BP13" i="55"/>
  <c r="I99" i="53"/>
  <c r="D99"/>
  <c r="P100" i="1"/>
  <c r="F88" i="48"/>
  <c r="Y88" s="1"/>
  <c r="V88"/>
  <c r="AF92" i="1"/>
  <c r="AD93"/>
  <c r="E12" i="55"/>
  <c r="AR81" i="38"/>
  <c r="BA96" i="1"/>
  <c r="BD96" s="1"/>
  <c r="BE96" s="1"/>
  <c r="T96" s="1"/>
  <c r="U96" s="1"/>
  <c r="BC97"/>
  <c r="W99"/>
  <c r="R99"/>
  <c r="E102" i="52"/>
  <c r="E89" i="48"/>
  <c r="X89" s="1"/>
  <c r="D89"/>
  <c r="W89" s="1"/>
  <c r="B90"/>
  <c r="C89"/>
  <c r="AU14" i="55"/>
  <c r="G100" i="53"/>
  <c r="V95" i="1"/>
  <c r="X95"/>
  <c r="F83" i="38"/>
  <c r="AM83" s="1"/>
  <c r="D83"/>
  <c r="E83"/>
  <c r="Z83"/>
  <c r="AA83" s="1"/>
  <c r="L101" i="53"/>
  <c r="B78" i="54"/>
  <c r="BK80" i="38"/>
  <c r="AS80"/>
  <c r="AU80" s="1"/>
  <c r="AV80" s="1"/>
  <c r="BA80" s="1"/>
  <c r="BB80" s="1"/>
  <c r="BH80" s="1"/>
  <c r="BJ80" s="1"/>
  <c r="P80" s="1"/>
  <c r="O79"/>
  <c r="AJ100" i="1"/>
  <c r="AH100"/>
  <c r="Z100"/>
  <c r="AM100"/>
  <c r="AI100"/>
  <c r="AL100"/>
  <c r="AC100"/>
  <c r="E101"/>
  <c r="A108" i="53"/>
  <c r="B109" s="1"/>
  <c r="A85" i="26"/>
  <c r="B85" s="1"/>
  <c r="F103" i="52"/>
  <c r="B84" i="38"/>
  <c r="B102" i="1"/>
  <c r="A101"/>
  <c r="L101"/>
  <c r="M100" s="1"/>
  <c r="K101"/>
  <c r="N101" s="1"/>
  <c r="C101"/>
  <c r="D101" s="1"/>
  <c r="AR82" i="38" l="1"/>
  <c r="BK82" s="1"/>
  <c r="V89" i="48"/>
  <c r="F89"/>
  <c r="Y89" s="1"/>
  <c r="S99" i="1"/>
  <c r="Z101"/>
  <c r="AJ101"/>
  <c r="AL101"/>
  <c r="AM101"/>
  <c r="AH101"/>
  <c r="AI101"/>
  <c r="AC101"/>
  <c r="D100" i="53"/>
  <c r="BP14" i="55"/>
  <c r="I100" i="53"/>
  <c r="C90" i="48"/>
  <c r="D90"/>
  <c r="W90" s="1"/>
  <c r="E90"/>
  <c r="X90" s="1"/>
  <c r="B91"/>
  <c r="BA97" i="1"/>
  <c r="BD97" s="1"/>
  <c r="BE97" s="1"/>
  <c r="T97" s="1"/>
  <c r="U97" s="1"/>
  <c r="BC98"/>
  <c r="F104" i="52"/>
  <c r="E102" i="1"/>
  <c r="C102"/>
  <c r="D102" s="1"/>
  <c r="B85" i="38"/>
  <c r="L102" i="1"/>
  <c r="M101" s="1"/>
  <c r="A102"/>
  <c r="A86" i="26"/>
  <c r="B86" s="1"/>
  <c r="K102" i="1"/>
  <c r="N102" s="1"/>
  <c r="A109" i="53"/>
  <c r="B110" s="1"/>
  <c r="B103" i="1"/>
  <c r="L102" i="53"/>
  <c r="B79" i="54"/>
  <c r="AN83" i="38"/>
  <c r="AO83"/>
  <c r="AP83" s="1"/>
  <c r="AQ83" s="1"/>
  <c r="V96" i="1"/>
  <c r="X96"/>
  <c r="AF93"/>
  <c r="AD94"/>
  <c r="E13" i="55"/>
  <c r="P101" i="1"/>
  <c r="E84" i="38"/>
  <c r="D84"/>
  <c r="Z84"/>
  <c r="AA84" s="1"/>
  <c r="F84"/>
  <c r="AM84" s="1"/>
  <c r="E103" i="52"/>
  <c r="O80" i="38"/>
  <c r="AB95" i="1"/>
  <c r="AE95" s="1"/>
  <c r="AK95" s="1"/>
  <c r="AA95"/>
  <c r="E102" i="53" s="1"/>
  <c r="AS81" i="38"/>
  <c r="AU81" s="1"/>
  <c r="AV81" s="1"/>
  <c r="BA81" s="1"/>
  <c r="BB81" s="1"/>
  <c r="BH81" s="1"/>
  <c r="BJ81" s="1"/>
  <c r="P81" s="1"/>
  <c r="BK81"/>
  <c r="W100" i="1"/>
  <c r="R100"/>
  <c r="CK13" i="55"/>
  <c r="AU15"/>
  <c r="G101" i="53"/>
  <c r="AR83" i="38" l="1"/>
  <c r="AS83" s="1"/>
  <c r="AU83" s="1"/>
  <c r="AV83" s="1"/>
  <c r="BA83" s="1"/>
  <c r="BB83" s="1"/>
  <c r="BH83" s="1"/>
  <c r="BJ83" s="1"/>
  <c r="P83" s="1"/>
  <c r="AS82"/>
  <c r="AU82" s="1"/>
  <c r="AV82" s="1"/>
  <c r="BA82" s="1"/>
  <c r="BB82" s="1"/>
  <c r="BH82" s="1"/>
  <c r="BJ82" s="1"/>
  <c r="P82" s="1"/>
  <c r="O82" s="1"/>
  <c r="D101" i="53"/>
  <c r="I101"/>
  <c r="BP15" i="55"/>
  <c r="O81" i="38"/>
  <c r="AU16" i="55"/>
  <c r="G102" i="53"/>
  <c r="AN84" i="38"/>
  <c r="AO84"/>
  <c r="AP84" s="1"/>
  <c r="AQ84" s="1"/>
  <c r="W101" i="1"/>
  <c r="R101"/>
  <c r="AF94"/>
  <c r="AD95"/>
  <c r="K103"/>
  <c r="N103" s="1"/>
  <c r="A87" i="26"/>
  <c r="B87" s="1"/>
  <c r="E103" i="1"/>
  <c r="A110" i="53"/>
  <c r="B111" s="1"/>
  <c r="C103" i="1"/>
  <c r="D103" s="1"/>
  <c r="B104"/>
  <c r="B86" i="38"/>
  <c r="F105" i="52"/>
  <c r="A103" i="1"/>
  <c r="L103"/>
  <c r="M102" s="1"/>
  <c r="Z102"/>
  <c r="AL102"/>
  <c r="AH102"/>
  <c r="AM102"/>
  <c r="AI102"/>
  <c r="AJ102"/>
  <c r="AC102"/>
  <c r="E104" i="52"/>
  <c r="BA98" i="1"/>
  <c r="BD98" s="1"/>
  <c r="BE98" s="1"/>
  <c r="T98" s="1"/>
  <c r="U98" s="1"/>
  <c r="BC99"/>
  <c r="CK14" i="55"/>
  <c r="S100" i="1"/>
  <c r="B80" i="54"/>
  <c r="L103" i="53"/>
  <c r="V97" i="1"/>
  <c r="X97"/>
  <c r="F90" i="48"/>
  <c r="Y90" s="1"/>
  <c r="V90"/>
  <c r="AB96" i="1"/>
  <c r="AE96" s="1"/>
  <c r="AK96" s="1"/>
  <c r="AA96"/>
  <c r="E103" i="53" s="1"/>
  <c r="P102" i="1"/>
  <c r="E85" i="38"/>
  <c r="F85"/>
  <c r="AM85" s="1"/>
  <c r="D85"/>
  <c r="Z85"/>
  <c r="AA85" s="1"/>
  <c r="D91" i="48"/>
  <c r="W91" s="1"/>
  <c r="E91"/>
  <c r="X91" s="1"/>
  <c r="C91"/>
  <c r="B92"/>
  <c r="E14" i="55"/>
  <c r="BK83" i="38" l="1"/>
  <c r="AU17" i="55"/>
  <c r="G103" i="53"/>
  <c r="BA99" i="1"/>
  <c r="BD99" s="1"/>
  <c r="BE99" s="1"/>
  <c r="T99" s="1"/>
  <c r="U99" s="1"/>
  <c r="BC100"/>
  <c r="Z86" i="38"/>
  <c r="AA86" s="1"/>
  <c r="E86"/>
  <c r="F86"/>
  <c r="AM86" s="1"/>
  <c r="D86"/>
  <c r="E105" i="52"/>
  <c r="S101" i="1"/>
  <c r="CK15" i="55"/>
  <c r="O83" i="38"/>
  <c r="AO85"/>
  <c r="AP85" s="1"/>
  <c r="AQ85" s="1"/>
  <c r="AN85"/>
  <c r="B81" i="54"/>
  <c r="L104" i="53"/>
  <c r="V98" i="1"/>
  <c r="X98"/>
  <c r="E104"/>
  <c r="F106" i="52"/>
  <c r="B87" i="38"/>
  <c r="L104" i="1"/>
  <c r="M103" s="1"/>
  <c r="A104"/>
  <c r="B105"/>
  <c r="A88" i="26"/>
  <c r="B88" s="1"/>
  <c r="K104" i="1"/>
  <c r="N104" s="1"/>
  <c r="C104"/>
  <c r="D104" s="1"/>
  <c r="A111" i="53"/>
  <c r="B112" s="1"/>
  <c r="E15" i="55"/>
  <c r="C92" i="48"/>
  <c r="E92"/>
  <c r="X92" s="1"/>
  <c r="D92"/>
  <c r="W92" s="1"/>
  <c r="B93"/>
  <c r="AB97" i="1"/>
  <c r="AE97" s="1"/>
  <c r="AK97" s="1"/>
  <c r="AA97"/>
  <c r="E104" i="53" s="1"/>
  <c r="AH103" i="1"/>
  <c r="AJ103"/>
  <c r="Z103"/>
  <c r="AM103"/>
  <c r="AI103"/>
  <c r="AC103"/>
  <c r="AL103"/>
  <c r="P103"/>
  <c r="AF95"/>
  <c r="AD96"/>
  <c r="V91" i="48"/>
  <c r="F91"/>
  <c r="Y91" s="1"/>
  <c r="W102" i="1"/>
  <c r="R102"/>
  <c r="AR84" i="38"/>
  <c r="I102" i="53"/>
  <c r="D102"/>
  <c r="BP16" i="55"/>
  <c r="CK16" l="1"/>
  <c r="AF96" i="1"/>
  <c r="AD97"/>
  <c r="AJ104"/>
  <c r="AC104"/>
  <c r="AM104"/>
  <c r="AH104"/>
  <c r="AL104"/>
  <c r="AI104"/>
  <c r="Z104"/>
  <c r="E106" i="52"/>
  <c r="P104" i="1"/>
  <c r="AB98"/>
  <c r="AE98" s="1"/>
  <c r="AK98" s="1"/>
  <c r="AA98"/>
  <c r="E105" i="53" s="1"/>
  <c r="B82" i="54"/>
  <c r="L105" i="53"/>
  <c r="BA100" i="1"/>
  <c r="BD100" s="1"/>
  <c r="BE100" s="1"/>
  <c r="T100" s="1"/>
  <c r="U100" s="1"/>
  <c r="BC101"/>
  <c r="S102"/>
  <c r="W103"/>
  <c r="R103"/>
  <c r="AU18" i="55"/>
  <c r="G104" i="53"/>
  <c r="F92" i="48"/>
  <c r="Y92" s="1"/>
  <c r="V92"/>
  <c r="D87" i="38"/>
  <c r="E87"/>
  <c r="F87"/>
  <c r="AM87" s="1"/>
  <c r="Z87"/>
  <c r="AA87" s="1"/>
  <c r="AR85"/>
  <c r="AO86"/>
  <c r="AP86" s="1"/>
  <c r="AQ86" s="1"/>
  <c r="AN86"/>
  <c r="AR86" s="1"/>
  <c r="V99" i="1"/>
  <c r="X99"/>
  <c r="BP17" i="55"/>
  <c r="D103" i="53"/>
  <c r="E17" i="55" s="1"/>
  <c r="I103" i="53"/>
  <c r="CK17" i="55" s="1"/>
  <c r="E16"/>
  <c r="BK84" i="38"/>
  <c r="AS84"/>
  <c r="AU84" s="1"/>
  <c r="AV84" s="1"/>
  <c r="BA84" s="1"/>
  <c r="BB84" s="1"/>
  <c r="BH84" s="1"/>
  <c r="BJ84" s="1"/>
  <c r="P84" s="1"/>
  <c r="C93" i="48"/>
  <c r="E93"/>
  <c r="X93" s="1"/>
  <c r="D93"/>
  <c r="W93" s="1"/>
  <c r="B94"/>
  <c r="F107" i="52"/>
  <c r="K105" i="1"/>
  <c r="N105" s="1"/>
  <c r="B106"/>
  <c r="B88" i="38"/>
  <c r="L105" i="1"/>
  <c r="M104" s="1"/>
  <c r="C105"/>
  <c r="D105" s="1"/>
  <c r="A89" i="26"/>
  <c r="B89" s="1"/>
  <c r="E105" i="1"/>
  <c r="A112" i="53"/>
  <c r="B113" s="1"/>
  <c r="A105" i="1"/>
  <c r="AS86" i="38" l="1"/>
  <c r="AU86" s="1"/>
  <c r="AV86" s="1"/>
  <c r="BA86" s="1"/>
  <c r="BB86" s="1"/>
  <c r="BH86" s="1"/>
  <c r="BJ86" s="1"/>
  <c r="P86" s="1"/>
  <c r="O86" s="1"/>
  <c r="BK86"/>
  <c r="BK85"/>
  <c r="AS85"/>
  <c r="AU85" s="1"/>
  <c r="AV85" s="1"/>
  <c r="BA85" s="1"/>
  <c r="BB85" s="1"/>
  <c r="BH85" s="1"/>
  <c r="BJ85" s="1"/>
  <c r="P85" s="1"/>
  <c r="O85" s="1"/>
  <c r="S103" i="1"/>
  <c r="V100"/>
  <c r="X100"/>
  <c r="AU19" i="55"/>
  <c r="G105" i="53"/>
  <c r="E107" i="52"/>
  <c r="Z88" i="38"/>
  <c r="AA88" s="1"/>
  <c r="F88"/>
  <c r="AM88" s="1"/>
  <c r="E88"/>
  <c r="D88"/>
  <c r="F93" i="48"/>
  <c r="Y93" s="1"/>
  <c r="V93"/>
  <c r="BP18" i="55"/>
  <c r="D104" i="53"/>
  <c r="I104"/>
  <c r="E106" i="1"/>
  <c r="F108" i="52"/>
  <c r="K106" i="1"/>
  <c r="N106" s="1"/>
  <c r="A90" i="26"/>
  <c r="B90" s="1"/>
  <c r="L106" i="1"/>
  <c r="M105" s="1"/>
  <c r="B107"/>
  <c r="A113" i="53"/>
  <c r="B114" s="1"/>
  <c r="C106" i="1"/>
  <c r="D106" s="1"/>
  <c r="A106"/>
  <c r="B89" i="38"/>
  <c r="D94" i="48"/>
  <c r="W94" s="1"/>
  <c r="C94"/>
  <c r="E94"/>
  <c r="X94" s="1"/>
  <c r="B95"/>
  <c r="O84" i="38"/>
  <c r="AB99" i="1"/>
  <c r="AE99" s="1"/>
  <c r="AK99" s="1"/>
  <c r="AA99"/>
  <c r="E106" i="53" s="1"/>
  <c r="AN87" i="38"/>
  <c r="AO87"/>
  <c r="AP87" s="1"/>
  <c r="AQ87" s="1"/>
  <c r="B83" i="54"/>
  <c r="L106" i="53"/>
  <c r="W104" i="1"/>
  <c r="R104"/>
  <c r="AC105"/>
  <c r="AH105"/>
  <c r="AM105"/>
  <c r="AI105"/>
  <c r="AJ105"/>
  <c r="AL105"/>
  <c r="Z105"/>
  <c r="P105"/>
  <c r="BA101"/>
  <c r="BD101" s="1"/>
  <c r="BE101" s="1"/>
  <c r="T101" s="1"/>
  <c r="U101" s="1"/>
  <c r="BC102"/>
  <c r="AF97"/>
  <c r="AD98"/>
  <c r="AF98" l="1"/>
  <c r="AD99"/>
  <c r="B84" i="54"/>
  <c r="L107" i="53"/>
  <c r="AR87" i="38"/>
  <c r="AU20" i="55"/>
  <c r="G106" i="53"/>
  <c r="AH106" i="1"/>
  <c r="Z106"/>
  <c r="AJ106"/>
  <c r="AC106"/>
  <c r="AL106"/>
  <c r="AI106"/>
  <c r="AM106"/>
  <c r="E108" i="52"/>
  <c r="E18" i="55"/>
  <c r="BP19"/>
  <c r="I105" i="53"/>
  <c r="D105"/>
  <c r="V94" i="48"/>
  <c r="F94"/>
  <c r="Y94" s="1"/>
  <c r="BA102" i="1"/>
  <c r="BD102" s="1"/>
  <c r="BE102" s="1"/>
  <c r="T102" s="1"/>
  <c r="U102" s="1"/>
  <c r="BC103"/>
  <c r="R105"/>
  <c r="W105"/>
  <c r="S104"/>
  <c r="P106"/>
  <c r="AN88" i="38"/>
  <c r="AR88" s="1"/>
  <c r="AO88"/>
  <c r="AP88" s="1"/>
  <c r="AQ88" s="1"/>
  <c r="V101" i="1"/>
  <c r="X101"/>
  <c r="C95" i="48"/>
  <c r="E95"/>
  <c r="X95" s="1"/>
  <c r="D95"/>
  <c r="W95" s="1"/>
  <c r="B96"/>
  <c r="Z89" i="38"/>
  <c r="AA89" s="1"/>
  <c r="E89"/>
  <c r="D89"/>
  <c r="F89"/>
  <c r="AM89" s="1"/>
  <c r="A114" i="53"/>
  <c r="B115" s="1"/>
  <c r="F109" i="52"/>
  <c r="L107" i="1"/>
  <c r="M106" s="1"/>
  <c r="A107"/>
  <c r="B90" i="38"/>
  <c r="B108" i="1"/>
  <c r="K107"/>
  <c r="N107" s="1"/>
  <c r="C107"/>
  <c r="D107" s="1"/>
  <c r="E107"/>
  <c r="A91" i="26"/>
  <c r="B91" s="1"/>
  <c r="CK18" i="55"/>
  <c r="AB100" i="1"/>
  <c r="AE100" s="1"/>
  <c r="AK100" s="1"/>
  <c r="AA100"/>
  <c r="E107" i="53" s="1"/>
  <c r="AI107" i="1" l="1"/>
  <c r="Z107"/>
  <c r="AM107"/>
  <c r="AH107"/>
  <c r="AL107"/>
  <c r="AC107"/>
  <c r="AJ107"/>
  <c r="AO89" i="38"/>
  <c r="AP89" s="1"/>
  <c r="AQ89" s="1"/>
  <c r="AN89"/>
  <c r="V95" i="48"/>
  <c r="F95"/>
  <c r="Y95" s="1"/>
  <c r="W106" i="1"/>
  <c r="R106"/>
  <c r="V102"/>
  <c r="X102"/>
  <c r="CK19" i="55"/>
  <c r="AF99" i="1"/>
  <c r="AD100"/>
  <c r="P107"/>
  <c r="E96" i="48"/>
  <c r="X96" s="1"/>
  <c r="C96"/>
  <c r="D96"/>
  <c r="W96" s="1"/>
  <c r="B97"/>
  <c r="AB101" i="1"/>
  <c r="AE101" s="1"/>
  <c r="AK101" s="1"/>
  <c r="AA101"/>
  <c r="E108" i="53" s="1"/>
  <c r="BK88" i="38"/>
  <c r="AS88"/>
  <c r="AU88" s="1"/>
  <c r="AV88" s="1"/>
  <c r="BA88" s="1"/>
  <c r="BB88" s="1"/>
  <c r="BH88" s="1"/>
  <c r="BJ88" s="1"/>
  <c r="P88" s="1"/>
  <c r="O88" s="1"/>
  <c r="BK87"/>
  <c r="AS87"/>
  <c r="AU87" s="1"/>
  <c r="AV87" s="1"/>
  <c r="BA87" s="1"/>
  <c r="BB87" s="1"/>
  <c r="BH87" s="1"/>
  <c r="BJ87" s="1"/>
  <c r="P87" s="1"/>
  <c r="E108" i="1"/>
  <c r="A92" i="26"/>
  <c r="B92" s="1"/>
  <c r="F110" i="52"/>
  <c r="C108" i="1"/>
  <c r="D108" s="1"/>
  <c r="K108"/>
  <c r="N108" s="1"/>
  <c r="A108"/>
  <c r="B109"/>
  <c r="L108"/>
  <c r="M107" s="1"/>
  <c r="B91" i="38"/>
  <c r="A115" i="53"/>
  <c r="B116" s="1"/>
  <c r="S105" i="1"/>
  <c r="BP20" i="55"/>
  <c r="D106" i="53"/>
  <c r="I106"/>
  <c r="L108"/>
  <c r="B85" i="54"/>
  <c r="AU21" i="55"/>
  <c r="G107" i="53"/>
  <c r="E109" i="52"/>
  <c r="D90" i="38"/>
  <c r="E90"/>
  <c r="Z90"/>
  <c r="AA90" s="1"/>
  <c r="F90"/>
  <c r="AM90" s="1"/>
  <c r="BA103" i="1"/>
  <c r="BD103" s="1"/>
  <c r="BE103" s="1"/>
  <c r="T103" s="1"/>
  <c r="U103" s="1"/>
  <c r="BC104"/>
  <c r="E19" i="55"/>
  <c r="V103" i="1" l="1"/>
  <c r="X103"/>
  <c r="CK20" i="55"/>
  <c r="E91" i="38"/>
  <c r="D91"/>
  <c r="Z91"/>
  <c r="AA91" s="1"/>
  <c r="F91"/>
  <c r="AM91" s="1"/>
  <c r="P108" i="1"/>
  <c r="E110" i="52"/>
  <c r="E97" i="48"/>
  <c r="X97" s="1"/>
  <c r="C97"/>
  <c r="B98"/>
  <c r="D97"/>
  <c r="W97" s="1"/>
  <c r="S106" i="1"/>
  <c r="AR89" i="38"/>
  <c r="BP21" i="55"/>
  <c r="I107" i="53"/>
  <c r="D107"/>
  <c r="E20" i="55"/>
  <c r="L109" i="53"/>
  <c r="B86" i="54"/>
  <c r="A116" i="53"/>
  <c r="B117" s="1"/>
  <c r="L109" i="1"/>
  <c r="M108" s="1"/>
  <c r="C109"/>
  <c r="D109" s="1"/>
  <c r="A109"/>
  <c r="F111" i="52"/>
  <c r="K109" i="1"/>
  <c r="N109" s="1"/>
  <c r="B110"/>
  <c r="E109"/>
  <c r="B92" i="38"/>
  <c r="A93" i="26"/>
  <c r="B93" s="1"/>
  <c r="AU22" i="55"/>
  <c r="G108" i="53"/>
  <c r="V96" i="48"/>
  <c r="F96"/>
  <c r="Y96" s="1"/>
  <c r="AF100" i="1"/>
  <c r="AD101"/>
  <c r="AB102"/>
  <c r="AE102" s="1"/>
  <c r="AK102" s="1"/>
  <c r="AA102"/>
  <c r="E109" i="53" s="1"/>
  <c r="BA104" i="1"/>
  <c r="BD104" s="1"/>
  <c r="BE104" s="1"/>
  <c r="T104" s="1"/>
  <c r="U104" s="1"/>
  <c r="BC105"/>
  <c r="AN90" i="38"/>
  <c r="AO90"/>
  <c r="AP90" s="1"/>
  <c r="AQ90" s="1"/>
  <c r="AC108" i="1"/>
  <c r="AM108"/>
  <c r="AL108"/>
  <c r="AI108"/>
  <c r="Z108"/>
  <c r="AJ108"/>
  <c r="AH108"/>
  <c r="O87" i="38"/>
  <c r="W107" i="1"/>
  <c r="R107"/>
  <c r="AR90" i="38" l="1"/>
  <c r="AU23" i="55"/>
  <c r="G109" i="53"/>
  <c r="AF101" i="1"/>
  <c r="AD102"/>
  <c r="E111" i="52"/>
  <c r="Z109" i="1"/>
  <c r="AM109"/>
  <c r="AC109"/>
  <c r="AJ109"/>
  <c r="AL109"/>
  <c r="AH109"/>
  <c r="AI109"/>
  <c r="V97" i="48"/>
  <c r="F97"/>
  <c r="Y97" s="1"/>
  <c r="AO91" i="38"/>
  <c r="AP91" s="1"/>
  <c r="AQ91" s="1"/>
  <c r="AN91"/>
  <c r="BA105" i="1"/>
  <c r="BD105" s="1"/>
  <c r="BE105" s="1"/>
  <c r="T105" s="1"/>
  <c r="U105" s="1"/>
  <c r="BC106"/>
  <c r="BP22" i="55"/>
  <c r="I108" i="53"/>
  <c r="D108"/>
  <c r="A94" i="26"/>
  <c r="B94" s="1"/>
  <c r="K110" i="1"/>
  <c r="N110" s="1"/>
  <c r="C110"/>
  <c r="D110" s="1"/>
  <c r="L110"/>
  <c r="M109" s="1"/>
  <c r="F112" i="52"/>
  <c r="E110" i="1"/>
  <c r="A117" i="53"/>
  <c r="B118" s="1"/>
  <c r="A110" i="1"/>
  <c r="B111"/>
  <c r="B93" i="38"/>
  <c r="L110" i="53"/>
  <c r="B87" i="54"/>
  <c r="E21" i="55"/>
  <c r="R108" i="1"/>
  <c r="W108"/>
  <c r="AB103"/>
  <c r="AE103" s="1"/>
  <c r="AK103" s="1"/>
  <c r="AA103"/>
  <c r="E110" i="53" s="1"/>
  <c r="S107" i="1"/>
  <c r="V104"/>
  <c r="X104"/>
  <c r="P109"/>
  <c r="CK21" i="55"/>
  <c r="D92" i="38"/>
  <c r="E92"/>
  <c r="F92"/>
  <c r="AM92" s="1"/>
  <c r="Z92"/>
  <c r="AA92" s="1"/>
  <c r="BK89"/>
  <c r="AS89"/>
  <c r="AU89" s="1"/>
  <c r="AV89" s="1"/>
  <c r="BA89" s="1"/>
  <c r="BB89" s="1"/>
  <c r="BH89" s="1"/>
  <c r="BJ89" s="1"/>
  <c r="P89" s="1"/>
  <c r="E98" i="48"/>
  <c r="X98" s="1"/>
  <c r="C98"/>
  <c r="B99"/>
  <c r="D98"/>
  <c r="W98" s="1"/>
  <c r="C99" l="1"/>
  <c r="E99"/>
  <c r="X99" s="1"/>
  <c r="B100"/>
  <c r="D99"/>
  <c r="W99" s="1"/>
  <c r="AN92" i="38"/>
  <c r="AO92"/>
  <c r="AP92" s="1"/>
  <c r="AQ92" s="1"/>
  <c r="AU24" i="55"/>
  <c r="G110" i="53"/>
  <c r="Z110" i="1"/>
  <c r="AJ110"/>
  <c r="AM110"/>
  <c r="AH110"/>
  <c r="AC110"/>
  <c r="AI110"/>
  <c r="AL110"/>
  <c r="CK22" i="55"/>
  <c r="V98" i="48"/>
  <c r="F98"/>
  <c r="Y98" s="1"/>
  <c r="B88" i="54"/>
  <c r="L111" i="53"/>
  <c r="BA106" i="1"/>
  <c r="BD106" s="1"/>
  <c r="BE106" s="1"/>
  <c r="T106" s="1"/>
  <c r="U106" s="1"/>
  <c r="BC107"/>
  <c r="AR91" i="38"/>
  <c r="AF102" i="1"/>
  <c r="AD103"/>
  <c r="O89" i="38"/>
  <c r="D93"/>
  <c r="E93"/>
  <c r="Z93"/>
  <c r="AA93" s="1"/>
  <c r="F93"/>
  <c r="AM93" s="1"/>
  <c r="E112" i="52"/>
  <c r="P110" i="1"/>
  <c r="V105"/>
  <c r="X105"/>
  <c r="BK90" i="38"/>
  <c r="AS90"/>
  <c r="AU90" s="1"/>
  <c r="AV90" s="1"/>
  <c r="BA90" s="1"/>
  <c r="BB90" s="1"/>
  <c r="BH90" s="1"/>
  <c r="BJ90" s="1"/>
  <c r="P90" s="1"/>
  <c r="O90" s="1"/>
  <c r="R109" i="1"/>
  <c r="W109"/>
  <c r="AB104"/>
  <c r="AE104" s="1"/>
  <c r="AK104" s="1"/>
  <c r="AA104"/>
  <c r="E111" i="53" s="1"/>
  <c r="S108" i="1"/>
  <c r="F113" i="52"/>
  <c r="A118" i="53"/>
  <c r="B119" s="1"/>
  <c r="L111" i="1"/>
  <c r="M110" s="1"/>
  <c r="E111"/>
  <c r="A95" i="26"/>
  <c r="B95" s="1"/>
  <c r="C111" i="1"/>
  <c r="D111" s="1"/>
  <c r="K111"/>
  <c r="N111" s="1"/>
  <c r="A111"/>
  <c r="B94" i="38"/>
  <c r="B112" i="1"/>
  <c r="E22" i="55"/>
  <c r="BP23"/>
  <c r="D109" i="53"/>
  <c r="I109"/>
  <c r="D94" i="38" l="1"/>
  <c r="E94"/>
  <c r="F94"/>
  <c r="AM94" s="1"/>
  <c r="Z94"/>
  <c r="AA94" s="1"/>
  <c r="AU25" i="55"/>
  <c r="G111" i="53"/>
  <c r="AO93" i="38"/>
  <c r="AP93" s="1"/>
  <c r="AQ93" s="1"/>
  <c r="AN93"/>
  <c r="BA107" i="1"/>
  <c r="BD107" s="1"/>
  <c r="BE107" s="1"/>
  <c r="T107" s="1"/>
  <c r="U107" s="1"/>
  <c r="BC108"/>
  <c r="BP24" i="55"/>
  <c r="D110" i="53"/>
  <c r="E24" i="55" s="1"/>
  <c r="I110" i="53"/>
  <c r="AM111" i="1"/>
  <c r="AH111"/>
  <c r="AJ111"/>
  <c r="AI111"/>
  <c r="AC111"/>
  <c r="AL111"/>
  <c r="Z111"/>
  <c r="E113" i="52"/>
  <c r="BK91" i="38"/>
  <c r="AS91"/>
  <c r="AU91" s="1"/>
  <c r="AV91" s="1"/>
  <c r="BA91" s="1"/>
  <c r="BB91" s="1"/>
  <c r="BH91" s="1"/>
  <c r="BJ91" s="1"/>
  <c r="P91" s="1"/>
  <c r="O91" s="1"/>
  <c r="V106" i="1"/>
  <c r="X106"/>
  <c r="D100" i="48"/>
  <c r="W100" s="1"/>
  <c r="C100"/>
  <c r="E100"/>
  <c r="X100" s="1"/>
  <c r="B101"/>
  <c r="CK23" i="55"/>
  <c r="P111" i="1"/>
  <c r="AB105"/>
  <c r="AE105" s="1"/>
  <c r="AK105" s="1"/>
  <c r="AA105"/>
  <c r="E112" i="53" s="1"/>
  <c r="AF103" i="1"/>
  <c r="AD104"/>
  <c r="E23" i="55"/>
  <c r="F114" i="52"/>
  <c r="A96" i="26"/>
  <c r="B96" s="1"/>
  <c r="L112" i="1"/>
  <c r="M111" s="1"/>
  <c r="E112"/>
  <c r="A119" i="53"/>
  <c r="B120" s="1"/>
  <c r="C112" i="1"/>
  <c r="D112" s="1"/>
  <c r="A112"/>
  <c r="K112"/>
  <c r="N112" s="1"/>
  <c r="B113"/>
  <c r="B95" i="38"/>
  <c r="S109" i="1"/>
  <c r="R110"/>
  <c r="W110"/>
  <c r="AR92" i="38"/>
  <c r="F99" i="48"/>
  <c r="Y99" s="1"/>
  <c r="V99"/>
  <c r="S110" i="1" l="1"/>
  <c r="E113"/>
  <c r="A120" i="53"/>
  <c r="B121" s="1"/>
  <c r="F115" i="52"/>
  <c r="L113" i="1"/>
  <c r="M112" s="1"/>
  <c r="A97" i="26"/>
  <c r="B97" s="1"/>
  <c r="C113" i="1"/>
  <c r="D113" s="1"/>
  <c r="B114"/>
  <c r="B96" i="38"/>
  <c r="K113" i="1"/>
  <c r="N113" s="1"/>
  <c r="A113"/>
  <c r="W111"/>
  <c r="R111"/>
  <c r="V107"/>
  <c r="X107"/>
  <c r="P112"/>
  <c r="E114" i="52"/>
  <c r="V100" i="48"/>
  <c r="F100"/>
  <c r="Y100" s="1"/>
  <c r="AB106" i="1"/>
  <c r="AE106" s="1"/>
  <c r="AK106" s="1"/>
  <c r="AA106"/>
  <c r="E113" i="53" s="1"/>
  <c r="CK24" i="55"/>
  <c r="AR93" i="38"/>
  <c r="I111" i="53"/>
  <c r="BP25" i="55"/>
  <c r="D111" i="53"/>
  <c r="AN94" i="38"/>
  <c r="AO94"/>
  <c r="AP94" s="1"/>
  <c r="AQ94" s="1"/>
  <c r="BK92"/>
  <c r="AS92"/>
  <c r="AU92" s="1"/>
  <c r="AV92" s="1"/>
  <c r="BA92" s="1"/>
  <c r="BB92" s="1"/>
  <c r="BH92" s="1"/>
  <c r="BJ92" s="1"/>
  <c r="P92" s="1"/>
  <c r="AH112" i="1"/>
  <c r="AC112"/>
  <c r="AI112"/>
  <c r="AM112"/>
  <c r="Z112"/>
  <c r="AJ112"/>
  <c r="AL112"/>
  <c r="AF104"/>
  <c r="AD105"/>
  <c r="AU26" i="55"/>
  <c r="G112" i="53"/>
  <c r="Z95" i="38"/>
  <c r="AA95" s="1"/>
  <c r="D95"/>
  <c r="E95"/>
  <c r="F95"/>
  <c r="AM95" s="1"/>
  <c r="E101" i="48"/>
  <c r="X101" s="1"/>
  <c r="D101"/>
  <c r="W101" s="1"/>
  <c r="C101"/>
  <c r="B102"/>
  <c r="BA108" i="1"/>
  <c r="BD108" s="1"/>
  <c r="BE108" s="1"/>
  <c r="T108" s="1"/>
  <c r="U108" s="1"/>
  <c r="BC109"/>
  <c r="AR94" i="38" l="1"/>
  <c r="AS94" s="1"/>
  <c r="AU94" s="1"/>
  <c r="AV94" s="1"/>
  <c r="BA94" s="1"/>
  <c r="BB94" s="1"/>
  <c r="BH94" s="1"/>
  <c r="BJ94" s="1"/>
  <c r="P94" s="1"/>
  <c r="O94" s="1"/>
  <c r="V108" i="1"/>
  <c r="X108"/>
  <c r="E25" i="55"/>
  <c r="BK93" i="38"/>
  <c r="AS93"/>
  <c r="AU93" s="1"/>
  <c r="AV93" s="1"/>
  <c r="BA93" s="1"/>
  <c r="BB93" s="1"/>
  <c r="BH93" s="1"/>
  <c r="BJ93" s="1"/>
  <c r="P93" s="1"/>
  <c r="W112" i="1"/>
  <c r="R112"/>
  <c r="S111"/>
  <c r="F116" i="52"/>
  <c r="C114" i="1"/>
  <c r="D114" s="1"/>
  <c r="L114"/>
  <c r="M113" s="1"/>
  <c r="A121" i="53"/>
  <c r="B122" s="1"/>
  <c r="E114" i="1"/>
  <c r="A98" i="26"/>
  <c r="B98" s="1"/>
  <c r="A114" i="1"/>
  <c r="K114"/>
  <c r="N114" s="1"/>
  <c r="B97" i="38"/>
  <c r="B115" i="1"/>
  <c r="AF105"/>
  <c r="AD106"/>
  <c r="O92" i="38"/>
  <c r="AU27" i="55"/>
  <c r="G113" i="53"/>
  <c r="AC113" i="1"/>
  <c r="AL113"/>
  <c r="Z113"/>
  <c r="AI113"/>
  <c r="AH113"/>
  <c r="AM113"/>
  <c r="AJ113"/>
  <c r="E102" i="48"/>
  <c r="X102" s="1"/>
  <c r="B103"/>
  <c r="C102"/>
  <c r="D102"/>
  <c r="W102" s="1"/>
  <c r="AO95" i="38"/>
  <c r="AP95" s="1"/>
  <c r="AQ95" s="1"/>
  <c r="AN95"/>
  <c r="I112" i="53"/>
  <c r="BP26" i="55"/>
  <c r="D112" i="53"/>
  <c r="CK25" i="55"/>
  <c r="AB107" i="1"/>
  <c r="AE107" s="1"/>
  <c r="AK107" s="1"/>
  <c r="AA107"/>
  <c r="E114" i="53" s="1"/>
  <c r="P113" i="1"/>
  <c r="E115" i="52"/>
  <c r="BA109" i="1"/>
  <c r="BD109" s="1"/>
  <c r="BE109" s="1"/>
  <c r="T109" s="1"/>
  <c r="U109" s="1"/>
  <c r="BC110"/>
  <c r="V101" i="48"/>
  <c r="F101"/>
  <c r="Y101" s="1"/>
  <c r="D96" i="38"/>
  <c r="E96"/>
  <c r="Z96"/>
  <c r="AA96" s="1"/>
  <c r="F96"/>
  <c r="AM96" s="1"/>
  <c r="BK94" l="1"/>
  <c r="V109" i="1"/>
  <c r="X109"/>
  <c r="E26" i="55"/>
  <c r="BP27"/>
  <c r="D113" i="53"/>
  <c r="I113"/>
  <c r="AF106" i="1"/>
  <c r="AD107"/>
  <c r="P114"/>
  <c r="AU28" i="55"/>
  <c r="G114" i="53"/>
  <c r="AJ114" i="1"/>
  <c r="AC114"/>
  <c r="AL114"/>
  <c r="AH114"/>
  <c r="AI114"/>
  <c r="AM114"/>
  <c r="W113"/>
  <c r="R113"/>
  <c r="CK26" i="55"/>
  <c r="V102" i="48"/>
  <c r="F102"/>
  <c r="Y102" s="1"/>
  <c r="L115" i="1"/>
  <c r="M114" s="1"/>
  <c r="E115"/>
  <c r="A122" i="53"/>
  <c r="B123" s="1"/>
  <c r="F117" i="52"/>
  <c r="C115" i="1"/>
  <c r="D115" s="1"/>
  <c r="K115"/>
  <c r="N115" s="1"/>
  <c r="B98" i="38"/>
  <c r="A115" i="1"/>
  <c r="A99" i="26"/>
  <c r="B99" s="1"/>
  <c r="B116" i="1"/>
  <c r="O93" i="38"/>
  <c r="AB108" i="1"/>
  <c r="AE108" s="1"/>
  <c r="AK108" s="1"/>
  <c r="AA108"/>
  <c r="E115" i="53" s="1"/>
  <c r="AO96" i="38"/>
  <c r="AP96" s="1"/>
  <c r="AQ96" s="1"/>
  <c r="AN96"/>
  <c r="BA110" i="1"/>
  <c r="BD110" s="1"/>
  <c r="BE110" s="1"/>
  <c r="T110" s="1"/>
  <c r="U110" s="1"/>
  <c r="BC111"/>
  <c r="AR95" i="38"/>
  <c r="C103" i="48"/>
  <c r="D103"/>
  <c r="W103" s="1"/>
  <c r="E103"/>
  <c r="X103" s="1"/>
  <c r="B104"/>
  <c r="E97" i="38"/>
  <c r="Z97"/>
  <c r="AA97" s="1"/>
  <c r="D97"/>
  <c r="F97"/>
  <c r="AM97" s="1"/>
  <c r="E116" i="52"/>
  <c r="S112" i="1"/>
  <c r="V110" l="1"/>
  <c r="X110"/>
  <c r="AU29" i="55"/>
  <c r="G115" i="53"/>
  <c r="CK27" i="55"/>
  <c r="AB109" i="1"/>
  <c r="AE109" s="1"/>
  <c r="AK109" s="1"/>
  <c r="AA109"/>
  <c r="E116" i="53" s="1"/>
  <c r="AR96" i="38"/>
  <c r="AM115" i="1"/>
  <c r="AJ115"/>
  <c r="AI115"/>
  <c r="AL115"/>
  <c r="AC115"/>
  <c r="AH115"/>
  <c r="E27" i="55"/>
  <c r="F103" i="48"/>
  <c r="Y103" s="1"/>
  <c r="V103"/>
  <c r="E98" i="38"/>
  <c r="D98"/>
  <c r="Z98"/>
  <c r="AA98" s="1"/>
  <c r="F98"/>
  <c r="AM98" s="1"/>
  <c r="S113" i="1"/>
  <c r="BP28" i="55"/>
  <c r="D114" i="53"/>
  <c r="I114"/>
  <c r="AO97" i="38"/>
  <c r="AP97" s="1"/>
  <c r="AQ97" s="1"/>
  <c r="AN97"/>
  <c r="D104" i="48"/>
  <c r="W104" s="1"/>
  <c r="E104"/>
  <c r="X104" s="1"/>
  <c r="C104"/>
  <c r="B105"/>
  <c r="BK95" i="38"/>
  <c r="AS95"/>
  <c r="AU95" s="1"/>
  <c r="AV95" s="1"/>
  <c r="BA95" s="1"/>
  <c r="BB95" s="1"/>
  <c r="BH95" s="1"/>
  <c r="BJ95" s="1"/>
  <c r="P95" s="1"/>
  <c r="BA111" i="1"/>
  <c r="BD111" s="1"/>
  <c r="BE111" s="1"/>
  <c r="T111" s="1"/>
  <c r="U111" s="1"/>
  <c r="BC112"/>
  <c r="L116"/>
  <c r="M115" s="1"/>
  <c r="F118" i="52"/>
  <c r="A123" i="53"/>
  <c r="B124" s="1"/>
  <c r="C116" i="1"/>
  <c r="D116" s="1"/>
  <c r="A116"/>
  <c r="A100" i="26"/>
  <c r="B100" s="1"/>
  <c r="E116" i="1"/>
  <c r="B99" i="38"/>
  <c r="B117" i="1"/>
  <c r="K116"/>
  <c r="N116" s="1"/>
  <c r="P115"/>
  <c r="E117" i="52"/>
  <c r="W114" i="1"/>
  <c r="R114"/>
  <c r="AF107"/>
  <c r="AD108"/>
  <c r="E99" i="38" l="1"/>
  <c r="Z99"/>
  <c r="AA99" s="1"/>
  <c r="D99"/>
  <c r="F99"/>
  <c r="AM99" s="1"/>
  <c r="BA112" i="1"/>
  <c r="BD112" s="1"/>
  <c r="BE112" s="1"/>
  <c r="T112" s="1"/>
  <c r="U112" s="1"/>
  <c r="BC113"/>
  <c r="E105" i="48"/>
  <c r="X105" s="1"/>
  <c r="C105"/>
  <c r="B106"/>
  <c r="D105"/>
  <c r="W105" s="1"/>
  <c r="AR97" i="38"/>
  <c r="CK28" i="55"/>
  <c r="BK96" i="38"/>
  <c r="AS96"/>
  <c r="AU96" s="1"/>
  <c r="AV96" s="1"/>
  <c r="BA96" s="1"/>
  <c r="BB96" s="1"/>
  <c r="BH96" s="1"/>
  <c r="BJ96" s="1"/>
  <c r="P96" s="1"/>
  <c r="O96" s="1"/>
  <c r="BP29" i="55"/>
  <c r="D115" i="53"/>
  <c r="I115"/>
  <c r="S114" i="1"/>
  <c r="E118" i="52"/>
  <c r="V111" i="1"/>
  <c r="X111"/>
  <c r="F104" i="48"/>
  <c r="Y104" s="1"/>
  <c r="V104"/>
  <c r="E28" i="55"/>
  <c r="P116" i="1"/>
  <c r="O95" i="38"/>
  <c r="AU30" i="55"/>
  <c r="G116" i="53"/>
  <c r="AF108" i="1"/>
  <c r="AD109"/>
  <c r="R115"/>
  <c r="W115"/>
  <c r="A124" i="53"/>
  <c r="B125" s="1"/>
  <c r="A101" i="26"/>
  <c r="B101" s="1"/>
  <c r="F119" i="52"/>
  <c r="B118" i="1"/>
  <c r="L117"/>
  <c r="M116" s="1"/>
  <c r="K117"/>
  <c r="N117" s="1"/>
  <c r="B100" i="38"/>
  <c r="E117" i="1"/>
  <c r="A117"/>
  <c r="C117"/>
  <c r="D117" s="1"/>
  <c r="AL116"/>
  <c r="AC116"/>
  <c r="AM116"/>
  <c r="AH116"/>
  <c r="AI116"/>
  <c r="AJ116"/>
  <c r="AN98" i="38"/>
  <c r="AO98"/>
  <c r="AP98" s="1"/>
  <c r="AQ98" s="1"/>
  <c r="AB110" i="1"/>
  <c r="AE110" s="1"/>
  <c r="AK110" s="1"/>
  <c r="AA110"/>
  <c r="E117" i="53" s="1"/>
  <c r="P117" i="1" l="1"/>
  <c r="AF109"/>
  <c r="AD110"/>
  <c r="AB111"/>
  <c r="AE111" s="1"/>
  <c r="AK111" s="1"/>
  <c r="Y111"/>
  <c r="AA111"/>
  <c r="E118" i="53" s="1"/>
  <c r="V105" i="48"/>
  <c r="F105"/>
  <c r="Y105" s="1"/>
  <c r="AO99" i="38"/>
  <c r="AP99" s="1"/>
  <c r="AQ99" s="1"/>
  <c r="AN99"/>
  <c r="AC117" i="1"/>
  <c r="AI117"/>
  <c r="AM117"/>
  <c r="AL117"/>
  <c r="AH117"/>
  <c r="AJ117"/>
  <c r="W116"/>
  <c r="R116"/>
  <c r="BK97" i="38"/>
  <c r="AS97"/>
  <c r="AU97" s="1"/>
  <c r="AV97" s="1"/>
  <c r="BA97" s="1"/>
  <c r="BB97" s="1"/>
  <c r="BH97" s="1"/>
  <c r="BJ97" s="1"/>
  <c r="P97" s="1"/>
  <c r="AR98"/>
  <c r="E119" i="52"/>
  <c r="L118" i="1"/>
  <c r="M117" s="1"/>
  <c r="F120" i="52"/>
  <c r="E118" i="1"/>
  <c r="A125" i="53"/>
  <c r="B126" s="1"/>
  <c r="K118" i="1"/>
  <c r="N118" s="1"/>
  <c r="A118"/>
  <c r="B101" i="38"/>
  <c r="A102" i="26"/>
  <c r="B102" s="1"/>
  <c r="B119" i="1"/>
  <c r="C118"/>
  <c r="D118" s="1"/>
  <c r="BP30" i="55"/>
  <c r="I116" i="53"/>
  <c r="D116"/>
  <c r="CK29" i="55"/>
  <c r="BA113" i="1"/>
  <c r="BD113" s="1"/>
  <c r="BE113" s="1"/>
  <c r="T113" s="1"/>
  <c r="U113" s="1"/>
  <c r="BC114"/>
  <c r="AU31" i="55"/>
  <c r="G117" i="53"/>
  <c r="E100" i="38"/>
  <c r="Z100"/>
  <c r="AA100" s="1"/>
  <c r="D100"/>
  <c r="F100"/>
  <c r="AM100" s="1"/>
  <c r="S115" i="1"/>
  <c r="E29" i="55"/>
  <c r="D106" i="48"/>
  <c r="W106" s="1"/>
  <c r="E106"/>
  <c r="X106" s="1"/>
  <c r="B107"/>
  <c r="C106"/>
  <c r="V112" i="1"/>
  <c r="X112"/>
  <c r="E107" i="48" l="1"/>
  <c r="X107" s="1"/>
  <c r="C107"/>
  <c r="D107"/>
  <c r="W107" s="1"/>
  <c r="B108"/>
  <c r="AB112" i="1"/>
  <c r="AE112" s="1"/>
  <c r="AK112" s="1"/>
  <c r="Y112"/>
  <c r="AA112"/>
  <c r="E119" i="53" s="1"/>
  <c r="E101" i="38"/>
  <c r="Z101"/>
  <c r="AA101" s="1"/>
  <c r="D101"/>
  <c r="F101"/>
  <c r="AM101" s="1"/>
  <c r="E120" i="52"/>
  <c r="BK98" i="38"/>
  <c r="AS98"/>
  <c r="AU98" s="1"/>
  <c r="AV98" s="1"/>
  <c r="BA98" s="1"/>
  <c r="BB98" s="1"/>
  <c r="BH98" s="1"/>
  <c r="BJ98" s="1"/>
  <c r="P98" s="1"/>
  <c r="O98" s="1"/>
  <c r="AR99"/>
  <c r="AF110" i="1"/>
  <c r="AD111"/>
  <c r="V106" i="48"/>
  <c r="F106"/>
  <c r="Y106" s="1"/>
  <c r="BA114" i="1"/>
  <c r="BD114" s="1"/>
  <c r="BE114" s="1"/>
  <c r="T114" s="1"/>
  <c r="U114" s="1"/>
  <c r="BC115"/>
  <c r="AC118"/>
  <c r="AM118"/>
  <c r="AJ118"/>
  <c r="AI118"/>
  <c r="AL118"/>
  <c r="AH118"/>
  <c r="O97" i="38"/>
  <c r="AO100"/>
  <c r="AP100" s="1"/>
  <c r="AQ100" s="1"/>
  <c r="AN100"/>
  <c r="D117" i="53"/>
  <c r="BP31" i="55"/>
  <c r="I117" i="53"/>
  <c r="V113" i="1"/>
  <c r="X113"/>
  <c r="E30" i="55"/>
  <c r="E119" i="1"/>
  <c r="F121" i="52"/>
  <c r="L119" i="1"/>
  <c r="M118" s="1"/>
  <c r="A103" i="26"/>
  <c r="B103" s="1"/>
  <c r="C119" i="1"/>
  <c r="D119" s="1"/>
  <c r="A126" i="53"/>
  <c r="B127" s="1"/>
  <c r="K119" i="1"/>
  <c r="N119" s="1"/>
  <c r="A119"/>
  <c r="B120"/>
  <c r="B102" i="38"/>
  <c r="P118" i="1"/>
  <c r="AU32" i="55"/>
  <c r="G118" i="53"/>
  <c r="W117" i="1"/>
  <c r="R117"/>
  <c r="CK30" i="55"/>
  <c r="S116" i="1"/>
  <c r="S117" l="1"/>
  <c r="P119"/>
  <c r="BK99" i="38"/>
  <c r="AS99"/>
  <c r="AU99" s="1"/>
  <c r="AV99" s="1"/>
  <c r="BA99" s="1"/>
  <c r="BB99" s="1"/>
  <c r="BH99" s="1"/>
  <c r="BJ99" s="1"/>
  <c r="P99" s="1"/>
  <c r="I118" i="53"/>
  <c r="D118"/>
  <c r="BP32" i="55"/>
  <c r="W118" i="1"/>
  <c r="R118"/>
  <c r="E102" i="38"/>
  <c r="D102"/>
  <c r="F102"/>
  <c r="AM102" s="1"/>
  <c r="Z102"/>
  <c r="AA102" s="1"/>
  <c r="AB113" i="1"/>
  <c r="AE113" s="1"/>
  <c r="AK113" s="1"/>
  <c r="AA113"/>
  <c r="E120" i="53" s="1"/>
  <c r="E31" i="55"/>
  <c r="BA115" i="1"/>
  <c r="BD115" s="1"/>
  <c r="BE115" s="1"/>
  <c r="T115" s="1"/>
  <c r="U115" s="1"/>
  <c r="BC116"/>
  <c r="F107" i="48"/>
  <c r="Y107" s="1"/>
  <c r="V107"/>
  <c r="A120" i="1"/>
  <c r="A104" i="26"/>
  <c r="B104" s="1"/>
  <c r="C120" i="1"/>
  <c r="D120" s="1"/>
  <c r="F122" i="52"/>
  <c r="A127" i="53"/>
  <c r="B128" s="1"/>
  <c r="K120" i="1"/>
  <c r="N120" s="1"/>
  <c r="L120"/>
  <c r="M119" s="1"/>
  <c r="B121"/>
  <c r="E120"/>
  <c r="B103" i="38"/>
  <c r="E121" i="52"/>
  <c r="AR100" i="38"/>
  <c r="V114" i="1"/>
  <c r="X114"/>
  <c r="AF111"/>
  <c r="AD112"/>
  <c r="AO101" i="38"/>
  <c r="AP101" s="1"/>
  <c r="AQ101" s="1"/>
  <c r="AN101"/>
  <c r="AM119" i="1"/>
  <c r="AC119"/>
  <c r="AH119"/>
  <c r="AL119"/>
  <c r="AJ119"/>
  <c r="AI119"/>
  <c r="CK31" i="55"/>
  <c r="AU33"/>
  <c r="AU35" s="1"/>
  <c r="G119" i="53"/>
  <c r="D108" i="48"/>
  <c r="W108" s="1"/>
  <c r="E108"/>
  <c r="X108" s="1"/>
  <c r="B109"/>
  <c r="C108"/>
  <c r="V108" l="1"/>
  <c r="F108"/>
  <c r="Y108" s="1"/>
  <c r="C109"/>
  <c r="D109"/>
  <c r="W109" s="1"/>
  <c r="E109"/>
  <c r="X109" s="1"/>
  <c r="B110"/>
  <c r="E122" i="52"/>
  <c r="AI120" i="1"/>
  <c r="AH120"/>
  <c r="AJ120"/>
  <c r="AC120"/>
  <c r="AM120"/>
  <c r="AL120"/>
  <c r="AV3" i="55"/>
  <c r="G120" i="53"/>
  <c r="S118" i="1"/>
  <c r="CK32" i="55"/>
  <c r="W119" i="1"/>
  <c r="R119"/>
  <c r="AF112"/>
  <c r="AD113"/>
  <c r="C121"/>
  <c r="D121" s="1"/>
  <c r="F123" i="52"/>
  <c r="A128" i="53"/>
  <c r="B129" s="1"/>
  <c r="L121" i="1"/>
  <c r="M120" s="1"/>
  <c r="A105" i="26"/>
  <c r="B105" s="1"/>
  <c r="E121" i="1"/>
  <c r="K121"/>
  <c r="N121" s="1"/>
  <c r="A121"/>
  <c r="B122"/>
  <c r="B104" i="38"/>
  <c r="BA116" i="1"/>
  <c r="BD116" s="1"/>
  <c r="BE116" s="1"/>
  <c r="T116" s="1"/>
  <c r="U116" s="1"/>
  <c r="BC117"/>
  <c r="AO102" i="38"/>
  <c r="AP102" s="1"/>
  <c r="AQ102" s="1"/>
  <c r="AN102"/>
  <c r="AR101"/>
  <c r="BK100"/>
  <c r="AS100"/>
  <c r="AU100" s="1"/>
  <c r="AV100" s="1"/>
  <c r="BA100" s="1"/>
  <c r="BB100" s="1"/>
  <c r="BH100" s="1"/>
  <c r="BJ100" s="1"/>
  <c r="P100" s="1"/>
  <c r="O100" s="1"/>
  <c r="V115" i="1"/>
  <c r="X115"/>
  <c r="D119" i="53"/>
  <c r="I119"/>
  <c r="BP33" i="55"/>
  <c r="BP35" s="1"/>
  <c r="AB114" i="1"/>
  <c r="AE114" s="1"/>
  <c r="AK114" s="1"/>
  <c r="Z114"/>
  <c r="AA114"/>
  <c r="E121" i="53" s="1"/>
  <c r="E103" i="38"/>
  <c r="D103"/>
  <c r="Z103"/>
  <c r="AA103" s="1"/>
  <c r="F103"/>
  <c r="AM103" s="1"/>
  <c r="P120" i="1"/>
  <c r="E32" i="55"/>
  <c r="O99" i="38"/>
  <c r="R120" i="1" l="1"/>
  <c r="W120"/>
  <c r="AO103" i="38"/>
  <c r="AP103" s="1"/>
  <c r="AQ103" s="1"/>
  <c r="AN103"/>
  <c r="P121" i="1"/>
  <c r="AB115"/>
  <c r="AE115" s="1"/>
  <c r="AK115" s="1"/>
  <c r="Z115"/>
  <c r="AA115"/>
  <c r="E122" i="53" s="1"/>
  <c r="BK101" i="38"/>
  <c r="AS101"/>
  <c r="AU101" s="1"/>
  <c r="AV101" s="1"/>
  <c r="BA101" s="1"/>
  <c r="BB101" s="1"/>
  <c r="BH101" s="1"/>
  <c r="BJ101" s="1"/>
  <c r="P101" s="1"/>
  <c r="AR102"/>
  <c r="BA117" i="1"/>
  <c r="BD117" s="1"/>
  <c r="BE117" s="1"/>
  <c r="T117" s="1"/>
  <c r="U117" s="1"/>
  <c r="BC118"/>
  <c r="E104" i="38"/>
  <c r="Z104"/>
  <c r="AA104" s="1"/>
  <c r="D104"/>
  <c r="F104"/>
  <c r="AM104" s="1"/>
  <c r="E123" i="52"/>
  <c r="CK33" i="55"/>
  <c r="V116" i="1"/>
  <c r="X116"/>
  <c r="F124" i="52"/>
  <c r="L122" i="1"/>
  <c r="M121" s="1"/>
  <c r="E122"/>
  <c r="C122"/>
  <c r="D122" s="1"/>
  <c r="A129" i="53"/>
  <c r="B130" s="1"/>
  <c r="B105" i="38"/>
  <c r="A106" i="26"/>
  <c r="B106" s="1"/>
  <c r="A122" i="1"/>
  <c r="K122"/>
  <c r="N122" s="1"/>
  <c r="B123"/>
  <c r="AF113"/>
  <c r="AD114"/>
  <c r="S119"/>
  <c r="F109" i="48"/>
  <c r="Y109" s="1"/>
  <c r="V109"/>
  <c r="AV4" i="55"/>
  <c r="G121" i="53"/>
  <c r="E33" i="55"/>
  <c r="E35" s="1"/>
  <c r="AJ121" i="1"/>
  <c r="AM121"/>
  <c r="AL121"/>
  <c r="AH121"/>
  <c r="AC121"/>
  <c r="AI121"/>
  <c r="BQ3" i="55"/>
  <c r="I120" i="53"/>
  <c r="D120"/>
  <c r="C110" i="48"/>
  <c r="D110"/>
  <c r="W110" s="1"/>
  <c r="B111"/>
  <c r="E110"/>
  <c r="X110" s="1"/>
  <c r="E123" i="1" l="1"/>
  <c r="C123"/>
  <c r="D123" s="1"/>
  <c r="F125" i="52"/>
  <c r="A130" i="53"/>
  <c r="B131" s="1"/>
  <c r="A107" i="26"/>
  <c r="B107" s="1"/>
  <c r="K123" i="1"/>
  <c r="N123" s="1"/>
  <c r="A123"/>
  <c r="B124"/>
  <c r="B106" i="38"/>
  <c r="L123" i="1"/>
  <c r="M122" s="1"/>
  <c r="Z105" i="38"/>
  <c r="AA105" s="1"/>
  <c r="D105"/>
  <c r="E105"/>
  <c r="F105"/>
  <c r="AM105" s="1"/>
  <c r="V117" i="1"/>
  <c r="X117"/>
  <c r="AR103" i="38"/>
  <c r="P122" i="1"/>
  <c r="BK102" i="38"/>
  <c r="AS102"/>
  <c r="AU102" s="1"/>
  <c r="AV102" s="1"/>
  <c r="BA102" s="1"/>
  <c r="BB102" s="1"/>
  <c r="BH102" s="1"/>
  <c r="BJ102" s="1"/>
  <c r="P102" s="1"/>
  <c r="O102" s="1"/>
  <c r="AV5" i="55"/>
  <c r="G122" i="53"/>
  <c r="F110" i="48"/>
  <c r="Y110" s="1"/>
  <c r="V110"/>
  <c r="F3" i="55"/>
  <c r="CL3"/>
  <c r="I121" i="53"/>
  <c r="BQ4" i="55"/>
  <c r="D121" i="53"/>
  <c r="F4" i="55" s="1"/>
  <c r="AF114" i="1"/>
  <c r="AD115"/>
  <c r="AJ122"/>
  <c r="AH122"/>
  <c r="AM122"/>
  <c r="AC122"/>
  <c r="AL122"/>
  <c r="AI122"/>
  <c r="AB116"/>
  <c r="AE116" s="1"/>
  <c r="AK116" s="1"/>
  <c r="Z116"/>
  <c r="AA116"/>
  <c r="E123" i="53" s="1"/>
  <c r="O101" i="38"/>
  <c r="W121" i="1"/>
  <c r="R121"/>
  <c r="D111" i="48"/>
  <c r="W111" s="1"/>
  <c r="C111"/>
  <c r="E111"/>
  <c r="X111" s="1"/>
  <c r="B112"/>
  <c r="E124" i="52"/>
  <c r="AO104" i="38"/>
  <c r="AP104" s="1"/>
  <c r="AQ104" s="1"/>
  <c r="AN104"/>
  <c r="AR104" s="1"/>
  <c r="BA118" i="1"/>
  <c r="BD118" s="1"/>
  <c r="BE118" s="1"/>
  <c r="T118" s="1"/>
  <c r="U118" s="1"/>
  <c r="BC119"/>
  <c r="S120"/>
  <c r="V118" l="1"/>
  <c r="X118"/>
  <c r="BK104" i="38"/>
  <c r="AS104"/>
  <c r="AU104" s="1"/>
  <c r="AV104" s="1"/>
  <c r="BA104" s="1"/>
  <c r="BB104" s="1"/>
  <c r="BH104" s="1"/>
  <c r="BJ104" s="1"/>
  <c r="P104" s="1"/>
  <c r="O104" s="1"/>
  <c r="BQ5" i="55"/>
  <c r="I122" i="53"/>
  <c r="D122"/>
  <c r="AB117" i="1"/>
  <c r="AE117" s="1"/>
  <c r="AK117" s="1"/>
  <c r="AA117"/>
  <c r="E124" i="53" s="1"/>
  <c r="Z117" i="1"/>
  <c r="E124"/>
  <c r="A131" i="53"/>
  <c r="B132" s="1"/>
  <c r="F126" i="52"/>
  <c r="A108" i="26"/>
  <c r="B108" s="1"/>
  <c r="L124" i="1"/>
  <c r="M123" s="1"/>
  <c r="C124"/>
  <c r="D124" s="1"/>
  <c r="K124"/>
  <c r="N124" s="1"/>
  <c r="B107" i="38"/>
  <c r="B125" i="1"/>
  <c r="A124"/>
  <c r="BA119"/>
  <c r="BD119" s="1"/>
  <c r="BE119" s="1"/>
  <c r="T119" s="1"/>
  <c r="U119" s="1"/>
  <c r="BC120"/>
  <c r="F111" i="48"/>
  <c r="Y111" s="1"/>
  <c r="V111"/>
  <c r="S121" i="1"/>
  <c r="AF115"/>
  <c r="AD116"/>
  <c r="CL4" i="55"/>
  <c r="BK103" i="38"/>
  <c r="AS103"/>
  <c r="AU103" s="1"/>
  <c r="AV103" s="1"/>
  <c r="BA103" s="1"/>
  <c r="BB103" s="1"/>
  <c r="BH103" s="1"/>
  <c r="BJ103" s="1"/>
  <c r="P103" s="1"/>
  <c r="AH123" i="1"/>
  <c r="AC123"/>
  <c r="AM123"/>
  <c r="AL123"/>
  <c r="AI123"/>
  <c r="AJ123"/>
  <c r="AO105" i="38"/>
  <c r="AP105" s="1"/>
  <c r="AQ105" s="1"/>
  <c r="AN105"/>
  <c r="AR105" s="1"/>
  <c r="P123" i="1"/>
  <c r="C112" i="48"/>
  <c r="D112"/>
  <c r="W112" s="1"/>
  <c r="E112"/>
  <c r="X112" s="1"/>
  <c r="B113"/>
  <c r="AV6" i="55"/>
  <c r="G123" i="53"/>
  <c r="W122" i="1"/>
  <c r="R122"/>
  <c r="E106" i="38"/>
  <c r="D106"/>
  <c r="F106"/>
  <c r="AM106" s="1"/>
  <c r="Z106"/>
  <c r="AA106" s="1"/>
  <c r="E125" i="52"/>
  <c r="V119" i="1" l="1"/>
  <c r="X119"/>
  <c r="D107" i="38"/>
  <c r="Z107"/>
  <c r="AA107" s="1"/>
  <c r="E107"/>
  <c r="F107"/>
  <c r="AM107" s="1"/>
  <c r="AB118" i="1"/>
  <c r="AE118" s="1"/>
  <c r="AK118" s="1"/>
  <c r="AA118"/>
  <c r="E125" i="53" s="1"/>
  <c r="Z118" i="1"/>
  <c r="V112" i="48"/>
  <c r="F112"/>
  <c r="Y112" s="1"/>
  <c r="W123" i="1"/>
  <c r="R123"/>
  <c r="BK105" i="38"/>
  <c r="AS105"/>
  <c r="AU105" s="1"/>
  <c r="AV105" s="1"/>
  <c r="BA105" s="1"/>
  <c r="BB105" s="1"/>
  <c r="BH105" s="1"/>
  <c r="BJ105" s="1"/>
  <c r="P105" s="1"/>
  <c r="O105" s="1"/>
  <c r="O103"/>
  <c r="AF116" i="1"/>
  <c r="AD117"/>
  <c r="P124"/>
  <c r="F5" i="55"/>
  <c r="AN106" i="38"/>
  <c r="AO106"/>
  <c r="AP106" s="1"/>
  <c r="AQ106" s="1"/>
  <c r="S122" i="1"/>
  <c r="E113" i="48"/>
  <c r="X113" s="1"/>
  <c r="B114"/>
  <c r="C113"/>
  <c r="D113"/>
  <c r="W113" s="1"/>
  <c r="AJ124" i="1"/>
  <c r="AL124"/>
  <c r="AC124"/>
  <c r="AM124"/>
  <c r="AH124"/>
  <c r="AI124"/>
  <c r="CL5" i="55"/>
  <c r="I123" i="53"/>
  <c r="BQ6" i="55"/>
  <c r="D123" i="53"/>
  <c r="BA120" i="1"/>
  <c r="BD120" s="1"/>
  <c r="BE120" s="1"/>
  <c r="T120" s="1"/>
  <c r="U120" s="1"/>
  <c r="BC121"/>
  <c r="E125"/>
  <c r="L125"/>
  <c r="M124" s="1"/>
  <c r="F127" i="52"/>
  <c r="A132" i="53"/>
  <c r="B133" s="1"/>
  <c r="K125" i="1"/>
  <c r="N125" s="1"/>
  <c r="B108" i="38"/>
  <c r="C125" i="1"/>
  <c r="D125" s="1"/>
  <c r="B126"/>
  <c r="A125"/>
  <c r="A109" i="26"/>
  <c r="B109" s="1"/>
  <c r="E126" i="52"/>
  <c r="AV7" i="55"/>
  <c r="G124" i="53"/>
  <c r="F128" i="52" l="1"/>
  <c r="A133" i="53"/>
  <c r="B134" s="1"/>
  <c r="B109" i="38"/>
  <c r="K126" i="1"/>
  <c r="N126" s="1"/>
  <c r="B127"/>
  <c r="A126"/>
  <c r="C126"/>
  <c r="D126" s="1"/>
  <c r="E126"/>
  <c r="L126"/>
  <c r="M125" s="1"/>
  <c r="A110" i="26"/>
  <c r="B110" s="1"/>
  <c r="BA121" i="1"/>
  <c r="BD121" s="1"/>
  <c r="BE121" s="1"/>
  <c r="T121" s="1"/>
  <c r="U121" s="1"/>
  <c r="BC122"/>
  <c r="C114" i="48"/>
  <c r="D114"/>
  <c r="W114" s="1"/>
  <c r="E114"/>
  <c r="X114" s="1"/>
  <c r="B115"/>
  <c r="W124" i="1"/>
  <c r="R124"/>
  <c r="AF117"/>
  <c r="AD118"/>
  <c r="V120"/>
  <c r="X120"/>
  <c r="F6" i="55"/>
  <c r="AR106" i="38"/>
  <c r="S123" i="1"/>
  <c r="AO107" i="38"/>
  <c r="AP107" s="1"/>
  <c r="AQ107" s="1"/>
  <c r="AN107"/>
  <c r="AB119" i="1"/>
  <c r="AE119" s="1"/>
  <c r="AK119" s="1"/>
  <c r="AA119"/>
  <c r="E126" i="53" s="1"/>
  <c r="Z119" i="1"/>
  <c r="I124" i="53"/>
  <c r="BQ7" i="55"/>
  <c r="D124" i="53"/>
  <c r="E108" i="38"/>
  <c r="D108"/>
  <c r="Z108"/>
  <c r="AA108" s="1"/>
  <c r="F108"/>
  <c r="AM108" s="1"/>
  <c r="AV8" i="55"/>
  <c r="G125" i="53"/>
  <c r="AH125" i="1"/>
  <c r="AC125"/>
  <c r="AI125"/>
  <c r="AM125"/>
  <c r="AL125"/>
  <c r="AJ125"/>
  <c r="P125"/>
  <c r="E127" i="52"/>
  <c r="CL6" i="55"/>
  <c r="V113" i="48"/>
  <c r="F113"/>
  <c r="Y113" s="1"/>
  <c r="AR107" i="38" l="1"/>
  <c r="AV9" i="55"/>
  <c r="G126" i="53"/>
  <c r="BK106" i="38"/>
  <c r="AS106"/>
  <c r="AU106" s="1"/>
  <c r="AV106" s="1"/>
  <c r="BA106" s="1"/>
  <c r="BB106" s="1"/>
  <c r="BH106" s="1"/>
  <c r="BJ106" s="1"/>
  <c r="P106" s="1"/>
  <c r="F114" i="48"/>
  <c r="Y114" s="1"/>
  <c r="V114"/>
  <c r="V121" i="1"/>
  <c r="X121"/>
  <c r="E128" i="52"/>
  <c r="P126" i="1"/>
  <c r="BQ8" i="55"/>
  <c r="D125" i="53"/>
  <c r="I125"/>
  <c r="CL7" i="55"/>
  <c r="S124" i="1"/>
  <c r="D115" i="48"/>
  <c r="W115" s="1"/>
  <c r="C115"/>
  <c r="E115"/>
  <c r="X115" s="1"/>
  <c r="B116"/>
  <c r="D109" i="38"/>
  <c r="E109"/>
  <c r="Z109"/>
  <c r="AA109" s="1"/>
  <c r="F109"/>
  <c r="AM109" s="1"/>
  <c r="AO108"/>
  <c r="AP108" s="1"/>
  <c r="AQ108" s="1"/>
  <c r="AN108"/>
  <c r="BK107"/>
  <c r="AS107"/>
  <c r="AU107" s="1"/>
  <c r="AV107" s="1"/>
  <c r="BA107" s="1"/>
  <c r="BB107" s="1"/>
  <c r="BH107" s="1"/>
  <c r="BJ107" s="1"/>
  <c r="P107" s="1"/>
  <c r="O107" s="1"/>
  <c r="AM126" i="1"/>
  <c r="AI126"/>
  <c r="AL126"/>
  <c r="AJ126"/>
  <c r="AC126"/>
  <c r="AH126"/>
  <c r="W125"/>
  <c r="R125"/>
  <c r="F7" i="55"/>
  <c r="AB120" i="1"/>
  <c r="AE120" s="1"/>
  <c r="AK120" s="1"/>
  <c r="AA120"/>
  <c r="E127" i="53" s="1"/>
  <c r="Z120" i="1"/>
  <c r="AF118"/>
  <c r="AD119"/>
  <c r="BA122"/>
  <c r="BD122" s="1"/>
  <c r="BE122" s="1"/>
  <c r="T122" s="1"/>
  <c r="U122" s="1"/>
  <c r="BC123"/>
  <c r="A111" i="26"/>
  <c r="B111" s="1"/>
  <c r="F129" i="52"/>
  <c r="L127" i="1"/>
  <c r="M126" s="1"/>
  <c r="C127"/>
  <c r="D127" s="1"/>
  <c r="B110" i="38"/>
  <c r="K127" i="1"/>
  <c r="N127" s="1"/>
  <c r="B128"/>
  <c r="E127"/>
  <c r="A134" i="53"/>
  <c r="B135" s="1"/>
  <c r="A127" i="1"/>
  <c r="AV10" i="55" l="1"/>
  <c r="G127" i="53"/>
  <c r="S125" i="1"/>
  <c r="O106" i="38"/>
  <c r="E129" i="52"/>
  <c r="BA123" i="1"/>
  <c r="BD123" s="1"/>
  <c r="BE123" s="1"/>
  <c r="T123" s="1"/>
  <c r="U123" s="1"/>
  <c r="BC124"/>
  <c r="AF119"/>
  <c r="AD120"/>
  <c r="AN109" i="38"/>
  <c r="AR109" s="1"/>
  <c r="AO109"/>
  <c r="AP109" s="1"/>
  <c r="AQ109" s="1"/>
  <c r="C116" i="48"/>
  <c r="E116"/>
  <c r="X116" s="1"/>
  <c r="D116"/>
  <c r="W116" s="1"/>
  <c r="B117"/>
  <c r="CL8" i="55"/>
  <c r="A112" i="26"/>
  <c r="B112" s="1"/>
  <c r="C128" i="1"/>
  <c r="D128" s="1"/>
  <c r="F130" i="52"/>
  <c r="A128" i="1"/>
  <c r="B129"/>
  <c r="K128"/>
  <c r="N128" s="1"/>
  <c r="B111" i="38"/>
  <c r="A135" i="53"/>
  <c r="B136" s="1"/>
  <c r="E128" i="1"/>
  <c r="L128"/>
  <c r="M127" s="1"/>
  <c r="V122"/>
  <c r="X122"/>
  <c r="AI127"/>
  <c r="AC127"/>
  <c r="AM127"/>
  <c r="AL127"/>
  <c r="AH127"/>
  <c r="AJ127"/>
  <c r="P127"/>
  <c r="D110" i="38"/>
  <c r="E110"/>
  <c r="F110"/>
  <c r="AM110" s="1"/>
  <c r="Z110"/>
  <c r="AA110" s="1"/>
  <c r="AR108"/>
  <c r="F8" i="55"/>
  <c r="W126" i="1"/>
  <c r="R126"/>
  <c r="BQ9" i="55"/>
  <c r="D126" i="53"/>
  <c r="I126"/>
  <c r="F115" i="48"/>
  <c r="Y115" s="1"/>
  <c r="V115"/>
  <c r="AB121" i="1"/>
  <c r="AE121" s="1"/>
  <c r="AK121" s="1"/>
  <c r="AA121"/>
  <c r="E128" i="53" s="1"/>
  <c r="Z121" i="1"/>
  <c r="F9" i="55" l="1"/>
  <c r="BK108" i="38"/>
  <c r="AS108"/>
  <c r="AU108" s="1"/>
  <c r="AV108" s="1"/>
  <c r="BA108" s="1"/>
  <c r="BB108" s="1"/>
  <c r="BH108" s="1"/>
  <c r="BJ108" s="1"/>
  <c r="P108" s="1"/>
  <c r="AB122" i="1"/>
  <c r="AE122" s="1"/>
  <c r="AK122" s="1"/>
  <c r="AA122"/>
  <c r="E129" i="53" s="1"/>
  <c r="Z122" i="1"/>
  <c r="AC128"/>
  <c r="AJ128"/>
  <c r="AL128"/>
  <c r="AM128"/>
  <c r="AH128"/>
  <c r="AI128"/>
  <c r="C117" i="48"/>
  <c r="E117"/>
  <c r="X117" s="1"/>
  <c r="B118"/>
  <c r="D117"/>
  <c r="W117" s="1"/>
  <c r="BA124" i="1"/>
  <c r="BD124" s="1"/>
  <c r="BE124" s="1"/>
  <c r="T124" s="1"/>
  <c r="U124" s="1"/>
  <c r="BC125"/>
  <c r="S126"/>
  <c r="R127"/>
  <c r="W127"/>
  <c r="D111" i="38"/>
  <c r="Z111"/>
  <c r="AA111" s="1"/>
  <c r="E111"/>
  <c r="F111"/>
  <c r="AM111" s="1"/>
  <c r="BK109"/>
  <c r="AS109"/>
  <c r="AU109" s="1"/>
  <c r="AV109" s="1"/>
  <c r="BA109" s="1"/>
  <c r="BB109" s="1"/>
  <c r="BH109" s="1"/>
  <c r="BJ109" s="1"/>
  <c r="P109" s="1"/>
  <c r="O109" s="1"/>
  <c r="V123" i="1"/>
  <c r="X123"/>
  <c r="P128"/>
  <c r="AF120"/>
  <c r="AD121"/>
  <c r="AV11" i="55"/>
  <c r="G128" i="53"/>
  <c r="CL9" i="55"/>
  <c r="AO110" i="38"/>
  <c r="AP110" s="1"/>
  <c r="AQ110" s="1"/>
  <c r="AN110"/>
  <c r="E130" i="52"/>
  <c r="F131"/>
  <c r="E129" i="1"/>
  <c r="A113" i="26"/>
  <c r="B113" s="1"/>
  <c r="A136" i="53"/>
  <c r="B137" s="1"/>
  <c r="L129" i="1"/>
  <c r="M128" s="1"/>
  <c r="A129"/>
  <c r="B130"/>
  <c r="C129"/>
  <c r="D129" s="1"/>
  <c r="K129"/>
  <c r="N129" s="1"/>
  <c r="B112" i="38"/>
  <c r="V116" i="48"/>
  <c r="F116"/>
  <c r="Y116" s="1"/>
  <c r="BQ10" i="55"/>
  <c r="I127" i="53"/>
  <c r="D127"/>
  <c r="F10" i="55" l="1"/>
  <c r="P129" i="1"/>
  <c r="AR110" i="38"/>
  <c r="S127" i="1"/>
  <c r="BA125"/>
  <c r="BD125" s="1"/>
  <c r="BE125" s="1"/>
  <c r="T125" s="1"/>
  <c r="U125" s="1"/>
  <c r="BC126"/>
  <c r="CL10" i="55"/>
  <c r="D128" i="53"/>
  <c r="BQ11" i="55"/>
  <c r="I128" i="53"/>
  <c r="CL11" i="55" s="1"/>
  <c r="W128" i="1"/>
  <c r="R128"/>
  <c r="V124"/>
  <c r="X124"/>
  <c r="V117" i="48"/>
  <c r="F117"/>
  <c r="Y117" s="1"/>
  <c r="O108" i="38"/>
  <c r="A114" i="26"/>
  <c r="B114" s="1"/>
  <c r="A137" i="53"/>
  <c r="B138" s="1"/>
  <c r="F132" i="52"/>
  <c r="L130" i="1"/>
  <c r="M129" s="1"/>
  <c r="K130"/>
  <c r="N130" s="1"/>
  <c r="B131"/>
  <c r="A130"/>
  <c r="B113" i="38"/>
  <c r="C130" i="1"/>
  <c r="D130" s="1"/>
  <c r="E130"/>
  <c r="AF121"/>
  <c r="AD122"/>
  <c r="AB123"/>
  <c r="AE123" s="1"/>
  <c r="AK123" s="1"/>
  <c r="Z123"/>
  <c r="AA123"/>
  <c r="E130" i="53" s="1"/>
  <c r="D112" i="38"/>
  <c r="E112"/>
  <c r="Z112"/>
  <c r="AA112" s="1"/>
  <c r="F112"/>
  <c r="AM112" s="1"/>
  <c r="AI129" i="1"/>
  <c r="AC129"/>
  <c r="AL129"/>
  <c r="AM129"/>
  <c r="AJ129"/>
  <c r="AH129"/>
  <c r="E131" i="52"/>
  <c r="AO111" i="38"/>
  <c r="AP111" s="1"/>
  <c r="AQ111" s="1"/>
  <c r="AN111"/>
  <c r="E118" i="48"/>
  <c r="X118" s="1"/>
  <c r="D118"/>
  <c r="W118" s="1"/>
  <c r="C118"/>
  <c r="B119"/>
  <c r="AV12" i="55"/>
  <c r="G129" i="53"/>
  <c r="AN112" i="38" l="1"/>
  <c r="AO112"/>
  <c r="AP112" s="1"/>
  <c r="AQ112" s="1"/>
  <c r="AH130" i="1"/>
  <c r="AL130"/>
  <c r="AM130"/>
  <c r="AI130"/>
  <c r="AJ130"/>
  <c r="AC130"/>
  <c r="S128"/>
  <c r="BK110" i="38"/>
  <c r="AS110"/>
  <c r="AU110" s="1"/>
  <c r="AV110" s="1"/>
  <c r="BA110" s="1"/>
  <c r="BB110" s="1"/>
  <c r="BH110" s="1"/>
  <c r="BJ110" s="1"/>
  <c r="P110" s="1"/>
  <c r="AR111"/>
  <c r="AF122" i="1"/>
  <c r="AD123"/>
  <c r="E132" i="52"/>
  <c r="A138" i="53"/>
  <c r="B139" s="1"/>
  <c r="A115" i="26"/>
  <c r="B115" s="1"/>
  <c r="F133" i="52"/>
  <c r="C131" i="1"/>
  <c r="D131" s="1"/>
  <c r="L131"/>
  <c r="M130" s="1"/>
  <c r="E131"/>
  <c r="K131"/>
  <c r="N131" s="1"/>
  <c r="B132"/>
  <c r="B114" i="38"/>
  <c r="A131" i="1"/>
  <c r="BQ12" i="55"/>
  <c r="I129" i="53"/>
  <c r="D129"/>
  <c r="C119" i="48"/>
  <c r="E119"/>
  <c r="X119" s="1"/>
  <c r="B120"/>
  <c r="D119"/>
  <c r="W119" s="1"/>
  <c r="AV13" i="55"/>
  <c r="G130" i="53"/>
  <c r="P130" i="1"/>
  <c r="AB124"/>
  <c r="AE124" s="1"/>
  <c r="AK124" s="1"/>
  <c r="AA124"/>
  <c r="E131" i="53" s="1"/>
  <c r="Z124" i="1"/>
  <c r="F11" i="55"/>
  <c r="BA126" i="1"/>
  <c r="BD126" s="1"/>
  <c r="BE126" s="1"/>
  <c r="T126" s="1"/>
  <c r="U126" s="1"/>
  <c r="BC127"/>
  <c r="R129"/>
  <c r="W129"/>
  <c r="V118" i="48"/>
  <c r="F118"/>
  <c r="Y118" s="1"/>
  <c r="D113" i="38"/>
  <c r="E113"/>
  <c r="Z113"/>
  <c r="AA113" s="1"/>
  <c r="F113"/>
  <c r="AM113" s="1"/>
  <c r="V125" i="1"/>
  <c r="X125"/>
  <c r="AR112" i="38" l="1"/>
  <c r="AS112" s="1"/>
  <c r="AU112" s="1"/>
  <c r="AV112" s="1"/>
  <c r="BA112" s="1"/>
  <c r="BB112" s="1"/>
  <c r="BH112" s="1"/>
  <c r="BJ112" s="1"/>
  <c r="P112" s="1"/>
  <c r="O112" s="1"/>
  <c r="AB125" i="1"/>
  <c r="AE125" s="1"/>
  <c r="AK125" s="1"/>
  <c r="AA125"/>
  <c r="E132" i="53" s="1"/>
  <c r="Z125" i="1"/>
  <c r="D120" i="48"/>
  <c r="W120" s="1"/>
  <c r="E120"/>
  <c r="X120" s="1"/>
  <c r="B121"/>
  <c r="C120"/>
  <c r="F12" i="55"/>
  <c r="F134" i="52"/>
  <c r="L132" i="1"/>
  <c r="M131" s="1"/>
  <c r="A139" i="53"/>
  <c r="B140" s="1"/>
  <c r="E132" i="1"/>
  <c r="C132"/>
  <c r="D132" s="1"/>
  <c r="A116" i="26"/>
  <c r="B116" s="1"/>
  <c r="A132" i="1"/>
  <c r="B115" i="38"/>
  <c r="K132" i="1"/>
  <c r="N132" s="1"/>
  <c r="B133"/>
  <c r="AO113" i="38"/>
  <c r="AP113" s="1"/>
  <c r="AQ113" s="1"/>
  <c r="AN113"/>
  <c r="S129" i="1"/>
  <c r="BA127"/>
  <c r="BD127" s="1"/>
  <c r="BE127" s="1"/>
  <c r="T127" s="1"/>
  <c r="U127" s="1"/>
  <c r="BC128"/>
  <c r="AV14" i="55"/>
  <c r="G131" i="53"/>
  <c r="CL12" i="55"/>
  <c r="P131" i="1"/>
  <c r="V126"/>
  <c r="X126"/>
  <c r="I130" i="53"/>
  <c r="BQ13" i="55"/>
  <c r="D130" i="53"/>
  <c r="V119" i="48"/>
  <c r="F119"/>
  <c r="Y119" s="1"/>
  <c r="AL131" i="1"/>
  <c r="AI131"/>
  <c r="AJ131"/>
  <c r="AC131"/>
  <c r="AH131"/>
  <c r="AM131"/>
  <c r="E133" i="52"/>
  <c r="W130" i="1"/>
  <c r="R130"/>
  <c r="Z114" i="38"/>
  <c r="AA114" s="1"/>
  <c r="D114"/>
  <c r="E114"/>
  <c r="F114"/>
  <c r="AM114" s="1"/>
  <c r="AF123" i="1"/>
  <c r="AD124"/>
  <c r="BK111" i="38"/>
  <c r="AS111"/>
  <c r="AU111" s="1"/>
  <c r="AV111" s="1"/>
  <c r="BA111" s="1"/>
  <c r="BB111" s="1"/>
  <c r="BH111" s="1"/>
  <c r="BJ111" s="1"/>
  <c r="P111" s="1"/>
  <c r="O111" s="1"/>
  <c r="O110"/>
  <c r="AR113" l="1"/>
  <c r="BK112"/>
  <c r="AO114"/>
  <c r="AP114" s="1"/>
  <c r="AQ114" s="1"/>
  <c r="AN114"/>
  <c r="AR114" s="1"/>
  <c r="R131" i="1"/>
  <c r="W131"/>
  <c r="BA128"/>
  <c r="BD128" s="1"/>
  <c r="BE128" s="1"/>
  <c r="T128" s="1"/>
  <c r="U128" s="1"/>
  <c r="BC129"/>
  <c r="BK113" i="38"/>
  <c r="AS113"/>
  <c r="AU113" s="1"/>
  <c r="AV113" s="1"/>
  <c r="BA113" s="1"/>
  <c r="BB113" s="1"/>
  <c r="BH113" s="1"/>
  <c r="BJ113" s="1"/>
  <c r="P113" s="1"/>
  <c r="O113" s="1"/>
  <c r="L133" i="1"/>
  <c r="M132" s="1"/>
  <c r="F135" i="52"/>
  <c r="A140" i="53"/>
  <c r="B141" s="1"/>
  <c r="E133" i="1"/>
  <c r="A133"/>
  <c r="C133"/>
  <c r="D133" s="1"/>
  <c r="K133"/>
  <c r="N133" s="1"/>
  <c r="B116" i="38"/>
  <c r="B134" i="1"/>
  <c r="A117" i="26"/>
  <c r="B117" s="1"/>
  <c r="V120" i="48"/>
  <c r="F120"/>
  <c r="Y120" s="1"/>
  <c r="CL13" i="55"/>
  <c r="BQ14"/>
  <c r="I131" i="53"/>
  <c r="D131"/>
  <c r="V127" i="1"/>
  <c r="X127"/>
  <c r="P132"/>
  <c r="D121" i="48"/>
  <c r="W121" s="1"/>
  <c r="C121"/>
  <c r="B122"/>
  <c r="E121"/>
  <c r="X121" s="1"/>
  <c r="AF124" i="1"/>
  <c r="AD125"/>
  <c r="AB126"/>
  <c r="AE126" s="1"/>
  <c r="AK126" s="1"/>
  <c r="Z126"/>
  <c r="AA126"/>
  <c r="E133" i="53" s="1"/>
  <c r="E115" i="38"/>
  <c r="D115"/>
  <c r="Z115"/>
  <c r="AA115" s="1"/>
  <c r="F115"/>
  <c r="AM115" s="1"/>
  <c r="E134" i="52"/>
  <c r="AV15" i="55"/>
  <c r="G132" i="53"/>
  <c r="S130" i="1"/>
  <c r="F13" i="55"/>
  <c r="AI132" i="1"/>
  <c r="AL132"/>
  <c r="AH132"/>
  <c r="AJ132"/>
  <c r="AC132"/>
  <c r="AM132"/>
  <c r="AF125" l="1"/>
  <c r="AD126"/>
  <c r="V121" i="48"/>
  <c r="F121"/>
  <c r="Y121" s="1"/>
  <c r="W132" i="1"/>
  <c r="R132"/>
  <c r="CL14" i="55"/>
  <c r="S131" i="1"/>
  <c r="F136" i="52"/>
  <c r="E134" i="1"/>
  <c r="A118" i="26"/>
  <c r="B118" s="1"/>
  <c r="C134" i="1"/>
  <c r="D134" s="1"/>
  <c r="K134"/>
  <c r="N134" s="1"/>
  <c r="B117" i="38"/>
  <c r="B135" i="1"/>
  <c r="L134"/>
  <c r="M133" s="1"/>
  <c r="A134"/>
  <c r="A141" i="53"/>
  <c r="B142" s="1"/>
  <c r="AJ133" i="1"/>
  <c r="AH133"/>
  <c r="AM133"/>
  <c r="AC133"/>
  <c r="AL133"/>
  <c r="AI133"/>
  <c r="I132" i="53"/>
  <c r="BQ15" i="55"/>
  <c r="D132" i="53"/>
  <c r="AO115" i="38"/>
  <c r="AP115" s="1"/>
  <c r="AQ115" s="1"/>
  <c r="AN115"/>
  <c r="E116"/>
  <c r="D116"/>
  <c r="Z116"/>
  <c r="AA116" s="1"/>
  <c r="F116"/>
  <c r="AM116" s="1"/>
  <c r="E135" i="52"/>
  <c r="BA129" i="1"/>
  <c r="BD129" s="1"/>
  <c r="BE129" s="1"/>
  <c r="T129" s="1"/>
  <c r="U129" s="1"/>
  <c r="BC130"/>
  <c r="AV16" i="55"/>
  <c r="G133" i="53"/>
  <c r="C122" i="48"/>
  <c r="E122"/>
  <c r="X122" s="1"/>
  <c r="D122"/>
  <c r="W122" s="1"/>
  <c r="B123"/>
  <c r="AB127" i="1"/>
  <c r="AE127" s="1"/>
  <c r="AK127" s="1"/>
  <c r="AA127"/>
  <c r="E134" i="53" s="1"/>
  <c r="Z127" i="1"/>
  <c r="F14" i="55"/>
  <c r="P133" i="1"/>
  <c r="V128"/>
  <c r="X128"/>
  <c r="BK114" i="38"/>
  <c r="AS114"/>
  <c r="AU114" s="1"/>
  <c r="AV114" s="1"/>
  <c r="BA114" s="1"/>
  <c r="BB114" s="1"/>
  <c r="BH114" s="1"/>
  <c r="BJ114" s="1"/>
  <c r="P114" s="1"/>
  <c r="AR115" l="1"/>
  <c r="AS115" s="1"/>
  <c r="AU115" s="1"/>
  <c r="AV115" s="1"/>
  <c r="BA115" s="1"/>
  <c r="BB115" s="1"/>
  <c r="BH115" s="1"/>
  <c r="BJ115" s="1"/>
  <c r="P115" s="1"/>
  <c r="O115" s="1"/>
  <c r="W133" i="1"/>
  <c r="R133"/>
  <c r="AV17" i="55"/>
  <c r="G134" i="53"/>
  <c r="F15" i="55"/>
  <c r="D117" i="38"/>
  <c r="E117"/>
  <c r="Z117"/>
  <c r="AA117" s="1"/>
  <c r="F117"/>
  <c r="AM117" s="1"/>
  <c r="E136" i="52"/>
  <c r="BA130" i="1"/>
  <c r="BD130" s="1"/>
  <c r="BE130" s="1"/>
  <c r="T130" s="1"/>
  <c r="U130" s="1"/>
  <c r="BC131"/>
  <c r="AC134"/>
  <c r="AM134"/>
  <c r="AH134"/>
  <c r="AL134"/>
  <c r="AJ134"/>
  <c r="AI134"/>
  <c r="P134"/>
  <c r="AF126"/>
  <c r="AD127"/>
  <c r="AB128"/>
  <c r="AE128" s="1"/>
  <c r="AK128" s="1"/>
  <c r="Z128"/>
  <c r="AA128"/>
  <c r="E135" i="53" s="1"/>
  <c r="V122" i="48"/>
  <c r="F122"/>
  <c r="Y122" s="1"/>
  <c r="V129" i="1"/>
  <c r="X129"/>
  <c r="CL15" i="55"/>
  <c r="O114" i="38"/>
  <c r="E123" i="48"/>
  <c r="X123" s="1"/>
  <c r="D123"/>
  <c r="W123" s="1"/>
  <c r="B124"/>
  <c r="C123"/>
  <c r="D133" i="53"/>
  <c r="BQ16" i="55"/>
  <c r="I133" i="53"/>
  <c r="AO116" i="38"/>
  <c r="AP116" s="1"/>
  <c r="AQ116" s="1"/>
  <c r="AN116"/>
  <c r="A119" i="26"/>
  <c r="B119" s="1"/>
  <c r="C135" i="1"/>
  <c r="D135" s="1"/>
  <c r="L135"/>
  <c r="M134" s="1"/>
  <c r="F137" i="52"/>
  <c r="A142" i="53"/>
  <c r="B143" s="1"/>
  <c r="A135" i="1"/>
  <c r="E135"/>
  <c r="B136"/>
  <c r="K135"/>
  <c r="N135" s="1"/>
  <c r="B118" i="38"/>
  <c r="S132" i="1"/>
  <c r="BK115" i="38" l="1"/>
  <c r="AR116"/>
  <c r="AS116" s="1"/>
  <c r="AU116" s="1"/>
  <c r="AV116" s="1"/>
  <c r="BA116" s="1"/>
  <c r="BB116" s="1"/>
  <c r="BH116" s="1"/>
  <c r="BJ116" s="1"/>
  <c r="P116" s="1"/>
  <c r="E118"/>
  <c r="D118"/>
  <c r="F118"/>
  <c r="AM118" s="1"/>
  <c r="Z118"/>
  <c r="AA118" s="1"/>
  <c r="AC135" i="1"/>
  <c r="AJ135"/>
  <c r="AM135"/>
  <c r="AH135"/>
  <c r="AI135"/>
  <c r="AL135"/>
  <c r="V123" i="48"/>
  <c r="F123"/>
  <c r="Y123" s="1"/>
  <c r="AB129" i="1"/>
  <c r="AE129" s="1"/>
  <c r="AK129" s="1"/>
  <c r="Z129"/>
  <c r="AA129"/>
  <c r="E136" i="53" s="1"/>
  <c r="AF127" i="1"/>
  <c r="AD128"/>
  <c r="W134"/>
  <c r="R134"/>
  <c r="V130"/>
  <c r="X130"/>
  <c r="L136"/>
  <c r="M135" s="1"/>
  <c r="E136"/>
  <c r="A143" i="53"/>
  <c r="B144" s="1"/>
  <c r="A120" i="26"/>
  <c r="B120" s="1"/>
  <c r="C136" i="1"/>
  <c r="D136" s="1"/>
  <c r="F138" i="52"/>
  <c r="A136" i="1"/>
  <c r="K136"/>
  <c r="N136" s="1"/>
  <c r="B137"/>
  <c r="B119" i="38"/>
  <c r="P135" i="1"/>
  <c r="CL16" i="55"/>
  <c r="D124" i="48"/>
  <c r="W124" s="1"/>
  <c r="C124"/>
  <c r="B125"/>
  <c r="E124"/>
  <c r="X124" s="1"/>
  <c r="AO117" i="38"/>
  <c r="AP117" s="1"/>
  <c r="AQ117" s="1"/>
  <c r="AN117"/>
  <c r="AR117" s="1"/>
  <c r="BK116"/>
  <c r="S133" i="1"/>
  <c r="E137" i="52"/>
  <c r="F16" i="55"/>
  <c r="AV18"/>
  <c r="G135" i="53"/>
  <c r="BA131" i="1"/>
  <c r="BD131" s="1"/>
  <c r="BE131" s="1"/>
  <c r="T131" s="1"/>
  <c r="U131" s="1"/>
  <c r="BC132"/>
  <c r="BQ17" i="55"/>
  <c r="D134" i="53"/>
  <c r="I134"/>
  <c r="V131" i="1" l="1"/>
  <c r="X131"/>
  <c r="I135" i="53"/>
  <c r="CL18" i="55" s="1"/>
  <c r="BQ18"/>
  <c r="D135" i="53"/>
  <c r="F18" i="55" s="1"/>
  <c r="R135" i="1"/>
  <c r="W135"/>
  <c r="E119" i="38"/>
  <c r="D119"/>
  <c r="Z119"/>
  <c r="AA119" s="1"/>
  <c r="F119"/>
  <c r="AM119" s="1"/>
  <c r="E138" i="52"/>
  <c r="AO118" i="38"/>
  <c r="AP118" s="1"/>
  <c r="AQ118" s="1"/>
  <c r="AN118"/>
  <c r="AR118" s="1"/>
  <c r="F17" i="55"/>
  <c r="O116" i="38"/>
  <c r="BK117"/>
  <c r="AS117"/>
  <c r="AU117" s="1"/>
  <c r="AV117" s="1"/>
  <c r="BA117" s="1"/>
  <c r="BB117" s="1"/>
  <c r="BH117" s="1"/>
  <c r="BJ117" s="1"/>
  <c r="P117" s="1"/>
  <c r="C125" i="48"/>
  <c r="E125"/>
  <c r="X125" s="1"/>
  <c r="D125"/>
  <c r="W125" s="1"/>
  <c r="B126"/>
  <c r="A144" i="53"/>
  <c r="B145" s="1"/>
  <c r="K137" i="1"/>
  <c r="N137" s="1"/>
  <c r="L137"/>
  <c r="M136" s="1"/>
  <c r="F139" i="52"/>
  <c r="C137" i="1"/>
  <c r="D137" s="1"/>
  <c r="A121" i="26"/>
  <c r="B121" s="1"/>
  <c r="B138" i="1"/>
  <c r="A137"/>
  <c r="E137"/>
  <c r="B120" i="38"/>
  <c r="S134" i="1"/>
  <c r="AF128"/>
  <c r="AD129"/>
  <c r="CL17" i="55"/>
  <c r="V124" i="48"/>
  <c r="F124"/>
  <c r="Y124" s="1"/>
  <c r="P136" i="1"/>
  <c r="AV19" i="55"/>
  <c r="G136" i="53"/>
  <c r="BA132" i="1"/>
  <c r="BD132" s="1"/>
  <c r="BE132" s="1"/>
  <c r="T132" s="1"/>
  <c r="U132" s="1"/>
  <c r="BC133"/>
  <c r="AI136"/>
  <c r="AJ136"/>
  <c r="AM136"/>
  <c r="AH136"/>
  <c r="AC136"/>
  <c r="AL136"/>
  <c r="AB130"/>
  <c r="AE130" s="1"/>
  <c r="AK130" s="1"/>
  <c r="Z130"/>
  <c r="AA130"/>
  <c r="E137" i="53" s="1"/>
  <c r="C138" i="1" l="1"/>
  <c r="D138" s="1"/>
  <c r="F140" i="52"/>
  <c r="A122" i="26"/>
  <c r="B122" s="1"/>
  <c r="A138" i="1"/>
  <c r="B139"/>
  <c r="A145" i="53"/>
  <c r="B146" s="1"/>
  <c r="B121" i="38"/>
  <c r="L138" i="1"/>
  <c r="M137" s="1"/>
  <c r="E138"/>
  <c r="K138"/>
  <c r="N138" s="1"/>
  <c r="F125" i="48"/>
  <c r="Y125" s="1"/>
  <c r="V125"/>
  <c r="BK118" i="38"/>
  <c r="AS118"/>
  <c r="AU118" s="1"/>
  <c r="AV118" s="1"/>
  <c r="BA118" s="1"/>
  <c r="BB118" s="1"/>
  <c r="BH118" s="1"/>
  <c r="BJ118" s="1"/>
  <c r="P118" s="1"/>
  <c r="AN119"/>
  <c r="AO119"/>
  <c r="AP119" s="1"/>
  <c r="AQ119" s="1"/>
  <c r="AV20" i="55"/>
  <c r="G137" i="53"/>
  <c r="BA133" i="1"/>
  <c r="BD133" s="1"/>
  <c r="BE133" s="1"/>
  <c r="T133" s="1"/>
  <c r="U133" s="1"/>
  <c r="BC134"/>
  <c r="BQ19" i="55"/>
  <c r="D136" i="53"/>
  <c r="I136"/>
  <c r="E120" i="38"/>
  <c r="D120"/>
  <c r="Z120"/>
  <c r="AA120" s="1"/>
  <c r="F120"/>
  <c r="AM120" s="1"/>
  <c r="P137" i="1"/>
  <c r="E126" i="48"/>
  <c r="X126" s="1"/>
  <c r="D126"/>
  <c r="W126" s="1"/>
  <c r="C126"/>
  <c r="B127"/>
  <c r="O117" i="38"/>
  <c r="S135" i="1"/>
  <c r="V132"/>
  <c r="X132"/>
  <c r="W136"/>
  <c r="R136"/>
  <c r="AF129"/>
  <c r="AD130"/>
  <c r="E139" i="52"/>
  <c r="AB131" i="1"/>
  <c r="AE131" s="1"/>
  <c r="AK131" s="1"/>
  <c r="AA131"/>
  <c r="E138" i="53" s="1"/>
  <c r="Z131" i="1"/>
  <c r="AI137"/>
  <c r="AJ137"/>
  <c r="AM137"/>
  <c r="AC137"/>
  <c r="AH137"/>
  <c r="AL137"/>
  <c r="AB132" l="1"/>
  <c r="AE132" s="1"/>
  <c r="AK132" s="1"/>
  <c r="AA132"/>
  <c r="E139" i="53" s="1"/>
  <c r="Z132" i="1"/>
  <c r="BA134"/>
  <c r="BD134" s="1"/>
  <c r="BE134" s="1"/>
  <c r="T134" s="1"/>
  <c r="U134" s="1"/>
  <c r="BC135"/>
  <c r="I137" i="53"/>
  <c r="BQ20" i="55"/>
  <c r="D137" i="53"/>
  <c r="AR119" i="38"/>
  <c r="E140" i="52"/>
  <c r="L139" i="1"/>
  <c r="M138" s="1"/>
  <c r="A123" i="26"/>
  <c r="B123" s="1"/>
  <c r="F141" i="52"/>
  <c r="A139" i="1"/>
  <c r="B140"/>
  <c r="A146" i="53"/>
  <c r="B147" s="1"/>
  <c r="B122" i="38"/>
  <c r="C139" i="1"/>
  <c r="D139" s="1"/>
  <c r="E139"/>
  <c r="K139"/>
  <c r="N139" s="1"/>
  <c r="AV21" i="55"/>
  <c r="G138" i="53"/>
  <c r="AF130" i="1"/>
  <c r="AD131"/>
  <c r="E127" i="48"/>
  <c r="X127" s="1"/>
  <c r="C127"/>
  <c r="B128"/>
  <c r="D127"/>
  <c r="W127" s="1"/>
  <c r="AN120" i="38"/>
  <c r="AR120" s="1"/>
  <c r="AO120"/>
  <c r="AP120" s="1"/>
  <c r="AQ120" s="1"/>
  <c r="V133" i="1"/>
  <c r="X133"/>
  <c r="AI138"/>
  <c r="AC138"/>
  <c r="AM138"/>
  <c r="AL138"/>
  <c r="AH138"/>
  <c r="AJ138"/>
  <c r="F126" i="48"/>
  <c r="Y126" s="1"/>
  <c r="V126"/>
  <c r="W137" i="1"/>
  <c r="R137"/>
  <c r="CL19" i="55"/>
  <c r="O118" i="38"/>
  <c r="D121"/>
  <c r="E121"/>
  <c r="F121"/>
  <c r="AM121" s="1"/>
  <c r="Z121"/>
  <c r="AA121" s="1"/>
  <c r="S136" i="1"/>
  <c r="F19" i="55"/>
  <c r="P138" i="1"/>
  <c r="W138" l="1"/>
  <c r="R138"/>
  <c r="F127" i="48"/>
  <c r="Y127" s="1"/>
  <c r="V127"/>
  <c r="P139" i="1"/>
  <c r="F20" i="55"/>
  <c r="BA135" i="1"/>
  <c r="BD135" s="1"/>
  <c r="BE135" s="1"/>
  <c r="T135" s="1"/>
  <c r="U135" s="1"/>
  <c r="BC136"/>
  <c r="AB133"/>
  <c r="AE133" s="1"/>
  <c r="AK133" s="1"/>
  <c r="Z133"/>
  <c r="AA133"/>
  <c r="E140" i="53" s="1"/>
  <c r="BK120" i="38"/>
  <c r="AS120"/>
  <c r="AU120" s="1"/>
  <c r="AV120" s="1"/>
  <c r="BA120" s="1"/>
  <c r="BB120" s="1"/>
  <c r="BH120" s="1"/>
  <c r="BJ120" s="1"/>
  <c r="P120" s="1"/>
  <c r="O120" s="1"/>
  <c r="BQ21" i="55"/>
  <c r="I138" i="53"/>
  <c r="D138"/>
  <c r="E141" i="52"/>
  <c r="F142"/>
  <c r="A124" i="26"/>
  <c r="B124" s="1"/>
  <c r="C140" i="1"/>
  <c r="D140" s="1"/>
  <c r="B123" i="38"/>
  <c r="K140" i="1"/>
  <c r="N140" s="1"/>
  <c r="A140"/>
  <c r="E140"/>
  <c r="B141"/>
  <c r="L140"/>
  <c r="M139" s="1"/>
  <c r="A147" i="53"/>
  <c r="B148" s="1"/>
  <c r="V134" i="1"/>
  <c r="X134"/>
  <c r="AO121" i="38"/>
  <c r="AP121" s="1"/>
  <c r="AQ121" s="1"/>
  <c r="AN121"/>
  <c r="S137" i="1"/>
  <c r="AI139"/>
  <c r="AM139"/>
  <c r="AC139"/>
  <c r="AH139"/>
  <c r="AL139"/>
  <c r="AJ139"/>
  <c r="BK119" i="38"/>
  <c r="AS119"/>
  <c r="AU119" s="1"/>
  <c r="AV119" s="1"/>
  <c r="BA119" s="1"/>
  <c r="BB119" s="1"/>
  <c r="BH119" s="1"/>
  <c r="BJ119" s="1"/>
  <c r="P119" s="1"/>
  <c r="CL20" i="55"/>
  <c r="D128" i="48"/>
  <c r="W128" s="1"/>
  <c r="C128"/>
  <c r="B129"/>
  <c r="E128"/>
  <c r="X128" s="1"/>
  <c r="AF131" i="1"/>
  <c r="AD132"/>
  <c r="Z122" i="38"/>
  <c r="AA122" s="1"/>
  <c r="E122"/>
  <c r="D122"/>
  <c r="F122"/>
  <c r="AM122" s="1"/>
  <c r="AV22" i="55"/>
  <c r="G139" i="53"/>
  <c r="AR121" i="38" l="1"/>
  <c r="AS121" s="1"/>
  <c r="AU121" s="1"/>
  <c r="AV121" s="1"/>
  <c r="BA121" s="1"/>
  <c r="BB121" s="1"/>
  <c r="BH121" s="1"/>
  <c r="BJ121" s="1"/>
  <c r="P121" s="1"/>
  <c r="O121" s="1"/>
  <c r="BQ22" i="55"/>
  <c r="D139" i="53"/>
  <c r="I139"/>
  <c r="C129" i="48"/>
  <c r="D129"/>
  <c r="W129" s="1"/>
  <c r="E129"/>
  <c r="X129" s="1"/>
  <c r="B130"/>
  <c r="O119" i="38"/>
  <c r="AB134" i="1"/>
  <c r="AE134" s="1"/>
  <c r="AK134" s="1"/>
  <c r="AA134"/>
  <c r="E141" i="53" s="1"/>
  <c r="Z134" i="1"/>
  <c r="P140"/>
  <c r="F21" i="55"/>
  <c r="W139" i="1"/>
  <c r="R139"/>
  <c r="S138"/>
  <c r="AO122" i="38"/>
  <c r="AP122" s="1"/>
  <c r="AQ122" s="1"/>
  <c r="AN122"/>
  <c r="AF132" i="1"/>
  <c r="AD133"/>
  <c r="F128" i="48"/>
  <c r="Y128" s="1"/>
  <c r="V128"/>
  <c r="F143" i="52"/>
  <c r="C141" i="1"/>
  <c r="D141" s="1"/>
  <c r="A125" i="26"/>
  <c r="B125" s="1"/>
  <c r="E141" i="1"/>
  <c r="L141"/>
  <c r="M140" s="1"/>
  <c r="A141"/>
  <c r="K141"/>
  <c r="N141" s="1"/>
  <c r="B142"/>
  <c r="B124" i="38"/>
  <c r="A148" i="53"/>
  <c r="B149" s="1"/>
  <c r="D123" i="38"/>
  <c r="Z123"/>
  <c r="AA123" s="1"/>
  <c r="E123"/>
  <c r="F123"/>
  <c r="AM123" s="1"/>
  <c r="CL21" i="55"/>
  <c r="AV23"/>
  <c r="G140" i="53"/>
  <c r="E142" i="52"/>
  <c r="BA136" i="1"/>
  <c r="BD136" s="1"/>
  <c r="BE136" s="1"/>
  <c r="T136" s="1"/>
  <c r="U136" s="1"/>
  <c r="BC137"/>
  <c r="AL140"/>
  <c r="AM140"/>
  <c r="AI140"/>
  <c r="AC140"/>
  <c r="AH140"/>
  <c r="AJ140"/>
  <c r="V135"/>
  <c r="X135"/>
  <c r="AR122" i="38" l="1"/>
  <c r="AS122" s="1"/>
  <c r="AU122" s="1"/>
  <c r="AV122" s="1"/>
  <c r="BA122" s="1"/>
  <c r="BB122" s="1"/>
  <c r="BH122" s="1"/>
  <c r="BJ122" s="1"/>
  <c r="P122" s="1"/>
  <c r="O122" s="1"/>
  <c r="BK121"/>
  <c r="V136" i="1"/>
  <c r="X136"/>
  <c r="E124" i="38"/>
  <c r="Z124"/>
  <c r="AA124" s="1"/>
  <c r="D124"/>
  <c r="F124"/>
  <c r="AM124" s="1"/>
  <c r="W140" i="1"/>
  <c r="R140"/>
  <c r="D130" i="48"/>
  <c r="W130" s="1"/>
  <c r="C130"/>
  <c r="E130"/>
  <c r="X130" s="1"/>
  <c r="B131"/>
  <c r="F144" i="52"/>
  <c r="A149" i="53"/>
  <c r="B150" s="1"/>
  <c r="C142" i="1"/>
  <c r="D142" s="1"/>
  <c r="A126" i="26"/>
  <c r="B126" s="1"/>
  <c r="E142" i="1"/>
  <c r="K142"/>
  <c r="N142" s="1"/>
  <c r="A142"/>
  <c r="B125" i="38"/>
  <c r="L142" i="1"/>
  <c r="M141" s="1"/>
  <c r="B143"/>
  <c r="E143" i="52"/>
  <c r="S139" i="1"/>
  <c r="AV24" i="55"/>
  <c r="G141" i="53"/>
  <c r="AB135" i="1"/>
  <c r="AE135" s="1"/>
  <c r="AK135" s="1"/>
  <c r="Z135"/>
  <c r="AA135"/>
  <c r="E142" i="53" s="1"/>
  <c r="P141" i="1"/>
  <c r="CL22" i="55"/>
  <c r="BA137" i="1"/>
  <c r="BD137" s="1"/>
  <c r="BE137" s="1"/>
  <c r="T137" s="1"/>
  <c r="U137" s="1"/>
  <c r="BC138"/>
  <c r="D140" i="53"/>
  <c r="BQ23" i="55"/>
  <c r="I140" i="53"/>
  <c r="AN123" i="38"/>
  <c r="AR123" s="1"/>
  <c r="AO123"/>
  <c r="AP123" s="1"/>
  <c r="AQ123" s="1"/>
  <c r="AH141" i="1"/>
  <c r="AM141"/>
  <c r="AJ141"/>
  <c r="AL141"/>
  <c r="AC141"/>
  <c r="AI141"/>
  <c r="AF133"/>
  <c r="AD134"/>
  <c r="V129" i="48"/>
  <c r="F129"/>
  <c r="Y129" s="1"/>
  <c r="F22" i="55"/>
  <c r="BK122" i="38" l="1"/>
  <c r="BK123"/>
  <c r="AS123"/>
  <c r="AU123" s="1"/>
  <c r="AV123" s="1"/>
  <c r="BA123" s="1"/>
  <c r="BB123" s="1"/>
  <c r="BH123" s="1"/>
  <c r="BJ123" s="1"/>
  <c r="P123" s="1"/>
  <c r="BQ24" i="55"/>
  <c r="D141" i="53"/>
  <c r="I141"/>
  <c r="E144" i="52"/>
  <c r="S140" i="1"/>
  <c r="AF134"/>
  <c r="AD135"/>
  <c r="F23" i="55"/>
  <c r="AV25"/>
  <c r="G142" i="53"/>
  <c r="E125" i="38"/>
  <c r="D125"/>
  <c r="F125"/>
  <c r="AM125" s="1"/>
  <c r="Z125"/>
  <c r="AA125" s="1"/>
  <c r="D131" i="48"/>
  <c r="W131" s="1"/>
  <c r="C131"/>
  <c r="E131"/>
  <c r="X131" s="1"/>
  <c r="B132"/>
  <c r="BA138" i="1"/>
  <c r="BD138" s="1"/>
  <c r="BE138" s="1"/>
  <c r="T138" s="1"/>
  <c r="U138" s="1"/>
  <c r="BC139"/>
  <c r="AL142"/>
  <c r="AH142"/>
  <c r="AM142"/>
  <c r="AJ142"/>
  <c r="AC142"/>
  <c r="AI142"/>
  <c r="CL23" i="55"/>
  <c r="V137" i="1"/>
  <c r="X137"/>
  <c r="R141"/>
  <c r="W141"/>
  <c r="C143"/>
  <c r="D143" s="1"/>
  <c r="L143"/>
  <c r="M142" s="1"/>
  <c r="F145" i="52"/>
  <c r="K143" i="1"/>
  <c r="N143" s="1"/>
  <c r="A150" i="53"/>
  <c r="B151" s="1"/>
  <c r="E143" i="1"/>
  <c r="B144"/>
  <c r="B126" i="38"/>
  <c r="A127" i="26"/>
  <c r="B127" s="1"/>
  <c r="A143" i="1"/>
  <c r="P142"/>
  <c r="V130" i="48"/>
  <c r="F130"/>
  <c r="Y130" s="1"/>
  <c r="AO124" i="38"/>
  <c r="AP124" s="1"/>
  <c r="AQ124" s="1"/>
  <c r="AN124"/>
  <c r="AR124" s="1"/>
  <c r="AB136" i="1"/>
  <c r="AE136" s="1"/>
  <c r="AK136" s="1"/>
  <c r="AA136"/>
  <c r="E143" i="53" s="1"/>
  <c r="Z136" i="1"/>
  <c r="AV26" i="55" l="1"/>
  <c r="G143" i="53"/>
  <c r="AI143" i="1"/>
  <c r="AM143"/>
  <c r="AJ143"/>
  <c r="AH143"/>
  <c r="AC143"/>
  <c r="AL143"/>
  <c r="E145" i="52"/>
  <c r="BA139" i="1"/>
  <c r="BD139" s="1"/>
  <c r="BE139" s="1"/>
  <c r="T139" s="1"/>
  <c r="U139" s="1"/>
  <c r="BC140"/>
  <c r="AF135"/>
  <c r="AD136"/>
  <c r="CL24" i="55"/>
  <c r="O123" i="38"/>
  <c r="BK124"/>
  <c r="AS124"/>
  <c r="AU124" s="1"/>
  <c r="AV124" s="1"/>
  <c r="BA124" s="1"/>
  <c r="BB124" s="1"/>
  <c r="BH124" s="1"/>
  <c r="BJ124" s="1"/>
  <c r="P124" s="1"/>
  <c r="S141" i="1"/>
  <c r="V138"/>
  <c r="X138"/>
  <c r="V131" i="48"/>
  <c r="F131"/>
  <c r="Y131" s="1"/>
  <c r="F24" i="55"/>
  <c r="W142" i="1"/>
  <c r="R142"/>
  <c r="E126" i="38"/>
  <c r="D126"/>
  <c r="F126"/>
  <c r="AM126" s="1"/>
  <c r="Z126"/>
  <c r="AA126" s="1"/>
  <c r="P143" i="1"/>
  <c r="AB137"/>
  <c r="AE137" s="1"/>
  <c r="AK137" s="1"/>
  <c r="AA137"/>
  <c r="E144" i="53" s="1"/>
  <c r="Z137" i="1"/>
  <c r="AO125" i="38"/>
  <c r="AP125" s="1"/>
  <c r="AQ125" s="1"/>
  <c r="AN125"/>
  <c r="A128" i="26"/>
  <c r="B128" s="1"/>
  <c r="C144" i="1"/>
  <c r="D144" s="1"/>
  <c r="F146" i="52"/>
  <c r="L144" i="1"/>
  <c r="M143" s="1"/>
  <c r="A151" i="53"/>
  <c r="B152" s="1"/>
  <c r="B145" i="1"/>
  <c r="B127" i="38"/>
  <c r="E144" i="1"/>
  <c r="K144"/>
  <c r="N144" s="1"/>
  <c r="A144"/>
  <c r="E132" i="48"/>
  <c r="X132" s="1"/>
  <c r="C132"/>
  <c r="D132"/>
  <c r="W132" s="1"/>
  <c r="B133"/>
  <c r="BQ25" i="55"/>
  <c r="D142" i="53"/>
  <c r="I142"/>
  <c r="AR125" i="38" l="1"/>
  <c r="AS125" s="1"/>
  <c r="AU125" s="1"/>
  <c r="AV125" s="1"/>
  <c r="BA125" s="1"/>
  <c r="BB125" s="1"/>
  <c r="BH125" s="1"/>
  <c r="BJ125" s="1"/>
  <c r="P125" s="1"/>
  <c r="D127"/>
  <c r="Z127"/>
  <c r="AA127" s="1"/>
  <c r="E127"/>
  <c r="F127"/>
  <c r="AM127" s="1"/>
  <c r="AB138" i="1"/>
  <c r="AE138" s="1"/>
  <c r="AK138" s="1"/>
  <c r="Z138"/>
  <c r="AA138"/>
  <c r="E145" i="53" s="1"/>
  <c r="AF136" i="1"/>
  <c r="AD137"/>
  <c r="C133" i="48"/>
  <c r="E133"/>
  <c r="X133" s="1"/>
  <c r="B134"/>
  <c r="D133"/>
  <c r="W133" s="1"/>
  <c r="AJ144" i="1"/>
  <c r="AI144"/>
  <c r="AM144"/>
  <c r="AL144"/>
  <c r="AC144"/>
  <c r="AH144"/>
  <c r="F147" i="52"/>
  <c r="A152" i="53"/>
  <c r="B153" s="1"/>
  <c r="K145" i="1"/>
  <c r="N145" s="1"/>
  <c r="L145"/>
  <c r="M144" s="1"/>
  <c r="A129" i="26"/>
  <c r="B129" s="1"/>
  <c r="E145" i="1"/>
  <c r="B146"/>
  <c r="B128" i="38"/>
  <c r="C145" i="1"/>
  <c r="D145" s="1"/>
  <c r="A145"/>
  <c r="AV27" i="55"/>
  <c r="G144" i="53"/>
  <c r="S142" i="1"/>
  <c r="CL25" i="55"/>
  <c r="P144" i="1"/>
  <c r="AO126" i="38"/>
  <c r="AP126" s="1"/>
  <c r="AQ126" s="1"/>
  <c r="AN126"/>
  <c r="O124"/>
  <c r="BA140" i="1"/>
  <c r="BD140" s="1"/>
  <c r="BE140" s="1"/>
  <c r="T140" s="1"/>
  <c r="U140" s="1"/>
  <c r="BC141"/>
  <c r="D143" i="53"/>
  <c r="F26" i="55" s="1"/>
  <c r="BQ26"/>
  <c r="I143" i="53"/>
  <c r="CL26" i="55" s="1"/>
  <c r="F25"/>
  <c r="F132" i="48"/>
  <c r="Y132" s="1"/>
  <c r="V132"/>
  <c r="E146" i="52"/>
  <c r="W143" i="1"/>
  <c r="R143"/>
  <c r="V139"/>
  <c r="X139"/>
  <c r="BK125" i="38" l="1"/>
  <c r="AR126"/>
  <c r="AS126" s="1"/>
  <c r="AU126" s="1"/>
  <c r="AV126" s="1"/>
  <c r="BA126" s="1"/>
  <c r="BB126" s="1"/>
  <c r="BH126" s="1"/>
  <c r="BJ126" s="1"/>
  <c r="P126" s="1"/>
  <c r="AB139" i="1"/>
  <c r="AE139" s="1"/>
  <c r="AK139" s="1"/>
  <c r="AA139"/>
  <c r="E146" i="53" s="1"/>
  <c r="Z139" i="1"/>
  <c r="S143"/>
  <c r="I144" i="53"/>
  <c r="D144"/>
  <c r="BQ27" i="55"/>
  <c r="O125" i="38"/>
  <c r="BA141" i="1"/>
  <c r="BD141" s="1"/>
  <c r="BE141" s="1"/>
  <c r="T141" s="1"/>
  <c r="U141" s="1"/>
  <c r="BC142"/>
  <c r="D128" i="38"/>
  <c r="Z128"/>
  <c r="AA128" s="1"/>
  <c r="E128"/>
  <c r="F128"/>
  <c r="AM128" s="1"/>
  <c r="D134" i="48"/>
  <c r="W134" s="1"/>
  <c r="C134"/>
  <c r="E134"/>
  <c r="X134" s="1"/>
  <c r="B135"/>
  <c r="AV28" i="55"/>
  <c r="G145" i="53"/>
  <c r="V140" i="1"/>
  <c r="X140"/>
  <c r="A153" i="53"/>
  <c r="B154" s="1"/>
  <c r="L146" i="1"/>
  <c r="M145" s="1"/>
  <c r="E146"/>
  <c r="F148" i="52"/>
  <c r="B147" i="1"/>
  <c r="K146"/>
  <c r="N146" s="1"/>
  <c r="C146"/>
  <c r="D146" s="1"/>
  <c r="A130" i="26"/>
  <c r="B130" s="1"/>
  <c r="A146" i="1"/>
  <c r="B129" i="38"/>
  <c r="P145" i="1"/>
  <c r="AF137"/>
  <c r="AD138"/>
  <c r="AO127" i="38"/>
  <c r="AP127" s="1"/>
  <c r="AQ127" s="1"/>
  <c r="AN127"/>
  <c r="W144" i="1"/>
  <c r="R144"/>
  <c r="AL145"/>
  <c r="AI145"/>
  <c r="AH145"/>
  <c r="AC145"/>
  <c r="AJ145"/>
  <c r="AM145"/>
  <c r="E147" i="52"/>
  <c r="F133" i="48"/>
  <c r="Y133" s="1"/>
  <c r="V133"/>
  <c r="BK126" i="38" l="1"/>
  <c r="E148" i="52"/>
  <c r="C135" i="48"/>
  <c r="E135"/>
  <c r="X135" s="1"/>
  <c r="D135"/>
  <c r="W135" s="1"/>
  <c r="B136"/>
  <c r="AO128" i="38"/>
  <c r="AP128" s="1"/>
  <c r="AQ128" s="1"/>
  <c r="AN128"/>
  <c r="V141" i="1"/>
  <c r="X141"/>
  <c r="D129" i="38"/>
  <c r="E129"/>
  <c r="F129"/>
  <c r="AM129" s="1"/>
  <c r="Z129"/>
  <c r="AA129" s="1"/>
  <c r="P146" i="1"/>
  <c r="BQ28" i="55"/>
  <c r="D145" i="53"/>
  <c r="I145"/>
  <c r="F27" i="55"/>
  <c r="AJ146" i="1"/>
  <c r="AH146"/>
  <c r="AM146"/>
  <c r="AL146"/>
  <c r="AC146"/>
  <c r="AI146"/>
  <c r="F149" i="52"/>
  <c r="A131" i="26"/>
  <c r="B131" s="1"/>
  <c r="E147" i="1"/>
  <c r="L147"/>
  <c r="M146" s="1"/>
  <c r="A154" i="53"/>
  <c r="B155" s="1"/>
  <c r="K147" i="1"/>
  <c r="N147" s="1"/>
  <c r="B148"/>
  <c r="B130" i="38"/>
  <c r="C147" i="1"/>
  <c r="D147" s="1"/>
  <c r="A147"/>
  <c r="AB140"/>
  <c r="AE140" s="1"/>
  <c r="AK140" s="1"/>
  <c r="AA140"/>
  <c r="E147" i="53" s="1"/>
  <c r="Z140" i="1"/>
  <c r="F134" i="48"/>
  <c r="Y134" s="1"/>
  <c r="V134"/>
  <c r="CL27" i="55"/>
  <c r="O126" i="38"/>
  <c r="S144" i="1"/>
  <c r="AR127" i="38"/>
  <c r="AF138" i="1"/>
  <c r="AD139"/>
  <c r="R145"/>
  <c r="W145"/>
  <c r="BA142"/>
  <c r="BD142" s="1"/>
  <c r="BE142" s="1"/>
  <c r="T142" s="1"/>
  <c r="U142" s="1"/>
  <c r="BC143"/>
  <c r="AV29" i="55"/>
  <c r="G146" i="53"/>
  <c r="AF139" i="1" l="1"/>
  <c r="AD140"/>
  <c r="E148"/>
  <c r="A132" i="26"/>
  <c r="B132" s="1"/>
  <c r="K148" i="1"/>
  <c r="N148" s="1"/>
  <c r="F150" i="52"/>
  <c r="C148" i="1"/>
  <c r="D148" s="1"/>
  <c r="L148"/>
  <c r="M147" s="1"/>
  <c r="A148"/>
  <c r="B149"/>
  <c r="A155" i="53"/>
  <c r="B156" s="1"/>
  <c r="B131" i="38"/>
  <c r="E149" i="52"/>
  <c r="F28" i="55"/>
  <c r="AB141" i="1"/>
  <c r="AE141" s="1"/>
  <c r="AK141" s="1"/>
  <c r="Y141"/>
  <c r="AA141"/>
  <c r="E148" i="53" s="1"/>
  <c r="Z141" i="1"/>
  <c r="E136" i="48"/>
  <c r="X136" s="1"/>
  <c r="C136"/>
  <c r="D136"/>
  <c r="W136" s="1"/>
  <c r="B137"/>
  <c r="BA143" i="1"/>
  <c r="BD143" s="1"/>
  <c r="BE143" s="1"/>
  <c r="T143" s="1"/>
  <c r="U143" s="1"/>
  <c r="BC144"/>
  <c r="AJ147"/>
  <c r="AM147"/>
  <c r="AC147"/>
  <c r="AH147"/>
  <c r="AL147"/>
  <c r="AI147"/>
  <c r="P147"/>
  <c r="V142"/>
  <c r="X142"/>
  <c r="BK127" i="38"/>
  <c r="AS127"/>
  <c r="AU127" s="1"/>
  <c r="AV127" s="1"/>
  <c r="BA127" s="1"/>
  <c r="BB127" s="1"/>
  <c r="BH127" s="1"/>
  <c r="BJ127" s="1"/>
  <c r="P127" s="1"/>
  <c r="AV30" i="55"/>
  <c r="G147" i="53"/>
  <c r="W146" i="1"/>
  <c r="R146"/>
  <c r="AR128" i="38"/>
  <c r="BQ29" i="55"/>
  <c r="D146" i="53"/>
  <c r="I146"/>
  <c r="S145" i="1"/>
  <c r="Z130" i="38"/>
  <c r="AA130" s="1"/>
  <c r="E130"/>
  <c r="D130"/>
  <c r="F130"/>
  <c r="AM130" s="1"/>
  <c r="CL28" i="55"/>
  <c r="AO129" i="38"/>
  <c r="AP129" s="1"/>
  <c r="AQ129" s="1"/>
  <c r="AN129"/>
  <c r="F135" i="48"/>
  <c r="Y135" s="1"/>
  <c r="V135"/>
  <c r="AR129" i="38" l="1"/>
  <c r="W147" i="1"/>
  <c r="R147"/>
  <c r="V143"/>
  <c r="X143"/>
  <c r="E150" i="52"/>
  <c r="AB142" i="1"/>
  <c r="AE142" s="1"/>
  <c r="AK142" s="1"/>
  <c r="Y142"/>
  <c r="Z142"/>
  <c r="AA142"/>
  <c r="E149" i="53" s="1"/>
  <c r="D137" i="48"/>
  <c r="W137" s="1"/>
  <c r="E137"/>
  <c r="X137" s="1"/>
  <c r="C137"/>
  <c r="B138"/>
  <c r="F151" i="52"/>
  <c r="E149" i="1"/>
  <c r="A156" i="53"/>
  <c r="B157" s="1"/>
  <c r="C149" i="1"/>
  <c r="D149" s="1"/>
  <c r="L149"/>
  <c r="M148" s="1"/>
  <c r="A133" i="26"/>
  <c r="B133" s="1"/>
  <c r="A149" i="1"/>
  <c r="K149"/>
  <c r="N149" s="1"/>
  <c r="B150"/>
  <c r="B132" i="38"/>
  <c r="AF140" i="1"/>
  <c r="AD141"/>
  <c r="CL29" i="55"/>
  <c r="BK128" i="38"/>
  <c r="AS128"/>
  <c r="AU128" s="1"/>
  <c r="AV128" s="1"/>
  <c r="BA128" s="1"/>
  <c r="BB128" s="1"/>
  <c r="BH128" s="1"/>
  <c r="BJ128" s="1"/>
  <c r="P128" s="1"/>
  <c r="O128" s="1"/>
  <c r="AV31" i="55"/>
  <c r="G148" i="53"/>
  <c r="AH148" i="1"/>
  <c r="AM148"/>
  <c r="AI148"/>
  <c r="AC148"/>
  <c r="AJ148"/>
  <c r="AL148"/>
  <c r="P148"/>
  <c r="AO130" i="38"/>
  <c r="AP130" s="1"/>
  <c r="AQ130" s="1"/>
  <c r="AN130"/>
  <c r="AR130" s="1"/>
  <c r="F29" i="55"/>
  <c r="S146" i="1"/>
  <c r="BQ30" i="55"/>
  <c r="I147" i="53"/>
  <c r="D147"/>
  <c r="F30" i="55" s="1"/>
  <c r="O127" i="38"/>
  <c r="BA144" i="1"/>
  <c r="BD144" s="1"/>
  <c r="BE144" s="1"/>
  <c r="T144" s="1"/>
  <c r="U144" s="1"/>
  <c r="BC145"/>
  <c r="V136" i="48"/>
  <c r="F136"/>
  <c r="Y136" s="1"/>
  <c r="E131" i="38"/>
  <c r="D131"/>
  <c r="F131"/>
  <c r="AM131" s="1"/>
  <c r="Z131"/>
  <c r="AA131" s="1"/>
  <c r="AO131" l="1"/>
  <c r="AP131" s="1"/>
  <c r="AQ131" s="1"/>
  <c r="AN131"/>
  <c r="BK130"/>
  <c r="AS130"/>
  <c r="AU130" s="1"/>
  <c r="AV130" s="1"/>
  <c r="BA130" s="1"/>
  <c r="BB130" s="1"/>
  <c r="BH130" s="1"/>
  <c r="BJ130" s="1"/>
  <c r="P130" s="1"/>
  <c r="O130" s="1"/>
  <c r="AF141" i="1"/>
  <c r="AD142"/>
  <c r="E132" i="38"/>
  <c r="D132"/>
  <c r="Z132"/>
  <c r="AA132" s="1"/>
  <c r="F132"/>
  <c r="AM132" s="1"/>
  <c r="E151" i="52"/>
  <c r="S147" i="1"/>
  <c r="BK129" i="38"/>
  <c r="AS129"/>
  <c r="AU129" s="1"/>
  <c r="AV129" s="1"/>
  <c r="BA129" s="1"/>
  <c r="BB129" s="1"/>
  <c r="BH129" s="1"/>
  <c r="BJ129" s="1"/>
  <c r="P129" s="1"/>
  <c r="R148" i="1"/>
  <c r="W148"/>
  <c r="F152" i="52"/>
  <c r="A134" i="26"/>
  <c r="B134" s="1"/>
  <c r="C150" i="1"/>
  <c r="D150" s="1"/>
  <c r="E150"/>
  <c r="B151"/>
  <c r="A150"/>
  <c r="B133" i="38"/>
  <c r="K150" i="1"/>
  <c r="N150" s="1"/>
  <c r="L150"/>
  <c r="M149" s="1"/>
  <c r="A157" i="53"/>
  <c r="B158" s="1"/>
  <c r="E138" i="48"/>
  <c r="X138" s="1"/>
  <c r="D138"/>
  <c r="W138" s="1"/>
  <c r="C138"/>
  <c r="B139"/>
  <c r="AV32" i="55"/>
  <c r="AV35" s="1"/>
  <c r="G149" i="53"/>
  <c r="AB143" i="1"/>
  <c r="AE143" s="1"/>
  <c r="AK143" s="1"/>
  <c r="AA143"/>
  <c r="E150" i="53" s="1"/>
  <c r="Z143" i="1"/>
  <c r="CL30" i="55"/>
  <c r="BQ31"/>
  <c r="I148" i="53"/>
  <c r="CL31" i="55" s="1"/>
  <c r="D148" i="53"/>
  <c r="P149" i="1"/>
  <c r="V137" i="48"/>
  <c r="F137"/>
  <c r="Y137" s="1"/>
  <c r="BA145" i="1"/>
  <c r="BD145" s="1"/>
  <c r="BE145" s="1"/>
  <c r="T145" s="1"/>
  <c r="U145" s="1"/>
  <c r="BC146"/>
  <c r="V144"/>
  <c r="X144"/>
  <c r="AJ149"/>
  <c r="AM149"/>
  <c r="AI149"/>
  <c r="AH149"/>
  <c r="AC149"/>
  <c r="AL149"/>
  <c r="AR131" i="38" l="1"/>
  <c r="BK131" s="1"/>
  <c r="W149" i="1"/>
  <c r="R149"/>
  <c r="BQ32" i="55"/>
  <c r="BQ35" s="1"/>
  <c r="D149" i="53"/>
  <c r="I149"/>
  <c r="F138" i="48"/>
  <c r="Y138" s="1"/>
  <c r="V138"/>
  <c r="L151" i="1"/>
  <c r="M150" s="1"/>
  <c r="F153" i="52"/>
  <c r="E151" i="1"/>
  <c r="A135" i="26"/>
  <c r="B135" s="1"/>
  <c r="C151" i="1"/>
  <c r="D151" s="1"/>
  <c r="A158" i="53"/>
  <c r="B159" s="1"/>
  <c r="K151" i="1"/>
  <c r="N151" s="1"/>
  <c r="B152"/>
  <c r="A151"/>
  <c r="B134" i="38"/>
  <c r="BA146" i="1"/>
  <c r="BD146" s="1"/>
  <c r="BE146" s="1"/>
  <c r="T146" s="1"/>
  <c r="U146" s="1"/>
  <c r="BC147"/>
  <c r="P150"/>
  <c r="E152" i="52"/>
  <c r="V145" i="1"/>
  <c r="X145"/>
  <c r="F31" i="55"/>
  <c r="G150" i="53"/>
  <c r="AW3" i="55"/>
  <c r="E133" i="38"/>
  <c r="D133"/>
  <c r="F133"/>
  <c r="AM133" s="1"/>
  <c r="Z133"/>
  <c r="AA133" s="1"/>
  <c r="S148" i="1"/>
  <c r="O129" i="38"/>
  <c r="AO132"/>
  <c r="AP132" s="1"/>
  <c r="AQ132" s="1"/>
  <c r="AN132"/>
  <c r="AF142" i="1"/>
  <c r="AD143"/>
  <c r="AB144"/>
  <c r="AE144" s="1"/>
  <c r="AK144" s="1"/>
  <c r="Z144"/>
  <c r="AA144"/>
  <c r="E151" i="53" s="1"/>
  <c r="D139" i="48"/>
  <c r="W139" s="1"/>
  <c r="C139"/>
  <c r="E139"/>
  <c r="X139" s="1"/>
  <c r="B140"/>
  <c r="AM150" i="1"/>
  <c r="AL150"/>
  <c r="AH150"/>
  <c r="AI150"/>
  <c r="AJ150"/>
  <c r="AC150"/>
  <c r="AS131" i="38" l="1"/>
  <c r="AU131" s="1"/>
  <c r="AV131" s="1"/>
  <c r="BA131" s="1"/>
  <c r="BB131" s="1"/>
  <c r="BH131" s="1"/>
  <c r="BJ131" s="1"/>
  <c r="P131" s="1"/>
  <c r="O131" s="1"/>
  <c r="AW4" i="55"/>
  <c r="G151" i="53"/>
  <c r="BA147" i="1"/>
  <c r="BD147" s="1"/>
  <c r="BE147" s="1"/>
  <c r="T147" s="1"/>
  <c r="U147" s="1"/>
  <c r="BC148"/>
  <c r="Z134" i="38"/>
  <c r="AA134" s="1"/>
  <c r="D134"/>
  <c r="E134"/>
  <c r="F134"/>
  <c r="AM134" s="1"/>
  <c r="F32" i="55"/>
  <c r="F35" s="1"/>
  <c r="D140" i="48"/>
  <c r="W140" s="1"/>
  <c r="E140"/>
  <c r="X140" s="1"/>
  <c r="C140"/>
  <c r="B141"/>
  <c r="AF143" i="1"/>
  <c r="AD144"/>
  <c r="AO133" i="38"/>
  <c r="AP133" s="1"/>
  <c r="AQ133" s="1"/>
  <c r="AN133"/>
  <c r="W150" i="1"/>
  <c r="R150"/>
  <c r="V146"/>
  <c r="X146"/>
  <c r="AI151"/>
  <c r="AC151"/>
  <c r="AH151"/>
  <c r="AM151"/>
  <c r="AJ151"/>
  <c r="AL151"/>
  <c r="A136" i="26"/>
  <c r="B136" s="1"/>
  <c r="E152" i="1"/>
  <c r="F154" i="52"/>
  <c r="C152" i="1"/>
  <c r="D152" s="1"/>
  <c r="A159" i="53"/>
  <c r="B160" s="1"/>
  <c r="B135" i="38"/>
  <c r="B153" i="1"/>
  <c r="K152"/>
  <c r="N152" s="1"/>
  <c r="L152"/>
  <c r="M151" s="1"/>
  <c r="A152"/>
  <c r="S149"/>
  <c r="V139" i="48"/>
  <c r="F139"/>
  <c r="Y139" s="1"/>
  <c r="AR132" i="38"/>
  <c r="I150" i="53"/>
  <c r="BR3" i="55"/>
  <c r="D150" i="53"/>
  <c r="AB145" i="1"/>
  <c r="AE145" s="1"/>
  <c r="AK145" s="1"/>
  <c r="AA145"/>
  <c r="E152" i="53" s="1"/>
  <c r="Z145" i="1"/>
  <c r="P151"/>
  <c r="E153" i="52"/>
  <c r="CL32" i="55"/>
  <c r="AR133" i="38" l="1"/>
  <c r="AS133" s="1"/>
  <c r="AU133" s="1"/>
  <c r="AV133" s="1"/>
  <c r="BA133" s="1"/>
  <c r="BB133" s="1"/>
  <c r="BH133" s="1"/>
  <c r="BJ133" s="1"/>
  <c r="P133" s="1"/>
  <c r="O133" s="1"/>
  <c r="AB146" i="1"/>
  <c r="AE146" s="1"/>
  <c r="AK146" s="1"/>
  <c r="AA146"/>
  <c r="E153" i="53" s="1"/>
  <c r="Z146" i="1"/>
  <c r="F140" i="48"/>
  <c r="Y140" s="1"/>
  <c r="V140"/>
  <c r="AW5" i="55"/>
  <c r="G152" i="53"/>
  <c r="BK132" i="38"/>
  <c r="AS132"/>
  <c r="AU132" s="1"/>
  <c r="AV132" s="1"/>
  <c r="BA132" s="1"/>
  <c r="BB132" s="1"/>
  <c r="BH132" s="1"/>
  <c r="BJ132" s="1"/>
  <c r="P132" s="1"/>
  <c r="P152" i="1"/>
  <c r="AF144"/>
  <c r="AD145"/>
  <c r="BA148"/>
  <c r="BD148" s="1"/>
  <c r="BE148" s="1"/>
  <c r="T148" s="1"/>
  <c r="U148" s="1"/>
  <c r="BC149"/>
  <c r="BR4" i="55"/>
  <c r="I151" i="53"/>
  <c r="D151"/>
  <c r="K153" i="1"/>
  <c r="N153" s="1"/>
  <c r="C153"/>
  <c r="D153" s="1"/>
  <c r="F155" i="52"/>
  <c r="A137" i="26"/>
  <c r="B137" s="1"/>
  <c r="A153" i="1"/>
  <c r="E153"/>
  <c r="B154"/>
  <c r="L153"/>
  <c r="M152" s="1"/>
  <c r="B136" i="38"/>
  <c r="A160" i="53"/>
  <c r="B161" s="1"/>
  <c r="AN134" i="38"/>
  <c r="AO134"/>
  <c r="AP134" s="1"/>
  <c r="AQ134" s="1"/>
  <c r="V147" i="1"/>
  <c r="X147"/>
  <c r="R151"/>
  <c r="W151"/>
  <c r="G3" i="55"/>
  <c r="AJ152" i="1"/>
  <c r="AL152"/>
  <c r="AH152"/>
  <c r="AC152"/>
  <c r="AM152"/>
  <c r="AI152"/>
  <c r="E135" i="38"/>
  <c r="Z135"/>
  <c r="AA135" s="1"/>
  <c r="D135"/>
  <c r="F135"/>
  <c r="AM135" s="1"/>
  <c r="E154" i="52"/>
  <c r="S150" i="1"/>
  <c r="D141" i="48"/>
  <c r="W141" s="1"/>
  <c r="C141"/>
  <c r="E141"/>
  <c r="X141" s="1"/>
  <c r="B142"/>
  <c r="BK133" i="38" l="1"/>
  <c r="V141" i="48"/>
  <c r="F141"/>
  <c r="Y141" s="1"/>
  <c r="S151" i="1"/>
  <c r="AB147"/>
  <c r="AE147" s="1"/>
  <c r="AK147" s="1"/>
  <c r="AA147"/>
  <c r="E154" i="53" s="1"/>
  <c r="Z147" i="1"/>
  <c r="G4" i="55"/>
  <c r="V148" i="1"/>
  <c r="X148"/>
  <c r="O132" i="38"/>
  <c r="AO135"/>
  <c r="AP135" s="1"/>
  <c r="AQ135" s="1"/>
  <c r="AN135"/>
  <c r="C154" i="1"/>
  <c r="D154" s="1"/>
  <c r="F156" i="52"/>
  <c r="A161" i="53"/>
  <c r="B162" s="1"/>
  <c r="L154" i="1"/>
  <c r="M153" s="1"/>
  <c r="E154"/>
  <c r="B137" i="38"/>
  <c r="A138" i="26"/>
  <c r="B138" s="1"/>
  <c r="K154" i="1"/>
  <c r="N154" s="1"/>
  <c r="B155"/>
  <c r="A154"/>
  <c r="D142" i="48"/>
  <c r="W142" s="1"/>
  <c r="C142"/>
  <c r="B143"/>
  <c r="E142"/>
  <c r="X142" s="1"/>
  <c r="E155" i="52"/>
  <c r="AR134" i="38"/>
  <c r="E136"/>
  <c r="D136"/>
  <c r="Z136"/>
  <c r="AA136" s="1"/>
  <c r="F136"/>
  <c r="AM136" s="1"/>
  <c r="AJ153" i="1"/>
  <c r="AM153"/>
  <c r="AI153"/>
  <c r="AH153"/>
  <c r="AC153"/>
  <c r="AL153"/>
  <c r="P153"/>
  <c r="BA149"/>
  <c r="BD149" s="1"/>
  <c r="BE149" s="1"/>
  <c r="T149" s="1"/>
  <c r="U149" s="1"/>
  <c r="BC150"/>
  <c r="AF145"/>
  <c r="AD146"/>
  <c r="W152"/>
  <c r="R152"/>
  <c r="I152" i="53"/>
  <c r="BR5" i="55"/>
  <c r="D152" i="53"/>
  <c r="AW6" i="55"/>
  <c r="G153" i="53"/>
  <c r="AR135" i="38" l="1"/>
  <c r="BK135" s="1"/>
  <c r="BR6" i="55"/>
  <c r="I153" i="53"/>
  <c r="D153"/>
  <c r="G6" i="55" s="1"/>
  <c r="S152" i="1"/>
  <c r="AM154"/>
  <c r="AC154"/>
  <c r="AL154"/>
  <c r="AJ154"/>
  <c r="AH154"/>
  <c r="AI154"/>
  <c r="D137" i="38"/>
  <c r="E137"/>
  <c r="Z137"/>
  <c r="AA137" s="1"/>
  <c r="F137"/>
  <c r="AM137" s="1"/>
  <c r="BA150" i="1"/>
  <c r="BD150" s="1"/>
  <c r="BE150" s="1"/>
  <c r="T150" s="1"/>
  <c r="U150" s="1"/>
  <c r="BC151"/>
  <c r="D143" i="48"/>
  <c r="W143" s="1"/>
  <c r="C143"/>
  <c r="E143"/>
  <c r="X143" s="1"/>
  <c r="B144"/>
  <c r="A162" i="53"/>
  <c r="B163" s="1"/>
  <c r="F157" i="52"/>
  <c r="A139" i="26"/>
  <c r="B139" s="1"/>
  <c r="L155" i="1"/>
  <c r="M154" s="1"/>
  <c r="C155"/>
  <c r="D155" s="1"/>
  <c r="A155"/>
  <c r="B138" i="38"/>
  <c r="B156" i="1"/>
  <c r="K155"/>
  <c r="N155" s="1"/>
  <c r="E155"/>
  <c r="E156" i="52"/>
  <c r="AW7" i="55"/>
  <c r="G154" i="53"/>
  <c r="AF146" i="1"/>
  <c r="AD147"/>
  <c r="V149"/>
  <c r="X149"/>
  <c r="AO136" i="38"/>
  <c r="AP136" s="1"/>
  <c r="AQ136" s="1"/>
  <c r="AN136"/>
  <c r="AR136" s="1"/>
  <c r="BK134"/>
  <c r="AS134"/>
  <c r="AU134" s="1"/>
  <c r="AV134" s="1"/>
  <c r="BA134" s="1"/>
  <c r="BB134" s="1"/>
  <c r="BH134" s="1"/>
  <c r="BJ134" s="1"/>
  <c r="P134" s="1"/>
  <c r="V142" i="48"/>
  <c r="F142"/>
  <c r="Y142" s="1"/>
  <c r="P154" i="1"/>
  <c r="G5" i="55"/>
  <c r="W153" i="1"/>
  <c r="R153"/>
  <c r="AB148"/>
  <c r="AE148" s="1"/>
  <c r="AK148" s="1"/>
  <c r="AA148"/>
  <c r="E155" i="53" s="1"/>
  <c r="Z148" i="1"/>
  <c r="AS135" i="38" l="1"/>
  <c r="AU135" s="1"/>
  <c r="AV135" s="1"/>
  <c r="BA135" s="1"/>
  <c r="BB135" s="1"/>
  <c r="BH135" s="1"/>
  <c r="BJ135" s="1"/>
  <c r="P135" s="1"/>
  <c r="O135" s="1"/>
  <c r="AW8" i="55"/>
  <c r="G155" i="53"/>
  <c r="W154" i="1"/>
  <c r="R154"/>
  <c r="E157" i="52"/>
  <c r="AJ155" i="1"/>
  <c r="AH155"/>
  <c r="AM155"/>
  <c r="AC155"/>
  <c r="AI155"/>
  <c r="AL155"/>
  <c r="V143" i="48"/>
  <c r="F143"/>
  <c r="Y143" s="1"/>
  <c r="BA151" i="1"/>
  <c r="BD151" s="1"/>
  <c r="BE151" s="1"/>
  <c r="T151" s="1"/>
  <c r="U151" s="1"/>
  <c r="BC152"/>
  <c r="S153"/>
  <c r="O134" i="38"/>
  <c r="AB149" i="1"/>
  <c r="AE149" s="1"/>
  <c r="AK149" s="1"/>
  <c r="AA149"/>
  <c r="E156" i="53" s="1"/>
  <c r="Z149" i="1"/>
  <c r="P155"/>
  <c r="V150"/>
  <c r="X150"/>
  <c r="AO137" i="38"/>
  <c r="AP137" s="1"/>
  <c r="AQ137" s="1"/>
  <c r="AN137"/>
  <c r="L156" i="1"/>
  <c r="M155" s="1"/>
  <c r="E156"/>
  <c r="F158" i="52"/>
  <c r="C156" i="1"/>
  <c r="D156" s="1"/>
  <c r="K156"/>
  <c r="N156" s="1"/>
  <c r="A156"/>
  <c r="A140" i="26"/>
  <c r="B140" s="1"/>
  <c r="B157" i="1"/>
  <c r="B139" i="38"/>
  <c r="A163" i="53"/>
  <c r="B164" s="1"/>
  <c r="D144" i="48"/>
  <c r="W144" s="1"/>
  <c r="E144"/>
  <c r="X144" s="1"/>
  <c r="C144"/>
  <c r="B145"/>
  <c r="BK136" i="38"/>
  <c r="AS136"/>
  <c r="AU136" s="1"/>
  <c r="AV136" s="1"/>
  <c r="BA136" s="1"/>
  <c r="BB136" s="1"/>
  <c r="BH136" s="1"/>
  <c r="BJ136" s="1"/>
  <c r="P136" s="1"/>
  <c r="O136" s="1"/>
  <c r="AF147" i="1"/>
  <c r="AD148"/>
  <c r="I154" i="53"/>
  <c r="BR7" i="55"/>
  <c r="D154" i="53"/>
  <c r="D138" i="38"/>
  <c r="E138"/>
  <c r="F138"/>
  <c r="AM138" s="1"/>
  <c r="Z138"/>
  <c r="AA138" s="1"/>
  <c r="A164" i="53" l="1"/>
  <c r="B165" s="1"/>
  <c r="F159" i="52"/>
  <c r="C157" i="1"/>
  <c r="D157" s="1"/>
  <c r="L157"/>
  <c r="M156" s="1"/>
  <c r="K157"/>
  <c r="N157" s="1"/>
  <c r="A157"/>
  <c r="A141" i="26"/>
  <c r="B141" s="1"/>
  <c r="B158" i="1"/>
  <c r="B140" i="38"/>
  <c r="E157" i="1"/>
  <c r="AB150"/>
  <c r="AE150" s="1"/>
  <c r="AK150" s="1"/>
  <c r="AA150"/>
  <c r="E157" i="53" s="1"/>
  <c r="Z150" i="1"/>
  <c r="W155"/>
  <c r="R155"/>
  <c r="AW9" i="55"/>
  <c r="G156" i="53"/>
  <c r="BA152" i="1"/>
  <c r="BD152" s="1"/>
  <c r="BE152" s="1"/>
  <c r="T152" s="1"/>
  <c r="U152" s="1"/>
  <c r="BC153"/>
  <c r="S154"/>
  <c r="G7" i="55"/>
  <c r="AF148" i="1"/>
  <c r="AD149"/>
  <c r="AR137" i="38"/>
  <c r="V151" i="1"/>
  <c r="X151"/>
  <c r="D155" i="53"/>
  <c r="G8" i="55" s="1"/>
  <c r="BR8"/>
  <c r="I155" i="53"/>
  <c r="AO138" i="38"/>
  <c r="AP138" s="1"/>
  <c r="AQ138" s="1"/>
  <c r="AN138"/>
  <c r="D145" i="48"/>
  <c r="W145" s="1"/>
  <c r="C145"/>
  <c r="E145"/>
  <c r="X145" s="1"/>
  <c r="B146"/>
  <c r="AC156" i="1"/>
  <c r="AL156"/>
  <c r="AJ156"/>
  <c r="AI156"/>
  <c r="AH156"/>
  <c r="AM156"/>
  <c r="E158" i="52"/>
  <c r="F144" i="48"/>
  <c r="Y144" s="1"/>
  <c r="V144"/>
  <c r="Z139" i="38"/>
  <c r="AA139" s="1"/>
  <c r="D139"/>
  <c r="E139"/>
  <c r="F139"/>
  <c r="AM139" s="1"/>
  <c r="P156" i="1"/>
  <c r="C146" i="48" l="1"/>
  <c r="E146"/>
  <c r="X146" s="1"/>
  <c r="D146"/>
  <c r="W146" s="1"/>
  <c r="B147"/>
  <c r="V152" i="1"/>
  <c r="X152"/>
  <c r="S155"/>
  <c r="AO139" i="38"/>
  <c r="AP139" s="1"/>
  <c r="AQ139" s="1"/>
  <c r="AN139"/>
  <c r="AR138"/>
  <c r="BR9" i="55"/>
  <c r="D156" i="53"/>
  <c r="G9" i="55" s="1"/>
  <c r="I156" i="53"/>
  <c r="AW10" i="55"/>
  <c r="G157" i="53"/>
  <c r="E159" i="52"/>
  <c r="AJ157" i="1"/>
  <c r="AC157"/>
  <c r="AM157"/>
  <c r="AH157"/>
  <c r="AL157"/>
  <c r="AI157"/>
  <c r="W156"/>
  <c r="R156"/>
  <c r="F145" i="48"/>
  <c r="Y145" s="1"/>
  <c r="V145"/>
  <c r="BK137" i="38"/>
  <c r="AS137"/>
  <c r="AU137" s="1"/>
  <c r="AV137" s="1"/>
  <c r="BA137" s="1"/>
  <c r="BB137" s="1"/>
  <c r="BH137" s="1"/>
  <c r="BJ137" s="1"/>
  <c r="P137" s="1"/>
  <c r="AF149" i="1"/>
  <c r="AD150"/>
  <c r="E140" i="38"/>
  <c r="D140"/>
  <c r="Z140"/>
  <c r="AA140" s="1"/>
  <c r="F140"/>
  <c r="AM140" s="1"/>
  <c r="P157" i="1"/>
  <c r="AB151"/>
  <c r="AE151" s="1"/>
  <c r="AK151" s="1"/>
  <c r="Z151"/>
  <c r="AA151"/>
  <c r="E158" i="53" s="1"/>
  <c r="BA153" i="1"/>
  <c r="BD153" s="1"/>
  <c r="BE153" s="1"/>
  <c r="T153" s="1"/>
  <c r="U153" s="1"/>
  <c r="BC154"/>
  <c r="E158"/>
  <c r="K158"/>
  <c r="N158" s="1"/>
  <c r="L158"/>
  <c r="M157" s="1"/>
  <c r="F160" i="52"/>
  <c r="C158" i="1"/>
  <c r="D158" s="1"/>
  <c r="A165" i="53"/>
  <c r="B166" s="1"/>
  <c r="A158" i="1"/>
  <c r="B141" i="38"/>
  <c r="B159" i="1"/>
  <c r="A142" i="26"/>
  <c r="B142" s="1"/>
  <c r="AJ158" i="1" l="1"/>
  <c r="AH158"/>
  <c r="AI158"/>
  <c r="AL158"/>
  <c r="AM158"/>
  <c r="AC158"/>
  <c r="BA154"/>
  <c r="BD154" s="1"/>
  <c r="BE154" s="1"/>
  <c r="T154" s="1"/>
  <c r="U154" s="1"/>
  <c r="BC155"/>
  <c r="AW11" i="55"/>
  <c r="G158" i="53"/>
  <c r="W157" i="1"/>
  <c r="R157"/>
  <c r="AF150"/>
  <c r="AD151"/>
  <c r="BK138" i="38"/>
  <c r="AS138"/>
  <c r="AU138" s="1"/>
  <c r="AV138" s="1"/>
  <c r="BA138" s="1"/>
  <c r="BB138" s="1"/>
  <c r="BH138" s="1"/>
  <c r="BJ138" s="1"/>
  <c r="P138" s="1"/>
  <c r="O138" s="1"/>
  <c r="F146" i="48"/>
  <c r="Y146" s="1"/>
  <c r="V146"/>
  <c r="P158" i="1"/>
  <c r="V153"/>
  <c r="X153"/>
  <c r="AB152"/>
  <c r="AE152" s="1"/>
  <c r="AK152" s="1"/>
  <c r="Z152"/>
  <c r="AA152"/>
  <c r="E159" i="53" s="1"/>
  <c r="C147" i="48"/>
  <c r="D147"/>
  <c r="W147" s="1"/>
  <c r="E147"/>
  <c r="X147" s="1"/>
  <c r="B148"/>
  <c r="F161" i="52"/>
  <c r="A143" i="26"/>
  <c r="B143" s="1"/>
  <c r="K159" i="1"/>
  <c r="N159" s="1"/>
  <c r="A166" i="53"/>
  <c r="B167" s="1"/>
  <c r="E159" i="1"/>
  <c r="L159"/>
  <c r="M158" s="1"/>
  <c r="B160"/>
  <c r="C159"/>
  <c r="D159" s="1"/>
  <c r="A159"/>
  <c r="B142" i="38"/>
  <c r="E160" i="52"/>
  <c r="O137" i="38"/>
  <c r="D157" i="53"/>
  <c r="BR10" i="55"/>
  <c r="I157" i="53"/>
  <c r="AR139" i="38"/>
  <c r="Z141"/>
  <c r="AA141" s="1"/>
  <c r="D141"/>
  <c r="E141"/>
  <c r="F141"/>
  <c r="AM141" s="1"/>
  <c r="AO140"/>
  <c r="AP140" s="1"/>
  <c r="AQ140" s="1"/>
  <c r="AN140"/>
  <c r="S156" i="1"/>
  <c r="AR140" i="38" l="1"/>
  <c r="AO141"/>
  <c r="AP141" s="1"/>
  <c r="AQ141" s="1"/>
  <c r="AN141"/>
  <c r="V147" i="48"/>
  <c r="F147"/>
  <c r="Y147" s="1"/>
  <c r="BA155" i="1"/>
  <c r="BD155" s="1"/>
  <c r="BE155" s="1"/>
  <c r="T155" s="1"/>
  <c r="U155" s="1"/>
  <c r="BC156"/>
  <c r="G10" i="55"/>
  <c r="A144" i="26"/>
  <c r="B144" s="1"/>
  <c r="F162" i="52"/>
  <c r="E160" i="1"/>
  <c r="C160"/>
  <c r="D160" s="1"/>
  <c r="A160"/>
  <c r="B143" i="38"/>
  <c r="B161" i="1"/>
  <c r="L160"/>
  <c r="M159" s="1"/>
  <c r="K160"/>
  <c r="N160" s="1"/>
  <c r="A167" i="53"/>
  <c r="B168" s="1"/>
  <c r="P159" i="1"/>
  <c r="E148" i="48"/>
  <c r="X148" s="1"/>
  <c r="D148"/>
  <c r="W148" s="1"/>
  <c r="C148"/>
  <c r="B149"/>
  <c r="AF151" i="1"/>
  <c r="AD152"/>
  <c r="I158" i="53"/>
  <c r="BR11" i="55"/>
  <c r="D158" i="53"/>
  <c r="V154" i="1"/>
  <c r="X154"/>
  <c r="BK139" i="38"/>
  <c r="AS139"/>
  <c r="AU139" s="1"/>
  <c r="AV139" s="1"/>
  <c r="BA139" s="1"/>
  <c r="BB139" s="1"/>
  <c r="BH139" s="1"/>
  <c r="BJ139" s="1"/>
  <c r="P139" s="1"/>
  <c r="Z142"/>
  <c r="AA142" s="1"/>
  <c r="E142"/>
  <c r="D142"/>
  <c r="F142"/>
  <c r="AM142" s="1"/>
  <c r="AW12" i="55"/>
  <c r="G159" i="53"/>
  <c r="W158" i="1"/>
  <c r="R158"/>
  <c r="AJ159"/>
  <c r="AI159"/>
  <c r="AC159"/>
  <c r="AM159"/>
  <c r="AL159"/>
  <c r="AH159"/>
  <c r="E161" i="52"/>
  <c r="AB153" i="1"/>
  <c r="AE153" s="1"/>
  <c r="AK153" s="1"/>
  <c r="Z153"/>
  <c r="AA153"/>
  <c r="E160" i="53" s="1"/>
  <c r="S157" i="1"/>
  <c r="S158" l="1"/>
  <c r="O139" i="38"/>
  <c r="G11" i="55"/>
  <c r="V148" i="48"/>
  <c r="F148"/>
  <c r="Y148" s="1"/>
  <c r="P160" i="1"/>
  <c r="AC160"/>
  <c r="AL160"/>
  <c r="AM160"/>
  <c r="AJ160"/>
  <c r="AH160"/>
  <c r="AI160"/>
  <c r="AR141" i="38"/>
  <c r="AB154" i="1"/>
  <c r="AE154" s="1"/>
  <c r="AK154" s="1"/>
  <c r="Z154"/>
  <c r="AA154"/>
  <c r="E161" i="53" s="1"/>
  <c r="AW13" i="55"/>
  <c r="G160" i="53"/>
  <c r="I159"/>
  <c r="D159"/>
  <c r="BR12" i="55"/>
  <c r="AO142" i="38"/>
  <c r="AP142" s="1"/>
  <c r="AQ142" s="1"/>
  <c r="AN142"/>
  <c r="E161" i="1"/>
  <c r="A145" i="26"/>
  <c r="B145" s="1"/>
  <c r="L161" i="1"/>
  <c r="M160" s="1"/>
  <c r="C161"/>
  <c r="D161" s="1"/>
  <c r="F163" i="52"/>
  <c r="A168" i="53"/>
  <c r="B169" s="1"/>
  <c r="K161" i="1"/>
  <c r="N161" s="1"/>
  <c r="B144" i="38"/>
  <c r="B162" i="1"/>
  <c r="A161"/>
  <c r="E162" i="52"/>
  <c r="BA156" i="1"/>
  <c r="BD156" s="1"/>
  <c r="BE156" s="1"/>
  <c r="T156" s="1"/>
  <c r="U156" s="1"/>
  <c r="BC157"/>
  <c r="BK140" i="38"/>
  <c r="AS140"/>
  <c r="AU140" s="1"/>
  <c r="AV140" s="1"/>
  <c r="BA140" s="1"/>
  <c r="BB140" s="1"/>
  <c r="BH140" s="1"/>
  <c r="BJ140" s="1"/>
  <c r="P140" s="1"/>
  <c r="O140" s="1"/>
  <c r="AF152" i="1"/>
  <c r="AD153"/>
  <c r="E149" i="48"/>
  <c r="X149" s="1"/>
  <c r="C149"/>
  <c r="D149"/>
  <c r="W149" s="1"/>
  <c r="B150"/>
  <c r="W159" i="1"/>
  <c r="R159"/>
  <c r="D143" i="38"/>
  <c r="E143"/>
  <c r="Z143"/>
  <c r="AA143" s="1"/>
  <c r="F143"/>
  <c r="AM143" s="1"/>
  <c r="V155" i="1"/>
  <c r="X155"/>
  <c r="AR142" i="38" l="1"/>
  <c r="BK142" s="1"/>
  <c r="S159" i="1"/>
  <c r="F149" i="48"/>
  <c r="Y149" s="1"/>
  <c r="V149"/>
  <c r="V156" i="1"/>
  <c r="X156"/>
  <c r="C162"/>
  <c r="D162" s="1"/>
  <c r="L162"/>
  <c r="M161" s="1"/>
  <c r="F164" i="52"/>
  <c r="A169" i="53"/>
  <c r="B170" s="1"/>
  <c r="E162" i="1"/>
  <c r="A162"/>
  <c r="B145" i="38"/>
  <c r="K162" i="1"/>
  <c r="N162" s="1"/>
  <c r="B163"/>
  <c r="A146" i="26"/>
  <c r="B146" s="1"/>
  <c r="E163" i="52"/>
  <c r="AF153" i="1"/>
  <c r="AD154"/>
  <c r="Z144" i="38"/>
  <c r="AA144" s="1"/>
  <c r="E144"/>
  <c r="D144"/>
  <c r="F144"/>
  <c r="AM144" s="1"/>
  <c r="AB155" i="1"/>
  <c r="AE155" s="1"/>
  <c r="AK155" s="1"/>
  <c r="AA155"/>
  <c r="E162" i="53" s="1"/>
  <c r="Z155" i="1"/>
  <c r="E150" i="48"/>
  <c r="X150" s="1"/>
  <c r="C150"/>
  <c r="B151"/>
  <c r="D150"/>
  <c r="W150" s="1"/>
  <c r="P161" i="1"/>
  <c r="AS142" i="38"/>
  <c r="AU142" s="1"/>
  <c r="AV142" s="1"/>
  <c r="BA142" s="1"/>
  <c r="BB142" s="1"/>
  <c r="BH142" s="1"/>
  <c r="BJ142" s="1"/>
  <c r="P142" s="1"/>
  <c r="O142" s="1"/>
  <c r="G12" i="55"/>
  <c r="I160" i="53"/>
  <c r="BR13" i="55"/>
  <c r="D160" i="53"/>
  <c r="BK141" i="38"/>
  <c r="AS141"/>
  <c r="AU141" s="1"/>
  <c r="AV141" s="1"/>
  <c r="BA141" s="1"/>
  <c r="BB141" s="1"/>
  <c r="BH141" s="1"/>
  <c r="BJ141" s="1"/>
  <c r="P141" s="1"/>
  <c r="O141" s="1"/>
  <c r="W160" i="1"/>
  <c r="R160"/>
  <c r="AN143" i="38"/>
  <c r="AR143" s="1"/>
  <c r="AO143"/>
  <c r="AP143" s="1"/>
  <c r="AQ143" s="1"/>
  <c r="BA157" i="1"/>
  <c r="BD157" s="1"/>
  <c r="BE157" s="1"/>
  <c r="T157" s="1"/>
  <c r="U157" s="1"/>
  <c r="BC158"/>
  <c r="AC161"/>
  <c r="AH161"/>
  <c r="AI161"/>
  <c r="AM161"/>
  <c r="AJ161"/>
  <c r="AL161"/>
  <c r="AW14" i="55"/>
  <c r="G161" i="53"/>
  <c r="D161" l="1"/>
  <c r="I161"/>
  <c r="BR14" i="55"/>
  <c r="AF154" i="1"/>
  <c r="AD155"/>
  <c r="D145" i="38"/>
  <c r="E145"/>
  <c r="Z145"/>
  <c r="AA145" s="1"/>
  <c r="F145"/>
  <c r="AM145" s="1"/>
  <c r="BA158" i="1"/>
  <c r="BD158" s="1"/>
  <c r="BE158" s="1"/>
  <c r="T158" s="1"/>
  <c r="U158" s="1"/>
  <c r="BC159"/>
  <c r="G13" i="55"/>
  <c r="D151" i="48"/>
  <c r="W151" s="1"/>
  <c r="E151"/>
  <c r="X151" s="1"/>
  <c r="B152"/>
  <c r="C151"/>
  <c r="AW15" i="55"/>
  <c r="G162" i="53"/>
  <c r="AN144" i="38"/>
  <c r="AO144"/>
  <c r="AP144" s="1"/>
  <c r="AQ144" s="1"/>
  <c r="AJ162" i="1"/>
  <c r="AC162"/>
  <c r="AI162"/>
  <c r="AL162"/>
  <c r="AH162"/>
  <c r="AM162"/>
  <c r="V157"/>
  <c r="X157"/>
  <c r="V150" i="48"/>
  <c r="F150"/>
  <c r="Y150" s="1"/>
  <c r="E163" i="1"/>
  <c r="F165" i="52"/>
  <c r="L163" i="1"/>
  <c r="M162" s="1"/>
  <c r="A147" i="26"/>
  <c r="B147" s="1"/>
  <c r="C163" i="1"/>
  <c r="D163" s="1"/>
  <c r="A170" i="53"/>
  <c r="B171" s="1"/>
  <c r="B146" i="38"/>
  <c r="A163" i="1"/>
  <c r="B164"/>
  <c r="K163"/>
  <c r="N163" s="1"/>
  <c r="E164" i="52"/>
  <c r="BK143" i="38"/>
  <c r="AS143"/>
  <c r="AU143" s="1"/>
  <c r="AV143" s="1"/>
  <c r="BA143" s="1"/>
  <c r="BB143" s="1"/>
  <c r="BH143" s="1"/>
  <c r="BJ143" s="1"/>
  <c r="P143" s="1"/>
  <c r="S160" i="1"/>
  <c r="W161"/>
  <c r="R161"/>
  <c r="P162"/>
  <c r="AB156"/>
  <c r="AE156" s="1"/>
  <c r="AK156" s="1"/>
  <c r="Z156"/>
  <c r="AA156"/>
  <c r="E163" i="53" s="1"/>
  <c r="AR144" i="38" l="1"/>
  <c r="BK144" s="1"/>
  <c r="R162" i="1"/>
  <c r="W162"/>
  <c r="A171" i="53"/>
  <c r="B172" s="1"/>
  <c r="F166" i="52"/>
  <c r="E164" i="1"/>
  <c r="C164"/>
  <c r="D164" s="1"/>
  <c r="A148" i="26"/>
  <c r="B148" s="1"/>
  <c r="A164" i="1"/>
  <c r="K164"/>
  <c r="N164" s="1"/>
  <c r="B147" i="38"/>
  <c r="B165" i="1"/>
  <c r="L164"/>
  <c r="M163" s="1"/>
  <c r="E165" i="52"/>
  <c r="AB157" i="1"/>
  <c r="AE157" s="1"/>
  <c r="AK157" s="1"/>
  <c r="AA157"/>
  <c r="E164" i="53" s="1"/>
  <c r="Z157" i="1"/>
  <c r="AF155"/>
  <c r="AD156"/>
  <c r="S161"/>
  <c r="AJ163"/>
  <c r="AH163"/>
  <c r="AL163"/>
  <c r="AM163"/>
  <c r="AC163"/>
  <c r="AI163"/>
  <c r="BA159"/>
  <c r="BD159" s="1"/>
  <c r="BE159" s="1"/>
  <c r="T159" s="1"/>
  <c r="U159" s="1"/>
  <c r="BC160"/>
  <c r="AO145" i="38"/>
  <c r="AP145" s="1"/>
  <c r="AQ145" s="1"/>
  <c r="AN145"/>
  <c r="AW16" i="55"/>
  <c r="G163" i="53"/>
  <c r="Z146" i="38"/>
  <c r="AA146" s="1"/>
  <c r="D146"/>
  <c r="E146"/>
  <c r="F146"/>
  <c r="AM146" s="1"/>
  <c r="V151" i="48"/>
  <c r="F151"/>
  <c r="Y151" s="1"/>
  <c r="V158" i="1"/>
  <c r="X158"/>
  <c r="G14" i="55"/>
  <c r="O143" i="38"/>
  <c r="P163" i="1"/>
  <c r="BR15" i="55"/>
  <c r="D162" i="53"/>
  <c r="I162"/>
  <c r="D152" i="48"/>
  <c r="W152" s="1"/>
  <c r="C152"/>
  <c r="E152"/>
  <c r="X152" s="1"/>
  <c r="B153"/>
  <c r="AS144" i="38" l="1"/>
  <c r="AU144" s="1"/>
  <c r="AV144" s="1"/>
  <c r="BA144" s="1"/>
  <c r="BB144" s="1"/>
  <c r="BH144" s="1"/>
  <c r="BJ144" s="1"/>
  <c r="P144" s="1"/>
  <c r="O144" s="1"/>
  <c r="F152" i="48"/>
  <c r="Y152" s="1"/>
  <c r="V152"/>
  <c r="AB158" i="1"/>
  <c r="AE158" s="1"/>
  <c r="AK158" s="1"/>
  <c r="Z158"/>
  <c r="AA158"/>
  <c r="E165" i="53" s="1"/>
  <c r="V159" i="1"/>
  <c r="X159"/>
  <c r="E147" i="38"/>
  <c r="Z147"/>
  <c r="AA147" s="1"/>
  <c r="D147"/>
  <c r="F147"/>
  <c r="AM147" s="1"/>
  <c r="AR145"/>
  <c r="AF156" i="1"/>
  <c r="AD157"/>
  <c r="AW17" i="55"/>
  <c r="G164" i="53"/>
  <c r="P164" i="1"/>
  <c r="E166" i="52"/>
  <c r="E153" i="48"/>
  <c r="X153" s="1"/>
  <c r="C153"/>
  <c r="D153"/>
  <c r="W153" s="1"/>
  <c r="B154"/>
  <c r="W163" i="1"/>
  <c r="R163"/>
  <c r="AL164"/>
  <c r="AJ164"/>
  <c r="AI164"/>
  <c r="AC164"/>
  <c r="AM164"/>
  <c r="AH164"/>
  <c r="G15" i="55"/>
  <c r="AO146" i="38"/>
  <c r="AP146" s="1"/>
  <c r="AQ146" s="1"/>
  <c r="AN146"/>
  <c r="D163" i="53"/>
  <c r="G16" i="55" s="1"/>
  <c r="BR16"/>
  <c r="I163" i="53"/>
  <c r="BA160" i="1"/>
  <c r="BD160" s="1"/>
  <c r="BE160" s="1"/>
  <c r="T160" s="1"/>
  <c r="U160" s="1"/>
  <c r="BC161"/>
  <c r="A149" i="26"/>
  <c r="B149" s="1"/>
  <c r="E165" i="1"/>
  <c r="F167" i="52"/>
  <c r="A165" i="1"/>
  <c r="L165"/>
  <c r="M164" s="1"/>
  <c r="C165"/>
  <c r="D165" s="1"/>
  <c r="A172" i="53"/>
  <c r="B173" s="1"/>
  <c r="K165" i="1"/>
  <c r="N165" s="1"/>
  <c r="B166"/>
  <c r="B148" i="38"/>
  <c r="S162" i="1"/>
  <c r="P165" l="1"/>
  <c r="AL165"/>
  <c r="AI165"/>
  <c r="AH165"/>
  <c r="AJ165"/>
  <c r="AM165"/>
  <c r="AC165"/>
  <c r="AR146" i="38"/>
  <c r="W164" i="1"/>
  <c r="R164"/>
  <c r="I164" i="53"/>
  <c r="D164"/>
  <c r="G17" i="55" s="1"/>
  <c r="BR17"/>
  <c r="S163" i="1"/>
  <c r="V153" i="48"/>
  <c r="F153"/>
  <c r="Y153" s="1"/>
  <c r="E148" i="38"/>
  <c r="Z148"/>
  <c r="AA148" s="1"/>
  <c r="D148"/>
  <c r="F148"/>
  <c r="AM148" s="1"/>
  <c r="E167" i="52"/>
  <c r="BA161" i="1"/>
  <c r="BD161" s="1"/>
  <c r="BE161" s="1"/>
  <c r="T161" s="1"/>
  <c r="U161" s="1"/>
  <c r="BC162"/>
  <c r="BK145" i="38"/>
  <c r="AS145"/>
  <c r="AU145" s="1"/>
  <c r="AV145" s="1"/>
  <c r="BA145" s="1"/>
  <c r="BB145" s="1"/>
  <c r="BH145" s="1"/>
  <c r="BJ145" s="1"/>
  <c r="P145" s="1"/>
  <c r="AO147"/>
  <c r="AP147" s="1"/>
  <c r="AQ147" s="1"/>
  <c r="AN147"/>
  <c r="AW18" i="55"/>
  <c r="G165" i="53"/>
  <c r="F168" i="52"/>
  <c r="A173" i="53"/>
  <c r="B174" s="1"/>
  <c r="A150" i="26"/>
  <c r="B150" s="1"/>
  <c r="A166" i="1"/>
  <c r="E166"/>
  <c r="L166"/>
  <c r="M165" s="1"/>
  <c r="C166"/>
  <c r="D166" s="1"/>
  <c r="B149" i="38"/>
  <c r="B167" i="1"/>
  <c r="K166"/>
  <c r="N166" s="1"/>
  <c r="V160"/>
  <c r="X160"/>
  <c r="D154" i="48"/>
  <c r="W154" s="1"/>
  <c r="E154"/>
  <c r="X154" s="1"/>
  <c r="C154"/>
  <c r="B155"/>
  <c r="AF157" i="1"/>
  <c r="AD158"/>
  <c r="AB159"/>
  <c r="AE159" s="1"/>
  <c r="AK159" s="1"/>
  <c r="AA159"/>
  <c r="E166" i="53" s="1"/>
  <c r="Z159" i="1"/>
  <c r="AR147" i="38" l="1"/>
  <c r="AS147" s="1"/>
  <c r="AU147" s="1"/>
  <c r="AV147" s="1"/>
  <c r="BA147" s="1"/>
  <c r="BB147" s="1"/>
  <c r="BH147" s="1"/>
  <c r="BJ147" s="1"/>
  <c r="P147" s="1"/>
  <c r="O147" s="1"/>
  <c r="AW19" i="55"/>
  <c r="G166" i="53"/>
  <c r="D155" i="48"/>
  <c r="W155" s="1"/>
  <c r="C155"/>
  <c r="E155"/>
  <c r="X155" s="1"/>
  <c r="B156"/>
  <c r="C167" i="1"/>
  <c r="D167" s="1"/>
  <c r="A151" i="26"/>
  <c r="B151" s="1"/>
  <c r="L167" i="1"/>
  <c r="M166" s="1"/>
  <c r="E167"/>
  <c r="F169" i="52"/>
  <c r="A174" i="53"/>
  <c r="B175" s="1"/>
  <c r="B168" i="1"/>
  <c r="K167"/>
  <c r="N167" s="1"/>
  <c r="A167"/>
  <c r="B150" i="38"/>
  <c r="E168" i="52"/>
  <c r="P166" i="1"/>
  <c r="V154" i="48"/>
  <c r="F154"/>
  <c r="Y154" s="1"/>
  <c r="AB160" i="1"/>
  <c r="AE160" s="1"/>
  <c r="AK160" s="1"/>
  <c r="AA160"/>
  <c r="E167" i="53" s="1"/>
  <c r="Z160" i="1"/>
  <c r="D149" i="38"/>
  <c r="E149"/>
  <c r="Z149"/>
  <c r="AA149" s="1"/>
  <c r="F149"/>
  <c r="AM149" s="1"/>
  <c r="AL166" i="1"/>
  <c r="AJ166"/>
  <c r="AI166"/>
  <c r="AM166"/>
  <c r="AH166"/>
  <c r="AC166"/>
  <c r="BR18" i="55"/>
  <c r="D165" i="53"/>
  <c r="I165"/>
  <c r="O145" i="38"/>
  <c r="BA162" i="1"/>
  <c r="BD162" s="1"/>
  <c r="BE162" s="1"/>
  <c r="T162" s="1"/>
  <c r="U162" s="1"/>
  <c r="BC163"/>
  <c r="S164"/>
  <c r="BK146" i="38"/>
  <c r="AS146"/>
  <c r="AU146" s="1"/>
  <c r="AV146" s="1"/>
  <c r="BA146" s="1"/>
  <c r="BB146" s="1"/>
  <c r="BH146" s="1"/>
  <c r="BJ146" s="1"/>
  <c r="P146" s="1"/>
  <c r="O146" s="1"/>
  <c r="W165" i="1"/>
  <c r="R165"/>
  <c r="AF158"/>
  <c r="AD159"/>
  <c r="V161"/>
  <c r="X161"/>
  <c r="AO148" i="38"/>
  <c r="AP148" s="1"/>
  <c r="AQ148" s="1"/>
  <c r="AN148"/>
  <c r="BK147" l="1"/>
  <c r="AR148"/>
  <c r="AS148" s="1"/>
  <c r="AU148" s="1"/>
  <c r="AV148" s="1"/>
  <c r="BA148" s="1"/>
  <c r="BB148" s="1"/>
  <c r="BH148" s="1"/>
  <c r="BJ148" s="1"/>
  <c r="P148" s="1"/>
  <c r="AL167" i="1"/>
  <c r="AJ167"/>
  <c r="AI167"/>
  <c r="AM167"/>
  <c r="AC167"/>
  <c r="AH167"/>
  <c r="G18" i="55"/>
  <c r="P167" i="1"/>
  <c r="E169" i="52"/>
  <c r="D156" i="48"/>
  <c r="W156" s="1"/>
  <c r="C156"/>
  <c r="E156"/>
  <c r="X156" s="1"/>
  <c r="B157"/>
  <c r="I166" i="53"/>
  <c r="D166"/>
  <c r="BR19" i="55"/>
  <c r="AB161" i="1"/>
  <c r="AE161" s="1"/>
  <c r="AK161" s="1"/>
  <c r="AA161"/>
  <c r="E168" i="53" s="1"/>
  <c r="Z161" i="1"/>
  <c r="BA163"/>
  <c r="BD163" s="1"/>
  <c r="BE163" s="1"/>
  <c r="T163" s="1"/>
  <c r="U163" s="1"/>
  <c r="BC164"/>
  <c r="AO149" i="38"/>
  <c r="AP149" s="1"/>
  <c r="AQ149" s="1"/>
  <c r="AN149"/>
  <c r="K168" i="1"/>
  <c r="N168" s="1"/>
  <c r="F170" i="52"/>
  <c r="E168" i="1"/>
  <c r="A168"/>
  <c r="A152" i="26"/>
  <c r="B152" s="1"/>
  <c r="C168" i="1"/>
  <c r="D168" s="1"/>
  <c r="B151" i="38"/>
  <c r="A175" i="53"/>
  <c r="B176" s="1"/>
  <c r="L168" i="1"/>
  <c r="M167" s="1"/>
  <c r="B169"/>
  <c r="AF159"/>
  <c r="AD160"/>
  <c r="W166"/>
  <c r="R166"/>
  <c r="S165"/>
  <c r="V162"/>
  <c r="X162"/>
  <c r="AW20" i="55"/>
  <c r="G167" i="53"/>
  <c r="E150" i="38"/>
  <c r="D150"/>
  <c r="Z150"/>
  <c r="AA150" s="1"/>
  <c r="F150"/>
  <c r="AM150" s="1"/>
  <c r="V155" i="48"/>
  <c r="F155"/>
  <c r="Y155" s="1"/>
  <c r="AR149" i="38" l="1"/>
  <c r="AS149" s="1"/>
  <c r="AU149" s="1"/>
  <c r="AV149" s="1"/>
  <c r="BA149" s="1"/>
  <c r="BB149" s="1"/>
  <c r="BH149" s="1"/>
  <c r="BJ149" s="1"/>
  <c r="P149" s="1"/>
  <c r="BK148"/>
  <c r="AB162" i="1"/>
  <c r="AE162" s="1"/>
  <c r="AK162" s="1"/>
  <c r="Z162"/>
  <c r="AA162"/>
  <c r="E169" i="53" s="1"/>
  <c r="AF160" i="1"/>
  <c r="AD161"/>
  <c r="AI168"/>
  <c r="AH168"/>
  <c r="AC168"/>
  <c r="AM168"/>
  <c r="AJ168"/>
  <c r="AL168"/>
  <c r="O148" i="38"/>
  <c r="AW21" i="55"/>
  <c r="G168" i="53"/>
  <c r="W167" i="1"/>
  <c r="R167"/>
  <c r="E151" i="38"/>
  <c r="D151"/>
  <c r="Z151"/>
  <c r="AA151" s="1"/>
  <c r="F151"/>
  <c r="AM151" s="1"/>
  <c r="E170" i="52"/>
  <c r="BA164" i="1"/>
  <c r="BD164" s="1"/>
  <c r="BE164" s="1"/>
  <c r="T164" s="1"/>
  <c r="U164" s="1"/>
  <c r="BC165"/>
  <c r="D157" i="48"/>
  <c r="W157" s="1"/>
  <c r="C157"/>
  <c r="E157"/>
  <c r="X157" s="1"/>
  <c r="B158"/>
  <c r="D167" i="53"/>
  <c r="BR20" i="55"/>
  <c r="I167" i="53"/>
  <c r="S166" i="1"/>
  <c r="F171" i="52"/>
  <c r="A176" i="53"/>
  <c r="B177" s="1"/>
  <c r="K169" i="1"/>
  <c r="N169" s="1"/>
  <c r="C169"/>
  <c r="D169" s="1"/>
  <c r="A153" i="26"/>
  <c r="B153" s="1"/>
  <c r="E169" i="1"/>
  <c r="B170"/>
  <c r="L169"/>
  <c r="M168" s="1"/>
  <c r="B152" i="38"/>
  <c r="A169" i="1"/>
  <c r="V163"/>
  <c r="X163"/>
  <c r="G19" i="55"/>
  <c r="AO150" i="38"/>
  <c r="AP150" s="1"/>
  <c r="AQ150" s="1"/>
  <c r="AN150"/>
  <c r="P168" i="1"/>
  <c r="F156" i="48"/>
  <c r="Y156" s="1"/>
  <c r="V156"/>
  <c r="AR150" i="38" l="1"/>
  <c r="BK149"/>
  <c r="BA165" i="1"/>
  <c r="BD165" s="1"/>
  <c r="BE165" s="1"/>
  <c r="T165" s="1"/>
  <c r="U165" s="1"/>
  <c r="BC166"/>
  <c r="I168" i="53"/>
  <c r="D168"/>
  <c r="BR21" i="55"/>
  <c r="R168" i="1"/>
  <c r="W168"/>
  <c r="K170"/>
  <c r="N170" s="1"/>
  <c r="L170"/>
  <c r="M169" s="1"/>
  <c r="E170"/>
  <c r="F172" i="52"/>
  <c r="A154" i="26"/>
  <c r="B154" s="1"/>
  <c r="A170" i="1"/>
  <c r="B171"/>
  <c r="C170"/>
  <c r="D170" s="1"/>
  <c r="A177" i="53"/>
  <c r="B178" s="1"/>
  <c r="B153" i="38"/>
  <c r="P169" i="1"/>
  <c r="G20" i="55"/>
  <c r="V157" i="48"/>
  <c r="F157"/>
  <c r="Y157" s="1"/>
  <c r="V164" i="1"/>
  <c r="X164"/>
  <c r="AW22" i="55"/>
  <c r="G169" i="53"/>
  <c r="AH169" i="1"/>
  <c r="AI169"/>
  <c r="AJ169"/>
  <c r="AL169"/>
  <c r="AM169"/>
  <c r="AC169"/>
  <c r="E171" i="52"/>
  <c r="BK150" i="38"/>
  <c r="AS150"/>
  <c r="AU150" s="1"/>
  <c r="AV150" s="1"/>
  <c r="BA150" s="1"/>
  <c r="BB150" s="1"/>
  <c r="BH150" s="1"/>
  <c r="BJ150" s="1"/>
  <c r="P150" s="1"/>
  <c r="AB163" i="1"/>
  <c r="AE163" s="1"/>
  <c r="AK163" s="1"/>
  <c r="Z163"/>
  <c r="AA163"/>
  <c r="E170" i="53" s="1"/>
  <c r="D152" i="38"/>
  <c r="E152"/>
  <c r="Z152"/>
  <c r="AA152" s="1"/>
  <c r="F152"/>
  <c r="AM152" s="1"/>
  <c r="C158" i="48"/>
  <c r="E158"/>
  <c r="X158" s="1"/>
  <c r="B159"/>
  <c r="D158"/>
  <c r="W158" s="1"/>
  <c r="AO151" i="38"/>
  <c r="AP151" s="1"/>
  <c r="AQ151" s="1"/>
  <c r="AN151"/>
  <c r="S167" i="1"/>
  <c r="O149" i="38"/>
  <c r="AF161" i="1"/>
  <c r="AD162"/>
  <c r="AF162" l="1"/>
  <c r="AD163"/>
  <c r="V158" i="48"/>
  <c r="F158"/>
  <c r="Y158" s="1"/>
  <c r="BA166" i="1"/>
  <c r="BD166" s="1"/>
  <c r="BE166" s="1"/>
  <c r="T166" s="1"/>
  <c r="U166" s="1"/>
  <c r="BC167"/>
  <c r="F173" i="52"/>
  <c r="E171" i="1"/>
  <c r="A171"/>
  <c r="A155" i="26"/>
  <c r="B155" s="1"/>
  <c r="C171" i="1"/>
  <c r="D171" s="1"/>
  <c r="B154" i="38"/>
  <c r="K171" i="1"/>
  <c r="N171" s="1"/>
  <c r="A178" i="53"/>
  <c r="B179" s="1"/>
  <c r="B172" i="1"/>
  <c r="L171"/>
  <c r="M170" s="1"/>
  <c r="E172" i="52"/>
  <c r="S168" i="1"/>
  <c r="V165"/>
  <c r="X165"/>
  <c r="E159" i="48"/>
  <c r="X159" s="1"/>
  <c r="C159"/>
  <c r="D159"/>
  <c r="W159" s="1"/>
  <c r="B160"/>
  <c r="O150" i="38"/>
  <c r="R169" i="1"/>
  <c r="W169"/>
  <c r="Z153" i="38"/>
  <c r="AA153" s="1"/>
  <c r="D153"/>
  <c r="E153"/>
  <c r="F153"/>
  <c r="AM153" s="1"/>
  <c r="AC170" i="1"/>
  <c r="AJ170"/>
  <c r="AH170"/>
  <c r="AM170"/>
  <c r="AL170"/>
  <c r="AI170"/>
  <c r="AR151" i="38"/>
  <c r="AO152"/>
  <c r="AP152" s="1"/>
  <c r="AQ152" s="1"/>
  <c r="AN152"/>
  <c r="AW23" i="55"/>
  <c r="G170" i="53"/>
  <c r="BR22" i="55"/>
  <c r="I169" i="53"/>
  <c r="D169"/>
  <c r="AB164" i="1"/>
  <c r="AE164" s="1"/>
  <c r="AK164" s="1"/>
  <c r="Z164"/>
  <c r="AA164"/>
  <c r="E171" i="53" s="1"/>
  <c r="P170" i="1"/>
  <c r="G21" i="55"/>
  <c r="AB165" i="1" l="1"/>
  <c r="AE165" s="1"/>
  <c r="AK165" s="1"/>
  <c r="Z165"/>
  <c r="AA165"/>
  <c r="E172" i="53" s="1"/>
  <c r="C172" i="1"/>
  <c r="D172" s="1"/>
  <c r="L172"/>
  <c r="M171" s="1"/>
  <c r="E172"/>
  <c r="K172"/>
  <c r="N172" s="1"/>
  <c r="F174" i="52"/>
  <c r="A156" i="26"/>
  <c r="B156" s="1"/>
  <c r="B155" i="38"/>
  <c r="A179" i="53"/>
  <c r="B180" s="1"/>
  <c r="B173" i="1"/>
  <c r="A172"/>
  <c r="V166"/>
  <c r="X166"/>
  <c r="AF163"/>
  <c r="AD164"/>
  <c r="AW24" i="55"/>
  <c r="G171" i="53"/>
  <c r="AR152" i="38"/>
  <c r="AO153"/>
  <c r="AP153" s="1"/>
  <c r="AQ153" s="1"/>
  <c r="AN153"/>
  <c r="C160" i="48"/>
  <c r="D160"/>
  <c r="W160" s="1"/>
  <c r="E160"/>
  <c r="X160" s="1"/>
  <c r="B161"/>
  <c r="G22" i="55"/>
  <c r="I170" i="53"/>
  <c r="BR23" i="55"/>
  <c r="D170" i="53"/>
  <c r="S169" i="1"/>
  <c r="P171"/>
  <c r="AL171"/>
  <c r="AM171"/>
  <c r="AI171"/>
  <c r="AJ171"/>
  <c r="AC171"/>
  <c r="AH171"/>
  <c r="W170"/>
  <c r="R170"/>
  <c r="BK151" i="38"/>
  <c r="AS151"/>
  <c r="AU151" s="1"/>
  <c r="AV151" s="1"/>
  <c r="BA151" s="1"/>
  <c r="BB151" s="1"/>
  <c r="BH151" s="1"/>
  <c r="BJ151" s="1"/>
  <c r="P151" s="1"/>
  <c r="V159" i="48"/>
  <c r="F159"/>
  <c r="Y159" s="1"/>
  <c r="D154" i="38"/>
  <c r="E154"/>
  <c r="F154"/>
  <c r="AM154" s="1"/>
  <c r="Z154"/>
  <c r="AA154" s="1"/>
  <c r="E173" i="52"/>
  <c r="BA167" i="1"/>
  <c r="BD167" s="1"/>
  <c r="BE167" s="1"/>
  <c r="T167" s="1"/>
  <c r="U167" s="1"/>
  <c r="BC168"/>
  <c r="AR153" i="38" l="1"/>
  <c r="AS153" s="1"/>
  <c r="AU153" s="1"/>
  <c r="AV153" s="1"/>
  <c r="BA153" s="1"/>
  <c r="BB153" s="1"/>
  <c r="BH153" s="1"/>
  <c r="BJ153" s="1"/>
  <c r="P153" s="1"/>
  <c r="O153" s="1"/>
  <c r="BA168" i="1"/>
  <c r="BD168" s="1"/>
  <c r="BE168" s="1"/>
  <c r="T168" s="1"/>
  <c r="U168" s="1"/>
  <c r="BC169"/>
  <c r="AO154" i="38"/>
  <c r="AP154" s="1"/>
  <c r="AQ154" s="1"/>
  <c r="AN154"/>
  <c r="R171" i="1"/>
  <c r="W171"/>
  <c r="G23" i="55"/>
  <c r="F160" i="48"/>
  <c r="Y160" s="1"/>
  <c r="V160"/>
  <c r="BR24" i="55"/>
  <c r="I171" i="53"/>
  <c r="D171"/>
  <c r="AB166" i="1"/>
  <c r="AE166" s="1"/>
  <c r="AK166" s="1"/>
  <c r="Z166"/>
  <c r="AA166"/>
  <c r="E173" i="53" s="1"/>
  <c r="AL172" i="1"/>
  <c r="AM172"/>
  <c r="AC172"/>
  <c r="AJ172"/>
  <c r="AH172"/>
  <c r="AI172"/>
  <c r="AW25" i="55"/>
  <c r="G172" i="53"/>
  <c r="V167" i="1"/>
  <c r="X167"/>
  <c r="S170"/>
  <c r="D161" i="48"/>
  <c r="W161" s="1"/>
  <c r="E161"/>
  <c r="X161" s="1"/>
  <c r="C161"/>
  <c r="B162"/>
  <c r="F175" i="52"/>
  <c r="A180" i="53"/>
  <c r="B181" s="1"/>
  <c r="E173" i="1"/>
  <c r="L173"/>
  <c r="M172" s="1"/>
  <c r="K173"/>
  <c r="N173" s="1"/>
  <c r="A173"/>
  <c r="B156" i="38"/>
  <c r="A157" i="26"/>
  <c r="B157" s="1"/>
  <c r="B174" i="1"/>
  <c r="C173"/>
  <c r="D173" s="1"/>
  <c r="O151" i="38"/>
  <c r="BK152"/>
  <c r="AS152"/>
  <c r="AU152" s="1"/>
  <c r="AV152" s="1"/>
  <c r="BA152" s="1"/>
  <c r="BB152" s="1"/>
  <c r="BH152" s="1"/>
  <c r="BJ152" s="1"/>
  <c r="P152" s="1"/>
  <c r="O152" s="1"/>
  <c r="P172" i="1"/>
  <c r="AF164"/>
  <c r="AD165"/>
  <c r="E155" i="38"/>
  <c r="D155"/>
  <c r="Z155"/>
  <c r="AA155" s="1"/>
  <c r="F155"/>
  <c r="AM155" s="1"/>
  <c r="E174" i="52"/>
  <c r="AR154" i="38" l="1"/>
  <c r="BK154" s="1"/>
  <c r="BK153"/>
  <c r="AO155"/>
  <c r="AP155" s="1"/>
  <c r="AQ155" s="1"/>
  <c r="AN155"/>
  <c r="AR155" s="1"/>
  <c r="AF165" i="1"/>
  <c r="AD166"/>
  <c r="W172"/>
  <c r="R172"/>
  <c r="F176" i="52"/>
  <c r="L174" i="1"/>
  <c r="M173" s="1"/>
  <c r="E174"/>
  <c r="A181" i="53"/>
  <c r="B182" s="1"/>
  <c r="A158" i="26"/>
  <c r="B158" s="1"/>
  <c r="C174" i="1"/>
  <c r="D174" s="1"/>
  <c r="B175"/>
  <c r="A174"/>
  <c r="B157" i="38"/>
  <c r="K174" i="1"/>
  <c r="N174" s="1"/>
  <c r="P173"/>
  <c r="AB167"/>
  <c r="AE167" s="1"/>
  <c r="AK167" s="1"/>
  <c r="Z167"/>
  <c r="AA167"/>
  <c r="E174" i="53" s="1"/>
  <c r="G24" i="55"/>
  <c r="V168" i="1"/>
  <c r="X168"/>
  <c r="BR25" i="55"/>
  <c r="I172" i="53"/>
  <c r="D172"/>
  <c r="E156" i="38"/>
  <c r="D156"/>
  <c r="Z156"/>
  <c r="AA156" s="1"/>
  <c r="F156"/>
  <c r="AM156" s="1"/>
  <c r="E175" i="52"/>
  <c r="C162" i="48"/>
  <c r="D162"/>
  <c r="W162" s="1"/>
  <c r="B163"/>
  <c r="E162"/>
  <c r="X162" s="1"/>
  <c r="AJ173" i="1"/>
  <c r="AH173"/>
  <c r="AM173"/>
  <c r="AI173"/>
  <c r="AC173"/>
  <c r="AL173"/>
  <c r="V161" i="48"/>
  <c r="F161"/>
  <c r="Y161" s="1"/>
  <c r="AW26" i="55"/>
  <c r="G173" i="53"/>
  <c r="S171" i="1"/>
  <c r="BA169"/>
  <c r="BD169" s="1"/>
  <c r="BE169" s="1"/>
  <c r="T169" s="1"/>
  <c r="U169" s="1"/>
  <c r="BC170"/>
  <c r="AS154" i="38" l="1"/>
  <c r="AU154" s="1"/>
  <c r="AV154" s="1"/>
  <c r="BA154" s="1"/>
  <c r="BB154" s="1"/>
  <c r="BH154" s="1"/>
  <c r="BJ154" s="1"/>
  <c r="P154" s="1"/>
  <c r="O154" s="1"/>
  <c r="BA170" i="1"/>
  <c r="BD170" s="1"/>
  <c r="BE170" s="1"/>
  <c r="T170" s="1"/>
  <c r="U170" s="1"/>
  <c r="BC171"/>
  <c r="G25" i="55"/>
  <c r="E157" i="38"/>
  <c r="D157"/>
  <c r="Z157"/>
  <c r="AA157" s="1"/>
  <c r="F157"/>
  <c r="AM157" s="1"/>
  <c r="AF166" i="1"/>
  <c r="AD167"/>
  <c r="F162" i="48"/>
  <c r="Y162" s="1"/>
  <c r="V162"/>
  <c r="AO156" i="38"/>
  <c r="AP156" s="1"/>
  <c r="AQ156" s="1"/>
  <c r="AN156"/>
  <c r="AB168" i="1"/>
  <c r="AE168" s="1"/>
  <c r="AK168" s="1"/>
  <c r="Z168"/>
  <c r="AA168"/>
  <c r="E175" i="53" s="1"/>
  <c r="AW27" i="55"/>
  <c r="G174" i="53"/>
  <c r="AI174" i="1"/>
  <c r="AL174"/>
  <c r="AH174"/>
  <c r="AC174"/>
  <c r="AM174"/>
  <c r="AJ174"/>
  <c r="W173"/>
  <c r="R173"/>
  <c r="C175"/>
  <c r="D175" s="1"/>
  <c r="A159" i="26"/>
  <c r="B159" s="1"/>
  <c r="F177" i="52"/>
  <c r="K175" i="1"/>
  <c r="N175" s="1"/>
  <c r="E175"/>
  <c r="A182" i="53"/>
  <c r="B183" s="1"/>
  <c r="B176" i="1"/>
  <c r="L175"/>
  <c r="M174" s="1"/>
  <c r="A175"/>
  <c r="B158" i="38"/>
  <c r="E176" i="52"/>
  <c r="S172" i="1"/>
  <c r="V169"/>
  <c r="X169"/>
  <c r="I173" i="53"/>
  <c r="D173"/>
  <c r="BR26" i="55"/>
  <c r="B164" i="48"/>
  <c r="D163"/>
  <c r="W163" s="1"/>
  <c r="C163"/>
  <c r="E163"/>
  <c r="X163" s="1"/>
  <c r="P174" i="1"/>
  <c r="BK155" i="38"/>
  <c r="AS155"/>
  <c r="AU155" s="1"/>
  <c r="AV155" s="1"/>
  <c r="BA155" s="1"/>
  <c r="BB155" s="1"/>
  <c r="BH155" s="1"/>
  <c r="BJ155" s="1"/>
  <c r="P155" s="1"/>
  <c r="AR156" l="1"/>
  <c r="R174" i="1"/>
  <c r="W174"/>
  <c r="O155" i="38"/>
  <c r="P175" i="1"/>
  <c r="S173"/>
  <c r="V170"/>
  <c r="X170"/>
  <c r="E164" i="48"/>
  <c r="X164" s="1"/>
  <c r="D164"/>
  <c r="W164" s="1"/>
  <c r="C164"/>
  <c r="B165"/>
  <c r="G26" i="55"/>
  <c r="A183" i="53"/>
  <c r="B184" s="1"/>
  <c r="L176" i="1"/>
  <c r="M175" s="1"/>
  <c r="E176"/>
  <c r="A160" i="26"/>
  <c r="B160" s="1"/>
  <c r="F178" i="52"/>
  <c r="C176" i="1"/>
  <c r="D176" s="1"/>
  <c r="B177"/>
  <c r="A176"/>
  <c r="B159" i="38"/>
  <c r="K176" i="1"/>
  <c r="N176" s="1"/>
  <c r="AF167"/>
  <c r="AD168"/>
  <c r="Z158" i="38"/>
  <c r="AA158" s="1"/>
  <c r="E158"/>
  <c r="D158"/>
  <c r="F158"/>
  <c r="AM158" s="1"/>
  <c r="I174" i="53"/>
  <c r="BR27" i="55"/>
  <c r="D174" i="53"/>
  <c r="AO157" i="38"/>
  <c r="AP157" s="1"/>
  <c r="AQ157" s="1"/>
  <c r="AN157"/>
  <c r="V163" i="48"/>
  <c r="F163"/>
  <c r="Y163" s="1"/>
  <c r="AB169" i="1"/>
  <c r="AE169" s="1"/>
  <c r="AK169" s="1"/>
  <c r="AA169"/>
  <c r="E176" i="53" s="1"/>
  <c r="Z169" i="1"/>
  <c r="AH175"/>
  <c r="AJ175"/>
  <c r="AC175"/>
  <c r="AM175"/>
  <c r="AL175"/>
  <c r="AI175"/>
  <c r="E177" i="52"/>
  <c r="AW28" i="55"/>
  <c r="G175" i="53"/>
  <c r="BK156" i="38"/>
  <c r="AS156"/>
  <c r="AU156" s="1"/>
  <c r="AV156" s="1"/>
  <c r="BA156" s="1"/>
  <c r="BB156" s="1"/>
  <c r="BH156" s="1"/>
  <c r="BJ156" s="1"/>
  <c r="P156" s="1"/>
  <c r="BA171" i="1"/>
  <c r="BD171" s="1"/>
  <c r="BE171" s="1"/>
  <c r="T171" s="1"/>
  <c r="U171" s="1"/>
  <c r="BC172"/>
  <c r="BA172" l="1"/>
  <c r="BD172" s="1"/>
  <c r="BE172" s="1"/>
  <c r="T172" s="1"/>
  <c r="U172" s="1"/>
  <c r="BC173"/>
  <c r="AF168"/>
  <c r="AD169"/>
  <c r="E159" i="38"/>
  <c r="D159"/>
  <c r="Z159"/>
  <c r="AA159" s="1"/>
  <c r="F159"/>
  <c r="AM159" s="1"/>
  <c r="V171" i="1"/>
  <c r="X171"/>
  <c r="I175" i="53"/>
  <c r="BR28" i="55"/>
  <c r="D175" i="53"/>
  <c r="AR157" i="38"/>
  <c r="AL176" i="1"/>
  <c r="AC176"/>
  <c r="AH176"/>
  <c r="AJ176"/>
  <c r="AI176"/>
  <c r="AM176"/>
  <c r="E165" i="48"/>
  <c r="X165" s="1"/>
  <c r="B166"/>
  <c r="C165"/>
  <c r="D165"/>
  <c r="W165" s="1"/>
  <c r="AB170" i="1"/>
  <c r="AE170" s="1"/>
  <c r="AK170" s="1"/>
  <c r="AA170"/>
  <c r="E177" i="53" s="1"/>
  <c r="Z170" i="1"/>
  <c r="W175"/>
  <c r="R175"/>
  <c r="G27" i="55"/>
  <c r="AO158" i="38"/>
  <c r="AP158" s="1"/>
  <c r="AQ158" s="1"/>
  <c r="AN158"/>
  <c r="L177" i="1"/>
  <c r="M176" s="1"/>
  <c r="A161" i="26"/>
  <c r="B161" s="1"/>
  <c r="C177" i="1"/>
  <c r="D177" s="1"/>
  <c r="K177"/>
  <c r="N177" s="1"/>
  <c r="E177"/>
  <c r="F179" i="52"/>
  <c r="A184" i="53"/>
  <c r="B185" s="1"/>
  <c r="A177" i="1"/>
  <c r="B178"/>
  <c r="B160" i="38"/>
  <c r="E178" i="52"/>
  <c r="F164" i="48"/>
  <c r="Y164" s="1"/>
  <c r="V164"/>
  <c r="O156" i="38"/>
  <c r="AW29" i="55"/>
  <c r="G176" i="53"/>
  <c r="P176" i="1"/>
  <c r="S174"/>
  <c r="R176" l="1"/>
  <c r="W176"/>
  <c r="A185" i="53"/>
  <c r="B186" s="1"/>
  <c r="E178" i="1"/>
  <c r="F180" i="52"/>
  <c r="C178" i="1"/>
  <c r="D178" s="1"/>
  <c r="L178"/>
  <c r="M177" s="1"/>
  <c r="B161" i="38"/>
  <c r="A162" i="26"/>
  <c r="B162" s="1"/>
  <c r="A178" i="1"/>
  <c r="K178"/>
  <c r="N178" s="1"/>
  <c r="B179"/>
  <c r="E179" i="52"/>
  <c r="AR158" i="38"/>
  <c r="V172" i="1"/>
  <c r="X172"/>
  <c r="I176" i="53"/>
  <c r="D176"/>
  <c r="BR29" i="55"/>
  <c r="AH177" i="1"/>
  <c r="AJ177"/>
  <c r="AM177"/>
  <c r="AL177"/>
  <c r="AI177"/>
  <c r="AC177"/>
  <c r="P177"/>
  <c r="S175"/>
  <c r="AO159" i="38"/>
  <c r="AP159" s="1"/>
  <c r="AQ159" s="1"/>
  <c r="AN159"/>
  <c r="V165" i="48"/>
  <c r="F165"/>
  <c r="Y165" s="1"/>
  <c r="AB171" i="1"/>
  <c r="AE171" s="1"/>
  <c r="AK171" s="1"/>
  <c r="AA171"/>
  <c r="E178" i="53" s="1"/>
  <c r="Z171" i="1"/>
  <c r="D160" i="38"/>
  <c r="Z160"/>
  <c r="AA160" s="1"/>
  <c r="E160"/>
  <c r="F160"/>
  <c r="AM160" s="1"/>
  <c r="AW30" i="55"/>
  <c r="G177" i="53"/>
  <c r="C166" i="48"/>
  <c r="E166"/>
  <c r="X166" s="1"/>
  <c r="D166"/>
  <c r="W166" s="1"/>
  <c r="B167"/>
  <c r="BK157" i="38"/>
  <c r="AS157"/>
  <c r="AU157" s="1"/>
  <c r="AV157" s="1"/>
  <c r="BA157" s="1"/>
  <c r="BB157" s="1"/>
  <c r="BH157" s="1"/>
  <c r="BJ157" s="1"/>
  <c r="P157" s="1"/>
  <c r="G28" i="55"/>
  <c r="AF169" i="1"/>
  <c r="AD170"/>
  <c r="BA173"/>
  <c r="BD173" s="1"/>
  <c r="BE173" s="1"/>
  <c r="T173" s="1"/>
  <c r="U173" s="1"/>
  <c r="BC174"/>
  <c r="AR159" i="38" l="1"/>
  <c r="AS159" s="1"/>
  <c r="AU159" s="1"/>
  <c r="AV159" s="1"/>
  <c r="BA159" s="1"/>
  <c r="BB159" s="1"/>
  <c r="BH159" s="1"/>
  <c r="BJ159" s="1"/>
  <c r="P159" s="1"/>
  <c r="O159" s="1"/>
  <c r="AF170" i="1"/>
  <c r="AD171"/>
  <c r="AW31" i="55"/>
  <c r="G178" i="53"/>
  <c r="G29" i="55"/>
  <c r="E179" i="1"/>
  <c r="C179"/>
  <c r="D179" s="1"/>
  <c r="F181" i="52"/>
  <c r="K179" i="1"/>
  <c r="N179" s="1"/>
  <c r="A186" i="53"/>
  <c r="B187" s="1"/>
  <c r="A179" i="1"/>
  <c r="L179"/>
  <c r="M178" s="1"/>
  <c r="B162" i="38"/>
  <c r="B180" i="1"/>
  <c r="A163" i="26"/>
  <c r="B163" s="1"/>
  <c r="E161" i="38"/>
  <c r="D161"/>
  <c r="Z161"/>
  <c r="AA161" s="1"/>
  <c r="F161"/>
  <c r="AM161" s="1"/>
  <c r="E180" i="52"/>
  <c r="S176" i="1"/>
  <c r="BA174"/>
  <c r="BD174" s="1"/>
  <c r="BE174" s="1"/>
  <c r="T174" s="1"/>
  <c r="U174" s="1"/>
  <c r="BC175"/>
  <c r="V173"/>
  <c r="X173"/>
  <c r="F166" i="48"/>
  <c r="Y166" s="1"/>
  <c r="V166"/>
  <c r="R177" i="1"/>
  <c r="W177"/>
  <c r="P178"/>
  <c r="O157" i="38"/>
  <c r="C167" i="48"/>
  <c r="B168"/>
  <c r="D167"/>
  <c r="W167" s="1"/>
  <c r="E167"/>
  <c r="X167" s="1"/>
  <c r="BK159" i="38"/>
  <c r="AB172" i="1"/>
  <c r="AE172" s="1"/>
  <c r="AK172" s="1"/>
  <c r="Y172"/>
  <c r="AA172"/>
  <c r="E179" i="53" s="1"/>
  <c r="Z172" i="1"/>
  <c r="AJ178"/>
  <c r="AL178"/>
  <c r="AM178"/>
  <c r="AH178"/>
  <c r="AI178"/>
  <c r="AC178"/>
  <c r="BR30" i="55"/>
  <c r="D177" i="53"/>
  <c r="I177"/>
  <c r="AO160" i="38"/>
  <c r="AP160" s="1"/>
  <c r="AQ160" s="1"/>
  <c r="AN160"/>
  <c r="BK158"/>
  <c r="AS158"/>
  <c r="AU158" s="1"/>
  <c r="AV158" s="1"/>
  <c r="BA158" s="1"/>
  <c r="BB158" s="1"/>
  <c r="BH158" s="1"/>
  <c r="BJ158" s="1"/>
  <c r="P158" s="1"/>
  <c r="O158" s="1"/>
  <c r="F167" i="48" l="1"/>
  <c r="Y167" s="1"/>
  <c r="V167"/>
  <c r="W178" i="1"/>
  <c r="R178"/>
  <c r="AO161" i="38"/>
  <c r="AP161" s="1"/>
  <c r="AQ161" s="1"/>
  <c r="AN161"/>
  <c r="AC179" i="1"/>
  <c r="AM179"/>
  <c r="AL179"/>
  <c r="AH179"/>
  <c r="AI179"/>
  <c r="AJ179"/>
  <c r="D178" i="53"/>
  <c r="I178"/>
  <c r="BR31" i="55"/>
  <c r="AR160" i="38"/>
  <c r="S177" i="1"/>
  <c r="BA175"/>
  <c r="BD175" s="1"/>
  <c r="BE175" s="1"/>
  <c r="T175" s="1"/>
  <c r="U175" s="1"/>
  <c r="BC176"/>
  <c r="A164" i="26"/>
  <c r="B164" s="1"/>
  <c r="F182" i="52"/>
  <c r="A187" i="53"/>
  <c r="B188" s="1"/>
  <c r="C180" i="1"/>
  <c r="D180" s="1"/>
  <c r="E180"/>
  <c r="K180"/>
  <c r="N180" s="1"/>
  <c r="B163" i="38"/>
  <c r="A180" i="1"/>
  <c r="B181"/>
  <c r="L180"/>
  <c r="M179" s="1"/>
  <c r="E181" i="52"/>
  <c r="G30" i="55"/>
  <c r="V174" i="1"/>
  <c r="X174"/>
  <c r="E162" i="38"/>
  <c r="D162"/>
  <c r="Z162"/>
  <c r="AA162" s="1"/>
  <c r="F162"/>
  <c r="AM162" s="1"/>
  <c r="P179" i="1"/>
  <c r="AW32" i="55"/>
  <c r="G179" i="53"/>
  <c r="E168" i="48"/>
  <c r="X168" s="1"/>
  <c r="C168"/>
  <c r="B169"/>
  <c r="D168"/>
  <c r="W168" s="1"/>
  <c r="AB173" i="1"/>
  <c r="AE173" s="1"/>
  <c r="AK173" s="1"/>
  <c r="Y173"/>
  <c r="Z173"/>
  <c r="AA173"/>
  <c r="E180" i="53" s="1"/>
  <c r="AF171" i="1"/>
  <c r="AD172"/>
  <c r="AR161" i="38" l="1"/>
  <c r="AW33" i="55"/>
  <c r="AW35" s="1"/>
  <c r="G180" i="53"/>
  <c r="V168" i="48"/>
  <c r="F168"/>
  <c r="Y168" s="1"/>
  <c r="AO162" i="38"/>
  <c r="AP162" s="1"/>
  <c r="AQ162" s="1"/>
  <c r="AN162"/>
  <c r="D163"/>
  <c r="E163"/>
  <c r="Z163"/>
  <c r="AA163" s="1"/>
  <c r="F163"/>
  <c r="AM163" s="1"/>
  <c r="V175" i="1"/>
  <c r="X175"/>
  <c r="AF172"/>
  <c r="AD173"/>
  <c r="AB174"/>
  <c r="AE174" s="1"/>
  <c r="AK174" s="1"/>
  <c r="Z174"/>
  <c r="AA174"/>
  <c r="E181" i="53" s="1"/>
  <c r="P180" i="1"/>
  <c r="BK160" i="38"/>
  <c r="AS160"/>
  <c r="AU160" s="1"/>
  <c r="AV160" s="1"/>
  <c r="BA160" s="1"/>
  <c r="BB160" s="1"/>
  <c r="BH160" s="1"/>
  <c r="BJ160" s="1"/>
  <c r="P160" s="1"/>
  <c r="R179" i="1"/>
  <c r="W179"/>
  <c r="C181"/>
  <c r="D181" s="1"/>
  <c r="A188" i="53"/>
  <c r="B189" s="1"/>
  <c r="F183" i="52"/>
  <c r="E181" i="1"/>
  <c r="L181"/>
  <c r="M180" s="1"/>
  <c r="K181"/>
  <c r="N181" s="1"/>
  <c r="A181"/>
  <c r="A165" i="26"/>
  <c r="B165" s="1"/>
  <c r="B164" i="38"/>
  <c r="B182" i="1"/>
  <c r="E182" i="52"/>
  <c r="G31" i="55"/>
  <c r="S178" i="1"/>
  <c r="E169" i="48"/>
  <c r="X169" s="1"/>
  <c r="B170"/>
  <c r="D169"/>
  <c r="W169" s="1"/>
  <c r="C169"/>
  <c r="I179" i="53"/>
  <c r="BR32" i="55"/>
  <c r="D179" i="53"/>
  <c r="AH180" i="1"/>
  <c r="AM180"/>
  <c r="AJ180"/>
  <c r="AL180"/>
  <c r="AK180"/>
  <c r="AC180"/>
  <c r="AI180"/>
  <c r="BA176"/>
  <c r="BD176" s="1"/>
  <c r="BE176" s="1"/>
  <c r="T176" s="1"/>
  <c r="U176" s="1"/>
  <c r="BC177"/>
  <c r="BK161" i="38"/>
  <c r="AS161"/>
  <c r="AU161" s="1"/>
  <c r="AV161" s="1"/>
  <c r="BA161" s="1"/>
  <c r="BB161" s="1"/>
  <c r="BH161" s="1"/>
  <c r="BJ161" s="1"/>
  <c r="P161" s="1"/>
  <c r="O161" s="1"/>
  <c r="AR162" l="1"/>
  <c r="C182" i="1"/>
  <c r="D182" s="1"/>
  <c r="A166" i="26"/>
  <c r="B166" s="1"/>
  <c r="F184" i="52"/>
  <c r="E182" i="1"/>
  <c r="K182"/>
  <c r="N182" s="1"/>
  <c r="B165" i="38"/>
  <c r="B183" i="1"/>
  <c r="A189" i="53"/>
  <c r="B190" s="1"/>
  <c r="A182" i="1"/>
  <c r="L182"/>
  <c r="M181" s="1"/>
  <c r="P181"/>
  <c r="AX3" i="55"/>
  <c r="G181" i="53"/>
  <c r="BA177" i="1"/>
  <c r="BD177" s="1"/>
  <c r="BE177" s="1"/>
  <c r="T177" s="1"/>
  <c r="U177" s="1"/>
  <c r="BC178"/>
  <c r="F169" i="48"/>
  <c r="Y169" s="1"/>
  <c r="V169"/>
  <c r="E164" i="38"/>
  <c r="D164"/>
  <c r="F164"/>
  <c r="AM164" s="1"/>
  <c r="Z164"/>
  <c r="AA164" s="1"/>
  <c r="S179" i="1"/>
  <c r="AO163" i="38"/>
  <c r="AP163" s="1"/>
  <c r="AQ163" s="1"/>
  <c r="AN163"/>
  <c r="AR163" s="1"/>
  <c r="V176" i="1"/>
  <c r="X176"/>
  <c r="G32" i="55"/>
  <c r="E183" i="52"/>
  <c r="AF173" i="1"/>
  <c r="AD174"/>
  <c r="AB175"/>
  <c r="AE175" s="1"/>
  <c r="AK175" s="1"/>
  <c r="AA175"/>
  <c r="E182" i="53" s="1"/>
  <c r="Z175" i="1"/>
  <c r="BR33" i="55"/>
  <c r="BR35" s="1"/>
  <c r="I180" i="53"/>
  <c r="D180"/>
  <c r="C170" i="48"/>
  <c r="E170"/>
  <c r="X170" s="1"/>
  <c r="D170"/>
  <c r="W170" s="1"/>
  <c r="B171"/>
  <c r="AK181" i="1"/>
  <c r="AI181"/>
  <c r="AM181"/>
  <c r="AC181"/>
  <c r="AH181"/>
  <c r="AL181"/>
  <c r="AJ181"/>
  <c r="O160" i="38"/>
  <c r="W180" i="1"/>
  <c r="R180"/>
  <c r="BK162" i="38"/>
  <c r="AS162"/>
  <c r="AU162" s="1"/>
  <c r="AV162" s="1"/>
  <c r="BA162" s="1"/>
  <c r="BB162" s="1"/>
  <c r="BH162" s="1"/>
  <c r="BJ162" s="1"/>
  <c r="P162" s="1"/>
  <c r="O162" s="1"/>
  <c r="S180" i="1" l="1"/>
  <c r="BK163" i="38"/>
  <c r="AS163"/>
  <c r="AU163" s="1"/>
  <c r="AV163" s="1"/>
  <c r="BA163" s="1"/>
  <c r="BB163" s="1"/>
  <c r="BH163" s="1"/>
  <c r="BJ163" s="1"/>
  <c r="P163" s="1"/>
  <c r="BA178" i="1"/>
  <c r="BD178" s="1"/>
  <c r="BE178" s="1"/>
  <c r="T178" s="1"/>
  <c r="U178" s="1"/>
  <c r="BC179"/>
  <c r="W181"/>
  <c r="R181"/>
  <c r="E184" i="52"/>
  <c r="V170" i="48"/>
  <c r="F170"/>
  <c r="Y170" s="1"/>
  <c r="AN164" i="38"/>
  <c r="AO164"/>
  <c r="AP164" s="1"/>
  <c r="AQ164" s="1"/>
  <c r="V177" i="1"/>
  <c r="X177"/>
  <c r="F185" i="52"/>
  <c r="E183" i="1"/>
  <c r="A167" i="26"/>
  <c r="B167" s="1"/>
  <c r="K183" i="1"/>
  <c r="N183" s="1"/>
  <c r="A190" i="53"/>
  <c r="B191" s="1"/>
  <c r="B166" i="38"/>
  <c r="B184" i="1"/>
  <c r="C183"/>
  <c r="D183" s="1"/>
  <c r="L183"/>
  <c r="M182" s="1"/>
  <c r="A183"/>
  <c r="C171" i="48"/>
  <c r="B172"/>
  <c r="E171"/>
  <c r="X171" s="1"/>
  <c r="D171"/>
  <c r="W171" s="1"/>
  <c r="AX4" i="55"/>
  <c r="G182" i="53"/>
  <c r="AF174" i="1"/>
  <c r="AD175"/>
  <c r="Z165" i="38"/>
  <c r="AA165" s="1"/>
  <c r="D165"/>
  <c r="E165"/>
  <c r="F165"/>
  <c r="AM165" s="1"/>
  <c r="G33" i="55"/>
  <c r="G35" s="1"/>
  <c r="AB176" i="1"/>
  <c r="AE176" s="1"/>
  <c r="AK176" s="1"/>
  <c r="Z176"/>
  <c r="AA176"/>
  <c r="E183" i="53" s="1"/>
  <c r="D181"/>
  <c r="BS3" i="55"/>
  <c r="I181" i="53"/>
  <c r="AM182" i="1"/>
  <c r="AJ182"/>
  <c r="AH182"/>
  <c r="AC182"/>
  <c r="AL182"/>
  <c r="AI182"/>
  <c r="AK182"/>
  <c r="P182"/>
  <c r="AR164" i="38" l="1"/>
  <c r="F186" i="52"/>
  <c r="A191" i="53"/>
  <c r="B192" s="1"/>
  <c r="L184" i="1"/>
  <c r="M183" s="1"/>
  <c r="E184"/>
  <c r="K184"/>
  <c r="N184" s="1"/>
  <c r="A184"/>
  <c r="C184"/>
  <c r="D184" s="1"/>
  <c r="A168" i="26"/>
  <c r="B168" s="1"/>
  <c r="B167" i="38"/>
  <c r="B185" i="1"/>
  <c r="S181"/>
  <c r="V178"/>
  <c r="X178"/>
  <c r="O163" i="38"/>
  <c r="CN3" i="55"/>
  <c r="AF175" i="1"/>
  <c r="AD176"/>
  <c r="BS4" i="55"/>
  <c r="I182" i="53"/>
  <c r="D182"/>
  <c r="H4" i="55" s="1"/>
  <c r="AK183" i="1"/>
  <c r="AI183"/>
  <c r="AJ183"/>
  <c r="AH183"/>
  <c r="AM183"/>
  <c r="AC183"/>
  <c r="AL183"/>
  <c r="E166" i="38"/>
  <c r="D166"/>
  <c r="Z166"/>
  <c r="AA166" s="1"/>
  <c r="F166"/>
  <c r="AM166" s="1"/>
  <c r="E185" i="52"/>
  <c r="AX5" i="55"/>
  <c r="G183" i="53"/>
  <c r="D172" i="48"/>
  <c r="W172" s="1"/>
  <c r="C172"/>
  <c r="E172"/>
  <c r="X172" s="1"/>
  <c r="B173"/>
  <c r="AB177" i="1"/>
  <c r="AE177" s="1"/>
  <c r="AK177" s="1"/>
  <c r="Z177"/>
  <c r="AA177"/>
  <c r="E184" i="53" s="1"/>
  <c r="BK164" i="38"/>
  <c r="AS164"/>
  <c r="AU164" s="1"/>
  <c r="AV164" s="1"/>
  <c r="BA164" s="1"/>
  <c r="BB164" s="1"/>
  <c r="BH164" s="1"/>
  <c r="BJ164" s="1"/>
  <c r="P164" s="1"/>
  <c r="R182" i="1"/>
  <c r="W182"/>
  <c r="H3" i="55"/>
  <c r="AN165" i="38"/>
  <c r="AR165" s="1"/>
  <c r="AO165"/>
  <c r="AP165" s="1"/>
  <c r="AQ165" s="1"/>
  <c r="F171" i="48"/>
  <c r="Y171" s="1"/>
  <c r="V171"/>
  <c r="P183" i="1"/>
  <c r="BA179"/>
  <c r="BD179" s="1"/>
  <c r="BE179" s="1"/>
  <c r="T179" s="1"/>
  <c r="U179" s="1"/>
  <c r="BC180"/>
  <c r="V179" l="1"/>
  <c r="X179"/>
  <c r="R183"/>
  <c r="W183"/>
  <c r="S182"/>
  <c r="AX6" i="55"/>
  <c r="G184" i="53"/>
  <c r="B174" i="48"/>
  <c r="C173"/>
  <c r="E173"/>
  <c r="X173" s="1"/>
  <c r="D173"/>
  <c r="W173" s="1"/>
  <c r="AO166" i="38"/>
  <c r="AP166" s="1"/>
  <c r="AQ166" s="1"/>
  <c r="AN166"/>
  <c r="CN4" i="55"/>
  <c r="O164" i="38"/>
  <c r="AB178" i="1"/>
  <c r="AE178" s="1"/>
  <c r="AK178" s="1"/>
  <c r="AA178"/>
  <c r="E185" i="53" s="1"/>
  <c r="Z178" i="1"/>
  <c r="B168" i="38"/>
  <c r="A185" i="1"/>
  <c r="A169" i="26"/>
  <c r="B169" s="1"/>
  <c r="B186" i="1"/>
  <c r="F187" i="52"/>
  <c r="C185" i="1"/>
  <c r="D185" s="1"/>
  <c r="E185"/>
  <c r="K185"/>
  <c r="N185" s="1"/>
  <c r="A192" i="53"/>
  <c r="B193" s="1"/>
  <c r="L185" i="1"/>
  <c r="M184" s="1"/>
  <c r="AK184"/>
  <c r="AJ184"/>
  <c r="AL184"/>
  <c r="AI184"/>
  <c r="AH184"/>
  <c r="AC184"/>
  <c r="AM184"/>
  <c r="BK165" i="38"/>
  <c r="AS165"/>
  <c r="AU165" s="1"/>
  <c r="AV165" s="1"/>
  <c r="BA165" s="1"/>
  <c r="BB165" s="1"/>
  <c r="BH165" s="1"/>
  <c r="BJ165" s="1"/>
  <c r="P165" s="1"/>
  <c r="V172" i="48"/>
  <c r="F172"/>
  <c r="Y172" s="1"/>
  <c r="F167" i="38"/>
  <c r="AM167" s="1"/>
  <c r="D167"/>
  <c r="E167"/>
  <c r="Z167"/>
  <c r="AA167" s="1"/>
  <c r="P184" i="1"/>
  <c r="BA180"/>
  <c r="BD180" s="1"/>
  <c r="BE180" s="1"/>
  <c r="T180" s="1"/>
  <c r="U180" s="1"/>
  <c r="BC181"/>
  <c r="BS5" i="55"/>
  <c r="D183" i="53"/>
  <c r="I183"/>
  <c r="AF176" i="1"/>
  <c r="AD177"/>
  <c r="E186" i="52"/>
  <c r="AR166" i="38" l="1"/>
  <c r="BK166" s="1"/>
  <c r="H5" i="55"/>
  <c r="V180" i="1"/>
  <c r="X180"/>
  <c r="AI185"/>
  <c r="AC185"/>
  <c r="AH185"/>
  <c r="AJ185"/>
  <c r="AL185"/>
  <c r="AM185"/>
  <c r="AK185"/>
  <c r="AB179"/>
  <c r="AE179" s="1"/>
  <c r="AK179" s="1"/>
  <c r="Z179"/>
  <c r="AA179"/>
  <c r="E186" i="53" s="1"/>
  <c r="AO167" i="38"/>
  <c r="AP167" s="1"/>
  <c r="AQ167" s="1"/>
  <c r="AN167"/>
  <c r="D168"/>
  <c r="Z168"/>
  <c r="AA168" s="1"/>
  <c r="F168"/>
  <c r="AM168" s="1"/>
  <c r="E168"/>
  <c r="F173" i="48"/>
  <c r="Y173" s="1"/>
  <c r="V173"/>
  <c r="D184" i="53"/>
  <c r="BS6" i="55"/>
  <c r="I184" i="53"/>
  <c r="AF177" i="1"/>
  <c r="AD178"/>
  <c r="R184"/>
  <c r="W184"/>
  <c r="O165" i="38"/>
  <c r="P185" i="1"/>
  <c r="E186"/>
  <c r="B187"/>
  <c r="A170" i="26"/>
  <c r="B170" s="1"/>
  <c r="K186" i="1"/>
  <c r="N186" s="1"/>
  <c r="A193" i="53"/>
  <c r="B194" s="1"/>
  <c r="F188" i="52"/>
  <c r="L186" i="1"/>
  <c r="M185" s="1"/>
  <c r="A186"/>
  <c r="B169" i="38"/>
  <c r="C186" i="1"/>
  <c r="D186" s="1"/>
  <c r="E174" i="48"/>
  <c r="X174" s="1"/>
  <c r="B175"/>
  <c r="D174"/>
  <c r="W174" s="1"/>
  <c r="C174"/>
  <c r="CN5" i="55"/>
  <c r="BA181" i="1"/>
  <c r="BD181" s="1"/>
  <c r="BE181" s="1"/>
  <c r="T181" s="1"/>
  <c r="U181" s="1"/>
  <c r="BC182"/>
  <c r="E187" i="52"/>
  <c r="AX7" i="55"/>
  <c r="G185" i="53"/>
  <c r="S183" i="1"/>
  <c r="AS166" i="38" l="1"/>
  <c r="AU166" s="1"/>
  <c r="AV166" s="1"/>
  <c r="BA166" s="1"/>
  <c r="BB166" s="1"/>
  <c r="BH166" s="1"/>
  <c r="BJ166" s="1"/>
  <c r="P166" s="1"/>
  <c r="O166" s="1"/>
  <c r="AR167"/>
  <c r="BK167" s="1"/>
  <c r="BA182" i="1"/>
  <c r="BD182" s="1"/>
  <c r="BE182" s="1"/>
  <c r="T182" s="1"/>
  <c r="U182" s="1"/>
  <c r="BC183"/>
  <c r="F174" i="48"/>
  <c r="Y174" s="1"/>
  <c r="V174"/>
  <c r="F189" i="52"/>
  <c r="K187" i="1"/>
  <c r="N187" s="1"/>
  <c r="B170" i="38"/>
  <c r="C187" i="1"/>
  <c r="D187" s="1"/>
  <c r="B188"/>
  <c r="A171" i="26"/>
  <c r="B171" s="1"/>
  <c r="A194" i="53"/>
  <c r="B195" s="1"/>
  <c r="A187" i="1"/>
  <c r="L187"/>
  <c r="M186" s="1"/>
  <c r="E187"/>
  <c r="CN6" i="55"/>
  <c r="AB180" i="1"/>
  <c r="AE180" s="1"/>
  <c r="AA180"/>
  <c r="E187" i="53" s="1"/>
  <c r="Z180" i="1"/>
  <c r="V181"/>
  <c r="X181"/>
  <c r="E169" i="38"/>
  <c r="F169"/>
  <c r="AM169" s="1"/>
  <c r="Z169"/>
  <c r="AA169" s="1"/>
  <c r="D169"/>
  <c r="E188" i="52"/>
  <c r="D185" i="53"/>
  <c r="BS7" i="55"/>
  <c r="I185" i="53"/>
  <c r="B176" i="48"/>
  <c r="C175"/>
  <c r="D175"/>
  <c r="W175" s="1"/>
  <c r="E175"/>
  <c r="X175" s="1"/>
  <c r="AH186" i="1"/>
  <c r="AL186"/>
  <c r="AC186"/>
  <c r="AJ186"/>
  <c r="AK186"/>
  <c r="AM186"/>
  <c r="AI186"/>
  <c r="P186"/>
  <c r="W185"/>
  <c r="R185"/>
  <c r="AF178"/>
  <c r="AD179"/>
  <c r="H6" i="55"/>
  <c r="AO168" i="38"/>
  <c r="AP168" s="1"/>
  <c r="AQ168" s="1"/>
  <c r="AN168"/>
  <c r="AX8" i="55"/>
  <c r="G186" i="53"/>
  <c r="S184" i="1"/>
  <c r="AS167" i="38" l="1"/>
  <c r="AU167" s="1"/>
  <c r="AV167" s="1"/>
  <c r="BA167" s="1"/>
  <c r="BB167" s="1"/>
  <c r="BH167" s="1"/>
  <c r="BJ167" s="1"/>
  <c r="P167" s="1"/>
  <c r="R186" i="1"/>
  <c r="W186"/>
  <c r="H7" i="55"/>
  <c r="AM187" i="1"/>
  <c r="AL187"/>
  <c r="AK187"/>
  <c r="AJ187"/>
  <c r="AH187"/>
  <c r="AI187"/>
  <c r="AC187"/>
  <c r="I186" i="53"/>
  <c r="BS8" i="55"/>
  <c r="D186" i="53"/>
  <c r="S185" i="1"/>
  <c r="V175" i="48"/>
  <c r="F175"/>
  <c r="Y175" s="1"/>
  <c r="AB181" i="1"/>
  <c r="AE181" s="1"/>
  <c r="Z181"/>
  <c r="AA181"/>
  <c r="E188" i="53" s="1"/>
  <c r="E170" i="38"/>
  <c r="D170"/>
  <c r="F170"/>
  <c r="AM170" s="1"/>
  <c r="Z170"/>
  <c r="AA170" s="1"/>
  <c r="BA183" i="1"/>
  <c r="BD183" s="1"/>
  <c r="BE183" s="1"/>
  <c r="T183" s="1"/>
  <c r="U183" s="1"/>
  <c r="BC184"/>
  <c r="C176" i="48"/>
  <c r="B177"/>
  <c r="D176"/>
  <c r="W176" s="1"/>
  <c r="E176"/>
  <c r="X176" s="1"/>
  <c r="CN7" i="55"/>
  <c r="AX9"/>
  <c r="G187" i="53"/>
  <c r="E189" i="52"/>
  <c r="P187" i="1"/>
  <c r="V182"/>
  <c r="X182"/>
  <c r="AR168" i="38"/>
  <c r="AF179" i="1"/>
  <c r="AD180"/>
  <c r="AN169" i="38"/>
  <c r="AR169" s="1"/>
  <c r="AO169"/>
  <c r="AP169" s="1"/>
  <c r="AQ169" s="1"/>
  <c r="O167"/>
  <c r="A195" i="53"/>
  <c r="B196" s="1"/>
  <c r="A172" i="26"/>
  <c r="B172" s="1"/>
  <c r="K188" i="1"/>
  <c r="N188" s="1"/>
  <c r="F190" i="52"/>
  <c r="C188" i="1"/>
  <c r="D188" s="1"/>
  <c r="A188"/>
  <c r="B171" i="38"/>
  <c r="L188" i="1"/>
  <c r="M187" s="1"/>
  <c r="E188"/>
  <c r="B189"/>
  <c r="BK169" i="38" l="1"/>
  <c r="AS169"/>
  <c r="AU169" s="1"/>
  <c r="AV169" s="1"/>
  <c r="BA169" s="1"/>
  <c r="BB169" s="1"/>
  <c r="BH169" s="1"/>
  <c r="BJ169" s="1"/>
  <c r="P169" s="1"/>
  <c r="O169" s="1"/>
  <c r="V183" i="1"/>
  <c r="X183"/>
  <c r="S186"/>
  <c r="F171" i="38"/>
  <c r="AM171" s="1"/>
  <c r="D171"/>
  <c r="E171"/>
  <c r="Z171"/>
  <c r="AA171" s="1"/>
  <c r="AS168"/>
  <c r="AU168" s="1"/>
  <c r="AV168" s="1"/>
  <c r="BA168" s="1"/>
  <c r="BB168" s="1"/>
  <c r="BH168" s="1"/>
  <c r="BJ168" s="1"/>
  <c r="P168" s="1"/>
  <c r="BK168"/>
  <c r="E177" i="48"/>
  <c r="X177" s="1"/>
  <c r="D177"/>
  <c r="W177" s="1"/>
  <c r="B178"/>
  <c r="C177"/>
  <c r="H8" i="55"/>
  <c r="P188" i="1"/>
  <c r="L189"/>
  <c r="M188" s="1"/>
  <c r="K189"/>
  <c r="N189" s="1"/>
  <c r="B190"/>
  <c r="B172" i="38"/>
  <c r="A173" i="26"/>
  <c r="B173" s="1"/>
  <c r="C189" i="1"/>
  <c r="D189" s="1"/>
  <c r="E189"/>
  <c r="F191" i="52"/>
  <c r="A196" i="53"/>
  <c r="B197" s="1"/>
  <c r="A189" i="1"/>
  <c r="AL188"/>
  <c r="AI188"/>
  <c r="AK188"/>
  <c r="AH188"/>
  <c r="AM188"/>
  <c r="AJ188"/>
  <c r="AC188"/>
  <c r="AB182"/>
  <c r="AE182" s="1"/>
  <c r="AA182"/>
  <c r="E189" i="53" s="1"/>
  <c r="Z182" i="1"/>
  <c r="W187"/>
  <c r="R187"/>
  <c r="I187" i="53"/>
  <c r="BS9" i="55"/>
  <c r="D187" i="53"/>
  <c r="F176" i="48"/>
  <c r="Y176" s="1"/>
  <c r="V176"/>
  <c r="AN170" i="38"/>
  <c r="AR170" s="1"/>
  <c r="AO170"/>
  <c r="AP170" s="1"/>
  <c r="AQ170" s="1"/>
  <c r="E190" i="52"/>
  <c r="AF180" i="1"/>
  <c r="AD181"/>
  <c r="BA184"/>
  <c r="BD184" s="1"/>
  <c r="BE184" s="1"/>
  <c r="T184" s="1"/>
  <c r="U184" s="1"/>
  <c r="BC185"/>
  <c r="AX10" i="55"/>
  <c r="G188" i="53"/>
  <c r="CN8" i="55"/>
  <c r="BA185" i="1" l="1"/>
  <c r="BD185" s="1"/>
  <c r="BE185" s="1"/>
  <c r="T185" s="1"/>
  <c r="U185" s="1"/>
  <c r="BC186"/>
  <c r="AF181"/>
  <c r="AD182"/>
  <c r="S187"/>
  <c r="AJ189"/>
  <c r="AM189"/>
  <c r="AK189"/>
  <c r="AH189"/>
  <c r="AC189"/>
  <c r="AI189"/>
  <c r="P189"/>
  <c r="BS10" i="55"/>
  <c r="I188" i="53"/>
  <c r="D188"/>
  <c r="V184" i="1"/>
  <c r="X184"/>
  <c r="AS170" i="38"/>
  <c r="AU170" s="1"/>
  <c r="AV170" s="1"/>
  <c r="BA170" s="1"/>
  <c r="BB170" s="1"/>
  <c r="BH170" s="1"/>
  <c r="BJ170" s="1"/>
  <c r="P170" s="1"/>
  <c r="O170" s="1"/>
  <c r="BK170"/>
  <c r="H9" i="55"/>
  <c r="O168" i="38"/>
  <c r="AO171"/>
  <c r="AP171" s="1"/>
  <c r="AQ171" s="1"/>
  <c r="AN171"/>
  <c r="E172"/>
  <c r="F172"/>
  <c r="AM172" s="1"/>
  <c r="Z172"/>
  <c r="AA172" s="1"/>
  <c r="D172"/>
  <c r="V177" i="48"/>
  <c r="F177"/>
  <c r="Y177" s="1"/>
  <c r="CN9" i="55"/>
  <c r="AX11"/>
  <c r="G189" i="53"/>
  <c r="E191" i="52"/>
  <c r="A174" i="26"/>
  <c r="B174" s="1"/>
  <c r="F192" i="52"/>
  <c r="A197" i="53"/>
  <c r="B198" s="1"/>
  <c r="A190" i="1"/>
  <c r="B191"/>
  <c r="E190"/>
  <c r="L190"/>
  <c r="M189" s="1"/>
  <c r="C190"/>
  <c r="D190" s="1"/>
  <c r="K190"/>
  <c r="N190" s="1"/>
  <c r="B173" i="38"/>
  <c r="W188" i="1"/>
  <c r="R188"/>
  <c r="E178" i="48"/>
  <c r="X178" s="1"/>
  <c r="C178"/>
  <c r="B179"/>
  <c r="D178"/>
  <c r="W178" s="1"/>
  <c r="AB183" i="1"/>
  <c r="AE183" s="1"/>
  <c r="AA183"/>
  <c r="E190" i="53" s="1"/>
  <c r="Z183" i="1"/>
  <c r="F178" i="48" l="1"/>
  <c r="Y178" s="1"/>
  <c r="V178"/>
  <c r="S188" i="1"/>
  <c r="AH190"/>
  <c r="AJ190"/>
  <c r="AM190"/>
  <c r="AI190"/>
  <c r="AC190"/>
  <c r="AK190"/>
  <c r="AN172" i="38"/>
  <c r="AR172" s="1"/>
  <c r="AO172"/>
  <c r="AP172" s="1"/>
  <c r="AQ172" s="1"/>
  <c r="AR171"/>
  <c r="D189" i="53"/>
  <c r="BS11" i="55"/>
  <c r="I189" i="53"/>
  <c r="AX12" i="55"/>
  <c r="G190" i="53"/>
  <c r="F173" i="38"/>
  <c r="AM173" s="1"/>
  <c r="Z173"/>
  <c r="AA173" s="1"/>
  <c r="D173"/>
  <c r="E173"/>
  <c r="E192" i="52"/>
  <c r="H10" i="55"/>
  <c r="W189" i="1"/>
  <c r="R189"/>
  <c r="BA186"/>
  <c r="BD186" s="1"/>
  <c r="BE186" s="1"/>
  <c r="T186" s="1"/>
  <c r="U186" s="1"/>
  <c r="BC187"/>
  <c r="E179" i="48"/>
  <c r="X179" s="1"/>
  <c r="C179"/>
  <c r="D179"/>
  <c r="W179" s="1"/>
  <c r="B180"/>
  <c r="P190" i="1"/>
  <c r="B174" i="38"/>
  <c r="A191" i="1"/>
  <c r="E191"/>
  <c r="C191"/>
  <c r="D191" s="1"/>
  <c r="K191"/>
  <c r="N191" s="1"/>
  <c r="B192"/>
  <c r="L191"/>
  <c r="M190" s="1"/>
  <c r="A198" i="53"/>
  <c r="B199" s="1"/>
  <c r="F193" i="52"/>
  <c r="A175" i="26"/>
  <c r="B175" s="1"/>
  <c r="AB184" i="1"/>
  <c r="AE184" s="1"/>
  <c r="AA184"/>
  <c r="E191" i="53" s="1"/>
  <c r="Z184" i="1"/>
  <c r="CN10" i="55"/>
  <c r="AF182" i="1"/>
  <c r="AD183"/>
  <c r="V185"/>
  <c r="X185"/>
  <c r="P191" l="1"/>
  <c r="D174" i="38"/>
  <c r="Z174"/>
  <c r="AA174" s="1"/>
  <c r="F174"/>
  <c r="AM174" s="1"/>
  <c r="E174"/>
  <c r="S189" i="1"/>
  <c r="CN11" i="55"/>
  <c r="AX13"/>
  <c r="G191" i="53"/>
  <c r="R190" i="1"/>
  <c r="W190"/>
  <c r="C180" i="48"/>
  <c r="E180"/>
  <c r="X180" s="1"/>
  <c r="B181"/>
  <c r="D180"/>
  <c r="W180" s="1"/>
  <c r="BA187" i="1"/>
  <c r="BD187" s="1"/>
  <c r="BE187" s="1"/>
  <c r="T187" s="1"/>
  <c r="U187" s="1"/>
  <c r="BC188"/>
  <c r="AF183"/>
  <c r="AD184"/>
  <c r="AB185"/>
  <c r="AE185" s="1"/>
  <c r="Z185"/>
  <c r="AA185"/>
  <c r="E192" i="53" s="1"/>
  <c r="E193" i="52"/>
  <c r="V186" i="1"/>
  <c r="X186"/>
  <c r="D190" i="53"/>
  <c r="I190"/>
  <c r="BS12" i="55"/>
  <c r="H11"/>
  <c r="AS171" i="38"/>
  <c r="AU171" s="1"/>
  <c r="AV171" s="1"/>
  <c r="BA171" s="1"/>
  <c r="BB171" s="1"/>
  <c r="BH171" s="1"/>
  <c r="BJ171" s="1"/>
  <c r="P171" s="1"/>
  <c r="BK171"/>
  <c r="L192" i="1"/>
  <c r="M191" s="1"/>
  <c r="A199" i="53"/>
  <c r="B200" s="1"/>
  <c r="C192" i="1"/>
  <c r="D192" s="1"/>
  <c r="E192"/>
  <c r="A192"/>
  <c r="A176" i="26"/>
  <c r="B176" s="1"/>
  <c r="K192" i="1"/>
  <c r="N192" s="1"/>
  <c r="F194" i="52"/>
  <c r="B193" i="1"/>
  <c r="B175" i="38"/>
  <c r="AK191" i="1"/>
  <c r="AC191"/>
  <c r="AH191"/>
  <c r="AM191"/>
  <c r="AI191"/>
  <c r="AJ191"/>
  <c r="V179" i="48"/>
  <c r="F179"/>
  <c r="Y179" s="1"/>
  <c r="AO173" i="38"/>
  <c r="AP173" s="1"/>
  <c r="AQ173" s="1"/>
  <c r="AN173"/>
  <c r="AS172"/>
  <c r="AU172" s="1"/>
  <c r="AV172" s="1"/>
  <c r="BA172" s="1"/>
  <c r="BB172" s="1"/>
  <c r="BH172" s="1"/>
  <c r="BJ172" s="1"/>
  <c r="P172" s="1"/>
  <c r="O172" s="1"/>
  <c r="BK172"/>
  <c r="AR173" l="1"/>
  <c r="F175"/>
  <c r="AM175" s="1"/>
  <c r="E175"/>
  <c r="D175"/>
  <c r="Z175"/>
  <c r="AA175" s="1"/>
  <c r="AB186" i="1"/>
  <c r="AE186" s="1"/>
  <c r="AA186"/>
  <c r="E193" i="53" s="1"/>
  <c r="Z186" i="1"/>
  <c r="BA188"/>
  <c r="BD188" s="1"/>
  <c r="BE188" s="1"/>
  <c r="T188" s="1"/>
  <c r="U188" s="1"/>
  <c r="BC189"/>
  <c r="W191"/>
  <c r="R191"/>
  <c r="E193"/>
  <c r="B194"/>
  <c r="B176" i="38"/>
  <c r="A177" i="26"/>
  <c r="B177" s="1"/>
  <c r="L193" i="1"/>
  <c r="M192" s="1"/>
  <c r="F195" i="52"/>
  <c r="A193" i="1"/>
  <c r="K193"/>
  <c r="N193" s="1"/>
  <c r="C193"/>
  <c r="D193" s="1"/>
  <c r="A200" i="53"/>
  <c r="B201" s="1"/>
  <c r="AH192" i="1"/>
  <c r="AK192"/>
  <c r="AI192"/>
  <c r="AC192"/>
  <c r="AM192"/>
  <c r="AJ192"/>
  <c r="V187"/>
  <c r="X187"/>
  <c r="V180" i="48"/>
  <c r="F180"/>
  <c r="Y180" s="1"/>
  <c r="E194" i="52"/>
  <c r="CN12" i="55"/>
  <c r="AF184" i="1"/>
  <c r="AD185"/>
  <c r="BS13" i="55"/>
  <c r="D191" i="53"/>
  <c r="I191"/>
  <c r="P192" i="1"/>
  <c r="O171" i="38"/>
  <c r="H12" i="55"/>
  <c r="AX14"/>
  <c r="G192" i="53"/>
  <c r="C181" i="48"/>
  <c r="D181"/>
  <c r="W181" s="1"/>
  <c r="B182"/>
  <c r="E181"/>
  <c r="X181" s="1"/>
  <c r="S190" i="1"/>
  <c r="AN174" i="38"/>
  <c r="AR174" s="1"/>
  <c r="AO174"/>
  <c r="AP174" s="1"/>
  <c r="AQ174" s="1"/>
  <c r="F181" i="48" l="1"/>
  <c r="Y181" s="1"/>
  <c r="V181"/>
  <c r="H13" i="55"/>
  <c r="AH193" i="1"/>
  <c r="AI193"/>
  <c r="AC193"/>
  <c r="AM193"/>
  <c r="AK193"/>
  <c r="AJ193"/>
  <c r="E176" i="38"/>
  <c r="Z176"/>
  <c r="AA176" s="1"/>
  <c r="D176"/>
  <c r="F176"/>
  <c r="AM176" s="1"/>
  <c r="AS174"/>
  <c r="AU174" s="1"/>
  <c r="AV174" s="1"/>
  <c r="BA174" s="1"/>
  <c r="BB174" s="1"/>
  <c r="BH174" s="1"/>
  <c r="BJ174" s="1"/>
  <c r="P174" s="1"/>
  <c r="O174" s="1"/>
  <c r="BK174"/>
  <c r="BS14" i="55"/>
  <c r="D192" i="53"/>
  <c r="I192"/>
  <c r="AF185" i="1"/>
  <c r="AD186"/>
  <c r="AB187"/>
  <c r="AE187" s="1"/>
  <c r="Z187"/>
  <c r="AA187"/>
  <c r="E194" i="53" s="1"/>
  <c r="F196" i="52"/>
  <c r="E194" i="1"/>
  <c r="B177" i="38"/>
  <c r="L194" i="1"/>
  <c r="M193" s="1"/>
  <c r="A201" i="53"/>
  <c r="B202" s="1"/>
  <c r="C194" i="1"/>
  <c r="D194" s="1"/>
  <c r="K194"/>
  <c r="N194" s="1"/>
  <c r="A178" i="26"/>
  <c r="B178" s="1"/>
  <c r="A194" i="1"/>
  <c r="B195"/>
  <c r="S191"/>
  <c r="AO175" i="38"/>
  <c r="AP175" s="1"/>
  <c r="AQ175" s="1"/>
  <c r="AN175"/>
  <c r="E182" i="48"/>
  <c r="X182" s="1"/>
  <c r="B183"/>
  <c r="D182"/>
  <c r="W182" s="1"/>
  <c r="C182"/>
  <c r="R192" i="1"/>
  <c r="W192"/>
  <c r="E195" i="52"/>
  <c r="BA189" i="1"/>
  <c r="BD189" s="1"/>
  <c r="BE189" s="1"/>
  <c r="T189" s="1"/>
  <c r="U189" s="1"/>
  <c r="BC190"/>
  <c r="BC191" s="1"/>
  <c r="AS173" i="38"/>
  <c r="AU173" s="1"/>
  <c r="AV173" s="1"/>
  <c r="BA173" s="1"/>
  <c r="BB173" s="1"/>
  <c r="BH173" s="1"/>
  <c r="BJ173" s="1"/>
  <c r="P173" s="1"/>
  <c r="BK173"/>
  <c r="CN13" i="55"/>
  <c r="P193" i="1"/>
  <c r="V188"/>
  <c r="X188"/>
  <c r="AX15" i="55"/>
  <c r="G193" i="53"/>
  <c r="BC192" i="1" l="1"/>
  <c r="BS15" i="55"/>
  <c r="D193" i="53"/>
  <c r="I193"/>
  <c r="AR175" i="38"/>
  <c r="AX16" i="55"/>
  <c r="G194" i="53"/>
  <c r="AF186" i="1"/>
  <c r="AD187"/>
  <c r="AB188"/>
  <c r="AE188" s="1"/>
  <c r="AA188"/>
  <c r="E195" i="53" s="1"/>
  <c r="Z188" i="1"/>
  <c r="W193"/>
  <c r="R193"/>
  <c r="E183" i="48"/>
  <c r="X183" s="1"/>
  <c r="B184"/>
  <c r="C183"/>
  <c r="D183"/>
  <c r="W183" s="1"/>
  <c r="P194" i="1"/>
  <c r="D177" i="38"/>
  <c r="Z177"/>
  <c r="AA177" s="1"/>
  <c r="F177"/>
  <c r="AM177" s="1"/>
  <c r="E177"/>
  <c r="CN14" i="55"/>
  <c r="AN176" i="38"/>
  <c r="AO176"/>
  <c r="AP176" s="1"/>
  <c r="AQ176" s="1"/>
  <c r="BA190" i="1"/>
  <c r="BD190" s="1"/>
  <c r="BE190" s="1"/>
  <c r="T190" s="1"/>
  <c r="U190" s="1"/>
  <c r="S192"/>
  <c r="A179" i="26"/>
  <c r="B179" s="1"/>
  <c r="B178" i="38"/>
  <c r="E195" i="1"/>
  <c r="C195"/>
  <c r="D195" s="1"/>
  <c r="F197" i="52"/>
  <c r="A202" i="53"/>
  <c r="B203" s="1"/>
  <c r="B196" i="1"/>
  <c r="L195"/>
  <c r="M194" s="1"/>
  <c r="K195"/>
  <c r="N195" s="1"/>
  <c r="A195"/>
  <c r="E196" i="52"/>
  <c r="H14" i="55"/>
  <c r="O173" i="38"/>
  <c r="V189" i="1"/>
  <c r="X189"/>
  <c r="F182" i="48"/>
  <c r="Y182" s="1"/>
  <c r="V182"/>
  <c r="AH194" i="1"/>
  <c r="AK194"/>
  <c r="AC194"/>
  <c r="AI194"/>
  <c r="AJ194"/>
  <c r="AM194"/>
  <c r="BC193" l="1"/>
  <c r="BA191"/>
  <c r="BD191" s="1"/>
  <c r="BE191" s="1"/>
  <c r="T191" s="1"/>
  <c r="U191" s="1"/>
  <c r="AB189"/>
  <c r="AE189" s="1"/>
  <c r="AL189" s="1"/>
  <c r="Z189"/>
  <c r="AA189"/>
  <c r="E196" i="53" s="1"/>
  <c r="C196" i="1"/>
  <c r="D196" s="1"/>
  <c r="B197"/>
  <c r="E196"/>
  <c r="F198" i="52"/>
  <c r="A203" i="53"/>
  <c r="B204" s="1"/>
  <c r="L196" i="1"/>
  <c r="M195" s="1"/>
  <c r="K196"/>
  <c r="N196" s="1"/>
  <c r="A196"/>
  <c r="B179" i="38"/>
  <c r="A180" i="26"/>
  <c r="B180" s="1"/>
  <c r="E197" i="52"/>
  <c r="AX17" i="55"/>
  <c r="G195" i="53"/>
  <c r="AH195" i="1"/>
  <c r="AC195"/>
  <c r="AK195"/>
  <c r="AM195"/>
  <c r="AJ195"/>
  <c r="AI195"/>
  <c r="D178" i="38"/>
  <c r="E178"/>
  <c r="Z178"/>
  <c r="AA178" s="1"/>
  <c r="F178"/>
  <c r="AM178" s="1"/>
  <c r="AR176"/>
  <c r="AO177"/>
  <c r="AP177" s="1"/>
  <c r="AQ177" s="1"/>
  <c r="AN177"/>
  <c r="V183" i="48"/>
  <c r="F183"/>
  <c r="Y183" s="1"/>
  <c r="S193" i="1"/>
  <c r="D194" i="53"/>
  <c r="BS16" i="55"/>
  <c r="I194" i="53"/>
  <c r="P195" i="1"/>
  <c r="C184" i="48"/>
  <c r="D184"/>
  <c r="W184" s="1"/>
  <c r="E184"/>
  <c r="X184" s="1"/>
  <c r="B185"/>
  <c r="AS175" i="38"/>
  <c r="AU175" s="1"/>
  <c r="AV175" s="1"/>
  <c r="BA175" s="1"/>
  <c r="BB175" s="1"/>
  <c r="BH175" s="1"/>
  <c r="BJ175" s="1"/>
  <c r="P175" s="1"/>
  <c r="BK175"/>
  <c r="CN15" i="55"/>
  <c r="V190" i="1"/>
  <c r="X190"/>
  <c r="W194"/>
  <c r="R194"/>
  <c r="AF187"/>
  <c r="AD188"/>
  <c r="H15" i="55"/>
  <c r="V191" i="1" l="1"/>
  <c r="X191"/>
  <c r="BC194"/>
  <c r="BA192"/>
  <c r="BD192" s="1"/>
  <c r="BE192" s="1"/>
  <c r="T192" s="1"/>
  <c r="U192" s="1"/>
  <c r="S194"/>
  <c r="O175" i="38"/>
  <c r="D185" i="48"/>
  <c r="W185" s="1"/>
  <c r="B186"/>
  <c r="C185"/>
  <c r="E185"/>
  <c r="X185" s="1"/>
  <c r="CN16" i="55"/>
  <c r="AR177" i="38"/>
  <c r="AN178"/>
  <c r="AO178"/>
  <c r="AP178" s="1"/>
  <c r="AQ178" s="1"/>
  <c r="D179"/>
  <c r="F179"/>
  <c r="AM179" s="1"/>
  <c r="Z179"/>
  <c r="AA179" s="1"/>
  <c r="E179"/>
  <c r="AF188" i="1"/>
  <c r="AD189"/>
  <c r="AC196"/>
  <c r="AI196"/>
  <c r="AJ196"/>
  <c r="AK196"/>
  <c r="AH196"/>
  <c r="AM196"/>
  <c r="H16" i="55"/>
  <c r="BS17"/>
  <c r="I195" i="53"/>
  <c r="D195"/>
  <c r="P196" i="1"/>
  <c r="E198" i="52"/>
  <c r="AX18" i="55"/>
  <c r="G196" i="53"/>
  <c r="AB190" i="1"/>
  <c r="AE190" s="1"/>
  <c r="AL190" s="1"/>
  <c r="Z190"/>
  <c r="AA190"/>
  <c r="E197" i="53" s="1"/>
  <c r="F184" i="48"/>
  <c r="Y184" s="1"/>
  <c r="V184"/>
  <c r="W195" i="1"/>
  <c r="R195"/>
  <c r="BK176" i="38"/>
  <c r="AS176"/>
  <c r="AU176" s="1"/>
  <c r="AV176" s="1"/>
  <c r="BA176" s="1"/>
  <c r="BB176" s="1"/>
  <c r="BH176" s="1"/>
  <c r="BJ176" s="1"/>
  <c r="P176" s="1"/>
  <c r="O176" s="1"/>
  <c r="F199" i="52"/>
  <c r="C197" i="1"/>
  <c r="D197" s="1"/>
  <c r="L197"/>
  <c r="M196" s="1"/>
  <c r="A197"/>
  <c r="A204" i="53"/>
  <c r="B205" s="1"/>
  <c r="B180" i="38"/>
  <c r="E197" i="1"/>
  <c r="A181" i="26"/>
  <c r="B181" s="1"/>
  <c r="K197" i="1"/>
  <c r="N197" s="1"/>
  <c r="B198"/>
  <c r="BA193" l="1"/>
  <c r="BD193" s="1"/>
  <c r="BE193" s="1"/>
  <c r="T193" s="1"/>
  <c r="U193" s="1"/>
  <c r="V193" s="1"/>
  <c r="BA194"/>
  <c r="BD194" s="1"/>
  <c r="BE194" s="1"/>
  <c r="T194" s="1"/>
  <c r="U194" s="1"/>
  <c r="BC195"/>
  <c r="Z191"/>
  <c r="AA191"/>
  <c r="E198" i="53" s="1"/>
  <c r="AB191" i="1"/>
  <c r="AE191" s="1"/>
  <c r="AL191" s="1"/>
  <c r="V192"/>
  <c r="X192"/>
  <c r="P197"/>
  <c r="AH197"/>
  <c r="AK197"/>
  <c r="AC197"/>
  <c r="AI197"/>
  <c r="AJ197"/>
  <c r="AM197"/>
  <c r="E199" i="52"/>
  <c r="AF189" i="1"/>
  <c r="AD190"/>
  <c r="AR178" i="38"/>
  <c r="V185" i="48"/>
  <c r="F185"/>
  <c r="Y185" s="1"/>
  <c r="A205" i="53"/>
  <c r="B206" s="1"/>
  <c r="A182" i="26"/>
  <c r="B182" s="1"/>
  <c r="A198" i="1"/>
  <c r="K198"/>
  <c r="N198" s="1"/>
  <c r="L198"/>
  <c r="M197" s="1"/>
  <c r="E198"/>
  <c r="B181" i="38"/>
  <c r="F200" i="52"/>
  <c r="C198" i="1"/>
  <c r="D198" s="1"/>
  <c r="B199"/>
  <c r="E180" i="38"/>
  <c r="Z180"/>
  <c r="AA180" s="1"/>
  <c r="F180"/>
  <c r="AM180" s="1"/>
  <c r="D180"/>
  <c r="W196" i="1"/>
  <c r="R196"/>
  <c r="H17" i="55"/>
  <c r="AO179" i="38"/>
  <c r="AP179" s="1"/>
  <c r="AQ179" s="1"/>
  <c r="AN179"/>
  <c r="AR179" s="1"/>
  <c r="BK177"/>
  <c r="AS177"/>
  <c r="AU177" s="1"/>
  <c r="AV177" s="1"/>
  <c r="BA177" s="1"/>
  <c r="BB177" s="1"/>
  <c r="BH177" s="1"/>
  <c r="BJ177" s="1"/>
  <c r="P177" s="1"/>
  <c r="O177" s="1"/>
  <c r="C186" i="48"/>
  <c r="E186"/>
  <c r="X186" s="1"/>
  <c r="B187"/>
  <c r="D186"/>
  <c r="W186" s="1"/>
  <c r="S195" i="1"/>
  <c r="AX19" i="55"/>
  <c r="G197" i="53"/>
  <c r="I196"/>
  <c r="CN18" i="55" s="1"/>
  <c r="BS18"/>
  <c r="D196" i="53"/>
  <c r="CN17" i="55"/>
  <c r="X193" i="1" l="1"/>
  <c r="AA193" s="1"/>
  <c r="E200" i="53" s="1"/>
  <c r="Z193" i="1"/>
  <c r="AX20" i="55"/>
  <c r="G198" i="53"/>
  <c r="BA195" i="1"/>
  <c r="BD195" s="1"/>
  <c r="BE195" s="1"/>
  <c r="T195" s="1"/>
  <c r="U195" s="1"/>
  <c r="BC196"/>
  <c r="AA192"/>
  <c r="E199" i="53" s="1"/>
  <c r="AB192" i="1"/>
  <c r="AE192" s="1"/>
  <c r="AL192" s="1"/>
  <c r="Z192"/>
  <c r="V194"/>
  <c r="X194"/>
  <c r="BK179" i="38"/>
  <c r="AS179"/>
  <c r="AU179" s="1"/>
  <c r="AV179" s="1"/>
  <c r="BA179" s="1"/>
  <c r="BB179" s="1"/>
  <c r="BH179" s="1"/>
  <c r="BJ179" s="1"/>
  <c r="P179" s="1"/>
  <c r="O179" s="1"/>
  <c r="S196" i="1"/>
  <c r="P198"/>
  <c r="AS178" i="38"/>
  <c r="AU178" s="1"/>
  <c r="AV178" s="1"/>
  <c r="BA178" s="1"/>
  <c r="BB178" s="1"/>
  <c r="BH178" s="1"/>
  <c r="BJ178" s="1"/>
  <c r="P178" s="1"/>
  <c r="BK178"/>
  <c r="H18" i="55"/>
  <c r="I197" i="53"/>
  <c r="D197"/>
  <c r="BS19" i="55"/>
  <c r="B188" i="48"/>
  <c r="D187"/>
  <c r="W187" s="1"/>
  <c r="E187"/>
  <c r="X187" s="1"/>
  <c r="C187"/>
  <c r="D181" i="38"/>
  <c r="E181"/>
  <c r="Z181"/>
  <c r="AA181" s="1"/>
  <c r="F181"/>
  <c r="AM181" s="1"/>
  <c r="AJ198" i="1"/>
  <c r="AM198"/>
  <c r="AC198"/>
  <c r="AK198"/>
  <c r="AI198"/>
  <c r="AH198"/>
  <c r="R197"/>
  <c r="W197"/>
  <c r="E199"/>
  <c r="A206" i="53"/>
  <c r="B207" s="1"/>
  <c r="F201" i="52"/>
  <c r="B182" i="38"/>
  <c r="A183" i="26"/>
  <c r="B183" s="1"/>
  <c r="C199" i="1"/>
  <c r="D199" s="1"/>
  <c r="K199"/>
  <c r="N199" s="1"/>
  <c r="A199"/>
  <c r="B200"/>
  <c r="L199"/>
  <c r="M198" s="1"/>
  <c r="E200" i="52"/>
  <c r="AF190" i="1"/>
  <c r="AD191"/>
  <c r="F186" i="48"/>
  <c r="Y186" s="1"/>
  <c r="V186"/>
  <c r="AO180" i="38"/>
  <c r="AP180" s="1"/>
  <c r="AQ180" s="1"/>
  <c r="AN180"/>
  <c r="AB193" i="1" l="1"/>
  <c r="AE193" s="1"/>
  <c r="AL193" s="1"/>
  <c r="Z194"/>
  <c r="AB194"/>
  <c r="AE194" s="1"/>
  <c r="AL194" s="1"/>
  <c r="AA194"/>
  <c r="E201" i="53" s="1"/>
  <c r="AX21" i="55"/>
  <c r="G199" i="53"/>
  <c r="V195" i="1"/>
  <c r="X195"/>
  <c r="BA196"/>
  <c r="BD196" s="1"/>
  <c r="BE196" s="1"/>
  <c r="T196" s="1"/>
  <c r="U196" s="1"/>
  <c r="BC197"/>
  <c r="D198" i="53"/>
  <c r="H20" i="55" s="1"/>
  <c r="BS20"/>
  <c r="G200" i="53"/>
  <c r="AX22" i="55"/>
  <c r="AM199" i="1"/>
  <c r="AC199"/>
  <c r="AK199"/>
  <c r="AH199"/>
  <c r="AJ199"/>
  <c r="AI199"/>
  <c r="Z182" i="38"/>
  <c r="AA182" s="1"/>
  <c r="E182"/>
  <c r="D182"/>
  <c r="F182"/>
  <c r="AM182" s="1"/>
  <c r="E188" i="48"/>
  <c r="X188" s="1"/>
  <c r="D188"/>
  <c r="W188" s="1"/>
  <c r="C188"/>
  <c r="B189"/>
  <c r="O178" i="38"/>
  <c r="R198" i="1"/>
  <c r="W198"/>
  <c r="P199"/>
  <c r="AO181" i="38"/>
  <c r="AP181" s="1"/>
  <c r="AQ181" s="1"/>
  <c r="AN181"/>
  <c r="V187" i="48"/>
  <c r="F187"/>
  <c r="Y187" s="1"/>
  <c r="H19" i="55"/>
  <c r="AF191" i="1"/>
  <c r="AD192"/>
  <c r="S197"/>
  <c r="CN19" i="55"/>
  <c r="I198" i="53"/>
  <c r="AR180" i="38"/>
  <c r="F202" i="52"/>
  <c r="A200" i="1"/>
  <c r="B183" i="38"/>
  <c r="C200" i="1"/>
  <c r="D200" s="1"/>
  <c r="E200"/>
  <c r="K200"/>
  <c r="N200" s="1"/>
  <c r="A184" i="26"/>
  <c r="B184" s="1"/>
  <c r="B201" i="1"/>
  <c r="A207" i="53"/>
  <c r="B208" s="1"/>
  <c r="L200" i="1"/>
  <c r="M199" s="1"/>
  <c r="E201" i="52"/>
  <c r="D200" i="53" l="1"/>
  <c r="H22" i="55" s="1"/>
  <c r="BS22"/>
  <c r="V196" i="1"/>
  <c r="X196"/>
  <c r="AX23" i="55"/>
  <c r="G201" i="53"/>
  <c r="AA195" i="1"/>
  <c r="E202" i="53" s="1"/>
  <c r="Z195" i="1"/>
  <c r="AB195"/>
  <c r="AE195" s="1"/>
  <c r="AL195" s="1"/>
  <c r="BA197"/>
  <c r="BD197" s="1"/>
  <c r="BE197" s="1"/>
  <c r="T197" s="1"/>
  <c r="U197" s="1"/>
  <c r="BC198"/>
  <c r="D199" i="53"/>
  <c r="H21" i="55" s="1"/>
  <c r="BS21"/>
  <c r="P200" i="1"/>
  <c r="AK200"/>
  <c r="AI200"/>
  <c r="AM200"/>
  <c r="AH200"/>
  <c r="AJ200"/>
  <c r="AC200"/>
  <c r="AF192"/>
  <c r="AD193"/>
  <c r="V188" i="48"/>
  <c r="F188"/>
  <c r="Y188" s="1"/>
  <c r="E202" i="52"/>
  <c r="BK180" i="38"/>
  <c r="AS180"/>
  <c r="AU180" s="1"/>
  <c r="AV180" s="1"/>
  <c r="BA180" s="1"/>
  <c r="BB180" s="1"/>
  <c r="BH180" s="1"/>
  <c r="BJ180" s="1"/>
  <c r="P180" s="1"/>
  <c r="AR181"/>
  <c r="S198" i="1"/>
  <c r="F203" i="52"/>
  <c r="E201" i="1"/>
  <c r="C201"/>
  <c r="D201" s="1"/>
  <c r="A208" i="53"/>
  <c r="B209" s="1"/>
  <c r="L201" i="1"/>
  <c r="M200" s="1"/>
  <c r="B184" i="38"/>
  <c r="A185" i="26"/>
  <c r="B185" s="1"/>
  <c r="K201" i="1"/>
  <c r="N201" s="1"/>
  <c r="A201"/>
  <c r="B202"/>
  <c r="R199"/>
  <c r="W199"/>
  <c r="E183" i="38"/>
  <c r="F183"/>
  <c r="AM183" s="1"/>
  <c r="D183"/>
  <c r="Z183"/>
  <c r="AA183" s="1"/>
  <c r="CN20" i="55"/>
  <c r="I199" i="53"/>
  <c r="C189" i="48"/>
  <c r="E189"/>
  <c r="X189" s="1"/>
  <c r="D189"/>
  <c r="W189" s="1"/>
  <c r="B190"/>
  <c r="AO182" i="38"/>
  <c r="AP182" s="1"/>
  <c r="AQ182" s="1"/>
  <c r="AN182"/>
  <c r="AR182" l="1"/>
  <c r="AS182" s="1"/>
  <c r="AU182" s="1"/>
  <c r="AV182" s="1"/>
  <c r="BA182" s="1"/>
  <c r="BB182" s="1"/>
  <c r="BH182" s="1"/>
  <c r="BJ182" s="1"/>
  <c r="P182" s="1"/>
  <c r="O182" s="1"/>
  <c r="AB196" i="1"/>
  <c r="AE196" s="1"/>
  <c r="AL196" s="1"/>
  <c r="AA196"/>
  <c r="E203" i="53" s="1"/>
  <c r="Z196" i="1"/>
  <c r="BA198"/>
  <c r="BD198" s="1"/>
  <c r="BE198" s="1"/>
  <c r="T198" s="1"/>
  <c r="U198" s="1"/>
  <c r="BC199"/>
  <c r="G202" i="53"/>
  <c r="AX24" i="55"/>
  <c r="V197" i="1"/>
  <c r="X197"/>
  <c r="BS23" i="55"/>
  <c r="D201" i="53"/>
  <c r="H23" i="55" s="1"/>
  <c r="BK182" i="38"/>
  <c r="F189" i="48"/>
  <c r="Y189" s="1"/>
  <c r="V189"/>
  <c r="CN21" i="55"/>
  <c r="I200" i="53"/>
  <c r="AJ201" i="1"/>
  <c r="AM201"/>
  <c r="AC201"/>
  <c r="AH201"/>
  <c r="AI201"/>
  <c r="AK201"/>
  <c r="AN183" i="38"/>
  <c r="AO183"/>
  <c r="AP183" s="1"/>
  <c r="AQ183" s="1"/>
  <c r="P201" i="1"/>
  <c r="R200"/>
  <c r="W200"/>
  <c r="AS181" i="38"/>
  <c r="AU181" s="1"/>
  <c r="AV181" s="1"/>
  <c r="BA181" s="1"/>
  <c r="BB181" s="1"/>
  <c r="BH181" s="1"/>
  <c r="BJ181" s="1"/>
  <c r="P181" s="1"/>
  <c r="O181" s="1"/>
  <c r="BK181"/>
  <c r="B191" i="48"/>
  <c r="D190"/>
  <c r="W190" s="1"/>
  <c r="E190"/>
  <c r="X190" s="1"/>
  <c r="C190"/>
  <c r="S199" i="1"/>
  <c r="F204" i="52"/>
  <c r="E202" i="1"/>
  <c r="B203"/>
  <c r="A186" i="26"/>
  <c r="B186" s="1"/>
  <c r="A209" i="53"/>
  <c r="B210" s="1"/>
  <c r="L202" i="1"/>
  <c r="M201" s="1"/>
  <c r="K202"/>
  <c r="N202" s="1"/>
  <c r="A202"/>
  <c r="B185" i="38"/>
  <c r="C202" i="1"/>
  <c r="D202" s="1"/>
  <c r="D184" i="38"/>
  <c r="E184"/>
  <c r="Z184"/>
  <c r="AA184" s="1"/>
  <c r="F184"/>
  <c r="AM184" s="1"/>
  <c r="E203" i="52"/>
  <c r="O180" i="38"/>
  <c r="AF193" i="1"/>
  <c r="AD194"/>
  <c r="V198" l="1"/>
  <c r="X198"/>
  <c r="BS24" i="55"/>
  <c r="D202" i="53"/>
  <c r="H24" i="55" s="1"/>
  <c r="AX25"/>
  <c r="G203" i="53"/>
  <c r="Z197" i="1"/>
  <c r="AA197"/>
  <c r="E204" i="53" s="1"/>
  <c r="AB197" i="1"/>
  <c r="AE197" s="1"/>
  <c r="AL197" s="1"/>
  <c r="BA199"/>
  <c r="BD199" s="1"/>
  <c r="BE199" s="1"/>
  <c r="T199" s="1"/>
  <c r="U199" s="1"/>
  <c r="BC200"/>
  <c r="P202"/>
  <c r="F205" i="52"/>
  <c r="B186" i="38"/>
  <c r="A187" i="26"/>
  <c r="B187" s="1"/>
  <c r="A210" i="53"/>
  <c r="B211" s="1"/>
  <c r="K203" i="1"/>
  <c r="N203" s="1"/>
  <c r="B204"/>
  <c r="A203"/>
  <c r="E203"/>
  <c r="C203"/>
  <c r="D203" s="1"/>
  <c r="L203"/>
  <c r="M202" s="1"/>
  <c r="AR183" i="38"/>
  <c r="CN22" i="55"/>
  <c r="I201" i="53"/>
  <c r="AO184" i="38"/>
  <c r="AP184" s="1"/>
  <c r="AQ184" s="1"/>
  <c r="AN184"/>
  <c r="E204" i="52"/>
  <c r="AF194" i="1"/>
  <c r="AD195"/>
  <c r="D185" i="38"/>
  <c r="E185"/>
  <c r="Z185"/>
  <c r="F185"/>
  <c r="AM185" s="1"/>
  <c r="E191" i="48"/>
  <c r="X191" s="1"/>
  <c r="B192"/>
  <c r="D191"/>
  <c r="W191" s="1"/>
  <c r="C191"/>
  <c r="AJ202" i="1"/>
  <c r="AH202"/>
  <c r="AM202"/>
  <c r="AK202"/>
  <c r="AI202"/>
  <c r="AC202"/>
  <c r="V190" i="48"/>
  <c r="F190"/>
  <c r="Y190" s="1"/>
  <c r="S200" i="1"/>
  <c r="W201"/>
  <c r="R201"/>
  <c r="BA200" l="1"/>
  <c r="BD200" s="1"/>
  <c r="BE200" s="1"/>
  <c r="T200" s="1"/>
  <c r="U200" s="1"/>
  <c r="BC201"/>
  <c r="G204" i="53"/>
  <c r="AX26" i="55"/>
  <c r="V199" i="1"/>
  <c r="X199"/>
  <c r="BS25" i="55"/>
  <c r="D203" i="53"/>
  <c r="H25" i="55" s="1"/>
  <c r="AB198" i="1"/>
  <c r="AE198" s="1"/>
  <c r="AL198" s="1"/>
  <c r="Z198"/>
  <c r="AA198"/>
  <c r="E205" i="53" s="1"/>
  <c r="AR184" i="38"/>
  <c r="BK183"/>
  <c r="AS183"/>
  <c r="AU183" s="1"/>
  <c r="AV183" s="1"/>
  <c r="BA183" s="1"/>
  <c r="BB183" s="1"/>
  <c r="BH183" s="1"/>
  <c r="BJ183" s="1"/>
  <c r="P183" s="1"/>
  <c r="E205" i="52"/>
  <c r="S201" i="1"/>
  <c r="C192" i="48"/>
  <c r="E192"/>
  <c r="X192" s="1"/>
  <c r="B193"/>
  <c r="D192"/>
  <c r="W192" s="1"/>
  <c r="CN23" i="55"/>
  <c r="I202" i="53"/>
  <c r="AJ203" i="1"/>
  <c r="AI203"/>
  <c r="AC203"/>
  <c r="AH203"/>
  <c r="AK203"/>
  <c r="AM203"/>
  <c r="A211" i="53"/>
  <c r="B212" s="1"/>
  <c r="A204" i="1"/>
  <c r="B187" i="38"/>
  <c r="F206" i="52"/>
  <c r="A188" i="26"/>
  <c r="B188" s="1"/>
  <c r="L204" i="1"/>
  <c r="M203" s="1"/>
  <c r="E204"/>
  <c r="K204"/>
  <c r="N204" s="1"/>
  <c r="B205"/>
  <c r="C204"/>
  <c r="D204" s="1"/>
  <c r="Z186" i="38"/>
  <c r="F186"/>
  <c r="AM186" s="1"/>
  <c r="D186"/>
  <c r="E186"/>
  <c r="V191" i="48"/>
  <c r="F191"/>
  <c r="Y191" s="1"/>
  <c r="AO185" i="38"/>
  <c r="AP185" s="1"/>
  <c r="AQ185" s="1"/>
  <c r="AN185"/>
  <c r="AF195" i="1"/>
  <c r="AD196"/>
  <c r="P203"/>
  <c r="R202"/>
  <c r="W202"/>
  <c r="AX27" i="55" l="1"/>
  <c r="G205" i="53"/>
  <c r="BS26" i="55"/>
  <c r="D204" i="53"/>
  <c r="H26" i="55" s="1"/>
  <c r="AA199" i="1"/>
  <c r="E206" i="53" s="1"/>
  <c r="AB199" i="1"/>
  <c r="AE199" s="1"/>
  <c r="AL199" s="1"/>
  <c r="Z199"/>
  <c r="BA201"/>
  <c r="BD201" s="1"/>
  <c r="BE201" s="1"/>
  <c r="T201" s="1"/>
  <c r="U201" s="1"/>
  <c r="BC202"/>
  <c r="V200"/>
  <c r="X200"/>
  <c r="E206" i="52"/>
  <c r="D187" i="38"/>
  <c r="Z187"/>
  <c r="E187"/>
  <c r="F187"/>
  <c r="AM187" s="1"/>
  <c r="F192" i="48"/>
  <c r="Y192" s="1"/>
  <c r="V192"/>
  <c r="R203" i="1"/>
  <c r="W203"/>
  <c r="AF196"/>
  <c r="AD197"/>
  <c r="AI204"/>
  <c r="AC204"/>
  <c r="AJ204"/>
  <c r="AH204"/>
  <c r="AK204"/>
  <c r="AM204"/>
  <c r="S202"/>
  <c r="F207" i="52"/>
  <c r="E205" i="1"/>
  <c r="K205"/>
  <c r="N205" s="1"/>
  <c r="B188" i="38"/>
  <c r="C205" i="1"/>
  <c r="D205" s="1"/>
  <c r="A212" i="53"/>
  <c r="B213" s="1"/>
  <c r="L205" i="1"/>
  <c r="M204" s="1"/>
  <c r="A205"/>
  <c r="B206"/>
  <c r="A189" i="26"/>
  <c r="B189" s="1"/>
  <c r="CN24" i="55"/>
  <c r="I203" i="53"/>
  <c r="C193" i="48"/>
  <c r="B194"/>
  <c r="D193"/>
  <c r="W193" s="1"/>
  <c r="E193"/>
  <c r="X193" s="1"/>
  <c r="AR185" i="38"/>
  <c r="AO186"/>
  <c r="AP186" s="1"/>
  <c r="AQ186" s="1"/>
  <c r="AN186"/>
  <c r="P204" i="1"/>
  <c r="O183" i="38"/>
  <c r="AS184"/>
  <c r="AU184" s="1"/>
  <c r="AV184" s="1"/>
  <c r="BA184" s="1"/>
  <c r="BB184" s="1"/>
  <c r="BH184" s="1"/>
  <c r="BJ184" s="1"/>
  <c r="P184" s="1"/>
  <c r="O184" s="1"/>
  <c r="BK184"/>
  <c r="AB200" i="1" l="1"/>
  <c r="AE200" s="1"/>
  <c r="AL200" s="1"/>
  <c r="Z200"/>
  <c r="AA200"/>
  <c r="E207" i="53" s="1"/>
  <c r="V201" i="1"/>
  <c r="X201"/>
  <c r="BS27" i="55"/>
  <c r="D205" i="53"/>
  <c r="H27" i="55" s="1"/>
  <c r="BA202" i="1"/>
  <c r="BD202" s="1"/>
  <c r="BE202" s="1"/>
  <c r="T202" s="1"/>
  <c r="U202" s="1"/>
  <c r="BC203"/>
  <c r="AX28" i="55"/>
  <c r="G206" i="53"/>
  <c r="AR186" i="38"/>
  <c r="BK185"/>
  <c r="AS185"/>
  <c r="AU185" s="1"/>
  <c r="AV185" s="1"/>
  <c r="BA185" s="1"/>
  <c r="BB185" s="1"/>
  <c r="BH185" s="1"/>
  <c r="BJ185" s="1"/>
  <c r="P185" s="1"/>
  <c r="F193" i="48"/>
  <c r="Y193" s="1"/>
  <c r="V193"/>
  <c r="C206" i="1"/>
  <c r="D206" s="1"/>
  <c r="L206"/>
  <c r="M205" s="1"/>
  <c r="F208" i="52"/>
  <c r="B189" i="38"/>
  <c r="E206" i="1"/>
  <c r="A213" i="53"/>
  <c r="B214" s="1"/>
  <c r="A190" i="26"/>
  <c r="B190" s="1"/>
  <c r="A206" i="1"/>
  <c r="K206"/>
  <c r="N206" s="1"/>
  <c r="B207"/>
  <c r="AF197"/>
  <c r="AD198"/>
  <c r="S203"/>
  <c r="R204"/>
  <c r="W204"/>
  <c r="AI205"/>
  <c r="AC205"/>
  <c r="AM205"/>
  <c r="AH205"/>
  <c r="AK205"/>
  <c r="AJ205"/>
  <c r="D188" i="38"/>
  <c r="E188"/>
  <c r="Z188"/>
  <c r="F188"/>
  <c r="AM188" s="1"/>
  <c r="P205" i="1"/>
  <c r="D194" i="48"/>
  <c r="W194" s="1"/>
  <c r="C194"/>
  <c r="B195"/>
  <c r="E194"/>
  <c r="X194" s="1"/>
  <c r="CN25" i="55"/>
  <c r="I204" i="53"/>
  <c r="E207" i="52"/>
  <c r="AO187" i="38"/>
  <c r="AP187" s="1"/>
  <c r="AQ187" s="1"/>
  <c r="AN187"/>
  <c r="V202" i="1" l="1"/>
  <c r="X202"/>
  <c r="D206" i="53"/>
  <c r="H28" i="55" s="1"/>
  <c r="BS28"/>
  <c r="AX29"/>
  <c r="G207" i="53"/>
  <c r="BA203" i="1"/>
  <c r="BD203" s="1"/>
  <c r="BE203" s="1"/>
  <c r="T203" s="1"/>
  <c r="U203" s="1"/>
  <c r="BC204"/>
  <c r="AA201"/>
  <c r="E208" i="53" s="1"/>
  <c r="AB201" i="1"/>
  <c r="AE201" s="1"/>
  <c r="AL201" s="1"/>
  <c r="Z201"/>
  <c r="D195" i="48"/>
  <c r="W195" s="1"/>
  <c r="E195"/>
  <c r="X195" s="1"/>
  <c r="C195"/>
  <c r="B196"/>
  <c r="CN26" i="55"/>
  <c r="I205" i="53"/>
  <c r="F194" i="48"/>
  <c r="Y194" s="1"/>
  <c r="V194"/>
  <c r="AN188" i="38"/>
  <c r="AO188"/>
  <c r="AP188" s="1"/>
  <c r="AQ188" s="1"/>
  <c r="S204" i="1"/>
  <c r="C207"/>
  <c r="D207" s="1"/>
  <c r="A214" i="53"/>
  <c r="B215" s="1"/>
  <c r="A191" i="26"/>
  <c r="B191" s="1"/>
  <c r="B208" i="1"/>
  <c r="B190" i="38"/>
  <c r="L207" i="1"/>
  <c r="M206" s="1"/>
  <c r="K207"/>
  <c r="N207" s="1"/>
  <c r="F209" i="52"/>
  <c r="E207" i="1"/>
  <c r="A207"/>
  <c r="O185" i="38"/>
  <c r="W205" i="1"/>
  <c r="R205"/>
  <c r="AF198"/>
  <c r="AD199"/>
  <c r="P206"/>
  <c r="E208" i="52"/>
  <c r="AR187" i="38"/>
  <c r="AH206" i="1"/>
  <c r="AK206"/>
  <c r="AI206"/>
  <c r="AJ206"/>
  <c r="AC206"/>
  <c r="AM206"/>
  <c r="D189" i="38"/>
  <c r="Z189"/>
  <c r="E189"/>
  <c r="F189"/>
  <c r="AM189" s="1"/>
  <c r="BK186"/>
  <c r="AS186"/>
  <c r="AU186" s="1"/>
  <c r="AV186" s="1"/>
  <c r="BA186" s="1"/>
  <c r="BB186" s="1"/>
  <c r="BH186" s="1"/>
  <c r="BJ186" s="1"/>
  <c r="P186" s="1"/>
  <c r="BA204" i="1" l="1"/>
  <c r="BD204" s="1"/>
  <c r="BE204" s="1"/>
  <c r="T204" s="1"/>
  <c r="U204" s="1"/>
  <c r="BC205"/>
  <c r="V203"/>
  <c r="X203"/>
  <c r="D207" i="53"/>
  <c r="H29" i="55" s="1"/>
  <c r="BS29"/>
  <c r="Y202" i="1"/>
  <c r="AB202"/>
  <c r="AE202" s="1"/>
  <c r="AL202" s="1"/>
  <c r="AA202"/>
  <c r="E209" i="53" s="1"/>
  <c r="Z202" i="1"/>
  <c r="G208" i="53"/>
  <c r="AX30" i="55"/>
  <c r="W206" i="1"/>
  <c r="R206"/>
  <c r="AF199"/>
  <c r="AD200"/>
  <c r="AI207"/>
  <c r="AC207"/>
  <c r="AH207"/>
  <c r="AM207"/>
  <c r="AK207"/>
  <c r="AJ207"/>
  <c r="E209" i="52"/>
  <c r="Z190" i="38"/>
  <c r="E190"/>
  <c r="D190"/>
  <c r="F190"/>
  <c r="AM190" s="1"/>
  <c r="D196" i="48"/>
  <c r="W196" s="1"/>
  <c r="E196"/>
  <c r="X196" s="1"/>
  <c r="C196"/>
  <c r="B197"/>
  <c r="AO189" i="38"/>
  <c r="AP189" s="1"/>
  <c r="AQ189" s="1"/>
  <c r="AN189"/>
  <c r="AR189" s="1"/>
  <c r="E208" i="1"/>
  <c r="C208"/>
  <c r="D208" s="1"/>
  <c r="K208"/>
  <c r="N208" s="1"/>
  <c r="A215" i="53"/>
  <c r="B216" s="1"/>
  <c r="F210" i="52"/>
  <c r="A208" i="1"/>
  <c r="B209"/>
  <c r="B191" i="38"/>
  <c r="A192" i="26"/>
  <c r="B192" s="1"/>
  <c r="L208" i="1"/>
  <c r="M207" s="1"/>
  <c r="V195" i="48"/>
  <c r="F195"/>
  <c r="Y195" s="1"/>
  <c r="O186" i="38"/>
  <c r="AS187"/>
  <c r="AU187" s="1"/>
  <c r="AV187" s="1"/>
  <c r="BA187" s="1"/>
  <c r="BB187" s="1"/>
  <c r="BH187" s="1"/>
  <c r="BJ187" s="1"/>
  <c r="P187" s="1"/>
  <c r="BK187"/>
  <c r="S205" i="1"/>
  <c r="P207"/>
  <c r="AR188" i="38"/>
  <c r="CN27" i="55"/>
  <c r="I206" i="53"/>
  <c r="AB203" i="1" l="1"/>
  <c r="AE203" s="1"/>
  <c r="AL203" s="1"/>
  <c r="Y203"/>
  <c r="Z203"/>
  <c r="AA203"/>
  <c r="E210" i="53" s="1"/>
  <c r="BS30" i="55"/>
  <c r="D208" i="53"/>
  <c r="H30" i="55" s="1"/>
  <c r="BA205" i="1"/>
  <c r="BD205" s="1"/>
  <c r="BE205" s="1"/>
  <c r="T205" s="1"/>
  <c r="U205" s="1"/>
  <c r="BC206"/>
  <c r="AX31" i="55"/>
  <c r="G209" i="53"/>
  <c r="V204" i="1"/>
  <c r="X204"/>
  <c r="Z204" s="1"/>
  <c r="O187" i="38"/>
  <c r="AC208" i="1"/>
  <c r="AJ208"/>
  <c r="AI208"/>
  <c r="AH208"/>
  <c r="AM208"/>
  <c r="AK208"/>
  <c r="AS189" i="38"/>
  <c r="AU189" s="1"/>
  <c r="AV189" s="1"/>
  <c r="BA189" s="1"/>
  <c r="BB189" s="1"/>
  <c r="BH189" s="1"/>
  <c r="BJ189" s="1"/>
  <c r="P189" s="1"/>
  <c r="O189" s="1"/>
  <c r="BK189"/>
  <c r="F196" i="48"/>
  <c r="Y196" s="1"/>
  <c r="V196"/>
  <c r="CN28" i="55"/>
  <c r="I207" i="53"/>
  <c r="R207" i="1"/>
  <c r="W207"/>
  <c r="E210" i="52"/>
  <c r="AO190" i="38"/>
  <c r="AP190" s="1"/>
  <c r="AQ190" s="1"/>
  <c r="AN190"/>
  <c r="S206" i="1"/>
  <c r="Z191" i="38"/>
  <c r="D191"/>
  <c r="E191"/>
  <c r="F191"/>
  <c r="AM191" s="1"/>
  <c r="AS188"/>
  <c r="AU188" s="1"/>
  <c r="AV188" s="1"/>
  <c r="BA188" s="1"/>
  <c r="BB188" s="1"/>
  <c r="BH188" s="1"/>
  <c r="BJ188" s="1"/>
  <c r="P188" s="1"/>
  <c r="BK188"/>
  <c r="C209" i="1"/>
  <c r="D209" s="1"/>
  <c r="K209"/>
  <c r="N209" s="1"/>
  <c r="A216" i="53"/>
  <c r="B217" s="1"/>
  <c r="A209" i="1"/>
  <c r="A193" i="26"/>
  <c r="B193" s="1"/>
  <c r="B192" i="38"/>
  <c r="F211" i="52"/>
  <c r="E209" i="1"/>
  <c r="B210"/>
  <c r="L209"/>
  <c r="M208" s="1"/>
  <c r="P208"/>
  <c r="B198" i="48"/>
  <c r="D197"/>
  <c r="W197" s="1"/>
  <c r="C197"/>
  <c r="E197"/>
  <c r="X197" s="1"/>
  <c r="AF200" i="1"/>
  <c r="AD201"/>
  <c r="AR190" i="38" l="1"/>
  <c r="AS190" s="1"/>
  <c r="AU190" s="1"/>
  <c r="AV190" s="1"/>
  <c r="BA190" s="1"/>
  <c r="BB190" s="1"/>
  <c r="BH190" s="1"/>
  <c r="BJ190" s="1"/>
  <c r="P190" s="1"/>
  <c r="AB204" i="1"/>
  <c r="AE204" s="1"/>
  <c r="AL204" s="1"/>
  <c r="AA204"/>
  <c r="E211" i="53" s="1"/>
  <c r="BA206" i="1"/>
  <c r="BD206" s="1"/>
  <c r="BE206" s="1"/>
  <c r="T206" s="1"/>
  <c r="U206" s="1"/>
  <c r="BC207"/>
  <c r="G210" i="53"/>
  <c r="AX32" i="55"/>
  <c r="AX35" s="1"/>
  <c r="V205" i="1"/>
  <c r="X205"/>
  <c r="Z205" s="1"/>
  <c r="D209" i="53"/>
  <c r="H31" i="55" s="1"/>
  <c r="BS31"/>
  <c r="E192" i="38"/>
  <c r="D192"/>
  <c r="Z192"/>
  <c r="F192"/>
  <c r="AM192" s="1"/>
  <c r="P209" i="1"/>
  <c r="AN191" i="38"/>
  <c r="AR191" s="1"/>
  <c r="AO191"/>
  <c r="AP191" s="1"/>
  <c r="AQ191" s="1"/>
  <c r="AF201" i="1"/>
  <c r="AD202"/>
  <c r="F197" i="48"/>
  <c r="Y197" s="1"/>
  <c r="V197"/>
  <c r="K210" i="1"/>
  <c r="N210" s="1"/>
  <c r="B193" i="38"/>
  <c r="C210" i="1"/>
  <c r="D210" s="1"/>
  <c r="A210"/>
  <c r="A194" i="26"/>
  <c r="B194" s="1"/>
  <c r="F212" i="52"/>
  <c r="E210" i="1"/>
  <c r="L210"/>
  <c r="M209" s="1"/>
  <c r="B211"/>
  <c r="A217" i="53"/>
  <c r="B218" s="1"/>
  <c r="O188" i="38"/>
  <c r="S207" i="1"/>
  <c r="W208"/>
  <c r="R208"/>
  <c r="E211" i="52"/>
  <c r="AC209" i="1"/>
  <c r="AI209"/>
  <c r="AH209"/>
  <c r="AM209"/>
  <c r="AK209"/>
  <c r="AJ209"/>
  <c r="CN29" i="55"/>
  <c r="I208" i="53"/>
  <c r="E198" i="48"/>
  <c r="X198" s="1"/>
  <c r="C198"/>
  <c r="B199"/>
  <c r="D198"/>
  <c r="W198" s="1"/>
  <c r="BK190" i="38" l="1"/>
  <c r="AB205" i="1"/>
  <c r="AE205" s="1"/>
  <c r="AL205" s="1"/>
  <c r="AA205"/>
  <c r="E212" i="53" s="1"/>
  <c r="BA207" i="1"/>
  <c r="BD207" s="1"/>
  <c r="BE207" s="1"/>
  <c r="T207" s="1"/>
  <c r="U207" s="1"/>
  <c r="BC208"/>
  <c r="V206"/>
  <c r="X206"/>
  <c r="Z206" s="1"/>
  <c r="G211" i="53"/>
  <c r="AY3" i="55"/>
  <c r="D210" i="53"/>
  <c r="H32" i="55" s="1"/>
  <c r="H35" s="1"/>
  <c r="BS32"/>
  <c r="BS35" s="1"/>
  <c r="F213" i="52"/>
  <c r="E211" i="1"/>
  <c r="K211"/>
  <c r="N211" s="1"/>
  <c r="B212"/>
  <c r="C211"/>
  <c r="D211" s="1"/>
  <c r="A195" i="26"/>
  <c r="B195" s="1"/>
  <c r="A211" i="1"/>
  <c r="A218" i="53"/>
  <c r="B219" s="1"/>
  <c r="L211" i="1"/>
  <c r="M210" s="1"/>
  <c r="B194" i="38"/>
  <c r="P210" i="1"/>
  <c r="E199" i="48"/>
  <c r="X199" s="1"/>
  <c r="B200"/>
  <c r="C199"/>
  <c r="D199"/>
  <c r="W199" s="1"/>
  <c r="CN30" i="55"/>
  <c r="I209" i="53"/>
  <c r="S208" i="1"/>
  <c r="AI210"/>
  <c r="AC210"/>
  <c r="AM210"/>
  <c r="AH210"/>
  <c r="AJ210"/>
  <c r="AK210"/>
  <c r="AO192" i="38"/>
  <c r="AP192" s="1"/>
  <c r="AQ192" s="1"/>
  <c r="AN192"/>
  <c r="V198" i="48"/>
  <c r="F198"/>
  <c r="Y198" s="1"/>
  <c r="E212" i="52"/>
  <c r="BK191" i="38"/>
  <c r="AS191"/>
  <c r="AU191" s="1"/>
  <c r="AV191" s="1"/>
  <c r="BA191" s="1"/>
  <c r="BB191" s="1"/>
  <c r="BH191" s="1"/>
  <c r="BJ191" s="1"/>
  <c r="P191" s="1"/>
  <c r="O190"/>
  <c r="Z193"/>
  <c r="D193"/>
  <c r="E193"/>
  <c r="F193"/>
  <c r="AM193" s="1"/>
  <c r="AF202" i="1"/>
  <c r="AD203"/>
  <c r="R209"/>
  <c r="W209"/>
  <c r="D211" i="53" l="1"/>
  <c r="I3" i="55" s="1"/>
  <c r="BT3"/>
  <c r="V207" i="1"/>
  <c r="X207"/>
  <c r="Z207" s="1"/>
  <c r="AB206"/>
  <c r="AE206" s="1"/>
  <c r="AL206" s="1"/>
  <c r="AA206"/>
  <c r="E213" i="53" s="1"/>
  <c r="AY4" i="55"/>
  <c r="G212" i="53"/>
  <c r="BA208" i="1"/>
  <c r="BD208" s="1"/>
  <c r="BE208" s="1"/>
  <c r="T208" s="1"/>
  <c r="U208" s="1"/>
  <c r="BC209"/>
  <c r="AF203"/>
  <c r="AD204"/>
  <c r="S209"/>
  <c r="AR192" i="38"/>
  <c r="AO193"/>
  <c r="AP193" s="1"/>
  <c r="AQ193" s="1"/>
  <c r="AN193"/>
  <c r="AR193" s="1"/>
  <c r="O191"/>
  <c r="F214" i="52"/>
  <c r="E212" i="1"/>
  <c r="K212"/>
  <c r="N212" s="1"/>
  <c r="L212"/>
  <c r="M211" s="1"/>
  <c r="C212"/>
  <c r="D212" s="1"/>
  <c r="A212"/>
  <c r="B195" i="38"/>
  <c r="A196" i="26"/>
  <c r="B196" s="1"/>
  <c r="B213" i="1"/>
  <c r="A219" i="53"/>
  <c r="B220" s="1"/>
  <c r="CN31" i="55"/>
  <c r="I210" i="53"/>
  <c r="V199" i="48"/>
  <c r="F199"/>
  <c r="Y199" s="1"/>
  <c r="AH211" i="1"/>
  <c r="AI211"/>
  <c r="AC211"/>
  <c r="AM211"/>
  <c r="AJ211"/>
  <c r="AK211"/>
  <c r="P211"/>
  <c r="E200" i="48"/>
  <c r="X200" s="1"/>
  <c r="D200"/>
  <c r="W200" s="1"/>
  <c r="C200"/>
  <c r="B201"/>
  <c r="W210" i="1"/>
  <c r="R210"/>
  <c r="Z194" i="38"/>
  <c r="E194"/>
  <c r="D194"/>
  <c r="F194"/>
  <c r="AM194" s="1"/>
  <c r="E213" i="52"/>
  <c r="D212" i="53" l="1"/>
  <c r="I4" i="55" s="1"/>
  <c r="BT4"/>
  <c r="AA207" i="1"/>
  <c r="E214" i="53" s="1"/>
  <c r="AB207" i="1"/>
  <c r="AE207" s="1"/>
  <c r="AL207" s="1"/>
  <c r="BA209"/>
  <c r="BD209" s="1"/>
  <c r="BE209" s="1"/>
  <c r="T209" s="1"/>
  <c r="U209" s="1"/>
  <c r="BC210"/>
  <c r="G213" i="53"/>
  <c r="AY5" i="55"/>
  <c r="V208" i="1"/>
  <c r="X208"/>
  <c r="Z208" s="1"/>
  <c r="V200" i="48"/>
  <c r="F200"/>
  <c r="Y200" s="1"/>
  <c r="C201"/>
  <c r="D201"/>
  <c r="W201" s="1"/>
  <c r="E201"/>
  <c r="X201" s="1"/>
  <c r="B202"/>
  <c r="W211" i="1"/>
  <c r="R211"/>
  <c r="E213"/>
  <c r="C213"/>
  <c r="D213" s="1"/>
  <c r="F215" i="52"/>
  <c r="B196" i="38"/>
  <c r="B214" i="1"/>
  <c r="A220" i="53"/>
  <c r="B221" s="1"/>
  <c r="L213" i="1"/>
  <c r="M212" s="1"/>
  <c r="K213"/>
  <c r="N213" s="1"/>
  <c r="A213"/>
  <c r="A197" i="26"/>
  <c r="B197" s="1"/>
  <c r="AF204" i="1"/>
  <c r="AD205"/>
  <c r="Z195" i="38"/>
  <c r="E195"/>
  <c r="D195"/>
  <c r="F195"/>
  <c r="AM195" s="1"/>
  <c r="P212" i="1"/>
  <c r="AN194" i="38"/>
  <c r="AO194"/>
  <c r="AP194" s="1"/>
  <c r="AQ194" s="1"/>
  <c r="S210" i="1"/>
  <c r="CN32" i="55"/>
  <c r="I211" i="53"/>
  <c r="AK212" i="1"/>
  <c r="AM212"/>
  <c r="AI212"/>
  <c r="AJ212"/>
  <c r="AH212"/>
  <c r="AC212"/>
  <c r="E214" i="52"/>
  <c r="BK193" i="38"/>
  <c r="AS193"/>
  <c r="AU193" s="1"/>
  <c r="AV193" s="1"/>
  <c r="BA193" s="1"/>
  <c r="BB193" s="1"/>
  <c r="BH193" s="1"/>
  <c r="BJ193" s="1"/>
  <c r="P193" s="1"/>
  <c r="O193" s="1"/>
  <c r="BK192"/>
  <c r="AS192"/>
  <c r="AU192" s="1"/>
  <c r="AV192" s="1"/>
  <c r="BA192" s="1"/>
  <c r="BB192" s="1"/>
  <c r="BH192" s="1"/>
  <c r="BJ192" s="1"/>
  <c r="P192" s="1"/>
  <c r="D213" i="53" l="1"/>
  <c r="I5" i="55" s="1"/>
  <c r="BT5"/>
  <c r="G214" i="53"/>
  <c r="AY6" i="55"/>
  <c r="AA208" i="1"/>
  <c r="E215" i="53" s="1"/>
  <c r="AB208" i="1"/>
  <c r="AE208" s="1"/>
  <c r="AL208" s="1"/>
  <c r="BA210"/>
  <c r="BD210" s="1"/>
  <c r="BE210" s="1"/>
  <c r="T210" s="1"/>
  <c r="U210" s="1"/>
  <c r="BC211"/>
  <c r="V209"/>
  <c r="X209"/>
  <c r="Z209" s="1"/>
  <c r="E202" i="48"/>
  <c r="X202" s="1"/>
  <c r="B203"/>
  <c r="D202"/>
  <c r="W202" s="1"/>
  <c r="C202"/>
  <c r="CO3" i="55"/>
  <c r="I212" i="53"/>
  <c r="AJ213" i="1"/>
  <c r="AH213"/>
  <c r="AC213"/>
  <c r="AK213"/>
  <c r="AM213"/>
  <c r="AI213"/>
  <c r="A221" i="53"/>
  <c r="B222" s="1"/>
  <c r="C214" i="1"/>
  <c r="D214" s="1"/>
  <c r="B197" i="38"/>
  <c r="F216" i="52"/>
  <c r="K214" i="1"/>
  <c r="N214" s="1"/>
  <c r="B215"/>
  <c r="L214"/>
  <c r="M213" s="1"/>
  <c r="E214"/>
  <c r="A214"/>
  <c r="A198" i="26"/>
  <c r="B198" s="1"/>
  <c r="E215" i="52"/>
  <c r="AR194" i="38"/>
  <c r="P213" i="1"/>
  <c r="D196" i="38"/>
  <c r="E196"/>
  <c r="Z196"/>
  <c r="F196"/>
  <c r="AM196" s="1"/>
  <c r="O192"/>
  <c r="W212" i="1"/>
  <c r="R212"/>
  <c r="AN195" i="38"/>
  <c r="AO195"/>
  <c r="AP195" s="1"/>
  <c r="AQ195" s="1"/>
  <c r="AF205" i="1"/>
  <c r="AD206"/>
  <c r="S211"/>
  <c r="F201" i="48"/>
  <c r="Y201" s="1"/>
  <c r="V201"/>
  <c r="AR195" i="38" l="1"/>
  <c r="BA211" i="1"/>
  <c r="BD211" s="1"/>
  <c r="BE211" s="1"/>
  <c r="T211" s="1"/>
  <c r="U211" s="1"/>
  <c r="BC212"/>
  <c r="V210"/>
  <c r="X210"/>
  <c r="Z210" s="1"/>
  <c r="D214" i="53"/>
  <c r="I6" i="55" s="1"/>
  <c r="BT6"/>
  <c r="AA209" i="1"/>
  <c r="E216" i="53" s="1"/>
  <c r="AB209" i="1"/>
  <c r="AE209" s="1"/>
  <c r="AL209" s="1"/>
  <c r="AY7" i="55"/>
  <c r="G215" i="53"/>
  <c r="BK195" i="38"/>
  <c r="AS195"/>
  <c r="AU195" s="1"/>
  <c r="AV195" s="1"/>
  <c r="BA195" s="1"/>
  <c r="BB195" s="1"/>
  <c r="BH195" s="1"/>
  <c r="BJ195" s="1"/>
  <c r="P195" s="1"/>
  <c r="O195" s="1"/>
  <c r="S212" i="1"/>
  <c r="AO196" i="38"/>
  <c r="AP196" s="1"/>
  <c r="AQ196" s="1"/>
  <c r="AN196"/>
  <c r="R213" i="1"/>
  <c r="W213"/>
  <c r="Z197" i="38"/>
  <c r="D197"/>
  <c r="E197"/>
  <c r="F197"/>
  <c r="AM197" s="1"/>
  <c r="CO4" i="55"/>
  <c r="I213" i="53"/>
  <c r="A199" i="26"/>
  <c r="B199" s="1"/>
  <c r="F217" i="52"/>
  <c r="E215" i="1"/>
  <c r="C215"/>
  <c r="D215" s="1"/>
  <c r="A215"/>
  <c r="B198" i="38"/>
  <c r="L215" i="1"/>
  <c r="M214" s="1"/>
  <c r="K215"/>
  <c r="N215" s="1"/>
  <c r="B216"/>
  <c r="A222" i="53"/>
  <c r="B223" s="1"/>
  <c r="E203" i="48"/>
  <c r="X203" s="1"/>
  <c r="C203"/>
  <c r="D203"/>
  <c r="W203" s="1"/>
  <c r="B204"/>
  <c r="BK194" i="38"/>
  <c r="AS194"/>
  <c r="AU194" s="1"/>
  <c r="AV194" s="1"/>
  <c r="BA194" s="1"/>
  <c r="BB194" s="1"/>
  <c r="BH194" s="1"/>
  <c r="BJ194" s="1"/>
  <c r="P194" s="1"/>
  <c r="AJ214" i="1"/>
  <c r="AK214"/>
  <c r="AH214"/>
  <c r="AI214"/>
  <c r="AM214"/>
  <c r="AC214"/>
  <c r="P214"/>
  <c r="AF206"/>
  <c r="AD207"/>
  <c r="E216" i="52"/>
  <c r="F202" i="48"/>
  <c r="Y202" s="1"/>
  <c r="V202"/>
  <c r="AB210" i="1" l="1"/>
  <c r="AE210" s="1"/>
  <c r="AL210" s="1"/>
  <c r="AA210"/>
  <c r="E217" i="53" s="1"/>
  <c r="AY8" i="55"/>
  <c r="G216" i="53"/>
  <c r="BT7" i="55"/>
  <c r="D215" i="53"/>
  <c r="I7" i="55" s="1"/>
  <c r="BA212" i="1"/>
  <c r="BD212" s="1"/>
  <c r="BE212" s="1"/>
  <c r="T212" s="1"/>
  <c r="U212" s="1"/>
  <c r="BC213"/>
  <c r="V211"/>
  <c r="X211"/>
  <c r="Z211" s="1"/>
  <c r="AF207"/>
  <c r="AD208"/>
  <c r="D204" i="48"/>
  <c r="W204" s="1"/>
  <c r="B205"/>
  <c r="E204"/>
  <c r="X204" s="1"/>
  <c r="C204"/>
  <c r="Z198" i="38"/>
  <c r="E198"/>
  <c r="D198"/>
  <c r="F198"/>
  <c r="AM198" s="1"/>
  <c r="S213" i="1"/>
  <c r="F218" i="52"/>
  <c r="B199" i="38"/>
  <c r="A223" i="53"/>
  <c r="B224" s="1"/>
  <c r="L216" i="1"/>
  <c r="M215" s="1"/>
  <c r="A216"/>
  <c r="C216"/>
  <c r="D216" s="1"/>
  <c r="B217"/>
  <c r="E216"/>
  <c r="A200" i="26"/>
  <c r="B200" s="1"/>
  <c r="K216" i="1"/>
  <c r="N216" s="1"/>
  <c r="AK215"/>
  <c r="AI215"/>
  <c r="AM215"/>
  <c r="AJ215"/>
  <c r="AH215"/>
  <c r="AC215"/>
  <c r="AN197" i="38"/>
  <c r="AO197"/>
  <c r="AP197" s="1"/>
  <c r="AQ197" s="1"/>
  <c r="AR196"/>
  <c r="R214" i="1"/>
  <c r="W214"/>
  <c r="V203" i="48"/>
  <c r="F203"/>
  <c r="Y203" s="1"/>
  <c r="P215" i="1"/>
  <c r="CO5" i="55"/>
  <c r="I214" i="53"/>
  <c r="O194" i="38"/>
  <c r="E217" i="52"/>
  <c r="AR197" i="38" l="1"/>
  <c r="BA213" i="1"/>
  <c r="BD213" s="1"/>
  <c r="BE213" s="1"/>
  <c r="T213" s="1"/>
  <c r="U213" s="1"/>
  <c r="BC214"/>
  <c r="BT8" i="55"/>
  <c r="D216" i="53"/>
  <c r="I8" i="55" s="1"/>
  <c r="V212" i="1"/>
  <c r="X212"/>
  <c r="Z212" s="1"/>
  <c r="AB211"/>
  <c r="AE211" s="1"/>
  <c r="AL211" s="1"/>
  <c r="AA211"/>
  <c r="E218" i="53" s="1"/>
  <c r="AY9" i="55"/>
  <c r="G217" i="53"/>
  <c r="W215" i="1"/>
  <c r="R215"/>
  <c r="S214"/>
  <c r="AS196" i="38"/>
  <c r="AU196" s="1"/>
  <c r="AV196" s="1"/>
  <c r="BA196" s="1"/>
  <c r="BB196" s="1"/>
  <c r="BH196" s="1"/>
  <c r="BJ196" s="1"/>
  <c r="P196" s="1"/>
  <c r="BK196"/>
  <c r="P216" i="1"/>
  <c r="D199" i="38"/>
  <c r="E199"/>
  <c r="Z199"/>
  <c r="F199"/>
  <c r="AM199" s="1"/>
  <c r="CO6" i="55"/>
  <c r="I215" i="53"/>
  <c r="AK216" i="1"/>
  <c r="AM216"/>
  <c r="AH216"/>
  <c r="AC216"/>
  <c r="AJ216"/>
  <c r="AI216"/>
  <c r="AO198" i="38"/>
  <c r="AP198" s="1"/>
  <c r="AQ198" s="1"/>
  <c r="AN198"/>
  <c r="AR198" s="1"/>
  <c r="D205" i="48"/>
  <c r="W205" s="1"/>
  <c r="B206"/>
  <c r="C205"/>
  <c r="E205"/>
  <c r="X205" s="1"/>
  <c r="E218" i="52"/>
  <c r="BK197" i="38"/>
  <c r="AS197"/>
  <c r="AU197" s="1"/>
  <c r="AV197" s="1"/>
  <c r="BA197" s="1"/>
  <c r="BB197" s="1"/>
  <c r="BH197" s="1"/>
  <c r="BJ197" s="1"/>
  <c r="P197" s="1"/>
  <c r="O197" s="1"/>
  <c r="C217" i="1"/>
  <c r="D217" s="1"/>
  <c r="A224" i="53"/>
  <c r="B225" s="1"/>
  <c r="K217" i="1"/>
  <c r="N217" s="1"/>
  <c r="F219" i="52"/>
  <c r="E217" i="1"/>
  <c r="A201" i="26"/>
  <c r="B201" s="1"/>
  <c r="B218" i="1"/>
  <c r="B200" i="38"/>
  <c r="A217" i="1"/>
  <c r="L217"/>
  <c r="M216" s="1"/>
  <c r="F204" i="48"/>
  <c r="Y204" s="1"/>
  <c r="V204"/>
  <c r="AF208" i="1"/>
  <c r="AD209"/>
  <c r="AY10" i="55" l="1"/>
  <c r="G218" i="53"/>
  <c r="D217"/>
  <c r="I9" i="55" s="1"/>
  <c r="BT9"/>
  <c r="AA212" i="1"/>
  <c r="E219" i="53" s="1"/>
  <c r="AB212" i="1"/>
  <c r="AE212" s="1"/>
  <c r="AL212" s="1"/>
  <c r="BA214"/>
  <c r="BD214" s="1"/>
  <c r="BE214" s="1"/>
  <c r="T214" s="1"/>
  <c r="U214" s="1"/>
  <c r="BC215"/>
  <c r="V213"/>
  <c r="X213"/>
  <c r="Z213" s="1"/>
  <c r="V205" i="48"/>
  <c r="F205"/>
  <c r="Y205" s="1"/>
  <c r="BK198" i="38"/>
  <c r="AS198"/>
  <c r="AU198" s="1"/>
  <c r="AV198" s="1"/>
  <c r="BA198" s="1"/>
  <c r="BB198" s="1"/>
  <c r="BH198" s="1"/>
  <c r="BJ198" s="1"/>
  <c r="P198" s="1"/>
  <c r="O198" s="1"/>
  <c r="AF209" i="1"/>
  <c r="AD210"/>
  <c r="AK217"/>
  <c r="AM217"/>
  <c r="AJ217"/>
  <c r="AH217"/>
  <c r="AC217"/>
  <c r="AI217"/>
  <c r="E219" i="52"/>
  <c r="B207" i="48"/>
  <c r="E206"/>
  <c r="X206" s="1"/>
  <c r="C206"/>
  <c r="D206"/>
  <c r="W206" s="1"/>
  <c r="AN199" i="38"/>
  <c r="AR199" s="1"/>
  <c r="AO199"/>
  <c r="AP199" s="1"/>
  <c r="AQ199" s="1"/>
  <c r="W216" i="1"/>
  <c r="R216"/>
  <c r="S215"/>
  <c r="E200" i="38"/>
  <c r="D200"/>
  <c r="Z200"/>
  <c r="F200"/>
  <c r="AM200" s="1"/>
  <c r="CO7" i="55"/>
  <c r="I216" i="53"/>
  <c r="O196" i="38"/>
  <c r="C218" i="1"/>
  <c r="D218" s="1"/>
  <c r="A218"/>
  <c r="F220" i="52"/>
  <c r="E218" i="1"/>
  <c r="K218"/>
  <c r="N218" s="1"/>
  <c r="L218"/>
  <c r="M217" s="1"/>
  <c r="A202" i="26"/>
  <c r="B202" s="1"/>
  <c r="B219" i="1"/>
  <c r="A225" i="53"/>
  <c r="B226" s="1"/>
  <c r="B201" i="38"/>
  <c r="P217" i="1"/>
  <c r="BA215" l="1"/>
  <c r="BD215" s="1"/>
  <c r="BE215" s="1"/>
  <c r="T215" s="1"/>
  <c r="U215" s="1"/>
  <c r="BC216"/>
  <c r="V214"/>
  <c r="X214"/>
  <c r="Z214" s="1"/>
  <c r="AB213"/>
  <c r="AE213" s="1"/>
  <c r="AL213" s="1"/>
  <c r="AA213"/>
  <c r="E220" i="53" s="1"/>
  <c r="D218"/>
  <c r="I10" i="55" s="1"/>
  <c r="BT10"/>
  <c r="AY11"/>
  <c r="G219" i="53"/>
  <c r="V206" i="48"/>
  <c r="F206"/>
  <c r="Y206" s="1"/>
  <c r="R217" i="1"/>
  <c r="W217"/>
  <c r="Z201" i="38"/>
  <c r="D201"/>
  <c r="E201"/>
  <c r="F201"/>
  <c r="AM201" s="1"/>
  <c r="AK218" i="1"/>
  <c r="AJ218"/>
  <c r="AC218"/>
  <c r="AM218"/>
  <c r="AI218"/>
  <c r="AH218"/>
  <c r="AF210"/>
  <c r="AD211"/>
  <c r="P218"/>
  <c r="CO8" i="55"/>
  <c r="I217" i="53"/>
  <c r="AN200" i="38"/>
  <c r="AO200"/>
  <c r="AP200" s="1"/>
  <c r="AQ200" s="1"/>
  <c r="BK199"/>
  <c r="AS199"/>
  <c r="AU199" s="1"/>
  <c r="AV199" s="1"/>
  <c r="BA199" s="1"/>
  <c r="BB199" s="1"/>
  <c r="BH199" s="1"/>
  <c r="BJ199" s="1"/>
  <c r="P199" s="1"/>
  <c r="C207" i="48"/>
  <c r="B208"/>
  <c r="D207"/>
  <c r="W207" s="1"/>
  <c r="E207"/>
  <c r="X207" s="1"/>
  <c r="L219" i="1"/>
  <c r="M218" s="1"/>
  <c r="A226" i="53"/>
  <c r="B227" s="1"/>
  <c r="E219" i="1"/>
  <c r="A203" i="26"/>
  <c r="B203" s="1"/>
  <c r="F221" i="52"/>
  <c r="K219" i="1"/>
  <c r="N219" s="1"/>
  <c r="A219"/>
  <c r="C219"/>
  <c r="D219" s="1"/>
  <c r="B220"/>
  <c r="B202" i="38"/>
  <c r="E220" i="52"/>
  <c r="S216" i="1"/>
  <c r="AR200" i="38" l="1"/>
  <c r="AB214" i="1"/>
  <c r="AE214" s="1"/>
  <c r="AL214" s="1"/>
  <c r="AA214"/>
  <c r="E221" i="53" s="1"/>
  <c r="D219"/>
  <c r="I11" i="55" s="1"/>
  <c r="BT11"/>
  <c r="G220" i="53"/>
  <c r="AY12" i="55"/>
  <c r="BA216" i="1"/>
  <c r="BD216" s="1"/>
  <c r="BE216" s="1"/>
  <c r="T216" s="1"/>
  <c r="U216" s="1"/>
  <c r="BC217"/>
  <c r="V215"/>
  <c r="X215"/>
  <c r="Z215" s="1"/>
  <c r="AM219"/>
  <c r="AC219"/>
  <c r="AK219"/>
  <c r="AI219"/>
  <c r="AJ219"/>
  <c r="AH219"/>
  <c r="E221" i="52"/>
  <c r="V207" i="48"/>
  <c r="F207"/>
  <c r="Y207" s="1"/>
  <c r="AF211" i="1"/>
  <c r="AD212"/>
  <c r="S217"/>
  <c r="D202" i="38"/>
  <c r="E202"/>
  <c r="Z202"/>
  <c r="F202"/>
  <c r="AM202" s="1"/>
  <c r="P219" i="1"/>
  <c r="O199" i="38"/>
  <c r="B203"/>
  <c r="A204" i="26"/>
  <c r="B204" s="1"/>
  <c r="A220" i="1"/>
  <c r="C220"/>
  <c r="D220" s="1"/>
  <c r="F222" i="52"/>
  <c r="K220" i="1"/>
  <c r="N220" s="1"/>
  <c r="B221"/>
  <c r="E220"/>
  <c r="L220"/>
  <c r="M219" s="1"/>
  <c r="A227" i="53"/>
  <c r="B228" s="1"/>
  <c r="BK200" i="38"/>
  <c r="AS200"/>
  <c r="AU200" s="1"/>
  <c r="AV200" s="1"/>
  <c r="BA200" s="1"/>
  <c r="BB200" s="1"/>
  <c r="BH200" s="1"/>
  <c r="BJ200" s="1"/>
  <c r="P200" s="1"/>
  <c r="O200" s="1"/>
  <c r="CO9" i="55"/>
  <c r="I218" i="53"/>
  <c r="E208" i="48"/>
  <c r="X208" s="1"/>
  <c r="C208"/>
  <c r="D208"/>
  <c r="W208" s="1"/>
  <c r="B209"/>
  <c r="R218" i="1"/>
  <c r="W218"/>
  <c r="AN201" i="38"/>
  <c r="AR201" s="1"/>
  <c r="AO201"/>
  <c r="AP201" s="1"/>
  <c r="AQ201" s="1"/>
  <c r="BA217" i="1" l="1"/>
  <c r="BD217" s="1"/>
  <c r="BE217" s="1"/>
  <c r="T217" s="1"/>
  <c r="U217" s="1"/>
  <c r="BC218"/>
  <c r="V216"/>
  <c r="X216"/>
  <c r="Z216" s="1"/>
  <c r="AA215"/>
  <c r="E222" i="53" s="1"/>
  <c r="AB215" i="1"/>
  <c r="AE215" s="1"/>
  <c r="AL215" s="1"/>
  <c r="AY13" i="55"/>
  <c r="G221" i="53"/>
  <c r="BT12" i="55"/>
  <c r="D220" i="53"/>
  <c r="I12" i="55" s="1"/>
  <c r="E222" i="52"/>
  <c r="V208" i="48"/>
  <c r="F208"/>
  <c r="Y208" s="1"/>
  <c r="C221" i="1"/>
  <c r="D221" s="1"/>
  <c r="B222"/>
  <c r="K221"/>
  <c r="N221" s="1"/>
  <c r="A221"/>
  <c r="E221"/>
  <c r="L221"/>
  <c r="M220" s="1"/>
  <c r="F223" i="52"/>
  <c r="A205" i="26"/>
  <c r="B205" s="1"/>
  <c r="B204" i="38"/>
  <c r="A228" i="53"/>
  <c r="B229" s="1"/>
  <c r="AM220" i="1"/>
  <c r="AI220"/>
  <c r="AH220"/>
  <c r="AK220"/>
  <c r="AC220"/>
  <c r="AJ220"/>
  <c r="CO10" i="55"/>
  <c r="I219" i="53"/>
  <c r="P220" i="1"/>
  <c r="W219"/>
  <c r="R219"/>
  <c r="AO202" i="38"/>
  <c r="AP202" s="1"/>
  <c r="AQ202" s="1"/>
  <c r="AN202"/>
  <c r="AF212" i="1"/>
  <c r="AD213"/>
  <c r="BK201" i="38"/>
  <c r="AS201"/>
  <c r="AU201" s="1"/>
  <c r="AV201" s="1"/>
  <c r="BA201" s="1"/>
  <c r="BB201" s="1"/>
  <c r="BH201" s="1"/>
  <c r="BJ201" s="1"/>
  <c r="P201" s="1"/>
  <c r="O201" s="1"/>
  <c r="S218" i="1"/>
  <c r="D209" i="48"/>
  <c r="W209" s="1"/>
  <c r="B210"/>
  <c r="E209"/>
  <c r="X209" s="1"/>
  <c r="C209"/>
  <c r="D203" i="38"/>
  <c r="E203"/>
  <c r="Z203"/>
  <c r="F203"/>
  <c r="AM203" s="1"/>
  <c r="AR202" l="1"/>
  <c r="BK202" s="1"/>
  <c r="D221" i="53"/>
  <c r="I13" i="55" s="1"/>
  <c r="BT13"/>
  <c r="AB216" i="1"/>
  <c r="AE216" s="1"/>
  <c r="AL216" s="1"/>
  <c r="AA216"/>
  <c r="E223" i="53" s="1"/>
  <c r="BA218" i="1"/>
  <c r="BD218" s="1"/>
  <c r="BE218" s="1"/>
  <c r="T218" s="1"/>
  <c r="U218" s="1"/>
  <c r="BC219"/>
  <c r="AY14" i="55"/>
  <c r="G222" i="53"/>
  <c r="V217" i="1"/>
  <c r="X217"/>
  <c r="Z217" s="1"/>
  <c r="AN203" i="38"/>
  <c r="AO203"/>
  <c r="AP203" s="1"/>
  <c r="AQ203" s="1"/>
  <c r="S219" i="1"/>
  <c r="R220"/>
  <c r="W220"/>
  <c r="E204" i="38"/>
  <c r="D204"/>
  <c r="Z204"/>
  <c r="F204"/>
  <c r="AM204" s="1"/>
  <c r="E223" i="52"/>
  <c r="F209" i="48"/>
  <c r="Y209" s="1"/>
  <c r="V209"/>
  <c r="AF213" i="1"/>
  <c r="AD214"/>
  <c r="AH221"/>
  <c r="AJ221"/>
  <c r="AI221"/>
  <c r="AK221"/>
  <c r="AC221"/>
  <c r="AM221"/>
  <c r="CO11" i="55"/>
  <c r="I220" i="53"/>
  <c r="P221" i="1"/>
  <c r="E210" i="48"/>
  <c r="X210" s="1"/>
  <c r="B211"/>
  <c r="C210"/>
  <c r="D210"/>
  <c r="W210" s="1"/>
  <c r="F224" i="52"/>
  <c r="C222" i="1"/>
  <c r="D222" s="1"/>
  <c r="A229" i="53"/>
  <c r="B230" s="1"/>
  <c r="B205" i="38"/>
  <c r="L222" i="1"/>
  <c r="M221" s="1"/>
  <c r="K222"/>
  <c r="N222" s="1"/>
  <c r="A222"/>
  <c r="A206" i="26"/>
  <c r="B206" s="1"/>
  <c r="E222" i="1"/>
  <c r="B223"/>
  <c r="AS202" i="38" l="1"/>
  <c r="AU202" s="1"/>
  <c r="AV202" s="1"/>
  <c r="BA202" s="1"/>
  <c r="BB202" s="1"/>
  <c r="BH202" s="1"/>
  <c r="BJ202" s="1"/>
  <c r="P202" s="1"/>
  <c r="BT14" i="55"/>
  <c r="D222" i="53"/>
  <c r="I14" i="55" s="1"/>
  <c r="AY15"/>
  <c r="G223" i="53"/>
  <c r="AB217" i="1"/>
  <c r="AE217" s="1"/>
  <c r="AL217" s="1"/>
  <c r="AA217"/>
  <c r="E224" i="53" s="1"/>
  <c r="BA219" i="1"/>
  <c r="BD219" s="1"/>
  <c r="BE219" s="1"/>
  <c r="T219" s="1"/>
  <c r="U219" s="1"/>
  <c r="BC220"/>
  <c r="V218"/>
  <c r="X218"/>
  <c r="Z218" s="1"/>
  <c r="F225" i="52"/>
  <c r="A223" i="1"/>
  <c r="B206" i="38"/>
  <c r="A207" i="26"/>
  <c r="B207" s="1"/>
  <c r="C223" i="1"/>
  <c r="D223" s="1"/>
  <c r="B224"/>
  <c r="L223"/>
  <c r="M222" s="1"/>
  <c r="E223"/>
  <c r="A230" i="53"/>
  <c r="B231" s="1"/>
  <c r="K223" i="1"/>
  <c r="N223" s="1"/>
  <c r="P222"/>
  <c r="V210" i="48"/>
  <c r="F210"/>
  <c r="Y210" s="1"/>
  <c r="AF214" i="1"/>
  <c r="AD215"/>
  <c r="AO204" i="38"/>
  <c r="AP204" s="1"/>
  <c r="AQ204" s="1"/>
  <c r="AN204"/>
  <c r="S220" i="1"/>
  <c r="E224" i="52"/>
  <c r="B212" i="48"/>
  <c r="C211"/>
  <c r="E211"/>
  <c r="X211" s="1"/>
  <c r="D211"/>
  <c r="W211" s="1"/>
  <c r="E205" i="38"/>
  <c r="D205"/>
  <c r="Z205"/>
  <c r="F205"/>
  <c r="AM205" s="1"/>
  <c r="R221" i="1"/>
  <c r="W221"/>
  <c r="O202" i="38"/>
  <c r="AR203"/>
  <c r="AK222" i="1"/>
  <c r="AM222"/>
  <c r="AH222"/>
  <c r="AI222"/>
  <c r="AC222"/>
  <c r="AJ222"/>
  <c r="CO12" i="55"/>
  <c r="I221" i="53"/>
  <c r="AR204" i="38" l="1"/>
  <c r="AS204" s="1"/>
  <c r="AU204" s="1"/>
  <c r="AV204" s="1"/>
  <c r="BA204" s="1"/>
  <c r="BB204" s="1"/>
  <c r="BH204" s="1"/>
  <c r="BJ204" s="1"/>
  <c r="P204" s="1"/>
  <c r="O204" s="1"/>
  <c r="BA220" i="1"/>
  <c r="BD220" s="1"/>
  <c r="BE220" s="1"/>
  <c r="T220" s="1"/>
  <c r="U220" s="1"/>
  <c r="BC221"/>
  <c r="BT15" i="55"/>
  <c r="D223" i="53"/>
  <c r="I15" i="55" s="1"/>
  <c r="V219" i="1"/>
  <c r="X219"/>
  <c r="Z219" s="1"/>
  <c r="AB218"/>
  <c r="AE218" s="1"/>
  <c r="AL218" s="1"/>
  <c r="AA218"/>
  <c r="E225" i="53" s="1"/>
  <c r="AY16" i="55"/>
  <c r="G224" i="53"/>
  <c r="P223" i="1"/>
  <c r="A224"/>
  <c r="A208" i="26"/>
  <c r="B208" s="1"/>
  <c r="B207" i="38"/>
  <c r="E224" i="1"/>
  <c r="B225"/>
  <c r="A231" i="53"/>
  <c r="B232" s="1"/>
  <c r="L224" i="1"/>
  <c r="M223" s="1"/>
  <c r="F226" i="52"/>
  <c r="K224" i="1"/>
  <c r="N224" s="1"/>
  <c r="C224"/>
  <c r="D224" s="1"/>
  <c r="AK223"/>
  <c r="AJ223"/>
  <c r="AI223"/>
  <c r="AC223"/>
  <c r="AH223"/>
  <c r="AM223"/>
  <c r="AO205" i="38"/>
  <c r="AP205" s="1"/>
  <c r="AQ205" s="1"/>
  <c r="AN205"/>
  <c r="W222" i="1"/>
  <c r="R222"/>
  <c r="CO13" i="55"/>
  <c r="I222" i="53"/>
  <c r="S221" i="1"/>
  <c r="V211" i="48"/>
  <c r="F211"/>
  <c r="Y211" s="1"/>
  <c r="AF215" i="1"/>
  <c r="AD216"/>
  <c r="E225" i="52"/>
  <c r="BK203" i="38"/>
  <c r="AS203"/>
  <c r="AU203" s="1"/>
  <c r="AV203" s="1"/>
  <c r="BA203" s="1"/>
  <c r="BB203" s="1"/>
  <c r="BH203" s="1"/>
  <c r="BJ203" s="1"/>
  <c r="P203" s="1"/>
  <c r="C212" i="48"/>
  <c r="B213"/>
  <c r="E212"/>
  <c r="X212" s="1"/>
  <c r="D212"/>
  <c r="W212" s="1"/>
  <c r="Z206" i="38"/>
  <c r="D206"/>
  <c r="E206"/>
  <c r="F206"/>
  <c r="AM206" s="1"/>
  <c r="AR205" l="1"/>
  <c r="BK204"/>
  <c r="G225" i="53"/>
  <c r="AY17" i="55"/>
  <c r="BT16"/>
  <c r="D224" i="53"/>
  <c r="I16" i="55" s="1"/>
  <c r="AB219" i="1"/>
  <c r="AE219" s="1"/>
  <c r="AL219" s="1"/>
  <c r="AA219"/>
  <c r="E226" i="53" s="1"/>
  <c r="BA221" i="1"/>
  <c r="BD221" s="1"/>
  <c r="BE221" s="1"/>
  <c r="T221" s="1"/>
  <c r="U221" s="1"/>
  <c r="BC222"/>
  <c r="V220"/>
  <c r="X220"/>
  <c r="Z220" s="1"/>
  <c r="P224"/>
  <c r="A232" i="53"/>
  <c r="B233" s="1"/>
  <c r="A209" i="26"/>
  <c r="B209" s="1"/>
  <c r="K225" i="1"/>
  <c r="N225" s="1"/>
  <c r="L225"/>
  <c r="M224" s="1"/>
  <c r="F227" i="52"/>
  <c r="C225" i="1"/>
  <c r="D225" s="1"/>
  <c r="A225"/>
  <c r="E225"/>
  <c r="B226"/>
  <c r="B208" i="38"/>
  <c r="AH224" i="1"/>
  <c r="AI224"/>
  <c r="AC224"/>
  <c r="AJ224"/>
  <c r="AK224"/>
  <c r="AM224"/>
  <c r="C213" i="48"/>
  <c r="B214"/>
  <c r="E213"/>
  <c r="X213" s="1"/>
  <c r="D213"/>
  <c r="W213" s="1"/>
  <c r="CO14" i="55"/>
  <c r="I223" i="53"/>
  <c r="E226" i="52"/>
  <c r="AN206" i="38"/>
  <c r="AR206" s="1"/>
  <c r="AO206"/>
  <c r="AP206" s="1"/>
  <c r="AQ206" s="1"/>
  <c r="F212" i="48"/>
  <c r="Y212" s="1"/>
  <c r="V212"/>
  <c r="S222" i="1"/>
  <c r="E207" i="38"/>
  <c r="Z207"/>
  <c r="D207"/>
  <c r="F207"/>
  <c r="AM207" s="1"/>
  <c r="O203"/>
  <c r="AF216" i="1"/>
  <c r="AD217"/>
  <c r="BK205" i="38"/>
  <c r="AS205"/>
  <c r="AU205" s="1"/>
  <c r="AV205" s="1"/>
  <c r="BA205" s="1"/>
  <c r="BB205" s="1"/>
  <c r="BH205" s="1"/>
  <c r="BJ205" s="1"/>
  <c r="P205" s="1"/>
  <c r="O205" s="1"/>
  <c r="W223" i="1"/>
  <c r="R223"/>
  <c r="BA222" l="1"/>
  <c r="BD222" s="1"/>
  <c r="BE222" s="1"/>
  <c r="T222" s="1"/>
  <c r="U222" s="1"/>
  <c r="BC223"/>
  <c r="V221"/>
  <c r="X221"/>
  <c r="Z221" s="1"/>
  <c r="AB220"/>
  <c r="AE220" s="1"/>
  <c r="AL220" s="1"/>
  <c r="AA220"/>
  <c r="E227" i="53" s="1"/>
  <c r="G226"/>
  <c r="AY18" i="55"/>
  <c r="BT17"/>
  <c r="D225" i="53"/>
  <c r="I17" i="55" s="1"/>
  <c r="AF217" i="1"/>
  <c r="AD218"/>
  <c r="BK206" i="38"/>
  <c r="AS206"/>
  <c r="AU206" s="1"/>
  <c r="AV206" s="1"/>
  <c r="BA206" s="1"/>
  <c r="BB206" s="1"/>
  <c r="BH206" s="1"/>
  <c r="BJ206" s="1"/>
  <c r="P206" s="1"/>
  <c r="O206" s="1"/>
  <c r="CO15" i="55"/>
  <c r="I224" i="53"/>
  <c r="E227" i="52"/>
  <c r="AO207" i="38"/>
  <c r="AP207" s="1"/>
  <c r="AQ207" s="1"/>
  <c r="AN207"/>
  <c r="AI225" i="1"/>
  <c r="AC225"/>
  <c r="AK225"/>
  <c r="AM225"/>
  <c r="AH225"/>
  <c r="AJ225"/>
  <c r="P225"/>
  <c r="S223"/>
  <c r="D214" i="48"/>
  <c r="W214" s="1"/>
  <c r="E214"/>
  <c r="X214" s="1"/>
  <c r="B215"/>
  <c r="C214"/>
  <c r="E208" i="38"/>
  <c r="D208"/>
  <c r="Z208"/>
  <c r="F208"/>
  <c r="AM208" s="1"/>
  <c r="F213" i="48"/>
  <c r="Y213" s="1"/>
  <c r="V213"/>
  <c r="E226" i="1"/>
  <c r="A233" i="53"/>
  <c r="B234" s="1"/>
  <c r="A226" i="1"/>
  <c r="B209" i="38"/>
  <c r="F228" i="52"/>
  <c r="C226" i="1"/>
  <c r="D226" s="1"/>
  <c r="K226"/>
  <c r="N226" s="1"/>
  <c r="A210" i="26"/>
  <c r="B210" s="1"/>
  <c r="L226" i="1"/>
  <c r="M225" s="1"/>
  <c r="B227"/>
  <c r="W224"/>
  <c r="R224"/>
  <c r="AA221" l="1"/>
  <c r="E228" i="53" s="1"/>
  <c r="AB221" i="1"/>
  <c r="AE221" s="1"/>
  <c r="AL221" s="1"/>
  <c r="BT18" i="55"/>
  <c r="D226" i="53"/>
  <c r="I18" i="55" s="1"/>
  <c r="AY19"/>
  <c r="G227" i="53"/>
  <c r="BA223" i="1"/>
  <c r="BD223" s="1"/>
  <c r="BE223" s="1"/>
  <c r="T223" s="1"/>
  <c r="U223" s="1"/>
  <c r="BC224"/>
  <c r="V222"/>
  <c r="X222"/>
  <c r="Z222" s="1"/>
  <c r="C227"/>
  <c r="D227" s="1"/>
  <c r="K227"/>
  <c r="N227" s="1"/>
  <c r="A227"/>
  <c r="B228"/>
  <c r="A234" i="53"/>
  <c r="B235" s="1"/>
  <c r="L227" i="1"/>
  <c r="M226" s="1"/>
  <c r="E227"/>
  <c r="A211" i="26"/>
  <c r="B211" s="1"/>
  <c r="F229" i="52"/>
  <c r="B210" i="38"/>
  <c r="AN208"/>
  <c r="AR208" s="1"/>
  <c r="AO208"/>
  <c r="AP208" s="1"/>
  <c r="AQ208" s="1"/>
  <c r="C215" i="48"/>
  <c r="B216"/>
  <c r="E215"/>
  <c r="X215" s="1"/>
  <c r="D215"/>
  <c r="W215" s="1"/>
  <c r="E228" i="52"/>
  <c r="Z209" i="38"/>
  <c r="D209"/>
  <c r="E209"/>
  <c r="F209"/>
  <c r="AM209" s="1"/>
  <c r="CO16" i="55"/>
  <c r="I225" i="53"/>
  <c r="S224" i="1"/>
  <c r="P226"/>
  <c r="AM226"/>
  <c r="AK226"/>
  <c r="AI226"/>
  <c r="AC226"/>
  <c r="AJ226"/>
  <c r="AH226"/>
  <c r="V214" i="48"/>
  <c r="F214"/>
  <c r="Y214" s="1"/>
  <c r="R225" i="1"/>
  <c r="W225"/>
  <c r="AR207" i="38"/>
  <c r="AF218" i="1"/>
  <c r="AD219"/>
  <c r="BA224" l="1"/>
  <c r="BD224" s="1"/>
  <c r="BE224" s="1"/>
  <c r="T224" s="1"/>
  <c r="U224" s="1"/>
  <c r="BC225"/>
  <c r="V223"/>
  <c r="X223"/>
  <c r="Z223" s="1"/>
  <c r="AA222"/>
  <c r="E229" i="53" s="1"/>
  <c r="AB222" i="1"/>
  <c r="AE222" s="1"/>
  <c r="AL222" s="1"/>
  <c r="BT19" i="55"/>
  <c r="D227" i="53"/>
  <c r="I19" i="55" s="1"/>
  <c r="G228" i="53"/>
  <c r="AY20" i="55"/>
  <c r="BK207" i="38"/>
  <c r="AS207"/>
  <c r="AU207" s="1"/>
  <c r="AV207" s="1"/>
  <c r="BA207" s="1"/>
  <c r="BB207" s="1"/>
  <c r="BH207" s="1"/>
  <c r="BJ207" s="1"/>
  <c r="P207" s="1"/>
  <c r="S225" i="1"/>
  <c r="CO17" i="55"/>
  <c r="I226" i="53"/>
  <c r="F230" i="52"/>
  <c r="E228" i="1"/>
  <c r="K228"/>
  <c r="N228" s="1"/>
  <c r="C228"/>
  <c r="D228" s="1"/>
  <c r="B229"/>
  <c r="A228"/>
  <c r="A235" i="53"/>
  <c r="B236" s="1"/>
  <c r="B211" i="38"/>
  <c r="A212" i="26"/>
  <c r="B212" s="1"/>
  <c r="L228" i="1"/>
  <c r="M227" s="1"/>
  <c r="AN209" i="38"/>
  <c r="AO209"/>
  <c r="AP209" s="1"/>
  <c r="AQ209" s="1"/>
  <c r="AS208"/>
  <c r="AU208" s="1"/>
  <c r="AV208" s="1"/>
  <c r="BA208" s="1"/>
  <c r="BB208" s="1"/>
  <c r="BH208" s="1"/>
  <c r="BJ208" s="1"/>
  <c r="P208" s="1"/>
  <c r="O208" s="1"/>
  <c r="BK208"/>
  <c r="E229" i="52"/>
  <c r="AC227" i="1"/>
  <c r="Z227"/>
  <c r="AH227"/>
  <c r="AJ227"/>
  <c r="AM227"/>
  <c r="AK227"/>
  <c r="AI227"/>
  <c r="AF219"/>
  <c r="AD220"/>
  <c r="D216" i="48"/>
  <c r="W216" s="1"/>
  <c r="B217"/>
  <c r="C216"/>
  <c r="E216"/>
  <c r="X216" s="1"/>
  <c r="E210" i="38"/>
  <c r="D210"/>
  <c r="Z210"/>
  <c r="F210"/>
  <c r="AM210" s="1"/>
  <c r="P227" i="1"/>
  <c r="W226"/>
  <c r="R226"/>
  <c r="V215" i="48"/>
  <c r="F215"/>
  <c r="Y215" s="1"/>
  <c r="AA223" i="1" l="1"/>
  <c r="E230" i="53" s="1"/>
  <c r="AB223" i="1"/>
  <c r="AE223" s="1"/>
  <c r="AL223" s="1"/>
  <c r="BA225"/>
  <c r="BD225" s="1"/>
  <c r="BE225" s="1"/>
  <c r="T225" s="1"/>
  <c r="U225" s="1"/>
  <c r="BC226"/>
  <c r="D228" i="53"/>
  <c r="I20" i="55" s="1"/>
  <c r="BT20"/>
  <c r="G229" i="53"/>
  <c r="AY21" i="55"/>
  <c r="V224" i="1"/>
  <c r="X224"/>
  <c r="Z224" s="1"/>
  <c r="AO210" i="38"/>
  <c r="AP210" s="1"/>
  <c r="AQ210" s="1"/>
  <c r="AN210"/>
  <c r="AR210" s="1"/>
  <c r="E229" i="1"/>
  <c r="F231" i="52"/>
  <c r="A213" i="26"/>
  <c r="B213" s="1"/>
  <c r="L229" i="1"/>
  <c r="M228" s="1"/>
  <c r="A236" i="53"/>
  <c r="B237" s="1"/>
  <c r="K229" i="1"/>
  <c r="N229" s="1"/>
  <c r="A229"/>
  <c r="C229"/>
  <c r="D229" s="1"/>
  <c r="B230"/>
  <c r="B212" i="38"/>
  <c r="W227" i="1"/>
  <c r="R227"/>
  <c r="V216" i="48"/>
  <c r="F216"/>
  <c r="Y216" s="1"/>
  <c r="AF220" i="1"/>
  <c r="AD221"/>
  <c r="D211" i="38"/>
  <c r="E211"/>
  <c r="Z211"/>
  <c r="F211"/>
  <c r="AM211" s="1"/>
  <c r="CO18" i="55"/>
  <c r="I227" i="53"/>
  <c r="S226" i="1"/>
  <c r="D217" i="48"/>
  <c r="W217" s="1"/>
  <c r="B218"/>
  <c r="E217"/>
  <c r="X217" s="1"/>
  <c r="C217"/>
  <c r="P228" i="1"/>
  <c r="O207" i="38"/>
  <c r="AR209"/>
  <c r="AH228" i="1"/>
  <c r="Z228"/>
  <c r="AJ228"/>
  <c r="AC228"/>
  <c r="AM228"/>
  <c r="AI228"/>
  <c r="AK228"/>
  <c r="E230" i="52"/>
  <c r="BA226" i="1" l="1"/>
  <c r="BD226" s="1"/>
  <c r="BE226" s="1"/>
  <c r="T226" s="1"/>
  <c r="U226" s="1"/>
  <c r="BC227"/>
  <c r="BT21" i="55"/>
  <c r="D229" i="53"/>
  <c r="I21" i="55" s="1"/>
  <c r="V225" i="1"/>
  <c r="X225"/>
  <c r="Z225" s="1"/>
  <c r="AB224"/>
  <c r="AE224" s="1"/>
  <c r="AL224" s="1"/>
  <c r="AA224"/>
  <c r="E231" i="53" s="1"/>
  <c r="G230"/>
  <c r="AY22" i="55"/>
  <c r="BK209" i="38"/>
  <c r="AS209"/>
  <c r="AU209" s="1"/>
  <c r="AV209" s="1"/>
  <c r="BA209" s="1"/>
  <c r="BB209" s="1"/>
  <c r="BH209" s="1"/>
  <c r="BJ209" s="1"/>
  <c r="P209" s="1"/>
  <c r="V217" i="48"/>
  <c r="F217"/>
  <c r="Y217" s="1"/>
  <c r="CO19" i="55"/>
  <c r="I228" i="53"/>
  <c r="AN211" i="38"/>
  <c r="AO211"/>
  <c r="AP211" s="1"/>
  <c r="AQ211" s="1"/>
  <c r="S227" i="1"/>
  <c r="E230"/>
  <c r="F232" i="52"/>
  <c r="C230" i="1"/>
  <c r="D230" s="1"/>
  <c r="A237" i="53"/>
  <c r="B238" s="1"/>
  <c r="A230" i="1"/>
  <c r="K230"/>
  <c r="N230" s="1"/>
  <c r="B213" i="38"/>
  <c r="L230" i="1"/>
  <c r="M229" s="1"/>
  <c r="A214" i="26"/>
  <c r="B214" s="1"/>
  <c r="B231" i="1"/>
  <c r="E231" i="52"/>
  <c r="W228" i="1"/>
  <c r="R228"/>
  <c r="D218" i="48"/>
  <c r="W218" s="1"/>
  <c r="E218"/>
  <c r="X218" s="1"/>
  <c r="B219"/>
  <c r="C218"/>
  <c r="AM229" i="1"/>
  <c r="AJ229"/>
  <c r="AI229"/>
  <c r="AK229"/>
  <c r="AH229"/>
  <c r="AC229"/>
  <c r="Z229"/>
  <c r="AS210" i="38"/>
  <c r="AU210" s="1"/>
  <c r="AV210" s="1"/>
  <c r="BA210" s="1"/>
  <c r="BB210" s="1"/>
  <c r="BH210" s="1"/>
  <c r="BJ210" s="1"/>
  <c r="P210" s="1"/>
  <c r="O210" s="1"/>
  <c r="BK210"/>
  <c r="AF221" i="1"/>
  <c r="AD222"/>
  <c r="D212" i="38"/>
  <c r="E212"/>
  <c r="Z212"/>
  <c r="F212"/>
  <c r="AM212" s="1"/>
  <c r="P229" i="1"/>
  <c r="AR211" i="38" l="1"/>
  <c r="AS211" s="1"/>
  <c r="AU211" s="1"/>
  <c r="AV211" s="1"/>
  <c r="BA211" s="1"/>
  <c r="BB211" s="1"/>
  <c r="BH211" s="1"/>
  <c r="BJ211" s="1"/>
  <c r="P211" s="1"/>
  <c r="O211" s="1"/>
  <c r="AY23" i="55"/>
  <c r="G231" i="53"/>
  <c r="AB225" i="1"/>
  <c r="AE225" s="1"/>
  <c r="AL225" s="1"/>
  <c r="AA225"/>
  <c r="E232" i="53" s="1"/>
  <c r="BA227" i="1"/>
  <c r="BD227" s="1"/>
  <c r="BE227" s="1"/>
  <c r="T227" s="1"/>
  <c r="U227" s="1"/>
  <c r="BC228"/>
  <c r="BT22" i="55"/>
  <c r="D230" i="53"/>
  <c r="I22" i="55" s="1"/>
  <c r="V226" i="1"/>
  <c r="X226"/>
  <c r="Z226" s="1"/>
  <c r="Z230"/>
  <c r="AI230"/>
  <c r="AH230"/>
  <c r="AM230"/>
  <c r="AJ230"/>
  <c r="AK230"/>
  <c r="AC230"/>
  <c r="E232" i="52"/>
  <c r="R229" i="1"/>
  <c r="W229"/>
  <c r="AO212" i="38"/>
  <c r="AP212" s="1"/>
  <c r="AQ212" s="1"/>
  <c r="AN212"/>
  <c r="AR212" s="1"/>
  <c r="V218" i="48"/>
  <c r="F218"/>
  <c r="Y218" s="1"/>
  <c r="CO20" i="55"/>
  <c r="I229" i="53"/>
  <c r="C219" i="48"/>
  <c r="E219"/>
  <c r="X219" s="1"/>
  <c r="B220"/>
  <c r="D219"/>
  <c r="W219" s="1"/>
  <c r="S228" i="1"/>
  <c r="E213" i="38"/>
  <c r="D213"/>
  <c r="Z213"/>
  <c r="F213"/>
  <c r="AM213" s="1"/>
  <c r="O209"/>
  <c r="AF222" i="1"/>
  <c r="AD223"/>
  <c r="F233" i="52"/>
  <c r="A231" i="1"/>
  <c r="K231"/>
  <c r="N231" s="1"/>
  <c r="B232"/>
  <c r="L231"/>
  <c r="M230" s="1"/>
  <c r="E231"/>
  <c r="A238" i="53"/>
  <c r="B239" s="1"/>
  <c r="A215" i="26"/>
  <c r="B215" s="1"/>
  <c r="B214" i="38"/>
  <c r="C231" i="1"/>
  <c r="D231" s="1"/>
  <c r="P230"/>
  <c r="BK211" i="38" l="1"/>
  <c r="AY24" i="55"/>
  <c r="G232" i="53"/>
  <c r="AA226" i="1"/>
  <c r="E233" i="53" s="1"/>
  <c r="AB226" i="1"/>
  <c r="AE226" s="1"/>
  <c r="AL226" s="1"/>
  <c r="BA228"/>
  <c r="BD228" s="1"/>
  <c r="BE228" s="1"/>
  <c r="T228" s="1"/>
  <c r="U228" s="1"/>
  <c r="BC229"/>
  <c r="BT23" i="55"/>
  <c r="D231" i="53"/>
  <c r="I23" i="55" s="1"/>
  <c r="V227" i="1"/>
  <c r="X227"/>
  <c r="F234" i="52"/>
  <c r="A239" i="53"/>
  <c r="B240" s="1"/>
  <c r="B215" i="38"/>
  <c r="B233" i="1"/>
  <c r="C232"/>
  <c r="D232" s="1"/>
  <c r="E232"/>
  <c r="L232"/>
  <c r="M231" s="1"/>
  <c r="A216" i="26"/>
  <c r="B216" s="1"/>
  <c r="A232" i="1"/>
  <c r="K232"/>
  <c r="N232" s="1"/>
  <c r="E220" i="48"/>
  <c r="X220" s="1"/>
  <c r="B221"/>
  <c r="C220"/>
  <c r="D220"/>
  <c r="W220" s="1"/>
  <c r="S229" i="1"/>
  <c r="P231"/>
  <c r="BK212" i="38"/>
  <c r="AS212"/>
  <c r="AU212" s="1"/>
  <c r="AV212" s="1"/>
  <c r="BA212" s="1"/>
  <c r="BB212" s="1"/>
  <c r="BH212" s="1"/>
  <c r="BJ212" s="1"/>
  <c r="P212" s="1"/>
  <c r="R230" i="1"/>
  <c r="W230"/>
  <c r="E233" i="52"/>
  <c r="Z231" i="1"/>
  <c r="AM231"/>
  <c r="AI231"/>
  <c r="AK231"/>
  <c r="AC231"/>
  <c r="AJ231"/>
  <c r="AH231"/>
  <c r="AF223"/>
  <c r="AD224"/>
  <c r="F219" i="48"/>
  <c r="Y219" s="1"/>
  <c r="V219"/>
  <c r="E214" i="38"/>
  <c r="D214"/>
  <c r="Z214"/>
  <c r="F214"/>
  <c r="AM214" s="1"/>
  <c r="AO213"/>
  <c r="AP213" s="1"/>
  <c r="AQ213" s="1"/>
  <c r="AN213"/>
  <c r="CO21" i="55"/>
  <c r="I230" i="53"/>
  <c r="AY25" i="55" l="1"/>
  <c r="G233" i="53"/>
  <c r="AA227" i="1"/>
  <c r="E234" i="53" s="1"/>
  <c r="AB227" i="1"/>
  <c r="AE227" s="1"/>
  <c r="AL227" s="1"/>
  <c r="BA229"/>
  <c r="BD229" s="1"/>
  <c r="BE229" s="1"/>
  <c r="T229" s="1"/>
  <c r="U229" s="1"/>
  <c r="BC230"/>
  <c r="D232" i="53"/>
  <c r="I24" i="55" s="1"/>
  <c r="BT24"/>
  <c r="V228" i="1"/>
  <c r="X228"/>
  <c r="CO22" i="55"/>
  <c r="I231" i="53"/>
  <c r="AR213" i="38"/>
  <c r="Z232" i="1"/>
  <c r="AK232"/>
  <c r="AC232"/>
  <c r="AI232"/>
  <c r="AH232"/>
  <c r="AM232"/>
  <c r="AJ232"/>
  <c r="S230"/>
  <c r="E233"/>
  <c r="F235" i="52"/>
  <c r="C233" i="1"/>
  <c r="D233" s="1"/>
  <c r="A217" i="26"/>
  <c r="B217" s="1"/>
  <c r="K233" i="1"/>
  <c r="N233" s="1"/>
  <c r="B216" i="38"/>
  <c r="B234" i="1"/>
  <c r="L233"/>
  <c r="M232" s="1"/>
  <c r="A233"/>
  <c r="A240" i="53"/>
  <c r="B241" s="1"/>
  <c r="AF224" i="1"/>
  <c r="AD225"/>
  <c r="W231"/>
  <c r="R231"/>
  <c r="V220" i="48"/>
  <c r="F220"/>
  <c r="Y220" s="1"/>
  <c r="D215" i="38"/>
  <c r="E215"/>
  <c r="Z215"/>
  <c r="F215"/>
  <c r="AM215" s="1"/>
  <c r="AN214"/>
  <c r="AO214"/>
  <c r="AP214" s="1"/>
  <c r="AQ214" s="1"/>
  <c r="O212"/>
  <c r="C221" i="48"/>
  <c r="B222"/>
  <c r="D221"/>
  <c r="W221" s="1"/>
  <c r="E221"/>
  <c r="X221" s="1"/>
  <c r="P232" i="1"/>
  <c r="E234" i="52"/>
  <c r="G234" i="53" l="1"/>
  <c r="AY26" i="55"/>
  <c r="AB228" i="1"/>
  <c r="AE228" s="1"/>
  <c r="AL228" s="1"/>
  <c r="AA228"/>
  <c r="E235" i="53" s="1"/>
  <c r="BA230" i="1"/>
  <c r="BD230" s="1"/>
  <c r="BE230" s="1"/>
  <c r="T230" s="1"/>
  <c r="U230" s="1"/>
  <c r="BC231"/>
  <c r="D233" i="53"/>
  <c r="I25" i="55" s="1"/>
  <c r="BT25"/>
  <c r="V229" i="1"/>
  <c r="X229"/>
  <c r="AO215" i="38"/>
  <c r="AP215" s="1"/>
  <c r="AQ215" s="1"/>
  <c r="AN215"/>
  <c r="AS213"/>
  <c r="AU213" s="1"/>
  <c r="AV213" s="1"/>
  <c r="BA213" s="1"/>
  <c r="BB213" s="1"/>
  <c r="BH213" s="1"/>
  <c r="BJ213" s="1"/>
  <c r="P213" s="1"/>
  <c r="BK213"/>
  <c r="S231" i="1"/>
  <c r="AF225"/>
  <c r="AD226"/>
  <c r="F236" i="52"/>
  <c r="E234" i="1"/>
  <c r="C234"/>
  <c r="D234" s="1"/>
  <c r="A234"/>
  <c r="L234"/>
  <c r="M233" s="1"/>
  <c r="K234"/>
  <c r="N234" s="1"/>
  <c r="A241" i="53"/>
  <c r="B242" s="1"/>
  <c r="B217" i="38"/>
  <c r="B235" i="1"/>
  <c r="A218" i="26"/>
  <c r="B218" s="1"/>
  <c r="W232" i="1"/>
  <c r="R232"/>
  <c r="V221" i="48"/>
  <c r="F221"/>
  <c r="Y221" s="1"/>
  <c r="Z216" i="38"/>
  <c r="E216"/>
  <c r="D216"/>
  <c r="F216"/>
  <c r="AM216" s="1"/>
  <c r="D222" i="48"/>
  <c r="W222" s="1"/>
  <c r="C222"/>
  <c r="B223"/>
  <c r="E222"/>
  <c r="X222" s="1"/>
  <c r="AR214" i="38"/>
  <c r="AI233" i="1"/>
  <c r="AJ233"/>
  <c r="AM233"/>
  <c r="AK233"/>
  <c r="AH233"/>
  <c r="AC233"/>
  <c r="Z233"/>
  <c r="P233"/>
  <c r="E235" i="52"/>
  <c r="CO23" i="55"/>
  <c r="I232" i="53"/>
  <c r="AR215" i="38" l="1"/>
  <c r="AS215" s="1"/>
  <c r="AU215" s="1"/>
  <c r="AV215" s="1"/>
  <c r="BA215" s="1"/>
  <c r="BB215" s="1"/>
  <c r="BH215" s="1"/>
  <c r="BJ215" s="1"/>
  <c r="P215" s="1"/>
  <c r="O215" s="1"/>
  <c r="AY27" i="55"/>
  <c r="G235" i="53"/>
  <c r="AA229" i="1"/>
  <c r="E236" i="53" s="1"/>
  <c r="AB229" i="1"/>
  <c r="AE229" s="1"/>
  <c r="AL229" s="1"/>
  <c r="BA231"/>
  <c r="BD231" s="1"/>
  <c r="BE231" s="1"/>
  <c r="T231" s="1"/>
  <c r="U231" s="1"/>
  <c r="BC232"/>
  <c r="V230"/>
  <c r="X230"/>
  <c r="BT26" i="55"/>
  <c r="D234" i="53"/>
  <c r="I26" i="55" s="1"/>
  <c r="AO216" i="38"/>
  <c r="AP216" s="1"/>
  <c r="AQ216" s="1"/>
  <c r="AN216"/>
  <c r="Z217"/>
  <c r="E217"/>
  <c r="D217"/>
  <c r="F217"/>
  <c r="AM217" s="1"/>
  <c r="AI234" i="1"/>
  <c r="AH234"/>
  <c r="Z234"/>
  <c r="AM234"/>
  <c r="AC234"/>
  <c r="AJ234"/>
  <c r="AK234"/>
  <c r="AS214" i="38"/>
  <c r="AU214" s="1"/>
  <c r="AV214" s="1"/>
  <c r="BA214" s="1"/>
  <c r="BB214" s="1"/>
  <c r="BH214" s="1"/>
  <c r="BJ214" s="1"/>
  <c r="P214" s="1"/>
  <c r="O214" s="1"/>
  <c r="BK214"/>
  <c r="C223" i="48"/>
  <c r="E223"/>
  <c r="X223" s="1"/>
  <c r="D223"/>
  <c r="W223" s="1"/>
  <c r="B224"/>
  <c r="R233" i="1"/>
  <c r="W233"/>
  <c r="V222" i="48"/>
  <c r="F222"/>
  <c r="Y222" s="1"/>
  <c r="S232" i="1"/>
  <c r="P234"/>
  <c r="E236" i="52"/>
  <c r="O213" i="38"/>
  <c r="CO24" i="55"/>
  <c r="I233" i="53"/>
  <c r="F237" i="52"/>
  <c r="K235" i="1"/>
  <c r="N235" s="1"/>
  <c r="A242" i="53"/>
  <c r="B243" s="1"/>
  <c r="A219" i="26"/>
  <c r="B219" s="1"/>
  <c r="L235" i="1"/>
  <c r="M234" s="1"/>
  <c r="B218" i="38"/>
  <c r="B236" i="1"/>
  <c r="C235"/>
  <c r="D235" s="1"/>
  <c r="A235"/>
  <c r="E235"/>
  <c r="AF226"/>
  <c r="AD227"/>
  <c r="BK215" i="38" l="1"/>
  <c r="AR216"/>
  <c r="AS216" s="1"/>
  <c r="AU216" s="1"/>
  <c r="AV216" s="1"/>
  <c r="BA216" s="1"/>
  <c r="BB216" s="1"/>
  <c r="BH216" s="1"/>
  <c r="BJ216" s="1"/>
  <c r="P216" s="1"/>
  <c r="AB230" i="1"/>
  <c r="AE230" s="1"/>
  <c r="AL230" s="1"/>
  <c r="AA230"/>
  <c r="E237" i="53" s="1"/>
  <c r="AY28" i="55"/>
  <c r="G236" i="53"/>
  <c r="BA232" i="1"/>
  <c r="BD232" s="1"/>
  <c r="BE232" s="1"/>
  <c r="T232" s="1"/>
  <c r="U232" s="1"/>
  <c r="BC233"/>
  <c r="BT27" i="55"/>
  <c r="D235" i="53"/>
  <c r="I27" i="55" s="1"/>
  <c r="V231" i="1"/>
  <c r="X231"/>
  <c r="AF227"/>
  <c r="AD228"/>
  <c r="CO25" i="55"/>
  <c r="I234" i="53"/>
  <c r="W234" i="1"/>
  <c r="R234"/>
  <c r="AN217" i="38"/>
  <c r="AO217"/>
  <c r="AP217" s="1"/>
  <c r="AQ217" s="1"/>
  <c r="A243" i="53"/>
  <c r="B244" s="1"/>
  <c r="B219" i="38"/>
  <c r="B237" i="1"/>
  <c r="E236"/>
  <c r="A220" i="26"/>
  <c r="B220" s="1"/>
  <c r="K236" i="1"/>
  <c r="N236" s="1"/>
  <c r="L236"/>
  <c r="M235" s="1"/>
  <c r="A236"/>
  <c r="C236"/>
  <c r="D236" s="1"/>
  <c r="F238" i="52"/>
  <c r="E237"/>
  <c r="D218" i="38"/>
  <c r="E218"/>
  <c r="Z218"/>
  <c r="F218"/>
  <c r="AM218" s="1"/>
  <c r="P235" i="1"/>
  <c r="S233"/>
  <c r="F223" i="48"/>
  <c r="Y223" s="1"/>
  <c r="V223"/>
  <c r="AI235" i="1"/>
  <c r="Z235"/>
  <c r="AJ235"/>
  <c r="AK235"/>
  <c r="AH235"/>
  <c r="D224" i="48"/>
  <c r="W224" s="1"/>
  <c r="E224"/>
  <c r="X224" s="1"/>
  <c r="C224"/>
  <c r="B225"/>
  <c r="BK216" i="38" l="1"/>
  <c r="BT28" i="55"/>
  <c r="D236" i="53"/>
  <c r="I28" i="55" s="1"/>
  <c r="AB231" i="1"/>
  <c r="AE231" s="1"/>
  <c r="AL231" s="1"/>
  <c r="AA231"/>
  <c r="E238" i="53" s="1"/>
  <c r="BA233" i="1"/>
  <c r="BD233" s="1"/>
  <c r="BE233" s="1"/>
  <c r="T233" s="1"/>
  <c r="U233" s="1"/>
  <c r="BC234"/>
  <c r="AY29" i="55"/>
  <c r="G237" i="53"/>
  <c r="V232" i="1"/>
  <c r="X232"/>
  <c r="W235"/>
  <c r="R235"/>
  <c r="AO218" i="38"/>
  <c r="AP218" s="1"/>
  <c r="AQ218" s="1"/>
  <c r="AN218"/>
  <c r="P236" i="1"/>
  <c r="Z219" i="38"/>
  <c r="D219"/>
  <c r="E219"/>
  <c r="F219"/>
  <c r="AM219" s="1"/>
  <c r="O216"/>
  <c r="AF228" i="1"/>
  <c r="AD229"/>
  <c r="C225" i="48"/>
  <c r="E225"/>
  <c r="X225" s="1"/>
  <c r="D225"/>
  <c r="W225" s="1"/>
  <c r="B226"/>
  <c r="AK236" i="1"/>
  <c r="Z236"/>
  <c r="AJ236"/>
  <c r="AI236"/>
  <c r="AH236"/>
  <c r="E238" i="52"/>
  <c r="V224" i="48"/>
  <c r="F224"/>
  <c r="Y224" s="1"/>
  <c r="F239" i="52"/>
  <c r="A221" i="26"/>
  <c r="B221" s="1"/>
  <c r="K237" i="1"/>
  <c r="N237" s="1"/>
  <c r="C237"/>
  <c r="D237" s="1"/>
  <c r="B238"/>
  <c r="A244" i="53"/>
  <c r="B245" s="1"/>
  <c r="B220" i="38"/>
  <c r="L237" i="1"/>
  <c r="M236" s="1"/>
  <c r="E237"/>
  <c r="A237"/>
  <c r="AR217" i="38"/>
  <c r="S234" i="1"/>
  <c r="CO26" i="55"/>
  <c r="I235" i="53"/>
  <c r="AR218" i="38" l="1"/>
  <c r="AS218" s="1"/>
  <c r="AU218" s="1"/>
  <c r="AV218" s="1"/>
  <c r="BA218" s="1"/>
  <c r="BB218" s="1"/>
  <c r="BH218" s="1"/>
  <c r="BJ218" s="1"/>
  <c r="P218" s="1"/>
  <c r="O218" s="1"/>
  <c r="AY30" i="55"/>
  <c r="G238" i="53"/>
  <c r="AB232" i="1"/>
  <c r="AE232" s="1"/>
  <c r="AL232" s="1"/>
  <c r="AA232"/>
  <c r="E239" i="53" s="1"/>
  <c r="BA234" i="1"/>
  <c r="BD234" s="1"/>
  <c r="BE234" s="1"/>
  <c r="T234" s="1"/>
  <c r="U234" s="1"/>
  <c r="BC235"/>
  <c r="BT29" i="55"/>
  <c r="D237" i="53"/>
  <c r="I29" i="55" s="1"/>
  <c r="V233" i="1"/>
  <c r="X233"/>
  <c r="CO27" i="55"/>
  <c r="I236" i="53"/>
  <c r="E239" i="52"/>
  <c r="F240"/>
  <c r="E238" i="1"/>
  <c r="K238"/>
  <c r="N238" s="1"/>
  <c r="A238"/>
  <c r="C238"/>
  <c r="D238" s="1"/>
  <c r="A222" i="26"/>
  <c r="B222" s="1"/>
  <c r="B221" i="38"/>
  <c r="B239" i="1"/>
  <c r="A245" i="53"/>
  <c r="B246" s="1"/>
  <c r="L238" i="1"/>
  <c r="M237" s="1"/>
  <c r="V225" i="48"/>
  <c r="F225"/>
  <c r="Y225" s="1"/>
  <c r="BK217" i="38"/>
  <c r="AS217"/>
  <c r="AU217" s="1"/>
  <c r="AV217" s="1"/>
  <c r="BA217" s="1"/>
  <c r="BB217" s="1"/>
  <c r="BH217" s="1"/>
  <c r="BJ217" s="1"/>
  <c r="P217" s="1"/>
  <c r="E226" i="48"/>
  <c r="X226" s="1"/>
  <c r="D226"/>
  <c r="W226" s="1"/>
  <c r="C226"/>
  <c r="B227"/>
  <c r="AF229" i="1"/>
  <c r="AD230"/>
  <c r="S235"/>
  <c r="E220" i="38"/>
  <c r="D220"/>
  <c r="Z220"/>
  <c r="F220"/>
  <c r="AM220" s="1"/>
  <c r="P237" i="1"/>
  <c r="Z237"/>
  <c r="AJ237"/>
  <c r="AI237"/>
  <c r="AK237"/>
  <c r="AH237"/>
  <c r="AO219" i="38"/>
  <c r="AP219" s="1"/>
  <c r="AQ219" s="1"/>
  <c r="AN219"/>
  <c r="W236" i="1"/>
  <c r="R236"/>
  <c r="BK218" i="38" l="1"/>
  <c r="G239" i="53"/>
  <c r="AY31" i="55"/>
  <c r="AA233" i="1"/>
  <c r="E240" i="53" s="1"/>
  <c r="AB233" i="1"/>
  <c r="AE233" s="1"/>
  <c r="AL233" s="1"/>
  <c r="Y233"/>
  <c r="BA235"/>
  <c r="BD235" s="1"/>
  <c r="BE235" s="1"/>
  <c r="T235" s="1"/>
  <c r="U235" s="1"/>
  <c r="BC236"/>
  <c r="BT30" i="55"/>
  <c r="D238" i="53"/>
  <c r="I30" i="55" s="1"/>
  <c r="V234" i="1"/>
  <c r="X234"/>
  <c r="AR219" i="38"/>
  <c r="E227" i="48"/>
  <c r="X227" s="1"/>
  <c r="D227"/>
  <c r="W227" s="1"/>
  <c r="C227"/>
  <c r="B228"/>
  <c r="E240" i="52"/>
  <c r="CO28" i="55"/>
  <c r="I237" i="53"/>
  <c r="F226" i="48"/>
  <c r="Y226" s="1"/>
  <c r="V226"/>
  <c r="O217" i="38"/>
  <c r="S236" i="1"/>
  <c r="W237"/>
  <c r="R237"/>
  <c r="AN220" i="38"/>
  <c r="AO220"/>
  <c r="AP220" s="1"/>
  <c r="AQ220" s="1"/>
  <c r="AF230" i="1"/>
  <c r="AD231"/>
  <c r="F241" i="52"/>
  <c r="E239" i="1"/>
  <c r="A239"/>
  <c r="L239"/>
  <c r="M238" s="1"/>
  <c r="C239"/>
  <c r="D239" s="1"/>
  <c r="K239"/>
  <c r="N239" s="1"/>
  <c r="B240"/>
  <c r="B222" i="38"/>
  <c r="A246" i="53"/>
  <c r="B247" s="1"/>
  <c r="A223" i="26"/>
  <c r="B223" s="1"/>
  <c r="AH238" i="1"/>
  <c r="AK238"/>
  <c r="AI238"/>
  <c r="AJ238"/>
  <c r="Z238"/>
  <c r="Z221" i="38"/>
  <c r="E221"/>
  <c r="D221"/>
  <c r="F221"/>
  <c r="AM221" s="1"/>
  <c r="P238" i="1"/>
  <c r="AB234" l="1"/>
  <c r="AE234" s="1"/>
  <c r="AL234" s="1"/>
  <c r="Y234"/>
  <c r="AA234"/>
  <c r="E241" i="53" s="1"/>
  <c r="BA236" i="1"/>
  <c r="BD236" s="1"/>
  <c r="BE236" s="1"/>
  <c r="T236" s="1"/>
  <c r="U236" s="1"/>
  <c r="BC237"/>
  <c r="G240" i="53"/>
  <c r="AY32" i="55"/>
  <c r="V235" i="1"/>
  <c r="X235"/>
  <c r="AC235" s="1"/>
  <c r="BT31" i="55"/>
  <c r="D239" i="53"/>
  <c r="I31" i="55" s="1"/>
  <c r="W238" i="1"/>
  <c r="R238"/>
  <c r="AN221" i="38"/>
  <c r="AO221"/>
  <c r="AP221" s="1"/>
  <c r="AQ221" s="1"/>
  <c r="E222"/>
  <c r="Z222"/>
  <c r="D222"/>
  <c r="F222"/>
  <c r="AM222" s="1"/>
  <c r="AR220"/>
  <c r="D228" i="48"/>
  <c r="W228" s="1"/>
  <c r="E228"/>
  <c r="X228" s="1"/>
  <c r="C228"/>
  <c r="B229"/>
  <c r="E240" i="1"/>
  <c r="F242" i="52"/>
  <c r="L240" i="1"/>
  <c r="M239" s="1"/>
  <c r="B223" i="38"/>
  <c r="A240" i="1"/>
  <c r="C240"/>
  <c r="D240" s="1"/>
  <c r="B241"/>
  <c r="A224" i="26"/>
  <c r="B224" s="1"/>
  <c r="K240" i="1"/>
  <c r="N240" s="1"/>
  <c r="A247" i="53"/>
  <c r="B248" s="1"/>
  <c r="AI239" i="1"/>
  <c r="AJ239"/>
  <c r="AK239"/>
  <c r="Z239"/>
  <c r="AH239"/>
  <c r="AF231"/>
  <c r="AD232"/>
  <c r="S237"/>
  <c r="CO29" i="55"/>
  <c r="I238" i="53"/>
  <c r="V227" i="48"/>
  <c r="F227"/>
  <c r="Y227" s="1"/>
  <c r="BK219" i="38"/>
  <c r="AS219"/>
  <c r="AU219" s="1"/>
  <c r="AV219" s="1"/>
  <c r="BA219" s="1"/>
  <c r="BB219" s="1"/>
  <c r="BH219" s="1"/>
  <c r="BJ219" s="1"/>
  <c r="P219" s="1"/>
  <c r="P239" i="1"/>
  <c r="E241" i="52"/>
  <c r="V236" i="1" l="1"/>
  <c r="X236"/>
  <c r="AC236" s="1"/>
  <c r="AY33" i="55"/>
  <c r="AY35" s="1"/>
  <c r="G241" i="53"/>
  <c r="D240"/>
  <c r="I32" i="55" s="1"/>
  <c r="BT32"/>
  <c r="AB235" i="1"/>
  <c r="AE235" s="1"/>
  <c r="AA235"/>
  <c r="E242" i="53" s="1"/>
  <c r="BA237" i="1"/>
  <c r="BD237" s="1"/>
  <c r="BE237" s="1"/>
  <c r="T237" s="1"/>
  <c r="U237" s="1"/>
  <c r="BC238"/>
  <c r="O219" i="38"/>
  <c r="F228" i="48"/>
  <c r="Y228" s="1"/>
  <c r="V228"/>
  <c r="AR221" i="38"/>
  <c r="P240" i="1"/>
  <c r="AK240"/>
  <c r="AH240"/>
  <c r="AJ240"/>
  <c r="AI240"/>
  <c r="Z240"/>
  <c r="E242" i="52"/>
  <c r="S238" i="1"/>
  <c r="R239"/>
  <c r="W239"/>
  <c r="Z223" i="38"/>
  <c r="D223"/>
  <c r="E223"/>
  <c r="F223"/>
  <c r="AM223" s="1"/>
  <c r="BK220"/>
  <c r="AS220"/>
  <c r="AU220" s="1"/>
  <c r="AV220" s="1"/>
  <c r="BA220" s="1"/>
  <c r="BB220" s="1"/>
  <c r="BH220" s="1"/>
  <c r="BJ220" s="1"/>
  <c r="P220" s="1"/>
  <c r="O220" s="1"/>
  <c r="CO30" i="55"/>
  <c r="I239" i="53"/>
  <c r="AF232" i="1"/>
  <c r="AD233"/>
  <c r="F243" i="52"/>
  <c r="K241" i="1"/>
  <c r="N241" s="1"/>
  <c r="A248" i="53"/>
  <c r="B249" s="1"/>
  <c r="B224" i="38"/>
  <c r="E241" i="1"/>
  <c r="A241"/>
  <c r="A225" i="26"/>
  <c r="B225" s="1"/>
  <c r="C241" i="1"/>
  <c r="D241" s="1"/>
  <c r="B242"/>
  <c r="L241"/>
  <c r="M240" s="1"/>
  <c r="E229" i="48"/>
  <c r="X229" s="1"/>
  <c r="C229"/>
  <c r="B230"/>
  <c r="D229"/>
  <c r="W229" s="1"/>
  <c r="AN222" i="38"/>
  <c r="AR222" s="1"/>
  <c r="AO222"/>
  <c r="AP222" s="1"/>
  <c r="AQ222" s="1"/>
  <c r="AL235" i="1" l="1"/>
  <c r="AM235"/>
  <c r="AZ3" i="55"/>
  <c r="G242" i="53"/>
  <c r="D241"/>
  <c r="I33" i="55" s="1"/>
  <c r="I35" s="1"/>
  <c r="BT33"/>
  <c r="BT35" s="1"/>
  <c r="BA238" i="1"/>
  <c r="BD238" s="1"/>
  <c r="BE238" s="1"/>
  <c r="T238" s="1"/>
  <c r="U238" s="1"/>
  <c r="BC239"/>
  <c r="BC240" s="1"/>
  <c r="AB236"/>
  <c r="AE236" s="1"/>
  <c r="AA236"/>
  <c r="E243" i="53" s="1"/>
  <c r="V237" i="1"/>
  <c r="X237"/>
  <c r="AC237" s="1"/>
  <c r="E230" i="48"/>
  <c r="X230" s="1"/>
  <c r="D230"/>
  <c r="W230" s="1"/>
  <c r="C230"/>
  <c r="B231"/>
  <c r="E242" i="1"/>
  <c r="F244" i="52"/>
  <c r="A226" i="26"/>
  <c r="B226" s="1"/>
  <c r="K242" i="1"/>
  <c r="N242" s="1"/>
  <c r="C242"/>
  <c r="D242" s="1"/>
  <c r="B243"/>
  <c r="B225" i="38"/>
  <c r="L242" i="1"/>
  <c r="M241" s="1"/>
  <c r="A249" i="53"/>
  <c r="B250" s="1"/>
  <c r="A242" i="1"/>
  <c r="BK222" i="38"/>
  <c r="AS222"/>
  <c r="AU222" s="1"/>
  <c r="AV222" s="1"/>
  <c r="BA222" s="1"/>
  <c r="BB222" s="1"/>
  <c r="BH222" s="1"/>
  <c r="BJ222" s="1"/>
  <c r="P222" s="1"/>
  <c r="O222" s="1"/>
  <c r="AK241" i="1"/>
  <c r="AJ241"/>
  <c r="AI241"/>
  <c r="Z241"/>
  <c r="AH241"/>
  <c r="BC241"/>
  <c r="P241"/>
  <c r="S239"/>
  <c r="W240"/>
  <c r="R240"/>
  <c r="BK221" i="38"/>
  <c r="AS221"/>
  <c r="AU221" s="1"/>
  <c r="AV221" s="1"/>
  <c r="BA221" s="1"/>
  <c r="BB221" s="1"/>
  <c r="BH221" s="1"/>
  <c r="BJ221" s="1"/>
  <c r="P221" s="1"/>
  <c r="O221" s="1"/>
  <c r="CO31" i="55"/>
  <c r="I240" i="53"/>
  <c r="E243" i="52"/>
  <c r="V229" i="48"/>
  <c r="F229"/>
  <c r="Y229" s="1"/>
  <c r="D224" i="38"/>
  <c r="E224"/>
  <c r="Z224"/>
  <c r="F224"/>
  <c r="AM224" s="1"/>
  <c r="AF233" i="1"/>
  <c r="AD234"/>
  <c r="AO223" i="38"/>
  <c r="AP223" s="1"/>
  <c r="AQ223" s="1"/>
  <c r="AN223"/>
  <c r="AR223" l="1"/>
  <c r="AS223" s="1"/>
  <c r="AU223" s="1"/>
  <c r="AV223" s="1"/>
  <c r="BA223" s="1"/>
  <c r="BB223" s="1"/>
  <c r="BH223" s="1"/>
  <c r="BJ223" s="1"/>
  <c r="P223" s="1"/>
  <c r="AL236" i="1"/>
  <c r="AM236"/>
  <c r="BA239"/>
  <c r="BD239" s="1"/>
  <c r="BE239" s="1"/>
  <c r="T239" s="1"/>
  <c r="U239" s="1"/>
  <c r="G243" i="53"/>
  <c r="AZ4" i="55"/>
  <c r="AB237" i="1"/>
  <c r="AE237" s="1"/>
  <c r="AA237"/>
  <c r="E244" i="53" s="1"/>
  <c r="D242"/>
  <c r="J3" i="55" s="1"/>
  <c r="BU3"/>
  <c r="V238" i="1"/>
  <c r="X238"/>
  <c r="AC238" s="1"/>
  <c r="AO224" i="38"/>
  <c r="AP224" s="1"/>
  <c r="AQ224" s="1"/>
  <c r="AN224"/>
  <c r="E244" i="52"/>
  <c r="CO32" i="55"/>
  <c r="I241" i="53"/>
  <c r="P242" i="1"/>
  <c r="C231" i="48"/>
  <c r="E231"/>
  <c r="X231" s="1"/>
  <c r="D231"/>
  <c r="W231" s="1"/>
  <c r="B232"/>
  <c r="AF234" i="1"/>
  <c r="AD235"/>
  <c r="S240"/>
  <c r="W241"/>
  <c r="R241"/>
  <c r="E225" i="38"/>
  <c r="D225"/>
  <c r="Z225"/>
  <c r="F225"/>
  <c r="AM225" s="1"/>
  <c r="V230" i="48"/>
  <c r="F230"/>
  <c r="Y230" s="1"/>
  <c r="Z242" i="1"/>
  <c r="AJ242"/>
  <c r="AI242"/>
  <c r="AH242"/>
  <c r="AK242"/>
  <c r="BC242"/>
  <c r="F245" i="52"/>
  <c r="A227" i="26"/>
  <c r="B227" s="1"/>
  <c r="E243" i="1"/>
  <c r="L243"/>
  <c r="M242" s="1"/>
  <c r="B226" i="38"/>
  <c r="C243" i="1"/>
  <c r="D243" s="1"/>
  <c r="K243"/>
  <c r="N243" s="1"/>
  <c r="A243"/>
  <c r="A250" i="53"/>
  <c r="B251" s="1"/>
  <c r="B244" i="1"/>
  <c r="BK223" i="38" l="1"/>
  <c r="AR224"/>
  <c r="AL237" i="1"/>
  <c r="AM237"/>
  <c r="BA240"/>
  <c r="V239"/>
  <c r="X239"/>
  <c r="AC239" s="1"/>
  <c r="AB238"/>
  <c r="AE238" s="1"/>
  <c r="AA238"/>
  <c r="E245" i="53" s="1"/>
  <c r="G244"/>
  <c r="AZ5" i="55"/>
  <c r="D243" i="53"/>
  <c r="J4" i="55" s="1"/>
  <c r="BU4"/>
  <c r="P243" i="1"/>
  <c r="E245" i="52"/>
  <c r="F246"/>
  <c r="A228" i="26"/>
  <c r="B228" s="1"/>
  <c r="L244" i="1"/>
  <c r="M243" s="1"/>
  <c r="C244"/>
  <c r="D244" s="1"/>
  <c r="E244"/>
  <c r="K244"/>
  <c r="N244" s="1"/>
  <c r="A251" i="53"/>
  <c r="B252" s="1"/>
  <c r="A244" i="1"/>
  <c r="B245"/>
  <c r="B227" i="38"/>
  <c r="O223"/>
  <c r="F231" i="48"/>
  <c r="Y231" s="1"/>
  <c r="V231"/>
  <c r="CO33" i="55"/>
  <c r="I242" i="53"/>
  <c r="Z226" i="38"/>
  <c r="E226"/>
  <c r="D226"/>
  <c r="F226"/>
  <c r="AM226" s="1"/>
  <c r="AI243" i="1"/>
  <c r="AH243"/>
  <c r="Z243"/>
  <c r="AJ243"/>
  <c r="AK243"/>
  <c r="BC243"/>
  <c r="AO225" i="38"/>
  <c r="AP225" s="1"/>
  <c r="AQ225" s="1"/>
  <c r="AN225"/>
  <c r="S241" i="1"/>
  <c r="AF235"/>
  <c r="AD236"/>
  <c r="C232" i="48"/>
  <c r="D232"/>
  <c r="W232" s="1"/>
  <c r="E232"/>
  <c r="X232" s="1"/>
  <c r="B233"/>
  <c r="W242" i="1"/>
  <c r="R242"/>
  <c r="BK224" i="38"/>
  <c r="AS224"/>
  <c r="AU224" s="1"/>
  <c r="AV224" s="1"/>
  <c r="BA224" s="1"/>
  <c r="BB224" s="1"/>
  <c r="BH224" s="1"/>
  <c r="BJ224" s="1"/>
  <c r="P224" s="1"/>
  <c r="AR225" l="1"/>
  <c r="AS225" s="1"/>
  <c r="AU225" s="1"/>
  <c r="AV225" s="1"/>
  <c r="BA225" s="1"/>
  <c r="BB225" s="1"/>
  <c r="BH225" s="1"/>
  <c r="BJ225" s="1"/>
  <c r="P225" s="1"/>
  <c r="O225" s="1"/>
  <c r="AL238" i="1"/>
  <c r="AM238"/>
  <c r="BD240"/>
  <c r="BE240" s="1"/>
  <c r="T240" s="1"/>
  <c r="U240" s="1"/>
  <c r="BA241"/>
  <c r="AA239"/>
  <c r="E246" i="53" s="1"/>
  <c r="AB239" i="1"/>
  <c r="AE239" s="1"/>
  <c r="D244" i="53"/>
  <c r="J5" i="55" s="1"/>
  <c r="BU5"/>
  <c r="G245" i="53"/>
  <c r="AZ6" i="55"/>
  <c r="O224" i="38"/>
  <c r="Z227"/>
  <c r="D227"/>
  <c r="E227"/>
  <c r="F227"/>
  <c r="AM227" s="1"/>
  <c r="P244" i="1"/>
  <c r="S242"/>
  <c r="AO226" i="38"/>
  <c r="AP226" s="1"/>
  <c r="AQ226" s="1"/>
  <c r="AN226"/>
  <c r="AR226" s="1"/>
  <c r="A252" i="53"/>
  <c r="B253" s="1"/>
  <c r="A229" i="26"/>
  <c r="B229" s="1"/>
  <c r="F247" i="52"/>
  <c r="E245" i="1"/>
  <c r="C245"/>
  <c r="D245" s="1"/>
  <c r="L245"/>
  <c r="M244" s="1"/>
  <c r="K245"/>
  <c r="N245" s="1"/>
  <c r="B228" i="38"/>
  <c r="B246" i="1"/>
  <c r="A245"/>
  <c r="E246" i="52"/>
  <c r="F232" i="48"/>
  <c r="Y232" s="1"/>
  <c r="V232"/>
  <c r="AI244" i="1"/>
  <c r="AJ244"/>
  <c r="AK244"/>
  <c r="AH244"/>
  <c r="Z244"/>
  <c r="BC244"/>
  <c r="C233" i="48"/>
  <c r="D233"/>
  <c r="W233" s="1"/>
  <c r="B234"/>
  <c r="E233"/>
  <c r="X233" s="1"/>
  <c r="AF236" i="1"/>
  <c r="AD237"/>
  <c r="CP3" i="55"/>
  <c r="I243" i="53"/>
  <c r="W243" i="1"/>
  <c r="R243"/>
  <c r="BK225" i="38" l="1"/>
  <c r="AL239" i="1"/>
  <c r="AM239"/>
  <c r="BD241"/>
  <c r="BE241" s="1"/>
  <c r="T241" s="1"/>
  <c r="U241" s="1"/>
  <c r="BA242"/>
  <c r="V240"/>
  <c r="X240"/>
  <c r="AC240" s="1"/>
  <c r="AZ7" i="55"/>
  <c r="G246" i="53"/>
  <c r="D245"/>
  <c r="J6" i="55" s="1"/>
  <c r="BU6"/>
  <c r="AK245" i="1"/>
  <c r="Z245"/>
  <c r="AI245"/>
  <c r="AH245"/>
  <c r="AJ245"/>
  <c r="BC245"/>
  <c r="W244"/>
  <c r="R244"/>
  <c r="AN227" i="38"/>
  <c r="AR227" s="1"/>
  <c r="AO227"/>
  <c r="AP227" s="1"/>
  <c r="AQ227" s="1"/>
  <c r="S243" i="1"/>
  <c r="D234" i="48"/>
  <c r="W234" s="1"/>
  <c r="C234"/>
  <c r="B235"/>
  <c r="E234"/>
  <c r="X234" s="1"/>
  <c r="F248" i="52"/>
  <c r="L246" i="1"/>
  <c r="M245" s="1"/>
  <c r="C246"/>
  <c r="D246" s="1"/>
  <c r="A253" i="53"/>
  <c r="B254" s="1"/>
  <c r="A230" i="26"/>
  <c r="B230" s="1"/>
  <c r="E246" i="1"/>
  <c r="A246"/>
  <c r="K246"/>
  <c r="N246" s="1"/>
  <c r="B247"/>
  <c r="B229" i="38"/>
  <c r="CP4" i="55"/>
  <c r="I244" i="53"/>
  <c r="AF237" i="1"/>
  <c r="AD238"/>
  <c r="D228" i="38"/>
  <c r="E228"/>
  <c r="Z228"/>
  <c r="F228"/>
  <c r="AM228" s="1"/>
  <c r="E247" i="52"/>
  <c r="V233" i="48"/>
  <c r="F233"/>
  <c r="Y233" s="1"/>
  <c r="P245" i="1"/>
  <c r="BK226" i="38"/>
  <c r="AS226"/>
  <c r="AU226" s="1"/>
  <c r="AV226" s="1"/>
  <c r="BA226" s="1"/>
  <c r="BB226" s="1"/>
  <c r="BH226" s="1"/>
  <c r="BJ226" s="1"/>
  <c r="P226" s="1"/>
  <c r="BD242" i="1" l="1"/>
  <c r="BE242" s="1"/>
  <c r="T242" s="1"/>
  <c r="U242" s="1"/>
  <c r="BA243"/>
  <c r="V241"/>
  <c r="X241"/>
  <c r="AC241" s="1"/>
  <c r="AB240"/>
  <c r="AE240" s="1"/>
  <c r="AA240"/>
  <c r="E247" i="53" s="1"/>
  <c r="BU7" i="55"/>
  <c r="D246" i="53"/>
  <c r="J7" i="55" s="1"/>
  <c r="P246" i="1"/>
  <c r="AI246"/>
  <c r="AH246"/>
  <c r="AK246"/>
  <c r="AJ246"/>
  <c r="BC246"/>
  <c r="Z246"/>
  <c r="D235" i="48"/>
  <c r="W235" s="1"/>
  <c r="C235"/>
  <c r="E235"/>
  <c r="X235" s="1"/>
  <c r="B236"/>
  <c r="BK227" i="38"/>
  <c r="AS227"/>
  <c r="AU227" s="1"/>
  <c r="AV227" s="1"/>
  <c r="BA227" s="1"/>
  <c r="BB227" s="1"/>
  <c r="BH227" s="1"/>
  <c r="BJ227" s="1"/>
  <c r="P227" s="1"/>
  <c r="O226"/>
  <c r="AN228"/>
  <c r="AO228"/>
  <c r="AP228" s="1"/>
  <c r="AQ228" s="1"/>
  <c r="AF238" i="1"/>
  <c r="AD239"/>
  <c r="E229" i="38"/>
  <c r="D229"/>
  <c r="Z229"/>
  <c r="F229"/>
  <c r="AM229" s="1"/>
  <c r="E248" i="52"/>
  <c r="F234" i="48"/>
  <c r="Y234" s="1"/>
  <c r="V234"/>
  <c r="S244" i="1"/>
  <c r="W245"/>
  <c r="R245"/>
  <c r="CP5" i="55"/>
  <c r="I245" i="53"/>
  <c r="F249" i="52"/>
  <c r="C247" i="1"/>
  <c r="D247" s="1"/>
  <c r="A231" i="26"/>
  <c r="B231" s="1"/>
  <c r="A254" i="53"/>
  <c r="B255" s="1"/>
  <c r="E247" i="1"/>
  <c r="B248"/>
  <c r="K247"/>
  <c r="N247" s="1"/>
  <c r="A247"/>
  <c r="B230" i="38"/>
  <c r="L247" i="1"/>
  <c r="M246" s="1"/>
  <c r="AL240" l="1"/>
  <c r="AM240"/>
  <c r="AZ8" i="55"/>
  <c r="G247" i="53"/>
  <c r="BD243" i="1"/>
  <c r="BE243" s="1"/>
  <c r="T243" s="1"/>
  <c r="U243" s="1"/>
  <c r="BA244"/>
  <c r="V242"/>
  <c r="X242"/>
  <c r="AC242" s="1"/>
  <c r="AB241"/>
  <c r="AE241" s="1"/>
  <c r="AA241"/>
  <c r="E248" i="53" s="1"/>
  <c r="F250" i="52"/>
  <c r="L248" i="1"/>
  <c r="M247" s="1"/>
  <c r="C248"/>
  <c r="D248" s="1"/>
  <c r="K248"/>
  <c r="N248" s="1"/>
  <c r="B249"/>
  <c r="A248"/>
  <c r="A255" i="53"/>
  <c r="B256" s="1"/>
  <c r="E248" i="1"/>
  <c r="A232" i="26"/>
  <c r="B232" s="1"/>
  <c r="B231" i="38"/>
  <c r="AR228"/>
  <c r="V235" i="48"/>
  <c r="F235"/>
  <c r="Y235" s="1"/>
  <c r="E230" i="38"/>
  <c r="Z230"/>
  <c r="D230"/>
  <c r="F230"/>
  <c r="AM230" s="1"/>
  <c r="E249" i="52"/>
  <c r="O227" i="38"/>
  <c r="W246" i="1"/>
  <c r="R246"/>
  <c r="Z247"/>
  <c r="AH247"/>
  <c r="AJ247"/>
  <c r="AK247"/>
  <c r="AI247"/>
  <c r="BC247"/>
  <c r="CP6" i="55"/>
  <c r="I246" i="53"/>
  <c r="E236" i="48"/>
  <c r="X236" s="1"/>
  <c r="B237"/>
  <c r="C236"/>
  <c r="D236"/>
  <c r="W236" s="1"/>
  <c r="P247" i="1"/>
  <c r="S245"/>
  <c r="AO229" i="38"/>
  <c r="AP229" s="1"/>
  <c r="AQ229" s="1"/>
  <c r="AN229"/>
  <c r="AF239" i="1"/>
  <c r="AD240"/>
  <c r="AL241" l="1"/>
  <c r="AM241"/>
  <c r="V243"/>
  <c r="X243"/>
  <c r="AC243" s="1"/>
  <c r="AB242"/>
  <c r="AE242" s="1"/>
  <c r="AA242"/>
  <c r="E249" i="53" s="1"/>
  <c r="BU8" i="55"/>
  <c r="D247" i="53"/>
  <c r="J8" i="55" s="1"/>
  <c r="G248" i="53"/>
  <c r="AZ9" i="55"/>
  <c r="BD244" i="1"/>
  <c r="BE244" s="1"/>
  <c r="T244" s="1"/>
  <c r="U244" s="1"/>
  <c r="BA245"/>
  <c r="BK228" i="38"/>
  <c r="AS228"/>
  <c r="AU228" s="1"/>
  <c r="AV228" s="1"/>
  <c r="BA228" s="1"/>
  <c r="BB228" s="1"/>
  <c r="BH228" s="1"/>
  <c r="BJ228" s="1"/>
  <c r="P228" s="1"/>
  <c r="E250" i="52"/>
  <c r="P248" i="1"/>
  <c r="AF240"/>
  <c r="AD241"/>
  <c r="CP7" i="55"/>
  <c r="I247" i="53"/>
  <c r="W247" i="1"/>
  <c r="R247"/>
  <c r="V236" i="48"/>
  <c r="F236"/>
  <c r="Y236" s="1"/>
  <c r="S246" i="1"/>
  <c r="D231" i="38"/>
  <c r="E231"/>
  <c r="Z231"/>
  <c r="F231"/>
  <c r="AM231" s="1"/>
  <c r="AK248" i="1"/>
  <c r="AI248"/>
  <c r="AH248"/>
  <c r="AJ248"/>
  <c r="Z248"/>
  <c r="BC248"/>
  <c r="AR229" i="38"/>
  <c r="C237" i="48"/>
  <c r="E237"/>
  <c r="X237" s="1"/>
  <c r="D237"/>
  <c r="W237" s="1"/>
  <c r="B238"/>
  <c r="AN230" i="38"/>
  <c r="AO230"/>
  <c r="AP230" s="1"/>
  <c r="AQ230" s="1"/>
  <c r="F251" i="52"/>
  <c r="A256" i="53"/>
  <c r="B257" s="1"/>
  <c r="C249" i="1"/>
  <c r="D249" s="1"/>
  <c r="L249"/>
  <c r="M248" s="1"/>
  <c r="E249"/>
  <c r="K249"/>
  <c r="N249" s="1"/>
  <c r="B232" i="38"/>
  <c r="A233" i="26"/>
  <c r="B233" s="1"/>
  <c r="B250" i="1"/>
  <c r="A249"/>
  <c r="AL242" l="1"/>
  <c r="AM242"/>
  <c r="BU9" i="55"/>
  <c r="D248" i="53"/>
  <c r="J9" i="55" s="1"/>
  <c r="BD245" i="1"/>
  <c r="BE245" s="1"/>
  <c r="T245" s="1"/>
  <c r="U245" s="1"/>
  <c r="BA246"/>
  <c r="V244"/>
  <c r="X244"/>
  <c r="AC244" s="1"/>
  <c r="AB243"/>
  <c r="AE243" s="1"/>
  <c r="AA243"/>
  <c r="E250" i="53" s="1"/>
  <c r="AZ10" i="55"/>
  <c r="G249" i="53"/>
  <c r="AH249" i="1"/>
  <c r="Z249"/>
  <c r="BC249"/>
  <c r="AJ249"/>
  <c r="AI249"/>
  <c r="AK249"/>
  <c r="P249"/>
  <c r="E250"/>
  <c r="A234" i="26"/>
  <c r="B234" s="1"/>
  <c r="F252" i="52"/>
  <c r="L250" i="1"/>
  <c r="M249" s="1"/>
  <c r="C250"/>
  <c r="D250" s="1"/>
  <c r="K250"/>
  <c r="N250" s="1"/>
  <c r="B251"/>
  <c r="A250"/>
  <c r="B233" i="38"/>
  <c r="A257" i="53"/>
  <c r="B258" s="1"/>
  <c r="E251" i="52"/>
  <c r="D238" i="48"/>
  <c r="W238" s="1"/>
  <c r="C238"/>
  <c r="E238"/>
  <c r="X238" s="1"/>
  <c r="B239"/>
  <c r="BK229" i="38"/>
  <c r="AS229"/>
  <c r="AU229" s="1"/>
  <c r="AV229" s="1"/>
  <c r="BA229" s="1"/>
  <c r="BB229" s="1"/>
  <c r="BH229" s="1"/>
  <c r="BJ229" s="1"/>
  <c r="P229" s="1"/>
  <c r="O229" s="1"/>
  <c r="AN231"/>
  <c r="AR231" s="1"/>
  <c r="AO231"/>
  <c r="AP231" s="1"/>
  <c r="AQ231" s="1"/>
  <c r="AF241" i="1"/>
  <c r="AD242"/>
  <c r="D232" i="38"/>
  <c r="E232"/>
  <c r="Z232"/>
  <c r="F232"/>
  <c r="AM232" s="1"/>
  <c r="AR230"/>
  <c r="S247" i="1"/>
  <c r="CP8" i="55"/>
  <c r="I248" i="53"/>
  <c r="O228" i="38"/>
  <c r="V237" i="48"/>
  <c r="F237"/>
  <c r="Y237" s="1"/>
  <c r="W248" i="1"/>
  <c r="R248"/>
  <c r="AL243" l="1"/>
  <c r="AM243"/>
  <c r="BD246"/>
  <c r="BE246" s="1"/>
  <c r="T246" s="1"/>
  <c r="U246" s="1"/>
  <c r="BA247"/>
  <c r="BU10" i="55"/>
  <c r="D249" i="53"/>
  <c r="J10" i="55" s="1"/>
  <c r="AA244" i="1"/>
  <c r="E251" i="53" s="1"/>
  <c r="AB244" i="1"/>
  <c r="AE244" s="1"/>
  <c r="V245"/>
  <c r="X245"/>
  <c r="AC245" s="1"/>
  <c r="AZ11" i="55"/>
  <c r="G250" i="53"/>
  <c r="AF242" i="1"/>
  <c r="AD243"/>
  <c r="V238" i="48"/>
  <c r="F238"/>
  <c r="Y238" s="1"/>
  <c r="F253" i="52"/>
  <c r="A235" i="26"/>
  <c r="B235" s="1"/>
  <c r="A258" i="53"/>
  <c r="B259" s="1"/>
  <c r="E251" i="1"/>
  <c r="B234" i="38"/>
  <c r="L251" i="1"/>
  <c r="M250" s="1"/>
  <c r="B252"/>
  <c r="K251"/>
  <c r="N251" s="1"/>
  <c r="A251"/>
  <c r="C251"/>
  <c r="D251" s="1"/>
  <c r="P250"/>
  <c r="CP9" i="55"/>
  <c r="I249" i="53"/>
  <c r="BK230" i="38"/>
  <c r="AS230"/>
  <c r="AU230" s="1"/>
  <c r="AV230" s="1"/>
  <c r="BA230" s="1"/>
  <c r="BB230" s="1"/>
  <c r="BH230" s="1"/>
  <c r="BJ230" s="1"/>
  <c r="P230" s="1"/>
  <c r="E239" i="48"/>
  <c r="X239" s="1"/>
  <c r="C239"/>
  <c r="D239"/>
  <c r="W239" s="1"/>
  <c r="B240"/>
  <c r="Z233" i="38"/>
  <c r="D233"/>
  <c r="E233"/>
  <c r="F233"/>
  <c r="AM233" s="1"/>
  <c r="E252" i="52"/>
  <c r="W249" i="1"/>
  <c r="R249"/>
  <c r="S248"/>
  <c r="AO232" i="38"/>
  <c r="AP232" s="1"/>
  <c r="AQ232" s="1"/>
  <c r="AN232"/>
  <c r="BK231"/>
  <c r="AS231"/>
  <c r="AU231" s="1"/>
  <c r="AV231" s="1"/>
  <c r="BA231" s="1"/>
  <c r="BB231" s="1"/>
  <c r="BH231" s="1"/>
  <c r="BJ231" s="1"/>
  <c r="P231" s="1"/>
  <c r="O231" s="1"/>
  <c r="AI250" i="1"/>
  <c r="Z250"/>
  <c r="AJ250"/>
  <c r="BC250"/>
  <c r="AK250"/>
  <c r="AH250"/>
  <c r="AL244" l="1"/>
  <c r="AM244"/>
  <c r="AB245"/>
  <c r="AE245" s="1"/>
  <c r="AA245"/>
  <c r="E252" i="53" s="1"/>
  <c r="D250"/>
  <c r="J11" i="55" s="1"/>
  <c r="BU11"/>
  <c r="BD247" i="1"/>
  <c r="BE247" s="1"/>
  <c r="T247" s="1"/>
  <c r="U247" s="1"/>
  <c r="BA248"/>
  <c r="AZ12" i="55"/>
  <c r="G251" i="53"/>
  <c r="V246" i="1"/>
  <c r="X246"/>
  <c r="AC246" s="1"/>
  <c r="AR232" i="38"/>
  <c r="V239" i="48"/>
  <c r="F239"/>
  <c r="Y239" s="1"/>
  <c r="Z251" i="1"/>
  <c r="AH251"/>
  <c r="AK251"/>
  <c r="AJ251"/>
  <c r="AI251"/>
  <c r="BC251"/>
  <c r="D234" i="38"/>
  <c r="Z234"/>
  <c r="E234"/>
  <c r="F234"/>
  <c r="AM234" s="1"/>
  <c r="S249" i="1"/>
  <c r="O230" i="38"/>
  <c r="P251" i="1"/>
  <c r="E253" i="52"/>
  <c r="AO233" i="38"/>
  <c r="AP233" s="1"/>
  <c r="AQ233" s="1"/>
  <c r="AN233"/>
  <c r="C240" i="48"/>
  <c r="D240"/>
  <c r="W240" s="1"/>
  <c r="E240"/>
  <c r="X240" s="1"/>
  <c r="B241"/>
  <c r="CP10" i="55"/>
  <c r="I250" i="53"/>
  <c r="W250" i="1"/>
  <c r="R250"/>
  <c r="A259" i="53"/>
  <c r="B260" s="1"/>
  <c r="E252" i="1"/>
  <c r="L252"/>
  <c r="M251" s="1"/>
  <c r="F254" i="52"/>
  <c r="C252" i="1"/>
  <c r="D252" s="1"/>
  <c r="B235" i="38"/>
  <c r="K252" i="1"/>
  <c r="N252" s="1"/>
  <c r="B253"/>
  <c r="A236" i="26"/>
  <c r="B236" s="1"/>
  <c r="A252" i="1"/>
  <c r="AF243"/>
  <c r="AD244"/>
  <c r="AL245" l="1"/>
  <c r="AM245"/>
  <c r="AA246"/>
  <c r="E253" i="53" s="1"/>
  <c r="AB246" i="1"/>
  <c r="AE246" s="1"/>
  <c r="BD248"/>
  <c r="BE248" s="1"/>
  <c r="T248" s="1"/>
  <c r="U248" s="1"/>
  <c r="BA249"/>
  <c r="V247"/>
  <c r="X247"/>
  <c r="AC247" s="1"/>
  <c r="G252" i="53"/>
  <c r="AZ13" i="55"/>
  <c r="D251" i="53"/>
  <c r="J12" i="55" s="1"/>
  <c r="BU12"/>
  <c r="AF244" i="1"/>
  <c r="AD245"/>
  <c r="S250"/>
  <c r="CP11" i="55"/>
  <c r="I251" i="53"/>
  <c r="V240" i="48"/>
  <c r="F240"/>
  <c r="Y240" s="1"/>
  <c r="E253" i="1"/>
  <c r="F255" i="52"/>
  <c r="C253" i="1"/>
  <c r="D253" s="1"/>
  <c r="K253"/>
  <c r="N253" s="1"/>
  <c r="B236" i="38"/>
  <c r="A260" i="53"/>
  <c r="B261" s="1"/>
  <c r="A253" i="1"/>
  <c r="A237" i="26"/>
  <c r="B237" s="1"/>
  <c r="B254" i="1"/>
  <c r="L253"/>
  <c r="M252" s="1"/>
  <c r="E241" i="48"/>
  <c r="X241" s="1"/>
  <c r="C241"/>
  <c r="D241"/>
  <c r="W241" s="1"/>
  <c r="B242"/>
  <c r="AR233" i="38"/>
  <c r="BK232"/>
  <c r="AS232"/>
  <c r="AU232" s="1"/>
  <c r="AV232" s="1"/>
  <c r="BA232" s="1"/>
  <c r="BB232" s="1"/>
  <c r="BH232" s="1"/>
  <c r="BJ232" s="1"/>
  <c r="P232" s="1"/>
  <c r="P252" i="1"/>
  <c r="AJ252"/>
  <c r="Z252"/>
  <c r="AK252"/>
  <c r="BC252"/>
  <c r="AH252"/>
  <c r="AI252"/>
  <c r="D235" i="38"/>
  <c r="E235"/>
  <c r="Z235"/>
  <c r="F235"/>
  <c r="AM235" s="1"/>
  <c r="E254" i="52"/>
  <c r="W251" i="1"/>
  <c r="R251"/>
  <c r="AO234" i="38"/>
  <c r="AP234" s="1"/>
  <c r="AQ234" s="1"/>
  <c r="AN234"/>
  <c r="AL246" i="1" l="1"/>
  <c r="AM246"/>
  <c r="D252" i="53"/>
  <c r="J13" i="55" s="1"/>
  <c r="BU13"/>
  <c r="V248" i="1"/>
  <c r="X248"/>
  <c r="AC248" s="1"/>
  <c r="AB247"/>
  <c r="AE247" s="1"/>
  <c r="AA247"/>
  <c r="E254" i="53" s="1"/>
  <c r="G253"/>
  <c r="AZ14" i="55"/>
  <c r="BD249" i="1"/>
  <c r="BE249" s="1"/>
  <c r="T249" s="1"/>
  <c r="U249" s="1"/>
  <c r="BA250"/>
  <c r="AR234" i="38"/>
  <c r="AN235"/>
  <c r="AO235"/>
  <c r="AP235" s="1"/>
  <c r="AQ235" s="1"/>
  <c r="F241" i="48"/>
  <c r="Y241" s="1"/>
  <c r="V241"/>
  <c r="C254" i="1"/>
  <c r="D254" s="1"/>
  <c r="A238" i="26"/>
  <c r="B238" s="1"/>
  <c r="L254" i="1"/>
  <c r="M253" s="1"/>
  <c r="E254"/>
  <c r="F256" i="52"/>
  <c r="K254" i="1"/>
  <c r="N254" s="1"/>
  <c r="B255"/>
  <c r="A261" i="53"/>
  <c r="B262" s="1"/>
  <c r="A254" i="1"/>
  <c r="B237" i="38"/>
  <c r="Z236"/>
  <c r="E236"/>
  <c r="D236"/>
  <c r="F236"/>
  <c r="AM236" s="1"/>
  <c r="E255" i="52"/>
  <c r="W252" i="1"/>
  <c r="R252"/>
  <c r="BK233" i="38"/>
  <c r="AS233"/>
  <c r="AU233" s="1"/>
  <c r="AV233" s="1"/>
  <c r="BA233" s="1"/>
  <c r="BB233" s="1"/>
  <c r="BH233" s="1"/>
  <c r="BJ233" s="1"/>
  <c r="P233" s="1"/>
  <c r="O233" s="1"/>
  <c r="P253" i="1"/>
  <c r="CP12" i="55"/>
  <c r="I252" i="53"/>
  <c r="E242" i="48"/>
  <c r="X242" s="1"/>
  <c r="D242"/>
  <c r="W242" s="1"/>
  <c r="C242"/>
  <c r="B243"/>
  <c r="AK253" i="1"/>
  <c r="AH253"/>
  <c r="AJ253"/>
  <c r="AI253"/>
  <c r="Z253"/>
  <c r="BC253"/>
  <c r="S251"/>
  <c r="O232" i="38"/>
  <c r="AF245" i="1"/>
  <c r="AD246"/>
  <c r="AR235" i="38" l="1"/>
  <c r="AS235" s="1"/>
  <c r="AU235" s="1"/>
  <c r="AV235" s="1"/>
  <c r="BA235" s="1"/>
  <c r="BB235" s="1"/>
  <c r="BH235" s="1"/>
  <c r="BJ235" s="1"/>
  <c r="P235" s="1"/>
  <c r="O235" s="1"/>
  <c r="AL247" i="1"/>
  <c r="AM247"/>
  <c r="D253" i="53"/>
  <c r="J14" i="55" s="1"/>
  <c r="BU14"/>
  <c r="BD250" i="1"/>
  <c r="BE250" s="1"/>
  <c r="T250" s="1"/>
  <c r="U250" s="1"/>
  <c r="BA251"/>
  <c r="AZ15" i="55"/>
  <c r="G254" i="53"/>
  <c r="V249" i="1"/>
  <c r="X249"/>
  <c r="AC249" s="1"/>
  <c r="AB248"/>
  <c r="AE248" s="1"/>
  <c r="AA248"/>
  <c r="E255" i="53" s="1"/>
  <c r="R253" i="1"/>
  <c r="W253"/>
  <c r="S252"/>
  <c r="E256" i="52"/>
  <c r="E255" i="1"/>
  <c r="A239" i="26"/>
  <c r="B239" s="1"/>
  <c r="F257" i="52"/>
  <c r="L255" i="1"/>
  <c r="M254" s="1"/>
  <c r="A262" i="53"/>
  <c r="B263" s="1"/>
  <c r="A255" i="1"/>
  <c r="C255"/>
  <c r="D255" s="1"/>
  <c r="K255"/>
  <c r="N255" s="1"/>
  <c r="B256"/>
  <c r="B238" i="38"/>
  <c r="D243" i="48"/>
  <c r="W243" s="1"/>
  <c r="C243"/>
  <c r="E243"/>
  <c r="X243" s="1"/>
  <c r="B244"/>
  <c r="AO236" i="38"/>
  <c r="AP236" s="1"/>
  <c r="AQ236" s="1"/>
  <c r="AN236"/>
  <c r="AR236" s="1"/>
  <c r="Z237"/>
  <c r="E237"/>
  <c r="D237"/>
  <c r="F237"/>
  <c r="AM237" s="1"/>
  <c r="P254" i="1"/>
  <c r="BK234" i="38"/>
  <c r="AS234"/>
  <c r="AU234" s="1"/>
  <c r="AV234" s="1"/>
  <c r="BA234" s="1"/>
  <c r="BB234" s="1"/>
  <c r="BH234" s="1"/>
  <c r="BJ234" s="1"/>
  <c r="P234" s="1"/>
  <c r="AF246" i="1"/>
  <c r="AD247"/>
  <c r="V242" i="48"/>
  <c r="F242"/>
  <c r="Y242" s="1"/>
  <c r="CP13" i="55"/>
  <c r="I253" i="53"/>
  <c r="AH254" i="1"/>
  <c r="AK254"/>
  <c r="Z254"/>
  <c r="BC254"/>
  <c r="AI254"/>
  <c r="AJ254"/>
  <c r="BK235" i="38" l="1"/>
  <c r="AL248" i="1"/>
  <c r="AM248"/>
  <c r="AB249"/>
  <c r="AE249" s="1"/>
  <c r="AA249"/>
  <c r="E256" i="53" s="1"/>
  <c r="BD251" i="1"/>
  <c r="BE251" s="1"/>
  <c r="T251" s="1"/>
  <c r="U251" s="1"/>
  <c r="BA252"/>
  <c r="AZ16" i="55"/>
  <c r="G255" i="53"/>
  <c r="V250" i="1"/>
  <c r="X250"/>
  <c r="AC250" s="1"/>
  <c r="D254" i="53"/>
  <c r="J15" i="55" s="1"/>
  <c r="BU15"/>
  <c r="W254" i="1"/>
  <c r="R254"/>
  <c r="AN237" i="38"/>
  <c r="AO237"/>
  <c r="AP237" s="1"/>
  <c r="AQ237" s="1"/>
  <c r="BK236"/>
  <c r="AS236"/>
  <c r="AU236" s="1"/>
  <c r="AV236" s="1"/>
  <c r="BA236" s="1"/>
  <c r="BB236" s="1"/>
  <c r="BH236" s="1"/>
  <c r="BJ236" s="1"/>
  <c r="P236" s="1"/>
  <c r="O236" s="1"/>
  <c r="E238"/>
  <c r="D238"/>
  <c r="Z238"/>
  <c r="F238"/>
  <c r="AM238" s="1"/>
  <c r="AK255" i="1"/>
  <c r="BC255"/>
  <c r="AH255"/>
  <c r="AI255"/>
  <c r="AJ255"/>
  <c r="Z255"/>
  <c r="CP14" i="55"/>
  <c r="I254" i="53"/>
  <c r="F243" i="48"/>
  <c r="Y243" s="1"/>
  <c r="V243"/>
  <c r="F258" i="52"/>
  <c r="L256" i="1"/>
  <c r="M255" s="1"/>
  <c r="C256"/>
  <c r="D256" s="1"/>
  <c r="K256"/>
  <c r="N256" s="1"/>
  <c r="B257"/>
  <c r="E256"/>
  <c r="B239" i="38"/>
  <c r="A263" i="53"/>
  <c r="B264" s="1"/>
  <c r="A256" i="1"/>
  <c r="A240" i="26"/>
  <c r="B240" s="1"/>
  <c r="E257" i="52"/>
  <c r="O234" i="38"/>
  <c r="P255" i="1"/>
  <c r="AF247"/>
  <c r="AD248"/>
  <c r="C244" i="48"/>
  <c r="E244"/>
  <c r="X244" s="1"/>
  <c r="B245"/>
  <c r="D244"/>
  <c r="W244" s="1"/>
  <c r="S253" i="1"/>
  <c r="AL249" l="1"/>
  <c r="AM249"/>
  <c r="BD252"/>
  <c r="BE252" s="1"/>
  <c r="T252" s="1"/>
  <c r="U252" s="1"/>
  <c r="BA253"/>
  <c r="BU16" i="55"/>
  <c r="D255" i="53"/>
  <c r="J16" i="55" s="1"/>
  <c r="V251" i="1"/>
  <c r="X251"/>
  <c r="AC251" s="1"/>
  <c r="AZ17" i="55"/>
  <c r="G256" i="53"/>
  <c r="AB250" i="1"/>
  <c r="AE250" s="1"/>
  <c r="AA250"/>
  <c r="E257" i="53" s="1"/>
  <c r="W255" i="1"/>
  <c r="R255"/>
  <c r="P256"/>
  <c r="D245" i="48"/>
  <c r="W245" s="1"/>
  <c r="E245"/>
  <c r="X245" s="1"/>
  <c r="B246"/>
  <c r="C245"/>
  <c r="Z239" i="38"/>
  <c r="E239"/>
  <c r="D239"/>
  <c r="F239"/>
  <c r="AM239" s="1"/>
  <c r="E258" i="52"/>
  <c r="AR237" i="38"/>
  <c r="V244" i="48"/>
  <c r="F244"/>
  <c r="Y244" s="1"/>
  <c r="AF248" i="1"/>
  <c r="AD249"/>
  <c r="AJ256"/>
  <c r="Z256"/>
  <c r="AH256"/>
  <c r="AK256"/>
  <c r="AI256"/>
  <c r="BC256"/>
  <c r="F259" i="52"/>
  <c r="C257" i="1"/>
  <c r="D257" s="1"/>
  <c r="A264" i="53"/>
  <c r="B265" s="1"/>
  <c r="L257" i="1"/>
  <c r="M256" s="1"/>
  <c r="A241" i="26"/>
  <c r="B241" s="1"/>
  <c r="E257" i="1"/>
  <c r="A257"/>
  <c r="B258"/>
  <c r="B240" i="38"/>
  <c r="K257" i="1"/>
  <c r="N257" s="1"/>
  <c r="CP15" i="55"/>
  <c r="I255" i="53"/>
  <c r="AO238" i="38"/>
  <c r="AP238" s="1"/>
  <c r="AQ238" s="1"/>
  <c r="AN238"/>
  <c r="AR238" s="1"/>
  <c r="S254" i="1"/>
  <c r="AL250" l="1"/>
  <c r="AM250"/>
  <c r="G257" i="53"/>
  <c r="AZ18" i="55"/>
  <c r="AB251" i="1"/>
  <c r="AE251" s="1"/>
  <c r="AA251"/>
  <c r="E258" i="53" s="1"/>
  <c r="BD253" i="1"/>
  <c r="BE253" s="1"/>
  <c r="T253" s="1"/>
  <c r="U253" s="1"/>
  <c r="BA254"/>
  <c r="V252"/>
  <c r="X252"/>
  <c r="AC252" s="1"/>
  <c r="BU17" i="55"/>
  <c r="D256" i="53"/>
  <c r="J17" i="55" s="1"/>
  <c r="BK238" i="38"/>
  <c r="AS238"/>
  <c r="AU238" s="1"/>
  <c r="AV238" s="1"/>
  <c r="BA238" s="1"/>
  <c r="BB238" s="1"/>
  <c r="BH238" s="1"/>
  <c r="BJ238" s="1"/>
  <c r="P238" s="1"/>
  <c r="O238" s="1"/>
  <c r="C258" i="1"/>
  <c r="D258" s="1"/>
  <c r="F260" i="52"/>
  <c r="E258" i="1"/>
  <c r="A265" i="53"/>
  <c r="B266" s="1"/>
  <c r="A258" i="1"/>
  <c r="L258"/>
  <c r="M257" s="1"/>
  <c r="B259"/>
  <c r="K258"/>
  <c r="N258" s="1"/>
  <c r="B241" i="38"/>
  <c r="A242" i="26"/>
  <c r="B242" s="1"/>
  <c r="AF249" i="1"/>
  <c r="AD250"/>
  <c r="BK237" i="38"/>
  <c r="AS237"/>
  <c r="AU237" s="1"/>
  <c r="AV237" s="1"/>
  <c r="BA237" s="1"/>
  <c r="BB237" s="1"/>
  <c r="BH237" s="1"/>
  <c r="BJ237" s="1"/>
  <c r="P237" s="1"/>
  <c r="S255" i="1"/>
  <c r="AI257"/>
  <c r="AH257"/>
  <c r="AK257"/>
  <c r="AJ257"/>
  <c r="Z257"/>
  <c r="BC257"/>
  <c r="AN239" i="38"/>
  <c r="AO239"/>
  <c r="AP239" s="1"/>
  <c r="AQ239" s="1"/>
  <c r="V245" i="48"/>
  <c r="F245"/>
  <c r="Y245" s="1"/>
  <c r="P257" i="1"/>
  <c r="E259" i="52"/>
  <c r="D246" i="48"/>
  <c r="W246" s="1"/>
  <c r="C246"/>
  <c r="E246"/>
  <c r="X246" s="1"/>
  <c r="B247"/>
  <c r="R256" i="1"/>
  <c r="W256"/>
  <c r="CP16" i="55"/>
  <c r="I256" i="53"/>
  <c r="D240" i="38"/>
  <c r="E240"/>
  <c r="Z240"/>
  <c r="F240"/>
  <c r="AM240" s="1"/>
  <c r="AL251" i="1" l="1"/>
  <c r="AM251"/>
  <c r="BD254"/>
  <c r="BE254" s="1"/>
  <c r="T254" s="1"/>
  <c r="U254" s="1"/>
  <c r="BA255"/>
  <c r="V253"/>
  <c r="X253"/>
  <c r="AC253" s="1"/>
  <c r="D257" i="53"/>
  <c r="J18" i="55" s="1"/>
  <c r="BU18"/>
  <c r="AB252" i="1"/>
  <c r="AE252" s="1"/>
  <c r="AA252"/>
  <c r="E259" i="53" s="1"/>
  <c r="G258"/>
  <c r="AZ19" i="55"/>
  <c r="AR239" i="38"/>
  <c r="Z241"/>
  <c r="E241"/>
  <c r="D241"/>
  <c r="F241"/>
  <c r="AM241" s="1"/>
  <c r="AJ258" i="1"/>
  <c r="AH258"/>
  <c r="Z258"/>
  <c r="AI258"/>
  <c r="AK258"/>
  <c r="BC258"/>
  <c r="S256"/>
  <c r="V246" i="48"/>
  <c r="F246"/>
  <c r="Y246" s="1"/>
  <c r="AF250" i="1"/>
  <c r="AD251"/>
  <c r="P258"/>
  <c r="AN240" i="38"/>
  <c r="AO240"/>
  <c r="AP240" s="1"/>
  <c r="AQ240" s="1"/>
  <c r="CP17" i="55"/>
  <c r="I257" i="53"/>
  <c r="F261" i="52"/>
  <c r="C259" i="1"/>
  <c r="D259" s="1"/>
  <c r="E259"/>
  <c r="L259"/>
  <c r="M258" s="1"/>
  <c r="A243" i="26"/>
  <c r="B243" s="1"/>
  <c r="K259" i="1"/>
  <c r="N259" s="1"/>
  <c r="B242" i="38"/>
  <c r="B260" i="1"/>
  <c r="A259"/>
  <c r="A266" i="53"/>
  <c r="B267" s="1"/>
  <c r="E260" i="52"/>
  <c r="C247" i="48"/>
  <c r="E247"/>
  <c r="X247" s="1"/>
  <c r="D247"/>
  <c r="W247" s="1"/>
  <c r="B248"/>
  <c r="W257" i="1"/>
  <c r="R257"/>
  <c r="O237" i="38"/>
  <c r="AR240" l="1"/>
  <c r="AS240" s="1"/>
  <c r="AU240" s="1"/>
  <c r="AV240" s="1"/>
  <c r="BA240" s="1"/>
  <c r="BB240" s="1"/>
  <c r="BH240" s="1"/>
  <c r="BJ240" s="1"/>
  <c r="P240" s="1"/>
  <c r="O240" s="1"/>
  <c r="AL252" i="1"/>
  <c r="AM252"/>
  <c r="AA253"/>
  <c r="E260" i="53" s="1"/>
  <c r="AB253" i="1"/>
  <c r="AE253" s="1"/>
  <c r="D258" i="53"/>
  <c r="J19" i="55" s="1"/>
  <c r="BU19"/>
  <c r="BD255" i="1"/>
  <c r="BE255" s="1"/>
  <c r="T255" s="1"/>
  <c r="U255" s="1"/>
  <c r="BA256"/>
  <c r="AZ20" i="55"/>
  <c r="G259" i="53"/>
  <c r="V254" i="1"/>
  <c r="X254"/>
  <c r="AC254" s="1"/>
  <c r="V247" i="48"/>
  <c r="F247"/>
  <c r="Y247" s="1"/>
  <c r="C260" i="1"/>
  <c r="D260" s="1"/>
  <c r="A244" i="26"/>
  <c r="B244" s="1"/>
  <c r="L260" i="1"/>
  <c r="M259" s="1"/>
  <c r="A267" i="53"/>
  <c r="B268" s="1"/>
  <c r="F262" i="52"/>
  <c r="E260" i="1"/>
  <c r="A260"/>
  <c r="B261"/>
  <c r="K260"/>
  <c r="N260" s="1"/>
  <c r="B243" i="38"/>
  <c r="CP18" i="55"/>
  <c r="I258" i="53"/>
  <c r="BK239" i="38"/>
  <c r="AS239"/>
  <c r="AU239" s="1"/>
  <c r="AV239" s="1"/>
  <c r="BA239" s="1"/>
  <c r="BB239" s="1"/>
  <c r="BH239" s="1"/>
  <c r="BJ239" s="1"/>
  <c r="P239" s="1"/>
  <c r="C248" i="48"/>
  <c r="E248"/>
  <c r="X248" s="1"/>
  <c r="B249"/>
  <c r="D248"/>
  <c r="W248" s="1"/>
  <c r="D242" i="38"/>
  <c r="Z242"/>
  <c r="E242"/>
  <c r="F242"/>
  <c r="AM242" s="1"/>
  <c r="E261" i="52"/>
  <c r="P259" i="1"/>
  <c r="AO241" i="38"/>
  <c r="AP241" s="1"/>
  <c r="AQ241" s="1"/>
  <c r="AN241"/>
  <c r="S257" i="1"/>
  <c r="AK259"/>
  <c r="Z259"/>
  <c r="AI259"/>
  <c r="AH259"/>
  <c r="AJ259"/>
  <c r="BC259"/>
  <c r="BK240" i="38"/>
  <c r="W258" i="1"/>
  <c r="R258"/>
  <c r="AF251"/>
  <c r="AD252"/>
  <c r="AL253" l="1"/>
  <c r="AM253"/>
  <c r="AA254"/>
  <c r="E261" i="53" s="1"/>
  <c r="AB254" i="1"/>
  <c r="AE254" s="1"/>
  <c r="BD256"/>
  <c r="BE256" s="1"/>
  <c r="T256" s="1"/>
  <c r="U256" s="1"/>
  <c r="BA257"/>
  <c r="V255"/>
  <c r="X255"/>
  <c r="AC255" s="1"/>
  <c r="D259" i="53"/>
  <c r="J20" i="55" s="1"/>
  <c r="BU20"/>
  <c r="G260" i="53"/>
  <c r="AZ21" i="55"/>
  <c r="AF252" i="1"/>
  <c r="AD253"/>
  <c r="W259"/>
  <c r="R259"/>
  <c r="AO242" i="38"/>
  <c r="AP242" s="1"/>
  <c r="AQ242" s="1"/>
  <c r="AN242"/>
  <c r="AR242" s="1"/>
  <c r="AJ260" i="1"/>
  <c r="BC260"/>
  <c r="Z260"/>
  <c r="AH260"/>
  <c r="AK260"/>
  <c r="AI260"/>
  <c r="C249" i="48"/>
  <c r="E249"/>
  <c r="X249" s="1"/>
  <c r="B250"/>
  <c r="D249"/>
  <c r="W249" s="1"/>
  <c r="CP19" i="55"/>
  <c r="I259" i="53"/>
  <c r="Z243" i="38"/>
  <c r="D243"/>
  <c r="E243"/>
  <c r="F243"/>
  <c r="AM243" s="1"/>
  <c r="E262" i="52"/>
  <c r="S258" i="1"/>
  <c r="AR241" i="38"/>
  <c r="O239"/>
  <c r="P260" i="1"/>
  <c r="V248" i="48"/>
  <c r="F248"/>
  <c r="Y248" s="1"/>
  <c r="L261" i="1"/>
  <c r="M260" s="1"/>
  <c r="A268" i="53"/>
  <c r="B269" s="1"/>
  <c r="C261" i="1"/>
  <c r="D261" s="1"/>
  <c r="F263" i="52"/>
  <c r="A245" i="26"/>
  <c r="B245" s="1"/>
  <c r="B244" i="38"/>
  <c r="B262" i="1"/>
  <c r="E261"/>
  <c r="K261"/>
  <c r="N261" s="1"/>
  <c r="A261"/>
  <c r="AL254" l="1"/>
  <c r="AM254"/>
  <c r="BD257"/>
  <c r="BE257" s="1"/>
  <c r="T257" s="1"/>
  <c r="U257" s="1"/>
  <c r="BA258"/>
  <c r="AB255"/>
  <c r="AE255" s="1"/>
  <c r="AA255"/>
  <c r="E262" i="53" s="1"/>
  <c r="V256" i="1"/>
  <c r="X256"/>
  <c r="AC256" s="1"/>
  <c r="BU21" i="55"/>
  <c r="D260" i="53"/>
  <c r="J21" i="55" s="1"/>
  <c r="G261" i="53"/>
  <c r="AZ22" i="55"/>
  <c r="W260" i="1"/>
  <c r="R260"/>
  <c r="E250" i="48"/>
  <c r="X250" s="1"/>
  <c r="C250"/>
  <c r="D250"/>
  <c r="W250" s="1"/>
  <c r="B251"/>
  <c r="BK242" i="38"/>
  <c r="AS242"/>
  <c r="AU242" s="1"/>
  <c r="AV242" s="1"/>
  <c r="BA242" s="1"/>
  <c r="BB242" s="1"/>
  <c r="BH242" s="1"/>
  <c r="BJ242" s="1"/>
  <c r="P242" s="1"/>
  <c r="O242" s="1"/>
  <c r="F264" i="52"/>
  <c r="E262" i="1"/>
  <c r="A262"/>
  <c r="L262"/>
  <c r="M261" s="1"/>
  <c r="A269" i="53"/>
  <c r="B270" s="1"/>
  <c r="A246" i="26"/>
  <c r="B246" s="1"/>
  <c r="C262" i="1"/>
  <c r="D262" s="1"/>
  <c r="B263"/>
  <c r="K262"/>
  <c r="N262" s="1"/>
  <c r="B245" i="38"/>
  <c r="BC261" i="1"/>
  <c r="AK261"/>
  <c r="AI261"/>
  <c r="Z261"/>
  <c r="AH261"/>
  <c r="AJ261"/>
  <c r="E244" i="38"/>
  <c r="Z244"/>
  <c r="D244"/>
  <c r="F244"/>
  <c r="AM244" s="1"/>
  <c r="P261" i="1"/>
  <c r="BK241" i="38"/>
  <c r="AS241"/>
  <c r="AU241" s="1"/>
  <c r="AV241" s="1"/>
  <c r="BA241" s="1"/>
  <c r="BB241" s="1"/>
  <c r="BH241" s="1"/>
  <c r="BJ241" s="1"/>
  <c r="P241" s="1"/>
  <c r="AN243"/>
  <c r="AO243"/>
  <c r="AP243" s="1"/>
  <c r="AQ243" s="1"/>
  <c r="AF253" i="1"/>
  <c r="AD254"/>
  <c r="CP20" i="55"/>
  <c r="I260" i="53"/>
  <c r="V249" i="48"/>
  <c r="F249"/>
  <c r="Y249" s="1"/>
  <c r="E263" i="52"/>
  <c r="S259" i="1"/>
  <c r="AL255" l="1"/>
  <c r="AM255"/>
  <c r="AB256"/>
  <c r="AE256" s="1"/>
  <c r="AA256"/>
  <c r="E263" i="53" s="1"/>
  <c r="BD258" i="1"/>
  <c r="BE258" s="1"/>
  <c r="T258" s="1"/>
  <c r="U258" s="1"/>
  <c r="BA259"/>
  <c r="BU22" i="55"/>
  <c r="D261" i="53"/>
  <c r="J22" i="55" s="1"/>
  <c r="V257" i="1"/>
  <c r="X257"/>
  <c r="AC257" s="1"/>
  <c r="G262" i="53"/>
  <c r="AZ23" i="55"/>
  <c r="CP21"/>
  <c r="I261" i="53"/>
  <c r="AO244" i="38"/>
  <c r="AP244" s="1"/>
  <c r="AQ244" s="1"/>
  <c r="AN244"/>
  <c r="P262" i="1"/>
  <c r="AF254"/>
  <c r="AD255"/>
  <c r="O241" i="38"/>
  <c r="C263" i="1"/>
  <c r="D263" s="1"/>
  <c r="F265" i="52"/>
  <c r="L263" i="1"/>
  <c r="M262" s="1"/>
  <c r="A247" i="26"/>
  <c r="B247" s="1"/>
  <c r="E263" i="1"/>
  <c r="K263"/>
  <c r="N263" s="1"/>
  <c r="B246" i="38"/>
  <c r="B264" i="1"/>
  <c r="A270" i="53"/>
  <c r="B271" s="1"/>
  <c r="A263" i="1"/>
  <c r="F250" i="48"/>
  <c r="Y250" s="1"/>
  <c r="V250"/>
  <c r="AR243" i="38"/>
  <c r="Z262" i="1"/>
  <c r="AI262"/>
  <c r="AK262"/>
  <c r="AJ262"/>
  <c r="BC262"/>
  <c r="AH262"/>
  <c r="S260"/>
  <c r="W261"/>
  <c r="R261"/>
  <c r="D245" i="38"/>
  <c r="E245"/>
  <c r="Z245"/>
  <c r="F245"/>
  <c r="AM245" s="1"/>
  <c r="E264" i="52"/>
  <c r="C251" i="48"/>
  <c r="D251"/>
  <c r="W251" s="1"/>
  <c r="E251"/>
  <c r="X251" s="1"/>
  <c r="B252"/>
  <c r="AL256" i="1" l="1"/>
  <c r="AM256"/>
  <c r="V258"/>
  <c r="X258"/>
  <c r="AC258" s="1"/>
  <c r="AZ24" i="55"/>
  <c r="G263" i="53"/>
  <c r="D262"/>
  <c r="J23" i="55" s="1"/>
  <c r="BU23"/>
  <c r="AB257" i="1"/>
  <c r="AE257" s="1"/>
  <c r="AA257"/>
  <c r="E264" i="53" s="1"/>
  <c r="BD259" i="1"/>
  <c r="BE259" s="1"/>
  <c r="T259" s="1"/>
  <c r="U259" s="1"/>
  <c r="BA260"/>
  <c r="S261"/>
  <c r="BK243" i="38"/>
  <c r="AS243"/>
  <c r="AU243" s="1"/>
  <c r="AV243" s="1"/>
  <c r="BA243" s="1"/>
  <c r="BB243" s="1"/>
  <c r="BH243" s="1"/>
  <c r="BJ243" s="1"/>
  <c r="P243" s="1"/>
  <c r="E265" i="52"/>
  <c r="C264" i="1"/>
  <c r="D264" s="1"/>
  <c r="F266" i="52"/>
  <c r="A248" i="26"/>
  <c r="B248" s="1"/>
  <c r="L264" i="1"/>
  <c r="M263" s="1"/>
  <c r="A264"/>
  <c r="K264"/>
  <c r="N264" s="1"/>
  <c r="E264"/>
  <c r="B265"/>
  <c r="B247" i="38"/>
  <c r="A271" i="53"/>
  <c r="B272" s="1"/>
  <c r="AF255" i="1"/>
  <c r="AD256"/>
  <c r="CP22" i="55"/>
  <c r="I262" i="53"/>
  <c r="E252" i="48"/>
  <c r="X252" s="1"/>
  <c r="D252"/>
  <c r="W252" s="1"/>
  <c r="C252"/>
  <c r="B253"/>
  <c r="V251"/>
  <c r="F251"/>
  <c r="Y251" s="1"/>
  <c r="E246" i="38"/>
  <c r="D246"/>
  <c r="Z246"/>
  <c r="F246"/>
  <c r="AM246" s="1"/>
  <c r="W262" i="1"/>
  <c r="R262"/>
  <c r="AR244" i="38"/>
  <c r="AO245"/>
  <c r="AP245" s="1"/>
  <c r="AQ245" s="1"/>
  <c r="AN245"/>
  <c r="AK263" i="1"/>
  <c r="BC263"/>
  <c r="Z263"/>
  <c r="AI263"/>
  <c r="AH263"/>
  <c r="AJ263"/>
  <c r="P263"/>
  <c r="AL257" l="1"/>
  <c r="AM257"/>
  <c r="BU24" i="55"/>
  <c r="D263" i="53"/>
  <c r="J24" i="55" s="1"/>
  <c r="BD260" i="1"/>
  <c r="BE260" s="1"/>
  <c r="T260" s="1"/>
  <c r="U260" s="1"/>
  <c r="BA261"/>
  <c r="V259"/>
  <c r="X259"/>
  <c r="AC259" s="1"/>
  <c r="AB258"/>
  <c r="AE258" s="1"/>
  <c r="AA258"/>
  <c r="E265" i="53" s="1"/>
  <c r="AZ25" i="55"/>
  <c r="G264" i="53"/>
  <c r="AR245" i="38"/>
  <c r="S262" i="1"/>
  <c r="E253" i="48"/>
  <c r="X253" s="1"/>
  <c r="C253"/>
  <c r="B254"/>
  <c r="D253"/>
  <c r="W253" s="1"/>
  <c r="AF256" i="1"/>
  <c r="AD257"/>
  <c r="Z247" i="38"/>
  <c r="E247"/>
  <c r="D247"/>
  <c r="F247"/>
  <c r="AM247" s="1"/>
  <c r="AK264" i="1"/>
  <c r="Z264"/>
  <c r="AI264"/>
  <c r="BC264"/>
  <c r="AH264"/>
  <c r="AJ264"/>
  <c r="V252" i="48"/>
  <c r="F252"/>
  <c r="Y252" s="1"/>
  <c r="F267" i="52"/>
  <c r="C265" i="1"/>
  <c r="D265" s="1"/>
  <c r="L265"/>
  <c r="M264" s="1"/>
  <c r="A272" i="53"/>
  <c r="B273" s="1"/>
  <c r="E265" i="1"/>
  <c r="A249" i="26"/>
  <c r="B249" s="1"/>
  <c r="B248" i="38"/>
  <c r="A265" i="1"/>
  <c r="K265"/>
  <c r="N265" s="1"/>
  <c r="B266"/>
  <c r="O243" i="38"/>
  <c r="W263" i="1"/>
  <c r="R263"/>
  <c r="E266" i="52"/>
  <c r="BK244" i="38"/>
  <c r="AS244"/>
  <c r="AU244" s="1"/>
  <c r="AV244" s="1"/>
  <c r="BA244" s="1"/>
  <c r="BB244" s="1"/>
  <c r="BH244" s="1"/>
  <c r="BJ244" s="1"/>
  <c r="P244" s="1"/>
  <c r="O244" s="1"/>
  <c r="AO246"/>
  <c r="AP246" s="1"/>
  <c r="AQ246" s="1"/>
  <c r="AN246"/>
  <c r="CP23" i="55"/>
  <c r="I263" i="53"/>
  <c r="P264" i="1"/>
  <c r="AL258" l="1"/>
  <c r="AM258"/>
  <c r="V260"/>
  <c r="X260"/>
  <c r="AC260" s="1"/>
  <c r="BU25" i="55"/>
  <c r="D264" i="53"/>
  <c r="J25" i="55" s="1"/>
  <c r="AB259" i="1"/>
  <c r="AE259" s="1"/>
  <c r="AA259"/>
  <c r="E266" i="53" s="1"/>
  <c r="AZ26" i="55"/>
  <c r="G265" i="53"/>
  <c r="BD261" i="1"/>
  <c r="BE261" s="1"/>
  <c r="T261" s="1"/>
  <c r="U261" s="1"/>
  <c r="BA262"/>
  <c r="D248" i="38"/>
  <c r="E248"/>
  <c r="Z248"/>
  <c r="F248"/>
  <c r="AM248" s="1"/>
  <c r="F253" i="48"/>
  <c r="Y253" s="1"/>
  <c r="V253"/>
  <c r="BK245" i="38"/>
  <c r="AS245"/>
  <c r="AU245" s="1"/>
  <c r="AV245" s="1"/>
  <c r="BA245" s="1"/>
  <c r="BB245" s="1"/>
  <c r="BH245" s="1"/>
  <c r="BJ245" s="1"/>
  <c r="P245" s="1"/>
  <c r="O245" s="1"/>
  <c r="S263" i="1"/>
  <c r="L266"/>
  <c r="M265" s="1"/>
  <c r="F268" i="52"/>
  <c r="E266" i="1"/>
  <c r="A250" i="26"/>
  <c r="B250" s="1"/>
  <c r="A273" i="53"/>
  <c r="B274" s="1"/>
  <c r="A266" i="1"/>
  <c r="C266"/>
  <c r="D266" s="1"/>
  <c r="K266"/>
  <c r="N266" s="1"/>
  <c r="B249" i="38"/>
  <c r="B267" i="1"/>
  <c r="AF257"/>
  <c r="AD258"/>
  <c r="AR246" i="38"/>
  <c r="P265" i="1"/>
  <c r="E267" i="52"/>
  <c r="AN247" i="38"/>
  <c r="AR247" s="1"/>
  <c r="AO247"/>
  <c r="AP247" s="1"/>
  <c r="AQ247" s="1"/>
  <c r="W264" i="1"/>
  <c r="R264"/>
  <c r="CP24" i="55"/>
  <c r="I264" i="53"/>
  <c r="AJ265" i="1"/>
  <c r="AI265"/>
  <c r="Z265"/>
  <c r="AK265"/>
  <c r="BC265"/>
  <c r="AH265"/>
  <c r="C254" i="48"/>
  <c r="E254"/>
  <c r="X254" s="1"/>
  <c r="D254"/>
  <c r="W254" s="1"/>
  <c r="B255"/>
  <c r="AL259" i="1" l="1"/>
  <c r="AM259"/>
  <c r="BD262"/>
  <c r="BE262" s="1"/>
  <c r="T262" s="1"/>
  <c r="U262" s="1"/>
  <c r="BA263"/>
  <c r="V261"/>
  <c r="X261"/>
  <c r="AC261" s="1"/>
  <c r="AZ27" i="55"/>
  <c r="G266" i="53"/>
  <c r="AB260" i="1"/>
  <c r="AE260" s="1"/>
  <c r="AA260"/>
  <c r="E267" i="53" s="1"/>
  <c r="D265"/>
  <c r="J26" i="55" s="1"/>
  <c r="BU26"/>
  <c r="W265" i="1"/>
  <c r="R265"/>
  <c r="BK246" i="38"/>
  <c r="AS246"/>
  <c r="AU246" s="1"/>
  <c r="AV246" s="1"/>
  <c r="BA246" s="1"/>
  <c r="BB246" s="1"/>
  <c r="BH246" s="1"/>
  <c r="BJ246" s="1"/>
  <c r="P246" s="1"/>
  <c r="P266" i="1"/>
  <c r="D255" i="48"/>
  <c r="W255" s="1"/>
  <c r="E255"/>
  <c r="X255" s="1"/>
  <c r="C255"/>
  <c r="B256"/>
  <c r="S264" i="1"/>
  <c r="AF258"/>
  <c r="AD259"/>
  <c r="E268" i="52"/>
  <c r="V254" i="48"/>
  <c r="F254"/>
  <c r="Y254" s="1"/>
  <c r="BK247" i="38"/>
  <c r="AS247"/>
  <c r="AU247" s="1"/>
  <c r="AV247" s="1"/>
  <c r="BA247" s="1"/>
  <c r="BB247" s="1"/>
  <c r="BH247" s="1"/>
  <c r="BJ247" s="1"/>
  <c r="P247" s="1"/>
  <c r="O247" s="1"/>
  <c r="F269" i="52"/>
  <c r="L267" i="1"/>
  <c r="M266" s="1"/>
  <c r="C267"/>
  <c r="D267" s="1"/>
  <c r="A274" i="53"/>
  <c r="B275" s="1"/>
  <c r="E267" i="1"/>
  <c r="A267"/>
  <c r="B250" i="38"/>
  <c r="B268" i="1"/>
  <c r="A251" i="26"/>
  <c r="B251" s="1"/>
  <c r="K267" i="1"/>
  <c r="N267" s="1"/>
  <c r="AJ266"/>
  <c r="AK266"/>
  <c r="Z266"/>
  <c r="AH266"/>
  <c r="AI266"/>
  <c r="BC266"/>
  <c r="CP25" i="55"/>
  <c r="I265" i="53"/>
  <c r="D249" i="38"/>
  <c r="E249"/>
  <c r="Z249"/>
  <c r="F249"/>
  <c r="AM249" s="1"/>
  <c r="AO248"/>
  <c r="AP248" s="1"/>
  <c r="AQ248" s="1"/>
  <c r="AN248"/>
  <c r="AR248" l="1"/>
  <c r="AL260" i="1"/>
  <c r="AM260"/>
  <c r="BU27" i="55"/>
  <c r="D266" i="53"/>
  <c r="J27" i="55" s="1"/>
  <c r="BD263" i="1"/>
  <c r="BE263" s="1"/>
  <c r="T263" s="1"/>
  <c r="U263" s="1"/>
  <c r="BA264"/>
  <c r="AZ28" i="55"/>
  <c r="G267" i="53"/>
  <c r="AB261" i="1"/>
  <c r="AE261" s="1"/>
  <c r="AA261"/>
  <c r="E268" i="53" s="1"/>
  <c r="V262" i="1"/>
  <c r="X262"/>
  <c r="AC262" s="1"/>
  <c r="A268"/>
  <c r="A252" i="26"/>
  <c r="B252" s="1"/>
  <c r="F270" i="52"/>
  <c r="E268" i="1"/>
  <c r="A275" i="53"/>
  <c r="B276" s="1"/>
  <c r="C268" i="1"/>
  <c r="D268" s="1"/>
  <c r="B251" i="38"/>
  <c r="L268" i="1"/>
  <c r="M267" s="1"/>
  <c r="K268"/>
  <c r="N268" s="1"/>
  <c r="B269"/>
  <c r="CP26" i="55"/>
  <c r="I266" i="53"/>
  <c r="D250" i="38"/>
  <c r="E250"/>
  <c r="Z250"/>
  <c r="F250"/>
  <c r="AM250" s="1"/>
  <c r="AF259" i="1"/>
  <c r="AD260"/>
  <c r="E256" i="48"/>
  <c r="X256" s="1"/>
  <c r="C256"/>
  <c r="D256"/>
  <c r="W256" s="1"/>
  <c r="B257"/>
  <c r="W266" i="1"/>
  <c r="R266"/>
  <c r="BK248" i="38"/>
  <c r="AS248"/>
  <c r="AU248" s="1"/>
  <c r="AV248" s="1"/>
  <c r="BA248" s="1"/>
  <c r="BB248" s="1"/>
  <c r="BH248" s="1"/>
  <c r="BJ248" s="1"/>
  <c r="P248" s="1"/>
  <c r="P267" i="1"/>
  <c r="AH267"/>
  <c r="AK267"/>
  <c r="Z267"/>
  <c r="BC267"/>
  <c r="AI267"/>
  <c r="AJ267"/>
  <c r="V255" i="48"/>
  <c r="F255"/>
  <c r="Y255" s="1"/>
  <c r="O246" i="38"/>
  <c r="S265" i="1"/>
  <c r="AO249" i="38"/>
  <c r="AP249" s="1"/>
  <c r="AQ249" s="1"/>
  <c r="AN249"/>
  <c r="E269" i="52"/>
  <c r="AR249" i="38" l="1"/>
  <c r="AL261" i="1"/>
  <c r="AM261"/>
  <c r="BD264"/>
  <c r="BE264" s="1"/>
  <c r="T264" s="1"/>
  <c r="U264" s="1"/>
  <c r="BA265"/>
  <c r="AB262"/>
  <c r="AE262" s="1"/>
  <c r="AA262"/>
  <c r="E269" i="53" s="1"/>
  <c r="BU28" i="55"/>
  <c r="D267" i="53"/>
  <c r="J28" i="55" s="1"/>
  <c r="V263" i="1"/>
  <c r="X263"/>
  <c r="AC263" s="1"/>
  <c r="AZ29" i="55"/>
  <c r="G268" i="53"/>
  <c r="A269" i="1"/>
  <c r="C269"/>
  <c r="D269" s="1"/>
  <c r="A253" i="26"/>
  <c r="B253" s="1"/>
  <c r="F271" i="52"/>
  <c r="A276" i="53"/>
  <c r="B277" s="1"/>
  <c r="L269" i="1"/>
  <c r="M268" s="1"/>
  <c r="B252" i="38"/>
  <c r="B270" i="1"/>
  <c r="K269"/>
  <c r="N269" s="1"/>
  <c r="E269"/>
  <c r="BK249" i="38"/>
  <c r="AS249"/>
  <c r="AU249" s="1"/>
  <c r="AV249" s="1"/>
  <c r="BA249" s="1"/>
  <c r="BB249" s="1"/>
  <c r="BH249" s="1"/>
  <c r="BJ249" s="1"/>
  <c r="P249" s="1"/>
  <c r="E257" i="48"/>
  <c r="X257" s="1"/>
  <c r="B258"/>
  <c r="C257"/>
  <c r="D257"/>
  <c r="W257" s="1"/>
  <c r="AO250" i="38"/>
  <c r="AP250" s="1"/>
  <c r="AQ250" s="1"/>
  <c r="AN250"/>
  <c r="P268" i="1"/>
  <c r="AJ268"/>
  <c r="Z268"/>
  <c r="BC268"/>
  <c r="AH268"/>
  <c r="AI268"/>
  <c r="AK268"/>
  <c r="O248" i="38"/>
  <c r="S266" i="1"/>
  <c r="AF260"/>
  <c r="AD261"/>
  <c r="E270" i="52"/>
  <c r="W267" i="1"/>
  <c r="R267"/>
  <c r="V256" i="48"/>
  <c r="F256"/>
  <c r="Y256" s="1"/>
  <c r="CP27" i="55"/>
  <c r="I267" i="53"/>
  <c r="Z251" i="38"/>
  <c r="E251"/>
  <c r="D251"/>
  <c r="F251"/>
  <c r="AM251" s="1"/>
  <c r="AL262" i="1" l="1"/>
  <c r="AM262"/>
  <c r="AB263"/>
  <c r="AE263" s="1"/>
  <c r="AA263"/>
  <c r="E270" i="53" s="1"/>
  <c r="G269"/>
  <c r="AZ30" i="55"/>
  <c r="D268" i="53"/>
  <c r="J29" i="55" s="1"/>
  <c r="BU29"/>
  <c r="BD265" i="1"/>
  <c r="BE265" s="1"/>
  <c r="T265" s="1"/>
  <c r="U265" s="1"/>
  <c r="BA266"/>
  <c r="V264"/>
  <c r="X264"/>
  <c r="AC264" s="1"/>
  <c r="V257" i="48"/>
  <c r="F257"/>
  <c r="Y257" s="1"/>
  <c r="E271" i="52"/>
  <c r="AN251" i="38"/>
  <c r="AO251"/>
  <c r="AP251" s="1"/>
  <c r="AQ251" s="1"/>
  <c r="S267" i="1"/>
  <c r="AF261"/>
  <c r="AD262"/>
  <c r="AR250" i="38"/>
  <c r="E258" i="48"/>
  <c r="X258" s="1"/>
  <c r="D258"/>
  <c r="W258" s="1"/>
  <c r="C258"/>
  <c r="B259"/>
  <c r="P269" i="1"/>
  <c r="AH269"/>
  <c r="Z269"/>
  <c r="AJ269"/>
  <c r="AK269"/>
  <c r="BC269"/>
  <c r="AI269"/>
  <c r="CP28" i="55"/>
  <c r="I268" i="53"/>
  <c r="O249" i="38"/>
  <c r="F272" i="52"/>
  <c r="A277" i="53"/>
  <c r="B278" s="1"/>
  <c r="L270" i="1"/>
  <c r="M269" s="1"/>
  <c r="E270"/>
  <c r="C270"/>
  <c r="D270" s="1"/>
  <c r="A270"/>
  <c r="A254" i="26"/>
  <c r="B254" s="1"/>
  <c r="K270" i="1"/>
  <c r="N270" s="1"/>
  <c r="B271"/>
  <c r="B253" i="38"/>
  <c r="W268" i="1"/>
  <c r="R268"/>
  <c r="E252" i="38"/>
  <c r="Z252"/>
  <c r="D252"/>
  <c r="F252"/>
  <c r="AM252" s="1"/>
  <c r="AL263" i="1" l="1"/>
  <c r="AM263"/>
  <c r="AA264"/>
  <c r="E271" i="53" s="1"/>
  <c r="AB264" i="1"/>
  <c r="AE264" s="1"/>
  <c r="D269" i="53"/>
  <c r="J30" i="55" s="1"/>
  <c r="BU30"/>
  <c r="Y264" i="1"/>
  <c r="BD266"/>
  <c r="BE266" s="1"/>
  <c r="T266" s="1"/>
  <c r="U266" s="1"/>
  <c r="BA267"/>
  <c r="AZ31" i="55"/>
  <c r="G270" i="53"/>
  <c r="V265" i="1"/>
  <c r="X265"/>
  <c r="E271"/>
  <c r="F273" i="52"/>
  <c r="A278" i="53"/>
  <c r="B279" s="1"/>
  <c r="A255" i="26"/>
  <c r="B255" s="1"/>
  <c r="K271" i="1"/>
  <c r="N271" s="1"/>
  <c r="C271"/>
  <c r="D271" s="1"/>
  <c r="B254" i="38"/>
  <c r="A271" i="1"/>
  <c r="B272"/>
  <c r="L271"/>
  <c r="M270" s="1"/>
  <c r="W269"/>
  <c r="R269"/>
  <c r="C259" i="48"/>
  <c r="E259"/>
  <c r="X259" s="1"/>
  <c r="D259"/>
  <c r="W259" s="1"/>
  <c r="B260"/>
  <c r="BK250" i="38"/>
  <c r="AS250"/>
  <c r="AU250" s="1"/>
  <c r="AV250" s="1"/>
  <c r="BA250" s="1"/>
  <c r="BB250" s="1"/>
  <c r="BH250" s="1"/>
  <c r="BJ250" s="1"/>
  <c r="P250" s="1"/>
  <c r="AO252"/>
  <c r="AP252" s="1"/>
  <c r="AQ252" s="1"/>
  <c r="AN252"/>
  <c r="P270" i="1"/>
  <c r="E272" i="52"/>
  <c r="V258" i="48"/>
  <c r="F258"/>
  <c r="Y258" s="1"/>
  <c r="AR251" i="38"/>
  <c r="S268" i="1"/>
  <c r="CP29" i="55"/>
  <c r="I269" i="53"/>
  <c r="D253" i="38"/>
  <c r="E253"/>
  <c r="Z253"/>
  <c r="F253"/>
  <c r="AM253" s="1"/>
  <c r="AK270" i="1"/>
  <c r="Z270"/>
  <c r="AH270"/>
  <c r="AJ270"/>
  <c r="AI270"/>
  <c r="BC270"/>
  <c r="AF262"/>
  <c r="AD263"/>
  <c r="AR252" i="38" l="1"/>
  <c r="BK252" s="1"/>
  <c r="AL264" i="1"/>
  <c r="AM264"/>
  <c r="Y265"/>
  <c r="AC265"/>
  <c r="BD267"/>
  <c r="BE267" s="1"/>
  <c r="T267" s="1"/>
  <c r="U267" s="1"/>
  <c r="BA268"/>
  <c r="V266"/>
  <c r="X266"/>
  <c r="AC266" s="1"/>
  <c r="D270" i="53"/>
  <c r="J31" i="55" s="1"/>
  <c r="BU31"/>
  <c r="AA265" i="1"/>
  <c r="E272" i="53" s="1"/>
  <c r="AB265" i="1"/>
  <c r="AE265" s="1"/>
  <c r="G271" i="53"/>
  <c r="AZ32" i="55"/>
  <c r="S269" i="1"/>
  <c r="CP30" i="55"/>
  <c r="I270" i="53"/>
  <c r="AS252" i="38"/>
  <c r="AU252" s="1"/>
  <c r="AV252" s="1"/>
  <c r="BA252" s="1"/>
  <c r="BB252" s="1"/>
  <c r="BH252" s="1"/>
  <c r="BJ252" s="1"/>
  <c r="P252" s="1"/>
  <c r="O252" s="1"/>
  <c r="O250"/>
  <c r="F274" i="52"/>
  <c r="A279" i="53"/>
  <c r="B280" s="1"/>
  <c r="A256" i="26"/>
  <c r="B256" s="1"/>
  <c r="C272" i="1"/>
  <c r="D272" s="1"/>
  <c r="L272"/>
  <c r="M271" s="1"/>
  <c r="E272"/>
  <c r="A272"/>
  <c r="K272"/>
  <c r="N272" s="1"/>
  <c r="B273"/>
  <c r="B255" i="38"/>
  <c r="P271" i="1"/>
  <c r="E273" i="52"/>
  <c r="AF263" i="1"/>
  <c r="AD264"/>
  <c r="AO253" i="38"/>
  <c r="AP253" s="1"/>
  <c r="AQ253" s="1"/>
  <c r="AN253"/>
  <c r="BK251"/>
  <c r="AS251"/>
  <c r="AU251" s="1"/>
  <c r="AV251" s="1"/>
  <c r="BA251" s="1"/>
  <c r="BB251" s="1"/>
  <c r="BH251" s="1"/>
  <c r="BJ251" s="1"/>
  <c r="P251" s="1"/>
  <c r="O251" s="1"/>
  <c r="F259" i="48"/>
  <c r="Y259" s="1"/>
  <c r="V259"/>
  <c r="Z271" i="1"/>
  <c r="AJ271"/>
  <c r="AK271"/>
  <c r="AH271"/>
  <c r="AI271"/>
  <c r="BC271"/>
  <c r="W270"/>
  <c r="R270"/>
  <c r="E260" i="48"/>
  <c r="X260" s="1"/>
  <c r="D260"/>
  <c r="W260" s="1"/>
  <c r="C260"/>
  <c r="B261"/>
  <c r="D254" i="38"/>
  <c r="E254"/>
  <c r="Z254"/>
  <c r="F254"/>
  <c r="AM254" s="1"/>
  <c r="AR253" l="1"/>
  <c r="BK253" s="1"/>
  <c r="AL265" i="1"/>
  <c r="AM265"/>
  <c r="G272" i="53"/>
  <c r="AZ33" i="55"/>
  <c r="AZ35" s="1"/>
  <c r="AB266" i="1"/>
  <c r="AE266" s="1"/>
  <c r="AA266"/>
  <c r="E273" i="53" s="1"/>
  <c r="BU32" i="55"/>
  <c r="D271" i="53"/>
  <c r="J32" i="55" s="1"/>
  <c r="BD268" i="1"/>
  <c r="BE268" s="1"/>
  <c r="T268" s="1"/>
  <c r="U268" s="1"/>
  <c r="BA269"/>
  <c r="V267"/>
  <c r="X267"/>
  <c r="AC267" s="1"/>
  <c r="S270"/>
  <c r="AS253" i="38"/>
  <c r="AU253" s="1"/>
  <c r="AV253" s="1"/>
  <c r="BA253" s="1"/>
  <c r="BB253" s="1"/>
  <c r="BH253" s="1"/>
  <c r="BJ253" s="1"/>
  <c r="P253" s="1"/>
  <c r="O253" s="1"/>
  <c r="AH272" i="1"/>
  <c r="AK272"/>
  <c r="AJ272"/>
  <c r="AI272"/>
  <c r="BC272"/>
  <c r="Z272"/>
  <c r="V260" i="48"/>
  <c r="F260"/>
  <c r="Y260" s="1"/>
  <c r="AN254" i="38"/>
  <c r="AO254"/>
  <c r="AP254" s="1"/>
  <c r="AQ254" s="1"/>
  <c r="W271" i="1"/>
  <c r="R271"/>
  <c r="Z255" i="38"/>
  <c r="D255"/>
  <c r="E255"/>
  <c r="F255"/>
  <c r="AM255" s="1"/>
  <c r="E274" i="52"/>
  <c r="AF264" i="1"/>
  <c r="AD265"/>
  <c r="A257" i="26"/>
  <c r="B257" s="1"/>
  <c r="L273" i="1"/>
  <c r="M272" s="1"/>
  <c r="F275" i="52"/>
  <c r="A280" i="53"/>
  <c r="B281" s="1"/>
  <c r="E273" i="1"/>
  <c r="C273"/>
  <c r="D273" s="1"/>
  <c r="A273"/>
  <c r="K273"/>
  <c r="N273" s="1"/>
  <c r="B274"/>
  <c r="B256" i="38"/>
  <c r="CP31" i="55"/>
  <c r="I271" i="53"/>
  <c r="C261" i="48"/>
  <c r="D261"/>
  <c r="W261" s="1"/>
  <c r="E261"/>
  <c r="X261" s="1"/>
  <c r="B262"/>
  <c r="P272" i="1"/>
  <c r="AL266" l="1"/>
  <c r="AM266"/>
  <c r="V268"/>
  <c r="X268"/>
  <c r="AC268" s="1"/>
  <c r="AB267"/>
  <c r="AE267" s="1"/>
  <c r="AA267"/>
  <c r="E274" i="53" s="1"/>
  <c r="BU33" i="55"/>
  <c r="BU35" s="1"/>
  <c r="D272" i="53"/>
  <c r="J33" i="55" s="1"/>
  <c r="J35" s="1"/>
  <c r="BD269" i="1"/>
  <c r="BE269" s="1"/>
  <c r="T269" s="1"/>
  <c r="U269" s="1"/>
  <c r="BA270"/>
  <c r="BA3" i="55"/>
  <c r="G273" i="53"/>
  <c r="P273" i="1"/>
  <c r="W272"/>
  <c r="R272"/>
  <c r="Z273"/>
  <c r="BC273"/>
  <c r="AH273"/>
  <c r="AI273"/>
  <c r="AJ273"/>
  <c r="AK273"/>
  <c r="AF265"/>
  <c r="AD266"/>
  <c r="AN255" i="38"/>
  <c r="AO255"/>
  <c r="AP255" s="1"/>
  <c r="AQ255" s="1"/>
  <c r="S271" i="1"/>
  <c r="V261" i="48"/>
  <c r="F261"/>
  <c r="Y261" s="1"/>
  <c r="CP32" i="55"/>
  <c r="I272" i="53"/>
  <c r="D256" i="38"/>
  <c r="E256"/>
  <c r="Z256"/>
  <c r="F256"/>
  <c r="AM256" s="1"/>
  <c r="AR254"/>
  <c r="E262" i="48"/>
  <c r="X262" s="1"/>
  <c r="D262"/>
  <c r="W262" s="1"/>
  <c r="C262"/>
  <c r="B263"/>
  <c r="F276" i="52"/>
  <c r="L274" i="1"/>
  <c r="M273" s="1"/>
  <c r="A281" i="53"/>
  <c r="B282" s="1"/>
  <c r="A258" i="26"/>
  <c r="B258" s="1"/>
  <c r="E274" i="1"/>
  <c r="B257" i="38"/>
  <c r="C274" i="1"/>
  <c r="D274" s="1"/>
  <c r="K274"/>
  <c r="N274" s="1"/>
  <c r="B275"/>
  <c r="A274"/>
  <c r="E275" i="52"/>
  <c r="AR255" i="38" l="1"/>
  <c r="BK255" s="1"/>
  <c r="AL267" i="1"/>
  <c r="AM267"/>
  <c r="D273" i="53"/>
  <c r="K3" i="55" s="1"/>
  <c r="BV3"/>
  <c r="AB268" i="1"/>
  <c r="AE268" s="1"/>
  <c r="AA268"/>
  <c r="E275" i="53" s="1"/>
  <c r="BD270" i="1"/>
  <c r="BE270" s="1"/>
  <c r="T270" s="1"/>
  <c r="U270" s="1"/>
  <c r="BA271"/>
  <c r="G274" i="53"/>
  <c r="BA4" i="55"/>
  <c r="V269" i="1"/>
  <c r="X269"/>
  <c r="AC269" s="1"/>
  <c r="C275"/>
  <c r="D275" s="1"/>
  <c r="E275"/>
  <c r="A275"/>
  <c r="L275"/>
  <c r="M274" s="1"/>
  <c r="F277" i="52"/>
  <c r="K275" i="1"/>
  <c r="N275" s="1"/>
  <c r="B258" i="38"/>
  <c r="A259" i="26"/>
  <c r="B259" s="1"/>
  <c r="B276" i="1"/>
  <c r="A282" i="53"/>
  <c r="B283" s="1"/>
  <c r="E276" i="52"/>
  <c r="V262" i="48"/>
  <c r="F262"/>
  <c r="Y262" s="1"/>
  <c r="CP33" i="55"/>
  <c r="I273" i="53"/>
  <c r="AF266" i="1"/>
  <c r="AD267"/>
  <c r="S272"/>
  <c r="P274"/>
  <c r="W273"/>
  <c r="R273"/>
  <c r="BK254" i="38"/>
  <c r="AS254"/>
  <c r="AU254" s="1"/>
  <c r="AV254" s="1"/>
  <c r="BA254" s="1"/>
  <c r="BB254" s="1"/>
  <c r="BH254" s="1"/>
  <c r="BJ254" s="1"/>
  <c r="P254" s="1"/>
  <c r="AO256"/>
  <c r="AP256" s="1"/>
  <c r="AQ256" s="1"/>
  <c r="AN256"/>
  <c r="AS255"/>
  <c r="AU255" s="1"/>
  <c r="AV255" s="1"/>
  <c r="BA255" s="1"/>
  <c r="BB255" s="1"/>
  <c r="BH255" s="1"/>
  <c r="BJ255" s="1"/>
  <c r="P255" s="1"/>
  <c r="O255" s="1"/>
  <c r="AK274" i="1"/>
  <c r="BC274"/>
  <c r="Z274"/>
  <c r="AH274"/>
  <c r="AJ274"/>
  <c r="AI274"/>
  <c r="Z257" i="38"/>
  <c r="D257"/>
  <c r="E257"/>
  <c r="F257"/>
  <c r="AM257" s="1"/>
  <c r="C263" i="48"/>
  <c r="D263"/>
  <c r="W263" s="1"/>
  <c r="B264"/>
  <c r="E263"/>
  <c r="X263" s="1"/>
  <c r="AL268" i="1" l="1"/>
  <c r="AM268"/>
  <c r="BV4" i="55"/>
  <c r="D274" i="53"/>
  <c r="K4" i="55" s="1"/>
  <c r="AB269" i="1"/>
  <c r="AE269" s="1"/>
  <c r="AA269"/>
  <c r="E276" i="53" s="1"/>
  <c r="BD271" i="1"/>
  <c r="BE271" s="1"/>
  <c r="T271" s="1"/>
  <c r="U271" s="1"/>
  <c r="BA272"/>
  <c r="V270"/>
  <c r="X270"/>
  <c r="AC270" s="1"/>
  <c r="BA5" i="55"/>
  <c r="G275" i="53"/>
  <c r="C264" i="48"/>
  <c r="E264"/>
  <c r="X264" s="1"/>
  <c r="D264"/>
  <c r="W264" s="1"/>
  <c r="B265"/>
  <c r="AO257" i="38"/>
  <c r="AP257" s="1"/>
  <c r="AQ257" s="1"/>
  <c r="AN257"/>
  <c r="O254"/>
  <c r="CQ3" i="55"/>
  <c r="I274" i="53"/>
  <c r="P275" i="1"/>
  <c r="E277" i="52"/>
  <c r="AR256" i="38"/>
  <c r="W274" i="1"/>
  <c r="R274"/>
  <c r="A283" i="53"/>
  <c r="B284" s="1"/>
  <c r="L276" i="1"/>
  <c r="M275" s="1"/>
  <c r="F278" i="52"/>
  <c r="C276" i="1"/>
  <c r="D276" s="1"/>
  <c r="B259" i="38"/>
  <c r="A276" i="1"/>
  <c r="B277"/>
  <c r="E276"/>
  <c r="K276"/>
  <c r="N276" s="1"/>
  <c r="A260" i="26"/>
  <c r="B260" s="1"/>
  <c r="F263" i="48"/>
  <c r="Y263" s="1"/>
  <c r="V263"/>
  <c r="S273" i="1"/>
  <c r="AF267"/>
  <c r="AD268"/>
  <c r="E258" i="38"/>
  <c r="D258"/>
  <c r="Z258"/>
  <c r="F258"/>
  <c r="AM258" s="1"/>
  <c r="AK275" i="1"/>
  <c r="Z275"/>
  <c r="AJ275"/>
  <c r="AI275"/>
  <c r="BC275"/>
  <c r="AH275"/>
  <c r="AL269" l="1"/>
  <c r="AM269"/>
  <c r="D275" i="53"/>
  <c r="K5" i="55" s="1"/>
  <c r="BV5"/>
  <c r="BD272" i="1"/>
  <c r="BE272" s="1"/>
  <c r="T272" s="1"/>
  <c r="U272" s="1"/>
  <c r="BA273"/>
  <c r="V271"/>
  <c r="X271"/>
  <c r="AC271" s="1"/>
  <c r="AA270"/>
  <c r="E277" i="53" s="1"/>
  <c r="AB270" i="1"/>
  <c r="AE270" s="1"/>
  <c r="G276" i="53"/>
  <c r="BA6" i="55"/>
  <c r="AN258" i="38"/>
  <c r="AR258" s="1"/>
  <c r="AO258"/>
  <c r="AP258" s="1"/>
  <c r="AQ258" s="1"/>
  <c r="AF268" i="1"/>
  <c r="AD269"/>
  <c r="P276"/>
  <c r="Z259" i="38"/>
  <c r="D259"/>
  <c r="E259"/>
  <c r="F259"/>
  <c r="AM259" s="1"/>
  <c r="BK256"/>
  <c r="AS256"/>
  <c r="AU256" s="1"/>
  <c r="AV256" s="1"/>
  <c r="BA256" s="1"/>
  <c r="BB256" s="1"/>
  <c r="BH256" s="1"/>
  <c r="BJ256" s="1"/>
  <c r="P256" s="1"/>
  <c r="W275" i="1"/>
  <c r="R275"/>
  <c r="E265" i="48"/>
  <c r="X265" s="1"/>
  <c r="C265"/>
  <c r="B266"/>
  <c r="D265"/>
  <c r="W265" s="1"/>
  <c r="E278" i="52"/>
  <c r="S274" i="1"/>
  <c r="F279" i="52"/>
  <c r="A261" i="26"/>
  <c r="B261" s="1"/>
  <c r="E277" i="1"/>
  <c r="L277"/>
  <c r="M276" s="1"/>
  <c r="A284" i="53"/>
  <c r="B285" s="1"/>
  <c r="A277" i="1"/>
  <c r="C277"/>
  <c r="D277" s="1"/>
  <c r="K277"/>
  <c r="N277" s="1"/>
  <c r="B278"/>
  <c r="B260" i="38"/>
  <c r="AR257"/>
  <c r="AJ276" i="1"/>
  <c r="AH276"/>
  <c r="AK276"/>
  <c r="BC276"/>
  <c r="Z276"/>
  <c r="AI276"/>
  <c r="CQ4" i="55"/>
  <c r="I275" i="53"/>
  <c r="F264" i="48"/>
  <c r="Y264" s="1"/>
  <c r="V264"/>
  <c r="AL270" i="1" l="1"/>
  <c r="AM270"/>
  <c r="BA7" i="55"/>
  <c r="G277" i="53"/>
  <c r="BD273" i="1"/>
  <c r="BE273" s="1"/>
  <c r="T273" s="1"/>
  <c r="U273" s="1"/>
  <c r="BA274"/>
  <c r="V272"/>
  <c r="X272"/>
  <c r="AC272" s="1"/>
  <c r="D276" i="53"/>
  <c r="K6" i="55" s="1"/>
  <c r="BV6"/>
  <c r="AB271" i="1"/>
  <c r="AE271" s="1"/>
  <c r="AA271"/>
  <c r="E278" i="53" s="1"/>
  <c r="P277" i="1"/>
  <c r="V265" i="48"/>
  <c r="F265"/>
  <c r="Y265" s="1"/>
  <c r="O256" i="38"/>
  <c r="AO259"/>
  <c r="AP259" s="1"/>
  <c r="AQ259" s="1"/>
  <c r="AN259"/>
  <c r="W276" i="1"/>
  <c r="R276"/>
  <c r="CQ5" i="55"/>
  <c r="I276" i="53"/>
  <c r="BK257" i="38"/>
  <c r="AS257"/>
  <c r="AU257" s="1"/>
  <c r="AV257" s="1"/>
  <c r="BA257" s="1"/>
  <c r="BB257" s="1"/>
  <c r="BH257" s="1"/>
  <c r="BJ257" s="1"/>
  <c r="P257" s="1"/>
  <c r="O257" s="1"/>
  <c r="E279" i="52"/>
  <c r="S275" i="1"/>
  <c r="BK258" i="38"/>
  <c r="AS258"/>
  <c r="AU258" s="1"/>
  <c r="AV258" s="1"/>
  <c r="BA258" s="1"/>
  <c r="BB258" s="1"/>
  <c r="BH258" s="1"/>
  <c r="BJ258" s="1"/>
  <c r="P258" s="1"/>
  <c r="O258" s="1"/>
  <c r="D260"/>
  <c r="E260"/>
  <c r="Z260"/>
  <c r="F260"/>
  <c r="AM260" s="1"/>
  <c r="AI277" i="1"/>
  <c r="Z277"/>
  <c r="AH277"/>
  <c r="AJ277"/>
  <c r="AK277"/>
  <c r="BC277"/>
  <c r="L278"/>
  <c r="M277" s="1"/>
  <c r="F280" i="52"/>
  <c r="A262" i="26"/>
  <c r="B262" s="1"/>
  <c r="E278" i="1"/>
  <c r="K278"/>
  <c r="N278" s="1"/>
  <c r="C278"/>
  <c r="D278" s="1"/>
  <c r="A285" i="53"/>
  <c r="B286" s="1"/>
  <c r="A278" i="1"/>
  <c r="B261" i="38"/>
  <c r="B279" i="1"/>
  <c r="D266" i="48"/>
  <c r="W266" s="1"/>
  <c r="C266"/>
  <c r="E266"/>
  <c r="X266" s="1"/>
  <c r="B267"/>
  <c r="AF269" i="1"/>
  <c r="AD270"/>
  <c r="AL271" l="1"/>
  <c r="AM271"/>
  <c r="V273"/>
  <c r="X273"/>
  <c r="AC273" s="1"/>
  <c r="BA8" i="55"/>
  <c r="G278" i="53"/>
  <c r="AB272" i="1"/>
  <c r="AE272" s="1"/>
  <c r="AA272"/>
  <c r="E279" i="53" s="1"/>
  <c r="BV7" i="55"/>
  <c r="D277" i="53"/>
  <c r="K7" i="55" s="1"/>
  <c r="BD274" i="1"/>
  <c r="BE274" s="1"/>
  <c r="T274" s="1"/>
  <c r="U274" s="1"/>
  <c r="BA275"/>
  <c r="D267" i="48"/>
  <c r="W267" s="1"/>
  <c r="C267"/>
  <c r="B268"/>
  <c r="E267"/>
  <c r="X267" s="1"/>
  <c r="Z278" i="1"/>
  <c r="AK278"/>
  <c r="AI278"/>
  <c r="AH278"/>
  <c r="AJ278"/>
  <c r="BC278"/>
  <c r="E280" i="52"/>
  <c r="AN260" i="38"/>
  <c r="AO260"/>
  <c r="AP260" s="1"/>
  <c r="AQ260" s="1"/>
  <c r="AR259"/>
  <c r="W277" i="1"/>
  <c r="R277"/>
  <c r="AF270"/>
  <c r="AD271"/>
  <c r="CQ6" i="55"/>
  <c r="I277" i="53"/>
  <c r="F266" i="48"/>
  <c r="Y266" s="1"/>
  <c r="V266"/>
  <c r="A286" i="53"/>
  <c r="B287" s="1"/>
  <c r="F281" i="52"/>
  <c r="C279" i="1"/>
  <c r="D279" s="1"/>
  <c r="E279"/>
  <c r="A279"/>
  <c r="L279"/>
  <c r="M278" s="1"/>
  <c r="B262" i="38"/>
  <c r="A263" i="26"/>
  <c r="B263" s="1"/>
  <c r="K279" i="1"/>
  <c r="N279" s="1"/>
  <c r="B280"/>
  <c r="S276"/>
  <c r="Z261" i="38"/>
  <c r="D261"/>
  <c r="E261"/>
  <c r="F261"/>
  <c r="AM261" s="1"/>
  <c r="P278" i="1"/>
  <c r="AR260" i="38" l="1"/>
  <c r="AS260" s="1"/>
  <c r="AU260" s="1"/>
  <c r="AV260" s="1"/>
  <c r="BA260" s="1"/>
  <c r="BB260" s="1"/>
  <c r="BH260" s="1"/>
  <c r="BJ260" s="1"/>
  <c r="P260" s="1"/>
  <c r="O260" s="1"/>
  <c r="AL272" i="1"/>
  <c r="AM272"/>
  <c r="D278" i="53"/>
  <c r="K8" i="55" s="1"/>
  <c r="BV8"/>
  <c r="BD275" i="1"/>
  <c r="BE275" s="1"/>
  <c r="T275" s="1"/>
  <c r="U275" s="1"/>
  <c r="BA276"/>
  <c r="V274"/>
  <c r="X274"/>
  <c r="AC274" s="1"/>
  <c r="BA9" i="55"/>
  <c r="G279" i="53"/>
  <c r="AB273" i="1"/>
  <c r="AE273" s="1"/>
  <c r="AA273"/>
  <c r="E280" i="53" s="1"/>
  <c r="P279" i="1"/>
  <c r="AJ279"/>
  <c r="AH279"/>
  <c r="AI279"/>
  <c r="Z279"/>
  <c r="AK279"/>
  <c r="BC279"/>
  <c r="S277"/>
  <c r="V267" i="48"/>
  <c r="F267"/>
  <c r="Y267" s="1"/>
  <c r="E281" i="52"/>
  <c r="AF271" i="1"/>
  <c r="AD272"/>
  <c r="Z262" i="38"/>
  <c r="D262"/>
  <c r="E262"/>
  <c r="F262"/>
  <c r="AM262" s="1"/>
  <c r="CQ7" i="55"/>
  <c r="I278" i="53"/>
  <c r="BK259" i="38"/>
  <c r="AS259"/>
  <c r="AU259" s="1"/>
  <c r="AV259" s="1"/>
  <c r="BA259" s="1"/>
  <c r="BB259" s="1"/>
  <c r="BH259" s="1"/>
  <c r="BJ259" s="1"/>
  <c r="P259" s="1"/>
  <c r="R278" i="1"/>
  <c r="W278"/>
  <c r="AO261" i="38"/>
  <c r="AP261" s="1"/>
  <c r="AQ261" s="1"/>
  <c r="AN261"/>
  <c r="L280" i="1"/>
  <c r="M279" s="1"/>
  <c r="A264" i="26"/>
  <c r="B264" s="1"/>
  <c r="F282" i="52"/>
  <c r="C280" i="1"/>
  <c r="D280" s="1"/>
  <c r="B281"/>
  <c r="A287" i="53"/>
  <c r="B288" s="1"/>
  <c r="E280" i="1"/>
  <c r="B263" i="38"/>
  <c r="K280" i="1"/>
  <c r="N280" s="1"/>
  <c r="A280"/>
  <c r="C268" i="48"/>
  <c r="E268"/>
  <c r="X268" s="1"/>
  <c r="D268"/>
  <c r="W268" s="1"/>
  <c r="B269"/>
  <c r="BK260" i="38" l="1"/>
  <c r="AR261"/>
  <c r="BK261" s="1"/>
  <c r="AL273" i="1"/>
  <c r="AM273"/>
  <c r="BD276"/>
  <c r="BE276" s="1"/>
  <c r="T276" s="1"/>
  <c r="U276" s="1"/>
  <c r="BA277"/>
  <c r="G280" i="53"/>
  <c r="BA10" i="55"/>
  <c r="AA274" i="1"/>
  <c r="E281" i="53" s="1"/>
  <c r="AB274" i="1"/>
  <c r="AE274" s="1"/>
  <c r="V275"/>
  <c r="X275"/>
  <c r="AC275" s="1"/>
  <c r="BV9" i="55"/>
  <c r="D279" i="53"/>
  <c r="K9" i="55" s="1"/>
  <c r="E282" i="52"/>
  <c r="AF272" i="1"/>
  <c r="AD273"/>
  <c r="D269" i="48"/>
  <c r="W269" s="1"/>
  <c r="E269"/>
  <c r="X269" s="1"/>
  <c r="C269"/>
  <c r="B270"/>
  <c r="Z280" i="1"/>
  <c r="AK280"/>
  <c r="AI280"/>
  <c r="AJ280"/>
  <c r="AH280"/>
  <c r="BC280"/>
  <c r="S278"/>
  <c r="P280"/>
  <c r="A265" i="26"/>
  <c r="B265" s="1"/>
  <c r="L281" i="1"/>
  <c r="M280" s="1"/>
  <c r="E281"/>
  <c r="F283" i="52"/>
  <c r="C281" i="1"/>
  <c r="D281" s="1"/>
  <c r="A281"/>
  <c r="B282"/>
  <c r="A288" i="53"/>
  <c r="B289" s="1"/>
  <c r="B264" i="38"/>
  <c r="K281" i="1"/>
  <c r="N281" s="1"/>
  <c r="AS261" i="38"/>
  <c r="AU261" s="1"/>
  <c r="AV261" s="1"/>
  <c r="BA261" s="1"/>
  <c r="BB261" s="1"/>
  <c r="BH261" s="1"/>
  <c r="BJ261" s="1"/>
  <c r="P261" s="1"/>
  <c r="O261" s="1"/>
  <c r="AN262"/>
  <c r="AO262"/>
  <c r="AP262" s="1"/>
  <c r="AQ262" s="1"/>
  <c r="W279" i="1"/>
  <c r="R279"/>
  <c r="F268" i="48"/>
  <c r="Y268" s="1"/>
  <c r="V268"/>
  <c r="Z263" i="38"/>
  <c r="E263"/>
  <c r="D263"/>
  <c r="F263"/>
  <c r="AM263" s="1"/>
  <c r="O259"/>
  <c r="CQ8" i="55"/>
  <c r="I279" i="53"/>
  <c r="AL274" i="1" l="1"/>
  <c r="AM274"/>
  <c r="D280" i="53"/>
  <c r="K10" i="55" s="1"/>
  <c r="BV10"/>
  <c r="BA11"/>
  <c r="G281" i="53"/>
  <c r="BD277" i="1"/>
  <c r="BE277" s="1"/>
  <c r="T277" s="1"/>
  <c r="U277" s="1"/>
  <c r="BA278"/>
  <c r="AB275"/>
  <c r="AE275" s="1"/>
  <c r="AA275"/>
  <c r="E282" i="53" s="1"/>
  <c r="V276" i="1"/>
  <c r="X276"/>
  <c r="AC276" s="1"/>
  <c r="S279"/>
  <c r="A266" i="26"/>
  <c r="B266" s="1"/>
  <c r="E282" i="1"/>
  <c r="F284" i="52"/>
  <c r="A289" i="53"/>
  <c r="B290" s="1"/>
  <c r="C282" i="1"/>
  <c r="D282" s="1"/>
  <c r="K282"/>
  <c r="N282" s="1"/>
  <c r="L282"/>
  <c r="M281" s="1"/>
  <c r="B265" i="38"/>
  <c r="B283" i="1"/>
  <c r="A282"/>
  <c r="E283" i="52"/>
  <c r="W280" i="1"/>
  <c r="R280"/>
  <c r="C270" i="48"/>
  <c r="D270"/>
  <c r="W270" s="1"/>
  <c r="E270"/>
  <c r="X270" s="1"/>
  <c r="B271"/>
  <c r="CQ9" i="55"/>
  <c r="I280" i="53"/>
  <c r="AO263" i="38"/>
  <c r="AP263" s="1"/>
  <c r="AQ263" s="1"/>
  <c r="AN263"/>
  <c r="P281" i="1"/>
  <c r="Z281"/>
  <c r="AJ281"/>
  <c r="BC281"/>
  <c r="AK281"/>
  <c r="AI281"/>
  <c r="AH281"/>
  <c r="F269" i="48"/>
  <c r="Y269" s="1"/>
  <c r="V269"/>
  <c r="AF273" i="1"/>
  <c r="AD274"/>
  <c r="AR262" i="38"/>
  <c r="D264"/>
  <c r="Z264"/>
  <c r="E264"/>
  <c r="F264"/>
  <c r="AM264" s="1"/>
  <c r="AL275" i="1" l="1"/>
  <c r="AM275"/>
  <c r="AB276"/>
  <c r="AE276" s="1"/>
  <c r="AA276"/>
  <c r="E283" i="53" s="1"/>
  <c r="BD278" i="1"/>
  <c r="BE278" s="1"/>
  <c r="T278" s="1"/>
  <c r="U278" s="1"/>
  <c r="BA279"/>
  <c r="V277"/>
  <c r="X277"/>
  <c r="AC277" s="1"/>
  <c r="BA12" i="55"/>
  <c r="G282" i="53"/>
  <c r="BV11" i="55"/>
  <c r="D281" i="53"/>
  <c r="K11" i="55" s="1"/>
  <c r="BK262" i="38"/>
  <c r="AS262"/>
  <c r="AU262" s="1"/>
  <c r="AV262" s="1"/>
  <c r="BA262" s="1"/>
  <c r="BB262" s="1"/>
  <c r="BH262" s="1"/>
  <c r="BJ262" s="1"/>
  <c r="P262" s="1"/>
  <c r="AF274" i="1"/>
  <c r="AD275"/>
  <c r="A290" i="53"/>
  <c r="B291" s="1"/>
  <c r="C283" i="1"/>
  <c r="D283" s="1"/>
  <c r="A283"/>
  <c r="F285" i="52"/>
  <c r="L283" i="1"/>
  <c r="M282" s="1"/>
  <c r="K283"/>
  <c r="N283" s="1"/>
  <c r="B284"/>
  <c r="A267" i="26"/>
  <c r="B267" s="1"/>
  <c r="E283" i="1"/>
  <c r="B266" i="38"/>
  <c r="F270" i="48"/>
  <c r="Y270" s="1"/>
  <c r="V270"/>
  <c r="Z265" i="38"/>
  <c r="E265"/>
  <c r="D265"/>
  <c r="F265"/>
  <c r="AM265" s="1"/>
  <c r="W281" i="1"/>
  <c r="R281"/>
  <c r="CQ10" i="55"/>
  <c r="I281" i="53"/>
  <c r="E271" i="48"/>
  <c r="X271" s="1"/>
  <c r="D271"/>
  <c r="W271" s="1"/>
  <c r="C271"/>
  <c r="B272"/>
  <c r="S280" i="1"/>
  <c r="AN264" i="38"/>
  <c r="AO264"/>
  <c r="AP264" s="1"/>
  <c r="AQ264" s="1"/>
  <c r="AR263"/>
  <c r="Z282" i="1"/>
  <c r="AH282"/>
  <c r="BC282"/>
  <c r="AI282"/>
  <c r="AJ282"/>
  <c r="AK282"/>
  <c r="P282"/>
  <c r="E284" i="52"/>
  <c r="AL276" i="1" l="1"/>
  <c r="AM276"/>
  <c r="BD279"/>
  <c r="BE279" s="1"/>
  <c r="T279" s="1"/>
  <c r="U279" s="1"/>
  <c r="BA280"/>
  <c r="V278"/>
  <c r="X278"/>
  <c r="AC278" s="1"/>
  <c r="AB277"/>
  <c r="AE277" s="1"/>
  <c r="AA277"/>
  <c r="E284" i="53" s="1"/>
  <c r="BA13" i="55"/>
  <c r="G283" i="53"/>
  <c r="D282"/>
  <c r="K12" i="55" s="1"/>
  <c r="BV12"/>
  <c r="W282" i="1"/>
  <c r="R282"/>
  <c r="BK263" i="38"/>
  <c r="AS263"/>
  <c r="AU263" s="1"/>
  <c r="AV263" s="1"/>
  <c r="BA263" s="1"/>
  <c r="BB263" s="1"/>
  <c r="BH263" s="1"/>
  <c r="BJ263" s="1"/>
  <c r="P263" s="1"/>
  <c r="O263" s="1"/>
  <c r="CQ11" i="55"/>
  <c r="I282" i="53"/>
  <c r="Z266" i="38"/>
  <c r="E266"/>
  <c r="D266"/>
  <c r="F266"/>
  <c r="AM266" s="1"/>
  <c r="P283" i="1"/>
  <c r="O262" i="38"/>
  <c r="E272" i="48"/>
  <c r="X272" s="1"/>
  <c r="D272"/>
  <c r="W272" s="1"/>
  <c r="C272"/>
  <c r="B273"/>
  <c r="AN265" i="38"/>
  <c r="AR265" s="1"/>
  <c r="AO265"/>
  <c r="AP265" s="1"/>
  <c r="AQ265" s="1"/>
  <c r="E285" i="52"/>
  <c r="V271" i="48"/>
  <c r="F271"/>
  <c r="Y271" s="1"/>
  <c r="AR264" i="38"/>
  <c r="S281" i="1"/>
  <c r="C284"/>
  <c r="D284" s="1"/>
  <c r="E284"/>
  <c r="F286" i="52"/>
  <c r="L284" i="1"/>
  <c r="M283" s="1"/>
  <c r="B285"/>
  <c r="B267" i="38"/>
  <c r="A268" i="26"/>
  <c r="B268" s="1"/>
  <c r="A284" i="1"/>
  <c r="A291" i="53"/>
  <c r="B292" s="1"/>
  <c r="K284" i="1"/>
  <c r="N284" s="1"/>
  <c r="AI283"/>
  <c r="AJ283"/>
  <c r="Z283"/>
  <c r="AH283"/>
  <c r="AK283"/>
  <c r="BC283"/>
  <c r="AF275"/>
  <c r="AD276"/>
  <c r="AL277" l="1"/>
  <c r="AM277"/>
  <c r="D283" i="53"/>
  <c r="K13" i="55" s="1"/>
  <c r="BV13"/>
  <c r="AB278" i="1"/>
  <c r="AE278" s="1"/>
  <c r="AA278"/>
  <c r="E285" i="53" s="1"/>
  <c r="BA14" i="55"/>
  <c r="G284" i="53"/>
  <c r="BD280" i="1"/>
  <c r="BE280" s="1"/>
  <c r="T280" s="1"/>
  <c r="U280" s="1"/>
  <c r="BA281"/>
  <c r="V279"/>
  <c r="X279"/>
  <c r="AC279" s="1"/>
  <c r="C285"/>
  <c r="D285" s="1"/>
  <c r="F287" i="52"/>
  <c r="L285" i="1"/>
  <c r="M284" s="1"/>
  <c r="A292" i="53"/>
  <c r="B293" s="1"/>
  <c r="A269" i="26"/>
  <c r="B269" s="1"/>
  <c r="B286" i="1"/>
  <c r="E285"/>
  <c r="A285"/>
  <c r="B268" i="38"/>
  <c r="K285" i="1"/>
  <c r="N285" s="1"/>
  <c r="BK265" i="38"/>
  <c r="AS265"/>
  <c r="AU265" s="1"/>
  <c r="AV265" s="1"/>
  <c r="BA265" s="1"/>
  <c r="BB265" s="1"/>
  <c r="BH265" s="1"/>
  <c r="BJ265" s="1"/>
  <c r="P265" s="1"/>
  <c r="O265" s="1"/>
  <c r="E273" i="48"/>
  <c r="X273" s="1"/>
  <c r="D273"/>
  <c r="W273" s="1"/>
  <c r="B274"/>
  <c r="C273"/>
  <c r="W283" i="1"/>
  <c r="R283"/>
  <c r="AO266" i="38"/>
  <c r="AP266" s="1"/>
  <c r="AQ266" s="1"/>
  <c r="AN266"/>
  <c r="AR266" s="1"/>
  <c r="AI284" i="1"/>
  <c r="AH284"/>
  <c r="AK284"/>
  <c r="Z284"/>
  <c r="AJ284"/>
  <c r="BC284"/>
  <c r="AF276"/>
  <c r="AD277"/>
  <c r="P284"/>
  <c r="D267" i="38"/>
  <c r="Z267"/>
  <c r="E267"/>
  <c r="F267"/>
  <c r="AM267" s="1"/>
  <c r="E286" i="52"/>
  <c r="BK264" i="38"/>
  <c r="AS264"/>
  <c r="AU264" s="1"/>
  <c r="AV264" s="1"/>
  <c r="BA264" s="1"/>
  <c r="BB264" s="1"/>
  <c r="BH264" s="1"/>
  <c r="BJ264" s="1"/>
  <c r="P264" s="1"/>
  <c r="V272" i="48"/>
  <c r="F272"/>
  <c r="Y272" s="1"/>
  <c r="CQ12" i="55"/>
  <c r="I283" i="53"/>
  <c r="S282" i="1"/>
  <c r="AL278" l="1"/>
  <c r="AM278"/>
  <c r="BD281"/>
  <c r="BE281" s="1"/>
  <c r="T281" s="1"/>
  <c r="U281" s="1"/>
  <c r="BA282"/>
  <c r="BA15" i="55"/>
  <c r="G285" i="53"/>
  <c r="AA279" i="1"/>
  <c r="E286" i="53" s="1"/>
  <c r="AB279" i="1"/>
  <c r="AE279" s="1"/>
  <c r="V280"/>
  <c r="X280"/>
  <c r="AC280" s="1"/>
  <c r="D284" i="53"/>
  <c r="K14" i="55" s="1"/>
  <c r="BV14"/>
  <c r="S283" i="1"/>
  <c r="AI285"/>
  <c r="Z285"/>
  <c r="AK285"/>
  <c r="AH285"/>
  <c r="AJ285"/>
  <c r="BC285"/>
  <c r="O264" i="38"/>
  <c r="E287" i="52"/>
  <c r="AN267" i="38"/>
  <c r="AO267"/>
  <c r="AP267" s="1"/>
  <c r="AQ267" s="1"/>
  <c r="AF277" i="1"/>
  <c r="AD278"/>
  <c r="BK266" i="38"/>
  <c r="AS266"/>
  <c r="AU266" s="1"/>
  <c r="AV266" s="1"/>
  <c r="BA266" s="1"/>
  <c r="BB266" s="1"/>
  <c r="BH266" s="1"/>
  <c r="BJ266" s="1"/>
  <c r="P266" s="1"/>
  <c r="O266" s="1"/>
  <c r="V273" i="48"/>
  <c r="F273"/>
  <c r="Y273" s="1"/>
  <c r="P285" i="1"/>
  <c r="C286"/>
  <c r="D286" s="1"/>
  <c r="L286"/>
  <c r="M285" s="1"/>
  <c r="F288" i="52"/>
  <c r="A286" i="1"/>
  <c r="A270" i="26"/>
  <c r="B270" s="1"/>
  <c r="B287" i="1"/>
  <c r="A293" i="53"/>
  <c r="B294" s="1"/>
  <c r="K286" i="1"/>
  <c r="N286" s="1"/>
  <c r="B269" i="38"/>
  <c r="E286" i="1"/>
  <c r="CQ13" i="55"/>
  <c r="I284" i="53"/>
  <c r="W284" i="1"/>
  <c r="R284"/>
  <c r="C274" i="48"/>
  <c r="E274"/>
  <c r="X274" s="1"/>
  <c r="D274"/>
  <c r="W274" s="1"/>
  <c r="B275"/>
  <c r="D268" i="38"/>
  <c r="E268"/>
  <c r="Z268"/>
  <c r="F268"/>
  <c r="AM268" s="1"/>
  <c r="AL279" i="1" l="1"/>
  <c r="AM279"/>
  <c r="AB280"/>
  <c r="AE280" s="1"/>
  <c r="AA280"/>
  <c r="E287" i="53" s="1"/>
  <c r="D285"/>
  <c r="K15" i="55" s="1"/>
  <c r="BV15"/>
  <c r="BD282" i="1"/>
  <c r="BE282" s="1"/>
  <c r="T282" s="1"/>
  <c r="U282" s="1"/>
  <c r="BA283"/>
  <c r="G286" i="53"/>
  <c r="BA16" i="55"/>
  <c r="V281" i="1"/>
  <c r="X281"/>
  <c r="AC281" s="1"/>
  <c r="AN268" i="38"/>
  <c r="AO268"/>
  <c r="AP268" s="1"/>
  <c r="AQ268" s="1"/>
  <c r="C275" i="48"/>
  <c r="D275"/>
  <c r="W275" s="1"/>
  <c r="B276"/>
  <c r="E275"/>
  <c r="X275" s="1"/>
  <c r="S284" i="1"/>
  <c r="E288" i="52"/>
  <c r="F289"/>
  <c r="C287" i="1"/>
  <c r="D287" s="1"/>
  <c r="K287"/>
  <c r="N287" s="1"/>
  <c r="A271" i="26"/>
  <c r="B271" s="1"/>
  <c r="A287" i="1"/>
  <c r="B288"/>
  <c r="E287"/>
  <c r="L287"/>
  <c r="M286" s="1"/>
  <c r="B270" i="38"/>
  <c r="A294" i="53"/>
  <c r="B295" s="1"/>
  <c r="CQ14" i="55"/>
  <c r="I285" i="53"/>
  <c r="Z269" i="38"/>
  <c r="E269"/>
  <c r="D269"/>
  <c r="F269"/>
  <c r="AM269" s="1"/>
  <c r="P286" i="1"/>
  <c r="AH286"/>
  <c r="Z286"/>
  <c r="AI286"/>
  <c r="AK286"/>
  <c r="AJ286"/>
  <c r="BC286"/>
  <c r="AR267" i="38"/>
  <c r="V274" i="48"/>
  <c r="F274"/>
  <c r="Y274" s="1"/>
  <c r="W285" i="1"/>
  <c r="R285"/>
  <c r="AF278"/>
  <c r="AD279"/>
  <c r="AL280" l="1"/>
  <c r="AM280"/>
  <c r="BV16" i="55"/>
  <c r="D286" i="53"/>
  <c r="K16" i="55" s="1"/>
  <c r="AB281" i="1"/>
  <c r="AE281" s="1"/>
  <c r="AA281"/>
  <c r="E288" i="53" s="1"/>
  <c r="BD283" i="1"/>
  <c r="BE283" s="1"/>
  <c r="T283" s="1"/>
  <c r="U283" s="1"/>
  <c r="BA284"/>
  <c r="BA17" i="55"/>
  <c r="G287" i="53"/>
  <c r="V282" i="1"/>
  <c r="X282"/>
  <c r="AC282" s="1"/>
  <c r="AF279"/>
  <c r="AD280"/>
  <c r="AO269" i="38"/>
  <c r="AP269" s="1"/>
  <c r="AQ269" s="1"/>
  <c r="AN269"/>
  <c r="CQ15" i="55"/>
  <c r="I286" i="53"/>
  <c r="F290" i="52"/>
  <c r="A295" i="53"/>
  <c r="B296" s="1"/>
  <c r="A272" i="26"/>
  <c r="B272" s="1"/>
  <c r="E288" i="1"/>
  <c r="B271" i="38"/>
  <c r="A288" i="1"/>
  <c r="K288"/>
  <c r="N288" s="1"/>
  <c r="B289"/>
  <c r="L288"/>
  <c r="M287" s="1"/>
  <c r="C288"/>
  <c r="D288" s="1"/>
  <c r="BK267" i="38"/>
  <c r="AS267"/>
  <c r="AU267" s="1"/>
  <c r="AV267" s="1"/>
  <c r="BA267" s="1"/>
  <c r="BB267" s="1"/>
  <c r="BH267" s="1"/>
  <c r="BJ267" s="1"/>
  <c r="P267" s="1"/>
  <c r="W286" i="1"/>
  <c r="R286"/>
  <c r="Z270" i="38"/>
  <c r="D270"/>
  <c r="E270"/>
  <c r="F270"/>
  <c r="AM270" s="1"/>
  <c r="AI287" i="1"/>
  <c r="AH287"/>
  <c r="BC287"/>
  <c r="Z287"/>
  <c r="AK287"/>
  <c r="AJ287"/>
  <c r="E276" i="48"/>
  <c r="X276" s="1"/>
  <c r="D276"/>
  <c r="W276" s="1"/>
  <c r="C276"/>
  <c r="B277"/>
  <c r="S285" i="1"/>
  <c r="AR268" i="38"/>
  <c r="E289" i="52"/>
  <c r="P287" i="1"/>
  <c r="V275" i="48"/>
  <c r="F275"/>
  <c r="Y275" s="1"/>
  <c r="AR269" i="38" l="1"/>
  <c r="BK269" s="1"/>
  <c r="AL281" i="1"/>
  <c r="AM281"/>
  <c r="AB282"/>
  <c r="AE282" s="1"/>
  <c r="AA282"/>
  <c r="E289" i="53" s="1"/>
  <c r="BD284" i="1"/>
  <c r="BE284" s="1"/>
  <c r="T284" s="1"/>
  <c r="U284" s="1"/>
  <c r="BA285"/>
  <c r="V283"/>
  <c r="X283"/>
  <c r="AC283" s="1"/>
  <c r="BV17" i="55"/>
  <c r="D287" i="53"/>
  <c r="K17" i="55" s="1"/>
  <c r="BA18"/>
  <c r="G288" i="53"/>
  <c r="AJ288" i="1"/>
  <c r="AH288"/>
  <c r="BC288"/>
  <c r="AI288"/>
  <c r="AK288"/>
  <c r="Z288"/>
  <c r="CQ16" i="55"/>
  <c r="I287" i="53"/>
  <c r="R287" i="1"/>
  <c r="W287"/>
  <c r="E277" i="48"/>
  <c r="X277" s="1"/>
  <c r="C277"/>
  <c r="B278"/>
  <c r="D277"/>
  <c r="W277" s="1"/>
  <c r="O267" i="38"/>
  <c r="Z271"/>
  <c r="E271"/>
  <c r="D271"/>
  <c r="F271"/>
  <c r="AM271" s="1"/>
  <c r="F276" i="48"/>
  <c r="Y276" s="1"/>
  <c r="V276"/>
  <c r="AN270" i="38"/>
  <c r="AR270" s="1"/>
  <c r="AO270"/>
  <c r="AP270" s="1"/>
  <c r="AQ270" s="1"/>
  <c r="A296" i="53"/>
  <c r="B297" s="1"/>
  <c r="A273" i="26"/>
  <c r="B273" s="1"/>
  <c r="F291" i="52"/>
  <c r="C289" i="1"/>
  <c r="D289" s="1"/>
  <c r="E289"/>
  <c r="L289"/>
  <c r="M288" s="1"/>
  <c r="K289"/>
  <c r="N289" s="1"/>
  <c r="A289"/>
  <c r="B290"/>
  <c r="B272" i="38"/>
  <c r="E290" i="52"/>
  <c r="AS269" i="38"/>
  <c r="AU269" s="1"/>
  <c r="AV269" s="1"/>
  <c r="BA269" s="1"/>
  <c r="BB269" s="1"/>
  <c r="BH269" s="1"/>
  <c r="BJ269" s="1"/>
  <c r="P269" s="1"/>
  <c r="O269" s="1"/>
  <c r="BK268"/>
  <c r="AS268"/>
  <c r="AU268" s="1"/>
  <c r="AV268" s="1"/>
  <c r="BA268" s="1"/>
  <c r="BB268" s="1"/>
  <c r="BH268" s="1"/>
  <c r="BJ268" s="1"/>
  <c r="P268" s="1"/>
  <c r="O268" s="1"/>
  <c r="S286" i="1"/>
  <c r="P288"/>
  <c r="AF280"/>
  <c r="AD281"/>
  <c r="AL282" l="1"/>
  <c r="AM282"/>
  <c r="V284"/>
  <c r="X284"/>
  <c r="AC284" s="1"/>
  <c r="D288" i="53"/>
  <c r="K18" i="55" s="1"/>
  <c r="BV18"/>
  <c r="AB283" i="1"/>
  <c r="AE283" s="1"/>
  <c r="AA283"/>
  <c r="E290" i="53" s="1"/>
  <c r="BA19" i="55"/>
  <c r="G289" i="53"/>
  <c r="BD285" i="1"/>
  <c r="BE285" s="1"/>
  <c r="T285" s="1"/>
  <c r="U285" s="1"/>
  <c r="BA286"/>
  <c r="P289"/>
  <c r="F277" i="48"/>
  <c r="Y277" s="1"/>
  <c r="V277"/>
  <c r="S287" i="1"/>
  <c r="AF281"/>
  <c r="AD282"/>
  <c r="D272" i="38"/>
  <c r="E272"/>
  <c r="Z272"/>
  <c r="F272"/>
  <c r="AM272" s="1"/>
  <c r="W288" i="1"/>
  <c r="R288"/>
  <c r="F292" i="52"/>
  <c r="A274" i="26"/>
  <c r="B274" s="1"/>
  <c r="C290" i="1"/>
  <c r="D290" s="1"/>
  <c r="E290"/>
  <c r="L290"/>
  <c r="M289" s="1"/>
  <c r="A297" i="53"/>
  <c r="B298" s="1"/>
  <c r="B291" i="1"/>
  <c r="B273" i="38"/>
  <c r="K290" i="1"/>
  <c r="N290" s="1"/>
  <c r="A290"/>
  <c r="E291" i="52"/>
  <c r="AJ289" i="1"/>
  <c r="AK289"/>
  <c r="Z289"/>
  <c r="AH289"/>
  <c r="AI289"/>
  <c r="BC289"/>
  <c r="BK270" i="38"/>
  <c r="AS270"/>
  <c r="AU270" s="1"/>
  <c r="AV270" s="1"/>
  <c r="BA270" s="1"/>
  <c r="BB270" s="1"/>
  <c r="BH270" s="1"/>
  <c r="BJ270" s="1"/>
  <c r="P270" s="1"/>
  <c r="O270" s="1"/>
  <c r="AO271"/>
  <c r="AP271" s="1"/>
  <c r="AQ271" s="1"/>
  <c r="AN271"/>
  <c r="C278" i="48"/>
  <c r="D278"/>
  <c r="W278" s="1"/>
  <c r="E278"/>
  <c r="X278" s="1"/>
  <c r="B279"/>
  <c r="CQ17" i="55"/>
  <c r="I288" i="53"/>
  <c r="AR271" i="38" l="1"/>
  <c r="BK271" s="1"/>
  <c r="AL283" i="1"/>
  <c r="AM283"/>
  <c r="BD286"/>
  <c r="BE286" s="1"/>
  <c r="T286" s="1"/>
  <c r="U286" s="1"/>
  <c r="BA287"/>
  <c r="BA20" i="55"/>
  <c r="G290" i="53"/>
  <c r="AB284" i="1"/>
  <c r="AE284" s="1"/>
  <c r="AA284"/>
  <c r="E291" i="53" s="1"/>
  <c r="V285" i="1"/>
  <c r="X285"/>
  <c r="AC285" s="1"/>
  <c r="D289" i="53"/>
  <c r="K19" i="55" s="1"/>
  <c r="BV19"/>
  <c r="F278" i="48"/>
  <c r="Y278" s="1"/>
  <c r="V278"/>
  <c r="AS271" i="38"/>
  <c r="AU271" s="1"/>
  <c r="AV271" s="1"/>
  <c r="BA271" s="1"/>
  <c r="BB271" s="1"/>
  <c r="BH271" s="1"/>
  <c r="BJ271" s="1"/>
  <c r="P271" s="1"/>
  <c r="F293" i="52"/>
  <c r="C291" i="1"/>
  <c r="D291" s="1"/>
  <c r="A291"/>
  <c r="A275" i="26"/>
  <c r="B275" s="1"/>
  <c r="A298" i="53"/>
  <c r="B299" s="1"/>
  <c r="L291" i="1"/>
  <c r="M290" s="1"/>
  <c r="E291"/>
  <c r="K291"/>
  <c r="N291" s="1"/>
  <c r="B292"/>
  <c r="B274" i="38"/>
  <c r="AF282" i="1"/>
  <c r="AD283"/>
  <c r="CQ18" i="55"/>
  <c r="I289" i="53"/>
  <c r="E279" i="48"/>
  <c r="X279" s="1"/>
  <c r="D279"/>
  <c r="W279" s="1"/>
  <c r="C279"/>
  <c r="B280"/>
  <c r="AJ290" i="1"/>
  <c r="AI290"/>
  <c r="BC290"/>
  <c r="Z290"/>
  <c r="AK290"/>
  <c r="AH290"/>
  <c r="S288"/>
  <c r="AO272" i="38"/>
  <c r="AP272" s="1"/>
  <c r="AQ272" s="1"/>
  <c r="AN272"/>
  <c r="W289" i="1"/>
  <c r="R289"/>
  <c r="P290"/>
  <c r="D273" i="38"/>
  <c r="Z273"/>
  <c r="E273"/>
  <c r="F273"/>
  <c r="AM273" s="1"/>
  <c r="E292" i="52"/>
  <c r="AL284" i="1" l="1"/>
  <c r="AM284"/>
  <c r="AA285"/>
  <c r="E292" i="53" s="1"/>
  <c r="AB285" i="1"/>
  <c r="AE285" s="1"/>
  <c r="BV20" i="55"/>
  <c r="D290" i="53"/>
  <c r="K20" i="55" s="1"/>
  <c r="G291" i="53"/>
  <c r="BA21" i="55"/>
  <c r="BD287" i="1"/>
  <c r="BE287" s="1"/>
  <c r="T287" s="1"/>
  <c r="U287" s="1"/>
  <c r="BA288"/>
  <c r="V286"/>
  <c r="X286"/>
  <c r="AC286" s="1"/>
  <c r="AO273" i="38"/>
  <c r="AP273" s="1"/>
  <c r="AQ273" s="1"/>
  <c r="AN273"/>
  <c r="AF283" i="1"/>
  <c r="AD284"/>
  <c r="E293" i="52"/>
  <c r="AJ291" i="1"/>
  <c r="AH291"/>
  <c r="BC291"/>
  <c r="AK291"/>
  <c r="Z291"/>
  <c r="AI291"/>
  <c r="C280" i="48"/>
  <c r="E280"/>
  <c r="X280" s="1"/>
  <c r="D280"/>
  <c r="W280" s="1"/>
  <c r="B281"/>
  <c r="CQ19" i="55"/>
  <c r="I290" i="53"/>
  <c r="Z274" i="38"/>
  <c r="E274"/>
  <c r="D274"/>
  <c r="F274"/>
  <c r="AM274" s="1"/>
  <c r="S289" i="1"/>
  <c r="AR272" i="38"/>
  <c r="V279" i="48"/>
  <c r="F279"/>
  <c r="Y279" s="1"/>
  <c r="F294" i="52"/>
  <c r="A276" i="26"/>
  <c r="B276" s="1"/>
  <c r="C292" i="1"/>
  <c r="D292" s="1"/>
  <c r="A299" i="53"/>
  <c r="B300" s="1"/>
  <c r="L292" i="1"/>
  <c r="M291" s="1"/>
  <c r="K292"/>
  <c r="N292" s="1"/>
  <c r="A292"/>
  <c r="B293"/>
  <c r="E292"/>
  <c r="B275" i="38"/>
  <c r="W290" i="1"/>
  <c r="R290"/>
  <c r="P291"/>
  <c r="O271" i="38"/>
  <c r="AL285" i="1" l="1"/>
  <c r="AM285"/>
  <c r="BD288"/>
  <c r="BE288" s="1"/>
  <c r="T288" s="1"/>
  <c r="U288" s="1"/>
  <c r="BA289"/>
  <c r="AB286"/>
  <c r="AE286" s="1"/>
  <c r="AA286"/>
  <c r="E293" i="53" s="1"/>
  <c r="V287" i="1"/>
  <c r="X287"/>
  <c r="AC287" s="1"/>
  <c r="BV21" i="55"/>
  <c r="D291" i="53"/>
  <c r="K21" i="55" s="1"/>
  <c r="BA22"/>
  <c r="G292" i="53"/>
  <c r="A300"/>
  <c r="B301" s="1"/>
  <c r="F295" i="52"/>
  <c r="K293" i="1"/>
  <c r="N293" s="1"/>
  <c r="B276" i="38"/>
  <c r="A293" i="1"/>
  <c r="L293"/>
  <c r="M292" s="1"/>
  <c r="A277" i="26"/>
  <c r="B277" s="1"/>
  <c r="E293" i="1"/>
  <c r="B294"/>
  <c r="C293"/>
  <c r="D293" s="1"/>
  <c r="AH292"/>
  <c r="AJ292"/>
  <c r="AK292"/>
  <c r="Z292"/>
  <c r="AI292"/>
  <c r="BC292"/>
  <c r="AO274" i="38"/>
  <c r="AP274" s="1"/>
  <c r="AQ274" s="1"/>
  <c r="AN274"/>
  <c r="CQ20" i="55"/>
  <c r="I291" i="53"/>
  <c r="AF284" i="1"/>
  <c r="AD285"/>
  <c r="AR273" i="38"/>
  <c r="R291" i="1"/>
  <c r="W291"/>
  <c r="Z275" i="38"/>
  <c r="D275"/>
  <c r="E275"/>
  <c r="F275"/>
  <c r="AM275" s="1"/>
  <c r="P292" i="1"/>
  <c r="BK272" i="38"/>
  <c r="AS272"/>
  <c r="AU272" s="1"/>
  <c r="AV272" s="1"/>
  <c r="BA272" s="1"/>
  <c r="BB272" s="1"/>
  <c r="BH272" s="1"/>
  <c r="BJ272" s="1"/>
  <c r="P272" s="1"/>
  <c r="V280" i="48"/>
  <c r="F280"/>
  <c r="Y280" s="1"/>
  <c r="S290" i="1"/>
  <c r="E294" i="52"/>
  <c r="D281" i="48"/>
  <c r="W281" s="1"/>
  <c r="C281"/>
  <c r="E281"/>
  <c r="X281" s="1"/>
  <c r="B282"/>
  <c r="AL286" i="1" l="1"/>
  <c r="AM286"/>
  <c r="D292" i="53"/>
  <c r="K22" i="55" s="1"/>
  <c r="BV22"/>
  <c r="AA287" i="1"/>
  <c r="E294" i="53" s="1"/>
  <c r="AB287" i="1"/>
  <c r="AE287" s="1"/>
  <c r="BD289"/>
  <c r="BE289" s="1"/>
  <c r="T289" s="1"/>
  <c r="U289" s="1"/>
  <c r="BA290"/>
  <c r="BA23" i="55"/>
  <c r="G293" i="53"/>
  <c r="V288" i="1"/>
  <c r="X288"/>
  <c r="AC288" s="1"/>
  <c r="C282" i="48"/>
  <c r="E282"/>
  <c r="X282" s="1"/>
  <c r="B283"/>
  <c r="D282"/>
  <c r="W282" s="1"/>
  <c r="W292" i="1"/>
  <c r="R292"/>
  <c r="AO275" i="38"/>
  <c r="AP275" s="1"/>
  <c r="AQ275" s="1"/>
  <c r="AN275"/>
  <c r="AR275" s="1"/>
  <c r="S291" i="1"/>
  <c r="AF285"/>
  <c r="AD286"/>
  <c r="A278" i="26"/>
  <c r="B278" s="1"/>
  <c r="C294" i="1"/>
  <c r="D294" s="1"/>
  <c r="A301" i="53"/>
  <c r="B302" s="1"/>
  <c r="L294" i="1"/>
  <c r="M293" s="1"/>
  <c r="E294"/>
  <c r="F296" i="52"/>
  <c r="K294" i="1"/>
  <c r="N294" s="1"/>
  <c r="B295"/>
  <c r="A294"/>
  <c r="B277" i="38"/>
  <c r="AH293" i="1"/>
  <c r="AK293"/>
  <c r="AJ293"/>
  <c r="Z293"/>
  <c r="AI293"/>
  <c r="BC293"/>
  <c r="O272" i="38"/>
  <c r="BK273"/>
  <c r="AS273"/>
  <c r="AU273" s="1"/>
  <c r="AV273" s="1"/>
  <c r="BA273" s="1"/>
  <c r="BB273" s="1"/>
  <c r="BH273" s="1"/>
  <c r="BJ273" s="1"/>
  <c r="P273" s="1"/>
  <c r="O273" s="1"/>
  <c r="AR274"/>
  <c r="E295" i="52"/>
  <c r="Z276" i="38"/>
  <c r="E276"/>
  <c r="D276"/>
  <c r="F276"/>
  <c r="AM276" s="1"/>
  <c r="V281" i="48"/>
  <c r="F281"/>
  <c r="Y281" s="1"/>
  <c r="CQ21" i="55"/>
  <c r="I292" i="53"/>
  <c r="P293" i="1"/>
  <c r="AL287" l="1"/>
  <c r="AM287"/>
  <c r="BA24" i="55"/>
  <c r="G294" i="53"/>
  <c r="AB288" i="1"/>
  <c r="AE288" s="1"/>
  <c r="AA288"/>
  <c r="E295" i="53" s="1"/>
  <c r="BD290" i="1"/>
  <c r="BE290" s="1"/>
  <c r="T290" s="1"/>
  <c r="U290" s="1"/>
  <c r="BA291"/>
  <c r="V289"/>
  <c r="X289"/>
  <c r="AC289" s="1"/>
  <c r="BV23" i="55"/>
  <c r="D293" i="53"/>
  <c r="K23" i="55" s="1"/>
  <c r="W293" i="1"/>
  <c r="R293"/>
  <c r="P294"/>
  <c r="S292"/>
  <c r="AN276" i="38"/>
  <c r="AO276"/>
  <c r="AP276" s="1"/>
  <c r="AQ276" s="1"/>
  <c r="D277"/>
  <c r="E277"/>
  <c r="Z277"/>
  <c r="F277"/>
  <c r="AM277" s="1"/>
  <c r="C283" i="48"/>
  <c r="D283"/>
  <c r="W283" s="1"/>
  <c r="E283"/>
  <c r="X283" s="1"/>
  <c r="B284"/>
  <c r="CQ22" i="55"/>
  <c r="I293" i="53"/>
  <c r="BK274" i="38"/>
  <c r="AS274"/>
  <c r="AU274" s="1"/>
  <c r="AV274" s="1"/>
  <c r="BA274" s="1"/>
  <c r="BB274" s="1"/>
  <c r="BH274" s="1"/>
  <c r="BJ274" s="1"/>
  <c r="P274" s="1"/>
  <c r="AH294" i="1"/>
  <c r="AK294"/>
  <c r="AJ294"/>
  <c r="Z294"/>
  <c r="AI294"/>
  <c r="BC294"/>
  <c r="E296" i="52"/>
  <c r="BK275" i="38"/>
  <c r="AS275"/>
  <c r="AU275" s="1"/>
  <c r="AV275" s="1"/>
  <c r="BA275" s="1"/>
  <c r="BB275" s="1"/>
  <c r="BH275" s="1"/>
  <c r="BJ275" s="1"/>
  <c r="P275" s="1"/>
  <c r="O275" s="1"/>
  <c r="A302" i="53"/>
  <c r="B303" s="1"/>
  <c r="E295" i="1"/>
  <c r="F297" i="52"/>
  <c r="A279" i="26"/>
  <c r="B279" s="1"/>
  <c r="L295" i="1"/>
  <c r="M294" s="1"/>
  <c r="A295"/>
  <c r="C295"/>
  <c r="D295" s="1"/>
  <c r="K295"/>
  <c r="N295" s="1"/>
  <c r="B296"/>
  <c r="B278" i="38"/>
  <c r="AF286" i="1"/>
  <c r="AD287"/>
  <c r="V282" i="48"/>
  <c r="F282"/>
  <c r="Y282" s="1"/>
  <c r="AR276" i="38" l="1"/>
  <c r="AL288" i="1"/>
  <c r="AM288"/>
  <c r="G295" i="53"/>
  <c r="BA25" i="55"/>
  <c r="BD291" i="1"/>
  <c r="BE291" s="1"/>
  <c r="T291" s="1"/>
  <c r="U291" s="1"/>
  <c r="BA292"/>
  <c r="BV24" i="55"/>
  <c r="D294" i="53"/>
  <c r="K24" i="55" s="1"/>
  <c r="AA289" i="1"/>
  <c r="E296" i="53" s="1"/>
  <c r="AB289" i="1"/>
  <c r="AE289" s="1"/>
  <c r="V290"/>
  <c r="X290"/>
  <c r="AC290" s="1"/>
  <c r="E284" i="48"/>
  <c r="X284" s="1"/>
  <c r="C284"/>
  <c r="B285"/>
  <c r="D284"/>
  <c r="W284" s="1"/>
  <c r="O274" i="38"/>
  <c r="AF287" i="1"/>
  <c r="AD288"/>
  <c r="E278" i="38"/>
  <c r="D278"/>
  <c r="Z278"/>
  <c r="F278"/>
  <c r="AM278" s="1"/>
  <c r="BC295" i="1"/>
  <c r="AH295"/>
  <c r="Z295"/>
  <c r="AK295"/>
  <c r="AJ295"/>
  <c r="AI295"/>
  <c r="E297" i="52"/>
  <c r="CQ23" i="55"/>
  <c r="I294" i="53"/>
  <c r="AO277" i="38"/>
  <c r="AP277" s="1"/>
  <c r="AQ277" s="1"/>
  <c r="AN277"/>
  <c r="P295" i="1"/>
  <c r="L296"/>
  <c r="M295" s="1"/>
  <c r="F298" i="52"/>
  <c r="A303" i="53"/>
  <c r="B304" s="1"/>
  <c r="E296" i="1"/>
  <c r="A296"/>
  <c r="C296"/>
  <c r="D296" s="1"/>
  <c r="A280" i="26"/>
  <c r="B280" s="1"/>
  <c r="B279" i="38"/>
  <c r="K296" i="1"/>
  <c r="N296" s="1"/>
  <c r="B297"/>
  <c r="V283" i="48"/>
  <c r="F283"/>
  <c r="Y283" s="1"/>
  <c r="BK276" i="38"/>
  <c r="AS276"/>
  <c r="AU276" s="1"/>
  <c r="AV276" s="1"/>
  <c r="BA276" s="1"/>
  <c r="BB276" s="1"/>
  <c r="BH276" s="1"/>
  <c r="BJ276" s="1"/>
  <c r="P276" s="1"/>
  <c r="W294" i="1"/>
  <c r="R294"/>
  <c r="S293"/>
  <c r="AL289" l="1"/>
  <c r="AM289"/>
  <c r="BA26" i="55"/>
  <c r="G296" i="53"/>
  <c r="V291" i="1"/>
  <c r="X291"/>
  <c r="AC291" s="1"/>
  <c r="AA290"/>
  <c r="E297" i="53" s="1"/>
  <c r="AB290" i="1"/>
  <c r="AE290" s="1"/>
  <c r="BD292"/>
  <c r="BE292" s="1"/>
  <c r="T292" s="1"/>
  <c r="U292" s="1"/>
  <c r="BA293"/>
  <c r="BV25" i="55"/>
  <c r="D295" i="53"/>
  <c r="K25" i="55" s="1"/>
  <c r="S294" i="1"/>
  <c r="AO278" i="38"/>
  <c r="AP278" s="1"/>
  <c r="AQ278" s="1"/>
  <c r="AN278"/>
  <c r="AR278" s="1"/>
  <c r="AF288" i="1"/>
  <c r="AD289"/>
  <c r="O276" i="38"/>
  <c r="L297" i="1"/>
  <c r="M296" s="1"/>
  <c r="F299" i="52"/>
  <c r="A281" i="26"/>
  <c r="B281" s="1"/>
  <c r="C297" i="1"/>
  <c r="D297" s="1"/>
  <c r="E297"/>
  <c r="A304" i="53"/>
  <c r="B305" s="1"/>
  <c r="B298" i="1"/>
  <c r="K297"/>
  <c r="N297" s="1"/>
  <c r="A297"/>
  <c r="B280" i="38"/>
  <c r="AR277"/>
  <c r="CQ24" i="55"/>
  <c r="I295" i="53"/>
  <c r="E285" i="48"/>
  <c r="X285" s="1"/>
  <c r="C285"/>
  <c r="B286"/>
  <c r="D285"/>
  <c r="W285" s="1"/>
  <c r="P296" i="1"/>
  <c r="AI296"/>
  <c r="AL296"/>
  <c r="Z296"/>
  <c r="BC296"/>
  <c r="AH296"/>
  <c r="AK296"/>
  <c r="AJ296"/>
  <c r="R295"/>
  <c r="W295"/>
  <c r="V284" i="48"/>
  <c r="F284"/>
  <c r="Y284" s="1"/>
  <c r="Z279" i="38"/>
  <c r="AA279" s="1"/>
  <c r="E279"/>
  <c r="D279"/>
  <c r="F279"/>
  <c r="AM279" s="1"/>
  <c r="E298" i="52"/>
  <c r="AL290" i="1" l="1"/>
  <c r="AM290"/>
  <c r="V292"/>
  <c r="X292"/>
  <c r="AC292" s="1"/>
  <c r="AB291"/>
  <c r="AE291" s="1"/>
  <c r="AA291"/>
  <c r="E298" i="53" s="1"/>
  <c r="BV26" i="55"/>
  <c r="D296" i="53"/>
  <c r="K26" i="55" s="1"/>
  <c r="BD293" i="1"/>
  <c r="BE293" s="1"/>
  <c r="T293" s="1"/>
  <c r="U293" s="1"/>
  <c r="BA294"/>
  <c r="BA27" i="55"/>
  <c r="G297" i="53"/>
  <c r="CQ25" i="55"/>
  <c r="I296" i="53"/>
  <c r="D280" i="38"/>
  <c r="E280"/>
  <c r="F280"/>
  <c r="AM280" s="1"/>
  <c r="Z280"/>
  <c r="AA280" s="1"/>
  <c r="R296" i="1"/>
  <c r="W296"/>
  <c r="E286" i="48"/>
  <c r="X286" s="1"/>
  <c r="D286"/>
  <c r="W286" s="1"/>
  <c r="C286"/>
  <c r="B287"/>
  <c r="AL297" i="1"/>
  <c r="BC297"/>
  <c r="Z297"/>
  <c r="AK297"/>
  <c r="AI297"/>
  <c r="AH297"/>
  <c r="AJ297"/>
  <c r="E299" i="52"/>
  <c r="AF289" i="1"/>
  <c r="AD290"/>
  <c r="AO279" i="38"/>
  <c r="AP279" s="1"/>
  <c r="AQ279" s="1"/>
  <c r="AN279"/>
  <c r="S295" i="1"/>
  <c r="V285" i="48"/>
  <c r="F285"/>
  <c r="Y285" s="1"/>
  <c r="BK277" i="38"/>
  <c r="AS277"/>
  <c r="AU277" s="1"/>
  <c r="AV277" s="1"/>
  <c r="BA277" s="1"/>
  <c r="BB277" s="1"/>
  <c r="BH277" s="1"/>
  <c r="BJ277" s="1"/>
  <c r="P277" s="1"/>
  <c r="P297" i="1"/>
  <c r="F300" i="52"/>
  <c r="A305" i="53"/>
  <c r="B306" s="1"/>
  <c r="B281" i="38"/>
  <c r="A298" i="1"/>
  <c r="B299"/>
  <c r="L298"/>
  <c r="M297" s="1"/>
  <c r="A282" i="26"/>
  <c r="B282" s="1"/>
  <c r="E298" i="1"/>
  <c r="K298"/>
  <c r="N298" s="1"/>
  <c r="C298"/>
  <c r="D298" s="1"/>
  <c r="BK278" i="38"/>
  <c r="AS278"/>
  <c r="AU278" s="1"/>
  <c r="AV278" s="1"/>
  <c r="BA278" s="1"/>
  <c r="BB278" s="1"/>
  <c r="BH278" s="1"/>
  <c r="BJ278" s="1"/>
  <c r="P278" s="1"/>
  <c r="O278" s="1"/>
  <c r="AL291" i="1" l="1"/>
  <c r="AM291"/>
  <c r="V293"/>
  <c r="X293"/>
  <c r="AC293" s="1"/>
  <c r="BA28" i="55"/>
  <c r="G298" i="53"/>
  <c r="BV27" i="55"/>
  <c r="D297" i="53"/>
  <c r="K27" i="55" s="1"/>
  <c r="AA292" i="1"/>
  <c r="E299" i="53" s="1"/>
  <c r="AB292" i="1"/>
  <c r="AE292" s="1"/>
  <c r="BD294"/>
  <c r="BE294" s="1"/>
  <c r="T294" s="1"/>
  <c r="U294" s="1"/>
  <c r="BA295"/>
  <c r="E281" i="38"/>
  <c r="D281"/>
  <c r="Z281"/>
  <c r="AA281" s="1"/>
  <c r="F281"/>
  <c r="AM281" s="1"/>
  <c r="O277"/>
  <c r="AR279"/>
  <c r="CQ26" i="55"/>
  <c r="I297" i="53"/>
  <c r="P298" i="1"/>
  <c r="A306" i="53"/>
  <c r="B307" s="1"/>
  <c r="F301" i="52"/>
  <c r="A283" i="26"/>
  <c r="B283" s="1"/>
  <c r="L299" i="1"/>
  <c r="M298" s="1"/>
  <c r="C299"/>
  <c r="D299" s="1"/>
  <c r="E299"/>
  <c r="K299"/>
  <c r="N299" s="1"/>
  <c r="A299"/>
  <c r="B300"/>
  <c r="B282" i="38"/>
  <c r="C287" i="48"/>
  <c r="E287"/>
  <c r="X287" s="1"/>
  <c r="B288"/>
  <c r="D287"/>
  <c r="W287" s="1"/>
  <c r="E300" i="52"/>
  <c r="AI298" i="1"/>
  <c r="AL298"/>
  <c r="BC298"/>
  <c r="Z298"/>
  <c r="AK298"/>
  <c r="AH298"/>
  <c r="AJ298"/>
  <c r="W297"/>
  <c r="R297"/>
  <c r="AF290"/>
  <c r="AD291"/>
  <c r="V286" i="48"/>
  <c r="F286"/>
  <c r="Y286" s="1"/>
  <c r="S296" i="1"/>
  <c r="AO280" i="38"/>
  <c r="AP280" s="1"/>
  <c r="AQ280" s="1"/>
  <c r="AN280"/>
  <c r="AL292" i="1" l="1"/>
  <c r="AM292"/>
  <c r="BV28" i="55"/>
  <c r="D298" i="53"/>
  <c r="K28" i="55" s="1"/>
  <c r="BD295" i="1"/>
  <c r="BE295" s="1"/>
  <c r="T295" s="1"/>
  <c r="U295" s="1"/>
  <c r="BA296"/>
  <c r="BA29" i="55"/>
  <c r="G299" i="53"/>
  <c r="V294" i="1"/>
  <c r="X294"/>
  <c r="AC294" s="1"/>
  <c r="AB293"/>
  <c r="AE293" s="1"/>
  <c r="AA293"/>
  <c r="E300" i="53" s="1"/>
  <c r="C288" i="48"/>
  <c r="E288"/>
  <c r="X288" s="1"/>
  <c r="D288"/>
  <c r="W288" s="1"/>
  <c r="B289"/>
  <c r="P299" i="1"/>
  <c r="CQ27" i="55"/>
  <c r="I298" i="53"/>
  <c r="AO281" i="38"/>
  <c r="AP281" s="1"/>
  <c r="AQ281" s="1"/>
  <c r="AN281"/>
  <c r="D282"/>
  <c r="E282"/>
  <c r="Z282"/>
  <c r="AA282" s="1"/>
  <c r="F282"/>
  <c r="AM282" s="1"/>
  <c r="E301" i="52"/>
  <c r="S297" i="1"/>
  <c r="V287" i="48"/>
  <c r="F287"/>
  <c r="Y287" s="1"/>
  <c r="A284" i="26"/>
  <c r="B284" s="1"/>
  <c r="L300" i="1"/>
  <c r="M299" s="1"/>
  <c r="E300"/>
  <c r="F302" i="52"/>
  <c r="K300" i="1"/>
  <c r="N300" s="1"/>
  <c r="A300"/>
  <c r="B283" i="38"/>
  <c r="B301" i="1"/>
  <c r="A307" i="53"/>
  <c r="B308" s="1"/>
  <c r="C300" i="1"/>
  <c r="D300" s="1"/>
  <c r="AR280" i="38"/>
  <c r="AF291" i="1"/>
  <c r="AD292"/>
  <c r="AH299"/>
  <c r="AJ299"/>
  <c r="BC299"/>
  <c r="Z299"/>
  <c r="AI299"/>
  <c r="AK299"/>
  <c r="AL299"/>
  <c r="W298"/>
  <c r="R298"/>
  <c r="BK279" i="38"/>
  <c r="AS279"/>
  <c r="AU279" s="1"/>
  <c r="AV279" s="1"/>
  <c r="BA279" s="1"/>
  <c r="BB279" s="1"/>
  <c r="BH279" s="1"/>
  <c r="BJ279" s="1"/>
  <c r="P279" s="1"/>
  <c r="Y294" i="1" l="1"/>
  <c r="AR281" i="38"/>
  <c r="AS281" s="1"/>
  <c r="AU281" s="1"/>
  <c r="AV281" s="1"/>
  <c r="BA281" s="1"/>
  <c r="BB281" s="1"/>
  <c r="BH281" s="1"/>
  <c r="BJ281" s="1"/>
  <c r="P281" s="1"/>
  <c r="O281" s="1"/>
  <c r="AL293" i="1"/>
  <c r="AM293"/>
  <c r="AB294"/>
  <c r="AE294" s="1"/>
  <c r="AA294"/>
  <c r="E301" i="53" s="1"/>
  <c r="BD296" i="1"/>
  <c r="BE296" s="1"/>
  <c r="T296" s="1"/>
  <c r="U296" s="1"/>
  <c r="BA297"/>
  <c r="V295"/>
  <c r="X295"/>
  <c r="AC295" s="1"/>
  <c r="BA30" i="55"/>
  <c r="G300" i="53"/>
  <c r="D299"/>
  <c r="K29" i="55" s="1"/>
  <c r="BV29"/>
  <c r="O279" i="38"/>
  <c r="A285" i="26"/>
  <c r="B285" s="1"/>
  <c r="E301" i="1"/>
  <c r="A308" i="53"/>
  <c r="B309" s="1"/>
  <c r="L301" i="1"/>
  <c r="M300" s="1"/>
  <c r="F303" i="52"/>
  <c r="C301" i="1"/>
  <c r="D301" s="1"/>
  <c r="K301"/>
  <c r="N301" s="1"/>
  <c r="B284" i="38"/>
  <c r="A301" i="1"/>
  <c r="B302"/>
  <c r="BK281" i="38"/>
  <c r="D289" i="48"/>
  <c r="W289" s="1"/>
  <c r="E289"/>
  <c r="X289" s="1"/>
  <c r="C289"/>
  <c r="B290"/>
  <c r="S298" i="1"/>
  <c r="AF292"/>
  <c r="AD293"/>
  <c r="Z283" i="38"/>
  <c r="AA283" s="1"/>
  <c r="E283"/>
  <c r="D283"/>
  <c r="F283"/>
  <c r="AM283" s="1"/>
  <c r="E302" i="52"/>
  <c r="W299" i="1"/>
  <c r="R299"/>
  <c r="AK300"/>
  <c r="AH300"/>
  <c r="BC300"/>
  <c r="AI300"/>
  <c r="Z300"/>
  <c r="AJ300"/>
  <c r="AL300"/>
  <c r="CQ28" i="55"/>
  <c r="I299" i="53"/>
  <c r="BK280" i="38"/>
  <c r="AS280"/>
  <c r="AU280" s="1"/>
  <c r="AV280" s="1"/>
  <c r="BA280" s="1"/>
  <c r="BB280" s="1"/>
  <c r="BH280" s="1"/>
  <c r="BJ280" s="1"/>
  <c r="P280" s="1"/>
  <c r="O280" s="1"/>
  <c r="P300" i="1"/>
  <c r="AO282" i="38"/>
  <c r="AP282" s="1"/>
  <c r="AQ282" s="1"/>
  <c r="AN282"/>
  <c r="V288" i="48"/>
  <c r="F288"/>
  <c r="Y288" s="1"/>
  <c r="AL294" i="1" l="1"/>
  <c r="AM294"/>
  <c r="V296"/>
  <c r="X296"/>
  <c r="AB295"/>
  <c r="AE295" s="1"/>
  <c r="AA295"/>
  <c r="E302" i="53" s="1"/>
  <c r="Y295" i="1"/>
  <c r="D300" i="53"/>
  <c r="K30" i="55" s="1"/>
  <c r="BV30"/>
  <c r="G301" i="53"/>
  <c r="BA31" i="55"/>
  <c r="BD297" i="1"/>
  <c r="BE297" s="1"/>
  <c r="T297" s="1"/>
  <c r="U297" s="1"/>
  <c r="BA298"/>
  <c r="AR282" i="38"/>
  <c r="V289" i="48"/>
  <c r="F289"/>
  <c r="Y289" s="1"/>
  <c r="AI301" i="1"/>
  <c r="Z301"/>
  <c r="AL301"/>
  <c r="AJ301"/>
  <c r="AH301"/>
  <c r="AK301"/>
  <c r="BC301"/>
  <c r="AO283" i="38"/>
  <c r="AP283" s="1"/>
  <c r="AQ283" s="1"/>
  <c r="AN283"/>
  <c r="AR283" s="1"/>
  <c r="Z284"/>
  <c r="AA284" s="1"/>
  <c r="E284"/>
  <c r="D284"/>
  <c r="F284"/>
  <c r="AM284" s="1"/>
  <c r="CQ29" i="55"/>
  <c r="I300" i="53"/>
  <c r="S299" i="1"/>
  <c r="AF293"/>
  <c r="AD294"/>
  <c r="P301"/>
  <c r="W300"/>
  <c r="R300"/>
  <c r="C290" i="48"/>
  <c r="D290"/>
  <c r="W290" s="1"/>
  <c r="E290"/>
  <c r="X290" s="1"/>
  <c r="B291"/>
  <c r="A309" i="53"/>
  <c r="B310" s="1"/>
  <c r="F304" i="52"/>
  <c r="L302" i="1"/>
  <c r="M301" s="1"/>
  <c r="E302"/>
  <c r="C302"/>
  <c r="D302" s="1"/>
  <c r="A286" i="26"/>
  <c r="B286" s="1"/>
  <c r="B285" i="38"/>
  <c r="A302" i="1"/>
  <c r="K302"/>
  <c r="N302" s="1"/>
  <c r="B303"/>
  <c r="E303" i="52"/>
  <c r="AL295" i="1" l="1"/>
  <c r="AM295"/>
  <c r="BD298"/>
  <c r="BE298" s="1"/>
  <c r="T298" s="1"/>
  <c r="U298" s="1"/>
  <c r="BA299"/>
  <c r="G302" i="53"/>
  <c r="BA32" i="55"/>
  <c r="BA35" s="1"/>
  <c r="V297" i="1"/>
  <c r="X297"/>
  <c r="AB296"/>
  <c r="AE296" s="1"/>
  <c r="AM296" s="1"/>
  <c r="AA296"/>
  <c r="E303" i="53" s="1"/>
  <c r="AC296" i="1"/>
  <c r="BV31" i="55"/>
  <c r="D301" i="53"/>
  <c r="K31" i="55" s="1"/>
  <c r="P302" i="1"/>
  <c r="CQ30" i="55"/>
  <c r="I301" i="53"/>
  <c r="AK302" i="1"/>
  <c r="AH302"/>
  <c r="AJ302"/>
  <c r="AI302"/>
  <c r="BC302"/>
  <c r="AL302"/>
  <c r="Z302"/>
  <c r="E304" i="52"/>
  <c r="V290" i="48"/>
  <c r="F290"/>
  <c r="Y290" s="1"/>
  <c r="S300" i="1"/>
  <c r="W301"/>
  <c r="R301"/>
  <c r="BK282" i="38"/>
  <c r="AS282"/>
  <c r="AU282" s="1"/>
  <c r="AV282" s="1"/>
  <c r="BA282" s="1"/>
  <c r="BB282" s="1"/>
  <c r="BH282" s="1"/>
  <c r="BJ282" s="1"/>
  <c r="P282" s="1"/>
  <c r="E285"/>
  <c r="D285"/>
  <c r="Z285"/>
  <c r="AA285" s="1"/>
  <c r="F285"/>
  <c r="AM285" s="1"/>
  <c r="E291" i="48"/>
  <c r="X291" s="1"/>
  <c r="C291"/>
  <c r="D291"/>
  <c r="W291" s="1"/>
  <c r="B292"/>
  <c r="AF294" i="1"/>
  <c r="AD295"/>
  <c r="A287" i="26"/>
  <c r="B287" s="1"/>
  <c r="F305" i="52"/>
  <c r="A310" i="53"/>
  <c r="B311" s="1"/>
  <c r="E303" i="1"/>
  <c r="K303"/>
  <c r="N303" s="1"/>
  <c r="L303"/>
  <c r="M302" s="1"/>
  <c r="C303"/>
  <c r="D303" s="1"/>
  <c r="A303"/>
  <c r="B286" i="38"/>
  <c r="B304" i="1"/>
  <c r="AO284" i="38"/>
  <c r="AP284" s="1"/>
  <c r="AQ284" s="1"/>
  <c r="AN284"/>
  <c r="BK283"/>
  <c r="AS283"/>
  <c r="AU283" s="1"/>
  <c r="AV283" s="1"/>
  <c r="BA283" s="1"/>
  <c r="BB283" s="1"/>
  <c r="BH283" s="1"/>
  <c r="BJ283" s="1"/>
  <c r="P283" s="1"/>
  <c r="O283" s="1"/>
  <c r="AR284" l="1"/>
  <c r="BK284" s="1"/>
  <c r="G303" i="53"/>
  <c r="BB3" i="55"/>
  <c r="BV32"/>
  <c r="BV35" s="1"/>
  <c r="D302" i="53"/>
  <c r="K32" i="55" s="1"/>
  <c r="K35" s="1"/>
  <c r="AB297" i="1"/>
  <c r="AE297" s="1"/>
  <c r="AM297" s="1"/>
  <c r="AC297"/>
  <c r="AA297"/>
  <c r="E304" i="53" s="1"/>
  <c r="BD299" i="1"/>
  <c r="BE299" s="1"/>
  <c r="T299" s="1"/>
  <c r="U299" s="1"/>
  <c r="BA300"/>
  <c r="V298"/>
  <c r="X298"/>
  <c r="F306" i="52"/>
  <c r="L304" i="1"/>
  <c r="M303" s="1"/>
  <c r="E304"/>
  <c r="C304"/>
  <c r="D304" s="1"/>
  <c r="A304"/>
  <c r="B305"/>
  <c r="A311" i="53"/>
  <c r="B312" s="1"/>
  <c r="K304" i="1"/>
  <c r="N304" s="1"/>
  <c r="B287" i="38"/>
  <c r="A288" i="26"/>
  <c r="B288" s="1"/>
  <c r="AF295" i="1"/>
  <c r="AD296"/>
  <c r="E292" i="48"/>
  <c r="X292" s="1"/>
  <c r="D292"/>
  <c r="W292" s="1"/>
  <c r="C292"/>
  <c r="B293"/>
  <c r="AO285" i="38"/>
  <c r="AP285" s="1"/>
  <c r="AQ285" s="1"/>
  <c r="AN285"/>
  <c r="O282"/>
  <c r="W302" i="1"/>
  <c r="R302"/>
  <c r="E286" i="38"/>
  <c r="D286"/>
  <c r="Z286"/>
  <c r="AA286" s="1"/>
  <c r="F286"/>
  <c r="AM286" s="1"/>
  <c r="P303" i="1"/>
  <c r="AH303"/>
  <c r="AL303"/>
  <c r="Z303"/>
  <c r="AK303"/>
  <c r="AI303"/>
  <c r="AJ303"/>
  <c r="BC303"/>
  <c r="E305" i="52"/>
  <c r="V291" i="48"/>
  <c r="F291"/>
  <c r="Y291" s="1"/>
  <c r="S301" i="1"/>
  <c r="CQ31" i="55"/>
  <c r="I302" i="53"/>
  <c r="AS284" i="38" l="1"/>
  <c r="AU284" s="1"/>
  <c r="AV284" s="1"/>
  <c r="BA284" s="1"/>
  <c r="BB284" s="1"/>
  <c r="BH284" s="1"/>
  <c r="BJ284" s="1"/>
  <c r="P284" s="1"/>
  <c r="O284" s="1"/>
  <c r="AC298" i="1"/>
  <c r="AA298"/>
  <c r="E305" i="53" s="1"/>
  <c r="AB298" i="1"/>
  <c r="AE298" s="1"/>
  <c r="AM298" s="1"/>
  <c r="BB4" i="55"/>
  <c r="G304" i="53"/>
  <c r="BD300" i="1"/>
  <c r="BE300" s="1"/>
  <c r="T300" s="1"/>
  <c r="U300" s="1"/>
  <c r="BA301"/>
  <c r="BW3" i="55"/>
  <c r="D303" i="53"/>
  <c r="L3" i="55" s="1"/>
  <c r="V299" i="1"/>
  <c r="X299"/>
  <c r="S302"/>
  <c r="E293" i="48"/>
  <c r="X293" s="1"/>
  <c r="C293"/>
  <c r="D293"/>
  <c r="W293" s="1"/>
  <c r="B294"/>
  <c r="F307" i="52"/>
  <c r="A312" i="53"/>
  <c r="B313" s="1"/>
  <c r="A289" i="26"/>
  <c r="B289" s="1"/>
  <c r="K305" i="1"/>
  <c r="N305" s="1"/>
  <c r="A305"/>
  <c r="B306"/>
  <c r="C305"/>
  <c r="D305" s="1"/>
  <c r="E305"/>
  <c r="B288" i="38"/>
  <c r="L305" i="1"/>
  <c r="M304" s="1"/>
  <c r="V292" i="48"/>
  <c r="F292"/>
  <c r="Y292" s="1"/>
  <c r="AF296" i="1"/>
  <c r="AD297"/>
  <c r="Z287" i="38"/>
  <c r="AA287" s="1"/>
  <c r="D287"/>
  <c r="E287"/>
  <c r="F287"/>
  <c r="AM287" s="1"/>
  <c r="AJ304" i="1"/>
  <c r="BC304"/>
  <c r="AI304"/>
  <c r="AL304"/>
  <c r="AK304"/>
  <c r="Z304"/>
  <c r="AH304"/>
  <c r="CQ32" i="55"/>
  <c r="I303" i="53"/>
  <c r="W303" i="1"/>
  <c r="R303"/>
  <c r="AO286" i="38"/>
  <c r="AP286" s="1"/>
  <c r="AQ286" s="1"/>
  <c r="AN286"/>
  <c r="AR285"/>
  <c r="P304" i="1"/>
  <c r="E306" i="52"/>
  <c r="AR286" i="38" l="1"/>
  <c r="BK286" s="1"/>
  <c r="AB299" i="1"/>
  <c r="AE299" s="1"/>
  <c r="AM299" s="1"/>
  <c r="AA299"/>
  <c r="E306" i="53" s="1"/>
  <c r="AC299" i="1"/>
  <c r="BD301"/>
  <c r="BE301" s="1"/>
  <c r="T301" s="1"/>
  <c r="U301" s="1"/>
  <c r="BA302"/>
  <c r="V300"/>
  <c r="X300"/>
  <c r="BB5" i="55"/>
  <c r="G305" i="53"/>
  <c r="BW4" i="55"/>
  <c r="D304" i="53"/>
  <c r="L4" i="55" s="1"/>
  <c r="W304" i="1"/>
  <c r="R304"/>
  <c r="BK285" i="38"/>
  <c r="AS285"/>
  <c r="AU285" s="1"/>
  <c r="AV285" s="1"/>
  <c r="BA285" s="1"/>
  <c r="BB285" s="1"/>
  <c r="BH285" s="1"/>
  <c r="BJ285" s="1"/>
  <c r="P285" s="1"/>
  <c r="S303" i="1"/>
  <c r="AN287" i="38"/>
  <c r="AO287"/>
  <c r="AP287" s="1"/>
  <c r="AQ287" s="1"/>
  <c r="AF297" i="1"/>
  <c r="AD298"/>
  <c r="E307" i="52"/>
  <c r="P305" i="1"/>
  <c r="D294" i="48"/>
  <c r="W294" s="1"/>
  <c r="C294"/>
  <c r="E294"/>
  <c r="X294" s="1"/>
  <c r="B295"/>
  <c r="A313" i="53"/>
  <c r="B314" s="1"/>
  <c r="A290" i="26"/>
  <c r="B290" s="1"/>
  <c r="C306" i="1"/>
  <c r="D306" s="1"/>
  <c r="F308" i="52"/>
  <c r="L306" i="1"/>
  <c r="M305" s="1"/>
  <c r="A306"/>
  <c r="K306"/>
  <c r="N306" s="1"/>
  <c r="B289" i="38"/>
  <c r="E306" i="1"/>
  <c r="B307"/>
  <c r="F293" i="48"/>
  <c r="Y293" s="1"/>
  <c r="V293"/>
  <c r="CR3" i="55"/>
  <c r="I304" i="53"/>
  <c r="E288" i="38"/>
  <c r="D288"/>
  <c r="Z288"/>
  <c r="AA288" s="1"/>
  <c r="F288"/>
  <c r="AM288" s="1"/>
  <c r="AI305" i="1"/>
  <c r="BC305"/>
  <c r="AH305"/>
  <c r="AJ305"/>
  <c r="AK305"/>
  <c r="Z305"/>
  <c r="AL305"/>
  <c r="AS286" i="38" l="1"/>
  <c r="AU286" s="1"/>
  <c r="AV286" s="1"/>
  <c r="BA286" s="1"/>
  <c r="BB286" s="1"/>
  <c r="BH286" s="1"/>
  <c r="BJ286" s="1"/>
  <c r="P286" s="1"/>
  <c r="O286" s="1"/>
  <c r="AA300" i="1"/>
  <c r="E307" i="53" s="1"/>
  <c r="AB300" i="1"/>
  <c r="AE300" s="1"/>
  <c r="AM300" s="1"/>
  <c r="AC300"/>
  <c r="V301"/>
  <c r="X301"/>
  <c r="BW5" i="55"/>
  <c r="D305" i="53"/>
  <c r="L5" i="55" s="1"/>
  <c r="BB6"/>
  <c r="G306" i="53"/>
  <c r="BD302" i="1"/>
  <c r="BE302" s="1"/>
  <c r="T302" s="1"/>
  <c r="U302" s="1"/>
  <c r="BA303"/>
  <c r="D289" i="38"/>
  <c r="E289"/>
  <c r="Z289"/>
  <c r="AA289" s="1"/>
  <c r="F289"/>
  <c r="AM289" s="1"/>
  <c r="V294" i="48"/>
  <c r="F294"/>
  <c r="Y294" s="1"/>
  <c r="AR287" i="38"/>
  <c r="S304" i="1"/>
  <c r="P306"/>
  <c r="AF298"/>
  <c r="AD299"/>
  <c r="CR4" i="55"/>
  <c r="I305" i="53"/>
  <c r="E307" i="1"/>
  <c r="A314" i="53"/>
  <c r="B315" s="1"/>
  <c r="L307" i="1"/>
  <c r="M306" s="1"/>
  <c r="F309" i="52"/>
  <c r="A291" i="26"/>
  <c r="B291" s="1"/>
  <c r="B290" i="38"/>
  <c r="B308" i="1"/>
  <c r="C307"/>
  <c r="D307" s="1"/>
  <c r="K307"/>
  <c r="N307" s="1"/>
  <c r="A307"/>
  <c r="AK306"/>
  <c r="AL306"/>
  <c r="AH306"/>
  <c r="AI306"/>
  <c r="AJ306"/>
  <c r="Z306"/>
  <c r="BC306"/>
  <c r="E295" i="48"/>
  <c r="X295" s="1"/>
  <c r="C295"/>
  <c r="B296"/>
  <c r="D295"/>
  <c r="W295" s="1"/>
  <c r="O285" i="38"/>
  <c r="AN288"/>
  <c r="AO288"/>
  <c r="AP288" s="1"/>
  <c r="AQ288" s="1"/>
  <c r="E308" i="52"/>
  <c r="W305" i="1"/>
  <c r="R305"/>
  <c r="BD303" l="1"/>
  <c r="BE303" s="1"/>
  <c r="T303" s="1"/>
  <c r="U303" s="1"/>
  <c r="BA304"/>
  <c r="V302"/>
  <c r="X302"/>
  <c r="D306" i="53"/>
  <c r="L6" i="55" s="1"/>
  <c r="BW6"/>
  <c r="AA301" i="1"/>
  <c r="E308" i="53" s="1"/>
  <c r="AB301" i="1"/>
  <c r="AE301" s="1"/>
  <c r="AM301" s="1"/>
  <c r="AC301"/>
  <c r="BB7" i="55"/>
  <c r="G307" i="53"/>
  <c r="F310" i="52"/>
  <c r="E308" i="1"/>
  <c r="A292" i="26"/>
  <c r="B292" s="1"/>
  <c r="C308" i="1"/>
  <c r="D308" s="1"/>
  <c r="L308"/>
  <c r="M307" s="1"/>
  <c r="B291" i="38"/>
  <c r="A308" i="1"/>
  <c r="K308"/>
  <c r="N308" s="1"/>
  <c r="A315" i="53"/>
  <c r="B316" s="1"/>
  <c r="B309" i="1"/>
  <c r="AO289" i="38"/>
  <c r="AP289" s="1"/>
  <c r="AQ289" s="1"/>
  <c r="AN289"/>
  <c r="AK307" i="1"/>
  <c r="BC307"/>
  <c r="AH307"/>
  <c r="AJ307"/>
  <c r="AL307"/>
  <c r="Z307"/>
  <c r="AI307"/>
  <c r="E290" i="38"/>
  <c r="Z290"/>
  <c r="AA290" s="1"/>
  <c r="D290"/>
  <c r="F290"/>
  <c r="AM290" s="1"/>
  <c r="W306" i="1"/>
  <c r="R306"/>
  <c r="S305"/>
  <c r="AR288" i="38"/>
  <c r="E296" i="48"/>
  <c r="X296" s="1"/>
  <c r="C296"/>
  <c r="D296"/>
  <c r="W296" s="1"/>
  <c r="B297"/>
  <c r="P307" i="1"/>
  <c r="E309" i="52"/>
  <c r="CR5" i="55"/>
  <c r="I306" i="53"/>
  <c r="AF299" i="1"/>
  <c r="AD300"/>
  <c r="V295" i="48"/>
  <c r="F295"/>
  <c r="Y295" s="1"/>
  <c r="BK287" i="38"/>
  <c r="AS287"/>
  <c r="AU287" s="1"/>
  <c r="AV287" s="1"/>
  <c r="BA287" s="1"/>
  <c r="BB287" s="1"/>
  <c r="BH287" s="1"/>
  <c r="BJ287" s="1"/>
  <c r="P287" s="1"/>
  <c r="BW7" i="55" l="1"/>
  <c r="D307" i="53"/>
  <c r="L7" i="55" s="1"/>
  <c r="G308" i="53"/>
  <c r="BB8" i="55"/>
  <c r="AB302" i="1"/>
  <c r="AE302" s="1"/>
  <c r="AM302" s="1"/>
  <c r="AC302"/>
  <c r="AA302"/>
  <c r="E309" i="53" s="1"/>
  <c r="BD304" i="1"/>
  <c r="BE304" s="1"/>
  <c r="T304" s="1"/>
  <c r="U304" s="1"/>
  <c r="BA305"/>
  <c r="V303"/>
  <c r="X303"/>
  <c r="W307"/>
  <c r="R307"/>
  <c r="C297" i="48"/>
  <c r="D297"/>
  <c r="W297" s="1"/>
  <c r="B298"/>
  <c r="E297"/>
  <c r="X297" s="1"/>
  <c r="BK288" i="38"/>
  <c r="AS288"/>
  <c r="AU288" s="1"/>
  <c r="AV288" s="1"/>
  <c r="BA288" s="1"/>
  <c r="BB288" s="1"/>
  <c r="BH288" s="1"/>
  <c r="BJ288" s="1"/>
  <c r="P288" s="1"/>
  <c r="O288" s="1"/>
  <c r="AL308" i="1"/>
  <c r="Z308"/>
  <c r="AK308"/>
  <c r="BC308"/>
  <c r="AI308"/>
  <c r="AJ308"/>
  <c r="AH308"/>
  <c r="O287" i="38"/>
  <c r="AF300" i="1"/>
  <c r="AD301"/>
  <c r="E309"/>
  <c r="C309"/>
  <c r="D309" s="1"/>
  <c r="F311" i="52"/>
  <c r="A316" i="53"/>
  <c r="B317" s="1"/>
  <c r="L309" i="1"/>
  <c r="M308" s="1"/>
  <c r="A293" i="26"/>
  <c r="B293" s="1"/>
  <c r="K309" i="1"/>
  <c r="N309" s="1"/>
  <c r="B292" i="38"/>
  <c r="B310" i="1"/>
  <c r="A309"/>
  <c r="D291" i="38"/>
  <c r="E291"/>
  <c r="Z291"/>
  <c r="AA291" s="1"/>
  <c r="F291"/>
  <c r="AM291" s="1"/>
  <c r="E310" i="52"/>
  <c r="V296" i="48"/>
  <c r="F296"/>
  <c r="Y296" s="1"/>
  <c r="AN290" i="38"/>
  <c r="AO290"/>
  <c r="AP290" s="1"/>
  <c r="AQ290" s="1"/>
  <c r="AR289"/>
  <c r="CR6" i="55"/>
  <c r="I307" i="53"/>
  <c r="S306" i="1"/>
  <c r="P308"/>
  <c r="AA303" l="1"/>
  <c r="E310" i="53" s="1"/>
  <c r="AB303" i="1"/>
  <c r="AE303" s="1"/>
  <c r="AM303" s="1"/>
  <c r="AC303"/>
  <c r="BB9" i="55"/>
  <c r="G309" i="53"/>
  <c r="D308"/>
  <c r="L8" i="55" s="1"/>
  <c r="BW8"/>
  <c r="BD305" i="1"/>
  <c r="BE305" s="1"/>
  <c r="T305" s="1"/>
  <c r="U305" s="1"/>
  <c r="BA306"/>
  <c r="V304"/>
  <c r="X304"/>
  <c r="E292" i="38"/>
  <c r="D292"/>
  <c r="Z292"/>
  <c r="AA292" s="1"/>
  <c r="F292"/>
  <c r="AM292" s="1"/>
  <c r="D298" i="48"/>
  <c r="W298" s="1"/>
  <c r="E298"/>
  <c r="X298" s="1"/>
  <c r="C298"/>
  <c r="B299"/>
  <c r="CR7" i="55"/>
  <c r="I308" i="53"/>
  <c r="BK289" i="38"/>
  <c r="AS289"/>
  <c r="AU289" s="1"/>
  <c r="AV289" s="1"/>
  <c r="BA289" s="1"/>
  <c r="BB289" s="1"/>
  <c r="BH289" s="1"/>
  <c r="BJ289" s="1"/>
  <c r="P289" s="1"/>
  <c r="P309" i="1"/>
  <c r="AR290" i="38"/>
  <c r="AN291"/>
  <c r="AR291" s="1"/>
  <c r="AO291"/>
  <c r="AP291" s="1"/>
  <c r="AQ291" s="1"/>
  <c r="AK309" i="1"/>
  <c r="AI309"/>
  <c r="BC309"/>
  <c r="Z309"/>
  <c r="AJ309"/>
  <c r="AH309"/>
  <c r="AL309"/>
  <c r="AF301"/>
  <c r="AD302"/>
  <c r="V297" i="48"/>
  <c r="F297"/>
  <c r="Y297" s="1"/>
  <c r="W308" i="1"/>
  <c r="R308"/>
  <c r="E310"/>
  <c r="A317" i="53"/>
  <c r="B318" s="1"/>
  <c r="F312" i="52"/>
  <c r="A310" i="1"/>
  <c r="C310"/>
  <c r="D310" s="1"/>
  <c r="A294" i="26"/>
  <c r="B294" s="1"/>
  <c r="B293" i="38"/>
  <c r="B311" i="1"/>
  <c r="K310"/>
  <c r="N310" s="1"/>
  <c r="L310"/>
  <c r="M309" s="1"/>
  <c r="E311" i="52"/>
  <c r="S307" i="1"/>
  <c r="AB304" l="1"/>
  <c r="AE304" s="1"/>
  <c r="AM304" s="1"/>
  <c r="AC304"/>
  <c r="AA304"/>
  <c r="E311" i="53" s="1"/>
  <c r="BD306" i="1"/>
  <c r="BE306" s="1"/>
  <c r="T306" s="1"/>
  <c r="U306" s="1"/>
  <c r="BA307"/>
  <c r="BW9" i="55"/>
  <c r="D309" i="53"/>
  <c r="L9" i="55" s="1"/>
  <c r="G310" i="53"/>
  <c r="BB10" i="55"/>
  <c r="V305" i="1"/>
  <c r="X305"/>
  <c r="AF302"/>
  <c r="AD303"/>
  <c r="BK290" i="38"/>
  <c r="AS290"/>
  <c r="AU290" s="1"/>
  <c r="AV290" s="1"/>
  <c r="BA290" s="1"/>
  <c r="BB290" s="1"/>
  <c r="BH290" s="1"/>
  <c r="BJ290" s="1"/>
  <c r="P290" s="1"/>
  <c r="O290" s="1"/>
  <c r="CR8" i="55"/>
  <c r="I309" i="53"/>
  <c r="AO292" i="38"/>
  <c r="AP292" s="1"/>
  <c r="AQ292" s="1"/>
  <c r="AN292"/>
  <c r="P310" i="1"/>
  <c r="E312" i="52"/>
  <c r="F313"/>
  <c r="E311" i="1"/>
  <c r="L311"/>
  <c r="M310" s="1"/>
  <c r="B312"/>
  <c r="A318" i="53"/>
  <c r="B319" s="1"/>
  <c r="A295" i="26"/>
  <c r="B295" s="1"/>
  <c r="K311" i="1"/>
  <c r="N311" s="1"/>
  <c r="C311"/>
  <c r="D311" s="1"/>
  <c r="A311"/>
  <c r="B294" i="38"/>
  <c r="AK310" i="1"/>
  <c r="AJ310"/>
  <c r="AH310"/>
  <c r="BC310"/>
  <c r="Z310"/>
  <c r="AL310"/>
  <c r="AI310"/>
  <c r="S308"/>
  <c r="O289" i="38"/>
  <c r="D293"/>
  <c r="E293"/>
  <c r="Z293"/>
  <c r="AA293" s="1"/>
  <c r="F293"/>
  <c r="AM293" s="1"/>
  <c r="W309" i="1"/>
  <c r="R309"/>
  <c r="E299" i="48"/>
  <c r="X299" s="1"/>
  <c r="C299"/>
  <c r="D299"/>
  <c r="W299" s="1"/>
  <c r="B300"/>
  <c r="BK291" i="38"/>
  <c r="AS291"/>
  <c r="AU291" s="1"/>
  <c r="AV291" s="1"/>
  <c r="BA291" s="1"/>
  <c r="BB291" s="1"/>
  <c r="BH291" s="1"/>
  <c r="BJ291" s="1"/>
  <c r="P291" s="1"/>
  <c r="O291" s="1"/>
  <c r="V298" i="48"/>
  <c r="F298"/>
  <c r="Y298" s="1"/>
  <c r="AB305" i="1" l="1"/>
  <c r="AE305" s="1"/>
  <c r="AM305" s="1"/>
  <c r="AA305"/>
  <c r="E312" i="53" s="1"/>
  <c r="AC305" i="1"/>
  <c r="BB11" i="55"/>
  <c r="G311" i="53"/>
  <c r="BD307" i="1"/>
  <c r="BE307" s="1"/>
  <c r="T307" s="1"/>
  <c r="U307" s="1"/>
  <c r="BA308"/>
  <c r="D310" i="53"/>
  <c r="L10" i="55" s="1"/>
  <c r="BW10"/>
  <c r="V306" i="1"/>
  <c r="X306"/>
  <c r="AN293" i="38"/>
  <c r="AR293" s="1"/>
  <c r="AO293"/>
  <c r="AP293" s="1"/>
  <c r="AQ293" s="1"/>
  <c r="AL311" i="1"/>
  <c r="Z311"/>
  <c r="AK311"/>
  <c r="AI311"/>
  <c r="AJ311"/>
  <c r="AH311"/>
  <c r="BC311"/>
  <c r="CR9" i="55"/>
  <c r="I310" i="53"/>
  <c r="D300" i="48"/>
  <c r="W300" s="1"/>
  <c r="E300"/>
  <c r="X300" s="1"/>
  <c r="C300"/>
  <c r="B301"/>
  <c r="C312" i="1"/>
  <c r="D312" s="1"/>
  <c r="F314" i="52"/>
  <c r="A319" i="53"/>
  <c r="B320" s="1"/>
  <c r="E312" i="1"/>
  <c r="A312"/>
  <c r="B313"/>
  <c r="K312"/>
  <c r="N312" s="1"/>
  <c r="B295" i="38"/>
  <c r="L312" i="1"/>
  <c r="M311" s="1"/>
  <c r="A296" i="26"/>
  <c r="B296" s="1"/>
  <c r="W310" i="1"/>
  <c r="R310"/>
  <c r="AR292" i="38"/>
  <c r="S309" i="1"/>
  <c r="P311"/>
  <c r="V299" i="48"/>
  <c r="F299"/>
  <c r="Y299" s="1"/>
  <c r="E294" i="38"/>
  <c r="D294"/>
  <c r="Z294"/>
  <c r="AA294" s="1"/>
  <c r="F294"/>
  <c r="AM294" s="1"/>
  <c r="E313" i="52"/>
  <c r="AF303" i="1"/>
  <c r="AD304"/>
  <c r="AC306" l="1"/>
  <c r="AB306"/>
  <c r="AE306" s="1"/>
  <c r="AM306" s="1"/>
  <c r="AA306"/>
  <c r="E313" i="53" s="1"/>
  <c r="BD308" i="1"/>
  <c r="BE308" s="1"/>
  <c r="T308" s="1"/>
  <c r="U308" s="1"/>
  <c r="BA309"/>
  <c r="V307"/>
  <c r="X307"/>
  <c r="BW11" i="55"/>
  <c r="D311" i="53"/>
  <c r="L11" i="55" s="1"/>
  <c r="BB12"/>
  <c r="G312" i="53"/>
  <c r="P312" i="1"/>
  <c r="AF304"/>
  <c r="AD305"/>
  <c r="W311"/>
  <c r="R311"/>
  <c r="A320" i="53"/>
  <c r="B321" s="1"/>
  <c r="F315" i="52"/>
  <c r="L313" i="1"/>
  <c r="M312" s="1"/>
  <c r="E313"/>
  <c r="A313"/>
  <c r="A297" i="26"/>
  <c r="B297" s="1"/>
  <c r="K313" i="1"/>
  <c r="N313" s="1"/>
  <c r="B296" i="38"/>
  <c r="B314" i="1"/>
  <c r="C313"/>
  <c r="D313" s="1"/>
  <c r="CR10" i="55"/>
  <c r="I311" i="53"/>
  <c r="AN294" i="38"/>
  <c r="AR294" s="1"/>
  <c r="AO294"/>
  <c r="AP294" s="1"/>
  <c r="AQ294" s="1"/>
  <c r="AL312" i="1"/>
  <c r="AH312"/>
  <c r="AI312"/>
  <c r="Z312"/>
  <c r="BC312"/>
  <c r="AK312"/>
  <c r="AJ312"/>
  <c r="C301" i="48"/>
  <c r="D301"/>
  <c r="W301" s="1"/>
  <c r="B302"/>
  <c r="E301"/>
  <c r="X301" s="1"/>
  <c r="BK292" i="38"/>
  <c r="AS292"/>
  <c r="AU292" s="1"/>
  <c r="AV292" s="1"/>
  <c r="BA292" s="1"/>
  <c r="BB292" s="1"/>
  <c r="BH292" s="1"/>
  <c r="BJ292" s="1"/>
  <c r="P292" s="1"/>
  <c r="S310" i="1"/>
  <c r="E295" i="38"/>
  <c r="D295"/>
  <c r="Z295"/>
  <c r="AA295" s="1"/>
  <c r="F295"/>
  <c r="AM295" s="1"/>
  <c r="E314" i="52"/>
  <c r="V300" i="48"/>
  <c r="F300"/>
  <c r="Y300" s="1"/>
  <c r="BK293" i="38"/>
  <c r="AS293"/>
  <c r="AU293" s="1"/>
  <c r="AV293" s="1"/>
  <c r="BA293" s="1"/>
  <c r="BB293" s="1"/>
  <c r="BH293" s="1"/>
  <c r="BJ293" s="1"/>
  <c r="P293" s="1"/>
  <c r="O293" s="1"/>
  <c r="V308" i="1" l="1"/>
  <c r="X308"/>
  <c r="BW12" i="55"/>
  <c r="D312" i="53"/>
  <c r="L12" i="55" s="1"/>
  <c r="AB307" i="1"/>
  <c r="AE307" s="1"/>
  <c r="AM307" s="1"/>
  <c r="AA307"/>
  <c r="E314" i="53" s="1"/>
  <c r="AC307" i="1"/>
  <c r="BB13" i="55"/>
  <c r="G313" i="53"/>
  <c r="BD309" i="1"/>
  <c r="BE309" s="1"/>
  <c r="T309" s="1"/>
  <c r="U309" s="1"/>
  <c r="BA310"/>
  <c r="Z296" i="38"/>
  <c r="AA296" s="1"/>
  <c r="D296"/>
  <c r="E296"/>
  <c r="F296"/>
  <c r="AM296" s="1"/>
  <c r="E315" i="52"/>
  <c r="W312" i="1"/>
  <c r="R312"/>
  <c r="AO295" i="38"/>
  <c r="AP295" s="1"/>
  <c r="AQ295" s="1"/>
  <c r="AN295"/>
  <c r="AR295" s="1"/>
  <c r="C302" i="48"/>
  <c r="E302"/>
  <c r="X302" s="1"/>
  <c r="B303"/>
  <c r="D302"/>
  <c r="W302" s="1"/>
  <c r="BK294" i="38"/>
  <c r="AS294"/>
  <c r="AU294" s="1"/>
  <c r="AV294" s="1"/>
  <c r="BA294" s="1"/>
  <c r="BB294" s="1"/>
  <c r="BH294" s="1"/>
  <c r="BJ294" s="1"/>
  <c r="P294" s="1"/>
  <c r="O294" s="1"/>
  <c r="P313" i="1"/>
  <c r="S311"/>
  <c r="CR11" i="55"/>
  <c r="I312" i="53"/>
  <c r="O292" i="38"/>
  <c r="V301" i="48"/>
  <c r="F301"/>
  <c r="Y301" s="1"/>
  <c r="F316" i="52"/>
  <c r="A321" i="53"/>
  <c r="B322" s="1"/>
  <c r="C314" i="1"/>
  <c r="D314" s="1"/>
  <c r="A314"/>
  <c r="L314"/>
  <c r="M313" s="1"/>
  <c r="B297" i="38"/>
  <c r="B315" i="1"/>
  <c r="E314"/>
  <c r="K314"/>
  <c r="N314" s="1"/>
  <c r="A298" i="26"/>
  <c r="B298" s="1"/>
  <c r="AJ313" i="1"/>
  <c r="BC313"/>
  <c r="AK313"/>
  <c r="AL313"/>
  <c r="Z313"/>
  <c r="AI313"/>
  <c r="AH313"/>
  <c r="AF305"/>
  <c r="AD306"/>
  <c r="BD310" l="1"/>
  <c r="BE310" s="1"/>
  <c r="T310" s="1"/>
  <c r="U310" s="1"/>
  <c r="BA311"/>
  <c r="V309"/>
  <c r="X309"/>
  <c r="BB14" i="55"/>
  <c r="G314" i="53"/>
  <c r="AA308" i="1"/>
  <c r="E315" i="53" s="1"/>
  <c r="AB308" i="1"/>
  <c r="AE308" s="1"/>
  <c r="AM308" s="1"/>
  <c r="AC308"/>
  <c r="BW13" i="55"/>
  <c r="D313" i="53"/>
  <c r="L13" i="55" s="1"/>
  <c r="E297" i="38"/>
  <c r="D297"/>
  <c r="F297"/>
  <c r="AM297" s="1"/>
  <c r="Z297"/>
  <c r="AA297" s="1"/>
  <c r="P314" i="1"/>
  <c r="V302" i="48"/>
  <c r="F302"/>
  <c r="Y302" s="1"/>
  <c r="AO296" i="38"/>
  <c r="AP296" s="1"/>
  <c r="AQ296" s="1"/>
  <c r="AN296"/>
  <c r="E316" i="52"/>
  <c r="AJ314" i="1"/>
  <c r="AK314"/>
  <c r="AI314"/>
  <c r="Z314"/>
  <c r="BC314"/>
  <c r="AL314"/>
  <c r="AH314"/>
  <c r="BK295" i="38"/>
  <c r="AS295"/>
  <c r="AU295" s="1"/>
  <c r="AV295" s="1"/>
  <c r="BA295" s="1"/>
  <c r="BB295" s="1"/>
  <c r="BH295" s="1"/>
  <c r="BJ295" s="1"/>
  <c r="P295" s="1"/>
  <c r="AF306" i="1"/>
  <c r="AD307"/>
  <c r="F317" i="52"/>
  <c r="C315" i="1"/>
  <c r="D315" s="1"/>
  <c r="L315"/>
  <c r="M314" s="1"/>
  <c r="E315"/>
  <c r="B298" i="38"/>
  <c r="A315" i="1"/>
  <c r="B316"/>
  <c r="A322" i="53"/>
  <c r="B323" s="1"/>
  <c r="K315" i="1"/>
  <c r="N315" s="1"/>
  <c r="A299" i="26"/>
  <c r="B299" s="1"/>
  <c r="CR12" i="55"/>
  <c r="I313" i="53"/>
  <c r="W313" i="1"/>
  <c r="R313"/>
  <c r="D303" i="48"/>
  <c r="W303" s="1"/>
  <c r="C303"/>
  <c r="B304"/>
  <c r="E303"/>
  <c r="X303" s="1"/>
  <c r="S312" i="1"/>
  <c r="G315" i="53" l="1"/>
  <c r="BB15" i="55"/>
  <c r="AB309" i="1"/>
  <c r="AE309" s="1"/>
  <c r="AM309" s="1"/>
  <c r="AA309"/>
  <c r="E316" i="53" s="1"/>
  <c r="AC309" i="1"/>
  <c r="BW14" i="55"/>
  <c r="D314" i="53"/>
  <c r="L14" i="55" s="1"/>
  <c r="BD311" i="1"/>
  <c r="BE311" s="1"/>
  <c r="T311" s="1"/>
  <c r="U311" s="1"/>
  <c r="BA312"/>
  <c r="V310"/>
  <c r="X310"/>
  <c r="D304" i="48"/>
  <c r="W304" s="1"/>
  <c r="B305"/>
  <c r="E304"/>
  <c r="X304" s="1"/>
  <c r="C304"/>
  <c r="P315" i="1"/>
  <c r="D298" i="38"/>
  <c r="Z298"/>
  <c r="AA298" s="1"/>
  <c r="E298"/>
  <c r="F298"/>
  <c r="AM298" s="1"/>
  <c r="O295"/>
  <c r="AR296"/>
  <c r="V303" i="48"/>
  <c r="F303"/>
  <c r="Y303" s="1"/>
  <c r="CR13" i="55"/>
  <c r="I314" i="53"/>
  <c r="E317" i="52"/>
  <c r="W314" i="1"/>
  <c r="R314"/>
  <c r="F318" i="52"/>
  <c r="A300" i="26"/>
  <c r="B300" s="1"/>
  <c r="C316" i="1"/>
  <c r="D316" s="1"/>
  <c r="A323" i="53"/>
  <c r="B324" s="1"/>
  <c r="E316" i="1"/>
  <c r="K316"/>
  <c r="N316" s="1"/>
  <c r="A316"/>
  <c r="B299" i="38"/>
  <c r="L316" i="1"/>
  <c r="M315" s="1"/>
  <c r="B317"/>
  <c r="AO297" i="38"/>
  <c r="AP297" s="1"/>
  <c r="AQ297" s="1"/>
  <c r="AN297"/>
  <c r="S313" i="1"/>
  <c r="AL315"/>
  <c r="AK315"/>
  <c r="AH315"/>
  <c r="AI315"/>
  <c r="Z315"/>
  <c r="AJ315"/>
  <c r="BC315"/>
  <c r="AF307"/>
  <c r="AD308"/>
  <c r="AC310" l="1"/>
  <c r="AA310"/>
  <c r="E317" i="53" s="1"/>
  <c r="AB310" i="1"/>
  <c r="AE310" s="1"/>
  <c r="AM310" s="1"/>
  <c r="BB16" i="55"/>
  <c r="G316" i="53"/>
  <c r="BD312" i="1"/>
  <c r="BE312" s="1"/>
  <c r="T312" s="1"/>
  <c r="U312" s="1"/>
  <c r="BA313"/>
  <c r="V311"/>
  <c r="X311"/>
  <c r="D315" i="53"/>
  <c r="L15" i="55" s="1"/>
  <c r="BW15"/>
  <c r="AF308" i="1"/>
  <c r="AD309"/>
  <c r="A301" i="26"/>
  <c r="B301" s="1"/>
  <c r="K317" i="1"/>
  <c r="N317" s="1"/>
  <c r="F319" i="52"/>
  <c r="A324" i="53"/>
  <c r="B325" s="1"/>
  <c r="L317" i="1"/>
  <c r="M316" s="1"/>
  <c r="E317"/>
  <c r="C317"/>
  <c r="D317" s="1"/>
  <c r="A317"/>
  <c r="B318"/>
  <c r="B300" i="38"/>
  <c r="P316" i="1"/>
  <c r="CR14" i="55"/>
  <c r="I315" i="53"/>
  <c r="W315" i="1"/>
  <c r="R315"/>
  <c r="AR297" i="38"/>
  <c r="E318" i="52"/>
  <c r="S314" i="1"/>
  <c r="E305" i="48"/>
  <c r="X305" s="1"/>
  <c r="C305"/>
  <c r="D305"/>
  <c r="W305" s="1"/>
  <c r="B306"/>
  <c r="D299" i="38"/>
  <c r="E299"/>
  <c r="Z299"/>
  <c r="AA299" s="1"/>
  <c r="F299"/>
  <c r="AM299" s="1"/>
  <c r="BK296"/>
  <c r="AS296"/>
  <c r="AU296" s="1"/>
  <c r="AV296" s="1"/>
  <c r="BA296" s="1"/>
  <c r="BB296" s="1"/>
  <c r="BH296" s="1"/>
  <c r="BJ296" s="1"/>
  <c r="P296" s="1"/>
  <c r="Z316" i="1"/>
  <c r="AH316"/>
  <c r="AI316"/>
  <c r="AJ316"/>
  <c r="AK316"/>
  <c r="AL316"/>
  <c r="BC316"/>
  <c r="AO298" i="38"/>
  <c r="AP298" s="1"/>
  <c r="AQ298" s="1"/>
  <c r="AN298"/>
  <c r="V304" i="48"/>
  <c r="F304"/>
  <c r="Y304" s="1"/>
  <c r="BD313" i="1" l="1"/>
  <c r="BE313" s="1"/>
  <c r="T313" s="1"/>
  <c r="U313" s="1"/>
  <c r="BA314"/>
  <c r="V312"/>
  <c r="X312"/>
  <c r="AB311"/>
  <c r="AE311" s="1"/>
  <c r="AM311" s="1"/>
  <c r="AC311"/>
  <c r="AA311"/>
  <c r="E318" i="53" s="1"/>
  <c r="BB17" i="55"/>
  <c r="G317" i="53"/>
  <c r="BW16" i="55"/>
  <c r="D316" i="53"/>
  <c r="L16" i="55" s="1"/>
  <c r="AR298" i="38"/>
  <c r="BK297"/>
  <c r="AS297"/>
  <c r="AU297" s="1"/>
  <c r="AV297" s="1"/>
  <c r="BA297" s="1"/>
  <c r="BB297" s="1"/>
  <c r="BH297" s="1"/>
  <c r="BJ297" s="1"/>
  <c r="P297" s="1"/>
  <c r="O297" s="1"/>
  <c r="CR15" i="55"/>
  <c r="I316" i="53"/>
  <c r="AL317" i="1"/>
  <c r="AH317"/>
  <c r="AK317"/>
  <c r="AJ317"/>
  <c r="BC317"/>
  <c r="Z317"/>
  <c r="AI317"/>
  <c r="F305" i="48"/>
  <c r="Y305" s="1"/>
  <c r="V305"/>
  <c r="AO299" i="38"/>
  <c r="AP299" s="1"/>
  <c r="AQ299" s="1"/>
  <c r="AN299"/>
  <c r="S315" i="1"/>
  <c r="W316"/>
  <c r="R316"/>
  <c r="D300" i="38"/>
  <c r="E300"/>
  <c r="F300"/>
  <c r="AM300" s="1"/>
  <c r="Z300"/>
  <c r="AA300" s="1"/>
  <c r="E319" i="52"/>
  <c r="P317" i="1"/>
  <c r="O296" i="38"/>
  <c r="C306" i="48"/>
  <c r="D306"/>
  <c r="W306" s="1"/>
  <c r="E306"/>
  <c r="X306" s="1"/>
  <c r="B307"/>
  <c r="K318" i="1"/>
  <c r="N318" s="1"/>
  <c r="L318"/>
  <c r="M317" s="1"/>
  <c r="A302" i="26"/>
  <c r="B302" s="1"/>
  <c r="F320" i="52"/>
  <c r="A325" i="53"/>
  <c r="B326" s="1"/>
  <c r="E318" i="1"/>
  <c r="A318"/>
  <c r="B301" i="38"/>
  <c r="B319" i="1"/>
  <c r="C318"/>
  <c r="D318" s="1"/>
  <c r="AF309"/>
  <c r="AD310"/>
  <c r="G318" i="53" l="1"/>
  <c r="BB18" i="55"/>
  <c r="D317" i="53"/>
  <c r="L17" i="55" s="1"/>
  <c r="BW17"/>
  <c r="BD314" i="1"/>
  <c r="BE314" s="1"/>
  <c r="T314" s="1"/>
  <c r="U314" s="1"/>
  <c r="BA315"/>
  <c r="AA312"/>
  <c r="E319" i="53" s="1"/>
  <c r="AC312" i="1"/>
  <c r="AB312"/>
  <c r="AE312" s="1"/>
  <c r="AM312" s="1"/>
  <c r="V313"/>
  <c r="X313"/>
  <c r="Z318"/>
  <c r="AL318"/>
  <c r="AJ318"/>
  <c r="AI318"/>
  <c r="AH318"/>
  <c r="AK318"/>
  <c r="BC318"/>
  <c r="E307" i="48"/>
  <c r="X307" s="1"/>
  <c r="C307"/>
  <c r="D307"/>
  <c r="W307" s="1"/>
  <c r="B308"/>
  <c r="AR299" i="38"/>
  <c r="E320" i="52"/>
  <c r="R317" i="1"/>
  <c r="W317"/>
  <c r="AF310"/>
  <c r="AD311"/>
  <c r="F321" i="52"/>
  <c r="C319" i="1"/>
  <c r="D319" s="1"/>
  <c r="A326" i="53"/>
  <c r="B327" s="1"/>
  <c r="E319" i="1"/>
  <c r="L319"/>
  <c r="M318" s="1"/>
  <c r="B320"/>
  <c r="K319"/>
  <c r="N319" s="1"/>
  <c r="A319"/>
  <c r="B302" i="38"/>
  <c r="A303" i="26"/>
  <c r="B303" s="1"/>
  <c r="P318" i="1"/>
  <c r="S316"/>
  <c r="BK298" i="38"/>
  <c r="AS298"/>
  <c r="AU298" s="1"/>
  <c r="AV298" s="1"/>
  <c r="BA298" s="1"/>
  <c r="BB298" s="1"/>
  <c r="BH298" s="1"/>
  <c r="BJ298" s="1"/>
  <c r="P298" s="1"/>
  <c r="E301"/>
  <c r="D301"/>
  <c r="Z301"/>
  <c r="AA301" s="1"/>
  <c r="F301"/>
  <c r="AM301" s="1"/>
  <c r="F306" i="48"/>
  <c r="Y306" s="1"/>
  <c r="V306"/>
  <c r="AN300" i="38"/>
  <c r="AO300"/>
  <c r="AP300" s="1"/>
  <c r="AQ300" s="1"/>
  <c r="CR16" i="55"/>
  <c r="I317" i="53"/>
  <c r="AC313" i="1" l="1"/>
  <c r="AB313"/>
  <c r="AE313" s="1"/>
  <c r="AM313" s="1"/>
  <c r="AA313"/>
  <c r="E320" i="53" s="1"/>
  <c r="G319"/>
  <c r="BB19" i="55"/>
  <c r="BD315" i="1"/>
  <c r="BE315" s="1"/>
  <c r="T315" s="1"/>
  <c r="U315" s="1"/>
  <c r="BA316"/>
  <c r="V314"/>
  <c r="X314"/>
  <c r="BW18" i="55"/>
  <c r="D318" i="53"/>
  <c r="L18" i="55" s="1"/>
  <c r="AO301" i="38"/>
  <c r="AP301" s="1"/>
  <c r="AQ301" s="1"/>
  <c r="AN301"/>
  <c r="O298"/>
  <c r="P319" i="1"/>
  <c r="CR17" i="55"/>
  <c r="I318" i="53"/>
  <c r="AR300" i="38"/>
  <c r="R318" i="1"/>
  <c r="W318"/>
  <c r="C320"/>
  <c r="D320" s="1"/>
  <c r="E320"/>
  <c r="A304" i="26"/>
  <c r="B304" s="1"/>
  <c r="A327" i="53"/>
  <c r="B328" s="1"/>
  <c r="F322" i="52"/>
  <c r="L320" i="1"/>
  <c r="M319" s="1"/>
  <c r="K320"/>
  <c r="N320" s="1"/>
  <c r="B321"/>
  <c r="B303" i="38"/>
  <c r="A320" i="1"/>
  <c r="BK299" i="38"/>
  <c r="AS299"/>
  <c r="AU299" s="1"/>
  <c r="AV299" s="1"/>
  <c r="BA299" s="1"/>
  <c r="BB299" s="1"/>
  <c r="BH299" s="1"/>
  <c r="BJ299" s="1"/>
  <c r="P299" s="1"/>
  <c r="O299" s="1"/>
  <c r="E308" i="48"/>
  <c r="X308" s="1"/>
  <c r="D308"/>
  <c r="W308" s="1"/>
  <c r="C308"/>
  <c r="B309"/>
  <c r="E302" i="38"/>
  <c r="D302"/>
  <c r="F302"/>
  <c r="AM302" s="1"/>
  <c r="Z302"/>
  <c r="AA302" s="1"/>
  <c r="S317" i="1"/>
  <c r="AI319"/>
  <c r="AJ319"/>
  <c r="AK319"/>
  <c r="Z319"/>
  <c r="AH319"/>
  <c r="AL319"/>
  <c r="BC319"/>
  <c r="E321" i="52"/>
  <c r="AF311" i="1"/>
  <c r="AD312"/>
  <c r="V307" i="48"/>
  <c r="F307"/>
  <c r="Y307" s="1"/>
  <c r="AR301" i="38" l="1"/>
  <c r="BK301" s="1"/>
  <c r="BD316" i="1"/>
  <c r="BE316" s="1"/>
  <c r="T316" s="1"/>
  <c r="U316" s="1"/>
  <c r="BA317"/>
  <c r="BW19" i="55"/>
  <c r="D319" i="53"/>
  <c r="L19" i="55" s="1"/>
  <c r="V315" i="1"/>
  <c r="X315"/>
  <c r="BB20" i="55"/>
  <c r="G320" i="53"/>
  <c r="AB314" i="1"/>
  <c r="AE314" s="1"/>
  <c r="AM314" s="1"/>
  <c r="AA314"/>
  <c r="E321" i="53" s="1"/>
  <c r="AC314" i="1"/>
  <c r="D303" i="38"/>
  <c r="Z303"/>
  <c r="AA303" s="1"/>
  <c r="E303"/>
  <c r="F303"/>
  <c r="AM303" s="1"/>
  <c r="S318" i="1"/>
  <c r="AF312"/>
  <c r="AD313"/>
  <c r="F323" i="52"/>
  <c r="A305" i="26"/>
  <c r="B305" s="1"/>
  <c r="L321" i="1"/>
  <c r="M320" s="1"/>
  <c r="A328" i="53"/>
  <c r="B329" s="1"/>
  <c r="E321" i="1"/>
  <c r="C321"/>
  <c r="D321" s="1"/>
  <c r="K321"/>
  <c r="N321" s="1"/>
  <c r="A321"/>
  <c r="B322"/>
  <c r="B304" i="38"/>
  <c r="W319" i="1"/>
  <c r="R319"/>
  <c r="E309" i="48"/>
  <c r="X309" s="1"/>
  <c r="D309"/>
  <c r="W309" s="1"/>
  <c r="C309"/>
  <c r="B310"/>
  <c r="P320" i="1"/>
  <c r="CR18" i="55"/>
  <c r="I319" i="53"/>
  <c r="AO302" i="38"/>
  <c r="AP302" s="1"/>
  <c r="AQ302" s="1"/>
  <c r="AN302"/>
  <c r="F308" i="48"/>
  <c r="Y308" s="1"/>
  <c r="V308"/>
  <c r="AL320" i="1"/>
  <c r="AI320"/>
  <c r="AH320"/>
  <c r="AJ320"/>
  <c r="BC320"/>
  <c r="AK320"/>
  <c r="Z320"/>
  <c r="E322" i="52"/>
  <c r="BK300" i="38"/>
  <c r="AS300"/>
  <c r="AU300" s="1"/>
  <c r="AV300" s="1"/>
  <c r="BA300" s="1"/>
  <c r="BB300" s="1"/>
  <c r="BH300" s="1"/>
  <c r="BJ300" s="1"/>
  <c r="P300" s="1"/>
  <c r="O300" s="1"/>
  <c r="AS301" l="1"/>
  <c r="AU301" s="1"/>
  <c r="AV301" s="1"/>
  <c r="BA301" s="1"/>
  <c r="BB301" s="1"/>
  <c r="BH301" s="1"/>
  <c r="BJ301" s="1"/>
  <c r="P301" s="1"/>
  <c r="O301" s="1"/>
  <c r="AR302"/>
  <c r="BK302" s="1"/>
  <c r="BB21" i="55"/>
  <c r="G321" i="53"/>
  <c r="AA315" i="1"/>
  <c r="E322" i="53" s="1"/>
  <c r="AC315" i="1"/>
  <c r="AB315"/>
  <c r="AE315" s="1"/>
  <c r="AM315" s="1"/>
  <c r="BD317"/>
  <c r="BE317" s="1"/>
  <c r="T317" s="1"/>
  <c r="U317" s="1"/>
  <c r="BA318"/>
  <c r="V316"/>
  <c r="X316"/>
  <c r="BW20" i="55"/>
  <c r="D320" i="53"/>
  <c r="L20" i="55" s="1"/>
  <c r="AL321" i="1"/>
  <c r="Z321"/>
  <c r="BC321"/>
  <c r="AH321"/>
  <c r="AJ321"/>
  <c r="AK321"/>
  <c r="AI321"/>
  <c r="E310" i="48"/>
  <c r="X310" s="1"/>
  <c r="D310"/>
  <c r="W310" s="1"/>
  <c r="B311"/>
  <c r="C310"/>
  <c r="P321" i="1"/>
  <c r="CR19" i="55"/>
  <c r="I320" i="53"/>
  <c r="V309" i="48"/>
  <c r="F309"/>
  <c r="Y309" s="1"/>
  <c r="E304" i="38"/>
  <c r="Z304"/>
  <c r="AA304" s="1"/>
  <c r="D304"/>
  <c r="F304"/>
  <c r="AM304" s="1"/>
  <c r="AF313" i="1"/>
  <c r="AD314"/>
  <c r="AO303" i="38"/>
  <c r="AP303" s="1"/>
  <c r="AQ303" s="1"/>
  <c r="AN303"/>
  <c r="W320" i="1"/>
  <c r="R320"/>
  <c r="S319"/>
  <c r="A306" i="26"/>
  <c r="B306" s="1"/>
  <c r="K322" i="1"/>
  <c r="N322" s="1"/>
  <c r="A322"/>
  <c r="F324" i="52"/>
  <c r="E322" i="1"/>
  <c r="C322"/>
  <c r="D322" s="1"/>
  <c r="A329" i="53"/>
  <c r="B330" s="1"/>
  <c r="L322" i="1"/>
  <c r="M321" s="1"/>
  <c r="B323"/>
  <c r="B305" i="38"/>
  <c r="E323" i="52"/>
  <c r="AS302" i="38" l="1"/>
  <c r="AU302" s="1"/>
  <c r="AV302" s="1"/>
  <c r="BA302" s="1"/>
  <c r="BB302" s="1"/>
  <c r="BH302" s="1"/>
  <c r="BJ302" s="1"/>
  <c r="P302" s="1"/>
  <c r="O302" s="1"/>
  <c r="BD318" i="1"/>
  <c r="BE318" s="1"/>
  <c r="T318" s="1"/>
  <c r="U318" s="1"/>
  <c r="BA319"/>
  <c r="G322" i="53"/>
  <c r="BB22" i="55"/>
  <c r="V317" i="1"/>
  <c r="X317"/>
  <c r="D321" i="53"/>
  <c r="L21" i="55" s="1"/>
  <c r="BW21"/>
  <c r="AB316" i="1"/>
  <c r="AE316" s="1"/>
  <c r="AM316" s="1"/>
  <c r="AA316"/>
  <c r="E323" i="53" s="1"/>
  <c r="AC316" i="1"/>
  <c r="E305" i="38"/>
  <c r="D305"/>
  <c r="F305"/>
  <c r="AM305" s="1"/>
  <c r="Z305"/>
  <c r="AA305" s="1"/>
  <c r="P322" i="1"/>
  <c r="S320"/>
  <c r="AR303" i="38"/>
  <c r="W321" i="1"/>
  <c r="R321"/>
  <c r="D311" i="48"/>
  <c r="W311" s="1"/>
  <c r="E311"/>
  <c r="X311" s="1"/>
  <c r="C311"/>
  <c r="B312"/>
  <c r="L323" i="1"/>
  <c r="M322" s="1"/>
  <c r="E323"/>
  <c r="F325" i="52"/>
  <c r="C323" i="1"/>
  <c r="D323" s="1"/>
  <c r="A323"/>
  <c r="A330" i="53"/>
  <c r="B331" s="1"/>
  <c r="B324" i="1"/>
  <c r="B306" i="38"/>
  <c r="K323" i="1"/>
  <c r="N323" s="1"/>
  <c r="A307" i="26"/>
  <c r="B307" s="1"/>
  <c r="E324" i="52"/>
  <c r="AO304" i="38"/>
  <c r="AP304" s="1"/>
  <c r="AQ304" s="1"/>
  <c r="AN304"/>
  <c r="AI322" i="1"/>
  <c r="BC322"/>
  <c r="Z322"/>
  <c r="AJ322"/>
  <c r="AH322"/>
  <c r="AK322"/>
  <c r="AL322"/>
  <c r="AF314"/>
  <c r="AD315"/>
  <c r="CR20" i="55"/>
  <c r="I321" i="53"/>
  <c r="V310" i="48"/>
  <c r="F310"/>
  <c r="Y310" s="1"/>
  <c r="D322" i="53" l="1"/>
  <c r="L22" i="55" s="1"/>
  <c r="BW22"/>
  <c r="G323" i="53"/>
  <c r="BB23" i="55"/>
  <c r="AB317" i="1"/>
  <c r="AE317" s="1"/>
  <c r="AM317" s="1"/>
  <c r="AC317"/>
  <c r="AA317"/>
  <c r="E324" i="53" s="1"/>
  <c r="BD319" i="1"/>
  <c r="BE319" s="1"/>
  <c r="T319" s="1"/>
  <c r="U319" s="1"/>
  <c r="BA320"/>
  <c r="V318"/>
  <c r="X318"/>
  <c r="CR21" i="55"/>
  <c r="I322" i="53"/>
  <c r="D306" i="38"/>
  <c r="Z306"/>
  <c r="AA306" s="1"/>
  <c r="E306"/>
  <c r="F306"/>
  <c r="AM306" s="1"/>
  <c r="F311" i="48"/>
  <c r="Y311" s="1"/>
  <c r="V311"/>
  <c r="S321" i="1"/>
  <c r="AR304" i="38"/>
  <c r="A324" i="1"/>
  <c r="E324"/>
  <c r="K324"/>
  <c r="N324" s="1"/>
  <c r="F326" i="52"/>
  <c r="A331" i="53"/>
  <c r="B332" s="1"/>
  <c r="L324" i="1"/>
  <c r="M323" s="1"/>
  <c r="A308" i="26"/>
  <c r="B308" s="1"/>
  <c r="B325" i="1"/>
  <c r="B307" i="38"/>
  <c r="C324" i="1"/>
  <c r="D324" s="1"/>
  <c r="AF315"/>
  <c r="AD316"/>
  <c r="E325" i="52"/>
  <c r="BK303" i="38"/>
  <c r="AS303"/>
  <c r="AU303" s="1"/>
  <c r="AV303" s="1"/>
  <c r="BA303" s="1"/>
  <c r="BB303" s="1"/>
  <c r="BH303" s="1"/>
  <c r="BJ303" s="1"/>
  <c r="P303" s="1"/>
  <c r="W322" i="1"/>
  <c r="R322"/>
  <c r="P323"/>
  <c r="AJ323"/>
  <c r="Z323"/>
  <c r="AH323"/>
  <c r="AK323"/>
  <c r="AL323"/>
  <c r="BC323"/>
  <c r="AI323"/>
  <c r="E312" i="48"/>
  <c r="X312" s="1"/>
  <c r="C312"/>
  <c r="B313"/>
  <c r="D312"/>
  <c r="W312" s="1"/>
  <c r="AN305" i="38"/>
  <c r="AO305"/>
  <c r="AP305" s="1"/>
  <c r="AQ305" s="1"/>
  <c r="AR305" l="1"/>
  <c r="AS305" s="1"/>
  <c r="AU305" s="1"/>
  <c r="AV305" s="1"/>
  <c r="BA305" s="1"/>
  <c r="BB305" s="1"/>
  <c r="BH305" s="1"/>
  <c r="BJ305" s="1"/>
  <c r="P305" s="1"/>
  <c r="O305" s="1"/>
  <c r="AB318" i="1"/>
  <c r="AE318" s="1"/>
  <c r="AM318" s="1"/>
  <c r="AA318"/>
  <c r="E325" i="53" s="1"/>
  <c r="AC318" i="1"/>
  <c r="G324" i="53"/>
  <c r="BB24" i="55"/>
  <c r="BW23"/>
  <c r="D323" i="53"/>
  <c r="L23" i="55" s="1"/>
  <c r="BD320" i="1"/>
  <c r="BE320" s="1"/>
  <c r="T320" s="1"/>
  <c r="U320" s="1"/>
  <c r="BA321"/>
  <c r="V319"/>
  <c r="X319"/>
  <c r="AF316"/>
  <c r="AD317"/>
  <c r="E326" i="52"/>
  <c r="O303" i="38"/>
  <c r="D307"/>
  <c r="E307"/>
  <c r="Z307"/>
  <c r="AA307" s="1"/>
  <c r="F307"/>
  <c r="AM307" s="1"/>
  <c r="AK324" i="1"/>
  <c r="Z324"/>
  <c r="BC324"/>
  <c r="AH324"/>
  <c r="AL324"/>
  <c r="AI324"/>
  <c r="AJ324"/>
  <c r="AO306" i="38"/>
  <c r="AP306" s="1"/>
  <c r="AQ306" s="1"/>
  <c r="AN306"/>
  <c r="R323" i="1"/>
  <c r="W323"/>
  <c r="D313" i="48"/>
  <c r="W313" s="1"/>
  <c r="E313"/>
  <c r="X313" s="1"/>
  <c r="C313"/>
  <c r="B314"/>
  <c r="A332" i="53"/>
  <c r="B333" s="1"/>
  <c r="E325" i="1"/>
  <c r="F327" i="52"/>
  <c r="A309" i="26"/>
  <c r="B309" s="1"/>
  <c r="L325" i="1"/>
  <c r="M324" s="1"/>
  <c r="K325"/>
  <c r="N325" s="1"/>
  <c r="B326"/>
  <c r="A325"/>
  <c r="B308" i="38"/>
  <c r="C325" i="1"/>
  <c r="D325" s="1"/>
  <c r="BK304" i="38"/>
  <c r="AS304"/>
  <c r="AU304" s="1"/>
  <c r="AV304" s="1"/>
  <c r="BA304" s="1"/>
  <c r="BB304" s="1"/>
  <c r="BH304" s="1"/>
  <c r="BJ304" s="1"/>
  <c r="P304" s="1"/>
  <c r="O304" s="1"/>
  <c r="CR22" i="55"/>
  <c r="I323" i="53"/>
  <c r="F312" i="48"/>
  <c r="Y312" s="1"/>
  <c r="V312"/>
  <c r="S322" i="1"/>
  <c r="P324"/>
  <c r="BK305" i="38" l="1"/>
  <c r="AB319" i="1"/>
  <c r="AE319" s="1"/>
  <c r="AM319" s="1"/>
  <c r="AA319"/>
  <c r="E326" i="53" s="1"/>
  <c r="AC319" i="1"/>
  <c r="V320"/>
  <c r="X320"/>
  <c r="D324" i="53"/>
  <c r="L24" i="55" s="1"/>
  <c r="BW24"/>
  <c r="BB25"/>
  <c r="G325" i="53"/>
  <c r="BD321" i="1"/>
  <c r="BE321" s="1"/>
  <c r="T321" s="1"/>
  <c r="U321" s="1"/>
  <c r="BA322"/>
  <c r="CR23" i="55"/>
  <c r="I324" i="53"/>
  <c r="D308" i="38"/>
  <c r="E308"/>
  <c r="F308"/>
  <c r="AM308" s="1"/>
  <c r="Z308"/>
  <c r="AA308" s="1"/>
  <c r="AI325" i="1"/>
  <c r="Z325"/>
  <c r="AJ325"/>
  <c r="AK325"/>
  <c r="BC325"/>
  <c r="AL325"/>
  <c r="AH325"/>
  <c r="B315" i="48"/>
  <c r="D314"/>
  <c r="W314" s="1"/>
  <c r="E314"/>
  <c r="X314" s="1"/>
  <c r="C314"/>
  <c r="W324" i="1"/>
  <c r="R324"/>
  <c r="F328" i="52"/>
  <c r="C326" i="1"/>
  <c r="D326" s="1"/>
  <c r="K326"/>
  <c r="N326" s="1"/>
  <c r="A333" i="53"/>
  <c r="B334" s="1"/>
  <c r="E326" i="1"/>
  <c r="A310" i="26"/>
  <c r="B310" s="1"/>
  <c r="B327" i="1"/>
  <c r="A326"/>
  <c r="L326"/>
  <c r="M325" s="1"/>
  <c r="B309" i="38"/>
  <c r="V313" i="48"/>
  <c r="F313"/>
  <c r="Y313" s="1"/>
  <c r="S323" i="1"/>
  <c r="AR306" i="38"/>
  <c r="AN307"/>
  <c r="AO307"/>
  <c r="AP307" s="1"/>
  <c r="AQ307" s="1"/>
  <c r="P325" i="1"/>
  <c r="E327" i="52"/>
  <c r="AF317" i="1"/>
  <c r="AD318"/>
  <c r="AR307" i="38" l="1"/>
  <c r="BK307" s="1"/>
  <c r="BD322" i="1"/>
  <c r="BE322" s="1"/>
  <c r="T322" s="1"/>
  <c r="U322" s="1"/>
  <c r="BA323"/>
  <c r="V321"/>
  <c r="X321"/>
  <c r="BW25" i="55"/>
  <c r="D325" i="53"/>
  <c r="L25" i="55" s="1"/>
  <c r="G326" i="53"/>
  <c r="BB26" i="55"/>
  <c r="AB320" i="1"/>
  <c r="AE320" s="1"/>
  <c r="AM320" s="1"/>
  <c r="AC320"/>
  <c r="AA320"/>
  <c r="E327" i="53" s="1"/>
  <c r="BK306" i="38"/>
  <c r="AS306"/>
  <c r="AU306" s="1"/>
  <c r="AV306" s="1"/>
  <c r="BA306" s="1"/>
  <c r="BB306" s="1"/>
  <c r="BH306" s="1"/>
  <c r="BJ306" s="1"/>
  <c r="P306" s="1"/>
  <c r="F329" i="52"/>
  <c r="A327" i="1"/>
  <c r="E327"/>
  <c r="B310" i="38"/>
  <c r="C327" i="1"/>
  <c r="D327" s="1"/>
  <c r="A334" i="53"/>
  <c r="B335" s="1"/>
  <c r="B328" i="1"/>
  <c r="A311" i="26"/>
  <c r="B311" s="1"/>
  <c r="K327" i="1"/>
  <c r="N327" s="1"/>
  <c r="L327"/>
  <c r="M326" s="1"/>
  <c r="P326"/>
  <c r="S324"/>
  <c r="AO308" i="38"/>
  <c r="AP308" s="1"/>
  <c r="AQ308" s="1"/>
  <c r="AN308"/>
  <c r="AR308" s="1"/>
  <c r="CR24" i="55"/>
  <c r="I325" i="53"/>
  <c r="W325" i="1"/>
  <c r="R325"/>
  <c r="E309" i="38"/>
  <c r="D309"/>
  <c r="Z309"/>
  <c r="AA309" s="1"/>
  <c r="F309"/>
  <c r="AM309" s="1"/>
  <c r="B316" i="48"/>
  <c r="E315"/>
  <c r="X315" s="1"/>
  <c r="C315"/>
  <c r="D315"/>
  <c r="W315" s="1"/>
  <c r="E328" i="52"/>
  <c r="F314" i="48"/>
  <c r="Y314" s="1"/>
  <c r="V314"/>
  <c r="AF318" i="1"/>
  <c r="AD319"/>
  <c r="AJ326"/>
  <c r="Z326"/>
  <c r="AL326"/>
  <c r="BC326"/>
  <c r="AK326"/>
  <c r="AI326"/>
  <c r="AH326"/>
  <c r="AS307" i="38" l="1"/>
  <c r="AU307" s="1"/>
  <c r="AV307" s="1"/>
  <c r="BA307" s="1"/>
  <c r="BB307" s="1"/>
  <c r="BH307" s="1"/>
  <c r="BJ307" s="1"/>
  <c r="P307" s="1"/>
  <c r="O307" s="1"/>
  <c r="BB27" i="55"/>
  <c r="G327" i="53"/>
  <c r="BW26" i="55"/>
  <c r="D326" i="53"/>
  <c r="L26" i="55" s="1"/>
  <c r="BD323" i="1"/>
  <c r="BE323" s="1"/>
  <c r="T323" s="1"/>
  <c r="U323" s="1"/>
  <c r="BA324"/>
  <c r="AA321"/>
  <c r="E328" i="53" s="1"/>
  <c r="AC321" i="1"/>
  <c r="AB321"/>
  <c r="AE321" s="1"/>
  <c r="AM321" s="1"/>
  <c r="V322"/>
  <c r="X322"/>
  <c r="S325"/>
  <c r="AJ327"/>
  <c r="AL327"/>
  <c r="BC327"/>
  <c r="AI327"/>
  <c r="Z327"/>
  <c r="AH327"/>
  <c r="AF319"/>
  <c r="AD320"/>
  <c r="E316" i="48"/>
  <c r="X316" s="1"/>
  <c r="B317"/>
  <c r="C316"/>
  <c r="D316"/>
  <c r="W316" s="1"/>
  <c r="P327" i="1"/>
  <c r="Z310" i="38"/>
  <c r="AA310" s="1"/>
  <c r="E310"/>
  <c r="D310"/>
  <c r="F310"/>
  <c r="AM310" s="1"/>
  <c r="O306"/>
  <c r="V315" i="48"/>
  <c r="F315"/>
  <c r="Y315" s="1"/>
  <c r="AO309" i="38"/>
  <c r="AP309" s="1"/>
  <c r="AQ309" s="1"/>
  <c r="AN309"/>
  <c r="CR25" i="55"/>
  <c r="I326" i="53"/>
  <c r="AS308" i="38"/>
  <c r="AU308" s="1"/>
  <c r="AV308" s="1"/>
  <c r="BA308" s="1"/>
  <c r="BB308" s="1"/>
  <c r="BH308" s="1"/>
  <c r="BJ308" s="1"/>
  <c r="P308" s="1"/>
  <c r="O308" s="1"/>
  <c r="BK308"/>
  <c r="W326" i="1"/>
  <c r="R326"/>
  <c r="A312" i="26"/>
  <c r="B312" s="1"/>
  <c r="C328" i="1"/>
  <c r="D328" s="1"/>
  <c r="L328"/>
  <c r="M327" s="1"/>
  <c r="B329"/>
  <c r="B311" i="38"/>
  <c r="K328" i="1"/>
  <c r="N328" s="1"/>
  <c r="F330" i="52"/>
  <c r="E328" i="1"/>
  <c r="A335" i="53"/>
  <c r="B336" s="1"/>
  <c r="A328" i="1"/>
  <c r="E329" i="52"/>
  <c r="AB322" i="1" l="1"/>
  <c r="AE322" s="1"/>
  <c r="AM322" s="1"/>
  <c r="AA322"/>
  <c r="E329" i="53" s="1"/>
  <c r="AC322" i="1"/>
  <c r="BB28" i="55"/>
  <c r="G328" i="53"/>
  <c r="BD324" i="1"/>
  <c r="BE324" s="1"/>
  <c r="T324" s="1"/>
  <c r="U324" s="1"/>
  <c r="BA325"/>
  <c r="BW27" i="55"/>
  <c r="D327" i="53"/>
  <c r="L27" i="55" s="1"/>
  <c r="V323" i="1"/>
  <c r="X323"/>
  <c r="AJ328"/>
  <c r="Z328"/>
  <c r="AI328"/>
  <c r="AL328"/>
  <c r="AH328"/>
  <c r="BC328"/>
  <c r="P328"/>
  <c r="F316" i="48"/>
  <c r="Y316" s="1"/>
  <c r="V316"/>
  <c r="E330" i="52"/>
  <c r="A313" i="26"/>
  <c r="B313" s="1"/>
  <c r="E329" i="1"/>
  <c r="B330"/>
  <c r="L329"/>
  <c r="M328" s="1"/>
  <c r="F331" i="52"/>
  <c r="C329" i="1"/>
  <c r="D329" s="1"/>
  <c r="A336" i="53"/>
  <c r="B337" s="1"/>
  <c r="A329" i="1"/>
  <c r="K329"/>
  <c r="N329" s="1"/>
  <c r="B312" i="38"/>
  <c r="S326" i="1"/>
  <c r="E311" i="38"/>
  <c r="D311"/>
  <c r="F311"/>
  <c r="AM311" s="1"/>
  <c r="Z311"/>
  <c r="AA311" s="1"/>
  <c r="AR309"/>
  <c r="D317" i="48"/>
  <c r="W317" s="1"/>
  <c r="C317"/>
  <c r="E317"/>
  <c r="X317" s="1"/>
  <c r="B318"/>
  <c r="AO310" i="38"/>
  <c r="AP310" s="1"/>
  <c r="AQ310" s="1"/>
  <c r="AN310"/>
  <c r="CR26" i="55"/>
  <c r="I327" i="53"/>
  <c r="R327" i="1"/>
  <c r="W327"/>
  <c r="AF320"/>
  <c r="AD321"/>
  <c r="AB323" l="1"/>
  <c r="AE323" s="1"/>
  <c r="AM323" s="1"/>
  <c r="AA323"/>
  <c r="E330" i="53" s="1"/>
  <c r="AC323" i="1"/>
  <c r="BD325"/>
  <c r="BE325" s="1"/>
  <c r="T325" s="1"/>
  <c r="U325" s="1"/>
  <c r="BA326"/>
  <c r="V324"/>
  <c r="X324"/>
  <c r="BB29" i="55"/>
  <c r="G329" i="53"/>
  <c r="D328"/>
  <c r="L28" i="55" s="1"/>
  <c r="BW28"/>
  <c r="S327" i="1"/>
  <c r="AN311" i="38"/>
  <c r="AO311"/>
  <c r="AP311" s="1"/>
  <c r="AQ311" s="1"/>
  <c r="E312"/>
  <c r="Z312"/>
  <c r="AA312" s="1"/>
  <c r="D312"/>
  <c r="F312"/>
  <c r="AM312" s="1"/>
  <c r="E331" i="52"/>
  <c r="E318" i="48"/>
  <c r="X318" s="1"/>
  <c r="C318"/>
  <c r="B319"/>
  <c r="D318"/>
  <c r="W318" s="1"/>
  <c r="P329" i="1"/>
  <c r="R328"/>
  <c r="W328"/>
  <c r="AR310" i="38"/>
  <c r="AL329" i="1"/>
  <c r="AJ329"/>
  <c r="AI329"/>
  <c r="BC329"/>
  <c r="AH329"/>
  <c r="Z329"/>
  <c r="AF321"/>
  <c r="AD322"/>
  <c r="CR27" i="55"/>
  <c r="I328" i="53"/>
  <c r="F317" i="48"/>
  <c r="Y317" s="1"/>
  <c r="V317"/>
  <c r="BK309" i="38"/>
  <c r="AS309"/>
  <c r="AU309" s="1"/>
  <c r="AV309" s="1"/>
  <c r="BA309" s="1"/>
  <c r="BB309" s="1"/>
  <c r="BH309" s="1"/>
  <c r="BJ309" s="1"/>
  <c r="P309" s="1"/>
  <c r="A314" i="26"/>
  <c r="B314" s="1"/>
  <c r="E330" i="1"/>
  <c r="A330"/>
  <c r="L330"/>
  <c r="M329" s="1"/>
  <c r="C330"/>
  <c r="D330" s="1"/>
  <c r="K330"/>
  <c r="N330" s="1"/>
  <c r="F332" i="52"/>
  <c r="B331" i="1"/>
  <c r="B313" i="38"/>
  <c r="A337" i="53"/>
  <c r="B338" s="1"/>
  <c r="AA324" i="1" l="1"/>
  <c r="E331" i="53" s="1"/>
  <c r="AC324" i="1"/>
  <c r="AB324"/>
  <c r="AE324" s="1"/>
  <c r="AM324" s="1"/>
  <c r="V325"/>
  <c r="X325"/>
  <c r="Y325" s="1"/>
  <c r="BW29" i="55"/>
  <c r="D329" i="53"/>
  <c r="L29" i="55" s="1"/>
  <c r="BB30"/>
  <c r="G330" i="53"/>
  <c r="BD326" i="1"/>
  <c r="BE326" s="1"/>
  <c r="T326" s="1"/>
  <c r="U326" s="1"/>
  <c r="BA327"/>
  <c r="F333" i="52"/>
  <c r="C331" i="1"/>
  <c r="D331" s="1"/>
  <c r="A315" i="26"/>
  <c r="B315" s="1"/>
  <c r="B314" i="38"/>
  <c r="E331" i="1"/>
  <c r="A331"/>
  <c r="A338" i="53"/>
  <c r="B339" s="1"/>
  <c r="K331" i="1"/>
  <c r="N331" s="1"/>
  <c r="L331"/>
  <c r="M330" s="1"/>
  <c r="B332"/>
  <c r="O309" i="38"/>
  <c r="S328" i="1"/>
  <c r="B320" i="48"/>
  <c r="D319"/>
  <c r="W319" s="1"/>
  <c r="E319"/>
  <c r="X319" s="1"/>
  <c r="C319"/>
  <c r="AO312" i="38"/>
  <c r="AP312" s="1"/>
  <c r="AQ312" s="1"/>
  <c r="AN312"/>
  <c r="AL330" i="1"/>
  <c r="AI330"/>
  <c r="BC330"/>
  <c r="AJ330"/>
  <c r="Z330"/>
  <c r="AH330"/>
  <c r="AF322"/>
  <c r="AD323"/>
  <c r="F318" i="48"/>
  <c r="Y318" s="1"/>
  <c r="V318"/>
  <c r="P330" i="1"/>
  <c r="E332" i="52"/>
  <c r="CR28" i="55"/>
  <c r="I329" i="53"/>
  <c r="AS310" i="38"/>
  <c r="AU310" s="1"/>
  <c r="AV310" s="1"/>
  <c r="BA310" s="1"/>
  <c r="BB310" s="1"/>
  <c r="BH310" s="1"/>
  <c r="BJ310" s="1"/>
  <c r="P310" s="1"/>
  <c r="O310" s="1"/>
  <c r="BK310"/>
  <c r="W329" i="1"/>
  <c r="R329"/>
  <c r="AR311" i="38"/>
  <c r="D313"/>
  <c r="F313"/>
  <c r="AM313" s="1"/>
  <c r="Z313"/>
  <c r="AA313" s="1"/>
  <c r="E313"/>
  <c r="V326" i="1" l="1"/>
  <c r="X326"/>
  <c r="BW30" i="55"/>
  <c r="D330" i="53"/>
  <c r="L30" i="55" s="1"/>
  <c r="AC325" i="1"/>
  <c r="AB325"/>
  <c r="AE325" s="1"/>
  <c r="AM325" s="1"/>
  <c r="AA325"/>
  <c r="E332" i="53" s="1"/>
  <c r="BD327" i="1"/>
  <c r="BE327" s="1"/>
  <c r="T327" s="1"/>
  <c r="U327" s="1"/>
  <c r="BA328"/>
  <c r="BB31" i="55"/>
  <c r="G331" i="53"/>
  <c r="E320" i="48"/>
  <c r="X320" s="1"/>
  <c r="D320"/>
  <c r="W320" s="1"/>
  <c r="B321"/>
  <c r="C320"/>
  <c r="E332" i="1"/>
  <c r="C332"/>
  <c r="D332" s="1"/>
  <c r="A339" i="53"/>
  <c r="B340" s="1"/>
  <c r="A332" i="1"/>
  <c r="K332"/>
  <c r="N332" s="1"/>
  <c r="L332"/>
  <c r="M331" s="1"/>
  <c r="A316" i="26"/>
  <c r="B316" s="1"/>
  <c r="F334" i="52"/>
  <c r="B315" i="38"/>
  <c r="B333" i="1"/>
  <c r="AL331"/>
  <c r="BC331"/>
  <c r="Z331"/>
  <c r="AI331"/>
  <c r="AH331"/>
  <c r="AJ331"/>
  <c r="S329"/>
  <c r="AF323"/>
  <c r="AD324"/>
  <c r="V319" i="48"/>
  <c r="F319"/>
  <c r="Y319" s="1"/>
  <c r="E333" i="52"/>
  <c r="BK311" i="38"/>
  <c r="AS311"/>
  <c r="AU311" s="1"/>
  <c r="AV311" s="1"/>
  <c r="BA311" s="1"/>
  <c r="BB311" s="1"/>
  <c r="BH311" s="1"/>
  <c r="BJ311" s="1"/>
  <c r="P311" s="1"/>
  <c r="O311" s="1"/>
  <c r="CR29" i="55"/>
  <c r="I330" i="53"/>
  <c r="W330" i="1"/>
  <c r="R330"/>
  <c r="P331"/>
  <c r="D314" i="38"/>
  <c r="Z314"/>
  <c r="AA314" s="1"/>
  <c r="F314"/>
  <c r="AM314" s="1"/>
  <c r="E314"/>
  <c r="AN313"/>
  <c r="AO313"/>
  <c r="AP313" s="1"/>
  <c r="AQ313" s="1"/>
  <c r="AR312"/>
  <c r="AR313" l="1"/>
  <c r="G332" i="53"/>
  <c r="BB32" i="55"/>
  <c r="BD328" i="1"/>
  <c r="BE328" s="1"/>
  <c r="T328" s="1"/>
  <c r="U328" s="1"/>
  <c r="BA329"/>
  <c r="AC326"/>
  <c r="AA326"/>
  <c r="E333" i="53" s="1"/>
  <c r="AB326" i="1"/>
  <c r="AE326" s="1"/>
  <c r="AM326" s="1"/>
  <c r="V327"/>
  <c r="X327"/>
  <c r="D331" i="53"/>
  <c r="L31" i="55" s="1"/>
  <c r="BW31"/>
  <c r="Y326" i="1"/>
  <c r="CR30" i="55"/>
  <c r="I331" i="53"/>
  <c r="AJ332" i="1"/>
  <c r="Z332"/>
  <c r="BC332"/>
  <c r="AI332"/>
  <c r="AH332"/>
  <c r="AL332"/>
  <c r="BK312" i="38"/>
  <c r="AS312"/>
  <c r="AU312" s="1"/>
  <c r="AV312" s="1"/>
  <c r="BA312" s="1"/>
  <c r="BB312" s="1"/>
  <c r="BH312" s="1"/>
  <c r="BJ312" s="1"/>
  <c r="P312" s="1"/>
  <c r="S330" i="1"/>
  <c r="AF324"/>
  <c r="AD325"/>
  <c r="V320" i="48"/>
  <c r="F320"/>
  <c r="Y320" s="1"/>
  <c r="K333" i="1"/>
  <c r="N333" s="1"/>
  <c r="C333"/>
  <c r="D333" s="1"/>
  <c r="B316" i="38"/>
  <c r="A340" i="53"/>
  <c r="B341" s="1"/>
  <c r="A317" i="26"/>
  <c r="B317" s="1"/>
  <c r="F335" i="52"/>
  <c r="E333" i="1"/>
  <c r="A333"/>
  <c r="L333"/>
  <c r="M332" s="1"/>
  <c r="B334"/>
  <c r="C321" i="48"/>
  <c r="E321"/>
  <c r="X321" s="1"/>
  <c r="B322"/>
  <c r="D321"/>
  <c r="W321" s="1"/>
  <c r="BK313" i="38"/>
  <c r="AS313"/>
  <c r="AU313" s="1"/>
  <c r="AV313" s="1"/>
  <c r="BA313" s="1"/>
  <c r="BB313" s="1"/>
  <c r="BH313" s="1"/>
  <c r="BJ313" s="1"/>
  <c r="P313" s="1"/>
  <c r="O313" s="1"/>
  <c r="AN314"/>
  <c r="AO314"/>
  <c r="AP314" s="1"/>
  <c r="AQ314" s="1"/>
  <c r="W331" i="1"/>
  <c r="R331"/>
  <c r="D315" i="38"/>
  <c r="F315"/>
  <c r="AM315" s="1"/>
  <c r="Z315"/>
  <c r="AA315" s="1"/>
  <c r="E315"/>
  <c r="P332" i="1"/>
  <c r="E334" i="52"/>
  <c r="AR314" i="38" l="1"/>
  <c r="BK314" s="1"/>
  <c r="BD329" i="1"/>
  <c r="BE329" s="1"/>
  <c r="T329" s="1"/>
  <c r="U329" s="1"/>
  <c r="BA330"/>
  <c r="V328"/>
  <c r="X328"/>
  <c r="AB327"/>
  <c r="AE327" s="1"/>
  <c r="AC327"/>
  <c r="AA327"/>
  <c r="E334" i="53" s="1"/>
  <c r="G333"/>
  <c r="BB33" i="55"/>
  <c r="BB35" s="1"/>
  <c r="D332" i="53"/>
  <c r="L32" i="55" s="1"/>
  <c r="BW32"/>
  <c r="E322" i="48"/>
  <c r="X322" s="1"/>
  <c r="D322"/>
  <c r="W322" s="1"/>
  <c r="B323"/>
  <c r="C322"/>
  <c r="E335" i="52"/>
  <c r="E316" i="38"/>
  <c r="Z316"/>
  <c r="AA316" s="1"/>
  <c r="D316"/>
  <c r="F316"/>
  <c r="AM316" s="1"/>
  <c r="CR31" i="55"/>
  <c r="I332" i="53"/>
  <c r="R332" i="1"/>
  <c r="W332"/>
  <c r="F336" i="52"/>
  <c r="L334" i="1"/>
  <c r="M333" s="1"/>
  <c r="B317" i="38"/>
  <c r="A341" i="53"/>
  <c r="B342" s="1"/>
  <c r="E334" i="1"/>
  <c r="A334"/>
  <c r="C334"/>
  <c r="D334" s="1"/>
  <c r="K334"/>
  <c r="N334" s="1"/>
  <c r="B335"/>
  <c r="A318" i="26"/>
  <c r="B318" s="1"/>
  <c r="AF325" i="1"/>
  <c r="AD326"/>
  <c r="O312" i="38"/>
  <c r="AS314"/>
  <c r="AU314" s="1"/>
  <c r="AV314" s="1"/>
  <c r="BA314" s="1"/>
  <c r="BB314" s="1"/>
  <c r="BH314" s="1"/>
  <c r="BJ314" s="1"/>
  <c r="P314" s="1"/>
  <c r="O314" s="1"/>
  <c r="V321" i="48"/>
  <c r="F321"/>
  <c r="Y321" s="1"/>
  <c r="P333" i="1"/>
  <c r="AO315" i="38"/>
  <c r="AP315" s="1"/>
  <c r="AQ315" s="1"/>
  <c r="AN315"/>
  <c r="S331" i="1"/>
  <c r="AI333"/>
  <c r="BC333"/>
  <c r="AH333"/>
  <c r="AJ333"/>
  <c r="AL333"/>
  <c r="Z333"/>
  <c r="AR315" i="38" l="1"/>
  <c r="BK315" s="1"/>
  <c r="AM327" i="1"/>
  <c r="AK327"/>
  <c r="BC3" i="55"/>
  <c r="G334" i="53"/>
  <c r="BD330" i="1"/>
  <c r="BE330" s="1"/>
  <c r="T330" s="1"/>
  <c r="U330" s="1"/>
  <c r="BA331"/>
  <c r="D333" i="53"/>
  <c r="L33" i="55" s="1"/>
  <c r="L35" s="1"/>
  <c r="BW33"/>
  <c r="BW35" s="1"/>
  <c r="AB328" i="1"/>
  <c r="AE328" s="1"/>
  <c r="AA328"/>
  <c r="E335" i="53" s="1"/>
  <c r="AC328" i="1"/>
  <c r="V329"/>
  <c r="X329"/>
  <c r="AS315" i="38"/>
  <c r="AU315" s="1"/>
  <c r="AV315" s="1"/>
  <c r="BA315" s="1"/>
  <c r="BB315" s="1"/>
  <c r="BH315" s="1"/>
  <c r="BJ315" s="1"/>
  <c r="P315" s="1"/>
  <c r="AF326" i="1"/>
  <c r="AD327"/>
  <c r="AJ334"/>
  <c r="BC334"/>
  <c r="AH334"/>
  <c r="AI334"/>
  <c r="AL334"/>
  <c r="Z334"/>
  <c r="AO316" i="38"/>
  <c r="AP316" s="1"/>
  <c r="AQ316" s="1"/>
  <c r="AN316"/>
  <c r="AR316" s="1"/>
  <c r="F322" i="48"/>
  <c r="Y322" s="1"/>
  <c r="V322"/>
  <c r="C335" i="1"/>
  <c r="D335" s="1"/>
  <c r="B318" i="38"/>
  <c r="B336" i="1"/>
  <c r="L335"/>
  <c r="M334" s="1"/>
  <c r="A342" i="53"/>
  <c r="B343" s="1"/>
  <c r="A335" i="1"/>
  <c r="F337" i="52"/>
  <c r="E335" i="1"/>
  <c r="A319" i="26"/>
  <c r="B319" s="1"/>
  <c r="K335" i="1"/>
  <c r="N335" s="1"/>
  <c r="E336" i="52"/>
  <c r="D323" i="48"/>
  <c r="W323" s="1"/>
  <c r="B324"/>
  <c r="C323"/>
  <c r="E323"/>
  <c r="X323" s="1"/>
  <c r="P334" i="1"/>
  <c r="CR32" i="55"/>
  <c r="I333" i="53"/>
  <c r="W333" i="1"/>
  <c r="R333"/>
  <c r="D317" i="38"/>
  <c r="E317"/>
  <c r="F317"/>
  <c r="AM317" s="1"/>
  <c r="Z317"/>
  <c r="AA317" s="1"/>
  <c r="S332" i="1"/>
  <c r="AM328" l="1"/>
  <c r="AK328"/>
  <c r="AB329"/>
  <c r="AE329" s="1"/>
  <c r="AA329"/>
  <c r="E336" i="53" s="1"/>
  <c r="AC329" i="1"/>
  <c r="V330"/>
  <c r="X330"/>
  <c r="BX3" i="55"/>
  <c r="D334" i="53"/>
  <c r="M3" i="55" s="1"/>
  <c r="G335" i="53"/>
  <c r="BC4" i="55"/>
  <c r="BD331" i="1"/>
  <c r="BE331" s="1"/>
  <c r="T331" s="1"/>
  <c r="U331" s="1"/>
  <c r="BA332"/>
  <c r="CR33" i="55"/>
  <c r="I334" i="53"/>
  <c r="W334" i="1"/>
  <c r="R334"/>
  <c r="P335"/>
  <c r="AH335"/>
  <c r="BC335"/>
  <c r="Z335"/>
  <c r="AI335"/>
  <c r="AL335"/>
  <c r="AJ335"/>
  <c r="D318" i="38"/>
  <c r="F318"/>
  <c r="AM318" s="1"/>
  <c r="Z318"/>
  <c r="AA318" s="1"/>
  <c r="E318"/>
  <c r="AO317"/>
  <c r="AP317" s="1"/>
  <c r="AQ317" s="1"/>
  <c r="AN317"/>
  <c r="AR317" s="1"/>
  <c r="BK316"/>
  <c r="AS316"/>
  <c r="AU316" s="1"/>
  <c r="AV316" s="1"/>
  <c r="BA316" s="1"/>
  <c r="BB316" s="1"/>
  <c r="BH316" s="1"/>
  <c r="BJ316" s="1"/>
  <c r="P316" s="1"/>
  <c r="S333" i="1"/>
  <c r="V323" i="48"/>
  <c r="F323"/>
  <c r="Y323" s="1"/>
  <c r="E337" i="52"/>
  <c r="AF327" i="1"/>
  <c r="AD328"/>
  <c r="E324" i="48"/>
  <c r="X324" s="1"/>
  <c r="B325"/>
  <c r="C324"/>
  <c r="D324"/>
  <c r="W324" s="1"/>
  <c r="A320" i="26"/>
  <c r="B320" s="1"/>
  <c r="E336" i="1"/>
  <c r="A336"/>
  <c r="B319" i="38"/>
  <c r="C336" i="1"/>
  <c r="D336" s="1"/>
  <c r="L336"/>
  <c r="M335" s="1"/>
  <c r="B337"/>
  <c r="F338" i="52"/>
  <c r="A343" i="53"/>
  <c r="B344" s="1"/>
  <c r="K336" i="1"/>
  <c r="N336" s="1"/>
  <c r="O315" i="38"/>
  <c r="AM329" i="1" l="1"/>
  <c r="AK329"/>
  <c r="BD332"/>
  <c r="BE332" s="1"/>
  <c r="T332" s="1"/>
  <c r="U332" s="1"/>
  <c r="BA333"/>
  <c r="V331"/>
  <c r="X331"/>
  <c r="G336" i="53"/>
  <c r="BC5" i="55"/>
  <c r="BX4"/>
  <c r="D335" i="53"/>
  <c r="M4" i="55" s="1"/>
  <c r="AB330" i="1"/>
  <c r="AE330" s="1"/>
  <c r="AC330"/>
  <c r="AA330"/>
  <c r="E337" i="53" s="1"/>
  <c r="Z319" i="38"/>
  <c r="AA319" s="1"/>
  <c r="E319"/>
  <c r="F319"/>
  <c r="AM319" s="1"/>
  <c r="D319"/>
  <c r="CS3" i="55"/>
  <c r="I335" i="53"/>
  <c r="E337" i="1"/>
  <c r="K337"/>
  <c r="N337" s="1"/>
  <c r="A321" i="26"/>
  <c r="B321" s="1"/>
  <c r="A337" i="1"/>
  <c r="B338"/>
  <c r="F339" i="52"/>
  <c r="C337" i="1"/>
  <c r="D337" s="1"/>
  <c r="A344" i="53"/>
  <c r="B345" s="1"/>
  <c r="L337" i="1"/>
  <c r="M336" s="1"/>
  <c r="B320" i="38"/>
  <c r="AH336" i="1"/>
  <c r="AJ336"/>
  <c r="Z336"/>
  <c r="AL336"/>
  <c r="BC336"/>
  <c r="AI336"/>
  <c r="BK317" i="38"/>
  <c r="AS317"/>
  <c r="AU317" s="1"/>
  <c r="AV317" s="1"/>
  <c r="BA317" s="1"/>
  <c r="BB317" s="1"/>
  <c r="BH317" s="1"/>
  <c r="BJ317" s="1"/>
  <c r="P317" s="1"/>
  <c r="W335" i="1"/>
  <c r="R335"/>
  <c r="P336"/>
  <c r="E338" i="52"/>
  <c r="V324" i="48"/>
  <c r="F324"/>
  <c r="Y324" s="1"/>
  <c r="C325"/>
  <c r="E325"/>
  <c r="X325" s="1"/>
  <c r="D325"/>
  <c r="W325" s="1"/>
  <c r="B326"/>
  <c r="AF328" i="1"/>
  <c r="AD329"/>
  <c r="O316" i="38"/>
  <c r="AN318"/>
  <c r="AO318"/>
  <c r="AP318" s="1"/>
  <c r="AQ318" s="1"/>
  <c r="S334" i="1"/>
  <c r="AM330" l="1"/>
  <c r="AK330"/>
  <c r="BC6" i="55"/>
  <c r="G337" i="53"/>
  <c r="BD333" i="1"/>
  <c r="BE333" s="1"/>
  <c r="T333" s="1"/>
  <c r="U333" s="1"/>
  <c r="BA334"/>
  <c r="BX5" i="55"/>
  <c r="D336" i="53"/>
  <c r="M5" i="55" s="1"/>
  <c r="V332" i="1"/>
  <c r="X332"/>
  <c r="AA331"/>
  <c r="E338" i="53" s="1"/>
  <c r="AB331" i="1"/>
  <c r="AE331" s="1"/>
  <c r="AC331"/>
  <c r="AR318" i="38"/>
  <c r="V325" i="48"/>
  <c r="F325"/>
  <c r="Y325" s="1"/>
  <c r="B339" i="1"/>
  <c r="A322" i="26"/>
  <c r="B322" s="1"/>
  <c r="A345" i="53"/>
  <c r="B346" s="1"/>
  <c r="A338" i="1"/>
  <c r="F340" i="52"/>
  <c r="K338" i="1"/>
  <c r="N338" s="1"/>
  <c r="C338"/>
  <c r="D338" s="1"/>
  <c r="E338"/>
  <c r="B321" i="38"/>
  <c r="L338" i="1"/>
  <c r="M337" s="1"/>
  <c r="E339" i="52"/>
  <c r="CS4" i="55"/>
  <c r="I336" i="53"/>
  <c r="D326" i="48"/>
  <c r="W326" s="1"/>
  <c r="B327"/>
  <c r="C326"/>
  <c r="E326"/>
  <c r="X326" s="1"/>
  <c r="W336" i="1"/>
  <c r="R336"/>
  <c r="O317" i="38"/>
  <c r="AH337" i="1"/>
  <c r="AI337"/>
  <c r="AJ337"/>
  <c r="BC337"/>
  <c r="Z337"/>
  <c r="AL337"/>
  <c r="AF329"/>
  <c r="AD330"/>
  <c r="S335"/>
  <c r="AN319" i="38"/>
  <c r="AR319" s="1"/>
  <c r="AO319"/>
  <c r="AP319" s="1"/>
  <c r="AQ319" s="1"/>
  <c r="F320"/>
  <c r="AM320" s="1"/>
  <c r="Z320"/>
  <c r="AA320" s="1"/>
  <c r="D320"/>
  <c r="E320"/>
  <c r="P337" i="1"/>
  <c r="AM331" l="1"/>
  <c r="AK331"/>
  <c r="V333"/>
  <c r="X333"/>
  <c r="D337" i="53"/>
  <c r="M6" i="55" s="1"/>
  <c r="BX6"/>
  <c r="BC7"/>
  <c r="G338" i="53"/>
  <c r="AB332" i="1"/>
  <c r="AE332" s="1"/>
  <c r="AC332"/>
  <c r="AA332"/>
  <c r="E339" i="53" s="1"/>
  <c r="BD334" i="1"/>
  <c r="BE334" s="1"/>
  <c r="T334" s="1"/>
  <c r="U334" s="1"/>
  <c r="BA335"/>
  <c r="W337"/>
  <c r="R337"/>
  <c r="F321" i="38"/>
  <c r="AM321" s="1"/>
  <c r="D321"/>
  <c r="E321"/>
  <c r="Z321"/>
  <c r="AA321" s="1"/>
  <c r="L339" i="1"/>
  <c r="M338" s="1"/>
  <c r="K339"/>
  <c r="N339" s="1"/>
  <c r="B340"/>
  <c r="C339"/>
  <c r="D339" s="1"/>
  <c r="F341" i="52"/>
  <c r="A346" i="53"/>
  <c r="B347" s="1"/>
  <c r="A323" i="26"/>
  <c r="B323" s="1"/>
  <c r="E339" i="1"/>
  <c r="A339"/>
  <c r="B322" i="38"/>
  <c r="AS318"/>
  <c r="AU318" s="1"/>
  <c r="AV318" s="1"/>
  <c r="BA318" s="1"/>
  <c r="BB318" s="1"/>
  <c r="BH318" s="1"/>
  <c r="BJ318" s="1"/>
  <c r="P318" s="1"/>
  <c r="BK318"/>
  <c r="AF330" i="1"/>
  <c r="AD331"/>
  <c r="V326" i="48"/>
  <c r="F326"/>
  <c r="Y326" s="1"/>
  <c r="E340" i="52"/>
  <c r="AJ338" i="1"/>
  <c r="Z338"/>
  <c r="AI338"/>
  <c r="AH338"/>
  <c r="BC338"/>
  <c r="AL338"/>
  <c r="S336"/>
  <c r="C327" i="48"/>
  <c r="D327"/>
  <c r="W327" s="1"/>
  <c r="B328"/>
  <c r="E327"/>
  <c r="X327" s="1"/>
  <c r="CS5" i="55"/>
  <c r="I337" i="53"/>
  <c r="AN320" i="38"/>
  <c r="AR320" s="1"/>
  <c r="AO320"/>
  <c r="AP320" s="1"/>
  <c r="AQ320" s="1"/>
  <c r="BK319"/>
  <c r="AS319"/>
  <c r="AU319" s="1"/>
  <c r="AV319" s="1"/>
  <c r="BA319" s="1"/>
  <c r="BB319" s="1"/>
  <c r="BH319" s="1"/>
  <c r="BJ319" s="1"/>
  <c r="P319" s="1"/>
  <c r="O319" s="1"/>
  <c r="P338" i="1"/>
  <c r="AM332" l="1"/>
  <c r="AK332"/>
  <c r="BD335"/>
  <c r="BE335" s="1"/>
  <c r="T335" s="1"/>
  <c r="U335" s="1"/>
  <c r="BA336"/>
  <c r="V334"/>
  <c r="X334"/>
  <c r="BC8" i="55"/>
  <c r="G339" i="53"/>
  <c r="BX7" i="55"/>
  <c r="D338" i="53"/>
  <c r="M7" i="55" s="1"/>
  <c r="AA333" i="1"/>
  <c r="E340" i="53" s="1"/>
  <c r="AB333" i="1"/>
  <c r="AE333" s="1"/>
  <c r="AC333"/>
  <c r="V327" i="48"/>
  <c r="F327"/>
  <c r="Y327" s="1"/>
  <c r="E341" i="52"/>
  <c r="W338" i="1"/>
  <c r="R338"/>
  <c r="O318" i="38"/>
  <c r="C340" i="1"/>
  <c r="D340" s="1"/>
  <c r="K340"/>
  <c r="N340" s="1"/>
  <c r="F342" i="52"/>
  <c r="L340" i="1"/>
  <c r="M339" s="1"/>
  <c r="B323" i="38"/>
  <c r="A324" i="26"/>
  <c r="B324" s="1"/>
  <c r="E340" i="1"/>
  <c r="A340"/>
  <c r="B341"/>
  <c r="A347" i="53"/>
  <c r="B348" s="1"/>
  <c r="CS6" i="55"/>
  <c r="I338" i="53"/>
  <c r="C328" i="48"/>
  <c r="E328"/>
  <c r="X328" s="1"/>
  <c r="B329"/>
  <c r="D328"/>
  <c r="W328" s="1"/>
  <c r="AF331" i="1"/>
  <c r="AD332"/>
  <c r="E322" i="38"/>
  <c r="F322"/>
  <c r="AM322" s="1"/>
  <c r="D322"/>
  <c r="Z322"/>
  <c r="AA322" s="1"/>
  <c r="P339" i="1"/>
  <c r="S337"/>
  <c r="BK320" i="38"/>
  <c r="AS320"/>
  <c r="AU320" s="1"/>
  <c r="AV320" s="1"/>
  <c r="BA320" s="1"/>
  <c r="BB320" s="1"/>
  <c r="BH320" s="1"/>
  <c r="BJ320" s="1"/>
  <c r="P320" s="1"/>
  <c r="O320" s="1"/>
  <c r="AI339" i="1"/>
  <c r="AL339"/>
  <c r="Z339"/>
  <c r="AH339"/>
  <c r="BC339"/>
  <c r="AJ339"/>
  <c r="AO321" i="38"/>
  <c r="AP321" s="1"/>
  <c r="AQ321" s="1"/>
  <c r="AN321"/>
  <c r="AR321" l="1"/>
  <c r="AS321" s="1"/>
  <c r="AU321" s="1"/>
  <c r="AV321" s="1"/>
  <c r="BA321" s="1"/>
  <c r="BB321" s="1"/>
  <c r="BH321" s="1"/>
  <c r="BJ321" s="1"/>
  <c r="P321" s="1"/>
  <c r="O321" s="1"/>
  <c r="AM333" i="1"/>
  <c r="AK333"/>
  <c r="D339" i="53"/>
  <c r="M8" i="55" s="1"/>
  <c r="BX8"/>
  <c r="G340" i="53"/>
  <c r="BC9" i="55"/>
  <c r="BD336" i="1"/>
  <c r="BE336" s="1"/>
  <c r="T336" s="1"/>
  <c r="U336" s="1"/>
  <c r="BA337"/>
  <c r="AA334"/>
  <c r="E341" i="53" s="1"/>
  <c r="AC334" i="1"/>
  <c r="AB334"/>
  <c r="AE334" s="1"/>
  <c r="V335"/>
  <c r="X335"/>
  <c r="R339"/>
  <c r="W339"/>
  <c r="CS7" i="55"/>
  <c r="I339" i="53"/>
  <c r="BC340" i="1"/>
  <c r="Z340"/>
  <c r="AI340"/>
  <c r="AH340"/>
  <c r="AJ340"/>
  <c r="AL340"/>
  <c r="C329" i="48"/>
  <c r="E329"/>
  <c r="X329" s="1"/>
  <c r="D329"/>
  <c r="W329" s="1"/>
  <c r="B330"/>
  <c r="E342" i="52"/>
  <c r="S338" i="1"/>
  <c r="P340"/>
  <c r="AO322" i="38"/>
  <c r="AP322" s="1"/>
  <c r="AQ322" s="1"/>
  <c r="AN322"/>
  <c r="AF332" i="1"/>
  <c r="AD333"/>
  <c r="V328" i="48"/>
  <c r="F328"/>
  <c r="Y328" s="1"/>
  <c r="B342" i="1"/>
  <c r="A325" i="26"/>
  <c r="B325" s="1"/>
  <c r="L341" i="1"/>
  <c r="M340" s="1"/>
  <c r="A341"/>
  <c r="C341"/>
  <c r="D341" s="1"/>
  <c r="F343" i="52"/>
  <c r="K341" i="1"/>
  <c r="N341" s="1"/>
  <c r="B324" i="38"/>
  <c r="A348" i="53"/>
  <c r="B349" s="1"/>
  <c r="E341" i="1"/>
  <c r="E323" i="38"/>
  <c r="D323"/>
  <c r="Z323"/>
  <c r="AA323" s="1"/>
  <c r="F323"/>
  <c r="AM323" s="1"/>
  <c r="AR322" l="1"/>
  <c r="BK321"/>
  <c r="AM334" i="1"/>
  <c r="AK334"/>
  <c r="AB335"/>
  <c r="AE335" s="1"/>
  <c r="AA335"/>
  <c r="E342" i="53" s="1"/>
  <c r="AC335" i="1"/>
  <c r="BC10" i="55"/>
  <c r="G341" i="53"/>
  <c r="BX9" i="55"/>
  <c r="D340" i="53"/>
  <c r="M9" i="55" s="1"/>
  <c r="BD337" i="1"/>
  <c r="BE337" s="1"/>
  <c r="T337" s="1"/>
  <c r="U337" s="1"/>
  <c r="BA338"/>
  <c r="V336"/>
  <c r="X336"/>
  <c r="F344" i="52"/>
  <c r="A342" i="1"/>
  <c r="E342"/>
  <c r="L342"/>
  <c r="M341" s="1"/>
  <c r="A326" i="26"/>
  <c r="B326" s="1"/>
  <c r="K342" i="1"/>
  <c r="N342" s="1"/>
  <c r="B343"/>
  <c r="C342"/>
  <c r="D342" s="1"/>
  <c r="A349" i="53"/>
  <c r="B350" s="1"/>
  <c r="B325" i="38"/>
  <c r="AF333" i="1"/>
  <c r="AD334"/>
  <c r="W340"/>
  <c r="R340"/>
  <c r="F329" i="48"/>
  <c r="Y329" s="1"/>
  <c r="V329"/>
  <c r="E324" i="38"/>
  <c r="D324"/>
  <c r="Z324"/>
  <c r="AA324" s="1"/>
  <c r="F324"/>
  <c r="AM324" s="1"/>
  <c r="AL341" i="1"/>
  <c r="AI341"/>
  <c r="Z341"/>
  <c r="BC341"/>
  <c r="AJ341"/>
  <c r="AH341"/>
  <c r="B331" i="48"/>
  <c r="E330"/>
  <c r="X330" s="1"/>
  <c r="D330"/>
  <c r="W330" s="1"/>
  <c r="C330"/>
  <c r="P341" i="1"/>
  <c r="AS322" i="38"/>
  <c r="AU322" s="1"/>
  <c r="AV322" s="1"/>
  <c r="BA322" s="1"/>
  <c r="BB322" s="1"/>
  <c r="BH322" s="1"/>
  <c r="BJ322" s="1"/>
  <c r="P322" s="1"/>
  <c r="BK322"/>
  <c r="AO323"/>
  <c r="AP323" s="1"/>
  <c r="AQ323" s="1"/>
  <c r="AN323"/>
  <c r="AR323" s="1"/>
  <c r="E343" i="52"/>
  <c r="CS8" i="55"/>
  <c r="I340" i="53"/>
  <c r="S339" i="1"/>
  <c r="AM335" l="1"/>
  <c r="AK335"/>
  <c r="AB336"/>
  <c r="AE336" s="1"/>
  <c r="AC336"/>
  <c r="AA336"/>
  <c r="E343" i="53" s="1"/>
  <c r="BD338" i="1"/>
  <c r="BE338" s="1"/>
  <c r="T338" s="1"/>
  <c r="U338" s="1"/>
  <c r="BA339"/>
  <c r="BC11" i="55"/>
  <c r="G342" i="53"/>
  <c r="V337" i="1"/>
  <c r="X337"/>
  <c r="BX10" i="55"/>
  <c r="D341" i="53"/>
  <c r="M10" i="55" s="1"/>
  <c r="R341" i="1"/>
  <c r="W341"/>
  <c r="AN324" i="38"/>
  <c r="AO324"/>
  <c r="AP324" s="1"/>
  <c r="AQ324" s="1"/>
  <c r="F325"/>
  <c r="AM325" s="1"/>
  <c r="Z325"/>
  <c r="AA325" s="1"/>
  <c r="D325"/>
  <c r="E325"/>
  <c r="P342" i="1"/>
  <c r="AL342"/>
  <c r="BC342"/>
  <c r="AJ342"/>
  <c r="AH342"/>
  <c r="AI342"/>
  <c r="Z342"/>
  <c r="BK323" i="38"/>
  <c r="AS323"/>
  <c r="AU323" s="1"/>
  <c r="AV323" s="1"/>
  <c r="BA323" s="1"/>
  <c r="BB323" s="1"/>
  <c r="BH323" s="1"/>
  <c r="BJ323" s="1"/>
  <c r="P323" s="1"/>
  <c r="O323" s="1"/>
  <c r="O322"/>
  <c r="C331" i="48"/>
  <c r="E331"/>
  <c r="X331" s="1"/>
  <c r="D331"/>
  <c r="W331" s="1"/>
  <c r="B332"/>
  <c r="F330"/>
  <c r="Y330" s="1"/>
  <c r="V330"/>
  <c r="AF334" i="1"/>
  <c r="AD335"/>
  <c r="CS9" i="55"/>
  <c r="I341" i="53"/>
  <c r="S340" i="1"/>
  <c r="C343"/>
  <c r="D343" s="1"/>
  <c r="L343"/>
  <c r="M342" s="1"/>
  <c r="E343"/>
  <c r="K343"/>
  <c r="N343" s="1"/>
  <c r="A343"/>
  <c r="F345" i="52"/>
  <c r="A350" i="53"/>
  <c r="B351" s="1"/>
  <c r="A327" i="26"/>
  <c r="B327" s="1"/>
  <c r="B326" i="38"/>
  <c r="B344" i="1"/>
  <c r="E344" i="52"/>
  <c r="AM336" i="1" l="1"/>
  <c r="AK336"/>
  <c r="BX11" i="55"/>
  <c r="D342" i="53"/>
  <c r="M11" i="55" s="1"/>
  <c r="BC12"/>
  <c r="G343" i="53"/>
  <c r="AC337" i="1"/>
  <c r="AB337"/>
  <c r="AE337" s="1"/>
  <c r="AA337"/>
  <c r="E344" i="53" s="1"/>
  <c r="BD339" i="1"/>
  <c r="BE339" s="1"/>
  <c r="T339" s="1"/>
  <c r="U339" s="1"/>
  <c r="BA340"/>
  <c r="V338"/>
  <c r="X338"/>
  <c r="E345" i="52"/>
  <c r="F326" i="38"/>
  <c r="AM326" s="1"/>
  <c r="E326"/>
  <c r="D326"/>
  <c r="Z326"/>
  <c r="AA326" s="1"/>
  <c r="AL343" i="1"/>
  <c r="AI343"/>
  <c r="AJ343"/>
  <c r="Z343"/>
  <c r="BC343"/>
  <c r="AH343"/>
  <c r="P343"/>
  <c r="F331" i="48"/>
  <c r="Y331" s="1"/>
  <c r="V331"/>
  <c r="AO325" i="38"/>
  <c r="AP325" s="1"/>
  <c r="AQ325" s="1"/>
  <c r="AN325"/>
  <c r="AR324"/>
  <c r="CS10" i="55"/>
  <c r="I342" i="53"/>
  <c r="AF335" i="1"/>
  <c r="AD336"/>
  <c r="D332" i="48"/>
  <c r="W332" s="1"/>
  <c r="C332"/>
  <c r="E332"/>
  <c r="X332" s="1"/>
  <c r="B333"/>
  <c r="S341" i="1"/>
  <c r="W342"/>
  <c r="R342"/>
  <c r="F346" i="52"/>
  <c r="B345" i="1"/>
  <c r="B327" i="38"/>
  <c r="A328" i="26"/>
  <c r="B328" s="1"/>
  <c r="L344" i="1"/>
  <c r="M343" s="1"/>
  <c r="E344"/>
  <c r="A344"/>
  <c r="K344"/>
  <c r="N344" s="1"/>
  <c r="A351" i="53"/>
  <c r="B352" s="1"/>
  <c r="C344" i="1"/>
  <c r="D344" s="1"/>
  <c r="AM337" l="1"/>
  <c r="AK337"/>
  <c r="AC338"/>
  <c r="AB338"/>
  <c r="AE338" s="1"/>
  <c r="AA338"/>
  <c r="E345" i="53" s="1"/>
  <c r="BC13" i="55"/>
  <c r="G344" i="53"/>
  <c r="D343"/>
  <c r="M12" i="55" s="1"/>
  <c r="BX12"/>
  <c r="BD340" i="1"/>
  <c r="BE340" s="1"/>
  <c r="T340" s="1"/>
  <c r="U340" s="1"/>
  <c r="BA341"/>
  <c r="V339"/>
  <c r="X339"/>
  <c r="AI344"/>
  <c r="AH344"/>
  <c r="AL344"/>
  <c r="AJ344"/>
  <c r="Z344"/>
  <c r="BC344"/>
  <c r="E327" i="38"/>
  <c r="F327"/>
  <c r="AM327" s="1"/>
  <c r="D327"/>
  <c r="Z327"/>
  <c r="AA327" s="1"/>
  <c r="V332" i="48"/>
  <c r="F332"/>
  <c r="Y332" s="1"/>
  <c r="AF336" i="1"/>
  <c r="AD337"/>
  <c r="E346" i="52"/>
  <c r="F347"/>
  <c r="A329" i="26"/>
  <c r="B329" s="1"/>
  <c r="K345" i="1"/>
  <c r="N345" s="1"/>
  <c r="A352" i="53"/>
  <c r="B353" s="1"/>
  <c r="B328" i="38"/>
  <c r="A345" i="1"/>
  <c r="C345"/>
  <c r="D345" s="1"/>
  <c r="E345"/>
  <c r="L345"/>
  <c r="M344" s="1"/>
  <c r="B346"/>
  <c r="S342"/>
  <c r="W343"/>
  <c r="R343"/>
  <c r="B334" i="48"/>
  <c r="D333"/>
  <c r="W333" s="1"/>
  <c r="C333"/>
  <c r="E333"/>
  <c r="X333" s="1"/>
  <c r="CS11" i="55"/>
  <c r="I343" i="53"/>
  <c r="AS324" i="38"/>
  <c r="AU324" s="1"/>
  <c r="AV324" s="1"/>
  <c r="BA324" s="1"/>
  <c r="BB324" s="1"/>
  <c r="BH324" s="1"/>
  <c r="BJ324" s="1"/>
  <c r="P324" s="1"/>
  <c r="BK324"/>
  <c r="AR325"/>
  <c r="P344" i="1"/>
  <c r="AN326" i="38"/>
  <c r="AR326" s="1"/>
  <c r="AO326"/>
  <c r="AP326" s="1"/>
  <c r="AQ326" s="1"/>
  <c r="AM338" i="1" l="1"/>
  <c r="AK338"/>
  <c r="AB339"/>
  <c r="AE339" s="1"/>
  <c r="AA339"/>
  <c r="E346" i="53" s="1"/>
  <c r="AC339" i="1"/>
  <c r="BC14" i="55"/>
  <c r="G345" i="53"/>
  <c r="BD341" i="1"/>
  <c r="BE341" s="1"/>
  <c r="T341" s="1"/>
  <c r="U341" s="1"/>
  <c r="BA342"/>
  <c r="V340"/>
  <c r="X340"/>
  <c r="D344" i="53"/>
  <c r="M13" i="55" s="1"/>
  <c r="BX13"/>
  <c r="BK326" i="38"/>
  <c r="AS326"/>
  <c r="AU326" s="1"/>
  <c r="AV326" s="1"/>
  <c r="BA326" s="1"/>
  <c r="BB326" s="1"/>
  <c r="BH326" s="1"/>
  <c r="BJ326" s="1"/>
  <c r="P326" s="1"/>
  <c r="O326" s="1"/>
  <c r="CS12" i="55"/>
  <c r="I344" i="53"/>
  <c r="P345" i="1"/>
  <c r="AN327" i="38"/>
  <c r="AO327"/>
  <c r="AP327" s="1"/>
  <c r="AQ327" s="1"/>
  <c r="O324"/>
  <c r="V333" i="48"/>
  <c r="F333"/>
  <c r="Y333" s="1"/>
  <c r="E346" i="1"/>
  <c r="K346"/>
  <c r="N346" s="1"/>
  <c r="A353" i="53"/>
  <c r="B354" s="1"/>
  <c r="A346" i="1"/>
  <c r="C346"/>
  <c r="D346" s="1"/>
  <c r="F348" i="52"/>
  <c r="B347" i="1"/>
  <c r="L346"/>
  <c r="M345" s="1"/>
  <c r="A330" i="26"/>
  <c r="B330" s="1"/>
  <c r="B329" i="38"/>
  <c r="AI345" i="1"/>
  <c r="AJ345"/>
  <c r="AH345"/>
  <c r="BC345"/>
  <c r="AL345"/>
  <c r="Z345"/>
  <c r="W344"/>
  <c r="R344"/>
  <c r="S343"/>
  <c r="E328" i="38"/>
  <c r="Z328"/>
  <c r="AA328" s="1"/>
  <c r="D328"/>
  <c r="F328"/>
  <c r="AM328" s="1"/>
  <c r="AF337" i="1"/>
  <c r="AD338"/>
  <c r="AS325" i="38"/>
  <c r="AU325" s="1"/>
  <c r="AV325" s="1"/>
  <c r="BA325" s="1"/>
  <c r="BB325" s="1"/>
  <c r="BH325" s="1"/>
  <c r="BJ325" s="1"/>
  <c r="P325" s="1"/>
  <c r="O325" s="1"/>
  <c r="BK325"/>
  <c r="E334" i="48"/>
  <c r="X334" s="1"/>
  <c r="B335"/>
  <c r="D334"/>
  <c r="W334" s="1"/>
  <c r="C334"/>
  <c r="E347" i="52"/>
  <c r="AM339" i="1" l="1"/>
  <c r="AK339"/>
  <c r="BD342"/>
  <c r="BE342" s="1"/>
  <c r="T342" s="1"/>
  <c r="U342" s="1"/>
  <c r="BA343"/>
  <c r="V341"/>
  <c r="X341"/>
  <c r="AB340"/>
  <c r="AE340" s="1"/>
  <c r="AA340"/>
  <c r="E347" i="53" s="1"/>
  <c r="AC340" i="1"/>
  <c r="D345" i="53"/>
  <c r="M14" i="55" s="1"/>
  <c r="BX14"/>
  <c r="BC15"/>
  <c r="G346" i="53"/>
  <c r="AO328" i="38"/>
  <c r="AP328" s="1"/>
  <c r="AQ328" s="1"/>
  <c r="AN328"/>
  <c r="AI346" i="1"/>
  <c r="AH346"/>
  <c r="AJ346"/>
  <c r="Z346"/>
  <c r="AL346"/>
  <c r="BC346"/>
  <c r="W345"/>
  <c r="R345"/>
  <c r="D335" i="48"/>
  <c r="W335" s="1"/>
  <c r="B336"/>
  <c r="C335"/>
  <c r="E335"/>
  <c r="X335" s="1"/>
  <c r="E347" i="1"/>
  <c r="A331" i="26"/>
  <c r="B331" s="1"/>
  <c r="A354" i="53"/>
  <c r="B355" s="1"/>
  <c r="K347" i="1"/>
  <c r="N347" s="1"/>
  <c r="A347"/>
  <c r="C347"/>
  <c r="D347" s="1"/>
  <c r="L347"/>
  <c r="M346" s="1"/>
  <c r="F349" i="52"/>
  <c r="B348" i="1"/>
  <c r="B330" i="38"/>
  <c r="S344" i="1"/>
  <c r="E329" i="38"/>
  <c r="F329"/>
  <c r="AM329" s="1"/>
  <c r="D329"/>
  <c r="Z329"/>
  <c r="AA329" s="1"/>
  <c r="P346" i="1"/>
  <c r="AR327" i="38"/>
  <c r="CS13" i="55"/>
  <c r="I345" i="53"/>
  <c r="V334" i="48"/>
  <c r="F334"/>
  <c r="Y334" s="1"/>
  <c r="AF338" i="1"/>
  <c r="AD339"/>
  <c r="E348" i="52"/>
  <c r="AR328" i="38" l="1"/>
  <c r="BK328" s="1"/>
  <c r="AM340" i="1"/>
  <c r="AK340"/>
  <c r="D346" i="53"/>
  <c r="M15" i="55" s="1"/>
  <c r="BX15"/>
  <c r="AC341" i="1"/>
  <c r="AA341"/>
  <c r="E348" i="53" s="1"/>
  <c r="AB341" i="1"/>
  <c r="AE341" s="1"/>
  <c r="BC16" i="55"/>
  <c r="G347" i="53"/>
  <c r="BD343" i="1"/>
  <c r="BE343" s="1"/>
  <c r="T343" s="1"/>
  <c r="U343" s="1"/>
  <c r="BA344"/>
  <c r="V342"/>
  <c r="X342"/>
  <c r="AF339"/>
  <c r="AD340"/>
  <c r="AN329" i="38"/>
  <c r="AR329" s="1"/>
  <c r="AO329"/>
  <c r="AP329" s="1"/>
  <c r="AQ329" s="1"/>
  <c r="L348" i="1"/>
  <c r="M347" s="1"/>
  <c r="K348"/>
  <c r="N348" s="1"/>
  <c r="B331" i="38"/>
  <c r="B349" i="1"/>
  <c r="F350" i="52"/>
  <c r="C348" i="1"/>
  <c r="D348" s="1"/>
  <c r="A348"/>
  <c r="A355" i="53"/>
  <c r="B356" s="1"/>
  <c r="A332" i="26"/>
  <c r="B332" s="1"/>
  <c r="E348" i="1"/>
  <c r="AH347"/>
  <c r="AJ347"/>
  <c r="AI347"/>
  <c r="Z347"/>
  <c r="AL347"/>
  <c r="BC347"/>
  <c r="E349" i="52"/>
  <c r="D336" i="48"/>
  <c r="W336" s="1"/>
  <c r="C336"/>
  <c r="E336"/>
  <c r="X336" s="1"/>
  <c r="B337"/>
  <c r="AS328" i="38"/>
  <c r="AU328" s="1"/>
  <c r="AV328" s="1"/>
  <c r="BA328" s="1"/>
  <c r="BB328" s="1"/>
  <c r="BH328" s="1"/>
  <c r="BJ328" s="1"/>
  <c r="P328" s="1"/>
  <c r="O328" s="1"/>
  <c r="BK327"/>
  <c r="AS327"/>
  <c r="AU327" s="1"/>
  <c r="AV327" s="1"/>
  <c r="BA327" s="1"/>
  <c r="BB327" s="1"/>
  <c r="BH327" s="1"/>
  <c r="BJ327" s="1"/>
  <c r="P327" s="1"/>
  <c r="P347" i="1"/>
  <c r="CS14" i="55"/>
  <c r="I346" i="53"/>
  <c r="W346" i="1"/>
  <c r="R346"/>
  <c r="E330" i="38"/>
  <c r="F330"/>
  <c r="AM330" s="1"/>
  <c r="D330"/>
  <c r="Z330"/>
  <c r="AA330" s="1"/>
  <c r="V335" i="48"/>
  <c r="F335"/>
  <c r="Y335" s="1"/>
  <c r="S345" i="1"/>
  <c r="AM341" l="1"/>
  <c r="AK341"/>
  <c r="AB342"/>
  <c r="AE342" s="1"/>
  <c r="AA342"/>
  <c r="E349" i="53" s="1"/>
  <c r="AC342" i="1"/>
  <c r="BX16" i="55"/>
  <c r="D347" i="53"/>
  <c r="M16" i="55" s="1"/>
  <c r="G348" i="53"/>
  <c r="BC17" i="55"/>
  <c r="BD344" i="1"/>
  <c r="BE344" s="1"/>
  <c r="T344" s="1"/>
  <c r="U344" s="1"/>
  <c r="BA345"/>
  <c r="V343"/>
  <c r="X343"/>
  <c r="CS15" i="55"/>
  <c r="I347" i="53"/>
  <c r="W347" i="1"/>
  <c r="R347"/>
  <c r="O327" i="38"/>
  <c r="B338" i="48"/>
  <c r="E337"/>
  <c r="X337" s="1"/>
  <c r="C337"/>
  <c r="D337"/>
  <c r="W337" s="1"/>
  <c r="S346" i="1"/>
  <c r="F351" i="52"/>
  <c r="A349" i="1"/>
  <c r="E349"/>
  <c r="K349"/>
  <c r="N349" s="1"/>
  <c r="A333" i="26"/>
  <c r="B333" s="1"/>
  <c r="A356" i="53"/>
  <c r="B357" s="1"/>
  <c r="L349" i="1"/>
  <c r="M348" s="1"/>
  <c r="C349"/>
  <c r="D349" s="1"/>
  <c r="B332" i="38"/>
  <c r="B350" i="1"/>
  <c r="AN330" i="38"/>
  <c r="AO330"/>
  <c r="AP330" s="1"/>
  <c r="AQ330" s="1"/>
  <c r="V336" i="48"/>
  <c r="F336"/>
  <c r="Y336" s="1"/>
  <c r="AL348" i="1"/>
  <c r="AI348"/>
  <c r="AJ348"/>
  <c r="AH348"/>
  <c r="BC348"/>
  <c r="Z348"/>
  <c r="E331" i="38"/>
  <c r="F331"/>
  <c r="AM331" s="1"/>
  <c r="D331"/>
  <c r="Z331"/>
  <c r="AA331" s="1"/>
  <c r="AF340" i="1"/>
  <c r="AD341"/>
  <c r="E350" i="52"/>
  <c r="P348" i="1"/>
  <c r="AS329" i="38"/>
  <c r="AU329" s="1"/>
  <c r="AV329" s="1"/>
  <c r="BA329" s="1"/>
  <c r="BB329" s="1"/>
  <c r="BH329" s="1"/>
  <c r="BJ329" s="1"/>
  <c r="P329" s="1"/>
  <c r="O329" s="1"/>
  <c r="BK329"/>
  <c r="AM342" i="1" l="1"/>
  <c r="AK342"/>
  <c r="AB343"/>
  <c r="AE343" s="1"/>
  <c r="AC343"/>
  <c r="AA343"/>
  <c r="E350" i="53" s="1"/>
  <c r="V344" i="1"/>
  <c r="X344"/>
  <c r="BX17" i="55"/>
  <c r="D348" i="53"/>
  <c r="M17" i="55" s="1"/>
  <c r="G349" i="53"/>
  <c r="BC18" i="55"/>
  <c r="BD345" i="1"/>
  <c r="BE345" s="1"/>
  <c r="T345" s="1"/>
  <c r="U345" s="1"/>
  <c r="BA346"/>
  <c r="P349"/>
  <c r="C338" i="48"/>
  <c r="B339"/>
  <c r="D338"/>
  <c r="W338" s="1"/>
  <c r="E338"/>
  <c r="X338" s="1"/>
  <c r="CS16" i="55"/>
  <c r="I348" i="53"/>
  <c r="E351" i="52"/>
  <c r="S347" i="1"/>
  <c r="AO331" i="38"/>
  <c r="AP331" s="1"/>
  <c r="AQ331" s="1"/>
  <c r="AN331"/>
  <c r="C350" i="1"/>
  <c r="D350" s="1"/>
  <c r="A350"/>
  <c r="A357" i="53"/>
  <c r="B358" s="1"/>
  <c r="B351" i="1"/>
  <c r="L350"/>
  <c r="M349" s="1"/>
  <c r="F352" i="52"/>
  <c r="K350" i="1"/>
  <c r="N350" s="1"/>
  <c r="A334" i="26"/>
  <c r="B334" s="1"/>
  <c r="B333" i="38"/>
  <c r="E350" i="1"/>
  <c r="AI349"/>
  <c r="AL349"/>
  <c r="AJ349"/>
  <c r="Z349"/>
  <c r="AH349"/>
  <c r="BC349"/>
  <c r="V337" i="48"/>
  <c r="F337"/>
  <c r="Y337" s="1"/>
  <c r="W348" i="1"/>
  <c r="R348"/>
  <c r="AF341"/>
  <c r="AD342"/>
  <c r="AR330" i="38"/>
  <c r="F332"/>
  <c r="AM332" s="1"/>
  <c r="D332"/>
  <c r="Z332"/>
  <c r="AA332" s="1"/>
  <c r="E332"/>
  <c r="AR331" l="1"/>
  <c r="BK331" s="1"/>
  <c r="AM343" i="1"/>
  <c r="AK343"/>
  <c r="BD346"/>
  <c r="BE346" s="1"/>
  <c r="T346" s="1"/>
  <c r="U346" s="1"/>
  <c r="BA347"/>
  <c r="V345"/>
  <c r="X345"/>
  <c r="BC19" i="55"/>
  <c r="G350" i="53"/>
  <c r="BX18" i="55"/>
  <c r="D349" i="53"/>
  <c r="M18" i="55" s="1"/>
  <c r="AB344" i="1"/>
  <c r="AE344" s="1"/>
  <c r="AC344"/>
  <c r="AA344"/>
  <c r="E351" i="53" s="1"/>
  <c r="BK330" i="38"/>
  <c r="AS330"/>
  <c r="AU330" s="1"/>
  <c r="AV330" s="1"/>
  <c r="BA330" s="1"/>
  <c r="BB330" s="1"/>
  <c r="BH330" s="1"/>
  <c r="BJ330" s="1"/>
  <c r="P330" s="1"/>
  <c r="S348" i="1"/>
  <c r="P350"/>
  <c r="E352" i="52"/>
  <c r="AH350" i="1"/>
  <c r="Z350"/>
  <c r="AL350"/>
  <c r="AJ350"/>
  <c r="AI350"/>
  <c r="BC350"/>
  <c r="E339" i="48"/>
  <c r="X339" s="1"/>
  <c r="D339"/>
  <c r="W339" s="1"/>
  <c r="C339"/>
  <c r="B340"/>
  <c r="AF342" i="1"/>
  <c r="AD343"/>
  <c r="D333" i="38"/>
  <c r="Z333"/>
  <c r="AA333" s="1"/>
  <c r="E333"/>
  <c r="F333"/>
  <c r="AM333" s="1"/>
  <c r="CS17" i="55"/>
  <c r="I349" i="53"/>
  <c r="F338" i="48"/>
  <c r="Y338" s="1"/>
  <c r="V338"/>
  <c r="AO332" i="38"/>
  <c r="AP332" s="1"/>
  <c r="AQ332" s="1"/>
  <c r="AN332"/>
  <c r="AR332" s="1"/>
  <c r="F353" i="52"/>
  <c r="B334" i="38"/>
  <c r="K351" i="1"/>
  <c r="N351" s="1"/>
  <c r="A358" i="53"/>
  <c r="B359" s="1"/>
  <c r="L351" i="1"/>
  <c r="M350" s="1"/>
  <c r="A351"/>
  <c r="B352"/>
  <c r="C351"/>
  <c r="D351" s="1"/>
  <c r="E351"/>
  <c r="A335" i="26"/>
  <c r="B335" s="1"/>
  <c r="R349" i="1"/>
  <c r="W349"/>
  <c r="AS331" i="38" l="1"/>
  <c r="AU331" s="1"/>
  <c r="AV331" s="1"/>
  <c r="BA331" s="1"/>
  <c r="BB331" s="1"/>
  <c r="BH331" s="1"/>
  <c r="BJ331" s="1"/>
  <c r="P331" s="1"/>
  <c r="O331" s="1"/>
  <c r="AM344" i="1"/>
  <c r="AK344"/>
  <c r="G351" i="53"/>
  <c r="BC20" i="55"/>
  <c r="AB345" i="1"/>
  <c r="AE345" s="1"/>
  <c r="AA345"/>
  <c r="E352" i="53" s="1"/>
  <c r="AC345" i="1"/>
  <c r="D350" i="53"/>
  <c r="M19" i="55" s="1"/>
  <c r="BX19"/>
  <c r="BD347" i="1"/>
  <c r="BE347" s="1"/>
  <c r="T347" s="1"/>
  <c r="U347" s="1"/>
  <c r="BA348"/>
  <c r="V346"/>
  <c r="X346"/>
  <c r="AI351"/>
  <c r="AJ351"/>
  <c r="AL351"/>
  <c r="Z351"/>
  <c r="BC351"/>
  <c r="AH351"/>
  <c r="E334" i="38"/>
  <c r="D334"/>
  <c r="F334"/>
  <c r="AM334" s="1"/>
  <c r="Z334"/>
  <c r="AA334" s="1"/>
  <c r="F339" i="48"/>
  <c r="Y339" s="1"/>
  <c r="V339"/>
  <c r="E353" i="52"/>
  <c r="AF343" i="1"/>
  <c r="AD344"/>
  <c r="W350"/>
  <c r="R350"/>
  <c r="AS332" i="38"/>
  <c r="AU332" s="1"/>
  <c r="AV332" s="1"/>
  <c r="BA332" s="1"/>
  <c r="BB332" s="1"/>
  <c r="BH332" s="1"/>
  <c r="BJ332" s="1"/>
  <c r="P332" s="1"/>
  <c r="O332" s="1"/>
  <c r="BK332"/>
  <c r="S349" i="1"/>
  <c r="A336" i="26"/>
  <c r="B336" s="1"/>
  <c r="K352" i="1"/>
  <c r="N352" s="1"/>
  <c r="B335" i="38"/>
  <c r="E352" i="1"/>
  <c r="L352"/>
  <c r="M351" s="1"/>
  <c r="F354" i="52"/>
  <c r="A359" i="53"/>
  <c r="B360" s="1"/>
  <c r="A352" i="1"/>
  <c r="C352"/>
  <c r="D352" s="1"/>
  <c r="B353"/>
  <c r="P351"/>
  <c r="CS18" i="55"/>
  <c r="I350" i="53"/>
  <c r="AO333" i="38"/>
  <c r="AP333" s="1"/>
  <c r="AQ333" s="1"/>
  <c r="AN333"/>
  <c r="AR333" s="1"/>
  <c r="D340" i="48"/>
  <c r="W340" s="1"/>
  <c r="B341"/>
  <c r="E340"/>
  <c r="X340" s="1"/>
  <c r="C340"/>
  <c r="O330" i="38"/>
  <c r="AM345" i="1" l="1"/>
  <c r="AK345"/>
  <c r="AA346"/>
  <c r="E353" i="53" s="1"/>
  <c r="AB346" i="1"/>
  <c r="AE346" s="1"/>
  <c r="AC346"/>
  <c r="BC21" i="55"/>
  <c r="G352" i="53"/>
  <c r="BD348" i="1"/>
  <c r="BE348" s="1"/>
  <c r="T348" s="1"/>
  <c r="U348" s="1"/>
  <c r="BA349"/>
  <c r="V347"/>
  <c r="X347"/>
  <c r="BX20" i="55"/>
  <c r="D351" i="53"/>
  <c r="M20" i="55" s="1"/>
  <c r="BK333" i="38"/>
  <c r="AS333"/>
  <c r="AU333" s="1"/>
  <c r="AV333" s="1"/>
  <c r="BA333" s="1"/>
  <c r="BB333" s="1"/>
  <c r="BH333" s="1"/>
  <c r="BJ333" s="1"/>
  <c r="P333" s="1"/>
  <c r="S350" i="1"/>
  <c r="AF344"/>
  <c r="AD345"/>
  <c r="V340" i="48"/>
  <c r="F340"/>
  <c r="Y340" s="1"/>
  <c r="Z352" i="1"/>
  <c r="AL352"/>
  <c r="AH352"/>
  <c r="AI352"/>
  <c r="AJ352"/>
  <c r="BC352"/>
  <c r="E354" i="52"/>
  <c r="CS19" i="55"/>
  <c r="I351" i="53"/>
  <c r="E335" i="38"/>
  <c r="D335"/>
  <c r="F335"/>
  <c r="AM335" s="1"/>
  <c r="Z335"/>
  <c r="AA335" s="1"/>
  <c r="AO334"/>
  <c r="AP334" s="1"/>
  <c r="AQ334" s="1"/>
  <c r="AN334"/>
  <c r="E341" i="48"/>
  <c r="X341" s="1"/>
  <c r="B342"/>
  <c r="D341"/>
  <c r="W341" s="1"/>
  <c r="C341"/>
  <c r="R351" i="1"/>
  <c r="W351"/>
  <c r="A353"/>
  <c r="L353"/>
  <c r="M352" s="1"/>
  <c r="F355" i="52"/>
  <c r="C353" i="1"/>
  <c r="D353" s="1"/>
  <c r="A360" i="53"/>
  <c r="B361" s="1"/>
  <c r="B354" i="1"/>
  <c r="E353"/>
  <c r="B336" i="38"/>
  <c r="K353" i="1"/>
  <c r="N353" s="1"/>
  <c r="A337" i="26"/>
  <c r="B337" s="1"/>
  <c r="P352" i="1"/>
  <c r="AR334" i="38" l="1"/>
  <c r="BK334" s="1"/>
  <c r="AM346" i="1"/>
  <c r="AK346"/>
  <c r="BD349"/>
  <c r="BE349" s="1"/>
  <c r="T349" s="1"/>
  <c r="U349" s="1"/>
  <c r="BA350"/>
  <c r="V348"/>
  <c r="X348"/>
  <c r="AC347"/>
  <c r="AA347"/>
  <c r="E354" i="53" s="1"/>
  <c r="AB347" i="1"/>
  <c r="AE347" s="1"/>
  <c r="BX21" i="55"/>
  <c r="D352" i="53"/>
  <c r="M21" i="55" s="1"/>
  <c r="G353" i="53"/>
  <c r="BC22" i="55"/>
  <c r="E355" i="52"/>
  <c r="S351" i="1"/>
  <c r="C354"/>
  <c r="D354" s="1"/>
  <c r="L354"/>
  <c r="M353" s="1"/>
  <c r="A354"/>
  <c r="B337" i="38"/>
  <c r="E354" i="1"/>
  <c r="K354"/>
  <c r="N354" s="1"/>
  <c r="B355"/>
  <c r="A361" i="53"/>
  <c r="B362" s="1"/>
  <c r="F356" i="52"/>
  <c r="A338" i="26"/>
  <c r="B338" s="1"/>
  <c r="V341" i="48"/>
  <c r="F341"/>
  <c r="Y341" s="1"/>
  <c r="AO335" i="38"/>
  <c r="AP335" s="1"/>
  <c r="AQ335" s="1"/>
  <c r="AN335"/>
  <c r="W352" i="1"/>
  <c r="R352"/>
  <c r="P353"/>
  <c r="Z353"/>
  <c r="AL353"/>
  <c r="AJ353"/>
  <c r="AI353"/>
  <c r="AH353"/>
  <c r="BC353"/>
  <c r="CS20" i="55"/>
  <c r="I352" i="53"/>
  <c r="O333" i="38"/>
  <c r="D336"/>
  <c r="F336"/>
  <c r="AM336" s="1"/>
  <c r="E336"/>
  <c r="Z336"/>
  <c r="AA336" s="1"/>
  <c r="B343" i="48"/>
  <c r="C342"/>
  <c r="E342"/>
  <c r="X342" s="1"/>
  <c r="D342"/>
  <c r="W342" s="1"/>
  <c r="AF345" i="1"/>
  <c r="AD346"/>
  <c r="AS334" i="38" l="1"/>
  <c r="AU334" s="1"/>
  <c r="AV334" s="1"/>
  <c r="BA334" s="1"/>
  <c r="BB334" s="1"/>
  <c r="BH334" s="1"/>
  <c r="BJ334" s="1"/>
  <c r="P334" s="1"/>
  <c r="O334" s="1"/>
  <c r="AR335"/>
  <c r="BK335" s="1"/>
  <c r="AM347" i="1"/>
  <c r="AK347"/>
  <c r="BX22" i="55"/>
  <c r="D353" i="53"/>
  <c r="M22" i="55" s="1"/>
  <c r="BC23"/>
  <c r="G354" i="53"/>
  <c r="BD350" i="1"/>
  <c r="BE350" s="1"/>
  <c r="T350" s="1"/>
  <c r="U350" s="1"/>
  <c r="BA351"/>
  <c r="V349"/>
  <c r="X349"/>
  <c r="AA348"/>
  <c r="E355" i="53" s="1"/>
  <c r="AB348" i="1"/>
  <c r="AE348" s="1"/>
  <c r="AC348"/>
  <c r="AF346"/>
  <c r="AD347"/>
  <c r="V342" i="48"/>
  <c r="F342"/>
  <c r="Y342" s="1"/>
  <c r="AN336" i="38"/>
  <c r="AO336"/>
  <c r="AP336" s="1"/>
  <c r="AQ336" s="1"/>
  <c r="R353" i="1"/>
  <c r="W353"/>
  <c r="S352"/>
  <c r="P354"/>
  <c r="D343" i="48"/>
  <c r="W343" s="1"/>
  <c r="B344"/>
  <c r="E343"/>
  <c r="X343" s="1"/>
  <c r="C343"/>
  <c r="CS21" i="55"/>
  <c r="I353" i="53"/>
  <c r="E356" i="52"/>
  <c r="E337" i="38"/>
  <c r="D337"/>
  <c r="F337"/>
  <c r="AM337" s="1"/>
  <c r="Z337"/>
  <c r="AA337" s="1"/>
  <c r="E355" i="1"/>
  <c r="B338" i="38"/>
  <c r="A355" i="1"/>
  <c r="A362" i="53"/>
  <c r="B363" s="1"/>
  <c r="F357" i="52"/>
  <c r="C355" i="1"/>
  <c r="D355" s="1"/>
  <c r="K355"/>
  <c r="N355" s="1"/>
  <c r="B356"/>
  <c r="A339" i="26"/>
  <c r="B339" s="1"/>
  <c r="L355" i="1"/>
  <c r="M354" s="1"/>
  <c r="AI354"/>
  <c r="Z354"/>
  <c r="BC354"/>
  <c r="AH354"/>
  <c r="AL354"/>
  <c r="AJ354"/>
  <c r="AS335" i="38" l="1"/>
  <c r="AU335" s="1"/>
  <c r="AV335" s="1"/>
  <c r="BA335" s="1"/>
  <c r="BB335" s="1"/>
  <c r="BH335" s="1"/>
  <c r="BJ335" s="1"/>
  <c r="P335" s="1"/>
  <c r="O335" s="1"/>
  <c r="AM348" i="1"/>
  <c r="AK348"/>
  <c r="BD351"/>
  <c r="BE351" s="1"/>
  <c r="T351" s="1"/>
  <c r="U351" s="1"/>
  <c r="BA352"/>
  <c r="G355" i="53"/>
  <c r="BC24" i="55"/>
  <c r="V350" i="1"/>
  <c r="X350"/>
  <c r="AC349"/>
  <c r="AB349"/>
  <c r="AE349" s="1"/>
  <c r="AA349"/>
  <c r="E356" i="53" s="1"/>
  <c r="BX23" i="55"/>
  <c r="D354" i="53"/>
  <c r="M23" i="55" s="1"/>
  <c r="P355" i="1"/>
  <c r="AI355"/>
  <c r="AL355"/>
  <c r="Z355"/>
  <c r="AJ355"/>
  <c r="BC355"/>
  <c r="AH355"/>
  <c r="AO337" i="38"/>
  <c r="AP337" s="1"/>
  <c r="AQ337" s="1"/>
  <c r="AN337"/>
  <c r="F343" i="48"/>
  <c r="Y343" s="1"/>
  <c r="V343"/>
  <c r="S353" i="1"/>
  <c r="AF347"/>
  <c r="AD348"/>
  <c r="D338" i="38"/>
  <c r="F338"/>
  <c r="AM338" s="1"/>
  <c r="Z338"/>
  <c r="AA338" s="1"/>
  <c r="E338"/>
  <c r="CS22" i="55"/>
  <c r="I354" i="53"/>
  <c r="AR336" i="38"/>
  <c r="E357" i="52"/>
  <c r="C344" i="48"/>
  <c r="D344"/>
  <c r="W344" s="1"/>
  <c r="E344"/>
  <c r="X344" s="1"/>
  <c r="B345"/>
  <c r="E356" i="1"/>
  <c r="C356"/>
  <c r="D356" s="1"/>
  <c r="A363" i="53"/>
  <c r="B364" s="1"/>
  <c r="F358" i="52"/>
  <c r="B357" i="1"/>
  <c r="B339" i="38"/>
  <c r="A340" i="26"/>
  <c r="B340" s="1"/>
  <c r="K356" i="1"/>
  <c r="N356" s="1"/>
  <c r="A356"/>
  <c r="L356"/>
  <c r="M355" s="1"/>
  <c r="W354"/>
  <c r="R354"/>
  <c r="AR337" i="38" l="1"/>
  <c r="AS337" s="1"/>
  <c r="AU337" s="1"/>
  <c r="AV337" s="1"/>
  <c r="BA337" s="1"/>
  <c r="BB337" s="1"/>
  <c r="BH337" s="1"/>
  <c r="BJ337" s="1"/>
  <c r="P337" s="1"/>
  <c r="O337" s="1"/>
  <c r="AM349" i="1"/>
  <c r="AK349"/>
  <c r="BX24" i="55"/>
  <c r="D355" i="53"/>
  <c r="M24" i="55" s="1"/>
  <c r="AA350" i="1"/>
  <c r="E357" i="53" s="1"/>
  <c r="AB350" i="1"/>
  <c r="AE350" s="1"/>
  <c r="AC350"/>
  <c r="BD352"/>
  <c r="BE352" s="1"/>
  <c r="T352" s="1"/>
  <c r="U352" s="1"/>
  <c r="BA353"/>
  <c r="BC25" i="55"/>
  <c r="G356" i="53"/>
  <c r="V351" i="1"/>
  <c r="X351"/>
  <c r="AI356"/>
  <c r="AJ356"/>
  <c r="AL356"/>
  <c r="Z356"/>
  <c r="AH356"/>
  <c r="BC356"/>
  <c r="E357"/>
  <c r="A341" i="26"/>
  <c r="B341" s="1"/>
  <c r="K357" i="1"/>
  <c r="N357" s="1"/>
  <c r="F359" i="52"/>
  <c r="L357" i="1"/>
  <c r="M356" s="1"/>
  <c r="A357"/>
  <c r="C357"/>
  <c r="D357" s="1"/>
  <c r="A364" i="53"/>
  <c r="B365" s="1"/>
  <c r="B358" i="1"/>
  <c r="B340" i="38"/>
  <c r="E358" i="52"/>
  <c r="F344" i="48"/>
  <c r="Y344" s="1"/>
  <c r="V344"/>
  <c r="BK336" i="38"/>
  <c r="AS336"/>
  <c r="AU336" s="1"/>
  <c r="AV336" s="1"/>
  <c r="BA336" s="1"/>
  <c r="BB336" s="1"/>
  <c r="BH336" s="1"/>
  <c r="BJ336" s="1"/>
  <c r="P336" s="1"/>
  <c r="P356" i="1"/>
  <c r="E345" i="48"/>
  <c r="X345" s="1"/>
  <c r="B346"/>
  <c r="D345"/>
  <c r="W345" s="1"/>
  <c r="C345"/>
  <c r="W355" i="1"/>
  <c r="R355"/>
  <c r="AF348"/>
  <c r="AD349"/>
  <c r="S354"/>
  <c r="E339" i="38"/>
  <c r="D339"/>
  <c r="Z339"/>
  <c r="AA339" s="1"/>
  <c r="F339"/>
  <c r="AM339" s="1"/>
  <c r="CS23" i="55"/>
  <c r="I355" i="53"/>
  <c r="AO338" i="38"/>
  <c r="AP338" s="1"/>
  <c r="AQ338" s="1"/>
  <c r="AN338"/>
  <c r="BK337" l="1"/>
  <c r="AM350" i="1"/>
  <c r="AK350"/>
  <c r="AA351"/>
  <c r="E358" i="53" s="1"/>
  <c r="AB351" i="1"/>
  <c r="AE351" s="1"/>
  <c r="AC351"/>
  <c r="BD353"/>
  <c r="BE353" s="1"/>
  <c r="T353" s="1"/>
  <c r="U353" s="1"/>
  <c r="BA354"/>
  <c r="G357" i="53"/>
  <c r="BC26" i="55"/>
  <c r="V352" i="1"/>
  <c r="X352"/>
  <c r="D356" i="53"/>
  <c r="M25" i="55" s="1"/>
  <c r="BX25"/>
  <c r="AF349" i="1"/>
  <c r="AD350"/>
  <c r="S355"/>
  <c r="O336" i="38"/>
  <c r="D340"/>
  <c r="E340"/>
  <c r="Z340"/>
  <c r="AA340" s="1"/>
  <c r="F340"/>
  <c r="AM340" s="1"/>
  <c r="AI357" i="1"/>
  <c r="AJ357"/>
  <c r="BC357"/>
  <c r="Z357"/>
  <c r="AH357"/>
  <c r="AL357"/>
  <c r="CS24" i="55"/>
  <c r="I356" i="53"/>
  <c r="V345" i="48"/>
  <c r="F345"/>
  <c r="Y345" s="1"/>
  <c r="W356" i="1"/>
  <c r="R356"/>
  <c r="L358"/>
  <c r="M357" s="1"/>
  <c r="C358"/>
  <c r="D358" s="1"/>
  <c r="B359"/>
  <c r="A358"/>
  <c r="K358"/>
  <c r="N358" s="1"/>
  <c r="F360" i="52"/>
  <c r="A342" i="26"/>
  <c r="B342" s="1"/>
  <c r="B341" i="38"/>
  <c r="E358" i="1"/>
  <c r="A365" i="53"/>
  <c r="B366" s="1"/>
  <c r="E359" i="52"/>
  <c r="AR338" i="38"/>
  <c r="AO339"/>
  <c r="AP339" s="1"/>
  <c r="AQ339" s="1"/>
  <c r="AN339"/>
  <c r="B347" i="48"/>
  <c r="C346"/>
  <c r="E346"/>
  <c r="X346" s="1"/>
  <c r="D346"/>
  <c r="W346" s="1"/>
  <c r="P357" i="1"/>
  <c r="AM351" l="1"/>
  <c r="AK351"/>
  <c r="V353"/>
  <c r="X353"/>
  <c r="BX26" i="55"/>
  <c r="D357" i="53"/>
  <c r="M26" i="55" s="1"/>
  <c r="AB352" i="1"/>
  <c r="AE352" s="1"/>
  <c r="AC352"/>
  <c r="AA352"/>
  <c r="E359" i="53" s="1"/>
  <c r="BD354" i="1"/>
  <c r="BE354" s="1"/>
  <c r="T354" s="1"/>
  <c r="U354" s="1"/>
  <c r="BA355"/>
  <c r="BC27" i="55"/>
  <c r="G358" i="53"/>
  <c r="AR339" i="38"/>
  <c r="E360" i="52"/>
  <c r="P358" i="1"/>
  <c r="CS25" i="55"/>
  <c r="I357" i="53"/>
  <c r="R357" i="1"/>
  <c r="W357"/>
  <c r="E341" i="38"/>
  <c r="Z341"/>
  <c r="AA341" s="1"/>
  <c r="D341"/>
  <c r="F341"/>
  <c r="AM341" s="1"/>
  <c r="AH358" i="1"/>
  <c r="AJ358"/>
  <c r="Z358"/>
  <c r="BC358"/>
  <c r="AL358"/>
  <c r="AI358"/>
  <c r="V346" i="48"/>
  <c r="F346"/>
  <c r="Y346" s="1"/>
  <c r="AS338" i="38"/>
  <c r="AU338" s="1"/>
  <c r="AV338" s="1"/>
  <c r="BA338" s="1"/>
  <c r="BB338" s="1"/>
  <c r="BH338" s="1"/>
  <c r="BJ338" s="1"/>
  <c r="P338" s="1"/>
  <c r="BK338"/>
  <c r="E359" i="1"/>
  <c r="A366" i="53"/>
  <c r="B367" s="1"/>
  <c r="K359" i="1"/>
  <c r="N359" s="1"/>
  <c r="A343" i="26"/>
  <c r="B343" s="1"/>
  <c r="C359" i="1"/>
  <c r="D359" s="1"/>
  <c r="B342" i="38"/>
  <c r="A359" i="1"/>
  <c r="F361" i="52"/>
  <c r="L359" i="1"/>
  <c r="M358" s="1"/>
  <c r="B360"/>
  <c r="AO340" i="38"/>
  <c r="AP340" s="1"/>
  <c r="AQ340" s="1"/>
  <c r="AN340"/>
  <c r="D347" i="48"/>
  <c r="W347" s="1"/>
  <c r="C347"/>
  <c r="E347"/>
  <c r="X347" s="1"/>
  <c r="B348"/>
  <c r="S356" i="1"/>
  <c r="AF350"/>
  <c r="AD351"/>
  <c r="AR340" i="38" l="1"/>
  <c r="AS340" s="1"/>
  <c r="AU340" s="1"/>
  <c r="AV340" s="1"/>
  <c r="BA340" s="1"/>
  <c r="BB340" s="1"/>
  <c r="BH340" s="1"/>
  <c r="BJ340" s="1"/>
  <c r="P340" s="1"/>
  <c r="O340" s="1"/>
  <c r="AM352" i="1"/>
  <c r="AK352"/>
  <c r="BX27" i="55"/>
  <c r="D358" i="53"/>
  <c r="M27" i="55" s="1"/>
  <c r="BC28"/>
  <c r="G359" i="53"/>
  <c r="BD355" i="1"/>
  <c r="BE355" s="1"/>
  <c r="T355" s="1"/>
  <c r="U355" s="1"/>
  <c r="BA356"/>
  <c r="AB353"/>
  <c r="AE353" s="1"/>
  <c r="AA353"/>
  <c r="E360" i="53" s="1"/>
  <c r="AC353" i="1"/>
  <c r="V354"/>
  <c r="X354"/>
  <c r="AI359"/>
  <c r="AL359"/>
  <c r="Z359"/>
  <c r="AH359"/>
  <c r="AJ359"/>
  <c r="BC359"/>
  <c r="P359"/>
  <c r="O338" i="38"/>
  <c r="BK339"/>
  <c r="AS339"/>
  <c r="AU339" s="1"/>
  <c r="AV339" s="1"/>
  <c r="BA339" s="1"/>
  <c r="BB339" s="1"/>
  <c r="BH339" s="1"/>
  <c r="BJ339" s="1"/>
  <c r="P339" s="1"/>
  <c r="O339" s="1"/>
  <c r="AF351" i="1"/>
  <c r="AD352"/>
  <c r="E348" i="48"/>
  <c r="X348" s="1"/>
  <c r="D348"/>
  <c r="W348" s="1"/>
  <c r="C348"/>
  <c r="B349"/>
  <c r="A367" i="53"/>
  <c r="B368" s="1"/>
  <c r="B361" i="1"/>
  <c r="A360"/>
  <c r="F362" i="52"/>
  <c r="C360" i="1"/>
  <c r="D360" s="1"/>
  <c r="A344" i="26"/>
  <c r="B344" s="1"/>
  <c r="E360" i="1"/>
  <c r="B343" i="38"/>
  <c r="K360" i="1"/>
  <c r="N360" s="1"/>
  <c r="L360"/>
  <c r="M359" s="1"/>
  <c r="F342" i="38"/>
  <c r="AM342" s="1"/>
  <c r="E342"/>
  <c r="D342"/>
  <c r="Z342"/>
  <c r="AA342" s="1"/>
  <c r="R358" i="1"/>
  <c r="W358"/>
  <c r="E361" i="52"/>
  <c r="V347" i="48"/>
  <c r="F347"/>
  <c r="Y347" s="1"/>
  <c r="AO341" i="38"/>
  <c r="AP341" s="1"/>
  <c r="AQ341" s="1"/>
  <c r="AN341"/>
  <c r="S357" i="1"/>
  <c r="CS26" i="55"/>
  <c r="I358" i="53"/>
  <c r="BK340" i="38" l="1"/>
  <c r="AR341"/>
  <c r="AS341" s="1"/>
  <c r="AU341" s="1"/>
  <c r="AV341" s="1"/>
  <c r="BA341" s="1"/>
  <c r="BB341" s="1"/>
  <c r="BH341" s="1"/>
  <c r="BJ341" s="1"/>
  <c r="P341" s="1"/>
  <c r="O341" s="1"/>
  <c r="AM353" i="1"/>
  <c r="AK353"/>
  <c r="AA354"/>
  <c r="E361" i="53" s="1"/>
  <c r="AB354" i="1"/>
  <c r="AE354" s="1"/>
  <c r="AC354"/>
  <c r="D359" i="53"/>
  <c r="M28" i="55" s="1"/>
  <c r="BX28"/>
  <c r="BD356" i="1"/>
  <c r="BE356" s="1"/>
  <c r="T356" s="1"/>
  <c r="U356" s="1"/>
  <c r="BA357"/>
  <c r="V355"/>
  <c r="X355"/>
  <c r="Y355" s="1"/>
  <c r="BC29" i="55"/>
  <c r="G360" i="53"/>
  <c r="E361" i="1"/>
  <c r="A345" i="26"/>
  <c r="B345" s="1"/>
  <c r="B362" i="1"/>
  <c r="F363" i="52"/>
  <c r="A368" i="53"/>
  <c r="B369" s="1"/>
  <c r="C361" i="1"/>
  <c r="D361" s="1"/>
  <c r="L361"/>
  <c r="M360" s="1"/>
  <c r="B344" i="38"/>
  <c r="K361" i="1"/>
  <c r="N361" s="1"/>
  <c r="A361"/>
  <c r="CS27" i="55"/>
  <c r="I359" i="53"/>
  <c r="S358" i="1"/>
  <c r="P360"/>
  <c r="E349" i="48"/>
  <c r="X349" s="1"/>
  <c r="B350"/>
  <c r="D349"/>
  <c r="W349" s="1"/>
  <c r="C349"/>
  <c r="AF352" i="1"/>
  <c r="AD353"/>
  <c r="D343" i="38"/>
  <c r="E343"/>
  <c r="Z343"/>
  <c r="AA343" s="1"/>
  <c r="F343"/>
  <c r="AM343" s="1"/>
  <c r="F348" i="48"/>
  <c r="Y348" s="1"/>
  <c r="V348"/>
  <c r="BK341" i="38"/>
  <c r="AN342"/>
  <c r="AR342" s="1"/>
  <c r="AO342"/>
  <c r="AP342" s="1"/>
  <c r="AQ342" s="1"/>
  <c r="E362" i="52"/>
  <c r="AL360" i="1"/>
  <c r="Z360"/>
  <c r="AI360"/>
  <c r="AJ360"/>
  <c r="AH360"/>
  <c r="BC360"/>
  <c r="R359"/>
  <c r="W359"/>
  <c r="AM354" l="1"/>
  <c r="AK354"/>
  <c r="V356"/>
  <c r="X356"/>
  <c r="Y356" s="1"/>
  <c r="AA355"/>
  <c r="E362" i="53" s="1"/>
  <c r="AB355" i="1"/>
  <c r="AE355" s="1"/>
  <c r="AC355"/>
  <c r="D360" i="53"/>
  <c r="M29" i="55" s="1"/>
  <c r="BX29"/>
  <c r="BD357" i="1"/>
  <c r="BE357" s="1"/>
  <c r="T357" s="1"/>
  <c r="U357" s="1"/>
  <c r="BA358"/>
  <c r="BC30" i="55"/>
  <c r="G361" i="53"/>
  <c r="AF353" i="1"/>
  <c r="AD354"/>
  <c r="B351" i="48"/>
  <c r="E350"/>
  <c r="X350" s="1"/>
  <c r="C350"/>
  <c r="D350"/>
  <c r="W350" s="1"/>
  <c r="W360" i="1"/>
  <c r="R360"/>
  <c r="P361"/>
  <c r="E363" i="52"/>
  <c r="BK342" i="38"/>
  <c r="AS342"/>
  <c r="AU342" s="1"/>
  <c r="AV342" s="1"/>
  <c r="BA342" s="1"/>
  <c r="BB342" s="1"/>
  <c r="BH342" s="1"/>
  <c r="BJ342" s="1"/>
  <c r="P342" s="1"/>
  <c r="D344"/>
  <c r="Z344"/>
  <c r="AA344" s="1"/>
  <c r="E344"/>
  <c r="F344"/>
  <c r="AM344" s="1"/>
  <c r="S359" i="1"/>
  <c r="F349" i="48"/>
  <c r="Y349" s="1"/>
  <c r="V349"/>
  <c r="CS28" i="55"/>
  <c r="I360" i="53"/>
  <c r="E362" i="1"/>
  <c r="A346" i="26"/>
  <c r="B346" s="1"/>
  <c r="B345" i="38"/>
  <c r="B363" i="1"/>
  <c r="K362"/>
  <c r="N362" s="1"/>
  <c r="C362"/>
  <c r="D362" s="1"/>
  <c r="L362"/>
  <c r="M361" s="1"/>
  <c r="F364" i="52"/>
  <c r="A369" i="53"/>
  <c r="B370" s="1"/>
  <c r="A362" i="1"/>
  <c r="AO343" i="38"/>
  <c r="AP343" s="1"/>
  <c r="AQ343" s="1"/>
  <c r="AN343"/>
  <c r="Z361" i="1"/>
  <c r="AL361"/>
  <c r="AJ361"/>
  <c r="AH361"/>
  <c r="AI361"/>
  <c r="BC361"/>
  <c r="AR343" i="38" l="1"/>
  <c r="AS343" s="1"/>
  <c r="AU343" s="1"/>
  <c r="AV343" s="1"/>
  <c r="BA343" s="1"/>
  <c r="BB343" s="1"/>
  <c r="BH343" s="1"/>
  <c r="BJ343" s="1"/>
  <c r="P343" s="1"/>
  <c r="AM355" i="1"/>
  <c r="AK355"/>
  <c r="BD358"/>
  <c r="BE358" s="1"/>
  <c r="T358" s="1"/>
  <c r="U358" s="1"/>
  <c r="BA359"/>
  <c r="BC31" i="55"/>
  <c r="G362" i="53"/>
  <c r="V357" i="1"/>
  <c r="X357"/>
  <c r="AA356"/>
  <c r="E363" i="53" s="1"/>
  <c r="AB356" i="1"/>
  <c r="AE356" s="1"/>
  <c r="AC356"/>
  <c r="BX30" i="55"/>
  <c r="D361" i="53"/>
  <c r="M30" i="55" s="1"/>
  <c r="B364" i="1"/>
  <c r="B346" i="38"/>
  <c r="E363" i="1"/>
  <c r="A347" i="26"/>
  <c r="B347" s="1"/>
  <c r="L363" i="1"/>
  <c r="M362" s="1"/>
  <c r="F365" i="52"/>
  <c r="K363" i="1"/>
  <c r="N363" s="1"/>
  <c r="A370" i="53"/>
  <c r="B371" s="1"/>
  <c r="C363" i="1"/>
  <c r="D363" s="1"/>
  <c r="A363"/>
  <c r="O342" i="38"/>
  <c r="S360" i="1"/>
  <c r="E351" i="48"/>
  <c r="X351" s="1"/>
  <c r="D351"/>
  <c r="W351" s="1"/>
  <c r="B352"/>
  <c r="C351"/>
  <c r="E345" i="38"/>
  <c r="Z345"/>
  <c r="AA345" s="1"/>
  <c r="F345"/>
  <c r="AM345" s="1"/>
  <c r="D345"/>
  <c r="AO344"/>
  <c r="AP344" s="1"/>
  <c r="AQ344" s="1"/>
  <c r="AN344"/>
  <c r="W361" i="1"/>
  <c r="R361"/>
  <c r="AF354"/>
  <c r="AD355"/>
  <c r="AJ362"/>
  <c r="AI362"/>
  <c r="Z362"/>
  <c r="AH362"/>
  <c r="AL362"/>
  <c r="BC362"/>
  <c r="V350" i="48"/>
  <c r="F350"/>
  <c r="Y350" s="1"/>
  <c r="BK343" i="38"/>
  <c r="P362" i="1"/>
  <c r="E364" i="52"/>
  <c r="CS29" i="55"/>
  <c r="I361" i="53"/>
  <c r="AR344" i="38" l="1"/>
  <c r="AS344" s="1"/>
  <c r="AU344" s="1"/>
  <c r="AV344" s="1"/>
  <c r="BA344" s="1"/>
  <c r="BB344" s="1"/>
  <c r="BH344" s="1"/>
  <c r="BJ344" s="1"/>
  <c r="P344" s="1"/>
  <c r="O344" s="1"/>
  <c r="AM356" i="1"/>
  <c r="AK356"/>
  <c r="BC32" i="55"/>
  <c r="BC35" s="1"/>
  <c r="G363" i="53"/>
  <c r="AB357" i="1"/>
  <c r="AE357" s="1"/>
  <c r="AA357"/>
  <c r="E364" i="53" s="1"/>
  <c r="AC357" i="1"/>
  <c r="BD359"/>
  <c r="BE359" s="1"/>
  <c r="T359" s="1"/>
  <c r="U359" s="1"/>
  <c r="BA360"/>
  <c r="V358"/>
  <c r="X358"/>
  <c r="BX31" i="55"/>
  <c r="D362" i="53"/>
  <c r="M31" i="55" s="1"/>
  <c r="W362" i="1"/>
  <c r="R362"/>
  <c r="AO345" i="38"/>
  <c r="AP345" s="1"/>
  <c r="AQ345" s="1"/>
  <c r="AN345"/>
  <c r="C352" i="48"/>
  <c r="D352"/>
  <c r="W352" s="1"/>
  <c r="E352"/>
  <c r="X352" s="1"/>
  <c r="B353"/>
  <c r="P363" i="1"/>
  <c r="E365" i="52"/>
  <c r="AH363" i="1"/>
  <c r="Z363"/>
  <c r="AI363"/>
  <c r="AL363"/>
  <c r="AJ363"/>
  <c r="BC363"/>
  <c r="D346" i="38"/>
  <c r="F346"/>
  <c r="AM346" s="1"/>
  <c r="Z346"/>
  <c r="AA346" s="1"/>
  <c r="E346"/>
  <c r="O343"/>
  <c r="AF355" i="1"/>
  <c r="AD356"/>
  <c r="E364"/>
  <c r="B347" i="38"/>
  <c r="C364" i="1"/>
  <c r="D364" s="1"/>
  <c r="F366" i="52"/>
  <c r="A364" i="1"/>
  <c r="A371" i="53"/>
  <c r="B372" s="1"/>
  <c r="K364" i="1"/>
  <c r="N364" s="1"/>
  <c r="B365"/>
  <c r="A348" i="26"/>
  <c r="B348" s="1"/>
  <c r="L364" i="1"/>
  <c r="M363" s="1"/>
  <c r="CS30" i="55"/>
  <c r="I362" i="53"/>
  <c r="S361" i="1"/>
  <c r="V351" i="48"/>
  <c r="F351"/>
  <c r="Y351" s="1"/>
  <c r="AR345" i="38" l="1"/>
  <c r="BK345" s="1"/>
  <c r="BK344"/>
  <c r="AM357" i="1"/>
  <c r="AK357"/>
  <c r="V359"/>
  <c r="X359"/>
  <c r="AB358"/>
  <c r="AE358" s="1"/>
  <c r="AA358"/>
  <c r="E365" i="53" s="1"/>
  <c r="AC358" i="1"/>
  <c r="BX32" i="55"/>
  <c r="BX35" s="1"/>
  <c r="D363" i="53"/>
  <c r="M32" i="55" s="1"/>
  <c r="M35" s="1"/>
  <c r="BD3"/>
  <c r="G364" i="53"/>
  <c r="BD360" i="1"/>
  <c r="BE360" s="1"/>
  <c r="T360" s="1"/>
  <c r="U360" s="1"/>
  <c r="BA361"/>
  <c r="Z347" i="38"/>
  <c r="AA347" s="1"/>
  <c r="F347"/>
  <c r="AM347" s="1"/>
  <c r="E347"/>
  <c r="D347"/>
  <c r="S362" i="1"/>
  <c r="CS31" i="55"/>
  <c r="I363" i="53"/>
  <c r="AH364" i="1"/>
  <c r="AI364"/>
  <c r="AL364"/>
  <c r="Z364"/>
  <c r="AJ364"/>
  <c r="BC364"/>
  <c r="E366" i="52"/>
  <c r="AN346" i="38"/>
  <c r="AO346"/>
  <c r="AP346" s="1"/>
  <c r="AQ346" s="1"/>
  <c r="W363" i="1"/>
  <c r="R363"/>
  <c r="V352" i="48"/>
  <c r="F352"/>
  <c r="Y352" s="1"/>
  <c r="B348" i="38"/>
  <c r="A349" i="26"/>
  <c r="B349" s="1"/>
  <c r="B366" i="1"/>
  <c r="F367" i="52"/>
  <c r="L365" i="1"/>
  <c r="M364" s="1"/>
  <c r="C365"/>
  <c r="D365" s="1"/>
  <c r="E365"/>
  <c r="K365"/>
  <c r="N365" s="1"/>
  <c r="A365"/>
  <c r="A372" i="53"/>
  <c r="B373" s="1"/>
  <c r="C353" i="48"/>
  <c r="D353"/>
  <c r="W353" s="1"/>
  <c r="E353"/>
  <c r="X353" s="1"/>
  <c r="B354"/>
  <c r="P364" i="1"/>
  <c r="AF356"/>
  <c r="AD357"/>
  <c r="AS345" i="38" l="1"/>
  <c r="AU345" s="1"/>
  <c r="AV345" s="1"/>
  <c r="BA345" s="1"/>
  <c r="BB345" s="1"/>
  <c r="BH345" s="1"/>
  <c r="BJ345" s="1"/>
  <c r="P345" s="1"/>
  <c r="O345" s="1"/>
  <c r="AM358" i="1"/>
  <c r="AK358"/>
  <c r="V360"/>
  <c r="X360"/>
  <c r="D364" i="53"/>
  <c r="N3" i="55" s="1"/>
  <c r="BY3"/>
  <c r="AC359" i="1"/>
  <c r="AA359"/>
  <c r="E366" i="53" s="1"/>
  <c r="AB359" i="1"/>
  <c r="AE359" s="1"/>
  <c r="BD361"/>
  <c r="BE361" s="1"/>
  <c r="T361" s="1"/>
  <c r="U361" s="1"/>
  <c r="BA362"/>
  <c r="BD4" i="55"/>
  <c r="G365" i="53"/>
  <c r="AI365" i="1"/>
  <c r="AJ365"/>
  <c r="AH365"/>
  <c r="Z365"/>
  <c r="BC365"/>
  <c r="AL365"/>
  <c r="Z348" i="38"/>
  <c r="AA348" s="1"/>
  <c r="E348"/>
  <c r="D348"/>
  <c r="F348"/>
  <c r="AM348" s="1"/>
  <c r="AR346"/>
  <c r="V353" i="48"/>
  <c r="F353"/>
  <c r="Y353" s="1"/>
  <c r="P365" i="1"/>
  <c r="CS32" i="55"/>
  <c r="I364" i="53"/>
  <c r="AF357" i="1"/>
  <c r="AD358"/>
  <c r="C354" i="48"/>
  <c r="E354"/>
  <c r="X354" s="1"/>
  <c r="B355"/>
  <c r="D354"/>
  <c r="W354" s="1"/>
  <c r="E367" i="52"/>
  <c r="F368"/>
  <c r="A373" i="53"/>
  <c r="B374" s="1"/>
  <c r="C366" i="1"/>
  <c r="D366" s="1"/>
  <c r="K366"/>
  <c r="N366" s="1"/>
  <c r="B367"/>
  <c r="E366"/>
  <c r="L366"/>
  <c r="M365" s="1"/>
  <c r="A366"/>
  <c r="B349" i="38"/>
  <c r="A350" i="26"/>
  <c r="B350" s="1"/>
  <c r="AN347" i="38"/>
  <c r="AO347"/>
  <c r="AP347" s="1"/>
  <c r="AQ347" s="1"/>
  <c r="W364" i="1"/>
  <c r="R364"/>
  <c r="S363"/>
  <c r="AM359" l="1"/>
  <c r="AK359"/>
  <c r="BY4" i="55"/>
  <c r="D365" i="53"/>
  <c r="N4" i="55" s="1"/>
  <c r="BD362" i="1"/>
  <c r="BE362" s="1"/>
  <c r="T362" s="1"/>
  <c r="U362" s="1"/>
  <c r="BA363"/>
  <c r="BD5" i="55"/>
  <c r="G366" i="53"/>
  <c r="AB360" i="1"/>
  <c r="AE360" s="1"/>
  <c r="AA360"/>
  <c r="E367" i="53" s="1"/>
  <c r="AC360" i="1"/>
  <c r="V361"/>
  <c r="X361"/>
  <c r="D349" i="38"/>
  <c r="E349"/>
  <c r="Z349"/>
  <c r="AA349" s="1"/>
  <c r="F349"/>
  <c r="AM349" s="1"/>
  <c r="B350"/>
  <c r="F369" i="52"/>
  <c r="L367" i="1"/>
  <c r="M366" s="1"/>
  <c r="C367"/>
  <c r="D367" s="1"/>
  <c r="E367"/>
  <c r="K367"/>
  <c r="N367" s="1"/>
  <c r="B368"/>
  <c r="A367"/>
  <c r="A374" i="53"/>
  <c r="B375" s="1"/>
  <c r="A351" i="26"/>
  <c r="B351" s="1"/>
  <c r="B356" i="48"/>
  <c r="C355"/>
  <c r="D355"/>
  <c r="W355" s="1"/>
  <c r="E355"/>
  <c r="X355" s="1"/>
  <c r="BC366" i="1"/>
  <c r="AJ366"/>
  <c r="Z366"/>
  <c r="AI366"/>
  <c r="AH366"/>
  <c r="AL366"/>
  <c r="P366"/>
  <c r="AR347" i="38"/>
  <c r="V354" i="48"/>
  <c r="F354"/>
  <c r="Y354" s="1"/>
  <c r="CT3" i="55"/>
  <c r="I365" i="53"/>
  <c r="AO348" i="38"/>
  <c r="AP348" s="1"/>
  <c r="AQ348" s="1"/>
  <c r="AN348"/>
  <c r="S364" i="1"/>
  <c r="E368" i="52"/>
  <c r="AF358" i="1"/>
  <c r="AD359"/>
  <c r="W365"/>
  <c r="R365"/>
  <c r="BK346" i="38"/>
  <c r="AS346"/>
  <c r="AU346" s="1"/>
  <c r="AV346" s="1"/>
  <c r="BA346" s="1"/>
  <c r="BB346" s="1"/>
  <c r="BH346" s="1"/>
  <c r="BJ346" s="1"/>
  <c r="P346" s="1"/>
  <c r="AM360" i="1" l="1"/>
  <c r="AK360"/>
  <c r="AA361"/>
  <c r="E368" i="53" s="1"/>
  <c r="AB361" i="1"/>
  <c r="AE361" s="1"/>
  <c r="AC361"/>
  <c r="V362"/>
  <c r="X362"/>
  <c r="D366" i="53"/>
  <c r="N5" i="55" s="1"/>
  <c r="BY5"/>
  <c r="BD6"/>
  <c r="G367" i="53"/>
  <c r="BD363" i="1"/>
  <c r="BE363" s="1"/>
  <c r="T363" s="1"/>
  <c r="U363" s="1"/>
  <c r="BA364"/>
  <c r="CT4" i="55"/>
  <c r="I366" i="53"/>
  <c r="E356" i="48"/>
  <c r="X356" s="1"/>
  <c r="B357"/>
  <c r="C356"/>
  <c r="D356"/>
  <c r="W356" s="1"/>
  <c r="E368" i="1"/>
  <c r="C368"/>
  <c r="D368" s="1"/>
  <c r="A352" i="26"/>
  <c r="B352" s="1"/>
  <c r="K368" i="1"/>
  <c r="N368" s="1"/>
  <c r="B351" i="38"/>
  <c r="F370" i="52"/>
  <c r="A368" i="1"/>
  <c r="L368"/>
  <c r="M367" s="1"/>
  <c r="B369"/>
  <c r="A375" i="53"/>
  <c r="B376" s="1"/>
  <c r="O346" i="38"/>
  <c r="S365" i="1"/>
  <c r="P367"/>
  <c r="AF359"/>
  <c r="AD360"/>
  <c r="AR348" i="38"/>
  <c r="AS347"/>
  <c r="AU347" s="1"/>
  <c r="AV347" s="1"/>
  <c r="BA347" s="1"/>
  <c r="BB347" s="1"/>
  <c r="BH347" s="1"/>
  <c r="BJ347" s="1"/>
  <c r="P347" s="1"/>
  <c r="O347" s="1"/>
  <c r="BK347"/>
  <c r="W366" i="1"/>
  <c r="R366"/>
  <c r="E369" i="52"/>
  <c r="E350" i="38"/>
  <c r="F350"/>
  <c r="AM350" s="1"/>
  <c r="D350"/>
  <c r="Z350"/>
  <c r="AA350" s="1"/>
  <c r="V355" i="48"/>
  <c r="F355"/>
  <c r="Y355" s="1"/>
  <c r="AJ367" i="1"/>
  <c r="Z367"/>
  <c r="AI367"/>
  <c r="AL367"/>
  <c r="AH367"/>
  <c r="BC367"/>
  <c r="AN349" i="38"/>
  <c r="AR349" s="1"/>
  <c r="AO349"/>
  <c r="AP349" s="1"/>
  <c r="AQ349" s="1"/>
  <c r="AM361" i="1" l="1"/>
  <c r="AK361"/>
  <c r="BD364"/>
  <c r="BE364" s="1"/>
  <c r="T364" s="1"/>
  <c r="U364" s="1"/>
  <c r="BA365"/>
  <c r="V363"/>
  <c r="X363"/>
  <c r="BY6" i="55"/>
  <c r="D367" i="53"/>
  <c r="N6" i="55" s="1"/>
  <c r="AA362" i="1"/>
  <c r="E369" i="53" s="1"/>
  <c r="AC362" i="1"/>
  <c r="AB362"/>
  <c r="AE362" s="1"/>
  <c r="BD7" i="55"/>
  <c r="G368" i="53"/>
  <c r="AF360" i="1"/>
  <c r="AD361"/>
  <c r="P368"/>
  <c r="CT5" i="55"/>
  <c r="I367" i="53"/>
  <c r="AO350" i="38"/>
  <c r="AP350" s="1"/>
  <c r="AQ350" s="1"/>
  <c r="AN350"/>
  <c r="AR350" s="1"/>
  <c r="AI368" i="1"/>
  <c r="AJ368"/>
  <c r="Z368"/>
  <c r="AH368"/>
  <c r="AL368"/>
  <c r="BC368"/>
  <c r="F356" i="48"/>
  <c r="Y356" s="1"/>
  <c r="V356"/>
  <c r="AS349" i="38"/>
  <c r="AU349" s="1"/>
  <c r="AV349" s="1"/>
  <c r="BA349" s="1"/>
  <c r="BB349" s="1"/>
  <c r="BH349" s="1"/>
  <c r="BJ349" s="1"/>
  <c r="P349" s="1"/>
  <c r="O349" s="1"/>
  <c r="BK349"/>
  <c r="S366" i="1"/>
  <c r="W367"/>
  <c r="R367"/>
  <c r="D357" i="48"/>
  <c r="W357" s="1"/>
  <c r="E357"/>
  <c r="X357" s="1"/>
  <c r="C357"/>
  <c r="B358"/>
  <c r="AS348" i="38"/>
  <c r="AU348" s="1"/>
  <c r="AV348" s="1"/>
  <c r="BA348" s="1"/>
  <c r="BB348" s="1"/>
  <c r="BH348" s="1"/>
  <c r="BJ348" s="1"/>
  <c r="P348" s="1"/>
  <c r="O348" s="1"/>
  <c r="BK348"/>
  <c r="E369" i="1"/>
  <c r="B370"/>
  <c r="A376" i="53"/>
  <c r="B377" s="1"/>
  <c r="F371" i="52"/>
  <c r="A353" i="26"/>
  <c r="B353" s="1"/>
  <c r="K369" i="1"/>
  <c r="N369" s="1"/>
  <c r="B352" i="38"/>
  <c r="L369" i="1"/>
  <c r="M368" s="1"/>
  <c r="A369"/>
  <c r="C369"/>
  <c r="D369" s="1"/>
  <c r="D351" i="38"/>
  <c r="E351"/>
  <c r="F351"/>
  <c r="AM351" s="1"/>
  <c r="Z351"/>
  <c r="AA351" s="1"/>
  <c r="E370" i="52"/>
  <c r="AM362" i="1" l="1"/>
  <c r="AK362"/>
  <c r="BY7" i="55"/>
  <c r="D368" i="53"/>
  <c r="N7" i="55" s="1"/>
  <c r="BD8"/>
  <c r="G369" i="53"/>
  <c r="BD365" i="1"/>
  <c r="BE365" s="1"/>
  <c r="T365" s="1"/>
  <c r="U365" s="1"/>
  <c r="BA366"/>
  <c r="V364"/>
  <c r="X364"/>
  <c r="AC363"/>
  <c r="AB363"/>
  <c r="AE363" s="1"/>
  <c r="AA363"/>
  <c r="E370" i="53" s="1"/>
  <c r="D352" i="38"/>
  <c r="E352"/>
  <c r="Z352"/>
  <c r="AA352" s="1"/>
  <c r="F352"/>
  <c r="AM352" s="1"/>
  <c r="D358" i="48"/>
  <c r="W358" s="1"/>
  <c r="C358"/>
  <c r="E358"/>
  <c r="X358" s="1"/>
  <c r="B359"/>
  <c r="P369" i="1"/>
  <c r="K370"/>
  <c r="N370" s="1"/>
  <c r="A370"/>
  <c r="B371"/>
  <c r="L370"/>
  <c r="M369" s="1"/>
  <c r="A377" i="53"/>
  <c r="B378" s="1"/>
  <c r="A354" i="26"/>
  <c r="B354" s="1"/>
  <c r="E370" i="1"/>
  <c r="B353" i="38"/>
  <c r="F372" i="52"/>
  <c r="C370" i="1"/>
  <c r="D370" s="1"/>
  <c r="V357" i="48"/>
  <c r="F357"/>
  <c r="Y357" s="1"/>
  <c r="S367" i="1"/>
  <c r="W368"/>
  <c r="R368"/>
  <c r="AN351" i="38"/>
  <c r="AO351"/>
  <c r="AP351" s="1"/>
  <c r="AQ351" s="1"/>
  <c r="AL369" i="1"/>
  <c r="Z369"/>
  <c r="AH369"/>
  <c r="AJ369"/>
  <c r="AI369"/>
  <c r="BC369"/>
  <c r="E371" i="52"/>
  <c r="AS350" i="38"/>
  <c r="AU350" s="1"/>
  <c r="AV350" s="1"/>
  <c r="BA350" s="1"/>
  <c r="BB350" s="1"/>
  <c r="BH350" s="1"/>
  <c r="BJ350" s="1"/>
  <c r="P350" s="1"/>
  <c r="BK350"/>
  <c r="CT6" i="55"/>
  <c r="I368" i="53"/>
  <c r="AF361" i="1"/>
  <c r="AD362"/>
  <c r="AM363" l="1"/>
  <c r="AK363"/>
  <c r="BD9" i="55"/>
  <c r="G370" i="53"/>
  <c r="AB364" i="1"/>
  <c r="AE364" s="1"/>
  <c r="AC364"/>
  <c r="AA364"/>
  <c r="E371" i="53" s="1"/>
  <c r="D369"/>
  <c r="N8" i="55" s="1"/>
  <c r="BY8"/>
  <c r="BD366" i="1"/>
  <c r="BE366" s="1"/>
  <c r="T366" s="1"/>
  <c r="U366" s="1"/>
  <c r="BA367"/>
  <c r="V365"/>
  <c r="X365"/>
  <c r="E372" i="52"/>
  <c r="L371" i="1"/>
  <c r="M370" s="1"/>
  <c r="E371"/>
  <c r="K371"/>
  <c r="N371" s="1"/>
  <c r="A355" i="26"/>
  <c r="B355" s="1"/>
  <c r="B372" i="1"/>
  <c r="A371"/>
  <c r="F373" i="52"/>
  <c r="C371" i="1"/>
  <c r="D371" s="1"/>
  <c r="A378" i="53"/>
  <c r="B379" s="1"/>
  <c r="B354" i="38"/>
  <c r="W369" i="1"/>
  <c r="R369"/>
  <c r="E359" i="48"/>
  <c r="X359" s="1"/>
  <c r="C359"/>
  <c r="D359"/>
  <c r="W359" s="1"/>
  <c r="B360"/>
  <c r="AF362" i="1"/>
  <c r="AD363"/>
  <c r="S368"/>
  <c r="AI370"/>
  <c r="AL370"/>
  <c r="AH370"/>
  <c r="BC370"/>
  <c r="AK370"/>
  <c r="AJ370"/>
  <c r="O350" i="38"/>
  <c r="AR351"/>
  <c r="P370" i="1"/>
  <c r="V358" i="48"/>
  <c r="F358"/>
  <c r="Y358" s="1"/>
  <c r="AN352" i="38"/>
  <c r="AO352"/>
  <c r="AP352" s="1"/>
  <c r="AQ352" s="1"/>
  <c r="CT7" i="55"/>
  <c r="I369" i="53"/>
  <c r="D353" i="38"/>
  <c r="Z353"/>
  <c r="AA353" s="1"/>
  <c r="E353"/>
  <c r="F353"/>
  <c r="AM353" s="1"/>
  <c r="AR352" l="1"/>
  <c r="BK352" s="1"/>
  <c r="AM364" i="1"/>
  <c r="AK364"/>
  <c r="AB365"/>
  <c r="AE365" s="1"/>
  <c r="AC365"/>
  <c r="AA365"/>
  <c r="E372" i="53" s="1"/>
  <c r="BD367" i="1"/>
  <c r="BE367" s="1"/>
  <c r="T367" s="1"/>
  <c r="U367" s="1"/>
  <c r="BA368"/>
  <c r="D370" i="53"/>
  <c r="N9" i="55" s="1"/>
  <c r="BY9"/>
  <c r="V366" i="1"/>
  <c r="X366"/>
  <c r="BD10" i="55"/>
  <c r="G371" i="53"/>
  <c r="W370" i="1"/>
  <c r="R370"/>
  <c r="F359" i="48"/>
  <c r="Y359" s="1"/>
  <c r="V359"/>
  <c r="E354" i="38"/>
  <c r="F354"/>
  <c r="AM354" s="1"/>
  <c r="Z354"/>
  <c r="AA354" s="1"/>
  <c r="D354"/>
  <c r="BC371" i="1"/>
  <c r="AL371"/>
  <c r="AI371"/>
  <c r="AH371"/>
  <c r="AK371"/>
  <c r="AJ371"/>
  <c r="E373" i="52"/>
  <c r="AN353" i="38"/>
  <c r="AR353" s="1"/>
  <c r="AO353"/>
  <c r="AP353" s="1"/>
  <c r="AQ353" s="1"/>
  <c r="AS352"/>
  <c r="AU352" s="1"/>
  <c r="AV352" s="1"/>
  <c r="BA352" s="1"/>
  <c r="BB352" s="1"/>
  <c r="BH352" s="1"/>
  <c r="BJ352" s="1"/>
  <c r="P352" s="1"/>
  <c r="O352" s="1"/>
  <c r="BK351"/>
  <c r="AS351"/>
  <c r="AU351" s="1"/>
  <c r="AV351" s="1"/>
  <c r="BA351" s="1"/>
  <c r="BB351" s="1"/>
  <c r="BH351" s="1"/>
  <c r="BJ351" s="1"/>
  <c r="P351" s="1"/>
  <c r="E372" i="1"/>
  <c r="F374" i="52"/>
  <c r="A356" i="26"/>
  <c r="B356" s="1"/>
  <c r="B373" i="1"/>
  <c r="K372"/>
  <c r="N372" s="1"/>
  <c r="A372"/>
  <c r="B355" i="38"/>
  <c r="C372" i="1"/>
  <c r="D372" s="1"/>
  <c r="A379" i="53"/>
  <c r="B380" s="1"/>
  <c r="L372" i="1"/>
  <c r="M371" s="1"/>
  <c r="D360" i="48"/>
  <c r="W360" s="1"/>
  <c r="B361"/>
  <c r="C360"/>
  <c r="E360"/>
  <c r="X360" s="1"/>
  <c r="S369" i="1"/>
  <c r="CT8" i="55"/>
  <c r="I370" i="53"/>
  <c r="AF363" i="1"/>
  <c r="AD364"/>
  <c r="P371"/>
  <c r="AM365" l="1"/>
  <c r="AK365"/>
  <c r="D371" i="53"/>
  <c r="N10" i="55" s="1"/>
  <c r="BY10"/>
  <c r="BD11"/>
  <c r="G372" i="53"/>
  <c r="AA366" i="1"/>
  <c r="E373" i="53" s="1"/>
  <c r="AB366" i="1"/>
  <c r="AE366" s="1"/>
  <c r="AC366"/>
  <c r="BD368"/>
  <c r="BE368" s="1"/>
  <c r="T368" s="1"/>
  <c r="U368" s="1"/>
  <c r="BA369"/>
  <c r="V367"/>
  <c r="X367"/>
  <c r="AF364"/>
  <c r="AD365"/>
  <c r="V360" i="48"/>
  <c r="F360"/>
  <c r="Y360" s="1"/>
  <c r="Z355" i="38"/>
  <c r="AA355" s="1"/>
  <c r="D355"/>
  <c r="E355"/>
  <c r="F355"/>
  <c r="AM355" s="1"/>
  <c r="W371" i="1"/>
  <c r="R371"/>
  <c r="B362" i="48"/>
  <c r="D361"/>
  <c r="W361" s="1"/>
  <c r="E361"/>
  <c r="X361" s="1"/>
  <c r="C361"/>
  <c r="BC372" i="1"/>
  <c r="AL372"/>
  <c r="AI372"/>
  <c r="AH372"/>
  <c r="AK372"/>
  <c r="AJ372"/>
  <c r="AN354" i="38"/>
  <c r="AR354" s="1"/>
  <c r="AO354"/>
  <c r="AP354" s="1"/>
  <c r="AQ354" s="1"/>
  <c r="S370" i="1"/>
  <c r="CT9" i="55"/>
  <c r="I371" i="53"/>
  <c r="P372" i="1"/>
  <c r="E374" i="52"/>
  <c r="O351" i="38"/>
  <c r="BK353"/>
  <c r="AS353"/>
  <c r="AU353" s="1"/>
  <c r="AV353" s="1"/>
  <c r="BA353" s="1"/>
  <c r="BB353" s="1"/>
  <c r="BH353" s="1"/>
  <c r="BJ353" s="1"/>
  <c r="P353" s="1"/>
  <c r="O353" s="1"/>
  <c r="K373" i="1"/>
  <c r="N373" s="1"/>
  <c r="A357" i="26"/>
  <c r="B357" s="1"/>
  <c r="A373" i="1"/>
  <c r="B374"/>
  <c r="F375" i="52"/>
  <c r="B356" i="38"/>
  <c r="A380" i="53"/>
  <c r="B381" s="1"/>
  <c r="L373" i="1"/>
  <c r="M372" s="1"/>
  <c r="E373"/>
  <c r="C373"/>
  <c r="D373" s="1"/>
  <c r="AM366" l="1"/>
  <c r="AK366"/>
  <c r="AA367"/>
  <c r="E374" i="53" s="1"/>
  <c r="AC367" i="1"/>
  <c r="AB367"/>
  <c r="AE367" s="1"/>
  <c r="V368"/>
  <c r="X368"/>
  <c r="BY11" i="55"/>
  <c r="D372" i="53"/>
  <c r="N11" i="55" s="1"/>
  <c r="BD369" i="1"/>
  <c r="BE369" s="1"/>
  <c r="T369" s="1"/>
  <c r="U369" s="1"/>
  <c r="BA370"/>
  <c r="BD12" i="55"/>
  <c r="G373" i="53"/>
  <c r="Z356" i="38"/>
  <c r="AA356" s="1"/>
  <c r="E356"/>
  <c r="F356"/>
  <c r="AM356" s="1"/>
  <c r="D356"/>
  <c r="CT10" i="55"/>
  <c r="I372" i="53"/>
  <c r="E375" i="52"/>
  <c r="P373" i="1"/>
  <c r="W372"/>
  <c r="R372"/>
  <c r="C362" i="48"/>
  <c r="D362"/>
  <c r="W362" s="1"/>
  <c r="E362"/>
  <c r="X362" s="1"/>
  <c r="B363"/>
  <c r="S371" i="1"/>
  <c r="AF365"/>
  <c r="AD366"/>
  <c r="E374"/>
  <c r="K374"/>
  <c r="N374" s="1"/>
  <c r="A358" i="26"/>
  <c r="B358" s="1"/>
  <c r="B357" i="38"/>
  <c r="A374" i="1"/>
  <c r="L374"/>
  <c r="M373" s="1"/>
  <c r="F376" i="52"/>
  <c r="C374" i="1"/>
  <c r="D374" s="1"/>
  <c r="B375"/>
  <c r="A381" i="53"/>
  <c r="B382" s="1"/>
  <c r="V361" i="48"/>
  <c r="F361"/>
  <c r="Y361" s="1"/>
  <c r="AI373" i="1"/>
  <c r="AK373"/>
  <c r="BC373"/>
  <c r="AJ373"/>
  <c r="AH373"/>
  <c r="AL373"/>
  <c r="AS354" i="38"/>
  <c r="AU354" s="1"/>
  <c r="AV354" s="1"/>
  <c r="BA354" s="1"/>
  <c r="BB354" s="1"/>
  <c r="BH354" s="1"/>
  <c r="BJ354" s="1"/>
  <c r="P354" s="1"/>
  <c r="BK354"/>
  <c r="AN355"/>
  <c r="AR355" s="1"/>
  <c r="AO355"/>
  <c r="AP355" s="1"/>
  <c r="AQ355" s="1"/>
  <c r="AM367" i="1" l="1"/>
  <c r="AK367"/>
  <c r="BY12" i="55"/>
  <c r="D373" i="53"/>
  <c r="N12" i="55" s="1"/>
  <c r="BD370" i="1"/>
  <c r="BE370" s="1"/>
  <c r="T370" s="1"/>
  <c r="U370" s="1"/>
  <c r="BA371"/>
  <c r="AB368"/>
  <c r="AE368" s="1"/>
  <c r="AA368"/>
  <c r="E375" i="53" s="1"/>
  <c r="AC368" i="1"/>
  <c r="G374" i="53"/>
  <c r="BD13" i="55"/>
  <c r="V369" i="1"/>
  <c r="X369"/>
  <c r="O354" i="38"/>
  <c r="P374" i="1"/>
  <c r="AF366"/>
  <c r="AD367"/>
  <c r="F362" i="48"/>
  <c r="Y362" s="1"/>
  <c r="V362"/>
  <c r="R373" i="1"/>
  <c r="W373"/>
  <c r="CT11" i="55"/>
  <c r="I373" i="53"/>
  <c r="E375" i="1"/>
  <c r="A359" i="26"/>
  <c r="B359" s="1"/>
  <c r="A382" i="53"/>
  <c r="B383" s="1"/>
  <c r="F377" i="52"/>
  <c r="L375" i="1"/>
  <c r="M374" s="1"/>
  <c r="A375"/>
  <c r="B358" i="38"/>
  <c r="B376" i="1"/>
  <c r="K375"/>
  <c r="N375" s="1"/>
  <c r="C375"/>
  <c r="D375" s="1"/>
  <c r="AL374"/>
  <c r="AH374"/>
  <c r="AI374"/>
  <c r="AJ374"/>
  <c r="AK374"/>
  <c r="BC374"/>
  <c r="E376" i="52"/>
  <c r="D363" i="48"/>
  <c r="W363" s="1"/>
  <c r="C363"/>
  <c r="E363"/>
  <c r="X363" s="1"/>
  <c r="B364"/>
  <c r="BK355" i="38"/>
  <c r="AS355"/>
  <c r="AU355" s="1"/>
  <c r="AV355" s="1"/>
  <c r="BA355" s="1"/>
  <c r="BB355" s="1"/>
  <c r="BH355" s="1"/>
  <c r="BJ355" s="1"/>
  <c r="P355" s="1"/>
  <c r="E357"/>
  <c r="Z357"/>
  <c r="AA357" s="1"/>
  <c r="F357"/>
  <c r="AM357" s="1"/>
  <c r="D357"/>
  <c r="S372" i="1"/>
  <c r="AO356" i="38"/>
  <c r="AP356" s="1"/>
  <c r="AQ356" s="1"/>
  <c r="AN356"/>
  <c r="AM368" i="1" l="1"/>
  <c r="AK368"/>
  <c r="AB369"/>
  <c r="AE369" s="1"/>
  <c r="AA369"/>
  <c r="E376" i="53" s="1"/>
  <c r="AC369" i="1"/>
  <c r="V370"/>
  <c r="X370"/>
  <c r="Z370" s="1"/>
  <c r="BD14" i="55"/>
  <c r="G375" i="53"/>
  <c r="BY13" i="55"/>
  <c r="D374" i="53"/>
  <c r="N13" i="55" s="1"/>
  <c r="BD371" i="1"/>
  <c r="BE371" s="1"/>
  <c r="T371" s="1"/>
  <c r="U371" s="1"/>
  <c r="BA372"/>
  <c r="AO357" i="38"/>
  <c r="AP357" s="1"/>
  <c r="AQ357" s="1"/>
  <c r="AN357"/>
  <c r="O355"/>
  <c r="E364" i="48"/>
  <c r="X364" s="1"/>
  <c r="D364"/>
  <c r="W364" s="1"/>
  <c r="C364"/>
  <c r="B365"/>
  <c r="Z358" i="38"/>
  <c r="AA358" s="1"/>
  <c r="E358"/>
  <c r="D358"/>
  <c r="F358"/>
  <c r="AM358" s="1"/>
  <c r="AR356"/>
  <c r="AL375" i="1"/>
  <c r="AI375"/>
  <c r="AJ375"/>
  <c r="AH375"/>
  <c r="AK375"/>
  <c r="BC375"/>
  <c r="CT12" i="55"/>
  <c r="I374" i="53"/>
  <c r="V363" i="48"/>
  <c r="F363"/>
  <c r="Y363" s="1"/>
  <c r="P375" i="1"/>
  <c r="E377" i="52"/>
  <c r="F378"/>
  <c r="K376" i="1"/>
  <c r="N376" s="1"/>
  <c r="B377"/>
  <c r="C376"/>
  <c r="D376" s="1"/>
  <c r="E376"/>
  <c r="A360" i="26"/>
  <c r="B360" s="1"/>
  <c r="B359" i="38"/>
  <c r="L376" i="1"/>
  <c r="M375" s="1"/>
  <c r="A376"/>
  <c r="A383" i="53"/>
  <c r="B384" s="1"/>
  <c r="S373" i="1"/>
  <c r="AF367"/>
  <c r="AD368"/>
  <c r="W374"/>
  <c r="R374"/>
  <c r="AR357" i="38" l="1"/>
  <c r="AS357" s="1"/>
  <c r="AU357" s="1"/>
  <c r="AV357" s="1"/>
  <c r="BA357" s="1"/>
  <c r="BB357" s="1"/>
  <c r="BH357" s="1"/>
  <c r="BJ357" s="1"/>
  <c r="P357" s="1"/>
  <c r="O357" s="1"/>
  <c r="AM369" i="1"/>
  <c r="AK369"/>
  <c r="BD372"/>
  <c r="BE372" s="1"/>
  <c r="T372" s="1"/>
  <c r="U372" s="1"/>
  <c r="BA373"/>
  <c r="V371"/>
  <c r="X371"/>
  <c r="Z371" s="1"/>
  <c r="D375" i="53"/>
  <c r="N14" i="55" s="1"/>
  <c r="BY14"/>
  <c r="BD15"/>
  <c r="G376" i="53"/>
  <c r="AC370" i="1"/>
  <c r="AB370"/>
  <c r="AE370" s="1"/>
  <c r="AM370" s="1"/>
  <c r="AA370"/>
  <c r="E377" i="53" s="1"/>
  <c r="S374" i="1"/>
  <c r="Z359" i="38"/>
  <c r="AA359" s="1"/>
  <c r="E359"/>
  <c r="D359"/>
  <c r="F359"/>
  <c r="AM359" s="1"/>
  <c r="E377" i="1"/>
  <c r="A384" i="53"/>
  <c r="B385" s="1"/>
  <c r="L377" i="1"/>
  <c r="M376" s="1"/>
  <c r="B378"/>
  <c r="A377"/>
  <c r="K377"/>
  <c r="N377" s="1"/>
  <c r="B360" i="38"/>
  <c r="F379" i="52"/>
  <c r="A361" i="26"/>
  <c r="B361" s="1"/>
  <c r="C377" i="1"/>
  <c r="D377" s="1"/>
  <c r="AO358" i="38"/>
  <c r="AP358" s="1"/>
  <c r="AQ358" s="1"/>
  <c r="AN358"/>
  <c r="D365" i="48"/>
  <c r="W365" s="1"/>
  <c r="E365"/>
  <c r="X365" s="1"/>
  <c r="C365"/>
  <c r="B366"/>
  <c r="P376" i="1"/>
  <c r="V364" i="48"/>
  <c r="F364"/>
  <c r="Y364" s="1"/>
  <c r="AF368" i="1"/>
  <c r="AD369"/>
  <c r="AK376"/>
  <c r="AJ376"/>
  <c r="AI376"/>
  <c r="AH376"/>
  <c r="BC376"/>
  <c r="AL376"/>
  <c r="E378" i="52"/>
  <c r="W375" i="1"/>
  <c r="R375"/>
  <c r="CT13" i="55"/>
  <c r="I375" i="53"/>
  <c r="AS356" i="38"/>
  <c r="AU356" s="1"/>
  <c r="AV356" s="1"/>
  <c r="BA356" s="1"/>
  <c r="BB356" s="1"/>
  <c r="BH356" s="1"/>
  <c r="BJ356" s="1"/>
  <c r="P356" s="1"/>
  <c r="BK356"/>
  <c r="BK357" l="1"/>
  <c r="BD16" i="55"/>
  <c r="G377" i="53"/>
  <c r="BD373" i="1"/>
  <c r="BE373" s="1"/>
  <c r="T373" s="1"/>
  <c r="U373" s="1"/>
  <c r="BA374"/>
  <c r="D376" i="53"/>
  <c r="N15" i="55" s="1"/>
  <c r="BY15"/>
  <c r="AB371" i="1"/>
  <c r="AE371" s="1"/>
  <c r="AM371" s="1"/>
  <c r="AC371"/>
  <c r="AA371"/>
  <c r="E378" i="53" s="1"/>
  <c r="V372" i="1"/>
  <c r="X372"/>
  <c r="Z372" s="1"/>
  <c r="S375"/>
  <c r="D366" i="48"/>
  <c r="W366" s="1"/>
  <c r="E366"/>
  <c r="X366" s="1"/>
  <c r="B367"/>
  <c r="C366"/>
  <c r="AR358" i="38"/>
  <c r="BC377" i="1"/>
  <c r="AL377"/>
  <c r="AJ377"/>
  <c r="AH377"/>
  <c r="AK377"/>
  <c r="AI377"/>
  <c r="E379" i="52"/>
  <c r="O356" i="38"/>
  <c r="V365" i="48"/>
  <c r="F365"/>
  <c r="Y365" s="1"/>
  <c r="E378" i="1"/>
  <c r="A378"/>
  <c r="A385" i="53"/>
  <c r="B386" s="1"/>
  <c r="B379" i="1"/>
  <c r="F380" i="52"/>
  <c r="A362" i="26"/>
  <c r="B362" s="1"/>
  <c r="B361" i="38"/>
  <c r="C378" i="1"/>
  <c r="D378" s="1"/>
  <c r="L378"/>
  <c r="M377" s="1"/>
  <c r="K378"/>
  <c r="N378" s="1"/>
  <c r="AN359" i="38"/>
  <c r="AO359"/>
  <c r="AP359" s="1"/>
  <c r="AQ359" s="1"/>
  <c r="E360"/>
  <c r="D360"/>
  <c r="Z360"/>
  <c r="AA360" s="1"/>
  <c r="F360"/>
  <c r="AM360" s="1"/>
  <c r="CT14" i="55"/>
  <c r="I376" i="53"/>
  <c r="AF369" i="1"/>
  <c r="AD370"/>
  <c r="W376"/>
  <c r="R376"/>
  <c r="P377"/>
  <c r="AC372" l="1"/>
  <c r="AA372"/>
  <c r="E379" i="53" s="1"/>
  <c r="AB372" i="1"/>
  <c r="AE372" s="1"/>
  <c r="AM372" s="1"/>
  <c r="V373"/>
  <c r="X373"/>
  <c r="Z373" s="1"/>
  <c r="BD17" i="55"/>
  <c r="G378" i="53"/>
  <c r="D377"/>
  <c r="N16" i="55" s="1"/>
  <c r="BY16"/>
  <c r="BD374" i="1"/>
  <c r="BE374" s="1"/>
  <c r="T374" s="1"/>
  <c r="U374" s="1"/>
  <c r="BA375"/>
  <c r="S376"/>
  <c r="A386" i="53"/>
  <c r="B387" s="1"/>
  <c r="F381" i="52"/>
  <c r="E379" i="1"/>
  <c r="K379"/>
  <c r="N379" s="1"/>
  <c r="A363" i="26"/>
  <c r="B363" s="1"/>
  <c r="B362" i="38"/>
  <c r="B380" i="1"/>
  <c r="C379"/>
  <c r="D379" s="1"/>
  <c r="L379"/>
  <c r="M378" s="1"/>
  <c r="A379"/>
  <c r="V366" i="48"/>
  <c r="F366"/>
  <c r="Y366" s="1"/>
  <c r="W377" i="1"/>
  <c r="R377"/>
  <c r="CT15" i="55"/>
  <c r="I377" i="53"/>
  <c r="AO360" i="38"/>
  <c r="AP360" s="1"/>
  <c r="AQ360" s="1"/>
  <c r="AN360"/>
  <c r="AR359"/>
  <c r="D361"/>
  <c r="E361"/>
  <c r="Z361"/>
  <c r="AA361" s="1"/>
  <c r="F361"/>
  <c r="AM361" s="1"/>
  <c r="D367" i="48"/>
  <c r="W367" s="1"/>
  <c r="B368"/>
  <c r="E367"/>
  <c r="X367" s="1"/>
  <c r="C367"/>
  <c r="P378" i="1"/>
  <c r="AK378"/>
  <c r="AJ378"/>
  <c r="AI378"/>
  <c r="AL378"/>
  <c r="AH378"/>
  <c r="BC378"/>
  <c r="AF370"/>
  <c r="AD371"/>
  <c r="E380" i="52"/>
  <c r="AS358" i="38"/>
  <c r="AU358" s="1"/>
  <c r="AV358" s="1"/>
  <c r="BA358" s="1"/>
  <c r="BB358" s="1"/>
  <c r="BH358" s="1"/>
  <c r="BJ358" s="1"/>
  <c r="P358" s="1"/>
  <c r="BK358"/>
  <c r="BD375" i="1" l="1"/>
  <c r="BE375" s="1"/>
  <c r="T375" s="1"/>
  <c r="U375" s="1"/>
  <c r="BA376"/>
  <c r="V374"/>
  <c r="X374"/>
  <c r="Z374" s="1"/>
  <c r="D378" i="53"/>
  <c r="N17" i="55" s="1"/>
  <c r="BY17"/>
  <c r="BD18"/>
  <c r="G379" i="53"/>
  <c r="AA373" i="1"/>
  <c r="E380" i="53" s="1"/>
  <c r="AC373" i="1"/>
  <c r="AB373"/>
  <c r="AE373" s="1"/>
  <c r="AM373" s="1"/>
  <c r="V367" i="48"/>
  <c r="F367"/>
  <c r="Y367" s="1"/>
  <c r="AN361" i="38"/>
  <c r="AO361"/>
  <c r="AP361" s="1"/>
  <c r="AQ361" s="1"/>
  <c r="BK359"/>
  <c r="AS359"/>
  <c r="AU359" s="1"/>
  <c r="AV359" s="1"/>
  <c r="BA359" s="1"/>
  <c r="BB359" s="1"/>
  <c r="BH359" s="1"/>
  <c r="BJ359" s="1"/>
  <c r="P359" s="1"/>
  <c r="O359" s="1"/>
  <c r="E380" i="1"/>
  <c r="K380"/>
  <c r="N380" s="1"/>
  <c r="L380"/>
  <c r="M379" s="1"/>
  <c r="B363" i="38"/>
  <c r="A364" i="26"/>
  <c r="B364" s="1"/>
  <c r="C380" i="1"/>
  <c r="D380" s="1"/>
  <c r="F382" i="52"/>
  <c r="A387" i="53"/>
  <c r="B388" s="1"/>
  <c r="B381" i="1"/>
  <c r="A380"/>
  <c r="E381" i="52"/>
  <c r="W378" i="1"/>
  <c r="R378"/>
  <c r="CT16" i="55"/>
  <c r="I378" i="53"/>
  <c r="AJ379" i="1"/>
  <c r="AL379"/>
  <c r="BC379"/>
  <c r="AH379"/>
  <c r="AK379"/>
  <c r="AI379"/>
  <c r="E362" i="38"/>
  <c r="D362"/>
  <c r="Z362"/>
  <c r="AA362" s="1"/>
  <c r="F362"/>
  <c r="AM362" s="1"/>
  <c r="O358"/>
  <c r="C368" i="48"/>
  <c r="B369"/>
  <c r="E368"/>
  <c r="X368" s="1"/>
  <c r="D368"/>
  <c r="W368" s="1"/>
  <c r="AR360" i="38"/>
  <c r="AF371" i="1"/>
  <c r="AD372"/>
  <c r="S377"/>
  <c r="P379"/>
  <c r="AA374" l="1"/>
  <c r="E381" i="53" s="1"/>
  <c r="AC374" i="1"/>
  <c r="AB374"/>
  <c r="AE374" s="1"/>
  <c r="AM374" s="1"/>
  <c r="G380" i="53"/>
  <c r="BD19" i="55"/>
  <c r="BD376" i="1"/>
  <c r="BE376" s="1"/>
  <c r="T376" s="1"/>
  <c r="U376" s="1"/>
  <c r="BA377"/>
  <c r="BY18" i="55"/>
  <c r="D379" i="53"/>
  <c r="N18" i="55" s="1"/>
  <c r="V375" i="1"/>
  <c r="X375"/>
  <c r="Z375" s="1"/>
  <c r="BK360" i="38"/>
  <c r="AS360"/>
  <c r="AU360" s="1"/>
  <c r="AV360" s="1"/>
  <c r="BA360" s="1"/>
  <c r="BB360" s="1"/>
  <c r="BH360" s="1"/>
  <c r="BJ360" s="1"/>
  <c r="P360" s="1"/>
  <c r="E381" i="1"/>
  <c r="L381"/>
  <c r="M380" s="1"/>
  <c r="A388" i="53"/>
  <c r="B389" s="1"/>
  <c r="A365" i="26"/>
  <c r="B365" s="1"/>
  <c r="B364" i="38"/>
  <c r="F383" i="52"/>
  <c r="C381" i="1"/>
  <c r="D381" s="1"/>
  <c r="A381"/>
  <c r="K381"/>
  <c r="N381" s="1"/>
  <c r="B382"/>
  <c r="E382" i="52"/>
  <c r="AR361" i="38"/>
  <c r="AO362"/>
  <c r="AP362" s="1"/>
  <c r="AQ362" s="1"/>
  <c r="AN362"/>
  <c r="Z363"/>
  <c r="AA363" s="1"/>
  <c r="E363"/>
  <c r="F363"/>
  <c r="AM363" s="1"/>
  <c r="D363"/>
  <c r="W379" i="1"/>
  <c r="R379"/>
  <c r="AF372"/>
  <c r="AD373"/>
  <c r="C369" i="48"/>
  <c r="D369"/>
  <c r="W369" s="1"/>
  <c r="E369"/>
  <c r="X369" s="1"/>
  <c r="B370"/>
  <c r="S378" i="1"/>
  <c r="V368" i="48"/>
  <c r="F368"/>
  <c r="Y368" s="1"/>
  <c r="CT17" i="55"/>
  <c r="I379" i="53"/>
  <c r="AJ380" i="1"/>
  <c r="BC380"/>
  <c r="AL380"/>
  <c r="AK380"/>
  <c r="AI380"/>
  <c r="AH380"/>
  <c r="P380"/>
  <c r="AR362" i="38" l="1"/>
  <c r="BK362" s="1"/>
  <c r="AC375" i="1"/>
  <c r="AA375"/>
  <c r="E382" i="53" s="1"/>
  <c r="AB375" i="1"/>
  <c r="AE375" s="1"/>
  <c r="AM375" s="1"/>
  <c r="BY19" i="55"/>
  <c r="D380" i="53"/>
  <c r="N19" i="55" s="1"/>
  <c r="BD377" i="1"/>
  <c r="BE377" s="1"/>
  <c r="T377" s="1"/>
  <c r="U377" s="1"/>
  <c r="BA378"/>
  <c r="V376"/>
  <c r="X376"/>
  <c r="Z376" s="1"/>
  <c r="BD20" i="55"/>
  <c r="G381" i="53"/>
  <c r="V369" i="48"/>
  <c r="F369"/>
  <c r="Y369" s="1"/>
  <c r="AO363" i="38"/>
  <c r="AP363" s="1"/>
  <c r="AQ363" s="1"/>
  <c r="AN363"/>
  <c r="P381" i="1"/>
  <c r="D364" i="38"/>
  <c r="E364"/>
  <c r="F364"/>
  <c r="AM364" s="1"/>
  <c r="Z364"/>
  <c r="AA364" s="1"/>
  <c r="E383" i="52"/>
  <c r="D370" i="48"/>
  <c r="W370" s="1"/>
  <c r="E370"/>
  <c r="X370" s="1"/>
  <c r="B371"/>
  <c r="C370"/>
  <c r="AF373" i="1"/>
  <c r="AD374"/>
  <c r="S379"/>
  <c r="AJ381"/>
  <c r="AH381"/>
  <c r="AK381"/>
  <c r="AI381"/>
  <c r="AL381"/>
  <c r="BC381"/>
  <c r="O360" i="38"/>
  <c r="CT18" i="55"/>
  <c r="I380" i="53"/>
  <c r="BK361" i="38"/>
  <c r="AS361"/>
  <c r="AU361" s="1"/>
  <c r="AV361" s="1"/>
  <c r="BA361" s="1"/>
  <c r="BB361" s="1"/>
  <c r="BH361" s="1"/>
  <c r="BJ361" s="1"/>
  <c r="P361" s="1"/>
  <c r="O361" s="1"/>
  <c r="W380" i="1"/>
  <c r="R380"/>
  <c r="F384" i="52"/>
  <c r="K382" i="1"/>
  <c r="N382" s="1"/>
  <c r="L382"/>
  <c r="M381" s="1"/>
  <c r="B383"/>
  <c r="A389" i="53"/>
  <c r="B390" s="1"/>
  <c r="E382" i="1"/>
  <c r="A382"/>
  <c r="A366" i="26"/>
  <c r="B366" s="1"/>
  <c r="C382" i="1"/>
  <c r="D382" s="1"/>
  <c r="B365" i="38"/>
  <c r="AS362" l="1"/>
  <c r="AU362" s="1"/>
  <c r="AV362" s="1"/>
  <c r="BA362" s="1"/>
  <c r="BB362" s="1"/>
  <c r="BH362" s="1"/>
  <c r="BJ362" s="1"/>
  <c r="P362" s="1"/>
  <c r="O362" s="1"/>
  <c r="BY20" i="55"/>
  <c r="D381" i="53"/>
  <c r="N20" i="55" s="1"/>
  <c r="BD378" i="1"/>
  <c r="BE378" s="1"/>
  <c r="T378" s="1"/>
  <c r="U378" s="1"/>
  <c r="BA379"/>
  <c r="V377"/>
  <c r="X377"/>
  <c r="Z377" s="1"/>
  <c r="BD21" i="55"/>
  <c r="G382" i="53"/>
  <c r="AB376" i="1"/>
  <c r="AE376" s="1"/>
  <c r="AM376" s="1"/>
  <c r="AC376"/>
  <c r="AA376"/>
  <c r="E383" i="53" s="1"/>
  <c r="AI382" i="1"/>
  <c r="AH382"/>
  <c r="BC382"/>
  <c r="AL382"/>
  <c r="AK382"/>
  <c r="AJ382"/>
  <c r="CT19" i="55"/>
  <c r="I381" i="53"/>
  <c r="D371" i="48"/>
  <c r="W371" s="1"/>
  <c r="B372"/>
  <c r="C371"/>
  <c r="E371"/>
  <c r="X371" s="1"/>
  <c r="D365" i="38"/>
  <c r="E365"/>
  <c r="Z365"/>
  <c r="AA365" s="1"/>
  <c r="F365"/>
  <c r="AM365" s="1"/>
  <c r="E384" i="52"/>
  <c r="P382" i="1"/>
  <c r="AF374"/>
  <c r="AD375"/>
  <c r="AR363" i="38"/>
  <c r="S380" i="1"/>
  <c r="W381"/>
  <c r="R381"/>
  <c r="F385" i="52"/>
  <c r="E383" i="1"/>
  <c r="K383"/>
  <c r="N383" s="1"/>
  <c r="A383"/>
  <c r="A367" i="26"/>
  <c r="B367" s="1"/>
  <c r="A390" i="53"/>
  <c r="B391" s="1"/>
  <c r="C383" i="1"/>
  <c r="D383" s="1"/>
  <c r="L383"/>
  <c r="M382" s="1"/>
  <c r="B384"/>
  <c r="B366" i="38"/>
  <c r="V370" i="48"/>
  <c r="F370"/>
  <c r="Y370" s="1"/>
  <c r="AN364" i="38"/>
  <c r="AR364" s="1"/>
  <c r="AO364"/>
  <c r="AP364" s="1"/>
  <c r="AQ364" s="1"/>
  <c r="BD22" i="55" l="1"/>
  <c r="G383" i="53"/>
  <c r="V378" i="1"/>
  <c r="X378"/>
  <c r="Z378" s="1"/>
  <c r="AA377"/>
  <c r="E384" i="53" s="1"/>
  <c r="AB377" i="1"/>
  <c r="AE377" s="1"/>
  <c r="AM377" s="1"/>
  <c r="AC377"/>
  <c r="D382" i="53"/>
  <c r="N21" i="55" s="1"/>
  <c r="BY21"/>
  <c r="BD379" i="1"/>
  <c r="BE379" s="1"/>
  <c r="T379" s="1"/>
  <c r="U379" s="1"/>
  <c r="BA380"/>
  <c r="AK383"/>
  <c r="AH383"/>
  <c r="AJ383"/>
  <c r="AL383"/>
  <c r="AI383"/>
  <c r="BC383"/>
  <c r="BK363" i="38"/>
  <c r="AS363"/>
  <c r="AU363" s="1"/>
  <c r="AV363" s="1"/>
  <c r="BA363" s="1"/>
  <c r="BB363" s="1"/>
  <c r="BH363" s="1"/>
  <c r="BJ363" s="1"/>
  <c r="P363" s="1"/>
  <c r="R382" i="1"/>
  <c r="W382"/>
  <c r="P383"/>
  <c r="F371" i="48"/>
  <c r="Y371" s="1"/>
  <c r="V371"/>
  <c r="CT20" i="55"/>
  <c r="I382" i="53"/>
  <c r="D366" i="38"/>
  <c r="E366"/>
  <c r="F366"/>
  <c r="AM366" s="1"/>
  <c r="Z366"/>
  <c r="AA366" s="1"/>
  <c r="E385" i="52"/>
  <c r="S381" i="1"/>
  <c r="AF375"/>
  <c r="AD376"/>
  <c r="D372" i="48"/>
  <c r="W372" s="1"/>
  <c r="C372"/>
  <c r="B373"/>
  <c r="E372"/>
  <c r="X372" s="1"/>
  <c r="BK364" i="38"/>
  <c r="AS364"/>
  <c r="AU364" s="1"/>
  <c r="AV364" s="1"/>
  <c r="BA364" s="1"/>
  <c r="BB364" s="1"/>
  <c r="BH364" s="1"/>
  <c r="BJ364" s="1"/>
  <c r="P364" s="1"/>
  <c r="O364" s="1"/>
  <c r="E384" i="1"/>
  <c r="F386" i="52"/>
  <c r="K384" i="1"/>
  <c r="N384" s="1"/>
  <c r="B385"/>
  <c r="C384"/>
  <c r="D384" s="1"/>
  <c r="A384"/>
  <c r="L384"/>
  <c r="M383" s="1"/>
  <c r="A391" i="53"/>
  <c r="B392" s="1"/>
  <c r="B367" i="38"/>
  <c r="A368" i="26"/>
  <c r="B368" s="1"/>
  <c r="AN365" i="38"/>
  <c r="AO365"/>
  <c r="AP365" s="1"/>
  <c r="AQ365" s="1"/>
  <c r="AR365" l="1"/>
  <c r="BK365" s="1"/>
  <c r="BD380" i="1"/>
  <c r="BE380" s="1"/>
  <c r="T380" s="1"/>
  <c r="U380" s="1"/>
  <c r="BA381"/>
  <c r="V379"/>
  <c r="X379"/>
  <c r="Z379" s="1"/>
  <c r="BY22" i="55"/>
  <c r="D383" i="53"/>
  <c r="N22" i="55" s="1"/>
  <c r="BD23"/>
  <c r="G384" i="53"/>
  <c r="AB378" i="1"/>
  <c r="AE378" s="1"/>
  <c r="AM378" s="1"/>
  <c r="AA378"/>
  <c r="E385" i="53" s="1"/>
  <c r="AC378" i="1"/>
  <c r="E367" i="38"/>
  <c r="D367"/>
  <c r="Z367"/>
  <c r="AA367" s="1"/>
  <c r="F367"/>
  <c r="AM367" s="1"/>
  <c r="E386" i="52"/>
  <c r="V372" i="48"/>
  <c r="F372"/>
  <c r="Y372" s="1"/>
  <c r="AN366" i="38"/>
  <c r="AR366" s="1"/>
  <c r="AO366"/>
  <c r="AP366" s="1"/>
  <c r="AQ366" s="1"/>
  <c r="F387" i="52"/>
  <c r="E385" i="1"/>
  <c r="A392" i="53"/>
  <c r="B393" s="1"/>
  <c r="K385" i="1"/>
  <c r="N385" s="1"/>
  <c r="A385"/>
  <c r="L385"/>
  <c r="M384" s="1"/>
  <c r="C385"/>
  <c r="D385" s="1"/>
  <c r="A369" i="26"/>
  <c r="B369" s="1"/>
  <c r="B386" i="1"/>
  <c r="B368" i="38"/>
  <c r="AF376" i="1"/>
  <c r="AD377"/>
  <c r="S382"/>
  <c r="P384"/>
  <c r="O363" i="38"/>
  <c r="AK384" i="1"/>
  <c r="AI384"/>
  <c r="AL384"/>
  <c r="AJ384"/>
  <c r="BC384"/>
  <c r="AH384"/>
  <c r="E373" i="48"/>
  <c r="X373" s="1"/>
  <c r="C373"/>
  <c r="B374"/>
  <c r="D373"/>
  <c r="W373" s="1"/>
  <c r="CT21" i="55"/>
  <c r="I383" i="53"/>
  <c r="W383" i="1"/>
  <c r="R383"/>
  <c r="AS365" i="38" l="1"/>
  <c r="AU365" s="1"/>
  <c r="AV365" s="1"/>
  <c r="BA365" s="1"/>
  <c r="BB365" s="1"/>
  <c r="BH365" s="1"/>
  <c r="BJ365" s="1"/>
  <c r="P365" s="1"/>
  <c r="O365" s="1"/>
  <c r="BD24" i="55"/>
  <c r="G385" i="53"/>
  <c r="BD381" i="1"/>
  <c r="BE381" s="1"/>
  <c r="T381" s="1"/>
  <c r="U381" s="1"/>
  <c r="BA382"/>
  <c r="BY23" i="55"/>
  <c r="D384" i="53"/>
  <c r="N23" i="55" s="1"/>
  <c r="AB379" i="1"/>
  <c r="AE379" s="1"/>
  <c r="AM379" s="1"/>
  <c r="AC379"/>
  <c r="AA379"/>
  <c r="E386" i="53" s="1"/>
  <c r="V380" i="1"/>
  <c r="X380"/>
  <c r="Z380" s="1"/>
  <c r="CT22" i="55"/>
  <c r="I384" i="53"/>
  <c r="C374" i="48"/>
  <c r="D374"/>
  <c r="W374" s="1"/>
  <c r="E374"/>
  <c r="X374" s="1"/>
  <c r="B375"/>
  <c r="R384" i="1"/>
  <c r="W384"/>
  <c r="AF377"/>
  <c r="AD378"/>
  <c r="P385"/>
  <c r="F373" i="48"/>
  <c r="Y373" s="1"/>
  <c r="V373"/>
  <c r="F368" i="38"/>
  <c r="AM368" s="1"/>
  <c r="E368"/>
  <c r="D368"/>
  <c r="Z368"/>
  <c r="AA368" s="1"/>
  <c r="E387" i="52"/>
  <c r="S383" i="1"/>
  <c r="E386"/>
  <c r="F388" i="52"/>
  <c r="C386" i="1"/>
  <c r="D386" s="1"/>
  <c r="A386"/>
  <c r="B369" i="38"/>
  <c r="K386" i="1"/>
  <c r="N386" s="1"/>
  <c r="A370" i="26"/>
  <c r="B370" s="1"/>
  <c r="A393" i="53"/>
  <c r="B394" s="1"/>
  <c r="L386" i="1"/>
  <c r="M385" s="1"/>
  <c r="B387"/>
  <c r="AI385"/>
  <c r="BC385"/>
  <c r="AJ385"/>
  <c r="AK385"/>
  <c r="AH385"/>
  <c r="AL385"/>
  <c r="BK366" i="38"/>
  <c r="AS366"/>
  <c r="AU366" s="1"/>
  <c r="AV366" s="1"/>
  <c r="BA366" s="1"/>
  <c r="BB366" s="1"/>
  <c r="BH366" s="1"/>
  <c r="BJ366" s="1"/>
  <c r="P366" s="1"/>
  <c r="AO367"/>
  <c r="AP367" s="1"/>
  <c r="AQ367" s="1"/>
  <c r="AN367"/>
  <c r="AR367" l="1"/>
  <c r="BK367" s="1"/>
  <c r="AA380" i="1"/>
  <c r="E387" i="53" s="1"/>
  <c r="AC380" i="1"/>
  <c r="AB380"/>
  <c r="AE380" s="1"/>
  <c r="AM380" s="1"/>
  <c r="V381"/>
  <c r="X381"/>
  <c r="Z381" s="1"/>
  <c r="BD25" i="55"/>
  <c r="G386" i="53"/>
  <c r="BY24" i="55"/>
  <c r="D385" i="53"/>
  <c r="N24" i="55" s="1"/>
  <c r="BD382" i="1"/>
  <c r="BE382" s="1"/>
  <c r="T382" s="1"/>
  <c r="U382" s="1"/>
  <c r="BA383"/>
  <c r="E369" i="38"/>
  <c r="D369"/>
  <c r="Z369"/>
  <c r="AA369" s="1"/>
  <c r="F369"/>
  <c r="AM369" s="1"/>
  <c r="E388" i="52"/>
  <c r="W385" i="1"/>
  <c r="R385"/>
  <c r="AF378"/>
  <c r="AD379"/>
  <c r="S384"/>
  <c r="F374" i="48"/>
  <c r="Y374" s="1"/>
  <c r="V374"/>
  <c r="AL386" i="1"/>
  <c r="AK386"/>
  <c r="AJ386"/>
  <c r="AI386"/>
  <c r="AH386"/>
  <c r="BC386"/>
  <c r="O366" i="38"/>
  <c r="C387" i="1"/>
  <c r="D387" s="1"/>
  <c r="F389" i="52"/>
  <c r="K387" i="1"/>
  <c r="N387" s="1"/>
  <c r="A371" i="26"/>
  <c r="B371" s="1"/>
  <c r="A394" i="53"/>
  <c r="B395" s="1"/>
  <c r="L387" i="1"/>
  <c r="M386" s="1"/>
  <c r="E387"/>
  <c r="A387"/>
  <c r="B388"/>
  <c r="B370" i="38"/>
  <c r="P386" i="1"/>
  <c r="AN368" i="38"/>
  <c r="AO368"/>
  <c r="AP368" s="1"/>
  <c r="AQ368" s="1"/>
  <c r="E375" i="48"/>
  <c r="X375" s="1"/>
  <c r="C375"/>
  <c r="D375"/>
  <c r="W375" s="1"/>
  <c r="B376"/>
  <c r="CT23" i="55"/>
  <c r="I385" i="53"/>
  <c r="AS367" i="38" l="1"/>
  <c r="AU367" s="1"/>
  <c r="AV367" s="1"/>
  <c r="BA367" s="1"/>
  <c r="BB367" s="1"/>
  <c r="BH367" s="1"/>
  <c r="BJ367" s="1"/>
  <c r="P367" s="1"/>
  <c r="O367" s="1"/>
  <c r="BD383" i="1"/>
  <c r="BE383" s="1"/>
  <c r="T383" s="1"/>
  <c r="U383" s="1"/>
  <c r="BA384"/>
  <c r="V382"/>
  <c r="X382"/>
  <c r="Z382" s="1"/>
  <c r="BY25" i="55"/>
  <c r="D386" i="53"/>
  <c r="N25" i="55" s="1"/>
  <c r="AB381" i="1"/>
  <c r="AE381" s="1"/>
  <c r="AM381" s="1"/>
  <c r="AA381"/>
  <c r="E388" i="53" s="1"/>
  <c r="AC381" i="1"/>
  <c r="BD26" i="55"/>
  <c r="G387" i="53"/>
  <c r="W386" i="1"/>
  <c r="R386"/>
  <c r="D370" i="38"/>
  <c r="E370"/>
  <c r="F370"/>
  <c r="AM370" s="1"/>
  <c r="Z370"/>
  <c r="AA370" s="1"/>
  <c r="AD12" a="1"/>
  <c r="AD12" s="1"/>
  <c r="D18" i="8" s="1"/>
  <c r="AN369" i="38"/>
  <c r="AR369" s="1"/>
  <c r="AO369"/>
  <c r="AP369" s="1"/>
  <c r="AQ369" s="1"/>
  <c r="AG16" a="1"/>
  <c r="AG16" s="1"/>
  <c r="AE8" a="1"/>
  <c r="AE8" s="1"/>
  <c r="E14" i="8" s="1"/>
  <c r="AI8" i="38" a="1"/>
  <c r="AI8" s="1"/>
  <c r="AI15" a="1"/>
  <c r="AI15" s="1"/>
  <c r="C376" i="48"/>
  <c r="E376"/>
  <c r="X376" s="1"/>
  <c r="B377"/>
  <c r="D376"/>
  <c r="W376" s="1"/>
  <c r="F390" i="52"/>
  <c r="E388" i="1"/>
  <c r="A388"/>
  <c r="A395" i="53"/>
  <c r="B396" s="1"/>
  <c r="K388" i="1"/>
  <c r="N388" s="1"/>
  <c r="B389"/>
  <c r="L388"/>
  <c r="M387" s="1"/>
  <c r="C388"/>
  <c r="D388" s="1"/>
  <c r="B371" i="38"/>
  <c r="A372" i="26"/>
  <c r="B372" s="1"/>
  <c r="AF379" i="1"/>
  <c r="AD380"/>
  <c r="AD16" i="38" a="1"/>
  <c r="AD16" s="1"/>
  <c r="D22" i="8" s="1"/>
  <c r="AE12" i="38" a="1"/>
  <c r="AE12" s="1"/>
  <c r="E18" i="8" s="1"/>
  <c r="AI5" i="38" a="1"/>
  <c r="AI5" s="1"/>
  <c r="AH16" a="1"/>
  <c r="AH16" s="1"/>
  <c r="AH6" a="1"/>
  <c r="AH6" s="1"/>
  <c r="AI387" i="1"/>
  <c r="AL387"/>
  <c r="AJ387"/>
  <c r="AH387"/>
  <c r="AK387"/>
  <c r="BC387"/>
  <c r="C370" i="38"/>
  <c r="AH12" a="1"/>
  <c r="AH12" s="1"/>
  <c r="AH9" a="1"/>
  <c r="AH9" s="1"/>
  <c r="AG9" a="1"/>
  <c r="AG9" s="1"/>
  <c r="CT24" i="55"/>
  <c r="I386" i="53"/>
  <c r="F375" i="48"/>
  <c r="Y375" s="1"/>
  <c r="V375"/>
  <c r="AR368" i="38"/>
  <c r="E389" i="52"/>
  <c r="P387" i="1"/>
  <c r="S385"/>
  <c r="AH8" i="38" a="1"/>
  <c r="AH8" s="1"/>
  <c r="AF11" a="1"/>
  <c r="AF11" s="1"/>
  <c r="F17" i="8" s="1"/>
  <c r="AE7" i="38" a="1"/>
  <c r="AE7" s="1"/>
  <c r="E13" i="8" s="1"/>
  <c r="D387" i="53" l="1"/>
  <c r="N26" i="55" s="1"/>
  <c r="BY26"/>
  <c r="BD384" i="1"/>
  <c r="BE384" s="1"/>
  <c r="T384" s="1"/>
  <c r="U384" s="1"/>
  <c r="BA385"/>
  <c r="V383"/>
  <c r="X383"/>
  <c r="Z383" s="1"/>
  <c r="BD27" i="55"/>
  <c r="G388" i="53"/>
  <c r="AB382" i="1"/>
  <c r="AE382" s="1"/>
  <c r="AM382" s="1"/>
  <c r="AC382"/>
  <c r="AA382"/>
  <c r="E389" i="53" s="1"/>
  <c r="D371" i="38"/>
  <c r="F371"/>
  <c r="AM371" s="1"/>
  <c r="E371"/>
  <c r="Z371"/>
  <c r="AA371" s="1"/>
  <c r="P388" i="1"/>
  <c r="AO370" i="38"/>
  <c r="AP370" s="1"/>
  <c r="AQ370" s="1"/>
  <c r="AN370"/>
  <c r="AW18" i="8"/>
  <c r="C13" i="19"/>
  <c r="F13" s="1"/>
  <c r="F376" i="48"/>
  <c r="Y376" s="1"/>
  <c r="V376"/>
  <c r="C9" i="19"/>
  <c r="F9" s="1"/>
  <c r="AW14" i="8"/>
  <c r="BK369" i="38"/>
  <c r="AS369"/>
  <c r="AU369" s="1"/>
  <c r="AV369" s="1"/>
  <c r="BA369" s="1"/>
  <c r="BB369" s="1"/>
  <c r="BH369" s="1"/>
  <c r="BJ369" s="1"/>
  <c r="P369" s="1"/>
  <c r="O369" s="1"/>
  <c r="AW13" i="8"/>
  <c r="C8" i="19"/>
  <c r="F8" s="1"/>
  <c r="BK368" i="38"/>
  <c r="AS368"/>
  <c r="AU368" s="1"/>
  <c r="AV368" s="1"/>
  <c r="BA368" s="1"/>
  <c r="BB368" s="1"/>
  <c r="BH368" s="1"/>
  <c r="BJ368" s="1"/>
  <c r="P368" s="1"/>
  <c r="AU22" i="8"/>
  <c r="AV22"/>
  <c r="AJ388" i="1"/>
  <c r="AK388"/>
  <c r="AM388"/>
  <c r="AL388"/>
  <c r="AI388"/>
  <c r="AC388"/>
  <c r="AH388"/>
  <c r="BC388"/>
  <c r="AE6" i="38" a="1"/>
  <c r="AE6" s="1"/>
  <c r="E12" i="8" s="1"/>
  <c r="AH13" i="38" a="1"/>
  <c r="AH13" s="1"/>
  <c r="AD5" a="1"/>
  <c r="AD5" s="1"/>
  <c r="D11" i="8" s="1"/>
  <c r="AH11" i="38" a="1"/>
  <c r="AH11" s="1"/>
  <c r="AI16" a="1"/>
  <c r="AI16" s="1"/>
  <c r="AD13" a="1"/>
  <c r="AD13" s="1"/>
  <c r="D19" i="8" s="1"/>
  <c r="AH14" i="38" a="1"/>
  <c r="AH14" s="1"/>
  <c r="AH10" a="1"/>
  <c r="AH10" s="1"/>
  <c r="AD15" a="1"/>
  <c r="AD15" s="1"/>
  <c r="D21" i="8" s="1"/>
  <c r="AE16" i="38" a="1"/>
  <c r="AE16" s="1"/>
  <c r="E22" i="8" s="1"/>
  <c r="AG10" i="38" a="1"/>
  <c r="AG10" s="1"/>
  <c r="AG7" a="1"/>
  <c r="AG7" s="1"/>
  <c r="AG13" a="1"/>
  <c r="AG13" s="1"/>
  <c r="AH15" a="1"/>
  <c r="AH15" s="1"/>
  <c r="AD7" a="1"/>
  <c r="AD7" s="1"/>
  <c r="D13" i="8" s="1"/>
  <c r="AE15" i="38" a="1"/>
  <c r="AE15" s="1"/>
  <c r="E21" i="8" s="1"/>
  <c r="AD11" i="38" a="1"/>
  <c r="AD11" s="1"/>
  <c r="D17" i="8" s="1"/>
  <c r="AE11" i="38" a="1"/>
  <c r="AE11" s="1"/>
  <c r="E17" i="8" s="1"/>
  <c r="AI12" i="38" a="1"/>
  <c r="AI12" s="1"/>
  <c r="AG11" a="1"/>
  <c r="AG11" s="1"/>
  <c r="AD8" a="1"/>
  <c r="AD8" s="1"/>
  <c r="D14" i="8" s="1"/>
  <c r="AG12" i="38" a="1"/>
  <c r="AG12" s="1"/>
  <c r="AG8" a="1"/>
  <c r="AG8" s="1"/>
  <c r="AF12" a="1"/>
  <c r="AF12" s="1"/>
  <c r="F18" i="8" s="1"/>
  <c r="AH5" i="38" a="1"/>
  <c r="AH5" s="1"/>
  <c r="AF14" a="1"/>
  <c r="AF14" s="1"/>
  <c r="F20" i="8" s="1"/>
  <c r="AE13" i="38" a="1"/>
  <c r="AE13" s="1"/>
  <c r="E19" i="8" s="1"/>
  <c r="AG5" i="38" a="1"/>
  <c r="AG5" s="1"/>
  <c r="AF16" a="1"/>
  <c r="AF16" s="1"/>
  <c r="F22" i="8" s="1"/>
  <c r="AD10" i="38" a="1"/>
  <c r="AD10" s="1"/>
  <c r="D16" i="8" s="1"/>
  <c r="AG15" i="38" a="1"/>
  <c r="AG15" s="1"/>
  <c r="AF10" a="1"/>
  <c r="AF10" s="1"/>
  <c r="F16" i="8" s="1"/>
  <c r="AF6" i="38" a="1"/>
  <c r="AF6" s="1"/>
  <c r="F12" i="8" s="1"/>
  <c r="AD14" i="38" a="1"/>
  <c r="AD14" s="1"/>
  <c r="D20" i="8" s="1"/>
  <c r="AH7" i="38" a="1"/>
  <c r="AH7" s="1"/>
  <c r="AD6" a="1"/>
  <c r="AD6" s="1"/>
  <c r="D12" i="8" s="1"/>
  <c r="AG14" i="38" a="1"/>
  <c r="AG14" s="1"/>
  <c r="AF15" a="1"/>
  <c r="AF15" s="1"/>
  <c r="F21" i="8" s="1"/>
  <c r="AF5" i="38" a="1"/>
  <c r="AF5" s="1"/>
  <c r="F11" i="8" s="1"/>
  <c r="AF9" i="38" a="1"/>
  <c r="AF9" s="1"/>
  <c r="F15" i="8" s="1"/>
  <c r="AI7" i="38" a="1"/>
  <c r="AI7" s="1"/>
  <c r="AI10" a="1"/>
  <c r="AI10" s="1"/>
  <c r="AI11" a="1"/>
  <c r="AI11" s="1"/>
  <c r="AD9" a="1"/>
  <c r="AD9" s="1"/>
  <c r="D15" i="8" s="1"/>
  <c r="AE10" i="38" a="1"/>
  <c r="AE10" s="1"/>
  <c r="E16" i="8" s="1"/>
  <c r="AF7" i="38" a="1"/>
  <c r="AF7" s="1"/>
  <c r="F13" i="8" s="1"/>
  <c r="BC13" s="1"/>
  <c r="AE14" i="38" a="1"/>
  <c r="AE14" s="1"/>
  <c r="E20" i="8" s="1"/>
  <c r="AG6" i="38" a="1"/>
  <c r="AG6" s="1"/>
  <c r="AI9" a="1"/>
  <c r="AI9" s="1"/>
  <c r="AE9" a="1"/>
  <c r="AE9" s="1"/>
  <c r="E15" i="8" s="1"/>
  <c r="AI6" i="38" a="1"/>
  <c r="AI6" s="1"/>
  <c r="AF8" a="1"/>
  <c r="AF8" s="1"/>
  <c r="F14" i="8" s="1"/>
  <c r="AF13" i="38" a="1"/>
  <c r="AF13" s="1"/>
  <c r="F19" i="8" s="1"/>
  <c r="AI13" i="38" a="1"/>
  <c r="AI13" s="1"/>
  <c r="AI14" a="1"/>
  <c r="AI14" s="1"/>
  <c r="AE5" a="1"/>
  <c r="AE5" s="1"/>
  <c r="E11" i="8" s="1"/>
  <c r="AX17"/>
  <c r="C12" i="21"/>
  <c r="F12" s="1"/>
  <c r="W387" i="1"/>
  <c r="R387"/>
  <c r="CT25" i="55"/>
  <c r="I387" i="53"/>
  <c r="AF380" i="1"/>
  <c r="AD381"/>
  <c r="F391" i="52"/>
  <c r="L389" i="1"/>
  <c r="M388" s="1"/>
  <c r="A373" i="26"/>
  <c r="B373" s="1"/>
  <c r="A389" i="1"/>
  <c r="K389"/>
  <c r="N389" s="1"/>
  <c r="C389"/>
  <c r="D389" s="1"/>
  <c r="B390"/>
  <c r="E389"/>
  <c r="A396" i="53"/>
  <c r="B397" s="1"/>
  <c r="B372" i="38"/>
  <c r="E390" i="52"/>
  <c r="D377" i="48"/>
  <c r="W377" s="1"/>
  <c r="E377"/>
  <c r="X377" s="1"/>
  <c r="B378"/>
  <c r="C377"/>
  <c r="AV18" i="8"/>
  <c r="BA18" s="1"/>
  <c r="AU18"/>
  <c r="BB18" s="1"/>
  <c r="S386" i="1"/>
  <c r="AR370" i="38" l="1"/>
  <c r="G389" i="53"/>
  <c r="BD28" i="55"/>
  <c r="V384" i="1"/>
  <c r="X384"/>
  <c r="Z384" s="1"/>
  <c r="AA383"/>
  <c r="E390" i="53" s="1"/>
  <c r="AC383" i="1"/>
  <c r="AB383"/>
  <c r="AE383" s="1"/>
  <c r="AM383" s="1"/>
  <c r="BY27" i="55"/>
  <c r="D388" i="53"/>
  <c r="N27" i="55" s="1"/>
  <c r="BD385" i="1"/>
  <c r="BE385" s="1"/>
  <c r="T385" s="1"/>
  <c r="U385" s="1"/>
  <c r="BA386"/>
  <c r="BG13" i="8"/>
  <c r="BH13" s="1"/>
  <c r="V377" i="48"/>
  <c r="F377"/>
  <c r="Y377" s="1"/>
  <c r="P389" i="1"/>
  <c r="AF381"/>
  <c r="AD382"/>
  <c r="S387"/>
  <c r="C9" i="21"/>
  <c r="F9" s="1"/>
  <c r="AX14" i="8"/>
  <c r="AU15"/>
  <c r="AV15"/>
  <c r="BA15" s="1"/>
  <c r="AX15"/>
  <c r="C10" i="21"/>
  <c r="F10" s="1"/>
  <c r="AV12" i="8"/>
  <c r="BA12" s="1"/>
  <c r="AU12"/>
  <c r="AX16"/>
  <c r="C11" i="21"/>
  <c r="F11" s="1"/>
  <c r="AX18" i="8"/>
  <c r="C13" i="21"/>
  <c r="F13" s="1"/>
  <c r="BK21" i="8"/>
  <c r="AW21"/>
  <c r="N21"/>
  <c r="BC21"/>
  <c r="C16" i="19"/>
  <c r="BE18" i="8"/>
  <c r="BF18" s="1"/>
  <c r="W388" i="1"/>
  <c r="R388"/>
  <c r="AN371" i="38"/>
  <c r="AO371"/>
  <c r="AP371" s="1"/>
  <c r="AQ371" s="1"/>
  <c r="C378" i="48"/>
  <c r="E378"/>
  <c r="X378" s="1"/>
  <c r="B379"/>
  <c r="D378"/>
  <c r="W378" s="1"/>
  <c r="E391" i="52"/>
  <c r="AI389" i="1"/>
  <c r="AK389"/>
  <c r="BC389"/>
  <c r="AL389"/>
  <c r="AC389"/>
  <c r="AM389"/>
  <c r="AJ389"/>
  <c r="AH389"/>
  <c r="G237" i="22"/>
  <c r="G234"/>
  <c r="G223"/>
  <c r="G220"/>
  <c r="G235"/>
  <c r="G246"/>
  <c r="G241"/>
  <c r="G222"/>
  <c r="G242"/>
  <c r="G218"/>
  <c r="G239"/>
  <c r="G233"/>
  <c r="G238"/>
  <c r="G227"/>
  <c r="G230"/>
  <c r="G240"/>
  <c r="G224"/>
  <c r="G226"/>
  <c r="G236"/>
  <c r="G225"/>
  <c r="G221"/>
  <c r="G243"/>
  <c r="G228"/>
  <c r="G231"/>
  <c r="G244"/>
  <c r="G229"/>
  <c r="G219"/>
  <c r="G247"/>
  <c r="G232"/>
  <c r="G245"/>
  <c r="F252"/>
  <c r="F251"/>
  <c r="F254"/>
  <c r="F264"/>
  <c r="F273"/>
  <c r="F277"/>
  <c r="F278"/>
  <c r="F258"/>
  <c r="F262"/>
  <c r="F249"/>
  <c r="F266"/>
  <c r="F267"/>
  <c r="F272"/>
  <c r="F269"/>
  <c r="F248"/>
  <c r="F250"/>
  <c r="F261"/>
  <c r="F270"/>
  <c r="F263"/>
  <c r="F268"/>
  <c r="F276"/>
  <c r="F256"/>
  <c r="F271"/>
  <c r="F275"/>
  <c r="F265"/>
  <c r="F255"/>
  <c r="F259"/>
  <c r="F274"/>
  <c r="F260"/>
  <c r="F257"/>
  <c r="F253"/>
  <c r="BK20" i="8"/>
  <c r="N20" s="1"/>
  <c r="AW20"/>
  <c r="C15" i="19"/>
  <c r="F15" s="1"/>
  <c r="BC20" i="8"/>
  <c r="AX11"/>
  <c r="C6" i="21"/>
  <c r="BK19" i="8"/>
  <c r="AW19"/>
  <c r="C14" i="19"/>
  <c r="F14" s="1"/>
  <c r="BC19" i="8"/>
  <c r="AU13"/>
  <c r="AV13"/>
  <c r="BA13" s="1"/>
  <c r="AV11"/>
  <c r="BA11" s="1"/>
  <c r="AU11"/>
  <c r="BB11" s="1"/>
  <c r="BA22"/>
  <c r="BB22" s="1"/>
  <c r="O368" i="38"/>
  <c r="BC14" i="8"/>
  <c r="BK18"/>
  <c r="F392" i="52"/>
  <c r="A397" i="53"/>
  <c r="B398" s="1"/>
  <c r="L390" i="1"/>
  <c r="M389" s="1"/>
  <c r="K390"/>
  <c r="N390" s="1"/>
  <c r="E390"/>
  <c r="A374" i="26"/>
  <c r="B374" s="1"/>
  <c r="C390" i="1"/>
  <c r="D390" s="1"/>
  <c r="B373" i="38"/>
  <c r="A390" i="1"/>
  <c r="B391"/>
  <c r="CT26" i="55"/>
  <c r="I388" i="53"/>
  <c r="BK15" i="8"/>
  <c r="BC15"/>
  <c r="C10" i="19"/>
  <c r="F10" s="1"/>
  <c r="AW15" i="8"/>
  <c r="BE15" s="1"/>
  <c r="BF15" s="1"/>
  <c r="AX13"/>
  <c r="BE13" s="1"/>
  <c r="BF13" s="1"/>
  <c r="BJ13" s="1"/>
  <c r="C8" i="21"/>
  <c r="F8" s="1"/>
  <c r="AX21" i="8"/>
  <c r="C16" i="21"/>
  <c r="AV20" i="8"/>
  <c r="BA20" s="1"/>
  <c r="AU20"/>
  <c r="AV16"/>
  <c r="BA16" s="1"/>
  <c r="AU16"/>
  <c r="AX20"/>
  <c r="C15" i="21"/>
  <c r="F15" s="1"/>
  <c r="BK17" i="8"/>
  <c r="N17"/>
  <c r="AW17"/>
  <c r="BE17" s="1"/>
  <c r="BF17" s="1"/>
  <c r="C12" i="19"/>
  <c r="F12" s="1"/>
  <c r="BC17" i="8"/>
  <c r="BC22"/>
  <c r="AW22"/>
  <c r="C17" i="19"/>
  <c r="BK22" i="8"/>
  <c r="N22" s="1"/>
  <c r="AU19"/>
  <c r="BB19" s="1"/>
  <c r="AV19"/>
  <c r="BA19" s="1"/>
  <c r="BE14"/>
  <c r="BF14" s="1"/>
  <c r="BK14"/>
  <c r="G268" i="20"/>
  <c r="G276"/>
  <c r="G278"/>
  <c r="G266"/>
  <c r="G272"/>
  <c r="G260"/>
  <c r="G274"/>
  <c r="G269"/>
  <c r="G261"/>
  <c r="G267"/>
  <c r="G258"/>
  <c r="G257"/>
  <c r="G252"/>
  <c r="G277"/>
  <c r="G264"/>
  <c r="G256"/>
  <c r="F304"/>
  <c r="F308"/>
  <c r="F290"/>
  <c r="G259"/>
  <c r="G253"/>
  <c r="G254"/>
  <c r="G275"/>
  <c r="G248"/>
  <c r="G273"/>
  <c r="G249"/>
  <c r="G250"/>
  <c r="G255"/>
  <c r="G271"/>
  <c r="G263"/>
  <c r="G270"/>
  <c r="G262"/>
  <c r="G251"/>
  <c r="G265"/>
  <c r="F281"/>
  <c r="F291"/>
  <c r="F297"/>
  <c r="F280"/>
  <c r="F283"/>
  <c r="F287"/>
  <c r="F295"/>
  <c r="F301"/>
  <c r="F279"/>
  <c r="F288"/>
  <c r="F303"/>
  <c r="F292"/>
  <c r="F285"/>
  <c r="F298"/>
  <c r="F296"/>
  <c r="F299"/>
  <c r="F300"/>
  <c r="F302"/>
  <c r="F282"/>
  <c r="F294"/>
  <c r="F293"/>
  <c r="F306"/>
  <c r="F289"/>
  <c r="F284"/>
  <c r="F286"/>
  <c r="F307"/>
  <c r="F305"/>
  <c r="E372" i="38"/>
  <c r="Z372"/>
  <c r="AA372" s="1"/>
  <c r="D372"/>
  <c r="F372"/>
  <c r="AM372" s="1"/>
  <c r="BC11" i="8"/>
  <c r="C6" i="19"/>
  <c r="BK11" i="8"/>
  <c r="N11" s="1"/>
  <c r="AW11"/>
  <c r="BE11" s="1"/>
  <c r="BF11" s="1"/>
  <c r="AX19"/>
  <c r="C14" i="21"/>
  <c r="F14" s="1"/>
  <c r="BK16" i="8"/>
  <c r="N16" s="1"/>
  <c r="BC16"/>
  <c r="C11" i="19"/>
  <c r="F11" s="1"/>
  <c r="AW16" i="8"/>
  <c r="AX12"/>
  <c r="C7" i="21"/>
  <c r="AX22" i="8"/>
  <c r="C17" i="21"/>
  <c r="AU14" i="8"/>
  <c r="AV14"/>
  <c r="BA14" s="1"/>
  <c r="AU17"/>
  <c r="AV17"/>
  <c r="BA17" s="1"/>
  <c r="AV21"/>
  <c r="BA21" s="1"/>
  <c r="AU21"/>
  <c r="BK12"/>
  <c r="N12" s="1"/>
  <c r="C7" i="19"/>
  <c r="BC12" i="8"/>
  <c r="AW12"/>
  <c r="G113" i="20"/>
  <c r="G103"/>
  <c r="G105"/>
  <c r="G114"/>
  <c r="G112"/>
  <c r="G98"/>
  <c r="G125"/>
  <c r="G117"/>
  <c r="G116"/>
  <c r="G97"/>
  <c r="G121"/>
  <c r="G99"/>
  <c r="G107"/>
  <c r="G100"/>
  <c r="F147"/>
  <c r="F153"/>
  <c r="F139"/>
  <c r="F148"/>
  <c r="G118"/>
  <c r="G109"/>
  <c r="G104"/>
  <c r="G122"/>
  <c r="G110"/>
  <c r="G115"/>
  <c r="G119"/>
  <c r="G123"/>
  <c r="G101"/>
  <c r="G124"/>
  <c r="G111"/>
  <c r="G120"/>
  <c r="G96"/>
  <c r="G106"/>
  <c r="G108"/>
  <c r="G102"/>
  <c r="F156"/>
  <c r="M156" s="1"/>
  <c r="F149"/>
  <c r="M149" s="1"/>
  <c r="F144"/>
  <c r="F136"/>
  <c r="F146"/>
  <c r="F128"/>
  <c r="M128" s="1"/>
  <c r="F130"/>
  <c r="F141"/>
  <c r="F135"/>
  <c r="F151"/>
  <c r="M151" s="1"/>
  <c r="F126"/>
  <c r="F134"/>
  <c r="F137"/>
  <c r="F127"/>
  <c r="M127" s="1"/>
  <c r="F150"/>
  <c r="F152"/>
  <c r="F155"/>
  <c r="F131"/>
  <c r="M131" s="1"/>
  <c r="F132"/>
  <c r="F140"/>
  <c r="F154"/>
  <c r="F138"/>
  <c r="F143"/>
  <c r="F129"/>
  <c r="F133"/>
  <c r="F142"/>
  <c r="F145"/>
  <c r="BK13" i="8"/>
  <c r="N13" s="1"/>
  <c r="G128" i="20"/>
  <c r="G148"/>
  <c r="G155"/>
  <c r="G131"/>
  <c r="G138"/>
  <c r="G140"/>
  <c r="G133"/>
  <c r="G130"/>
  <c r="G127"/>
  <c r="G134"/>
  <c r="G135"/>
  <c r="G149"/>
  <c r="G126"/>
  <c r="G136"/>
  <c r="G142"/>
  <c r="G151"/>
  <c r="F175"/>
  <c r="F174"/>
  <c r="F170"/>
  <c r="F182"/>
  <c r="F167"/>
  <c r="F176"/>
  <c r="F162"/>
  <c r="F161"/>
  <c r="F184"/>
  <c r="F163"/>
  <c r="G132"/>
  <c r="G154"/>
  <c r="G156"/>
  <c r="G150"/>
  <c r="G152"/>
  <c r="G147"/>
  <c r="G143"/>
  <c r="G139"/>
  <c r="G144"/>
  <c r="G153"/>
  <c r="G145"/>
  <c r="G146"/>
  <c r="G129"/>
  <c r="G141"/>
  <c r="G137"/>
  <c r="F169"/>
  <c r="F159"/>
  <c r="F177"/>
  <c r="F168"/>
  <c r="F160"/>
  <c r="F183"/>
  <c r="F181"/>
  <c r="F165"/>
  <c r="F185"/>
  <c r="F171"/>
  <c r="F186"/>
  <c r="F172"/>
  <c r="F173"/>
  <c r="F179"/>
  <c r="F157"/>
  <c r="F158"/>
  <c r="F180"/>
  <c r="F164"/>
  <c r="F166"/>
  <c r="F178"/>
  <c r="BC18" i="8"/>
  <c r="BK370" i="38"/>
  <c r="AS370"/>
  <c r="AU370" s="1"/>
  <c r="AV370" s="1"/>
  <c r="BA370" s="1"/>
  <c r="BB370" s="1"/>
  <c r="BH370" s="1"/>
  <c r="BJ370" s="1"/>
  <c r="P370" s="1"/>
  <c r="O370" s="1"/>
  <c r="BE16" i="8" l="1"/>
  <c r="BF16" s="1"/>
  <c r="N15"/>
  <c r="N14"/>
  <c r="BB16"/>
  <c r="BB15"/>
  <c r="M145" i="20"/>
  <c r="M138"/>
  <c r="M153"/>
  <c r="BE12" i="8"/>
  <c r="BF12" s="1"/>
  <c r="BJ12" s="1"/>
  <c r="BB13"/>
  <c r="M126" i="20"/>
  <c r="BB20" i="8"/>
  <c r="M143" i="20"/>
  <c r="S388" i="1"/>
  <c r="BD386"/>
  <c r="BE386" s="1"/>
  <c r="T386" s="1"/>
  <c r="U386" s="1"/>
  <c r="BA387"/>
  <c r="AB384"/>
  <c r="AE384" s="1"/>
  <c r="AM384" s="1"/>
  <c r="AA384"/>
  <c r="E391" i="53" s="1"/>
  <c r="AC384" i="1"/>
  <c r="V385"/>
  <c r="X385"/>
  <c r="Z385" s="1"/>
  <c r="G390" i="53"/>
  <c r="BD29" i="55"/>
  <c r="BY28"/>
  <c r="D389" i="53"/>
  <c r="N28" i="55" s="1"/>
  <c r="BJ18" i="8"/>
  <c r="BD17"/>
  <c r="BG18"/>
  <c r="BH18" s="1"/>
  <c r="M129" i="20"/>
  <c r="M140"/>
  <c r="M152"/>
  <c r="M134"/>
  <c r="M141"/>
  <c r="M136"/>
  <c r="M148"/>
  <c r="BD11" i="8"/>
  <c r="BG12"/>
  <c r="BH12" s="1"/>
  <c r="BB21"/>
  <c r="BB17"/>
  <c r="BB14"/>
  <c r="BJ11"/>
  <c r="BD22"/>
  <c r="BG11"/>
  <c r="BH11" s="1"/>
  <c r="BI11" s="1"/>
  <c r="F5" i="19"/>
  <c r="F17"/>
  <c r="BD16" i="8"/>
  <c r="BG17"/>
  <c r="BH17" s="1"/>
  <c r="BI17" s="1"/>
  <c r="CT27" i="55"/>
  <c r="I389" i="53"/>
  <c r="AJ390" i="1"/>
  <c r="AH390"/>
  <c r="AI390"/>
  <c r="AC390"/>
  <c r="AL390"/>
  <c r="BC390"/>
  <c r="AM390"/>
  <c r="AK390"/>
  <c r="E392" i="52"/>
  <c r="BJ14" i="8"/>
  <c r="BD13"/>
  <c r="BG14"/>
  <c r="BH14" s="1"/>
  <c r="AK10" i="38" a="1"/>
  <c r="AK10" s="1"/>
  <c r="L16" i="8" s="1"/>
  <c r="K16" s="1"/>
  <c r="C11" i="4" s="1"/>
  <c r="F11" s="1"/>
  <c r="AK12" i="38" a="1"/>
  <c r="AK12" s="1"/>
  <c r="L18" i="8" s="1"/>
  <c r="K18" s="1"/>
  <c r="C13" i="4" s="1"/>
  <c r="F13" s="1"/>
  <c r="AK5" i="38" a="1"/>
  <c r="AK5" s="1"/>
  <c r="AJ5" a="1"/>
  <c r="AJ5" s="1"/>
  <c r="AJ12" a="1"/>
  <c r="AJ12" s="1"/>
  <c r="AJ7" a="1"/>
  <c r="AJ7" s="1"/>
  <c r="AJ6" a="1"/>
  <c r="AJ6" s="1"/>
  <c r="AJ16" a="1"/>
  <c r="AJ16" s="1"/>
  <c r="AJ13" a="1"/>
  <c r="AJ13" s="1"/>
  <c r="AJ11" a="1"/>
  <c r="AJ11" s="1"/>
  <c r="AJ8" a="1"/>
  <c r="AJ8" s="1"/>
  <c r="AJ14" a="1"/>
  <c r="AJ14" s="1"/>
  <c r="AJ15" a="1"/>
  <c r="AJ15" s="1"/>
  <c r="AJ9" a="1"/>
  <c r="AJ9" s="1"/>
  <c r="AJ10" a="1"/>
  <c r="AJ10" s="1"/>
  <c r="BD19" i="8"/>
  <c r="BG20"/>
  <c r="BH20" s="1"/>
  <c r="V378" i="48"/>
  <c r="F378"/>
  <c r="Y378" s="1"/>
  <c r="F4" i="19"/>
  <c r="F16"/>
  <c r="G162" i="22"/>
  <c r="G165"/>
  <c r="G185"/>
  <c r="G174"/>
  <c r="G181"/>
  <c r="G164"/>
  <c r="G177"/>
  <c r="G182"/>
  <c r="G167"/>
  <c r="G158"/>
  <c r="G179"/>
  <c r="G180"/>
  <c r="G183"/>
  <c r="G168"/>
  <c r="G178"/>
  <c r="F211"/>
  <c r="F188"/>
  <c r="F199"/>
  <c r="F194"/>
  <c r="F206"/>
  <c r="F189"/>
  <c r="F217"/>
  <c r="F195"/>
  <c r="F190"/>
  <c r="G173"/>
  <c r="G171"/>
  <c r="G175"/>
  <c r="G166"/>
  <c r="G169"/>
  <c r="G160"/>
  <c r="G186"/>
  <c r="G159"/>
  <c r="G157"/>
  <c r="G163"/>
  <c r="G161"/>
  <c r="G172"/>
  <c r="G184"/>
  <c r="G170"/>
  <c r="G176"/>
  <c r="F204"/>
  <c r="F207"/>
  <c r="F216"/>
  <c r="F209"/>
  <c r="F202"/>
  <c r="F214"/>
  <c r="F200"/>
  <c r="F213"/>
  <c r="F203"/>
  <c r="F212"/>
  <c r="F197"/>
  <c r="F215"/>
  <c r="F201"/>
  <c r="F187"/>
  <c r="F208"/>
  <c r="F193"/>
  <c r="F192"/>
  <c r="F205"/>
  <c r="F210"/>
  <c r="F191"/>
  <c r="F196"/>
  <c r="F198"/>
  <c r="W389" i="1"/>
  <c r="R389"/>
  <c r="BI13" i="8"/>
  <c r="M13" s="1"/>
  <c r="M132" i="20"/>
  <c r="M150"/>
  <c r="M130"/>
  <c r="M144"/>
  <c r="M139"/>
  <c r="F19" i="19"/>
  <c r="F7"/>
  <c r="F5" i="21"/>
  <c r="F17"/>
  <c r="AO372" i="38"/>
  <c r="AP372" s="1"/>
  <c r="AQ372" s="1"/>
  <c r="AN372"/>
  <c r="BE22" i="8"/>
  <c r="BF22" s="1"/>
  <c r="BJ22" s="1"/>
  <c r="G241" i="20"/>
  <c r="G235"/>
  <c r="G221"/>
  <c r="G244"/>
  <c r="G219"/>
  <c r="G229"/>
  <c r="G223"/>
  <c r="G225"/>
  <c r="G238"/>
  <c r="G232"/>
  <c r="G234"/>
  <c r="G228"/>
  <c r="G246"/>
  <c r="G240"/>
  <c r="F257"/>
  <c r="M257" s="1"/>
  <c r="F251"/>
  <c r="M251" s="1"/>
  <c r="G242"/>
  <c r="G236"/>
  <c r="G222"/>
  <c r="G247"/>
  <c r="G218"/>
  <c r="G243"/>
  <c r="G230"/>
  <c r="G224"/>
  <c r="G226"/>
  <c r="G220"/>
  <c r="G237"/>
  <c r="G231"/>
  <c r="G233"/>
  <c r="G227"/>
  <c r="G245"/>
  <c r="G239"/>
  <c r="F252"/>
  <c r="M252" s="1"/>
  <c r="F272"/>
  <c r="M272" s="1"/>
  <c r="F266"/>
  <c r="M266" s="1"/>
  <c r="F256"/>
  <c r="M256" s="1"/>
  <c r="F250"/>
  <c r="M250" s="1"/>
  <c r="F270"/>
  <c r="M270" s="1"/>
  <c r="F259"/>
  <c r="M259" s="1"/>
  <c r="F254"/>
  <c r="M254" s="1"/>
  <c r="F262"/>
  <c r="M262" s="1"/>
  <c r="F263"/>
  <c r="M263" s="1"/>
  <c r="F276"/>
  <c r="M276" s="1"/>
  <c r="F258"/>
  <c r="M258" s="1"/>
  <c r="F267"/>
  <c r="M267" s="1"/>
  <c r="F271"/>
  <c r="M271" s="1"/>
  <c r="F278"/>
  <c r="M278" s="1"/>
  <c r="F274"/>
  <c r="M274" s="1"/>
  <c r="F277"/>
  <c r="M277" s="1"/>
  <c r="F261"/>
  <c r="M261" s="1"/>
  <c r="F264"/>
  <c r="M264" s="1"/>
  <c r="F260"/>
  <c r="M260" s="1"/>
  <c r="F273"/>
  <c r="M273" s="1"/>
  <c r="F269"/>
  <c r="M269" s="1"/>
  <c r="F265"/>
  <c r="M265" s="1"/>
  <c r="F249"/>
  <c r="M249" s="1"/>
  <c r="F268"/>
  <c r="M268" s="1"/>
  <c r="F255"/>
  <c r="M255" s="1"/>
  <c r="F248"/>
  <c r="M248" s="1"/>
  <c r="F253"/>
  <c r="M253" s="1"/>
  <c r="F275"/>
  <c r="M275" s="1"/>
  <c r="G332" i="22"/>
  <c r="G337"/>
  <c r="G320"/>
  <c r="G329"/>
  <c r="G310"/>
  <c r="G335"/>
  <c r="G336"/>
  <c r="G321"/>
  <c r="G328"/>
  <c r="G338"/>
  <c r="G322"/>
  <c r="G318"/>
  <c r="G331"/>
  <c r="G325"/>
  <c r="G324"/>
  <c r="G319"/>
  <c r="F350"/>
  <c r="F345"/>
  <c r="G312"/>
  <c r="G334"/>
  <c r="G323"/>
  <c r="G317"/>
  <c r="G316"/>
  <c r="G311"/>
  <c r="G315"/>
  <c r="G326"/>
  <c r="G314"/>
  <c r="G309"/>
  <c r="G333"/>
  <c r="G327"/>
  <c r="G339"/>
  <c r="G313"/>
  <c r="G330"/>
  <c r="F369"/>
  <c r="F342"/>
  <c r="F364"/>
  <c r="F352"/>
  <c r="F361"/>
  <c r="F357"/>
  <c r="F341"/>
  <c r="F348"/>
  <c r="F359"/>
  <c r="F367"/>
  <c r="F365"/>
  <c r="F344"/>
  <c r="F340"/>
  <c r="F363"/>
  <c r="F358"/>
  <c r="F354"/>
  <c r="F360"/>
  <c r="F349"/>
  <c r="F355"/>
  <c r="F368"/>
  <c r="F353"/>
  <c r="F343"/>
  <c r="F346"/>
  <c r="F356"/>
  <c r="F347"/>
  <c r="F362"/>
  <c r="F366"/>
  <c r="F351"/>
  <c r="F4" i="21"/>
  <c r="F16"/>
  <c r="E373" i="38"/>
  <c r="D373"/>
  <c r="Z373"/>
  <c r="AA373" s="1"/>
  <c r="F373"/>
  <c r="AM373" s="1"/>
  <c r="P390" i="1"/>
  <c r="AK11" i="38" a="1"/>
  <c r="AK11" s="1"/>
  <c r="L17" i="8" s="1"/>
  <c r="K17" s="1"/>
  <c r="AK7" i="38" a="1"/>
  <c r="AK7" s="1"/>
  <c r="L13" i="8" s="1"/>
  <c r="K13" s="1"/>
  <c r="C8" i="4" s="1"/>
  <c r="F8" s="1"/>
  <c r="AK14" i="38" a="1"/>
  <c r="AK14" s="1"/>
  <c r="L20" i="8" s="1"/>
  <c r="K20" s="1"/>
  <c r="C15" i="4" s="1"/>
  <c r="F15" s="1"/>
  <c r="BD18" i="8"/>
  <c r="BG19"/>
  <c r="BH19" s="1"/>
  <c r="BI19" s="1"/>
  <c r="N19"/>
  <c r="G328" i="20"/>
  <c r="G317"/>
  <c r="G339"/>
  <c r="G332"/>
  <c r="G333"/>
  <c r="G319"/>
  <c r="G334"/>
  <c r="G337"/>
  <c r="G309"/>
  <c r="G324"/>
  <c r="G327"/>
  <c r="G325"/>
  <c r="G321"/>
  <c r="G335"/>
  <c r="G331"/>
  <c r="F353"/>
  <c r="F361"/>
  <c r="F367"/>
  <c r="F350"/>
  <c r="G311"/>
  <c r="G326"/>
  <c r="G330"/>
  <c r="G314"/>
  <c r="G316"/>
  <c r="G313"/>
  <c r="G320"/>
  <c r="G323"/>
  <c r="G329"/>
  <c r="G336"/>
  <c r="G318"/>
  <c r="G338"/>
  <c r="G312"/>
  <c r="G322"/>
  <c r="G315"/>
  <c r="G310"/>
  <c r="F341"/>
  <c r="F357"/>
  <c r="F352"/>
  <c r="F343"/>
  <c r="F345"/>
  <c r="F365"/>
  <c r="F363"/>
  <c r="F346"/>
  <c r="F358"/>
  <c r="F347"/>
  <c r="F368"/>
  <c r="F351"/>
  <c r="F348"/>
  <c r="F354"/>
  <c r="F362"/>
  <c r="F356"/>
  <c r="F359"/>
  <c r="F366"/>
  <c r="F342"/>
  <c r="F355"/>
  <c r="F369"/>
  <c r="F340"/>
  <c r="F344"/>
  <c r="F360"/>
  <c r="F364"/>
  <c r="F349"/>
  <c r="AR371" i="38"/>
  <c r="BD20" i="8"/>
  <c r="BG21"/>
  <c r="BH21" s="1"/>
  <c r="G272" i="22"/>
  <c r="G252"/>
  <c r="M252" s="1"/>
  <c r="G270"/>
  <c r="G251"/>
  <c r="M251" s="1"/>
  <c r="G271"/>
  <c r="M271" s="1"/>
  <c r="G250"/>
  <c r="M250" s="1"/>
  <c r="G273"/>
  <c r="G248"/>
  <c r="M248" s="1"/>
  <c r="G268"/>
  <c r="M268" s="1"/>
  <c r="G276"/>
  <c r="M276" s="1"/>
  <c r="G266"/>
  <c r="M266" s="1"/>
  <c r="G278"/>
  <c r="M278" s="1"/>
  <c r="G249"/>
  <c r="G259"/>
  <c r="M259" s="1"/>
  <c r="G269"/>
  <c r="F298"/>
  <c r="F302"/>
  <c r="G267"/>
  <c r="M267" s="1"/>
  <c r="G264"/>
  <c r="M264" s="1"/>
  <c r="G262"/>
  <c r="G256"/>
  <c r="G275"/>
  <c r="M275" s="1"/>
  <c r="G258"/>
  <c r="M258" s="1"/>
  <c r="G265"/>
  <c r="G255"/>
  <c r="G260"/>
  <c r="M260" s="1"/>
  <c r="G261"/>
  <c r="M261" s="1"/>
  <c r="G274"/>
  <c r="M274" s="1"/>
  <c r="G254"/>
  <c r="M254" s="1"/>
  <c r="G263"/>
  <c r="M263" s="1"/>
  <c r="G253"/>
  <c r="M253" s="1"/>
  <c r="G277"/>
  <c r="G257"/>
  <c r="M257" s="1"/>
  <c r="F284"/>
  <c r="F280"/>
  <c r="F289"/>
  <c r="F282"/>
  <c r="F307"/>
  <c r="F300"/>
  <c r="F308"/>
  <c r="F305"/>
  <c r="F295"/>
  <c r="F291"/>
  <c r="F281"/>
  <c r="F301"/>
  <c r="F297"/>
  <c r="F287"/>
  <c r="F292"/>
  <c r="F283"/>
  <c r="F290"/>
  <c r="F288"/>
  <c r="F304"/>
  <c r="F279"/>
  <c r="F285"/>
  <c r="F306"/>
  <c r="F296"/>
  <c r="F293"/>
  <c r="F294"/>
  <c r="F303"/>
  <c r="F286"/>
  <c r="F299"/>
  <c r="BB12" i="8"/>
  <c r="AF382" i="1"/>
  <c r="AD383"/>
  <c r="BD12" i="8"/>
  <c r="M142" i="20"/>
  <c r="G192"/>
  <c r="G198"/>
  <c r="G201"/>
  <c r="G196"/>
  <c r="G195"/>
  <c r="G194"/>
  <c r="G197"/>
  <c r="G212"/>
  <c r="G207"/>
  <c r="G213"/>
  <c r="G191"/>
  <c r="G214"/>
  <c r="G190"/>
  <c r="G216"/>
  <c r="G193"/>
  <c r="G211"/>
  <c r="F234"/>
  <c r="M234" s="1"/>
  <c r="F230"/>
  <c r="M230" s="1"/>
  <c r="G215"/>
  <c r="G210"/>
  <c r="G205"/>
  <c r="G188"/>
  <c r="G208"/>
  <c r="G206"/>
  <c r="G204"/>
  <c r="G209"/>
  <c r="G217"/>
  <c r="G189"/>
  <c r="G200"/>
  <c r="G203"/>
  <c r="G199"/>
  <c r="G202"/>
  <c r="G187"/>
  <c r="F222"/>
  <c r="M222" s="1"/>
  <c r="F246"/>
  <c r="M246" s="1"/>
  <c r="F238"/>
  <c r="F232"/>
  <c r="F229"/>
  <c r="F236"/>
  <c r="F218"/>
  <c r="M218" s="1"/>
  <c r="F245"/>
  <c r="M245" s="1"/>
  <c r="F224"/>
  <c r="F244"/>
  <c r="M244" s="1"/>
  <c r="F221"/>
  <c r="M221" s="1"/>
  <c r="F223"/>
  <c r="M223" s="1"/>
  <c r="F225"/>
  <c r="F231"/>
  <c r="F241"/>
  <c r="M241" s="1"/>
  <c r="F239"/>
  <c r="M239" s="1"/>
  <c r="F220"/>
  <c r="F228"/>
  <c r="M228" s="1"/>
  <c r="F240"/>
  <c r="M240" s="1"/>
  <c r="F237"/>
  <c r="F243"/>
  <c r="F235"/>
  <c r="F226"/>
  <c r="M226" s="1"/>
  <c r="F247"/>
  <c r="M247" s="1"/>
  <c r="F227"/>
  <c r="M227" s="1"/>
  <c r="F233"/>
  <c r="M233" s="1"/>
  <c r="F242"/>
  <c r="F219"/>
  <c r="G289" i="22"/>
  <c r="G280"/>
  <c r="G305"/>
  <c r="G307"/>
  <c r="G303"/>
  <c r="G287"/>
  <c r="G282"/>
  <c r="G302"/>
  <c r="G299"/>
  <c r="G285"/>
  <c r="G283"/>
  <c r="G288"/>
  <c r="G286"/>
  <c r="G308"/>
  <c r="G300"/>
  <c r="F314"/>
  <c r="F312"/>
  <c r="G301"/>
  <c r="G295"/>
  <c r="G292"/>
  <c r="G279"/>
  <c r="G304"/>
  <c r="G297"/>
  <c r="G281"/>
  <c r="G296"/>
  <c r="G284"/>
  <c r="G290"/>
  <c r="G298"/>
  <c r="G291"/>
  <c r="G294"/>
  <c r="G293"/>
  <c r="G306"/>
  <c r="F325"/>
  <c r="F317"/>
  <c r="M317" s="1"/>
  <c r="F316"/>
  <c r="M316" s="1"/>
  <c r="F326"/>
  <c r="M326" s="1"/>
  <c r="F339"/>
  <c r="F328"/>
  <c r="M328" s="1"/>
  <c r="F310"/>
  <c r="F321"/>
  <c r="F327"/>
  <c r="F329"/>
  <c r="F311"/>
  <c r="M311" s="1"/>
  <c r="F320"/>
  <c r="M320" s="1"/>
  <c r="F330"/>
  <c r="M330" s="1"/>
  <c r="F336"/>
  <c r="M336" s="1"/>
  <c r="F323"/>
  <c r="F331"/>
  <c r="F309"/>
  <c r="F324"/>
  <c r="F332"/>
  <c r="M332" s="1"/>
  <c r="F318"/>
  <c r="F315"/>
  <c r="M315" s="1"/>
  <c r="F333"/>
  <c r="F319"/>
  <c r="M319" s="1"/>
  <c r="F322"/>
  <c r="F334"/>
  <c r="F335"/>
  <c r="M335" s="1"/>
  <c r="F313"/>
  <c r="M313" s="1"/>
  <c r="F338"/>
  <c r="M338" s="1"/>
  <c r="F337"/>
  <c r="M337" s="1"/>
  <c r="BD21" i="8"/>
  <c r="BG22"/>
  <c r="BH22" s="1"/>
  <c r="BI22" s="1"/>
  <c r="G183" i="20"/>
  <c r="M183" s="1"/>
  <c r="G166"/>
  <c r="M166" s="1"/>
  <c r="G159"/>
  <c r="M159" s="1"/>
  <c r="G177"/>
  <c r="M177" s="1"/>
  <c r="G170"/>
  <c r="M170" s="1"/>
  <c r="G184"/>
  <c r="M184" s="1"/>
  <c r="G179"/>
  <c r="M179" s="1"/>
  <c r="G172"/>
  <c r="G165"/>
  <c r="G180"/>
  <c r="M180" s="1"/>
  <c r="G173"/>
  <c r="M173" s="1"/>
  <c r="G158"/>
  <c r="G167"/>
  <c r="M167" s="1"/>
  <c r="G163"/>
  <c r="M163" s="1"/>
  <c r="G164"/>
  <c r="M164" s="1"/>
  <c r="F188"/>
  <c r="M188" s="1"/>
  <c r="F211"/>
  <c r="G182"/>
  <c r="M182" s="1"/>
  <c r="G174"/>
  <c r="M174" s="1"/>
  <c r="G171"/>
  <c r="M171" s="1"/>
  <c r="G186"/>
  <c r="M186" s="1"/>
  <c r="G157"/>
  <c r="M157" s="1"/>
  <c r="G176"/>
  <c r="M176" s="1"/>
  <c r="G175"/>
  <c r="M175" s="1"/>
  <c r="G178"/>
  <c r="G181"/>
  <c r="M181" s="1"/>
  <c r="G162"/>
  <c r="M162" s="1"/>
  <c r="G160"/>
  <c r="M160" s="1"/>
  <c r="G169"/>
  <c r="M169" s="1"/>
  <c r="G185"/>
  <c r="M185" s="1"/>
  <c r="G168"/>
  <c r="G161"/>
  <c r="M161" s="1"/>
  <c r="F214"/>
  <c r="F194"/>
  <c r="M194" s="1"/>
  <c r="F190"/>
  <c r="M190" s="1"/>
  <c r="F200"/>
  <c r="M200" s="1"/>
  <c r="F199"/>
  <c r="F195"/>
  <c r="M195" s="1"/>
  <c r="F203"/>
  <c r="M203" s="1"/>
  <c r="F217"/>
  <c r="F215"/>
  <c r="F207"/>
  <c r="F197"/>
  <c r="M197" s="1"/>
  <c r="F187"/>
  <c r="M187" s="1"/>
  <c r="F209"/>
  <c r="M209" s="1"/>
  <c r="F196"/>
  <c r="M196" s="1"/>
  <c r="F193"/>
  <c r="F191"/>
  <c r="F205"/>
  <c r="F216"/>
  <c r="M216" s="1"/>
  <c r="F213"/>
  <c r="M213" s="1"/>
  <c r="F202"/>
  <c r="F206"/>
  <c r="F201"/>
  <c r="M201" s="1"/>
  <c r="F212"/>
  <c r="F198"/>
  <c r="F189"/>
  <c r="F192"/>
  <c r="F210"/>
  <c r="M210" s="1"/>
  <c r="F204"/>
  <c r="M204" s="1"/>
  <c r="F208"/>
  <c r="AK8" i="38" a="1"/>
  <c r="AK8" s="1"/>
  <c r="L14" i="8" s="1"/>
  <c r="K14" s="1"/>
  <c r="C9" i="4" s="1"/>
  <c r="F9" s="1"/>
  <c r="AK13" i="38" a="1"/>
  <c r="AK13" s="1"/>
  <c r="L19" i="8" s="1"/>
  <c r="K19" s="1"/>
  <c r="C14" i="4" s="1"/>
  <c r="F14" s="1"/>
  <c r="AK16" i="38" a="1"/>
  <c r="AK16" s="1"/>
  <c r="L22" i="8" s="1"/>
  <c r="K22" s="1"/>
  <c r="C17" i="4" s="1"/>
  <c r="G295" i="20"/>
  <c r="M295" s="1"/>
  <c r="G301"/>
  <c r="M301" s="1"/>
  <c r="G296"/>
  <c r="M296" s="1"/>
  <c r="G305"/>
  <c r="M305" s="1"/>
  <c r="G288"/>
  <c r="M288" s="1"/>
  <c r="G306"/>
  <c r="M306" s="1"/>
  <c r="G279"/>
  <c r="M279" s="1"/>
  <c r="G294"/>
  <c r="G292"/>
  <c r="G287"/>
  <c r="M287" s="1"/>
  <c r="G297"/>
  <c r="M297" s="1"/>
  <c r="G284"/>
  <c r="M284" s="1"/>
  <c r="G302"/>
  <c r="M302" s="1"/>
  <c r="G308"/>
  <c r="M308" s="1"/>
  <c r="F312"/>
  <c r="M312" s="1"/>
  <c r="F323"/>
  <c r="G303"/>
  <c r="M303" s="1"/>
  <c r="G290"/>
  <c r="M290" s="1"/>
  <c r="G304"/>
  <c r="M304" s="1"/>
  <c r="G283"/>
  <c r="M283" s="1"/>
  <c r="G293"/>
  <c r="M293" s="1"/>
  <c r="G307"/>
  <c r="M307" s="1"/>
  <c r="G282"/>
  <c r="M282" s="1"/>
  <c r="G291"/>
  <c r="M291" s="1"/>
  <c r="G299"/>
  <c r="G286"/>
  <c r="M286" s="1"/>
  <c r="G300"/>
  <c r="M300" s="1"/>
  <c r="G280"/>
  <c r="M280" s="1"/>
  <c r="G289"/>
  <c r="M289" s="1"/>
  <c r="G298"/>
  <c r="M298" s="1"/>
  <c r="G281"/>
  <c r="M281" s="1"/>
  <c r="G285"/>
  <c r="M285" s="1"/>
  <c r="F329"/>
  <c r="F311"/>
  <c r="M311" s="1"/>
  <c r="F316"/>
  <c r="M316" s="1"/>
  <c r="F314"/>
  <c r="M314" s="1"/>
  <c r="F317"/>
  <c r="F313"/>
  <c r="M313" s="1"/>
  <c r="F309"/>
  <c r="F331"/>
  <c r="M331" s="1"/>
  <c r="F338"/>
  <c r="F330"/>
  <c r="M330" s="1"/>
  <c r="F335"/>
  <c r="M335" s="1"/>
  <c r="F322"/>
  <c r="M322" s="1"/>
  <c r="F324"/>
  <c r="F334"/>
  <c r="M334" s="1"/>
  <c r="F326"/>
  <c r="F315"/>
  <c r="F327"/>
  <c r="F337"/>
  <c r="M337" s="1"/>
  <c r="F310"/>
  <c r="M310" s="1"/>
  <c r="F321"/>
  <c r="M321" s="1"/>
  <c r="F320"/>
  <c r="F325"/>
  <c r="M325" s="1"/>
  <c r="F336"/>
  <c r="F339"/>
  <c r="F328"/>
  <c r="F333"/>
  <c r="F318"/>
  <c r="M318" s="1"/>
  <c r="F319"/>
  <c r="M319" s="1"/>
  <c r="F332"/>
  <c r="M332" s="1"/>
  <c r="F6" i="21"/>
  <c r="F18"/>
  <c r="BE20" i="8"/>
  <c r="BF20" s="1"/>
  <c r="M255" i="22"/>
  <c r="M256"/>
  <c r="M270"/>
  <c r="M269"/>
  <c r="M249"/>
  <c r="M277"/>
  <c r="C379" i="48"/>
  <c r="E379"/>
  <c r="X379" s="1"/>
  <c r="D379"/>
  <c r="W379" s="1"/>
  <c r="B380"/>
  <c r="G140" i="22"/>
  <c r="G130"/>
  <c r="G127"/>
  <c r="G144"/>
  <c r="G146"/>
  <c r="G156"/>
  <c r="G141"/>
  <c r="G131"/>
  <c r="G153"/>
  <c r="G136"/>
  <c r="G149"/>
  <c r="G139"/>
  <c r="G150"/>
  <c r="G135"/>
  <c r="G154"/>
  <c r="F184"/>
  <c r="F171"/>
  <c r="M171" s="1"/>
  <c r="F176"/>
  <c r="M176" s="1"/>
  <c r="F162"/>
  <c r="M162" s="1"/>
  <c r="G129"/>
  <c r="G133"/>
  <c r="G147"/>
  <c r="G142"/>
  <c r="G137"/>
  <c r="G148"/>
  <c r="G132"/>
  <c r="G138"/>
  <c r="G145"/>
  <c r="G126"/>
  <c r="G151"/>
  <c r="G134"/>
  <c r="G128"/>
  <c r="G155"/>
  <c r="G152"/>
  <c r="G143"/>
  <c r="F168"/>
  <c r="F161"/>
  <c r="M161" s="1"/>
  <c r="F177"/>
  <c r="M177" s="1"/>
  <c r="F164"/>
  <c r="M164" s="1"/>
  <c r="F175"/>
  <c r="M175" s="1"/>
  <c r="F183"/>
  <c r="F169"/>
  <c r="F158"/>
  <c r="M158" s="1"/>
  <c r="F165"/>
  <c r="M165" s="1"/>
  <c r="F170"/>
  <c r="F186"/>
  <c r="M186" s="1"/>
  <c r="F174"/>
  <c r="M174" s="1"/>
  <c r="F180"/>
  <c r="M180" s="1"/>
  <c r="F182"/>
  <c r="F167"/>
  <c r="M167" s="1"/>
  <c r="F160"/>
  <c r="F157"/>
  <c r="F172"/>
  <c r="F178"/>
  <c r="M178" s="1"/>
  <c r="F179"/>
  <c r="M179" s="1"/>
  <c r="F185"/>
  <c r="M185" s="1"/>
  <c r="F163"/>
  <c r="M163" s="1"/>
  <c r="F173"/>
  <c r="M173" s="1"/>
  <c r="F181"/>
  <c r="F166"/>
  <c r="F159"/>
  <c r="M178" i="20"/>
  <c r="M158"/>
  <c r="M172"/>
  <c r="M165"/>
  <c r="M168"/>
  <c r="M133"/>
  <c r="M154"/>
  <c r="M155"/>
  <c r="M137"/>
  <c r="M135"/>
  <c r="M146"/>
  <c r="M147"/>
  <c r="F19" i="21"/>
  <c r="F7"/>
  <c r="BJ16" i="8"/>
  <c r="BD15"/>
  <c r="BG16"/>
  <c r="BH16" s="1"/>
  <c r="BI16" s="1"/>
  <c r="F6" i="19"/>
  <c r="F18"/>
  <c r="N18" i="8"/>
  <c r="M294" i="20"/>
  <c r="M299"/>
  <c r="M292"/>
  <c r="G105" i="22"/>
  <c r="G102"/>
  <c r="G111"/>
  <c r="G125"/>
  <c r="G109"/>
  <c r="G121"/>
  <c r="G97"/>
  <c r="G117"/>
  <c r="G100"/>
  <c r="G124"/>
  <c r="G123"/>
  <c r="G107"/>
  <c r="G114"/>
  <c r="G120"/>
  <c r="G99"/>
  <c r="G101"/>
  <c r="F139"/>
  <c r="M139" s="1"/>
  <c r="F148"/>
  <c r="F126"/>
  <c r="M126" s="1"/>
  <c r="F152"/>
  <c r="M152" s="1"/>
  <c r="F147"/>
  <c r="M147" s="1"/>
  <c r="F132"/>
  <c r="F131"/>
  <c r="F133"/>
  <c r="M133" s="1"/>
  <c r="F145"/>
  <c r="M145" s="1"/>
  <c r="F154"/>
  <c r="F140"/>
  <c r="M140" s="1"/>
  <c r="G113"/>
  <c r="G118"/>
  <c r="G103"/>
  <c r="G115"/>
  <c r="G112"/>
  <c r="G108"/>
  <c r="G122"/>
  <c r="G96"/>
  <c r="G106"/>
  <c r="G98"/>
  <c r="G104"/>
  <c r="G116"/>
  <c r="G110"/>
  <c r="G119"/>
  <c r="F142"/>
  <c r="F149"/>
  <c r="M149" s="1"/>
  <c r="F143"/>
  <c r="M143" s="1"/>
  <c r="F127"/>
  <c r="M127" s="1"/>
  <c r="F136"/>
  <c r="F146"/>
  <c r="M146" s="1"/>
  <c r="F134"/>
  <c r="F137"/>
  <c r="F144"/>
  <c r="F128"/>
  <c r="F156"/>
  <c r="M156" s="1"/>
  <c r="F151"/>
  <c r="M151" s="1"/>
  <c r="F150"/>
  <c r="M150" s="1"/>
  <c r="F135"/>
  <c r="M135" s="1"/>
  <c r="F130"/>
  <c r="F153"/>
  <c r="F138"/>
  <c r="F141"/>
  <c r="F155"/>
  <c r="M155" s="1"/>
  <c r="F129"/>
  <c r="M129" s="1"/>
  <c r="BD14" i="8"/>
  <c r="BG15"/>
  <c r="BH15" s="1"/>
  <c r="F393" i="52"/>
  <c r="E391" i="1"/>
  <c r="A398" i="53"/>
  <c r="B399" s="1"/>
  <c r="A375" i="26"/>
  <c r="B375" s="1"/>
  <c r="C391" i="1"/>
  <c r="D391" s="1"/>
  <c r="L391"/>
  <c r="M390" s="1"/>
  <c r="K391"/>
  <c r="N391" s="1"/>
  <c r="B374" i="38"/>
  <c r="B392" i="1"/>
  <c r="A391"/>
  <c r="AK6" i="38" a="1"/>
  <c r="AK6" s="1"/>
  <c r="L12" i="8" s="1"/>
  <c r="K12" s="1"/>
  <c r="C7" i="4" s="1"/>
  <c r="AK15" i="38" a="1"/>
  <c r="AK15" s="1"/>
  <c r="L21" i="8" s="1"/>
  <c r="K21" s="1"/>
  <c r="C16" i="4" s="1"/>
  <c r="AK9" i="38" a="1"/>
  <c r="AK9" s="1"/>
  <c r="L15" i="8" s="1"/>
  <c r="K15" s="1"/>
  <c r="C10" i="4" s="1"/>
  <c r="F10" s="1"/>
  <c r="BE19" i="8"/>
  <c r="BF19" s="1"/>
  <c r="BJ19" s="1"/>
  <c r="M265" i="22"/>
  <c r="M272"/>
  <c r="M262"/>
  <c r="M273"/>
  <c r="BE21" i="8"/>
  <c r="BF21" s="1"/>
  <c r="BJ21" s="1"/>
  <c r="G193" i="22"/>
  <c r="G207"/>
  <c r="G215"/>
  <c r="G190"/>
  <c r="G198"/>
  <c r="G204"/>
  <c r="G212"/>
  <c r="G191"/>
  <c r="G199"/>
  <c r="G213"/>
  <c r="G205"/>
  <c r="G206"/>
  <c r="G214"/>
  <c r="G189"/>
  <c r="G196"/>
  <c r="F223"/>
  <c r="M223" s="1"/>
  <c r="F235"/>
  <c r="M235" s="1"/>
  <c r="F243"/>
  <c r="M243" s="1"/>
  <c r="F240"/>
  <c r="M240" s="1"/>
  <c r="G197"/>
  <c r="G211"/>
  <c r="G187"/>
  <c r="G194"/>
  <c r="G203"/>
  <c r="G208"/>
  <c r="G216"/>
  <c r="G195"/>
  <c r="G200"/>
  <c r="G217"/>
  <c r="G209"/>
  <c r="G201"/>
  <c r="G192"/>
  <c r="G202"/>
  <c r="G210"/>
  <c r="G188"/>
  <c r="F232"/>
  <c r="M232" s="1"/>
  <c r="F239"/>
  <c r="M239" s="1"/>
  <c r="F247"/>
  <c r="M247" s="1"/>
  <c r="F219"/>
  <c r="M219" s="1"/>
  <c r="F244"/>
  <c r="M244" s="1"/>
  <c r="F234"/>
  <c r="M234" s="1"/>
  <c r="F228"/>
  <c r="M228" s="1"/>
  <c r="F231"/>
  <c r="M231" s="1"/>
  <c r="F222"/>
  <c r="M222" s="1"/>
  <c r="F246"/>
  <c r="M246" s="1"/>
  <c r="F230"/>
  <c r="M230" s="1"/>
  <c r="F227"/>
  <c r="M227" s="1"/>
  <c r="F225"/>
  <c r="M225" s="1"/>
  <c r="F220"/>
  <c r="M220" s="1"/>
  <c r="F221"/>
  <c r="M221" s="1"/>
  <c r="F238"/>
  <c r="M238" s="1"/>
  <c r="F224"/>
  <c r="M224" s="1"/>
  <c r="F233"/>
  <c r="M233" s="1"/>
  <c r="F229"/>
  <c r="M229" s="1"/>
  <c r="F245"/>
  <c r="M245" s="1"/>
  <c r="F241"/>
  <c r="M241" s="1"/>
  <c r="F226"/>
  <c r="M226" s="1"/>
  <c r="F236"/>
  <c r="M236" s="1"/>
  <c r="F237"/>
  <c r="M237" s="1"/>
  <c r="F218"/>
  <c r="M218" s="1"/>
  <c r="F242"/>
  <c r="M242" s="1"/>
  <c r="M136" l="1"/>
  <c r="M132"/>
  <c r="M182"/>
  <c r="M183"/>
  <c r="M320" i="20"/>
  <c r="M324"/>
  <c r="M317"/>
  <c r="M208"/>
  <c r="M206"/>
  <c r="M199"/>
  <c r="M339" i="22"/>
  <c r="M220" i="20"/>
  <c r="M224"/>
  <c r="M184" i="22"/>
  <c r="M202" i="20"/>
  <c r="M318" i="22"/>
  <c r="BI15" i="8"/>
  <c r="M15" s="1"/>
  <c r="M131" i="22"/>
  <c r="M169"/>
  <c r="M212" i="20"/>
  <c r="M193"/>
  <c r="M323" i="22"/>
  <c r="M310"/>
  <c r="M242" i="20"/>
  <c r="M238"/>
  <c r="M153" i="22"/>
  <c r="M137"/>
  <c r="M166"/>
  <c r="M157"/>
  <c r="M168"/>
  <c r="BJ20" i="8"/>
  <c r="M339" i="20"/>
  <c r="M315"/>
  <c r="M323"/>
  <c r="M333" i="22"/>
  <c r="BJ15" i="8"/>
  <c r="M130" i="22"/>
  <c r="M134"/>
  <c r="M181"/>
  <c r="M160"/>
  <c r="M336" i="20"/>
  <c r="M326"/>
  <c r="M309"/>
  <c r="M198"/>
  <c r="M191"/>
  <c r="M217"/>
  <c r="M322" i="22"/>
  <c r="M331"/>
  <c r="M321"/>
  <c r="M314"/>
  <c r="M219" i="20"/>
  <c r="M237"/>
  <c r="M232"/>
  <c r="M138" i="22"/>
  <c r="M144"/>
  <c r="M142"/>
  <c r="M154"/>
  <c r="M148"/>
  <c r="M159"/>
  <c r="M172"/>
  <c r="M170"/>
  <c r="M328" i="20"/>
  <c r="M327"/>
  <c r="M338"/>
  <c r="M329"/>
  <c r="M189"/>
  <c r="M205"/>
  <c r="M215"/>
  <c r="M214"/>
  <c r="M211"/>
  <c r="M334" i="22"/>
  <c r="M309"/>
  <c r="M327"/>
  <c r="M325"/>
  <c r="M312"/>
  <c r="M243" i="20"/>
  <c r="M225"/>
  <c r="M229"/>
  <c r="AR372" i="38"/>
  <c r="M141" i="22"/>
  <c r="M128"/>
  <c r="M333" i="20"/>
  <c r="M192"/>
  <c r="M207"/>
  <c r="M324" i="22"/>
  <c r="M329"/>
  <c r="M235" i="20"/>
  <c r="M231"/>
  <c r="M236"/>
  <c r="BJ17" i="8"/>
  <c r="S389" i="1"/>
  <c r="G391" i="53"/>
  <c r="BD30" i="55"/>
  <c r="AA385" i="1"/>
  <c r="E392" i="53" s="1"/>
  <c r="AC385" i="1"/>
  <c r="AB385"/>
  <c r="AE385" s="1"/>
  <c r="AM385" s="1"/>
  <c r="BD387"/>
  <c r="BE387" s="1"/>
  <c r="T387" s="1"/>
  <c r="U387" s="1"/>
  <c r="BA388"/>
  <c r="D390" i="53"/>
  <c r="N29" i="55" s="1"/>
  <c r="BY29"/>
  <c r="V386" i="1"/>
  <c r="X386"/>
  <c r="E374" i="38"/>
  <c r="Z374"/>
  <c r="AA374" s="1"/>
  <c r="D374"/>
  <c r="F374"/>
  <c r="AM374" s="1"/>
  <c r="G401" i="20"/>
  <c r="G402"/>
  <c r="G404"/>
  <c r="G410"/>
  <c r="G414"/>
  <c r="G407"/>
  <c r="G425"/>
  <c r="G420"/>
  <c r="G418"/>
  <c r="G427"/>
  <c r="G429"/>
  <c r="G416"/>
  <c r="G403"/>
  <c r="G422"/>
  <c r="G412"/>
  <c r="G406"/>
  <c r="G411"/>
  <c r="G423"/>
  <c r="G408"/>
  <c r="G405"/>
  <c r="G417"/>
  <c r="G419"/>
  <c r="G424"/>
  <c r="G428"/>
  <c r="G413"/>
  <c r="G409"/>
  <c r="G415"/>
  <c r="G426"/>
  <c r="G421"/>
  <c r="F439"/>
  <c r="F440"/>
  <c r="F438"/>
  <c r="F433"/>
  <c r="F432"/>
  <c r="F457"/>
  <c r="F451"/>
  <c r="F448"/>
  <c r="F446"/>
  <c r="F445"/>
  <c r="F443"/>
  <c r="F444"/>
  <c r="F460"/>
  <c r="F454"/>
  <c r="F455"/>
  <c r="F441"/>
  <c r="F449"/>
  <c r="F450"/>
  <c r="F447"/>
  <c r="F456"/>
  <c r="F453"/>
  <c r="F452"/>
  <c r="F459"/>
  <c r="F458"/>
  <c r="F437"/>
  <c r="F435"/>
  <c r="F434"/>
  <c r="F442"/>
  <c r="F436"/>
  <c r="F431"/>
  <c r="F430"/>
  <c r="G48" i="22"/>
  <c r="G41"/>
  <c r="G42"/>
  <c r="G61"/>
  <c r="G46"/>
  <c r="G43"/>
  <c r="G59"/>
  <c r="G47"/>
  <c r="G53"/>
  <c r="G57"/>
  <c r="G62"/>
  <c r="G51"/>
  <c r="G44"/>
  <c r="G64"/>
  <c r="G58"/>
  <c r="G54"/>
  <c r="G63"/>
  <c r="G55"/>
  <c r="G52"/>
  <c r="G39"/>
  <c r="G50"/>
  <c r="G49"/>
  <c r="G38"/>
  <c r="G36"/>
  <c r="G40"/>
  <c r="G60"/>
  <c r="G56"/>
  <c r="G37"/>
  <c r="G45"/>
  <c r="F87"/>
  <c r="F74"/>
  <c r="F86"/>
  <c r="F85"/>
  <c r="F91"/>
  <c r="F65"/>
  <c r="F89"/>
  <c r="F90"/>
  <c r="F78"/>
  <c r="F83"/>
  <c r="F70"/>
  <c r="F94"/>
  <c r="F81"/>
  <c r="F68"/>
  <c r="F71"/>
  <c r="F79"/>
  <c r="F77"/>
  <c r="F93"/>
  <c r="F80"/>
  <c r="F66"/>
  <c r="F84"/>
  <c r="F67"/>
  <c r="F92"/>
  <c r="F88"/>
  <c r="F76"/>
  <c r="F72"/>
  <c r="F73"/>
  <c r="F69"/>
  <c r="F82"/>
  <c r="F95"/>
  <c r="F75"/>
  <c r="G307" i="5"/>
  <c r="G298"/>
  <c r="G282"/>
  <c r="G297"/>
  <c r="G283"/>
  <c r="G285"/>
  <c r="G280"/>
  <c r="G286"/>
  <c r="G279"/>
  <c r="G281"/>
  <c r="G303"/>
  <c r="G287"/>
  <c r="G290"/>
  <c r="G284"/>
  <c r="G294"/>
  <c r="G300"/>
  <c r="G301"/>
  <c r="G306"/>
  <c r="G288"/>
  <c r="G291"/>
  <c r="G308"/>
  <c r="G305"/>
  <c r="G289"/>
  <c r="G296"/>
  <c r="G292"/>
  <c r="G295"/>
  <c r="G302"/>
  <c r="G299"/>
  <c r="G304"/>
  <c r="G293"/>
  <c r="F339"/>
  <c r="F338"/>
  <c r="F311"/>
  <c r="F320"/>
  <c r="F314"/>
  <c r="F337"/>
  <c r="F325"/>
  <c r="F334"/>
  <c r="F327"/>
  <c r="F322"/>
  <c r="F336"/>
  <c r="F331"/>
  <c r="F330"/>
  <c r="F324"/>
  <c r="F317"/>
  <c r="F313"/>
  <c r="F323"/>
  <c r="F318"/>
  <c r="F332"/>
  <c r="F316"/>
  <c r="F326"/>
  <c r="F335"/>
  <c r="F319"/>
  <c r="F321"/>
  <c r="F328"/>
  <c r="F312"/>
  <c r="F315"/>
  <c r="F310"/>
  <c r="F333"/>
  <c r="F329"/>
  <c r="F309"/>
  <c r="M299" i="22"/>
  <c r="M293"/>
  <c r="M279"/>
  <c r="M283"/>
  <c r="M301"/>
  <c r="M305"/>
  <c r="M282"/>
  <c r="M302"/>
  <c r="M19" i="8"/>
  <c r="AA1" i="38"/>
  <c r="C12" i="4"/>
  <c r="F12" s="1"/>
  <c r="F6" i="22"/>
  <c r="F22"/>
  <c r="F10"/>
  <c r="F18"/>
  <c r="F26"/>
  <c r="F34"/>
  <c r="F14"/>
  <c r="F30"/>
  <c r="F35"/>
  <c r="F23"/>
  <c r="F16"/>
  <c r="F27"/>
  <c r="F12"/>
  <c r="F11"/>
  <c r="F20"/>
  <c r="F7"/>
  <c r="F32"/>
  <c r="F5"/>
  <c r="F21"/>
  <c r="F9"/>
  <c r="F28"/>
  <c r="F24"/>
  <c r="F15"/>
  <c r="F31"/>
  <c r="F25"/>
  <c r="F8"/>
  <c r="F33"/>
  <c r="F19"/>
  <c r="F17"/>
  <c r="F13"/>
  <c r="F29"/>
  <c r="F4"/>
  <c r="G373"/>
  <c r="G400"/>
  <c r="G376"/>
  <c r="G394"/>
  <c r="G371"/>
  <c r="G389"/>
  <c r="G391"/>
  <c r="G395"/>
  <c r="F426"/>
  <c r="G392"/>
  <c r="G381"/>
  <c r="G397"/>
  <c r="G390"/>
  <c r="G399"/>
  <c r="G370"/>
  <c r="G398"/>
  <c r="F427"/>
  <c r="F428"/>
  <c r="F415"/>
  <c r="F410"/>
  <c r="F413"/>
  <c r="G380"/>
  <c r="G372"/>
  <c r="G378"/>
  <c r="G377"/>
  <c r="G384"/>
  <c r="G385"/>
  <c r="G396"/>
  <c r="G387"/>
  <c r="G383"/>
  <c r="G393"/>
  <c r="G382"/>
  <c r="G375"/>
  <c r="G379"/>
  <c r="G374"/>
  <c r="G386"/>
  <c r="G388"/>
  <c r="F404"/>
  <c r="F420"/>
  <c r="F409"/>
  <c r="F414"/>
  <c r="F425"/>
  <c r="F416"/>
  <c r="F418"/>
  <c r="F408"/>
  <c r="F407"/>
  <c r="F405"/>
  <c r="F411"/>
  <c r="F424"/>
  <c r="F402"/>
  <c r="F406"/>
  <c r="F412"/>
  <c r="F421"/>
  <c r="F429"/>
  <c r="F423"/>
  <c r="F422"/>
  <c r="F419"/>
  <c r="F401"/>
  <c r="F403"/>
  <c r="F417"/>
  <c r="M196"/>
  <c r="M192"/>
  <c r="M201"/>
  <c r="M203"/>
  <c r="M202"/>
  <c r="M204"/>
  <c r="M189"/>
  <c r="M188"/>
  <c r="BI20" i="8"/>
  <c r="M20" s="1"/>
  <c r="G208" i="5"/>
  <c r="G204"/>
  <c r="G200"/>
  <c r="G188"/>
  <c r="G210"/>
  <c r="G201"/>
  <c r="G217"/>
  <c r="G194"/>
  <c r="G214"/>
  <c r="G192"/>
  <c r="G206"/>
  <c r="G203"/>
  <c r="G202"/>
  <c r="G211"/>
  <c r="G193"/>
  <c r="G199"/>
  <c r="G209"/>
  <c r="G196"/>
  <c r="G207"/>
  <c r="G197"/>
  <c r="G205"/>
  <c r="G216"/>
  <c r="G195"/>
  <c r="G190"/>
  <c r="G189"/>
  <c r="G215"/>
  <c r="G187"/>
  <c r="G198"/>
  <c r="G213"/>
  <c r="G191"/>
  <c r="G212"/>
  <c r="F246"/>
  <c r="F230"/>
  <c r="F237"/>
  <c r="F231"/>
  <c r="F228"/>
  <c r="F239"/>
  <c r="F219"/>
  <c r="F238"/>
  <c r="F218"/>
  <c r="F223"/>
  <c r="F222"/>
  <c r="F241"/>
  <c r="F233"/>
  <c r="F236"/>
  <c r="F240"/>
  <c r="F232"/>
  <c r="F243"/>
  <c r="F242"/>
  <c r="F245"/>
  <c r="F225"/>
  <c r="F220"/>
  <c r="F247"/>
  <c r="F244"/>
  <c r="F224"/>
  <c r="F235"/>
  <c r="F227"/>
  <c r="F234"/>
  <c r="F226"/>
  <c r="F229"/>
  <c r="F221"/>
  <c r="G174"/>
  <c r="G176"/>
  <c r="G158"/>
  <c r="G179"/>
  <c r="G184"/>
  <c r="G160"/>
  <c r="G173"/>
  <c r="G185"/>
  <c r="G159"/>
  <c r="G157"/>
  <c r="G165"/>
  <c r="G186"/>
  <c r="G168"/>
  <c r="G178"/>
  <c r="G161"/>
  <c r="G162"/>
  <c r="G177"/>
  <c r="G181"/>
  <c r="G182"/>
  <c r="G180"/>
  <c r="G172"/>
  <c r="G171"/>
  <c r="G169"/>
  <c r="G170"/>
  <c r="G175"/>
  <c r="G163"/>
  <c r="G167"/>
  <c r="G166"/>
  <c r="G183"/>
  <c r="G164"/>
  <c r="F214"/>
  <c r="M214" s="1"/>
  <c r="F198"/>
  <c r="M198" s="1"/>
  <c r="F204"/>
  <c r="F208"/>
  <c r="M208" s="1"/>
  <c r="F200"/>
  <c r="F211"/>
  <c r="M211" s="1"/>
  <c r="F210"/>
  <c r="M210" s="1"/>
  <c r="F205"/>
  <c r="M205" s="1"/>
  <c r="F197"/>
  <c r="M197" s="1"/>
  <c r="F188"/>
  <c r="F215"/>
  <c r="F212"/>
  <c r="F192"/>
  <c r="F203"/>
  <c r="M203" s="1"/>
  <c r="F195"/>
  <c r="M195" s="1"/>
  <c r="F202"/>
  <c r="M202" s="1"/>
  <c r="F194"/>
  <c r="F209"/>
  <c r="F189"/>
  <c r="M189" s="1"/>
  <c r="F201"/>
  <c r="M201" s="1"/>
  <c r="F199"/>
  <c r="M199" s="1"/>
  <c r="F196"/>
  <c r="F207"/>
  <c r="M207" s="1"/>
  <c r="F187"/>
  <c r="F206"/>
  <c r="F193"/>
  <c r="F217"/>
  <c r="M217" s="1"/>
  <c r="F216"/>
  <c r="M216" s="1"/>
  <c r="F191"/>
  <c r="M191" s="1"/>
  <c r="F190"/>
  <c r="M190" s="1"/>
  <c r="F213"/>
  <c r="M213" s="1"/>
  <c r="P391" i="1"/>
  <c r="G40" i="20"/>
  <c r="G49"/>
  <c r="G54"/>
  <c r="G62"/>
  <c r="G53"/>
  <c r="G36"/>
  <c r="G64"/>
  <c r="G43"/>
  <c r="G63"/>
  <c r="G44"/>
  <c r="G51"/>
  <c r="G60"/>
  <c r="G37"/>
  <c r="G39"/>
  <c r="G57"/>
  <c r="G46"/>
  <c r="G61"/>
  <c r="G38"/>
  <c r="G45"/>
  <c r="G47"/>
  <c r="G58"/>
  <c r="G48"/>
  <c r="G42"/>
  <c r="G52"/>
  <c r="G55"/>
  <c r="G59"/>
  <c r="G41"/>
  <c r="G56"/>
  <c r="G50"/>
  <c r="F71"/>
  <c r="F76"/>
  <c r="F81"/>
  <c r="F94"/>
  <c r="F95"/>
  <c r="F87"/>
  <c r="F68"/>
  <c r="F80"/>
  <c r="F82"/>
  <c r="F69"/>
  <c r="F79"/>
  <c r="F77"/>
  <c r="F67"/>
  <c r="F78"/>
  <c r="F85"/>
  <c r="F90"/>
  <c r="F86"/>
  <c r="F70"/>
  <c r="F72"/>
  <c r="F83"/>
  <c r="F88"/>
  <c r="F84"/>
  <c r="F75"/>
  <c r="F74"/>
  <c r="F89"/>
  <c r="F73"/>
  <c r="F92"/>
  <c r="F93"/>
  <c r="F66"/>
  <c r="F65"/>
  <c r="F91"/>
  <c r="G82" i="22"/>
  <c r="G70"/>
  <c r="G81"/>
  <c r="G86"/>
  <c r="G90"/>
  <c r="G92"/>
  <c r="G91"/>
  <c r="G93"/>
  <c r="G65"/>
  <c r="G95"/>
  <c r="G88"/>
  <c r="G72"/>
  <c r="G77"/>
  <c r="G83"/>
  <c r="G73"/>
  <c r="G74"/>
  <c r="G71"/>
  <c r="G94"/>
  <c r="G69"/>
  <c r="G76"/>
  <c r="G89"/>
  <c r="G84"/>
  <c r="G75"/>
  <c r="G87"/>
  <c r="G79"/>
  <c r="G80"/>
  <c r="G85"/>
  <c r="G67"/>
  <c r="G78"/>
  <c r="G66"/>
  <c r="G68"/>
  <c r="F117"/>
  <c r="M117" s="1"/>
  <c r="F98"/>
  <c r="M98" s="1"/>
  <c r="F97"/>
  <c r="M97" s="1"/>
  <c r="F108"/>
  <c r="M108" s="1"/>
  <c r="F123"/>
  <c r="M123" s="1"/>
  <c r="F120"/>
  <c r="M120" s="1"/>
  <c r="F111"/>
  <c r="M111" s="1"/>
  <c r="F119"/>
  <c r="M119" s="1"/>
  <c r="F116"/>
  <c r="M116" s="1"/>
  <c r="F103"/>
  <c r="M103" s="1"/>
  <c r="F112"/>
  <c r="M112" s="1"/>
  <c r="F109"/>
  <c r="M109" s="1"/>
  <c r="F110"/>
  <c r="M110" s="1"/>
  <c r="F106"/>
  <c r="M106" s="1"/>
  <c r="F125"/>
  <c r="M125" s="1"/>
  <c r="F121"/>
  <c r="M121" s="1"/>
  <c r="F115"/>
  <c r="M115" s="1"/>
  <c r="F102"/>
  <c r="M102" s="1"/>
  <c r="F104"/>
  <c r="M104" s="1"/>
  <c r="F114"/>
  <c r="M114" s="1"/>
  <c r="F100"/>
  <c r="M100" s="1"/>
  <c r="F124"/>
  <c r="M124" s="1"/>
  <c r="F96"/>
  <c r="M96" s="1"/>
  <c r="F118"/>
  <c r="M118" s="1"/>
  <c r="F99"/>
  <c r="M99" s="1"/>
  <c r="F105"/>
  <c r="M105" s="1"/>
  <c r="F101"/>
  <c r="M101" s="1"/>
  <c r="F107"/>
  <c r="M107" s="1"/>
  <c r="F122"/>
  <c r="M122" s="1"/>
  <c r="F113"/>
  <c r="M113" s="1"/>
  <c r="V379" i="48"/>
  <c r="F379"/>
  <c r="Y379" s="1"/>
  <c r="G132" i="5"/>
  <c r="G149"/>
  <c r="G133"/>
  <c r="G137"/>
  <c r="G147"/>
  <c r="G129"/>
  <c r="G131"/>
  <c r="G138"/>
  <c r="G152"/>
  <c r="G134"/>
  <c r="G145"/>
  <c r="G126"/>
  <c r="G150"/>
  <c r="G139"/>
  <c r="G140"/>
  <c r="G141"/>
  <c r="G153"/>
  <c r="G128"/>
  <c r="G142"/>
  <c r="G135"/>
  <c r="G136"/>
  <c r="G146"/>
  <c r="G156"/>
  <c r="G148"/>
  <c r="G151"/>
  <c r="G155"/>
  <c r="G130"/>
  <c r="G154"/>
  <c r="G127"/>
  <c r="G143"/>
  <c r="G144"/>
  <c r="F182"/>
  <c r="M182" s="1"/>
  <c r="F166"/>
  <c r="M166" s="1"/>
  <c r="F167"/>
  <c r="M167" s="1"/>
  <c r="F164"/>
  <c r="M164" s="1"/>
  <c r="F175"/>
  <c r="M175" s="1"/>
  <c r="F174"/>
  <c r="M174" s="1"/>
  <c r="F185"/>
  <c r="M185" s="1"/>
  <c r="F161"/>
  <c r="M161" s="1"/>
  <c r="F184"/>
  <c r="F159"/>
  <c r="M159" s="1"/>
  <c r="F158"/>
  <c r="M158" s="1"/>
  <c r="F173"/>
  <c r="M173" s="1"/>
  <c r="F181"/>
  <c r="M181" s="1"/>
  <c r="F172"/>
  <c r="F176"/>
  <c r="M176" s="1"/>
  <c r="F168"/>
  <c r="F179"/>
  <c r="M179" s="1"/>
  <c r="F186"/>
  <c r="M186" s="1"/>
  <c r="F178"/>
  <c r="F177"/>
  <c r="M177" s="1"/>
  <c r="F157"/>
  <c r="M157" s="1"/>
  <c r="F183"/>
  <c r="F180"/>
  <c r="M180" s="1"/>
  <c r="F160"/>
  <c r="F171"/>
  <c r="F163"/>
  <c r="M163" s="1"/>
  <c r="F170"/>
  <c r="F162"/>
  <c r="M162" s="1"/>
  <c r="F169"/>
  <c r="M169" s="1"/>
  <c r="F165"/>
  <c r="M165" s="1"/>
  <c r="AF383" i="1"/>
  <c r="AD384"/>
  <c r="M286" i="22"/>
  <c r="M296"/>
  <c r="M304"/>
  <c r="M292"/>
  <c r="M281"/>
  <c r="M308"/>
  <c r="M289"/>
  <c r="M298"/>
  <c r="BK372" i="38"/>
  <c r="AS372"/>
  <c r="AU372" s="1"/>
  <c r="AV372" s="1"/>
  <c r="BA372" s="1"/>
  <c r="BB372" s="1"/>
  <c r="BH372" s="1"/>
  <c r="BJ372" s="1"/>
  <c r="P372" s="1"/>
  <c r="O372" s="1"/>
  <c r="G32" i="22"/>
  <c r="G16"/>
  <c r="G31"/>
  <c r="G7"/>
  <c r="G13"/>
  <c r="G29"/>
  <c r="G19"/>
  <c r="I4" i="21"/>
  <c r="I5" s="1"/>
  <c r="I6" s="1"/>
  <c r="I7" s="1"/>
  <c r="I8" s="1"/>
  <c r="I9" s="1"/>
  <c r="I10" s="1"/>
  <c r="I11" s="1"/>
  <c r="I12" s="1"/>
  <c r="I13" s="1"/>
  <c r="I14" s="1"/>
  <c r="I15" s="1"/>
  <c r="I16" s="1"/>
  <c r="I17" s="1"/>
  <c r="I18" s="1"/>
  <c r="F43" i="22"/>
  <c r="F40"/>
  <c r="M40" s="1"/>
  <c r="G10"/>
  <c r="G5"/>
  <c r="G18"/>
  <c r="G12"/>
  <c r="G15"/>
  <c r="G14"/>
  <c r="G22"/>
  <c r="G28"/>
  <c r="F47"/>
  <c r="M47" s="1"/>
  <c r="F44"/>
  <c r="M44" s="1"/>
  <c r="G27"/>
  <c r="G21"/>
  <c r="G26"/>
  <c r="G9"/>
  <c r="G35"/>
  <c r="G8"/>
  <c r="G33"/>
  <c r="G20"/>
  <c r="F48"/>
  <c r="M48" s="1"/>
  <c r="F41"/>
  <c r="M41" s="1"/>
  <c r="F36"/>
  <c r="M36" s="1"/>
  <c r="F57"/>
  <c r="M57" s="1"/>
  <c r="G30"/>
  <c r="G6"/>
  <c r="G11"/>
  <c r="G25"/>
  <c r="G34"/>
  <c r="G24"/>
  <c r="G17"/>
  <c r="G4"/>
  <c r="G23"/>
  <c r="F37"/>
  <c r="M37" s="1"/>
  <c r="F42"/>
  <c r="F38"/>
  <c r="M38" s="1"/>
  <c r="F46"/>
  <c r="M46" s="1"/>
  <c r="F39"/>
  <c r="F56"/>
  <c r="F52"/>
  <c r="F51"/>
  <c r="F62"/>
  <c r="M62" s="1"/>
  <c r="F45"/>
  <c r="M45" s="1"/>
  <c r="F55"/>
  <c r="M55" s="1"/>
  <c r="F49"/>
  <c r="M49" s="1"/>
  <c r="F63"/>
  <c r="M63" s="1"/>
  <c r="F59"/>
  <c r="M59" s="1"/>
  <c r="F60"/>
  <c r="M60" s="1"/>
  <c r="F53"/>
  <c r="M53" s="1"/>
  <c r="F54"/>
  <c r="M54" s="1"/>
  <c r="F50"/>
  <c r="M50" s="1"/>
  <c r="F64"/>
  <c r="F58"/>
  <c r="M58" s="1"/>
  <c r="F61"/>
  <c r="AI17" i="8"/>
  <c r="C12" i="49" s="1"/>
  <c r="F12" s="1"/>
  <c r="AI15" i="8"/>
  <c r="C10" i="49" s="1"/>
  <c r="F10" s="1"/>
  <c r="AI19" i="8"/>
  <c r="C14" i="49" s="1"/>
  <c r="F14" s="1"/>
  <c r="AI13" i="8"/>
  <c r="C8" i="49" s="1"/>
  <c r="F8" s="1"/>
  <c r="AI21" i="8"/>
  <c r="C16" i="49" s="1"/>
  <c r="AI16" i="8"/>
  <c r="C11" i="49" s="1"/>
  <c r="F11" s="1"/>
  <c r="AI12" i="8"/>
  <c r="C7" i="49" s="1"/>
  <c r="AI20" i="8"/>
  <c r="C15" i="49" s="1"/>
  <c r="F15" s="1"/>
  <c r="AI14" i="8"/>
  <c r="C9" i="49" s="1"/>
  <c r="F9" s="1"/>
  <c r="AI18" i="8"/>
  <c r="C13" i="49" s="1"/>
  <c r="F13" s="1"/>
  <c r="AI11" i="8"/>
  <c r="C6" i="49" s="1"/>
  <c r="M191" i="22"/>
  <c r="M193"/>
  <c r="M215"/>
  <c r="M213"/>
  <c r="M209"/>
  <c r="M190"/>
  <c r="M206"/>
  <c r="M211"/>
  <c r="G344" i="20"/>
  <c r="M344" s="1"/>
  <c r="G357"/>
  <c r="M357" s="1"/>
  <c r="G352"/>
  <c r="M352" s="1"/>
  <c r="G366"/>
  <c r="M366" s="1"/>
  <c r="G340"/>
  <c r="M340" s="1"/>
  <c r="G354"/>
  <c r="M354" s="1"/>
  <c r="G364"/>
  <c r="M364" s="1"/>
  <c r="G369"/>
  <c r="G363"/>
  <c r="M363" s="1"/>
  <c r="G341"/>
  <c r="G359"/>
  <c r="G361"/>
  <c r="M361" s="1"/>
  <c r="G347"/>
  <c r="M347" s="1"/>
  <c r="G349"/>
  <c r="M349" s="1"/>
  <c r="G351"/>
  <c r="G353"/>
  <c r="F398"/>
  <c r="G358"/>
  <c r="M358" s="1"/>
  <c r="G343"/>
  <c r="G365"/>
  <c r="M365" s="1"/>
  <c r="G367"/>
  <c r="M367" s="1"/>
  <c r="G345"/>
  <c r="G355"/>
  <c r="G348"/>
  <c r="G342"/>
  <c r="M342" s="1"/>
  <c r="G368"/>
  <c r="M368" s="1"/>
  <c r="G346"/>
  <c r="G356"/>
  <c r="M356" s="1"/>
  <c r="G350"/>
  <c r="G360"/>
  <c r="G362"/>
  <c r="M362" s="1"/>
  <c r="F376"/>
  <c r="F389"/>
  <c r="F382"/>
  <c r="F385"/>
  <c r="F393"/>
  <c r="F370"/>
  <c r="F400"/>
  <c r="F383"/>
  <c r="F399"/>
  <c r="F372"/>
  <c r="F375"/>
  <c r="F395"/>
  <c r="F381"/>
  <c r="F379"/>
  <c r="F388"/>
  <c r="F392"/>
  <c r="F391"/>
  <c r="F384"/>
  <c r="F386"/>
  <c r="F396"/>
  <c r="F394"/>
  <c r="F377"/>
  <c r="F378"/>
  <c r="F371"/>
  <c r="F397"/>
  <c r="F390"/>
  <c r="F373"/>
  <c r="F380"/>
  <c r="F387"/>
  <c r="F374"/>
  <c r="CT28" i="55"/>
  <c r="I390" i="53"/>
  <c r="M11" i="8"/>
  <c r="BI18"/>
  <c r="M18" s="1"/>
  <c r="F4" i="4"/>
  <c r="F16"/>
  <c r="AL391" i="1"/>
  <c r="AH391"/>
  <c r="AC391"/>
  <c r="AM391"/>
  <c r="AJ391"/>
  <c r="BC391"/>
  <c r="AK391"/>
  <c r="AI391"/>
  <c r="E393" i="52"/>
  <c r="M16" i="8"/>
  <c r="G460" i="22"/>
  <c r="G453"/>
  <c r="G440"/>
  <c r="G455"/>
  <c r="G444"/>
  <c r="G449"/>
  <c r="G457"/>
  <c r="G443"/>
  <c r="G448"/>
  <c r="G451"/>
  <c r="G439"/>
  <c r="G456"/>
  <c r="G438"/>
  <c r="I19" i="21"/>
  <c r="K19" s="1"/>
  <c r="G442" i="22"/>
  <c r="G447"/>
  <c r="G433"/>
  <c r="G435"/>
  <c r="G437"/>
  <c r="G459"/>
  <c r="G430"/>
  <c r="G450"/>
  <c r="G434"/>
  <c r="G458"/>
  <c r="G436"/>
  <c r="G432"/>
  <c r="G441"/>
  <c r="G431"/>
  <c r="G445"/>
  <c r="G452"/>
  <c r="G454"/>
  <c r="G446"/>
  <c r="C380" i="48"/>
  <c r="E380"/>
  <c r="X380" s="1"/>
  <c r="D380"/>
  <c r="W380" s="1"/>
  <c r="B381"/>
  <c r="M22" i="8"/>
  <c r="M303" i="22"/>
  <c r="M306"/>
  <c r="M288"/>
  <c r="M287"/>
  <c r="M291"/>
  <c r="M300"/>
  <c r="M280"/>
  <c r="BI21" i="8"/>
  <c r="M21" s="1"/>
  <c r="M369" i="20"/>
  <c r="M359"/>
  <c r="M348"/>
  <c r="M345"/>
  <c r="M341"/>
  <c r="M353"/>
  <c r="G333" i="5"/>
  <c r="G314"/>
  <c r="G329"/>
  <c r="G337"/>
  <c r="G339"/>
  <c r="G319"/>
  <c r="G332"/>
  <c r="G321"/>
  <c r="G326"/>
  <c r="G322"/>
  <c r="G338"/>
  <c r="G336"/>
  <c r="G327"/>
  <c r="G316"/>
  <c r="G335"/>
  <c r="G328"/>
  <c r="G312"/>
  <c r="G313"/>
  <c r="G320"/>
  <c r="G318"/>
  <c r="G317"/>
  <c r="G334"/>
  <c r="G323"/>
  <c r="G310"/>
  <c r="G325"/>
  <c r="G309"/>
  <c r="G330"/>
  <c r="G315"/>
  <c r="G311"/>
  <c r="G324"/>
  <c r="G331"/>
  <c r="F344"/>
  <c r="F354"/>
  <c r="F363"/>
  <c r="F347"/>
  <c r="F356"/>
  <c r="F340"/>
  <c r="F369"/>
  <c r="F365"/>
  <c r="F350"/>
  <c r="F364"/>
  <c r="F367"/>
  <c r="F361"/>
  <c r="F366"/>
  <c r="F360"/>
  <c r="F359"/>
  <c r="F368"/>
  <c r="F342"/>
  <c r="F362"/>
  <c r="F353"/>
  <c r="F349"/>
  <c r="F341"/>
  <c r="F355"/>
  <c r="F348"/>
  <c r="F343"/>
  <c r="F358"/>
  <c r="F352"/>
  <c r="F351"/>
  <c r="F346"/>
  <c r="F357"/>
  <c r="F345"/>
  <c r="R390" i="1"/>
  <c r="S390" s="1"/>
  <c r="W390"/>
  <c r="G87" i="20"/>
  <c r="G95"/>
  <c r="G85"/>
  <c r="G72"/>
  <c r="G90"/>
  <c r="G74"/>
  <c r="G82"/>
  <c r="G67"/>
  <c r="G89"/>
  <c r="G94"/>
  <c r="G75"/>
  <c r="G84"/>
  <c r="G70"/>
  <c r="G65"/>
  <c r="G77"/>
  <c r="F120"/>
  <c r="M120" s="1"/>
  <c r="F106"/>
  <c r="M106" s="1"/>
  <c r="F97"/>
  <c r="M97" s="1"/>
  <c r="F99"/>
  <c r="M99" s="1"/>
  <c r="F125"/>
  <c r="M125" s="1"/>
  <c r="F119"/>
  <c r="M119" s="1"/>
  <c r="F98"/>
  <c r="M98" s="1"/>
  <c r="G83"/>
  <c r="G80"/>
  <c r="G69"/>
  <c r="G78"/>
  <c r="G76"/>
  <c r="G88"/>
  <c r="G71"/>
  <c r="G86"/>
  <c r="F115"/>
  <c r="M115" s="1"/>
  <c r="F104"/>
  <c r="M104" s="1"/>
  <c r="G73"/>
  <c r="G92"/>
  <c r="G93"/>
  <c r="G68"/>
  <c r="G81"/>
  <c r="G66"/>
  <c r="G91"/>
  <c r="G79"/>
  <c r="F118"/>
  <c r="M118" s="1"/>
  <c r="F111"/>
  <c r="M111" s="1"/>
  <c r="F117"/>
  <c r="M117" s="1"/>
  <c r="F110"/>
  <c r="M110" s="1"/>
  <c r="F113"/>
  <c r="M113" s="1"/>
  <c r="F121"/>
  <c r="M121" s="1"/>
  <c r="F108"/>
  <c r="M108" s="1"/>
  <c r="F114"/>
  <c r="M114" s="1"/>
  <c r="F102"/>
  <c r="M102" s="1"/>
  <c r="F105"/>
  <c r="M105" s="1"/>
  <c r="F112"/>
  <c r="M112" s="1"/>
  <c r="F101"/>
  <c r="M101" s="1"/>
  <c r="F103"/>
  <c r="M103" s="1"/>
  <c r="F122"/>
  <c r="M122" s="1"/>
  <c r="F123"/>
  <c r="M123" s="1"/>
  <c r="F109"/>
  <c r="M109" s="1"/>
  <c r="F124"/>
  <c r="M124" s="1"/>
  <c r="F116"/>
  <c r="M116" s="1"/>
  <c r="F107"/>
  <c r="M107" s="1"/>
  <c r="F100"/>
  <c r="M100" s="1"/>
  <c r="F96"/>
  <c r="M96" s="1"/>
  <c r="M210" i="22"/>
  <c r="M208"/>
  <c r="M197"/>
  <c r="M200"/>
  <c r="M216"/>
  <c r="M195"/>
  <c r="M194"/>
  <c r="F6" i="20"/>
  <c r="F5"/>
  <c r="F17"/>
  <c r="F30"/>
  <c r="F14"/>
  <c r="F15"/>
  <c r="F19"/>
  <c r="F27"/>
  <c r="F35"/>
  <c r="F11"/>
  <c r="F25"/>
  <c r="F7"/>
  <c r="F21"/>
  <c r="F13"/>
  <c r="F31"/>
  <c r="F33"/>
  <c r="F23"/>
  <c r="F34"/>
  <c r="F29"/>
  <c r="F26"/>
  <c r="F9"/>
  <c r="F18"/>
  <c r="F22"/>
  <c r="F10"/>
  <c r="F12"/>
  <c r="F28"/>
  <c r="F16"/>
  <c r="F32"/>
  <c r="F20"/>
  <c r="F24"/>
  <c r="F8"/>
  <c r="F4"/>
  <c r="BI14" i="8"/>
  <c r="M14" s="1"/>
  <c r="G386" i="20"/>
  <c r="G375"/>
  <c r="G379"/>
  <c r="G396"/>
  <c r="G391"/>
  <c r="G381"/>
  <c r="G400"/>
  <c r="F429"/>
  <c r="M429" s="1"/>
  <c r="F425"/>
  <c r="G385"/>
  <c r="G398"/>
  <c r="G392"/>
  <c r="G373"/>
  <c r="G374"/>
  <c r="G397"/>
  <c r="G388"/>
  <c r="G393"/>
  <c r="F418"/>
  <c r="M418" s="1"/>
  <c r="F415"/>
  <c r="M415" s="1"/>
  <c r="G382"/>
  <c r="G399"/>
  <c r="G394"/>
  <c r="G395"/>
  <c r="G387"/>
  <c r="G380"/>
  <c r="G390"/>
  <c r="G383"/>
  <c r="F409"/>
  <c r="M409" s="1"/>
  <c r="G378"/>
  <c r="G389"/>
  <c r="G371"/>
  <c r="G370"/>
  <c r="G376"/>
  <c r="G384"/>
  <c r="G372"/>
  <c r="G377"/>
  <c r="F426"/>
  <c r="M426" s="1"/>
  <c r="F414"/>
  <c r="M414" s="1"/>
  <c r="F411"/>
  <c r="M411" s="1"/>
  <c r="F423"/>
  <c r="F428"/>
  <c r="F420"/>
  <c r="F424"/>
  <c r="M424" s="1"/>
  <c r="F422"/>
  <c r="M422" s="1"/>
  <c r="F403"/>
  <c r="M403" s="1"/>
  <c r="F410"/>
  <c r="M410" s="1"/>
  <c r="F405"/>
  <c r="M405" s="1"/>
  <c r="F407"/>
  <c r="M407" s="1"/>
  <c r="F401"/>
  <c r="M401" s="1"/>
  <c r="F417"/>
  <c r="M417" s="1"/>
  <c r="F421"/>
  <c r="M421" s="1"/>
  <c r="F412"/>
  <c r="F402"/>
  <c r="F419"/>
  <c r="M419" s="1"/>
  <c r="F416"/>
  <c r="M416" s="1"/>
  <c r="F427"/>
  <c r="F404"/>
  <c r="M404" s="1"/>
  <c r="F408"/>
  <c r="M408" s="1"/>
  <c r="F406"/>
  <c r="M406" s="1"/>
  <c r="F413"/>
  <c r="M413" s="1"/>
  <c r="F19" i="4"/>
  <c r="F7"/>
  <c r="F394" i="52"/>
  <c r="A376" i="26"/>
  <c r="B376" s="1"/>
  <c r="B375" i="38"/>
  <c r="C392" i="1"/>
  <c r="D392" s="1"/>
  <c r="A399" i="53"/>
  <c r="B400" s="1"/>
  <c r="E392" i="1"/>
  <c r="K392"/>
  <c r="N392" s="1"/>
  <c r="B393"/>
  <c r="A392"/>
  <c r="L392"/>
  <c r="M391" s="1"/>
  <c r="G423" i="22"/>
  <c r="G424"/>
  <c r="G418"/>
  <c r="G409"/>
  <c r="G413"/>
  <c r="G422"/>
  <c r="G405"/>
  <c r="G411"/>
  <c r="F440"/>
  <c r="M440" s="1"/>
  <c r="F451"/>
  <c r="M451" s="1"/>
  <c r="F447"/>
  <c r="M447" s="1"/>
  <c r="F445"/>
  <c r="M445" s="1"/>
  <c r="F444"/>
  <c r="G420"/>
  <c r="G414"/>
  <c r="G403"/>
  <c r="G421"/>
  <c r="G419"/>
  <c r="G404"/>
  <c r="G402"/>
  <c r="F437"/>
  <c r="M437" s="1"/>
  <c r="F454"/>
  <c r="M454" s="1"/>
  <c r="F455"/>
  <c r="F439"/>
  <c r="M439" s="1"/>
  <c r="G412"/>
  <c r="G406"/>
  <c r="G425"/>
  <c r="G417"/>
  <c r="G408"/>
  <c r="G410"/>
  <c r="F438"/>
  <c r="F457"/>
  <c r="F453"/>
  <c r="M453" s="1"/>
  <c r="F449"/>
  <c r="M449" s="1"/>
  <c r="F448"/>
  <c r="M448" s="1"/>
  <c r="F446"/>
  <c r="M446" s="1"/>
  <c r="G426"/>
  <c r="G427"/>
  <c r="G401"/>
  <c r="G407"/>
  <c r="G416"/>
  <c r="G429"/>
  <c r="G428"/>
  <c r="G415"/>
  <c r="F442"/>
  <c r="F441"/>
  <c r="M441" s="1"/>
  <c r="F452"/>
  <c r="M452" s="1"/>
  <c r="F450"/>
  <c r="M450" s="1"/>
  <c r="F436"/>
  <c r="M436" s="1"/>
  <c r="F434"/>
  <c r="F443"/>
  <c r="M443" s="1"/>
  <c r="F460"/>
  <c r="M460" s="1"/>
  <c r="F430"/>
  <c r="F432"/>
  <c r="M432" s="1"/>
  <c r="F456"/>
  <c r="F459"/>
  <c r="F458"/>
  <c r="M458" s="1"/>
  <c r="F435"/>
  <c r="M435" s="1"/>
  <c r="F433"/>
  <c r="M433" s="1"/>
  <c r="F431"/>
  <c r="F17" i="4"/>
  <c r="F5"/>
  <c r="M294" i="22"/>
  <c r="M285"/>
  <c r="M290"/>
  <c r="M297"/>
  <c r="M295"/>
  <c r="M307"/>
  <c r="M284"/>
  <c r="BK371" i="38"/>
  <c r="AS371"/>
  <c r="AU371" s="1"/>
  <c r="AV371" s="1"/>
  <c r="BA371" s="1"/>
  <c r="BB371" s="1"/>
  <c r="BH371" s="1"/>
  <c r="BJ371" s="1"/>
  <c r="P371" s="1"/>
  <c r="O371" s="1"/>
  <c r="M360" i="20"/>
  <c r="M355"/>
  <c r="M351"/>
  <c r="M346"/>
  <c r="M343"/>
  <c r="M350"/>
  <c r="G121" i="5"/>
  <c r="G107"/>
  <c r="G97"/>
  <c r="G112"/>
  <c r="G105"/>
  <c r="G111"/>
  <c r="G115"/>
  <c r="G100"/>
  <c r="G103"/>
  <c r="G99"/>
  <c r="G119"/>
  <c r="G106"/>
  <c r="G96"/>
  <c r="G116"/>
  <c r="G114"/>
  <c r="G125"/>
  <c r="G104"/>
  <c r="G110"/>
  <c r="G101"/>
  <c r="G109"/>
  <c r="G102"/>
  <c r="G108"/>
  <c r="G123"/>
  <c r="G98"/>
  <c r="G117"/>
  <c r="G113"/>
  <c r="G122"/>
  <c r="G120"/>
  <c r="G124"/>
  <c r="G118"/>
  <c r="F150"/>
  <c r="M150" s="1"/>
  <c r="F134"/>
  <c r="M134" s="1"/>
  <c r="F140"/>
  <c r="M140" s="1"/>
  <c r="F144"/>
  <c r="M144" s="1"/>
  <c r="F136"/>
  <c r="M136" s="1"/>
  <c r="F155"/>
  <c r="M155" s="1"/>
  <c r="F147"/>
  <c r="M147" s="1"/>
  <c r="F154"/>
  <c r="M154" s="1"/>
  <c r="F146"/>
  <c r="F151"/>
  <c r="M151" s="1"/>
  <c r="F148"/>
  <c r="M148" s="1"/>
  <c r="F128"/>
  <c r="M128" s="1"/>
  <c r="F139"/>
  <c r="F131"/>
  <c r="M131" s="1"/>
  <c r="F138"/>
  <c r="M138" s="1"/>
  <c r="F130"/>
  <c r="F145"/>
  <c r="F135"/>
  <c r="M135" s="1"/>
  <c r="F132"/>
  <c r="M132" s="1"/>
  <c r="F143"/>
  <c r="F142"/>
  <c r="F133"/>
  <c r="F141"/>
  <c r="M141" s="1"/>
  <c r="F156"/>
  <c r="M156" s="1"/>
  <c r="F152"/>
  <c r="M152" s="1"/>
  <c r="F127"/>
  <c r="M127" s="1"/>
  <c r="F126"/>
  <c r="F153"/>
  <c r="M153" s="1"/>
  <c r="F149"/>
  <c r="M149" s="1"/>
  <c r="F137"/>
  <c r="F129"/>
  <c r="M129" s="1"/>
  <c r="AN373" i="38"/>
  <c r="AO373"/>
  <c r="AP373" s="1"/>
  <c r="AQ373" s="1"/>
  <c r="G368" i="22"/>
  <c r="M368" s="1"/>
  <c r="G358"/>
  <c r="M358" s="1"/>
  <c r="G366"/>
  <c r="M366" s="1"/>
  <c r="G354"/>
  <c r="M354" s="1"/>
  <c r="G346"/>
  <c r="M346" s="1"/>
  <c r="G350"/>
  <c r="M350" s="1"/>
  <c r="G357"/>
  <c r="M357" s="1"/>
  <c r="G343"/>
  <c r="M343" s="1"/>
  <c r="G367"/>
  <c r="G365"/>
  <c r="M365" s="1"/>
  <c r="G369"/>
  <c r="M369" s="1"/>
  <c r="G349"/>
  <c r="G342"/>
  <c r="G363"/>
  <c r="M363" s="1"/>
  <c r="G359"/>
  <c r="M359" s="1"/>
  <c r="G360"/>
  <c r="M360" s="1"/>
  <c r="G348"/>
  <c r="M348" s="1"/>
  <c r="G345"/>
  <c r="M345" s="1"/>
  <c r="G344"/>
  <c r="M344" s="1"/>
  <c r="G340"/>
  <c r="M340" s="1"/>
  <c r="G347"/>
  <c r="M347" s="1"/>
  <c r="G364"/>
  <c r="M364" s="1"/>
  <c r="G341"/>
  <c r="M341" s="1"/>
  <c r="G362"/>
  <c r="M362" s="1"/>
  <c r="G361"/>
  <c r="M361" s="1"/>
  <c r="G355"/>
  <c r="M355" s="1"/>
  <c r="G356"/>
  <c r="M356" s="1"/>
  <c r="G351"/>
  <c r="M351" s="1"/>
  <c r="G352"/>
  <c r="M352" s="1"/>
  <c r="G353"/>
  <c r="M353" s="1"/>
  <c r="F384"/>
  <c r="M384" s="1"/>
  <c r="F390"/>
  <c r="M390" s="1"/>
  <c r="F392"/>
  <c r="M392" s="1"/>
  <c r="F373"/>
  <c r="M373" s="1"/>
  <c r="F391"/>
  <c r="F377"/>
  <c r="M377" s="1"/>
  <c r="F381"/>
  <c r="M381" s="1"/>
  <c r="F385"/>
  <c r="M385" s="1"/>
  <c r="F374"/>
  <c r="M374" s="1"/>
  <c r="F395"/>
  <c r="F376"/>
  <c r="M376" s="1"/>
  <c r="F388"/>
  <c r="M388" s="1"/>
  <c r="F382"/>
  <c r="F400"/>
  <c r="F389"/>
  <c r="M389" s="1"/>
  <c r="F397"/>
  <c r="M397" s="1"/>
  <c r="F372"/>
  <c r="F380"/>
  <c r="M380" s="1"/>
  <c r="F393"/>
  <c r="F387"/>
  <c r="M387" s="1"/>
  <c r="F375"/>
  <c r="M375" s="1"/>
  <c r="F394"/>
  <c r="M394" s="1"/>
  <c r="F371"/>
  <c r="M371" s="1"/>
  <c r="F383"/>
  <c r="M383" s="1"/>
  <c r="F396"/>
  <c r="M396" s="1"/>
  <c r="F399"/>
  <c r="M399" s="1"/>
  <c r="F378"/>
  <c r="M378" s="1"/>
  <c r="F386"/>
  <c r="M386" s="1"/>
  <c r="F398"/>
  <c r="F379"/>
  <c r="F370"/>
  <c r="M349"/>
  <c r="M367"/>
  <c r="M342"/>
  <c r="G438" i="20"/>
  <c r="G457"/>
  <c r="G454"/>
  <c r="G442"/>
  <c r="G444"/>
  <c r="G430"/>
  <c r="G450"/>
  <c r="G452"/>
  <c r="G446"/>
  <c r="G435"/>
  <c r="G434"/>
  <c r="G449"/>
  <c r="G441"/>
  <c r="G433"/>
  <c r="G459"/>
  <c r="G453"/>
  <c r="G439"/>
  <c r="G437"/>
  <c r="G455"/>
  <c r="G443"/>
  <c r="G445"/>
  <c r="G431"/>
  <c r="G451"/>
  <c r="G447"/>
  <c r="G436"/>
  <c r="G456"/>
  <c r="G448"/>
  <c r="G440"/>
  <c r="G432"/>
  <c r="G458"/>
  <c r="G460"/>
  <c r="I19" i="19"/>
  <c r="K19" s="1"/>
  <c r="M198" i="22"/>
  <c r="M205"/>
  <c r="M187"/>
  <c r="M212"/>
  <c r="M214"/>
  <c r="M207"/>
  <c r="M217"/>
  <c r="M199"/>
  <c r="G276" i="5"/>
  <c r="G263"/>
  <c r="G264"/>
  <c r="G277"/>
  <c r="G248"/>
  <c r="G268"/>
  <c r="G278"/>
  <c r="G262"/>
  <c r="G269"/>
  <c r="G273"/>
  <c r="G271"/>
  <c r="G256"/>
  <c r="G270"/>
  <c r="G251"/>
  <c r="G249"/>
  <c r="G266"/>
  <c r="G272"/>
  <c r="G275"/>
  <c r="G265"/>
  <c r="G274"/>
  <c r="G267"/>
  <c r="G260"/>
  <c r="G261"/>
  <c r="G259"/>
  <c r="G257"/>
  <c r="G252"/>
  <c r="G254"/>
  <c r="G253"/>
  <c r="G258"/>
  <c r="G250"/>
  <c r="G255"/>
  <c r="F302"/>
  <c r="M302" s="1"/>
  <c r="F296"/>
  <c r="F295"/>
  <c r="F304"/>
  <c r="M304" s="1"/>
  <c r="F298"/>
  <c r="F286"/>
  <c r="M286" s="1"/>
  <c r="F305"/>
  <c r="M305" s="1"/>
  <c r="F285"/>
  <c r="M285" s="1"/>
  <c r="F281"/>
  <c r="M281" s="1"/>
  <c r="F307"/>
  <c r="M307" s="1"/>
  <c r="F291"/>
  <c r="M291" s="1"/>
  <c r="F294"/>
  <c r="F287"/>
  <c r="M287" s="1"/>
  <c r="F288"/>
  <c r="M288" s="1"/>
  <c r="F284"/>
  <c r="M284" s="1"/>
  <c r="F297"/>
  <c r="M297" s="1"/>
  <c r="F293"/>
  <c r="M293" s="1"/>
  <c r="F290"/>
  <c r="M290" s="1"/>
  <c r="F299"/>
  <c r="M299" s="1"/>
  <c r="F292"/>
  <c r="M292" s="1"/>
  <c r="F280"/>
  <c r="F283"/>
  <c r="M283" s="1"/>
  <c r="F279"/>
  <c r="M279" s="1"/>
  <c r="F301"/>
  <c r="M301" s="1"/>
  <c r="F289"/>
  <c r="F306"/>
  <c r="F300"/>
  <c r="F308"/>
  <c r="M308" s="1"/>
  <c r="F303"/>
  <c r="M303" s="1"/>
  <c r="F282"/>
  <c r="M282" s="1"/>
  <c r="M17" i="8"/>
  <c r="G32" i="20"/>
  <c r="G11"/>
  <c r="G25"/>
  <c r="G28"/>
  <c r="G19"/>
  <c r="G24"/>
  <c r="G27"/>
  <c r="G14"/>
  <c r="G16"/>
  <c r="G23"/>
  <c r="G34"/>
  <c r="G7"/>
  <c r="G26"/>
  <c r="I4" i="19"/>
  <c r="I5" s="1"/>
  <c r="I6" s="1"/>
  <c r="I7" s="1"/>
  <c r="I8" s="1"/>
  <c r="I9" s="1"/>
  <c r="I10" s="1"/>
  <c r="I11" s="1"/>
  <c r="I12" s="1"/>
  <c r="I13" s="1"/>
  <c r="I14" s="1"/>
  <c r="I15" s="1"/>
  <c r="I16" s="1"/>
  <c r="I17" s="1"/>
  <c r="I18" s="1"/>
  <c r="G13" i="20"/>
  <c r="G5"/>
  <c r="F49"/>
  <c r="M49" s="1"/>
  <c r="G21"/>
  <c r="G8"/>
  <c r="G18"/>
  <c r="G17"/>
  <c r="G33"/>
  <c r="G35"/>
  <c r="G29"/>
  <c r="G15"/>
  <c r="G6"/>
  <c r="G12"/>
  <c r="G4"/>
  <c r="G20"/>
  <c r="G9"/>
  <c r="G22"/>
  <c r="G10"/>
  <c r="G30"/>
  <c r="G31"/>
  <c r="F44"/>
  <c r="M44" s="1"/>
  <c r="F37"/>
  <c r="M37" s="1"/>
  <c r="F61"/>
  <c r="F46"/>
  <c r="M46" s="1"/>
  <c r="F48"/>
  <c r="M48" s="1"/>
  <c r="F38"/>
  <c r="M38" s="1"/>
  <c r="F47"/>
  <c r="M47" s="1"/>
  <c r="F42"/>
  <c r="M42" s="1"/>
  <c r="F63"/>
  <c r="F52"/>
  <c r="M52" s="1"/>
  <c r="F57"/>
  <c r="F36"/>
  <c r="F59"/>
  <c r="M59" s="1"/>
  <c r="F58"/>
  <c r="M58" s="1"/>
  <c r="F64"/>
  <c r="F43"/>
  <c r="M43" s="1"/>
  <c r="F45"/>
  <c r="M45" s="1"/>
  <c r="F56"/>
  <c r="M56" s="1"/>
  <c r="F50"/>
  <c r="M50" s="1"/>
  <c r="F40"/>
  <c r="F41"/>
  <c r="M41" s="1"/>
  <c r="F55"/>
  <c r="M55" s="1"/>
  <c r="F39"/>
  <c r="F60"/>
  <c r="M60" s="1"/>
  <c r="F62"/>
  <c r="M62" s="1"/>
  <c r="F54"/>
  <c r="M54" s="1"/>
  <c r="F51"/>
  <c r="M51" s="1"/>
  <c r="F53"/>
  <c r="M53" s="1"/>
  <c r="BI12" i="8"/>
  <c r="M12" s="1"/>
  <c r="M130" i="5" l="1"/>
  <c r="M431" i="22"/>
  <c r="M42"/>
  <c r="M39" i="20"/>
  <c r="M64"/>
  <c r="M395" i="22"/>
  <c r="M145" i="5"/>
  <c r="M146"/>
  <c r="M430" i="22"/>
  <c r="M442"/>
  <c r="M444"/>
  <c r="M402" i="20"/>
  <c r="M64" i="22"/>
  <c r="M183" i="5"/>
  <c r="M172"/>
  <c r="M393" i="22"/>
  <c r="M306" i="5"/>
  <c r="M296"/>
  <c r="M126"/>
  <c r="M456" i="22"/>
  <c r="M438"/>
  <c r="M455"/>
  <c r="M61"/>
  <c r="M39"/>
  <c r="M160" i="5"/>
  <c r="M168"/>
  <c r="M215"/>
  <c r="M204"/>
  <c r="M372" i="22"/>
  <c r="M289" i="5"/>
  <c r="M63" i="20"/>
  <c r="M300" i="5"/>
  <c r="M295"/>
  <c r="M398" i="22"/>
  <c r="M382"/>
  <c r="M391"/>
  <c r="M143" i="5"/>
  <c r="M459" i="22"/>
  <c r="M457"/>
  <c r="M427" i="20"/>
  <c r="M423"/>
  <c r="M56" i="22"/>
  <c r="M171" i="5"/>
  <c r="M184"/>
  <c r="AA185" i="38"/>
  <c r="AA186"/>
  <c r="M57" i="20"/>
  <c r="M61"/>
  <c r="M294" i="5"/>
  <c r="M379" i="22"/>
  <c r="M400"/>
  <c r="M142" i="5"/>
  <c r="M139"/>
  <c r="M428" i="20"/>
  <c r="M425"/>
  <c r="M52" i="22"/>
  <c r="M192" i="5"/>
  <c r="M200"/>
  <c r="M412" i="20"/>
  <c r="M40"/>
  <c r="M36"/>
  <c r="M280" i="5"/>
  <c r="M298"/>
  <c r="M370" i="22"/>
  <c r="M137" i="5"/>
  <c r="M133"/>
  <c r="M434" i="22"/>
  <c r="M420" i="20"/>
  <c r="M51" i="22"/>
  <c r="M43"/>
  <c r="M170" i="5"/>
  <c r="M178"/>
  <c r="M196"/>
  <c r="Y386" i="1"/>
  <c r="Z386"/>
  <c r="BA389"/>
  <c r="BD388"/>
  <c r="BE388" s="1"/>
  <c r="T388" s="1"/>
  <c r="U388" s="1"/>
  <c r="V387"/>
  <c r="X387"/>
  <c r="Z387" s="1"/>
  <c r="G392" i="53"/>
  <c r="BD31" i="55"/>
  <c r="AC386" i="1"/>
  <c r="AA386"/>
  <c r="E393" i="53" s="1"/>
  <c r="AB386" i="1"/>
  <c r="AE386" s="1"/>
  <c r="AM386" s="1"/>
  <c r="Y387"/>
  <c r="AI22" i="8" s="1"/>
  <c r="C17" i="49" s="1"/>
  <c r="F5" s="1"/>
  <c r="BY30" i="55"/>
  <c r="D391" i="53"/>
  <c r="N30" i="55" s="1"/>
  <c r="G22" i="5"/>
  <c r="G5"/>
  <c r="G30"/>
  <c r="G12"/>
  <c r="G31"/>
  <c r="G21"/>
  <c r="G20"/>
  <c r="G18"/>
  <c r="G4"/>
  <c r="G11"/>
  <c r="G27"/>
  <c r="G7"/>
  <c r="G34"/>
  <c r="G29"/>
  <c r="G33"/>
  <c r="G8"/>
  <c r="G16"/>
  <c r="G26"/>
  <c r="G19"/>
  <c r="G25"/>
  <c r="G13"/>
  <c r="G28"/>
  <c r="G17"/>
  <c r="G6"/>
  <c r="G23"/>
  <c r="G35"/>
  <c r="G24"/>
  <c r="G14"/>
  <c r="I4" i="4"/>
  <c r="I5" s="1"/>
  <c r="I6" s="1"/>
  <c r="I7" s="1"/>
  <c r="I8" s="1"/>
  <c r="I9" s="1"/>
  <c r="I10" s="1"/>
  <c r="I11" s="1"/>
  <c r="I12" s="1"/>
  <c r="I13" s="1"/>
  <c r="I14" s="1"/>
  <c r="I15" s="1"/>
  <c r="I16" s="1"/>
  <c r="I17" s="1"/>
  <c r="I18" s="1"/>
  <c r="G32" i="5"/>
  <c r="G10"/>
  <c r="G15"/>
  <c r="G9"/>
  <c r="F36"/>
  <c r="M36" s="1"/>
  <c r="F52"/>
  <c r="M52" s="1"/>
  <c r="F44"/>
  <c r="M44" s="1"/>
  <c r="F54"/>
  <c r="M54" s="1"/>
  <c r="F41"/>
  <c r="M41" s="1"/>
  <c r="F51"/>
  <c r="M51" s="1"/>
  <c r="F49"/>
  <c r="M49" s="1"/>
  <c r="F38"/>
  <c r="M38" s="1"/>
  <c r="F39"/>
  <c r="M39" s="1"/>
  <c r="F45"/>
  <c r="M45" s="1"/>
  <c r="F42"/>
  <c r="M42" s="1"/>
  <c r="F47"/>
  <c r="M47" s="1"/>
  <c r="F40"/>
  <c r="M40" s="1"/>
  <c r="F43"/>
  <c r="M43" s="1"/>
  <c r="F46"/>
  <c r="M46" s="1"/>
  <c r="F48"/>
  <c r="M48" s="1"/>
  <c r="F53"/>
  <c r="M53" s="1"/>
  <c r="F37"/>
  <c r="M37" s="1"/>
  <c r="F50"/>
  <c r="M50" s="1"/>
  <c r="F60"/>
  <c r="M60" s="1"/>
  <c r="F64"/>
  <c r="M64" s="1"/>
  <c r="F56"/>
  <c r="M56" s="1"/>
  <c r="F57"/>
  <c r="M57" s="1"/>
  <c r="F59"/>
  <c r="M59" s="1"/>
  <c r="F58"/>
  <c r="M58" s="1"/>
  <c r="F55"/>
  <c r="M55" s="1"/>
  <c r="F63"/>
  <c r="M63" s="1"/>
  <c r="F62"/>
  <c r="M62" s="1"/>
  <c r="F61"/>
  <c r="M61" s="1"/>
  <c r="A377" i="26"/>
  <c r="B377" s="1"/>
  <c r="F395" i="52"/>
  <c r="E393" i="1"/>
  <c r="L393"/>
  <c r="M392" s="1"/>
  <c r="B394"/>
  <c r="C393"/>
  <c r="D393" s="1"/>
  <c r="K393"/>
  <c r="N393" s="1"/>
  <c r="B376" i="38"/>
  <c r="A393" i="1"/>
  <c r="A400" i="53"/>
  <c r="B401" s="1"/>
  <c r="F118" i="5"/>
  <c r="M118" s="1"/>
  <c r="F102"/>
  <c r="M102" s="1"/>
  <c r="G86"/>
  <c r="M86" s="1"/>
  <c r="G70"/>
  <c r="M70" s="1"/>
  <c r="G76"/>
  <c r="M76" s="1"/>
  <c r="F103"/>
  <c r="M103" s="1"/>
  <c r="F100"/>
  <c r="M100" s="1"/>
  <c r="G80"/>
  <c r="M80" s="1"/>
  <c r="G72"/>
  <c r="M72" s="1"/>
  <c r="F111"/>
  <c r="M111" s="1"/>
  <c r="G91"/>
  <c r="M91" s="1"/>
  <c r="G83"/>
  <c r="M83" s="1"/>
  <c r="F110"/>
  <c r="M110" s="1"/>
  <c r="G90"/>
  <c r="M90" s="1"/>
  <c r="G82"/>
  <c r="M82" s="1"/>
  <c r="F125"/>
  <c r="M125" s="1"/>
  <c r="F109"/>
  <c r="M109" s="1"/>
  <c r="F105"/>
  <c r="M105" s="1"/>
  <c r="G73"/>
  <c r="M73" s="1"/>
  <c r="G77"/>
  <c r="M77" s="1"/>
  <c r="F124"/>
  <c r="M124" s="1"/>
  <c r="G87"/>
  <c r="M87" s="1"/>
  <c r="F120"/>
  <c r="M120" s="1"/>
  <c r="G84"/>
  <c r="M84" s="1"/>
  <c r="G95"/>
  <c r="M95" s="1"/>
  <c r="G75"/>
  <c r="M75" s="1"/>
  <c r="G67"/>
  <c r="M67" s="1"/>
  <c r="G94"/>
  <c r="M94" s="1"/>
  <c r="G74"/>
  <c r="M74" s="1"/>
  <c r="G66"/>
  <c r="M66" s="1"/>
  <c r="F117"/>
  <c r="M117" s="1"/>
  <c r="F108"/>
  <c r="M108" s="1"/>
  <c r="G71"/>
  <c r="M71" s="1"/>
  <c r="F112"/>
  <c r="M112" s="1"/>
  <c r="F104"/>
  <c r="M104" s="1"/>
  <c r="G68"/>
  <c r="M68" s="1"/>
  <c r="F123"/>
  <c r="M123" s="1"/>
  <c r="F115"/>
  <c r="M115" s="1"/>
  <c r="G79"/>
  <c r="M79" s="1"/>
  <c r="F122"/>
  <c r="M122" s="1"/>
  <c r="F114"/>
  <c r="M114" s="1"/>
  <c r="G78"/>
  <c r="M78" s="1"/>
  <c r="F101"/>
  <c r="M101" s="1"/>
  <c r="F121"/>
  <c r="M121" s="1"/>
  <c r="F113"/>
  <c r="M113" s="1"/>
  <c r="G89"/>
  <c r="M89" s="1"/>
  <c r="G69"/>
  <c r="M69" s="1"/>
  <c r="G92"/>
  <c r="M92" s="1"/>
  <c r="F119"/>
  <c r="M119" s="1"/>
  <c r="F116"/>
  <c r="M116" s="1"/>
  <c r="F96"/>
  <c r="M96" s="1"/>
  <c r="G88"/>
  <c r="M88" s="1"/>
  <c r="F107"/>
  <c r="M107" s="1"/>
  <c r="F99"/>
  <c r="M99" s="1"/>
  <c r="F106"/>
  <c r="M106" s="1"/>
  <c r="F98"/>
  <c r="M98" s="1"/>
  <c r="F97"/>
  <c r="M97" s="1"/>
  <c r="G85"/>
  <c r="M85" s="1"/>
  <c r="G93"/>
  <c r="M93" s="1"/>
  <c r="G65"/>
  <c r="M65" s="1"/>
  <c r="G81"/>
  <c r="M81" s="1"/>
  <c r="M24" i="20"/>
  <c r="M28"/>
  <c r="M18"/>
  <c r="M34"/>
  <c r="M13"/>
  <c r="M11"/>
  <c r="M15"/>
  <c r="M5"/>
  <c r="B382" i="48"/>
  <c r="D381"/>
  <c r="W381" s="1"/>
  <c r="E381"/>
  <c r="X381" s="1"/>
  <c r="C381"/>
  <c r="I451" i="22"/>
  <c r="I446"/>
  <c r="I453"/>
  <c r="I452"/>
  <c r="I455"/>
  <c r="I448"/>
  <c r="I435"/>
  <c r="I456"/>
  <c r="I433"/>
  <c r="I458"/>
  <c r="I454"/>
  <c r="I447"/>
  <c r="K18" i="21"/>
  <c r="I457" i="22"/>
  <c r="I460"/>
  <c r="I434"/>
  <c r="I432"/>
  <c r="I437"/>
  <c r="I439"/>
  <c r="I459"/>
  <c r="I436"/>
  <c r="I443"/>
  <c r="I445"/>
  <c r="I431"/>
  <c r="I444"/>
  <c r="I441"/>
  <c r="I450"/>
  <c r="I438"/>
  <c r="I430"/>
  <c r="I440"/>
  <c r="I449"/>
  <c r="I442"/>
  <c r="G364" i="5"/>
  <c r="M364" s="1"/>
  <c r="G347"/>
  <c r="G348"/>
  <c r="G352"/>
  <c r="M352" s="1"/>
  <c r="G349"/>
  <c r="G369"/>
  <c r="M369" s="1"/>
  <c r="G344"/>
  <c r="M344" s="1"/>
  <c r="G343"/>
  <c r="G350"/>
  <c r="G360"/>
  <c r="M360" s="1"/>
  <c r="G353"/>
  <c r="G356"/>
  <c r="G346"/>
  <c r="G357"/>
  <c r="G367"/>
  <c r="M367" s="1"/>
  <c r="G354"/>
  <c r="M354" s="1"/>
  <c r="G366"/>
  <c r="G341"/>
  <c r="G359"/>
  <c r="G358"/>
  <c r="G362"/>
  <c r="M362" s="1"/>
  <c r="G355"/>
  <c r="M355" s="1"/>
  <c r="G368"/>
  <c r="M368" s="1"/>
  <c r="G361"/>
  <c r="M361" s="1"/>
  <c r="G345"/>
  <c r="M345" s="1"/>
  <c r="G340"/>
  <c r="M340" s="1"/>
  <c r="G342"/>
  <c r="G351"/>
  <c r="G365"/>
  <c r="G363"/>
  <c r="M363" s="1"/>
  <c r="F387"/>
  <c r="F382"/>
  <c r="F394"/>
  <c r="F380"/>
  <c r="F389"/>
  <c r="F396"/>
  <c r="F383"/>
  <c r="F391"/>
  <c r="F376"/>
  <c r="F370"/>
  <c r="F379"/>
  <c r="F374"/>
  <c r="F372"/>
  <c r="F377"/>
  <c r="F373"/>
  <c r="F399"/>
  <c r="F398"/>
  <c r="F375"/>
  <c r="F384"/>
  <c r="F400"/>
  <c r="F378"/>
  <c r="F385"/>
  <c r="F395"/>
  <c r="F371"/>
  <c r="F390"/>
  <c r="F386"/>
  <c r="F397"/>
  <c r="F393"/>
  <c r="F392"/>
  <c r="F388"/>
  <c r="F381"/>
  <c r="M374" i="20"/>
  <c r="M390"/>
  <c r="M377"/>
  <c r="M384"/>
  <c r="M379"/>
  <c r="M372"/>
  <c r="M370"/>
  <c r="M389"/>
  <c r="G267" i="50"/>
  <c r="G269"/>
  <c r="G262"/>
  <c r="G266"/>
  <c r="G268"/>
  <c r="G251"/>
  <c r="G261"/>
  <c r="F304"/>
  <c r="F297"/>
  <c r="F300"/>
  <c r="F283"/>
  <c r="F286"/>
  <c r="G260"/>
  <c r="G248"/>
  <c r="G254"/>
  <c r="G271"/>
  <c r="G274"/>
  <c r="G252"/>
  <c r="G265"/>
  <c r="G258"/>
  <c r="F290"/>
  <c r="F306"/>
  <c r="F301"/>
  <c r="F303"/>
  <c r="G257"/>
  <c r="G256"/>
  <c r="G276"/>
  <c r="G253"/>
  <c r="G263"/>
  <c r="G273"/>
  <c r="G270"/>
  <c r="G277"/>
  <c r="F291"/>
  <c r="F293"/>
  <c r="F296"/>
  <c r="G250"/>
  <c r="G259"/>
  <c r="G272"/>
  <c r="G249"/>
  <c r="G278"/>
  <c r="G255"/>
  <c r="G275"/>
  <c r="G264"/>
  <c r="F280"/>
  <c r="F282"/>
  <c r="F295"/>
  <c r="F289"/>
  <c r="F307"/>
  <c r="F285"/>
  <c r="F281"/>
  <c r="F308"/>
  <c r="F294"/>
  <c r="F287"/>
  <c r="F305"/>
  <c r="F299"/>
  <c r="F292"/>
  <c r="F302"/>
  <c r="F298"/>
  <c r="F284"/>
  <c r="F279"/>
  <c r="F288"/>
  <c r="G195"/>
  <c r="G216"/>
  <c r="G205"/>
  <c r="G203"/>
  <c r="G196"/>
  <c r="G208"/>
  <c r="G209"/>
  <c r="G207"/>
  <c r="G187"/>
  <c r="G217"/>
  <c r="G188"/>
  <c r="G189"/>
  <c r="G201"/>
  <c r="G197"/>
  <c r="G193"/>
  <c r="G211"/>
  <c r="G214"/>
  <c r="G190"/>
  <c r="G212"/>
  <c r="G200"/>
  <c r="G192"/>
  <c r="G213"/>
  <c r="G194"/>
  <c r="G202"/>
  <c r="G215"/>
  <c r="G210"/>
  <c r="G204"/>
  <c r="G206"/>
  <c r="G191"/>
  <c r="G198"/>
  <c r="G199"/>
  <c r="F218"/>
  <c r="F235"/>
  <c r="F227"/>
  <c r="F224"/>
  <c r="F241"/>
  <c r="F246"/>
  <c r="F234"/>
  <c r="F245"/>
  <c r="F223"/>
  <c r="F219"/>
  <c r="F228"/>
  <c r="F238"/>
  <c r="F242"/>
  <c r="F232"/>
  <c r="F221"/>
  <c r="F243"/>
  <c r="F225"/>
  <c r="F233"/>
  <c r="F231"/>
  <c r="F222"/>
  <c r="F229"/>
  <c r="F240"/>
  <c r="F236"/>
  <c r="F226"/>
  <c r="F220"/>
  <c r="F239"/>
  <c r="F247"/>
  <c r="F244"/>
  <c r="F237"/>
  <c r="F230"/>
  <c r="G181"/>
  <c r="G164"/>
  <c r="G173"/>
  <c r="G180"/>
  <c r="G161"/>
  <c r="G159"/>
  <c r="G186"/>
  <c r="G178"/>
  <c r="G176"/>
  <c r="G179"/>
  <c r="G172"/>
  <c r="G184"/>
  <c r="G157"/>
  <c r="G169"/>
  <c r="G170"/>
  <c r="G168"/>
  <c r="G185"/>
  <c r="G165"/>
  <c r="G162"/>
  <c r="G182"/>
  <c r="G158"/>
  <c r="G174"/>
  <c r="G171"/>
  <c r="G183"/>
  <c r="G177"/>
  <c r="G160"/>
  <c r="G167"/>
  <c r="G175"/>
  <c r="G166"/>
  <c r="G163"/>
  <c r="F188"/>
  <c r="F199"/>
  <c r="F195"/>
  <c r="F198"/>
  <c r="F216"/>
  <c r="F196"/>
  <c r="F193"/>
  <c r="F213"/>
  <c r="F211"/>
  <c r="M211" s="1"/>
  <c r="F207"/>
  <c r="F214"/>
  <c r="F191"/>
  <c r="F205"/>
  <c r="F192"/>
  <c r="F200"/>
  <c r="F202"/>
  <c r="F197"/>
  <c r="F206"/>
  <c r="F204"/>
  <c r="F194"/>
  <c r="F217"/>
  <c r="F201"/>
  <c r="F189"/>
  <c r="F203"/>
  <c r="F187"/>
  <c r="F210"/>
  <c r="M210" s="1"/>
  <c r="F190"/>
  <c r="M190" s="1"/>
  <c r="F215"/>
  <c r="F209"/>
  <c r="F208"/>
  <c r="F212"/>
  <c r="M93" i="20"/>
  <c r="M74"/>
  <c r="M83"/>
  <c r="M90"/>
  <c r="M77"/>
  <c r="M80"/>
  <c r="M94"/>
  <c r="M187" i="5"/>
  <c r="M212"/>
  <c r="M401" i="22"/>
  <c r="M429"/>
  <c r="M402"/>
  <c r="M407"/>
  <c r="M425"/>
  <c r="M404"/>
  <c r="M428"/>
  <c r="M17"/>
  <c r="M25"/>
  <c r="M28"/>
  <c r="M32"/>
  <c r="M12"/>
  <c r="M35"/>
  <c r="M26"/>
  <c r="M6"/>
  <c r="M309" i="5"/>
  <c r="M315"/>
  <c r="M319"/>
  <c r="M332"/>
  <c r="M317"/>
  <c r="M336"/>
  <c r="M325"/>
  <c r="M311"/>
  <c r="M82" i="22"/>
  <c r="M76"/>
  <c r="M84"/>
  <c r="M77"/>
  <c r="M81"/>
  <c r="M78"/>
  <c r="M91"/>
  <c r="M87"/>
  <c r="M436" i="20"/>
  <c r="M437"/>
  <c r="M453"/>
  <c r="M449"/>
  <c r="M460"/>
  <c r="M446"/>
  <c r="M432"/>
  <c r="M439"/>
  <c r="G393" i="5"/>
  <c r="G380"/>
  <c r="G391"/>
  <c r="G397"/>
  <c r="G381"/>
  <c r="G387"/>
  <c r="G371"/>
  <c r="G377"/>
  <c r="F429"/>
  <c r="M429" s="1"/>
  <c r="F417"/>
  <c r="M417" s="1"/>
  <c r="F415"/>
  <c r="M415" s="1"/>
  <c r="G394"/>
  <c r="G400"/>
  <c r="G385"/>
  <c r="G388"/>
  <c r="G389"/>
  <c r="G375"/>
  <c r="G373"/>
  <c r="G398"/>
  <c r="G392"/>
  <c r="G372"/>
  <c r="G386"/>
  <c r="G384"/>
  <c r="G396"/>
  <c r="G370"/>
  <c r="G379"/>
  <c r="F421"/>
  <c r="M421" s="1"/>
  <c r="F428"/>
  <c r="M428" s="1"/>
  <c r="F420"/>
  <c r="M420" s="1"/>
  <c r="F416"/>
  <c r="M416" s="1"/>
  <c r="F426"/>
  <c r="M426" s="1"/>
  <c r="F423"/>
  <c r="M423" s="1"/>
  <c r="F418"/>
  <c r="M418" s="1"/>
  <c r="F425"/>
  <c r="M425" s="1"/>
  <c r="F419"/>
  <c r="M419" s="1"/>
  <c r="F422"/>
  <c r="M422" s="1"/>
  <c r="F427"/>
  <c r="M427" s="1"/>
  <c r="G395"/>
  <c r="G374"/>
  <c r="G376"/>
  <c r="G378"/>
  <c r="G382"/>
  <c r="G390"/>
  <c r="G383"/>
  <c r="G399"/>
  <c r="F413"/>
  <c r="M413" s="1"/>
  <c r="F410"/>
  <c r="M410" s="1"/>
  <c r="F411"/>
  <c r="M411" s="1"/>
  <c r="F414"/>
  <c r="M414" s="1"/>
  <c r="F412"/>
  <c r="M412" s="1"/>
  <c r="F424"/>
  <c r="M424" s="1"/>
  <c r="F409"/>
  <c r="M409" s="1"/>
  <c r="F408"/>
  <c r="M408" s="1"/>
  <c r="F401"/>
  <c r="M401" s="1"/>
  <c r="F406"/>
  <c r="M406" s="1"/>
  <c r="F402"/>
  <c r="M402" s="1"/>
  <c r="F404"/>
  <c r="M404" s="1"/>
  <c r="F403"/>
  <c r="M403" s="1"/>
  <c r="F405"/>
  <c r="M405" s="1"/>
  <c r="F407"/>
  <c r="M407" s="1"/>
  <c r="P392" i="1"/>
  <c r="E375" i="38"/>
  <c r="D375"/>
  <c r="Z375"/>
  <c r="AA375" s="1"/>
  <c r="F375"/>
  <c r="AM375" s="1"/>
  <c r="G434" i="5"/>
  <c r="M434" s="1"/>
  <c r="G457"/>
  <c r="M457" s="1"/>
  <c r="G458"/>
  <c r="M458" s="1"/>
  <c r="G440"/>
  <c r="M440" s="1"/>
  <c r="G433"/>
  <c r="M433" s="1"/>
  <c r="G447"/>
  <c r="M447" s="1"/>
  <c r="G437"/>
  <c r="M437" s="1"/>
  <c r="G455"/>
  <c r="M455" s="1"/>
  <c r="G445"/>
  <c r="M445" s="1"/>
  <c r="G444"/>
  <c r="M444" s="1"/>
  <c r="G449"/>
  <c r="M449" s="1"/>
  <c r="G439"/>
  <c r="M439" s="1"/>
  <c r="G436"/>
  <c r="M436" s="1"/>
  <c r="G443"/>
  <c r="M443" s="1"/>
  <c r="G456"/>
  <c r="M456" s="1"/>
  <c r="G454"/>
  <c r="M454" s="1"/>
  <c r="G435"/>
  <c r="M435" s="1"/>
  <c r="G438"/>
  <c r="M438" s="1"/>
  <c r="G451"/>
  <c r="M451" s="1"/>
  <c r="G452"/>
  <c r="M452" s="1"/>
  <c r="G459"/>
  <c r="M459" s="1"/>
  <c r="G442"/>
  <c r="M442" s="1"/>
  <c r="G453"/>
  <c r="M453" s="1"/>
  <c r="G441"/>
  <c r="M441" s="1"/>
  <c r="G446"/>
  <c r="M446" s="1"/>
  <c r="G431"/>
  <c r="M431" s="1"/>
  <c r="G460"/>
  <c r="M460" s="1"/>
  <c r="G450"/>
  <c r="M450" s="1"/>
  <c r="G430"/>
  <c r="M430" s="1"/>
  <c r="G448"/>
  <c r="M448" s="1"/>
  <c r="G432"/>
  <c r="M432" s="1"/>
  <c r="I19" i="4"/>
  <c r="K19" s="1"/>
  <c r="M20" i="20"/>
  <c r="M12"/>
  <c r="M9"/>
  <c r="M23"/>
  <c r="M21"/>
  <c r="M35"/>
  <c r="M14"/>
  <c r="M6"/>
  <c r="M357" i="5"/>
  <c r="M358"/>
  <c r="M341"/>
  <c r="M342"/>
  <c r="M366"/>
  <c r="M350"/>
  <c r="M356"/>
  <c r="F22"/>
  <c r="M22" s="1"/>
  <c r="F6"/>
  <c r="M6" s="1"/>
  <c r="F33"/>
  <c r="M33" s="1"/>
  <c r="F15"/>
  <c r="M15" s="1"/>
  <c r="F5"/>
  <c r="M5" s="1"/>
  <c r="F9"/>
  <c r="M9" s="1"/>
  <c r="F8"/>
  <c r="M8" s="1"/>
  <c r="F7"/>
  <c r="F27"/>
  <c r="M27" s="1"/>
  <c r="F35"/>
  <c r="F16"/>
  <c r="M16" s="1"/>
  <c r="F18"/>
  <c r="M18" s="1"/>
  <c r="F12"/>
  <c r="F10"/>
  <c r="M10" s="1"/>
  <c r="F29"/>
  <c r="M29" s="1"/>
  <c r="F19"/>
  <c r="F30"/>
  <c r="M30" s="1"/>
  <c r="F34"/>
  <c r="M34" s="1"/>
  <c r="F25"/>
  <c r="M25" s="1"/>
  <c r="F11"/>
  <c r="F17"/>
  <c r="M17" s="1"/>
  <c r="F28"/>
  <c r="M28" s="1"/>
  <c r="F14"/>
  <c r="F26"/>
  <c r="F24"/>
  <c r="M24" s="1"/>
  <c r="F31"/>
  <c r="M31" s="1"/>
  <c r="F13"/>
  <c r="M13" s="1"/>
  <c r="F32"/>
  <c r="M32" s="1"/>
  <c r="F23"/>
  <c r="M23" s="1"/>
  <c r="F20"/>
  <c r="M20" s="1"/>
  <c r="F4"/>
  <c r="M4" s="1"/>
  <c r="F21"/>
  <c r="M21" s="1"/>
  <c r="M387" i="20"/>
  <c r="M397"/>
  <c r="M394"/>
  <c r="M391"/>
  <c r="M381"/>
  <c r="M399"/>
  <c r="M393"/>
  <c r="M376"/>
  <c r="M398"/>
  <c r="G127" i="50"/>
  <c r="G131"/>
  <c r="G143"/>
  <c r="G153"/>
  <c r="G155"/>
  <c r="G130"/>
  <c r="G136"/>
  <c r="G147"/>
  <c r="G151"/>
  <c r="G149"/>
  <c r="G138"/>
  <c r="G142"/>
  <c r="G129"/>
  <c r="G146"/>
  <c r="G126"/>
  <c r="G134"/>
  <c r="G139"/>
  <c r="G144"/>
  <c r="G145"/>
  <c r="G148"/>
  <c r="G156"/>
  <c r="G150"/>
  <c r="G141"/>
  <c r="G140"/>
  <c r="G137"/>
  <c r="G133"/>
  <c r="G135"/>
  <c r="G152"/>
  <c r="G128"/>
  <c r="G132"/>
  <c r="G154"/>
  <c r="F178"/>
  <c r="F183"/>
  <c r="F174"/>
  <c r="F170"/>
  <c r="F182"/>
  <c r="F171"/>
  <c r="F162"/>
  <c r="F157"/>
  <c r="M157" s="1"/>
  <c r="F169"/>
  <c r="F173"/>
  <c r="F177"/>
  <c r="M177" s="1"/>
  <c r="F160"/>
  <c r="F159"/>
  <c r="F181"/>
  <c r="F163"/>
  <c r="F184"/>
  <c r="F167"/>
  <c r="F175"/>
  <c r="F172"/>
  <c r="F186"/>
  <c r="F185"/>
  <c r="F168"/>
  <c r="F179"/>
  <c r="F165"/>
  <c r="F176"/>
  <c r="M176" s="1"/>
  <c r="F158"/>
  <c r="M158" s="1"/>
  <c r="F164"/>
  <c r="F166"/>
  <c r="M166" s="1"/>
  <c r="F161"/>
  <c r="M161" s="1"/>
  <c r="F180"/>
  <c r="F16" i="49"/>
  <c r="F4"/>
  <c r="G221" i="50"/>
  <c r="G228"/>
  <c r="G225"/>
  <c r="G243"/>
  <c r="G220"/>
  <c r="G237"/>
  <c r="G241"/>
  <c r="G239"/>
  <c r="F249"/>
  <c r="M249" s="1"/>
  <c r="F250"/>
  <c r="F252"/>
  <c r="F253"/>
  <c r="F264"/>
  <c r="F259"/>
  <c r="F257"/>
  <c r="F268"/>
  <c r="M268" s="1"/>
  <c r="G240"/>
  <c r="G223"/>
  <c r="G244"/>
  <c r="G246"/>
  <c r="G219"/>
  <c r="G230"/>
  <c r="G218"/>
  <c r="G234"/>
  <c r="F277"/>
  <c r="F255"/>
  <c r="F248"/>
  <c r="F251"/>
  <c r="F254"/>
  <c r="M254" s="1"/>
  <c r="F256"/>
  <c r="F262"/>
  <c r="F260"/>
  <c r="M260" s="1"/>
  <c r="F267"/>
  <c r="F273"/>
  <c r="F269"/>
  <c r="F275"/>
  <c r="F266"/>
  <c r="G236"/>
  <c r="G247"/>
  <c r="G242"/>
  <c r="G226"/>
  <c r="G222"/>
  <c r="G229"/>
  <c r="G238"/>
  <c r="F276"/>
  <c r="F270"/>
  <c r="M270" s="1"/>
  <c r="F278"/>
  <c r="F258"/>
  <c r="G227"/>
  <c r="G233"/>
  <c r="G232"/>
  <c r="G245"/>
  <c r="G235"/>
  <c r="G231"/>
  <c r="G224"/>
  <c r="F271"/>
  <c r="F261"/>
  <c r="M261" s="1"/>
  <c r="F272"/>
  <c r="F274"/>
  <c r="F265"/>
  <c r="F263"/>
  <c r="AF384" i="1"/>
  <c r="AD385"/>
  <c r="M91" i="20"/>
  <c r="M92"/>
  <c r="M75"/>
  <c r="M72"/>
  <c r="M85"/>
  <c r="M79"/>
  <c r="M68"/>
  <c r="M81"/>
  <c r="M419" i="22"/>
  <c r="M421"/>
  <c r="M424"/>
  <c r="M408"/>
  <c r="M414"/>
  <c r="M413"/>
  <c r="M427"/>
  <c r="M4"/>
  <c r="M19"/>
  <c r="M31"/>
  <c r="M9"/>
  <c r="M7"/>
  <c r="M27"/>
  <c r="M30"/>
  <c r="M18"/>
  <c r="M329" i="5"/>
  <c r="M312"/>
  <c r="M335"/>
  <c r="M318"/>
  <c r="M324"/>
  <c r="M322"/>
  <c r="M337"/>
  <c r="M338"/>
  <c r="M69" i="22"/>
  <c r="M88"/>
  <c r="M66"/>
  <c r="M79"/>
  <c r="M94"/>
  <c r="M90"/>
  <c r="M85"/>
  <c r="M442" i="20"/>
  <c r="M458"/>
  <c r="M456"/>
  <c r="M441"/>
  <c r="M444"/>
  <c r="M448"/>
  <c r="M433"/>
  <c r="AN374" i="38"/>
  <c r="AO374"/>
  <c r="AP374" s="1"/>
  <c r="AQ374" s="1"/>
  <c r="E394" i="52"/>
  <c r="M4" i="20"/>
  <c r="M32"/>
  <c r="M10"/>
  <c r="M26"/>
  <c r="M33"/>
  <c r="M7"/>
  <c r="M27"/>
  <c r="M30"/>
  <c r="M346" i="5"/>
  <c r="M343"/>
  <c r="M349"/>
  <c r="M365"/>
  <c r="M347"/>
  <c r="M380" i="20"/>
  <c r="M371"/>
  <c r="M396"/>
  <c r="M392"/>
  <c r="M395"/>
  <c r="M383"/>
  <c r="M385"/>
  <c r="G318" i="50"/>
  <c r="G310"/>
  <c r="G322"/>
  <c r="G331"/>
  <c r="G320"/>
  <c r="G335"/>
  <c r="G321"/>
  <c r="F350"/>
  <c r="F363"/>
  <c r="F341"/>
  <c r="F360"/>
  <c r="F361"/>
  <c r="F366"/>
  <c r="G338"/>
  <c r="G311"/>
  <c r="G333"/>
  <c r="G337"/>
  <c r="G312"/>
  <c r="G309"/>
  <c r="G326"/>
  <c r="G339"/>
  <c r="F356"/>
  <c r="F348"/>
  <c r="F347"/>
  <c r="F367"/>
  <c r="F359"/>
  <c r="G336"/>
  <c r="G324"/>
  <c r="G316"/>
  <c r="G328"/>
  <c r="G314"/>
  <c r="G329"/>
  <c r="G317"/>
  <c r="G334"/>
  <c r="F364"/>
  <c r="F346"/>
  <c r="F349"/>
  <c r="F354"/>
  <c r="F358"/>
  <c r="F369"/>
  <c r="F345"/>
  <c r="F340"/>
  <c r="F368"/>
  <c r="F351"/>
  <c r="F357"/>
  <c r="G327"/>
  <c r="G315"/>
  <c r="G330"/>
  <c r="G319"/>
  <c r="G323"/>
  <c r="G313"/>
  <c r="G325"/>
  <c r="G332"/>
  <c r="F342"/>
  <c r="F362"/>
  <c r="F353"/>
  <c r="F355"/>
  <c r="F365"/>
  <c r="F352"/>
  <c r="F344"/>
  <c r="F343"/>
  <c r="G121"/>
  <c r="G116"/>
  <c r="G123"/>
  <c r="G108"/>
  <c r="G120"/>
  <c r="G105"/>
  <c r="G110"/>
  <c r="G111"/>
  <c r="G125"/>
  <c r="G109"/>
  <c r="G104"/>
  <c r="G107"/>
  <c r="G117"/>
  <c r="G106"/>
  <c r="G114"/>
  <c r="G112"/>
  <c r="G118"/>
  <c r="G101"/>
  <c r="G96"/>
  <c r="G119"/>
  <c r="G99"/>
  <c r="G100"/>
  <c r="G103"/>
  <c r="G115"/>
  <c r="G97"/>
  <c r="G113"/>
  <c r="G98"/>
  <c r="G124"/>
  <c r="G102"/>
  <c r="G122"/>
  <c r="F131"/>
  <c r="F153"/>
  <c r="M153" s="1"/>
  <c r="F140"/>
  <c r="F138"/>
  <c r="F134"/>
  <c r="F136"/>
  <c r="F155"/>
  <c r="M155" s="1"/>
  <c r="F127"/>
  <c r="M127" s="1"/>
  <c r="F130"/>
  <c r="F135"/>
  <c r="F147"/>
  <c r="F146"/>
  <c r="F143"/>
  <c r="M143" s="1"/>
  <c r="F156"/>
  <c r="M156" s="1"/>
  <c r="F150"/>
  <c r="F151"/>
  <c r="M151" s="1"/>
  <c r="F144"/>
  <c r="F132"/>
  <c r="F141"/>
  <c r="F152"/>
  <c r="F137"/>
  <c r="F129"/>
  <c r="M129" s="1"/>
  <c r="F133"/>
  <c r="F145"/>
  <c r="F154"/>
  <c r="M154" s="1"/>
  <c r="F149"/>
  <c r="F128"/>
  <c r="M128" s="1"/>
  <c r="F148"/>
  <c r="F139"/>
  <c r="F142"/>
  <c r="M142" s="1"/>
  <c r="F126"/>
  <c r="M65" i="20"/>
  <c r="M73"/>
  <c r="M84"/>
  <c r="M70"/>
  <c r="M78"/>
  <c r="M69"/>
  <c r="M87"/>
  <c r="M76"/>
  <c r="W391" i="1"/>
  <c r="R391"/>
  <c r="M193" i="5"/>
  <c r="M209"/>
  <c r="M188"/>
  <c r="M417" i="22"/>
  <c r="M422"/>
  <c r="M412"/>
  <c r="M411"/>
  <c r="M418"/>
  <c r="M409"/>
  <c r="M410"/>
  <c r="M426"/>
  <c r="M29"/>
  <c r="M33"/>
  <c r="M15"/>
  <c r="M21"/>
  <c r="M20"/>
  <c r="M16"/>
  <c r="M14"/>
  <c r="M10"/>
  <c r="G223" i="5"/>
  <c r="G238"/>
  <c r="M238" s="1"/>
  <c r="G244"/>
  <c r="M244" s="1"/>
  <c r="G242"/>
  <c r="M242" s="1"/>
  <c r="G233"/>
  <c r="M233" s="1"/>
  <c r="G224"/>
  <c r="M224" s="1"/>
  <c r="G232"/>
  <c r="M232" s="1"/>
  <c r="G243"/>
  <c r="M243" s="1"/>
  <c r="G227"/>
  <c r="G240"/>
  <c r="M240" s="1"/>
  <c r="G235"/>
  <c r="M235" s="1"/>
  <c r="G237"/>
  <c r="M237" s="1"/>
  <c r="G230"/>
  <c r="G246"/>
  <c r="M246" s="1"/>
  <c r="G229"/>
  <c r="M229" s="1"/>
  <c r="G245"/>
  <c r="M245" s="1"/>
  <c r="G231"/>
  <c r="M231" s="1"/>
  <c r="G247"/>
  <c r="M247" s="1"/>
  <c r="G234"/>
  <c r="M234" s="1"/>
  <c r="G220"/>
  <c r="M220" s="1"/>
  <c r="G218"/>
  <c r="M218" s="1"/>
  <c r="G226"/>
  <c r="M226" s="1"/>
  <c r="G222"/>
  <c r="M222" s="1"/>
  <c r="G219"/>
  <c r="M219" s="1"/>
  <c r="G221"/>
  <c r="G241"/>
  <c r="M241" s="1"/>
  <c r="G236"/>
  <c r="G225"/>
  <c r="M225" s="1"/>
  <c r="G228"/>
  <c r="M228" s="1"/>
  <c r="G239"/>
  <c r="F262"/>
  <c r="M262" s="1"/>
  <c r="F276"/>
  <c r="M276" s="1"/>
  <c r="F264"/>
  <c r="M264" s="1"/>
  <c r="F267"/>
  <c r="M267" s="1"/>
  <c r="F263"/>
  <c r="M263" s="1"/>
  <c r="F274"/>
  <c r="M274" s="1"/>
  <c r="F269"/>
  <c r="M269" s="1"/>
  <c r="F249"/>
  <c r="M249" s="1"/>
  <c r="F257"/>
  <c r="M257" s="1"/>
  <c r="F252"/>
  <c r="M252" s="1"/>
  <c r="F256"/>
  <c r="M256" s="1"/>
  <c r="F248"/>
  <c r="M248" s="1"/>
  <c r="F271"/>
  <c r="M271" s="1"/>
  <c r="F259"/>
  <c r="M259" s="1"/>
  <c r="F266"/>
  <c r="M266" s="1"/>
  <c r="F258"/>
  <c r="M258" s="1"/>
  <c r="F261"/>
  <c r="M261" s="1"/>
  <c r="F253"/>
  <c r="M253" s="1"/>
  <c r="F260"/>
  <c r="M260" s="1"/>
  <c r="F251"/>
  <c r="M251" s="1"/>
  <c r="F270"/>
  <c r="M270" s="1"/>
  <c r="F250"/>
  <c r="M250" s="1"/>
  <c r="F265"/>
  <c r="M265" s="1"/>
  <c r="F272"/>
  <c r="M272" s="1"/>
  <c r="F268"/>
  <c r="M268" s="1"/>
  <c r="F275"/>
  <c r="M275" s="1"/>
  <c r="F255"/>
  <c r="M255" s="1"/>
  <c r="F278"/>
  <c r="M278" s="1"/>
  <c r="F254"/>
  <c r="M254" s="1"/>
  <c r="F277"/>
  <c r="M277" s="1"/>
  <c r="F273"/>
  <c r="M273" s="1"/>
  <c r="M333"/>
  <c r="M328"/>
  <c r="M326"/>
  <c r="M323"/>
  <c r="M330"/>
  <c r="M327"/>
  <c r="M314"/>
  <c r="M339"/>
  <c r="M75" i="22"/>
  <c r="M73"/>
  <c r="M92"/>
  <c r="M80"/>
  <c r="M71"/>
  <c r="M70"/>
  <c r="M89"/>
  <c r="M86"/>
  <c r="M430" i="20"/>
  <c r="M434"/>
  <c r="M459"/>
  <c r="M447"/>
  <c r="M455"/>
  <c r="M443"/>
  <c r="M451"/>
  <c r="M438"/>
  <c r="I459"/>
  <c r="I453"/>
  <c r="I458"/>
  <c r="I431"/>
  <c r="I443"/>
  <c r="I452"/>
  <c r="I456"/>
  <c r="I455"/>
  <c r="I441"/>
  <c r="I444"/>
  <c r="I457"/>
  <c r="I449"/>
  <c r="I439"/>
  <c r="I445"/>
  <c r="I433"/>
  <c r="I442"/>
  <c r="I432"/>
  <c r="I446"/>
  <c r="I438"/>
  <c r="I448"/>
  <c r="I460"/>
  <c r="I450"/>
  <c r="I447"/>
  <c r="K18" i="19"/>
  <c r="I440" i="20"/>
  <c r="I454"/>
  <c r="I436"/>
  <c r="I435"/>
  <c r="I451"/>
  <c r="I430"/>
  <c r="I437"/>
  <c r="I434"/>
  <c r="AR373" i="38"/>
  <c r="AI392" i="1"/>
  <c r="AC392"/>
  <c r="AK392"/>
  <c r="AH392"/>
  <c r="BC392"/>
  <c r="AJ392"/>
  <c r="AL392"/>
  <c r="AM392"/>
  <c r="M8" i="20"/>
  <c r="M16"/>
  <c r="M22"/>
  <c r="M29"/>
  <c r="M31"/>
  <c r="M25"/>
  <c r="M19"/>
  <c r="M17"/>
  <c r="M351" i="5"/>
  <c r="M348"/>
  <c r="M353"/>
  <c r="M359"/>
  <c r="V380" i="48"/>
  <c r="F380"/>
  <c r="Y380" s="1"/>
  <c r="CT29" i="55"/>
  <c r="I391" i="53"/>
  <c r="M373" i="20"/>
  <c r="M378"/>
  <c r="M386"/>
  <c r="M388"/>
  <c r="M375"/>
  <c r="M400"/>
  <c r="M382"/>
  <c r="F18" i="49"/>
  <c r="F6"/>
  <c r="F7"/>
  <c r="F19"/>
  <c r="G296" i="50"/>
  <c r="G290"/>
  <c r="G291"/>
  <c r="G285"/>
  <c r="G279"/>
  <c r="G282"/>
  <c r="G302"/>
  <c r="F330"/>
  <c r="F328"/>
  <c r="M328" s="1"/>
  <c r="F314"/>
  <c r="F331"/>
  <c r="F324"/>
  <c r="F335"/>
  <c r="M335" s="1"/>
  <c r="G292"/>
  <c r="G308"/>
  <c r="G294"/>
  <c r="G289"/>
  <c r="G288"/>
  <c r="G287"/>
  <c r="G298"/>
  <c r="G280"/>
  <c r="F318"/>
  <c r="F311"/>
  <c r="F312"/>
  <c r="F337"/>
  <c r="F334"/>
  <c r="G304"/>
  <c r="G305"/>
  <c r="G307"/>
  <c r="G284"/>
  <c r="G300"/>
  <c r="G281"/>
  <c r="G295"/>
  <c r="G293"/>
  <c r="F317"/>
  <c r="F333"/>
  <c r="F321"/>
  <c r="M321" s="1"/>
  <c r="F313"/>
  <c r="F325"/>
  <c r="F316"/>
  <c r="F319"/>
  <c r="F338"/>
  <c r="F309"/>
  <c r="G303"/>
  <c r="G299"/>
  <c r="G283"/>
  <c r="G306"/>
  <c r="G286"/>
  <c r="G301"/>
  <c r="G297"/>
  <c r="F310"/>
  <c r="F320"/>
  <c r="F339"/>
  <c r="F329"/>
  <c r="M329" s="1"/>
  <c r="F332"/>
  <c r="F323"/>
  <c r="F315"/>
  <c r="M315" s="1"/>
  <c r="F326"/>
  <c r="F327"/>
  <c r="F336"/>
  <c r="F322"/>
  <c r="M66" i="20"/>
  <c r="M89"/>
  <c r="M88"/>
  <c r="M86"/>
  <c r="M67"/>
  <c r="M82"/>
  <c r="M95"/>
  <c r="M71"/>
  <c r="M206" i="5"/>
  <c r="M194"/>
  <c r="M221"/>
  <c r="M227"/>
  <c r="M236"/>
  <c r="M223"/>
  <c r="M239"/>
  <c r="M230"/>
  <c r="M403" i="22"/>
  <c r="M423"/>
  <c r="M406"/>
  <c r="M405"/>
  <c r="M416"/>
  <c r="M420"/>
  <c r="M415"/>
  <c r="M13"/>
  <c r="M8"/>
  <c r="M24"/>
  <c r="M5"/>
  <c r="M11"/>
  <c r="M23"/>
  <c r="M34"/>
  <c r="M22"/>
  <c r="AA187" i="38"/>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M310" i="5"/>
  <c r="M321"/>
  <c r="M316"/>
  <c r="M313"/>
  <c r="M331"/>
  <c r="M334"/>
  <c r="M320"/>
  <c r="M95" i="22"/>
  <c r="M72"/>
  <c r="M67"/>
  <c r="M93"/>
  <c r="M68"/>
  <c r="M83"/>
  <c r="M65"/>
  <c r="M74"/>
  <c r="M431" i="20"/>
  <c r="M435"/>
  <c r="M452"/>
  <c r="M450"/>
  <c r="M454"/>
  <c r="M445"/>
  <c r="M457"/>
  <c r="M440"/>
  <c r="M26" i="5" l="1"/>
  <c r="M19"/>
  <c r="M7"/>
  <c r="M265" i="50"/>
  <c r="M186"/>
  <c r="M170"/>
  <c r="M11" i="5"/>
  <c r="M322" i="50"/>
  <c r="M276"/>
  <c r="M264"/>
  <c r="M185"/>
  <c r="M12" i="5"/>
  <c r="M139" i="50"/>
  <c r="M137"/>
  <c r="AR374" i="38"/>
  <c r="M181" i="50"/>
  <c r="M208"/>
  <c r="M201"/>
  <c r="M192"/>
  <c r="M196"/>
  <c r="M35" i="5"/>
  <c r="M326" i="50"/>
  <c r="M262"/>
  <c r="M14" i="5"/>
  <c r="V388" i="1"/>
  <c r="X388"/>
  <c r="BA390"/>
  <c r="BD389"/>
  <c r="BE389" s="1"/>
  <c r="T389" s="1"/>
  <c r="U389" s="1"/>
  <c r="S391"/>
  <c r="M323" i="50"/>
  <c r="M312"/>
  <c r="M327"/>
  <c r="M310"/>
  <c r="M182"/>
  <c r="M178"/>
  <c r="M338"/>
  <c r="M334"/>
  <c r="M146"/>
  <c r="M332"/>
  <c r="M317"/>
  <c r="F17" i="49"/>
  <c r="M278" i="50"/>
  <c r="M164"/>
  <c r="M179"/>
  <c r="M163"/>
  <c r="M174"/>
  <c r="BY31" i="55"/>
  <c r="D392" i="53"/>
  <c r="N31" i="55" s="1"/>
  <c r="BD32"/>
  <c r="G393" i="53"/>
  <c r="AA387" i="1"/>
  <c r="E394" i="53" s="1"/>
  <c r="AB387" i="1"/>
  <c r="AE387" s="1"/>
  <c r="AM387" s="1"/>
  <c r="AC387"/>
  <c r="M309" i="50"/>
  <c r="M311"/>
  <c r="M149"/>
  <c r="M132"/>
  <c r="M266"/>
  <c r="M277"/>
  <c r="M159"/>
  <c r="M169"/>
  <c r="M313"/>
  <c r="M314"/>
  <c r="M144"/>
  <c r="M130"/>
  <c r="M131"/>
  <c r="M271"/>
  <c r="M258"/>
  <c r="M253"/>
  <c r="M165"/>
  <c r="M160"/>
  <c r="M336"/>
  <c r="M133"/>
  <c r="M150"/>
  <c r="M250"/>
  <c r="M212"/>
  <c r="M204"/>
  <c r="M193"/>
  <c r="M339"/>
  <c r="M320"/>
  <c r="M318"/>
  <c r="M134"/>
  <c r="M275"/>
  <c r="M251"/>
  <c r="M184"/>
  <c r="M187"/>
  <c r="M319"/>
  <c r="M337"/>
  <c r="M148"/>
  <c r="M152"/>
  <c r="M269"/>
  <c r="M248"/>
  <c r="M252"/>
  <c r="M215"/>
  <c r="M191"/>
  <c r="M316"/>
  <c r="M147"/>
  <c r="M140"/>
  <c r="M272"/>
  <c r="M273"/>
  <c r="M256"/>
  <c r="M180"/>
  <c r="M168"/>
  <c r="M175"/>
  <c r="M183"/>
  <c r="M214"/>
  <c r="M195"/>
  <c r="M325"/>
  <c r="M331"/>
  <c r="M135"/>
  <c r="M136"/>
  <c r="M263"/>
  <c r="M267"/>
  <c r="M167"/>
  <c r="M206"/>
  <c r="M207"/>
  <c r="M145"/>
  <c r="M138"/>
  <c r="M274"/>
  <c r="M257"/>
  <c r="M172"/>
  <c r="M162"/>
  <c r="M203"/>
  <c r="M202"/>
  <c r="M333"/>
  <c r="M324"/>
  <c r="M330"/>
  <c r="M126"/>
  <c r="M141"/>
  <c r="M255"/>
  <c r="M259"/>
  <c r="M173"/>
  <c r="M171"/>
  <c r="M189"/>
  <c r="M200"/>
  <c r="G82"/>
  <c r="G83"/>
  <c r="G79"/>
  <c r="G94"/>
  <c r="G80"/>
  <c r="G81"/>
  <c r="G86"/>
  <c r="G68"/>
  <c r="G70"/>
  <c r="G74"/>
  <c r="G78"/>
  <c r="G67"/>
  <c r="G69"/>
  <c r="G75"/>
  <c r="G73"/>
  <c r="G91"/>
  <c r="G92"/>
  <c r="G84"/>
  <c r="G89"/>
  <c r="G71"/>
  <c r="G93"/>
  <c r="G66"/>
  <c r="G77"/>
  <c r="G85"/>
  <c r="G90"/>
  <c r="G65"/>
  <c r="G95"/>
  <c r="G76"/>
  <c r="G72"/>
  <c r="G88"/>
  <c r="G87"/>
  <c r="F111"/>
  <c r="M111" s="1"/>
  <c r="F106"/>
  <c r="M106" s="1"/>
  <c r="F105"/>
  <c r="M105" s="1"/>
  <c r="F97"/>
  <c r="M97" s="1"/>
  <c r="F117"/>
  <c r="M117" s="1"/>
  <c r="F116"/>
  <c r="M116" s="1"/>
  <c r="F103"/>
  <c r="M103" s="1"/>
  <c r="F110"/>
  <c r="M110" s="1"/>
  <c r="F104"/>
  <c r="M104" s="1"/>
  <c r="F112"/>
  <c r="M112" s="1"/>
  <c r="F102"/>
  <c r="M102" s="1"/>
  <c r="F109"/>
  <c r="M109" s="1"/>
  <c r="F113"/>
  <c r="M113" s="1"/>
  <c r="F124"/>
  <c r="M124" s="1"/>
  <c r="F125"/>
  <c r="M125" s="1"/>
  <c r="F123"/>
  <c r="M123" s="1"/>
  <c r="F115"/>
  <c r="M115" s="1"/>
  <c r="F100"/>
  <c r="M100" s="1"/>
  <c r="F98"/>
  <c r="M98" s="1"/>
  <c r="F121"/>
  <c r="M121" s="1"/>
  <c r="F108"/>
  <c r="M108" s="1"/>
  <c r="F119"/>
  <c r="M119" s="1"/>
  <c r="F96"/>
  <c r="M96" s="1"/>
  <c r="F114"/>
  <c r="M114" s="1"/>
  <c r="F101"/>
  <c r="M101" s="1"/>
  <c r="F120"/>
  <c r="M120" s="1"/>
  <c r="F107"/>
  <c r="M107" s="1"/>
  <c r="F118"/>
  <c r="M118" s="1"/>
  <c r="F99"/>
  <c r="M99" s="1"/>
  <c r="F122"/>
  <c r="M122" s="1"/>
  <c r="G399"/>
  <c r="G383"/>
  <c r="G396"/>
  <c r="G378"/>
  <c r="G387"/>
  <c r="G370"/>
  <c r="G388"/>
  <c r="G386"/>
  <c r="F402"/>
  <c r="F421"/>
  <c r="F417"/>
  <c r="G381"/>
  <c r="G397"/>
  <c r="G385"/>
  <c r="G373"/>
  <c r="G375"/>
  <c r="G389"/>
  <c r="G390"/>
  <c r="G374"/>
  <c r="F415"/>
  <c r="F414"/>
  <c r="F428"/>
  <c r="F403"/>
  <c r="F416"/>
  <c r="F409"/>
  <c r="F418"/>
  <c r="F427"/>
  <c r="F411"/>
  <c r="G371"/>
  <c r="G379"/>
  <c r="G395"/>
  <c r="G384"/>
  <c r="G391"/>
  <c r="G398"/>
  <c r="G380"/>
  <c r="F429"/>
  <c r="F422"/>
  <c r="F419"/>
  <c r="F408"/>
  <c r="F426"/>
  <c r="F420"/>
  <c r="G393"/>
  <c r="G394"/>
  <c r="G372"/>
  <c r="G382"/>
  <c r="G377"/>
  <c r="G392"/>
  <c r="G376"/>
  <c r="G400"/>
  <c r="F413"/>
  <c r="F401"/>
  <c r="F424"/>
  <c r="F412"/>
  <c r="F404"/>
  <c r="F425"/>
  <c r="F405"/>
  <c r="F406"/>
  <c r="F410"/>
  <c r="F407"/>
  <c r="F423"/>
  <c r="O4" i="20"/>
  <c r="O5" s="1"/>
  <c r="O6" s="1"/>
  <c r="O7" s="1"/>
  <c r="O8" s="1"/>
  <c r="O9" s="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O245" s="1"/>
  <c r="O246" s="1"/>
  <c r="O247" s="1"/>
  <c r="O248" s="1"/>
  <c r="O249" s="1"/>
  <c r="O250" s="1"/>
  <c r="O251" s="1"/>
  <c r="O252" s="1"/>
  <c r="O253" s="1"/>
  <c r="O254" s="1"/>
  <c r="O255" s="1"/>
  <c r="O256" s="1"/>
  <c r="O257" s="1"/>
  <c r="O258" s="1"/>
  <c r="O259" s="1"/>
  <c r="O260" s="1"/>
  <c r="O261" s="1"/>
  <c r="O262" s="1"/>
  <c r="O263" s="1"/>
  <c r="O264" s="1"/>
  <c r="O265" s="1"/>
  <c r="O266" s="1"/>
  <c r="O267" s="1"/>
  <c r="O268" s="1"/>
  <c r="O269" s="1"/>
  <c r="O270" s="1"/>
  <c r="O271" s="1"/>
  <c r="O272" s="1"/>
  <c r="O273" s="1"/>
  <c r="O274" s="1"/>
  <c r="O275" s="1"/>
  <c r="O276" s="1"/>
  <c r="O277" s="1"/>
  <c r="O278" s="1"/>
  <c r="O279" s="1"/>
  <c r="O280" s="1"/>
  <c r="O281" s="1"/>
  <c r="O282" s="1"/>
  <c r="O283" s="1"/>
  <c r="O284" s="1"/>
  <c r="O285" s="1"/>
  <c r="O286" s="1"/>
  <c r="O287" s="1"/>
  <c r="O288" s="1"/>
  <c r="O289" s="1"/>
  <c r="O290" s="1"/>
  <c r="O291" s="1"/>
  <c r="O292" s="1"/>
  <c r="O293" s="1"/>
  <c r="O294" s="1"/>
  <c r="O295" s="1"/>
  <c r="O296" s="1"/>
  <c r="O297" s="1"/>
  <c r="O298" s="1"/>
  <c r="O299" s="1"/>
  <c r="O300" s="1"/>
  <c r="O301" s="1"/>
  <c r="O302" s="1"/>
  <c r="O303" s="1"/>
  <c r="O304" s="1"/>
  <c r="O305" s="1"/>
  <c r="O306" s="1"/>
  <c r="O307" s="1"/>
  <c r="O308" s="1"/>
  <c r="O309" s="1"/>
  <c r="O310" s="1"/>
  <c r="O311" s="1"/>
  <c r="O312" s="1"/>
  <c r="O313" s="1"/>
  <c r="O314" s="1"/>
  <c r="O315" s="1"/>
  <c r="O316" s="1"/>
  <c r="O317" s="1"/>
  <c r="O318" s="1"/>
  <c r="O319" s="1"/>
  <c r="O320" s="1"/>
  <c r="O321" s="1"/>
  <c r="O322" s="1"/>
  <c r="O323" s="1"/>
  <c r="O324" s="1"/>
  <c r="O325" s="1"/>
  <c r="O326" s="1"/>
  <c r="O327" s="1"/>
  <c r="O328" s="1"/>
  <c r="O329" s="1"/>
  <c r="O330" s="1"/>
  <c r="O331" s="1"/>
  <c r="O332" s="1"/>
  <c r="O333" s="1"/>
  <c r="O334" s="1"/>
  <c r="O335" s="1"/>
  <c r="O336" s="1"/>
  <c r="O337" s="1"/>
  <c r="O338" s="1"/>
  <c r="O339" s="1"/>
  <c r="O340" s="1"/>
  <c r="O341" s="1"/>
  <c r="O342" s="1"/>
  <c r="O343" s="1"/>
  <c r="O344" s="1"/>
  <c r="O345" s="1"/>
  <c r="O346" s="1"/>
  <c r="O347" s="1"/>
  <c r="O348" s="1"/>
  <c r="O349" s="1"/>
  <c r="O350" s="1"/>
  <c r="O351" s="1"/>
  <c r="O352" s="1"/>
  <c r="O353" s="1"/>
  <c r="O354" s="1"/>
  <c r="O355" s="1"/>
  <c r="O356" s="1"/>
  <c r="O357" s="1"/>
  <c r="O358" s="1"/>
  <c r="O359" s="1"/>
  <c r="O360" s="1"/>
  <c r="O361" s="1"/>
  <c r="O362" s="1"/>
  <c r="O363" s="1"/>
  <c r="O364" s="1"/>
  <c r="O365" s="1"/>
  <c r="O366" s="1"/>
  <c r="O367" s="1"/>
  <c r="O368" s="1"/>
  <c r="O369" s="1"/>
  <c r="O370" s="1"/>
  <c r="O371" s="1"/>
  <c r="O372" s="1"/>
  <c r="O373" s="1"/>
  <c r="O374" s="1"/>
  <c r="O375" s="1"/>
  <c r="O376" s="1"/>
  <c r="O377" s="1"/>
  <c r="O378" s="1"/>
  <c r="O379" s="1"/>
  <c r="O380" s="1"/>
  <c r="O381" s="1"/>
  <c r="O382" s="1"/>
  <c r="O383" s="1"/>
  <c r="O384" s="1"/>
  <c r="O385" s="1"/>
  <c r="O386" s="1"/>
  <c r="O387" s="1"/>
  <c r="O388" s="1"/>
  <c r="O389" s="1"/>
  <c r="O390" s="1"/>
  <c r="O391" s="1"/>
  <c r="O392" s="1"/>
  <c r="O393" s="1"/>
  <c r="O394" s="1"/>
  <c r="O395" s="1"/>
  <c r="O396" s="1"/>
  <c r="O397" s="1"/>
  <c r="O398" s="1"/>
  <c r="O399" s="1"/>
  <c r="O400" s="1"/>
  <c r="O401" s="1"/>
  <c r="O402" s="1"/>
  <c r="O403" s="1"/>
  <c r="O404" s="1"/>
  <c r="O405" s="1"/>
  <c r="O406" s="1"/>
  <c r="O407" s="1"/>
  <c r="O408" s="1"/>
  <c r="O409" s="1"/>
  <c r="O410" s="1"/>
  <c r="O411" s="1"/>
  <c r="O412" s="1"/>
  <c r="O413" s="1"/>
  <c r="O414" s="1"/>
  <c r="O415" s="1"/>
  <c r="O416" s="1"/>
  <c r="O417" s="1"/>
  <c r="O418" s="1"/>
  <c r="O419" s="1"/>
  <c r="O420" s="1"/>
  <c r="O421" s="1"/>
  <c r="O422" s="1"/>
  <c r="O423" s="1"/>
  <c r="O424" s="1"/>
  <c r="O425" s="1"/>
  <c r="O426" s="1"/>
  <c r="O427" s="1"/>
  <c r="O428" s="1"/>
  <c r="O429" s="1"/>
  <c r="O430" s="1"/>
  <c r="O431" s="1"/>
  <c r="O432" s="1"/>
  <c r="O433" s="1"/>
  <c r="O434" s="1"/>
  <c r="O435" s="1"/>
  <c r="O436" s="1"/>
  <c r="O437" s="1"/>
  <c r="O438" s="1"/>
  <c r="O439" s="1"/>
  <c r="O440" s="1"/>
  <c r="O441" s="1"/>
  <c r="O442" s="1"/>
  <c r="O443" s="1"/>
  <c r="O444" s="1"/>
  <c r="O445" s="1"/>
  <c r="O446" s="1"/>
  <c r="O447" s="1"/>
  <c r="O448" s="1"/>
  <c r="O449" s="1"/>
  <c r="O450" s="1"/>
  <c r="O451" s="1"/>
  <c r="O452" s="1"/>
  <c r="O453" s="1"/>
  <c r="O454" s="1"/>
  <c r="O455" s="1"/>
  <c r="O456" s="1"/>
  <c r="O457" s="1"/>
  <c r="O458" s="1"/>
  <c r="O459" s="1"/>
  <c r="O460" s="1"/>
  <c r="BK374" i="38"/>
  <c r="AS374"/>
  <c r="AU374" s="1"/>
  <c r="AV374" s="1"/>
  <c r="BA374" s="1"/>
  <c r="BB374" s="1"/>
  <c r="BH374" s="1"/>
  <c r="BJ374" s="1"/>
  <c r="P374" s="1"/>
  <c r="O374" s="1"/>
  <c r="G361" i="50"/>
  <c r="M361" s="1"/>
  <c r="G369"/>
  <c r="G364"/>
  <c r="M364" s="1"/>
  <c r="G350"/>
  <c r="M350" s="1"/>
  <c r="G341"/>
  <c r="M341" s="1"/>
  <c r="G355"/>
  <c r="M355" s="1"/>
  <c r="G347"/>
  <c r="M347" s="1"/>
  <c r="G344"/>
  <c r="M344" s="1"/>
  <c r="F386"/>
  <c r="F391"/>
  <c r="M391" s="1"/>
  <c r="F393"/>
  <c r="F372"/>
  <c r="F383"/>
  <c r="G365"/>
  <c r="M365" s="1"/>
  <c r="G343"/>
  <c r="M343" s="1"/>
  <c r="G360"/>
  <c r="M360" s="1"/>
  <c r="G368"/>
  <c r="M368" s="1"/>
  <c r="G340"/>
  <c r="M340" s="1"/>
  <c r="G362"/>
  <c r="M362" s="1"/>
  <c r="G356"/>
  <c r="M356" s="1"/>
  <c r="F389"/>
  <c r="M389" s="1"/>
  <c r="F400"/>
  <c r="M400" s="1"/>
  <c r="F392"/>
  <c r="F378"/>
  <c r="F394"/>
  <c r="M394" s="1"/>
  <c r="F382"/>
  <c r="M382" s="1"/>
  <c r="G354"/>
  <c r="M354" s="1"/>
  <c r="G348"/>
  <c r="M348" s="1"/>
  <c r="G342"/>
  <c r="M342" s="1"/>
  <c r="G366"/>
  <c r="M366" s="1"/>
  <c r="G352"/>
  <c r="M352" s="1"/>
  <c r="G353"/>
  <c r="M353" s="1"/>
  <c r="G345"/>
  <c r="M345" s="1"/>
  <c r="F390"/>
  <c r="F381"/>
  <c r="F379"/>
  <c r="F395"/>
  <c r="F380"/>
  <c r="F398"/>
  <c r="F376"/>
  <c r="F374"/>
  <c r="F371"/>
  <c r="M371" s="1"/>
  <c r="F397"/>
  <c r="M397" s="1"/>
  <c r="F375"/>
  <c r="F385"/>
  <c r="G346"/>
  <c r="M346" s="1"/>
  <c r="G363"/>
  <c r="M363" s="1"/>
  <c r="G358"/>
  <c r="M358" s="1"/>
  <c r="G359"/>
  <c r="M359" s="1"/>
  <c r="G351"/>
  <c r="M351" s="1"/>
  <c r="G357"/>
  <c r="G349"/>
  <c r="M349" s="1"/>
  <c r="G367"/>
  <c r="M367" s="1"/>
  <c r="F384"/>
  <c r="F387"/>
  <c r="M387" s="1"/>
  <c r="F399"/>
  <c r="M399" s="1"/>
  <c r="F370"/>
  <c r="F373"/>
  <c r="F396"/>
  <c r="F388"/>
  <c r="F377"/>
  <c r="O4" i="5"/>
  <c r="O5" s="1"/>
  <c r="O6" s="1"/>
  <c r="O7" s="1"/>
  <c r="O8" s="1"/>
  <c r="O9" s="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O245" s="1"/>
  <c r="O246" s="1"/>
  <c r="O247" s="1"/>
  <c r="O248" s="1"/>
  <c r="O249" s="1"/>
  <c r="O250" s="1"/>
  <c r="O251" s="1"/>
  <c r="O252" s="1"/>
  <c r="O253" s="1"/>
  <c r="O254" s="1"/>
  <c r="O255" s="1"/>
  <c r="O256" s="1"/>
  <c r="O257" s="1"/>
  <c r="O258" s="1"/>
  <c r="O259" s="1"/>
  <c r="O260" s="1"/>
  <c r="O261" s="1"/>
  <c r="O262" s="1"/>
  <c r="O263" s="1"/>
  <c r="O264" s="1"/>
  <c r="O265" s="1"/>
  <c r="O266" s="1"/>
  <c r="O267" s="1"/>
  <c r="O268" s="1"/>
  <c r="O269" s="1"/>
  <c r="O270" s="1"/>
  <c r="O271" s="1"/>
  <c r="O272" s="1"/>
  <c r="O273" s="1"/>
  <c r="O274" s="1"/>
  <c r="O275" s="1"/>
  <c r="O276" s="1"/>
  <c r="O277" s="1"/>
  <c r="O278" s="1"/>
  <c r="O279" s="1"/>
  <c r="O280" s="1"/>
  <c r="O281" s="1"/>
  <c r="O282" s="1"/>
  <c r="O283" s="1"/>
  <c r="O284" s="1"/>
  <c r="O285" s="1"/>
  <c r="O286" s="1"/>
  <c r="O287" s="1"/>
  <c r="O288" s="1"/>
  <c r="O289" s="1"/>
  <c r="O290" s="1"/>
  <c r="O291" s="1"/>
  <c r="O292" s="1"/>
  <c r="O293" s="1"/>
  <c r="O294" s="1"/>
  <c r="O295" s="1"/>
  <c r="O296" s="1"/>
  <c r="O297" s="1"/>
  <c r="O298" s="1"/>
  <c r="O299" s="1"/>
  <c r="O300" s="1"/>
  <c r="O301" s="1"/>
  <c r="O302" s="1"/>
  <c r="O303" s="1"/>
  <c r="O304" s="1"/>
  <c r="O305" s="1"/>
  <c r="O306" s="1"/>
  <c r="O307" s="1"/>
  <c r="O308" s="1"/>
  <c r="O309" s="1"/>
  <c r="O310" s="1"/>
  <c r="O311" s="1"/>
  <c r="O312" s="1"/>
  <c r="O313" s="1"/>
  <c r="O314" s="1"/>
  <c r="O315" s="1"/>
  <c r="O316" s="1"/>
  <c r="O317" s="1"/>
  <c r="O318" s="1"/>
  <c r="O319" s="1"/>
  <c r="O320" s="1"/>
  <c r="O321" s="1"/>
  <c r="O322" s="1"/>
  <c r="O323" s="1"/>
  <c r="O324" s="1"/>
  <c r="O325" s="1"/>
  <c r="O326" s="1"/>
  <c r="O327" s="1"/>
  <c r="O328" s="1"/>
  <c r="O329" s="1"/>
  <c r="O330" s="1"/>
  <c r="O331" s="1"/>
  <c r="O332" s="1"/>
  <c r="O333" s="1"/>
  <c r="O334" s="1"/>
  <c r="O335" s="1"/>
  <c r="O336" s="1"/>
  <c r="O337" s="1"/>
  <c r="O338" s="1"/>
  <c r="O339" s="1"/>
  <c r="O340" s="1"/>
  <c r="O341" s="1"/>
  <c r="O342" s="1"/>
  <c r="O343" s="1"/>
  <c r="O344" s="1"/>
  <c r="O345" s="1"/>
  <c r="O346" s="1"/>
  <c r="O347" s="1"/>
  <c r="O348" s="1"/>
  <c r="O349" s="1"/>
  <c r="O350" s="1"/>
  <c r="O351" s="1"/>
  <c r="O352" s="1"/>
  <c r="O353" s="1"/>
  <c r="O354" s="1"/>
  <c r="O355" s="1"/>
  <c r="O356" s="1"/>
  <c r="O357" s="1"/>
  <c r="O358" s="1"/>
  <c r="O359" s="1"/>
  <c r="O360" s="1"/>
  <c r="O361" s="1"/>
  <c r="O362" s="1"/>
  <c r="O363" s="1"/>
  <c r="O364" s="1"/>
  <c r="O365" s="1"/>
  <c r="O366" s="1"/>
  <c r="O367" s="1"/>
  <c r="O368" s="1"/>
  <c r="O369" s="1"/>
  <c r="AN375" i="38"/>
  <c r="AO375"/>
  <c r="AP375" s="1"/>
  <c r="AQ375" s="1"/>
  <c r="W392" i="1"/>
  <c r="R392"/>
  <c r="M244" i="50"/>
  <c r="M226"/>
  <c r="M222"/>
  <c r="M243"/>
  <c r="M238"/>
  <c r="M245"/>
  <c r="M224"/>
  <c r="M288"/>
  <c r="M302"/>
  <c r="M287"/>
  <c r="M285"/>
  <c r="M282"/>
  <c r="M291"/>
  <c r="M290"/>
  <c r="M297"/>
  <c r="M393" i="5"/>
  <c r="M371"/>
  <c r="M400"/>
  <c r="M399"/>
  <c r="M374"/>
  <c r="M391"/>
  <c r="M380"/>
  <c r="H431" i="22"/>
  <c r="H455"/>
  <c r="I413"/>
  <c r="H437"/>
  <c r="H449"/>
  <c r="I407"/>
  <c r="H439"/>
  <c r="H446"/>
  <c r="I412"/>
  <c r="I425"/>
  <c r="H440"/>
  <c r="I414"/>
  <c r="H444"/>
  <c r="I419"/>
  <c r="I417"/>
  <c r="H435"/>
  <c r="I409"/>
  <c r="H432"/>
  <c r="I401"/>
  <c r="I418"/>
  <c r="H433"/>
  <c r="I402"/>
  <c r="H451"/>
  <c r="H430"/>
  <c r="H456"/>
  <c r="H436"/>
  <c r="I423"/>
  <c r="H438"/>
  <c r="H453"/>
  <c r="I429"/>
  <c r="I421"/>
  <c r="H443"/>
  <c r="I411"/>
  <c r="I404"/>
  <c r="H448"/>
  <c r="I416"/>
  <c r="I403"/>
  <c r="H450"/>
  <c r="K17" i="21"/>
  <c r="I408" i="22"/>
  <c r="H442"/>
  <c r="I415"/>
  <c r="H457"/>
  <c r="I422"/>
  <c r="H452"/>
  <c r="I427"/>
  <c r="I424"/>
  <c r="H445"/>
  <c r="H459"/>
  <c r="I426"/>
  <c r="H447"/>
  <c r="H460"/>
  <c r="I428"/>
  <c r="I405"/>
  <c r="I410"/>
  <c r="H458"/>
  <c r="I406"/>
  <c r="I420"/>
  <c r="H454"/>
  <c r="H434"/>
  <c r="H441"/>
  <c r="E376" i="38"/>
  <c r="D376"/>
  <c r="Z376"/>
  <c r="AA376" s="1"/>
  <c r="F376"/>
  <c r="AM376" s="1"/>
  <c r="AA2"/>
  <c r="G62" i="50"/>
  <c r="G58"/>
  <c r="G48"/>
  <c r="G55"/>
  <c r="G37"/>
  <c r="G38"/>
  <c r="G52"/>
  <c r="G51"/>
  <c r="G49"/>
  <c r="G63"/>
  <c r="G46"/>
  <c r="G40"/>
  <c r="G42"/>
  <c r="G64"/>
  <c r="G59"/>
  <c r="G47"/>
  <c r="G44"/>
  <c r="G60"/>
  <c r="G41"/>
  <c r="G54"/>
  <c r="G53"/>
  <c r="G36"/>
  <c r="G43"/>
  <c r="G57"/>
  <c r="G50"/>
  <c r="G56"/>
  <c r="G39"/>
  <c r="G45"/>
  <c r="G61"/>
  <c r="F69"/>
  <c r="F88"/>
  <c r="M88" s="1"/>
  <c r="F85"/>
  <c r="F93"/>
  <c r="F66"/>
  <c r="M66" s="1"/>
  <c r="F70"/>
  <c r="M70" s="1"/>
  <c r="F91"/>
  <c r="F74"/>
  <c r="M74" s="1"/>
  <c r="F86"/>
  <c r="F81"/>
  <c r="M81" s="1"/>
  <c r="F65"/>
  <c r="M65" s="1"/>
  <c r="F80"/>
  <c r="F94"/>
  <c r="F84"/>
  <c r="M84" s="1"/>
  <c r="F67"/>
  <c r="F79"/>
  <c r="F68"/>
  <c r="F78"/>
  <c r="F77"/>
  <c r="F87"/>
  <c r="F92"/>
  <c r="F95"/>
  <c r="F75"/>
  <c r="M75" s="1"/>
  <c r="F90"/>
  <c r="F73"/>
  <c r="F83"/>
  <c r="M83" s="1"/>
  <c r="F71"/>
  <c r="F82"/>
  <c r="F89"/>
  <c r="F76"/>
  <c r="F72"/>
  <c r="BK373" i="38"/>
  <c r="AS373"/>
  <c r="AU373" s="1"/>
  <c r="AV373" s="1"/>
  <c r="BA373" s="1"/>
  <c r="BB373" s="1"/>
  <c r="BH373" s="1"/>
  <c r="BJ373" s="1"/>
  <c r="P373" s="1"/>
  <c r="O373" s="1"/>
  <c r="G13" i="50"/>
  <c r="G24"/>
  <c r="G18"/>
  <c r="G26"/>
  <c r="G32"/>
  <c r="G12"/>
  <c r="G23"/>
  <c r="G5"/>
  <c r="G9"/>
  <c r="G29"/>
  <c r="G11"/>
  <c r="G34"/>
  <c r="G15"/>
  <c r="I4" i="49"/>
  <c r="I5" s="1"/>
  <c r="I6" s="1"/>
  <c r="I7" s="1"/>
  <c r="I8" s="1"/>
  <c r="I9" s="1"/>
  <c r="I10" s="1"/>
  <c r="I11" s="1"/>
  <c r="I12" s="1"/>
  <c r="I13" s="1"/>
  <c r="I14" s="1"/>
  <c r="I15" s="1"/>
  <c r="I16" s="1"/>
  <c r="I17" s="1"/>
  <c r="I18" s="1"/>
  <c r="G21" i="50"/>
  <c r="G33"/>
  <c r="G31"/>
  <c r="G22"/>
  <c r="G35"/>
  <c r="G6"/>
  <c r="G14"/>
  <c r="G17"/>
  <c r="G10"/>
  <c r="G7"/>
  <c r="G8"/>
  <c r="G16"/>
  <c r="G4"/>
  <c r="G20"/>
  <c r="G27"/>
  <c r="G25"/>
  <c r="G19"/>
  <c r="G28"/>
  <c r="G30"/>
  <c r="F51"/>
  <c r="F49"/>
  <c r="F41"/>
  <c r="F46"/>
  <c r="F57"/>
  <c r="F40"/>
  <c r="F43"/>
  <c r="F58"/>
  <c r="F36"/>
  <c r="F45"/>
  <c r="F54"/>
  <c r="F53"/>
  <c r="F48"/>
  <c r="F44"/>
  <c r="F61"/>
  <c r="F56"/>
  <c r="F47"/>
  <c r="F39"/>
  <c r="F52"/>
  <c r="F64"/>
  <c r="F62"/>
  <c r="F50"/>
  <c r="F38"/>
  <c r="F55"/>
  <c r="F42"/>
  <c r="F60"/>
  <c r="F37"/>
  <c r="F59"/>
  <c r="F63"/>
  <c r="O4" i="22"/>
  <c r="O5" s="1"/>
  <c r="O6" s="1"/>
  <c r="O7" s="1"/>
  <c r="O8" s="1"/>
  <c r="O9" s="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O245" s="1"/>
  <c r="O246" s="1"/>
  <c r="O247" s="1"/>
  <c r="O248" s="1"/>
  <c r="O249" s="1"/>
  <c r="O250" s="1"/>
  <c r="O251" s="1"/>
  <c r="O252" s="1"/>
  <c r="O253" s="1"/>
  <c r="O254" s="1"/>
  <c r="O255" s="1"/>
  <c r="O256" s="1"/>
  <c r="O257" s="1"/>
  <c r="O258" s="1"/>
  <c r="O259" s="1"/>
  <c r="O260" s="1"/>
  <c r="O261" s="1"/>
  <c r="O262" s="1"/>
  <c r="O263" s="1"/>
  <c r="O264" s="1"/>
  <c r="O265" s="1"/>
  <c r="O266" s="1"/>
  <c r="O267" s="1"/>
  <c r="O268" s="1"/>
  <c r="O269" s="1"/>
  <c r="O270" s="1"/>
  <c r="O271" s="1"/>
  <c r="O272" s="1"/>
  <c r="O273" s="1"/>
  <c r="O274" s="1"/>
  <c r="O275" s="1"/>
  <c r="O276" s="1"/>
  <c r="O277" s="1"/>
  <c r="O278" s="1"/>
  <c r="O279" s="1"/>
  <c r="O280" s="1"/>
  <c r="O281" s="1"/>
  <c r="O282" s="1"/>
  <c r="O283" s="1"/>
  <c r="O284" s="1"/>
  <c r="O285" s="1"/>
  <c r="O286" s="1"/>
  <c r="O287" s="1"/>
  <c r="O288" s="1"/>
  <c r="O289" s="1"/>
  <c r="O290" s="1"/>
  <c r="O291" s="1"/>
  <c r="O292" s="1"/>
  <c r="O293" s="1"/>
  <c r="O294" s="1"/>
  <c r="O295" s="1"/>
  <c r="O296" s="1"/>
  <c r="O297" s="1"/>
  <c r="O298" s="1"/>
  <c r="O299" s="1"/>
  <c r="O300" s="1"/>
  <c r="O301" s="1"/>
  <c r="O302" s="1"/>
  <c r="O303" s="1"/>
  <c r="O304" s="1"/>
  <c r="O305" s="1"/>
  <c r="O306" s="1"/>
  <c r="O307" s="1"/>
  <c r="O308" s="1"/>
  <c r="O309" s="1"/>
  <c r="O310" s="1"/>
  <c r="O311" s="1"/>
  <c r="O312" s="1"/>
  <c r="O313" s="1"/>
  <c r="O314" s="1"/>
  <c r="O315" s="1"/>
  <c r="O316" s="1"/>
  <c r="O317" s="1"/>
  <c r="O318" s="1"/>
  <c r="O319" s="1"/>
  <c r="O320" s="1"/>
  <c r="O321" s="1"/>
  <c r="O322" s="1"/>
  <c r="O323" s="1"/>
  <c r="O324" s="1"/>
  <c r="O325" s="1"/>
  <c r="O326" s="1"/>
  <c r="O327" s="1"/>
  <c r="O328" s="1"/>
  <c r="O329" s="1"/>
  <c r="O330" s="1"/>
  <c r="O331" s="1"/>
  <c r="O332" s="1"/>
  <c r="O333" s="1"/>
  <c r="O334" s="1"/>
  <c r="O335" s="1"/>
  <c r="O336" s="1"/>
  <c r="O337" s="1"/>
  <c r="O338" s="1"/>
  <c r="O339" s="1"/>
  <c r="O340" s="1"/>
  <c r="O341" s="1"/>
  <c r="O342" s="1"/>
  <c r="O343" s="1"/>
  <c r="O344" s="1"/>
  <c r="O345" s="1"/>
  <c r="O346" s="1"/>
  <c r="O347" s="1"/>
  <c r="O348" s="1"/>
  <c r="O349" s="1"/>
  <c r="O350" s="1"/>
  <c r="O351" s="1"/>
  <c r="O352" s="1"/>
  <c r="O353" s="1"/>
  <c r="O354" s="1"/>
  <c r="O355" s="1"/>
  <c r="O356" s="1"/>
  <c r="O357" s="1"/>
  <c r="O358" s="1"/>
  <c r="O359" s="1"/>
  <c r="O360" s="1"/>
  <c r="O361" s="1"/>
  <c r="O362" s="1"/>
  <c r="O363" s="1"/>
  <c r="O364" s="1"/>
  <c r="O365" s="1"/>
  <c r="O366" s="1"/>
  <c r="O367" s="1"/>
  <c r="O368" s="1"/>
  <c r="O369" s="1"/>
  <c r="O370" s="1"/>
  <c r="O371" s="1"/>
  <c r="O372" s="1"/>
  <c r="O373" s="1"/>
  <c r="O374" s="1"/>
  <c r="O375" s="1"/>
  <c r="O376" s="1"/>
  <c r="O377" s="1"/>
  <c r="O378" s="1"/>
  <c r="O379" s="1"/>
  <c r="O380" s="1"/>
  <c r="O381" s="1"/>
  <c r="O382" s="1"/>
  <c r="O383" s="1"/>
  <c r="O384" s="1"/>
  <c r="O385" s="1"/>
  <c r="O386" s="1"/>
  <c r="O387" s="1"/>
  <c r="O388" s="1"/>
  <c r="O389" s="1"/>
  <c r="O390" s="1"/>
  <c r="O391" s="1"/>
  <c r="O392" s="1"/>
  <c r="O393" s="1"/>
  <c r="O394" s="1"/>
  <c r="O395" s="1"/>
  <c r="O396" s="1"/>
  <c r="O397" s="1"/>
  <c r="O398" s="1"/>
  <c r="O399" s="1"/>
  <c r="O400" s="1"/>
  <c r="O401" s="1"/>
  <c r="O402" s="1"/>
  <c r="O403" s="1"/>
  <c r="O404" s="1"/>
  <c r="O405" s="1"/>
  <c r="O406" s="1"/>
  <c r="O407" s="1"/>
  <c r="O408" s="1"/>
  <c r="O409" s="1"/>
  <c r="O410" s="1"/>
  <c r="O411" s="1"/>
  <c r="O412" s="1"/>
  <c r="O413" s="1"/>
  <c r="O414" s="1"/>
  <c r="O415" s="1"/>
  <c r="O416" s="1"/>
  <c r="O417" s="1"/>
  <c r="O418" s="1"/>
  <c r="O419" s="1"/>
  <c r="O420" s="1"/>
  <c r="O421" s="1"/>
  <c r="O422" s="1"/>
  <c r="O423" s="1"/>
  <c r="O424" s="1"/>
  <c r="O425" s="1"/>
  <c r="O426" s="1"/>
  <c r="O427" s="1"/>
  <c r="O428" s="1"/>
  <c r="O429" s="1"/>
  <c r="O430" s="1"/>
  <c r="O431" s="1"/>
  <c r="O432" s="1"/>
  <c r="O433" s="1"/>
  <c r="O434" s="1"/>
  <c r="O435" s="1"/>
  <c r="O436" s="1"/>
  <c r="O437" s="1"/>
  <c r="O438" s="1"/>
  <c r="O439" s="1"/>
  <c r="O440" s="1"/>
  <c r="O441" s="1"/>
  <c r="O442" s="1"/>
  <c r="O443" s="1"/>
  <c r="O444" s="1"/>
  <c r="O445" s="1"/>
  <c r="O446" s="1"/>
  <c r="O447" s="1"/>
  <c r="O448" s="1"/>
  <c r="O449" s="1"/>
  <c r="O450" s="1"/>
  <c r="O451" s="1"/>
  <c r="O452" s="1"/>
  <c r="O453" s="1"/>
  <c r="O454" s="1"/>
  <c r="O455" s="1"/>
  <c r="O456" s="1"/>
  <c r="O457" s="1"/>
  <c r="O458" s="1"/>
  <c r="O459" s="1"/>
  <c r="O460" s="1"/>
  <c r="M199" i="50"/>
  <c r="M247"/>
  <c r="M236"/>
  <c r="M231"/>
  <c r="M221"/>
  <c r="M228"/>
  <c r="M234"/>
  <c r="M227"/>
  <c r="M279"/>
  <c r="M292"/>
  <c r="M294"/>
  <c r="M307"/>
  <c r="M280"/>
  <c r="M303"/>
  <c r="M286"/>
  <c r="M304"/>
  <c r="M381" i="5"/>
  <c r="M397"/>
  <c r="M395"/>
  <c r="M384"/>
  <c r="M373"/>
  <c r="M379"/>
  <c r="M383"/>
  <c r="M394"/>
  <c r="C382" i="48"/>
  <c r="E382"/>
  <c r="X382" s="1"/>
  <c r="D382"/>
  <c r="W382" s="1"/>
  <c r="B383"/>
  <c r="P393" i="1"/>
  <c r="E395" i="52"/>
  <c r="F449" i="50"/>
  <c r="F430"/>
  <c r="F457"/>
  <c r="F434"/>
  <c r="G414"/>
  <c r="G410"/>
  <c r="G406"/>
  <c r="G405"/>
  <c r="G424"/>
  <c r="G428"/>
  <c r="G420"/>
  <c r="F459"/>
  <c r="F442"/>
  <c r="F460"/>
  <c r="F436"/>
  <c r="G408"/>
  <c r="G412"/>
  <c r="G427"/>
  <c r="G407"/>
  <c r="G429"/>
  <c r="G409"/>
  <c r="G402"/>
  <c r="F452"/>
  <c r="F456"/>
  <c r="F439"/>
  <c r="F431"/>
  <c r="F447"/>
  <c r="G413"/>
  <c r="G416"/>
  <c r="G404"/>
  <c r="G421"/>
  <c r="G415"/>
  <c r="G426"/>
  <c r="G403"/>
  <c r="G419"/>
  <c r="F450"/>
  <c r="F441"/>
  <c r="F446"/>
  <c r="F438"/>
  <c r="G411"/>
  <c r="G401"/>
  <c r="G422"/>
  <c r="G423"/>
  <c r="G418"/>
  <c r="G425"/>
  <c r="G417"/>
  <c r="F454"/>
  <c r="F443"/>
  <c r="F444"/>
  <c r="F451"/>
  <c r="F455"/>
  <c r="F453"/>
  <c r="F448"/>
  <c r="F435"/>
  <c r="F440"/>
  <c r="F432"/>
  <c r="F437"/>
  <c r="F445"/>
  <c r="F433"/>
  <c r="F458"/>
  <c r="M357"/>
  <c r="M209"/>
  <c r="M217"/>
  <c r="M197"/>
  <c r="M205"/>
  <c r="M216"/>
  <c r="M188"/>
  <c r="M230"/>
  <c r="M239"/>
  <c r="M240"/>
  <c r="M233"/>
  <c r="M232"/>
  <c r="M219"/>
  <c r="M246"/>
  <c r="M235"/>
  <c r="M284"/>
  <c r="M299"/>
  <c r="M308"/>
  <c r="M289"/>
  <c r="M296"/>
  <c r="M301"/>
  <c r="M283"/>
  <c r="M388" i="5"/>
  <c r="M386"/>
  <c r="M385"/>
  <c r="M375"/>
  <c r="M377"/>
  <c r="M370"/>
  <c r="M396"/>
  <c r="M382"/>
  <c r="V381" i="48"/>
  <c r="F381"/>
  <c r="Y381" s="1"/>
  <c r="G446" i="50"/>
  <c r="G437"/>
  <c r="G447"/>
  <c r="G454"/>
  <c r="G443"/>
  <c r="G442"/>
  <c r="G434"/>
  <c r="G457"/>
  <c r="G451"/>
  <c r="G452"/>
  <c r="G455"/>
  <c r="G438"/>
  <c r="G458"/>
  <c r="G445"/>
  <c r="G432"/>
  <c r="G431"/>
  <c r="G444"/>
  <c r="G439"/>
  <c r="G456"/>
  <c r="G450"/>
  <c r="G430"/>
  <c r="G436"/>
  <c r="G440"/>
  <c r="G435"/>
  <c r="G459"/>
  <c r="G448"/>
  <c r="G449"/>
  <c r="G460"/>
  <c r="G433"/>
  <c r="G441"/>
  <c r="G453"/>
  <c r="I19" i="49"/>
  <c r="K19" s="1"/>
  <c r="CT30" i="55"/>
  <c r="I392" i="53"/>
  <c r="H433" i="20"/>
  <c r="N433" s="1"/>
  <c r="I415"/>
  <c r="I410"/>
  <c r="H436"/>
  <c r="N436" s="1"/>
  <c r="I423"/>
  <c r="I418"/>
  <c r="I429"/>
  <c r="K17" i="19"/>
  <c r="I409" i="20"/>
  <c r="H444"/>
  <c r="Q444" s="1"/>
  <c r="I428"/>
  <c r="I412"/>
  <c r="I413"/>
  <c r="H445"/>
  <c r="N445" s="1"/>
  <c r="I419"/>
  <c r="H453"/>
  <c r="N453" s="1"/>
  <c r="I417"/>
  <c r="I411"/>
  <c r="H454"/>
  <c r="Q454" s="1"/>
  <c r="H450"/>
  <c r="Q450" s="1"/>
  <c r="H457"/>
  <c r="N457" s="1"/>
  <c r="I408"/>
  <c r="H439"/>
  <c r="N439" s="1"/>
  <c r="H442"/>
  <c r="Q442" s="1"/>
  <c r="H434"/>
  <c r="N434" s="1"/>
  <c r="H459"/>
  <c r="Q459" s="1"/>
  <c r="I407"/>
  <c r="I420"/>
  <c r="H440"/>
  <c r="Q440" s="1"/>
  <c r="I416"/>
  <c r="I414"/>
  <c r="H443"/>
  <c r="Q443" s="1"/>
  <c r="I425"/>
  <c r="H441"/>
  <c r="N441" s="1"/>
  <c r="H431"/>
  <c r="N431" s="1"/>
  <c r="H435"/>
  <c r="Q435" s="1"/>
  <c r="I406"/>
  <c r="H446"/>
  <c r="N446" s="1"/>
  <c r="H458"/>
  <c r="Q458" s="1"/>
  <c r="I401"/>
  <c r="I427"/>
  <c r="H448"/>
  <c r="Q448" s="1"/>
  <c r="I402"/>
  <c r="I421"/>
  <c r="I405"/>
  <c r="H447"/>
  <c r="N447" s="1"/>
  <c r="H451"/>
  <c r="N451" s="1"/>
  <c r="I424"/>
  <c r="I404"/>
  <c r="I426"/>
  <c r="H438"/>
  <c r="N438" s="1"/>
  <c r="H430"/>
  <c r="N430" s="1"/>
  <c r="H456"/>
  <c r="N456" s="1"/>
  <c r="H455"/>
  <c r="Q455" s="1"/>
  <c r="H452"/>
  <c r="N452" s="1"/>
  <c r="H460"/>
  <c r="Q460" s="1"/>
  <c r="H437"/>
  <c r="N437" s="1"/>
  <c r="H432"/>
  <c r="Q432" s="1"/>
  <c r="I403"/>
  <c r="I422"/>
  <c r="H449"/>
  <c r="Q449" s="1"/>
  <c r="M369" i="50"/>
  <c r="N444" i="20"/>
  <c r="N442"/>
  <c r="AF385" i="1"/>
  <c r="AD386"/>
  <c r="F13" i="50"/>
  <c r="F19"/>
  <c r="F31"/>
  <c r="F18"/>
  <c r="F9"/>
  <c r="F17"/>
  <c r="F33"/>
  <c r="F29"/>
  <c r="F8"/>
  <c r="F7"/>
  <c r="F35"/>
  <c r="F10"/>
  <c r="F5"/>
  <c r="F28"/>
  <c r="F30"/>
  <c r="F34"/>
  <c r="F24"/>
  <c r="F14"/>
  <c r="F25"/>
  <c r="F21"/>
  <c r="F11"/>
  <c r="F26"/>
  <c r="F15"/>
  <c r="F23"/>
  <c r="F20"/>
  <c r="F16"/>
  <c r="F32"/>
  <c r="F22"/>
  <c r="F27"/>
  <c r="F6"/>
  <c r="F12"/>
  <c r="F4"/>
  <c r="I434" i="5"/>
  <c r="I443"/>
  <c r="I444"/>
  <c r="I454"/>
  <c r="I450"/>
  <c r="I442"/>
  <c r="I455"/>
  <c r="I440"/>
  <c r="I447"/>
  <c r="I449"/>
  <c r="I453"/>
  <c r="I451"/>
  <c r="I437"/>
  <c r="I441"/>
  <c r="K18" i="4"/>
  <c r="I431" i="5"/>
  <c r="I460"/>
  <c r="I430"/>
  <c r="I458"/>
  <c r="I448"/>
  <c r="I446"/>
  <c r="I456"/>
  <c r="I435"/>
  <c r="I432"/>
  <c r="I445"/>
  <c r="I457"/>
  <c r="I436"/>
  <c r="I459"/>
  <c r="I439"/>
  <c r="I438"/>
  <c r="I433"/>
  <c r="I452"/>
  <c r="Q453" i="20"/>
  <c r="M194" i="50"/>
  <c r="M213"/>
  <c r="M198"/>
  <c r="M237"/>
  <c r="M220"/>
  <c r="M229"/>
  <c r="M225"/>
  <c r="M242"/>
  <c r="M223"/>
  <c r="M241"/>
  <c r="M218"/>
  <c r="M298"/>
  <c r="M305"/>
  <c r="M281"/>
  <c r="M295"/>
  <c r="M293"/>
  <c r="M306"/>
  <c r="M300"/>
  <c r="M392" i="5"/>
  <c r="M390"/>
  <c r="M378"/>
  <c r="M398"/>
  <c r="M372"/>
  <c r="M376"/>
  <c r="M389"/>
  <c r="M387"/>
  <c r="AL393" i="1"/>
  <c r="AK393"/>
  <c r="BC393"/>
  <c r="AJ393"/>
  <c r="AC393"/>
  <c r="AI393"/>
  <c r="AH393"/>
  <c r="AM393"/>
  <c r="F396" i="52"/>
  <c r="E394" i="1"/>
  <c r="A401" i="53"/>
  <c r="B402" s="1"/>
  <c r="C394" i="1"/>
  <c r="D394" s="1"/>
  <c r="A378" i="26"/>
  <c r="B378" s="1"/>
  <c r="K394" i="1"/>
  <c r="N394" s="1"/>
  <c r="L394"/>
  <c r="M393" s="1"/>
  <c r="A394"/>
  <c r="B395"/>
  <c r="B377" i="38"/>
  <c r="Q438" i="20" l="1"/>
  <c r="M379" i="50"/>
  <c r="BD390" i="1"/>
  <c r="BE390" s="1"/>
  <c r="T390" s="1"/>
  <c r="U390" s="1"/>
  <c r="BA391"/>
  <c r="AB388"/>
  <c r="AE388" s="1"/>
  <c r="AA388"/>
  <c r="E395" i="53" s="1"/>
  <c r="Z388" i="1"/>
  <c r="S392"/>
  <c r="V389"/>
  <c r="X389"/>
  <c r="M19" i="50"/>
  <c r="M11"/>
  <c r="M87"/>
  <c r="M79"/>
  <c r="M4"/>
  <c r="O4" s="1"/>
  <c r="M23"/>
  <c r="M21"/>
  <c r="M10"/>
  <c r="M18"/>
  <c r="M35"/>
  <c r="M68"/>
  <c r="M94"/>
  <c r="M20"/>
  <c r="M5"/>
  <c r="M48"/>
  <c r="M34"/>
  <c r="BY32" i="55"/>
  <c r="D393" i="53"/>
  <c r="N32" i="55" s="1"/>
  <c r="BD33"/>
  <c r="BD35" s="1"/>
  <c r="G394" i="53"/>
  <c r="M22" i="50"/>
  <c r="M29"/>
  <c r="M71"/>
  <c r="M60"/>
  <c r="M388"/>
  <c r="M72"/>
  <c r="M381"/>
  <c r="M12"/>
  <c r="M25"/>
  <c r="M92"/>
  <c r="M69"/>
  <c r="M386"/>
  <c r="M82"/>
  <c r="M90"/>
  <c r="M80"/>
  <c r="M93"/>
  <c r="M375"/>
  <c r="M376"/>
  <c r="M378"/>
  <c r="M372"/>
  <c r="M59"/>
  <c r="M52"/>
  <c r="M16"/>
  <c r="M17"/>
  <c r="M67"/>
  <c r="M91"/>
  <c r="M85"/>
  <c r="M396"/>
  <c r="M24"/>
  <c r="M76"/>
  <c r="M39"/>
  <c r="M27"/>
  <c r="M8"/>
  <c r="M9"/>
  <c r="M13"/>
  <c r="M42"/>
  <c r="M62"/>
  <c r="M89"/>
  <c r="M73"/>
  <c r="M86"/>
  <c r="M370"/>
  <c r="M385"/>
  <c r="M383"/>
  <c r="M32"/>
  <c r="M15"/>
  <c r="M30"/>
  <c r="M31"/>
  <c r="M77"/>
  <c r="M398"/>
  <c r="M14"/>
  <c r="M50"/>
  <c r="M44"/>
  <c r="M49"/>
  <c r="M95"/>
  <c r="M78"/>
  <c r="M390"/>
  <c r="M449"/>
  <c r="M33"/>
  <c r="M47"/>
  <c r="M57"/>
  <c r="M51"/>
  <c r="M6"/>
  <c r="M26"/>
  <c r="M28"/>
  <c r="M7"/>
  <c r="M45"/>
  <c r="M40"/>
  <c r="M440"/>
  <c r="M455"/>
  <c r="M454"/>
  <c r="M43"/>
  <c r="M41"/>
  <c r="M432"/>
  <c r="M453"/>
  <c r="M456"/>
  <c r="M55"/>
  <c r="M46"/>
  <c r="AL394" i="1"/>
  <c r="AH394"/>
  <c r="AM394"/>
  <c r="AK394"/>
  <c r="AJ394"/>
  <c r="AI394"/>
  <c r="BC394"/>
  <c r="AC394"/>
  <c r="N432" i="20"/>
  <c r="E377" i="38"/>
  <c r="D377"/>
  <c r="Z377"/>
  <c r="AA377" s="1"/>
  <c r="F377"/>
  <c r="AM377" s="1"/>
  <c r="P394" i="1"/>
  <c r="E396" i="52"/>
  <c r="Q447" i="20"/>
  <c r="I389"/>
  <c r="H420"/>
  <c r="I379"/>
  <c r="H427"/>
  <c r="I376"/>
  <c r="H408"/>
  <c r="Q408" s="1"/>
  <c r="N408" s="1"/>
  <c r="I388"/>
  <c r="I394"/>
  <c r="I384"/>
  <c r="I399"/>
  <c r="I383"/>
  <c r="I398"/>
  <c r="I400"/>
  <c r="I391"/>
  <c r="I395"/>
  <c r="H417"/>
  <c r="H414"/>
  <c r="Q414" s="1"/>
  <c r="I387"/>
  <c r="H402"/>
  <c r="Q402" s="1"/>
  <c r="N402" s="1"/>
  <c r="I372"/>
  <c r="I370"/>
  <c r="I371"/>
  <c r="H421"/>
  <c r="H429"/>
  <c r="I377"/>
  <c r="H428"/>
  <c r="H401"/>
  <c r="Q401" s="1"/>
  <c r="N401" s="1"/>
  <c r="I381"/>
  <c r="H425"/>
  <c r="H407"/>
  <c r="Q407" s="1"/>
  <c r="N407" s="1"/>
  <c r="I373"/>
  <c r="H404"/>
  <c r="Q404" s="1"/>
  <c r="N404" s="1"/>
  <c r="H415"/>
  <c r="Q415" s="1"/>
  <c r="H405"/>
  <c r="Q405" s="1"/>
  <c r="N405" s="1"/>
  <c r="I378"/>
  <c r="K16" i="19"/>
  <c r="I382" i="20"/>
  <c r="I397"/>
  <c r="I374"/>
  <c r="H426"/>
  <c r="I392"/>
  <c r="I393"/>
  <c r="H403"/>
  <c r="Q403" s="1"/>
  <c r="N403" s="1"/>
  <c r="H412"/>
  <c r="Q412" s="1"/>
  <c r="I385"/>
  <c r="I386"/>
  <c r="I396"/>
  <c r="H424"/>
  <c r="H411"/>
  <c r="Q411" s="1"/>
  <c r="H419"/>
  <c r="H406"/>
  <c r="Q406" s="1"/>
  <c r="N406" s="1"/>
  <c r="I380"/>
  <c r="H410"/>
  <c r="Q410" s="1"/>
  <c r="I375"/>
  <c r="I390"/>
  <c r="H413"/>
  <c r="Q413" s="1"/>
  <c r="H418"/>
  <c r="H423"/>
  <c r="H416"/>
  <c r="H409"/>
  <c r="Q409" s="1"/>
  <c r="H422"/>
  <c r="CT31" i="55"/>
  <c r="I393" i="53"/>
  <c r="I459" i="50"/>
  <c r="I448"/>
  <c r="I441"/>
  <c r="I455"/>
  <c r="I460"/>
  <c r="I443"/>
  <c r="I457"/>
  <c r="I445"/>
  <c r="I434"/>
  <c r="I432"/>
  <c r="I451"/>
  <c r="I442"/>
  <c r="I433"/>
  <c r="I452"/>
  <c r="I438"/>
  <c r="I446"/>
  <c r="K18" i="49"/>
  <c r="I436" i="50"/>
  <c r="I440"/>
  <c r="I456"/>
  <c r="I447"/>
  <c r="I437"/>
  <c r="I435"/>
  <c r="I430"/>
  <c r="I458"/>
  <c r="I453"/>
  <c r="I439"/>
  <c r="I449"/>
  <c r="I444"/>
  <c r="I454"/>
  <c r="I431"/>
  <c r="I450"/>
  <c r="N449" i="20"/>
  <c r="N448"/>
  <c r="N455"/>
  <c r="M445" i="50"/>
  <c r="M435"/>
  <c r="M451"/>
  <c r="M446"/>
  <c r="M431"/>
  <c r="M436"/>
  <c r="M457"/>
  <c r="N450" i="20"/>
  <c r="V382" i="48"/>
  <c r="F382"/>
  <c r="Y382" s="1"/>
  <c r="Q436" i="20"/>
  <c r="Q456"/>
  <c r="M64" i="50"/>
  <c r="M56"/>
  <c r="M53"/>
  <c r="M58"/>
  <c r="N443" i="20"/>
  <c r="Q450" i="22"/>
  <c r="N450"/>
  <c r="N436"/>
  <c r="Q436"/>
  <c r="N432"/>
  <c r="Q432"/>
  <c r="N455"/>
  <c r="Q455"/>
  <c r="Q446" i="20"/>
  <c r="M373" i="50"/>
  <c r="M384"/>
  <c r="M380"/>
  <c r="M392"/>
  <c r="M393"/>
  <c r="Q441" i="20"/>
  <c r="M406" i="50"/>
  <c r="M412"/>
  <c r="M420"/>
  <c r="M422"/>
  <c r="M418"/>
  <c r="M428"/>
  <c r="M421"/>
  <c r="Q451" i="20"/>
  <c r="Q445"/>
  <c r="Q457"/>
  <c r="Q431"/>
  <c r="AF386" i="1"/>
  <c r="AD387"/>
  <c r="F397" i="52"/>
  <c r="C395" i="1"/>
  <c r="D395" s="1"/>
  <c r="A402" i="53"/>
  <c r="B403" s="1"/>
  <c r="L395" i="1"/>
  <c r="M394" s="1"/>
  <c r="E395"/>
  <c r="A379" i="26"/>
  <c r="B379" s="1"/>
  <c r="K395" i="1"/>
  <c r="N395" s="1"/>
  <c r="B396"/>
  <c r="A395"/>
  <c r="B378" i="38"/>
  <c r="H440" i="5"/>
  <c r="I424"/>
  <c r="I419"/>
  <c r="I415"/>
  <c r="H446"/>
  <c r="I409"/>
  <c r="H447"/>
  <c r="H432"/>
  <c r="I414"/>
  <c r="H442"/>
  <c r="I407"/>
  <c r="H439"/>
  <c r="I417"/>
  <c r="H438"/>
  <c r="H433"/>
  <c r="H431"/>
  <c r="I422"/>
  <c r="I421"/>
  <c r="I411"/>
  <c r="I427"/>
  <c r="H452"/>
  <c r="H445"/>
  <c r="H454"/>
  <c r="H457"/>
  <c r="H451"/>
  <c r="I405"/>
  <c r="H455"/>
  <c r="H437"/>
  <c r="I401"/>
  <c r="I403"/>
  <c r="K17" i="4"/>
  <c r="H449" i="5"/>
  <c r="I412"/>
  <c r="H436"/>
  <c r="I423"/>
  <c r="I410"/>
  <c r="H443"/>
  <c r="I420"/>
  <c r="I404"/>
  <c r="H453"/>
  <c r="I426"/>
  <c r="H434"/>
  <c r="H460"/>
  <c r="H458"/>
  <c r="I416"/>
  <c r="I425"/>
  <c r="I428"/>
  <c r="H441"/>
  <c r="H435"/>
  <c r="I413"/>
  <c r="I402"/>
  <c r="I429"/>
  <c r="I406"/>
  <c r="I408"/>
  <c r="H450"/>
  <c r="H430"/>
  <c r="H444"/>
  <c r="H448"/>
  <c r="H456"/>
  <c r="I418"/>
  <c r="H459"/>
  <c r="Q439" i="20"/>
  <c r="Q430"/>
  <c r="M437" i="50"/>
  <c r="M448"/>
  <c r="M444"/>
  <c r="M441"/>
  <c r="M439"/>
  <c r="M460"/>
  <c r="M430"/>
  <c r="C383" i="48"/>
  <c r="B384"/>
  <c r="D383"/>
  <c r="W383" s="1"/>
  <c r="E383"/>
  <c r="X383" s="1"/>
  <c r="Q433" i="20"/>
  <c r="M37" i="50"/>
  <c r="M38"/>
  <c r="M61"/>
  <c r="M54"/>
  <c r="Q441" i="22"/>
  <c r="N441"/>
  <c r="Q459"/>
  <c r="N459"/>
  <c r="Q452"/>
  <c r="N452"/>
  <c r="N442"/>
  <c r="Q442"/>
  <c r="Q453"/>
  <c r="N453"/>
  <c r="N456"/>
  <c r="Q456"/>
  <c r="N433"/>
  <c r="Q433"/>
  <c r="N444"/>
  <c r="Q444"/>
  <c r="N449"/>
  <c r="Q449"/>
  <c r="N431"/>
  <c r="Q431"/>
  <c r="M377" i="50"/>
  <c r="M374"/>
  <c r="M395"/>
  <c r="M423"/>
  <c r="M405"/>
  <c r="M424"/>
  <c r="M426"/>
  <c r="M429"/>
  <c r="M409"/>
  <c r="M414"/>
  <c r="M402"/>
  <c r="N435" i="20"/>
  <c r="Q452"/>
  <c r="N458"/>
  <c r="M458" i="50"/>
  <c r="M443"/>
  <c r="M450"/>
  <c r="M442"/>
  <c r="N440" i="20"/>
  <c r="N460"/>
  <c r="Q434"/>
  <c r="X11" i="1"/>
  <c r="X10"/>
  <c r="AO376" i="38"/>
  <c r="AP376" s="1"/>
  <c r="AQ376" s="1"/>
  <c r="AN376"/>
  <c r="N434" i="22"/>
  <c r="Q434"/>
  <c r="Q458"/>
  <c r="N458"/>
  <c r="N460"/>
  <c r="Q460"/>
  <c r="N445"/>
  <c r="Q445"/>
  <c r="N443"/>
  <c r="Q443"/>
  <c r="Q438"/>
  <c r="N438"/>
  <c r="N430"/>
  <c r="Q430"/>
  <c r="N435"/>
  <c r="Q435"/>
  <c r="Q446"/>
  <c r="N446"/>
  <c r="N437"/>
  <c r="Q437"/>
  <c r="Q437" i="20"/>
  <c r="O370" i="5"/>
  <c r="O371" s="1"/>
  <c r="O372" s="1"/>
  <c r="O373" s="1"/>
  <c r="O374" s="1"/>
  <c r="O375" s="1"/>
  <c r="O376" s="1"/>
  <c r="O377" s="1"/>
  <c r="O378" s="1"/>
  <c r="O379" s="1"/>
  <c r="O380" s="1"/>
  <c r="O381" s="1"/>
  <c r="O382" s="1"/>
  <c r="O383" s="1"/>
  <c r="O384" s="1"/>
  <c r="O385" s="1"/>
  <c r="O386" s="1"/>
  <c r="O387" s="1"/>
  <c r="O388" s="1"/>
  <c r="O389" s="1"/>
  <c r="O390" s="1"/>
  <c r="O391" s="1"/>
  <c r="O392" s="1"/>
  <c r="O393" s="1"/>
  <c r="O394" s="1"/>
  <c r="O395" s="1"/>
  <c r="O396" s="1"/>
  <c r="O397" s="1"/>
  <c r="O398" s="1"/>
  <c r="O399" s="1"/>
  <c r="O400" s="1"/>
  <c r="O401" s="1"/>
  <c r="O402" s="1"/>
  <c r="O403" s="1"/>
  <c r="O404" s="1"/>
  <c r="O405" s="1"/>
  <c r="O406" s="1"/>
  <c r="O407" s="1"/>
  <c r="O408" s="1"/>
  <c r="O409" s="1"/>
  <c r="O410" s="1"/>
  <c r="O411" s="1"/>
  <c r="O412" s="1"/>
  <c r="O413" s="1"/>
  <c r="O414" s="1"/>
  <c r="O415" s="1"/>
  <c r="O416" s="1"/>
  <c r="O417" s="1"/>
  <c r="O418" s="1"/>
  <c r="O419" s="1"/>
  <c r="O420" s="1"/>
  <c r="O421" s="1"/>
  <c r="O422" s="1"/>
  <c r="O423" s="1"/>
  <c r="O424" s="1"/>
  <c r="O425" s="1"/>
  <c r="O426" s="1"/>
  <c r="O427" s="1"/>
  <c r="O428" s="1"/>
  <c r="O429" s="1"/>
  <c r="O430" s="1"/>
  <c r="O431" s="1"/>
  <c r="O432" s="1"/>
  <c r="O433" s="1"/>
  <c r="O434" s="1"/>
  <c r="O435" s="1"/>
  <c r="O436" s="1"/>
  <c r="O437" s="1"/>
  <c r="O438" s="1"/>
  <c r="O439" s="1"/>
  <c r="O440" s="1"/>
  <c r="O441" s="1"/>
  <c r="O442" s="1"/>
  <c r="O443" s="1"/>
  <c r="O444" s="1"/>
  <c r="O445" s="1"/>
  <c r="O446" s="1"/>
  <c r="O447" s="1"/>
  <c r="O448" s="1"/>
  <c r="O449" s="1"/>
  <c r="O450" s="1"/>
  <c r="O451" s="1"/>
  <c r="O452" s="1"/>
  <c r="O453" s="1"/>
  <c r="O454" s="1"/>
  <c r="O455" s="1"/>
  <c r="O456" s="1"/>
  <c r="O457" s="1"/>
  <c r="O458" s="1"/>
  <c r="O459" s="1"/>
  <c r="O460" s="1"/>
  <c r="M407" i="50"/>
  <c r="M425"/>
  <c r="M401"/>
  <c r="M408"/>
  <c r="M411"/>
  <c r="M416"/>
  <c r="M415"/>
  <c r="N459" i="20"/>
  <c r="N454"/>
  <c r="M433" i="50"/>
  <c r="M438"/>
  <c r="M447"/>
  <c r="M452"/>
  <c r="M459"/>
  <c r="M434"/>
  <c r="W393" i="1"/>
  <c r="R393"/>
  <c r="M63" i="50"/>
  <c r="M36"/>
  <c r="N454" i="22"/>
  <c r="Q454"/>
  <c r="Q447"/>
  <c r="N447"/>
  <c r="N457"/>
  <c r="Q457"/>
  <c r="I379"/>
  <c r="I382"/>
  <c r="H414"/>
  <c r="Q414" s="1"/>
  <c r="H413"/>
  <c r="Q413" s="1"/>
  <c r="I383"/>
  <c r="H421"/>
  <c r="I384"/>
  <c r="H412"/>
  <c r="Q412" s="1"/>
  <c r="I381"/>
  <c r="I376"/>
  <c r="I375"/>
  <c r="H407"/>
  <c r="Q407" s="1"/>
  <c r="N407" s="1"/>
  <c r="I395"/>
  <c r="H405"/>
  <c r="Q405" s="1"/>
  <c r="N405" s="1"/>
  <c r="I394"/>
  <c r="H428"/>
  <c r="I370"/>
  <c r="H409"/>
  <c r="Q409" s="1"/>
  <c r="H425"/>
  <c r="I400"/>
  <c r="I387"/>
  <c r="I391"/>
  <c r="H404"/>
  <c r="Q404" s="1"/>
  <c r="N404" s="1"/>
  <c r="I388"/>
  <c r="I378"/>
  <c r="I374"/>
  <c r="I377"/>
  <c r="H422"/>
  <c r="H402"/>
  <c r="Q402" s="1"/>
  <c r="N402" s="1"/>
  <c r="H423"/>
  <c r="I398"/>
  <c r="H419"/>
  <c r="I389"/>
  <c r="H410"/>
  <c r="Q410" s="1"/>
  <c r="I385"/>
  <c r="H406"/>
  <c r="Q406" s="1"/>
  <c r="N406" s="1"/>
  <c r="I373"/>
  <c r="I371"/>
  <c r="I392"/>
  <c r="H418"/>
  <c r="H417"/>
  <c r="I386"/>
  <c r="H411"/>
  <c r="Q411" s="1"/>
  <c r="H426"/>
  <c r="I393"/>
  <c r="H401"/>
  <c r="Q401" s="1"/>
  <c r="N401" s="1"/>
  <c r="H415"/>
  <c r="Q415" s="1"/>
  <c r="I390"/>
  <c r="H408"/>
  <c r="Q408" s="1"/>
  <c r="N408" s="1"/>
  <c r="H427"/>
  <c r="K16" i="21"/>
  <c r="H416" i="22"/>
  <c r="H420"/>
  <c r="I372"/>
  <c r="I380"/>
  <c r="H403"/>
  <c r="Q403" s="1"/>
  <c r="N403" s="1"/>
  <c r="I396"/>
  <c r="I399"/>
  <c r="I397"/>
  <c r="H424"/>
  <c r="H429"/>
  <c r="Q448"/>
  <c r="N448"/>
  <c r="N451"/>
  <c r="Q451"/>
  <c r="Q440"/>
  <c r="N440"/>
  <c r="Q439"/>
  <c r="N439"/>
  <c r="AR375" i="38"/>
  <c r="M410" i="50"/>
  <c r="M404"/>
  <c r="M413"/>
  <c r="M419"/>
  <c r="M427"/>
  <c r="M403"/>
  <c r="M417"/>
  <c r="S393" i="1" l="1"/>
  <c r="G395" i="53"/>
  <c r="BE3" i="55"/>
  <c r="AB389" i="1"/>
  <c r="AE389" s="1"/>
  <c r="Z389"/>
  <c r="AA389"/>
  <c r="E396" i="53" s="1"/>
  <c r="BD391" i="1"/>
  <c r="BE391" s="1"/>
  <c r="T391" s="1"/>
  <c r="U391" s="1"/>
  <c r="BA392"/>
  <c r="AF387"/>
  <c r="AD388"/>
  <c r="V390"/>
  <c r="X390"/>
  <c r="O5" i="50"/>
  <c r="O6" s="1"/>
  <c r="O7" s="1"/>
  <c r="O8" s="1"/>
  <c r="O9" s="1"/>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211" s="1"/>
  <c r="O212" s="1"/>
  <c r="O213" s="1"/>
  <c r="O214" s="1"/>
  <c r="O215" s="1"/>
  <c r="O216" s="1"/>
  <c r="O217" s="1"/>
  <c r="O218" s="1"/>
  <c r="O219" s="1"/>
  <c r="O220" s="1"/>
  <c r="O221" s="1"/>
  <c r="O222" s="1"/>
  <c r="O223" s="1"/>
  <c r="O224" s="1"/>
  <c r="O225" s="1"/>
  <c r="O226" s="1"/>
  <c r="O227" s="1"/>
  <c r="O228" s="1"/>
  <c r="O229" s="1"/>
  <c r="O230" s="1"/>
  <c r="O231" s="1"/>
  <c r="O232" s="1"/>
  <c r="O233" s="1"/>
  <c r="O234" s="1"/>
  <c r="O235" s="1"/>
  <c r="O236" s="1"/>
  <c r="O237" s="1"/>
  <c r="O238" s="1"/>
  <c r="O239" s="1"/>
  <c r="O240" s="1"/>
  <c r="O241" s="1"/>
  <c r="O242" s="1"/>
  <c r="O243" s="1"/>
  <c r="O244" s="1"/>
  <c r="O245" s="1"/>
  <c r="O246" s="1"/>
  <c r="O247" s="1"/>
  <c r="O248" s="1"/>
  <c r="O249" s="1"/>
  <c r="O250" s="1"/>
  <c r="O251" s="1"/>
  <c r="O252" s="1"/>
  <c r="O253" s="1"/>
  <c r="O254" s="1"/>
  <c r="O255" s="1"/>
  <c r="O256" s="1"/>
  <c r="O257" s="1"/>
  <c r="O258" s="1"/>
  <c r="O259" s="1"/>
  <c r="O260" s="1"/>
  <c r="O261" s="1"/>
  <c r="O262" s="1"/>
  <c r="O263" s="1"/>
  <c r="O264" s="1"/>
  <c r="O265" s="1"/>
  <c r="O266" s="1"/>
  <c r="O267" s="1"/>
  <c r="O268" s="1"/>
  <c r="O269" s="1"/>
  <c r="O270" s="1"/>
  <c r="O271" s="1"/>
  <c r="O272" s="1"/>
  <c r="O273" s="1"/>
  <c r="O274" s="1"/>
  <c r="O275" s="1"/>
  <c r="O276" s="1"/>
  <c r="O277" s="1"/>
  <c r="O278" s="1"/>
  <c r="O279" s="1"/>
  <c r="O280" s="1"/>
  <c r="O281" s="1"/>
  <c r="O282" s="1"/>
  <c r="O283" s="1"/>
  <c r="O284" s="1"/>
  <c r="O285" s="1"/>
  <c r="O286" s="1"/>
  <c r="O287" s="1"/>
  <c r="O288" s="1"/>
  <c r="O289" s="1"/>
  <c r="O290" s="1"/>
  <c r="O291" s="1"/>
  <c r="O292" s="1"/>
  <c r="O293" s="1"/>
  <c r="O294" s="1"/>
  <c r="O295" s="1"/>
  <c r="O296" s="1"/>
  <c r="O297" s="1"/>
  <c r="O298" s="1"/>
  <c r="O299" s="1"/>
  <c r="O300" s="1"/>
  <c r="O301" s="1"/>
  <c r="O302" s="1"/>
  <c r="O303" s="1"/>
  <c r="O304" s="1"/>
  <c r="O305" s="1"/>
  <c r="O306" s="1"/>
  <c r="O307" s="1"/>
  <c r="O308" s="1"/>
  <c r="O309" s="1"/>
  <c r="O310" s="1"/>
  <c r="O311" s="1"/>
  <c r="O312" s="1"/>
  <c r="O313" s="1"/>
  <c r="O314" s="1"/>
  <c r="O315" s="1"/>
  <c r="O316" s="1"/>
  <c r="O317" s="1"/>
  <c r="O318" s="1"/>
  <c r="O319" s="1"/>
  <c r="O320" s="1"/>
  <c r="O321" s="1"/>
  <c r="O322" s="1"/>
  <c r="O323" s="1"/>
  <c r="O324" s="1"/>
  <c r="O325" s="1"/>
  <c r="O326" s="1"/>
  <c r="O327" s="1"/>
  <c r="O328" s="1"/>
  <c r="O329" s="1"/>
  <c r="O330" s="1"/>
  <c r="O331" s="1"/>
  <c r="O332" s="1"/>
  <c r="O333" s="1"/>
  <c r="O334" s="1"/>
  <c r="O335" s="1"/>
  <c r="O336" s="1"/>
  <c r="O337" s="1"/>
  <c r="O338" s="1"/>
  <c r="O339" s="1"/>
  <c r="O340" s="1"/>
  <c r="O341" s="1"/>
  <c r="O342" s="1"/>
  <c r="O343" s="1"/>
  <c r="O344" s="1"/>
  <c r="O345" s="1"/>
  <c r="O346" s="1"/>
  <c r="O347" s="1"/>
  <c r="O348" s="1"/>
  <c r="O349" s="1"/>
  <c r="O350" s="1"/>
  <c r="O351" s="1"/>
  <c r="O352" s="1"/>
  <c r="O353" s="1"/>
  <c r="O354" s="1"/>
  <c r="O355" s="1"/>
  <c r="O356" s="1"/>
  <c r="O357" s="1"/>
  <c r="O358" s="1"/>
  <c r="O359" s="1"/>
  <c r="O360" s="1"/>
  <c r="O361" s="1"/>
  <c r="O362" s="1"/>
  <c r="O363" s="1"/>
  <c r="O364" s="1"/>
  <c r="O365" s="1"/>
  <c r="O366" s="1"/>
  <c r="O367" s="1"/>
  <c r="O368" s="1"/>
  <c r="O369" s="1"/>
  <c r="O370" s="1"/>
  <c r="O371" s="1"/>
  <c r="O372" s="1"/>
  <c r="O373" s="1"/>
  <c r="O374" s="1"/>
  <c r="O375" s="1"/>
  <c r="O376" s="1"/>
  <c r="O377" s="1"/>
  <c r="O378" s="1"/>
  <c r="O379" s="1"/>
  <c r="O380" s="1"/>
  <c r="O381" s="1"/>
  <c r="O382" s="1"/>
  <c r="O383" s="1"/>
  <c r="O384" s="1"/>
  <c r="O385" s="1"/>
  <c r="O386" s="1"/>
  <c r="O387" s="1"/>
  <c r="O388" s="1"/>
  <c r="O389" s="1"/>
  <c r="O390" s="1"/>
  <c r="O391" s="1"/>
  <c r="O392" s="1"/>
  <c r="O393" s="1"/>
  <c r="O394" s="1"/>
  <c r="O395" s="1"/>
  <c r="O396" s="1"/>
  <c r="O397" s="1"/>
  <c r="O398" s="1"/>
  <c r="O399" s="1"/>
  <c r="O400" s="1"/>
  <c r="O401" s="1"/>
  <c r="O402" s="1"/>
  <c r="O403" s="1"/>
  <c r="O404" s="1"/>
  <c r="O405" s="1"/>
  <c r="O406" s="1"/>
  <c r="O407" s="1"/>
  <c r="O408" s="1"/>
  <c r="O409" s="1"/>
  <c r="O410" s="1"/>
  <c r="O411" s="1"/>
  <c r="O412" s="1"/>
  <c r="O413" s="1"/>
  <c r="O414" s="1"/>
  <c r="O415" s="1"/>
  <c r="O416" s="1"/>
  <c r="O417" s="1"/>
  <c r="O418" s="1"/>
  <c r="O419" s="1"/>
  <c r="O420" s="1"/>
  <c r="O421" s="1"/>
  <c r="O422" s="1"/>
  <c r="O423" s="1"/>
  <c r="O424" s="1"/>
  <c r="O425" s="1"/>
  <c r="O426" s="1"/>
  <c r="O427" s="1"/>
  <c r="O428" s="1"/>
  <c r="O429" s="1"/>
  <c r="O430" s="1"/>
  <c r="O431" s="1"/>
  <c r="O432" s="1"/>
  <c r="O433" s="1"/>
  <c r="O434" s="1"/>
  <c r="O435" s="1"/>
  <c r="O436" s="1"/>
  <c r="O437" s="1"/>
  <c r="O438" s="1"/>
  <c r="O439" s="1"/>
  <c r="O440" s="1"/>
  <c r="O441" s="1"/>
  <c r="O442" s="1"/>
  <c r="O443" s="1"/>
  <c r="O444" s="1"/>
  <c r="O445" s="1"/>
  <c r="O446" s="1"/>
  <c r="O447" s="1"/>
  <c r="O448" s="1"/>
  <c r="O449" s="1"/>
  <c r="O450" s="1"/>
  <c r="O451" s="1"/>
  <c r="O452" s="1"/>
  <c r="O453" s="1"/>
  <c r="O454" s="1"/>
  <c r="O455" s="1"/>
  <c r="O456" s="1"/>
  <c r="O457" s="1"/>
  <c r="O458" s="1"/>
  <c r="O459" s="1"/>
  <c r="O460" s="1"/>
  <c r="D394" i="53"/>
  <c r="N33" i="55" s="1"/>
  <c r="N35" s="1"/>
  <c r="BY33"/>
  <c r="BY35" s="1"/>
  <c r="AR376" i="38"/>
  <c r="B385" i="48"/>
  <c r="D384"/>
  <c r="W384" s="1"/>
  <c r="C384"/>
  <c r="E384"/>
  <c r="X384" s="1"/>
  <c r="Q430" i="5"/>
  <c r="N430"/>
  <c r="Q441"/>
  <c r="N441"/>
  <c r="N458"/>
  <c r="Q458"/>
  <c r="Q453"/>
  <c r="N453"/>
  <c r="Q449"/>
  <c r="N449"/>
  <c r="N437"/>
  <c r="Q437"/>
  <c r="N457"/>
  <c r="Q457"/>
  <c r="N431"/>
  <c r="Q431"/>
  <c r="N439"/>
  <c r="Q439"/>
  <c r="Q432"/>
  <c r="N432"/>
  <c r="E396" i="1"/>
  <c r="F398" i="52"/>
  <c r="A380" i="26"/>
  <c r="B380" s="1"/>
  <c r="K396" i="1"/>
  <c r="N396" s="1"/>
  <c r="C396"/>
  <c r="D396" s="1"/>
  <c r="B379" i="38"/>
  <c r="L396" i="1"/>
  <c r="M395" s="1"/>
  <c r="A396"/>
  <c r="B397"/>
  <c r="A403" i="53"/>
  <c r="B404" s="1"/>
  <c r="CT32" i="55"/>
  <c r="I394" i="53"/>
  <c r="Q416" i="20"/>
  <c r="N416"/>
  <c r="T406"/>
  <c r="F362" i="26"/>
  <c r="H362" s="1"/>
  <c r="T403" i="20"/>
  <c r="F359" i="26"/>
  <c r="H359" s="1"/>
  <c r="F357"/>
  <c r="H357" s="1"/>
  <c r="T401" i="20"/>
  <c r="N421"/>
  <c r="Q421"/>
  <c r="F358" i="26"/>
  <c r="H358" s="1"/>
  <c r="T402" i="20"/>
  <c r="F383" i="48"/>
  <c r="Y383" s="1"/>
  <c r="V383"/>
  <c r="N456" i="5"/>
  <c r="Q456"/>
  <c r="N450"/>
  <c r="Q450"/>
  <c r="N460"/>
  <c r="Q460"/>
  <c r="H405"/>
  <c r="Q405" s="1"/>
  <c r="N405" s="1"/>
  <c r="T405" s="1"/>
  <c r="C361" i="26" s="1"/>
  <c r="G377" i="1" s="1"/>
  <c r="H407" i="5"/>
  <c r="Q407" s="1"/>
  <c r="N407" s="1"/>
  <c r="T407" s="1"/>
  <c r="C363" i="26" s="1"/>
  <c r="G379" i="1" s="1"/>
  <c r="I382" i="5"/>
  <c r="I396"/>
  <c r="I395"/>
  <c r="H420"/>
  <c r="I379"/>
  <c r="I380"/>
  <c r="I378"/>
  <c r="I386"/>
  <c r="I373"/>
  <c r="H427"/>
  <c r="I393"/>
  <c r="I391"/>
  <c r="I384"/>
  <c r="I385"/>
  <c r="H418"/>
  <c r="H426"/>
  <c r="I370"/>
  <c r="H419"/>
  <c r="H425"/>
  <c r="I390"/>
  <c r="I372"/>
  <c r="H404"/>
  <c r="Q404" s="1"/>
  <c r="N404" s="1"/>
  <c r="T404" s="1"/>
  <c r="C360" i="26" s="1"/>
  <c r="G376" i="1" s="1"/>
  <c r="H423" i="5"/>
  <c r="H422"/>
  <c r="H424"/>
  <c r="I399"/>
  <c r="K16" i="4"/>
  <c r="H416" i="5"/>
  <c r="H403"/>
  <c r="Q403" s="1"/>
  <c r="N403" s="1"/>
  <c r="T403" s="1"/>
  <c r="C359" i="26" s="1"/>
  <c r="G375" i="1" s="1"/>
  <c r="I392" i="5"/>
  <c r="H402"/>
  <c r="Q402" s="1"/>
  <c r="N402" s="1"/>
  <c r="T402" s="1"/>
  <c r="C358" i="26" s="1"/>
  <c r="G374" i="1" s="1"/>
  <c r="H415" i="5"/>
  <c r="Q415" s="1"/>
  <c r="H409"/>
  <c r="Q409" s="1"/>
  <c r="I376"/>
  <c r="I383"/>
  <c r="H408"/>
  <c r="Q408" s="1"/>
  <c r="N408" s="1"/>
  <c r="H401"/>
  <c r="Q401" s="1"/>
  <c r="N401" s="1"/>
  <c r="T401" s="1"/>
  <c r="C357" i="26" s="1"/>
  <c r="G373" i="1" s="1"/>
  <c r="H406" i="5"/>
  <c r="Q406" s="1"/>
  <c r="N406" s="1"/>
  <c r="T406" s="1"/>
  <c r="C362" i="26" s="1"/>
  <c r="G378" i="1" s="1"/>
  <c r="H428" i="5"/>
  <c r="H429"/>
  <c r="I398"/>
  <c r="I371"/>
  <c r="H412"/>
  <c r="Q412" s="1"/>
  <c r="I394"/>
  <c r="H414"/>
  <c r="Q414" s="1"/>
  <c r="I375"/>
  <c r="H411"/>
  <c r="Q411" s="1"/>
  <c r="I377"/>
  <c r="H417"/>
  <c r="I374"/>
  <c r="H410"/>
  <c r="Q410" s="1"/>
  <c r="I387"/>
  <c r="H413"/>
  <c r="Q413" s="1"/>
  <c r="I400"/>
  <c r="I397"/>
  <c r="H421"/>
  <c r="I389"/>
  <c r="I388"/>
  <c r="I381"/>
  <c r="N455"/>
  <c r="Q455"/>
  <c r="N454"/>
  <c r="Q454"/>
  <c r="N433"/>
  <c r="Q433"/>
  <c r="N447"/>
  <c r="Q447"/>
  <c r="P395" i="1"/>
  <c r="Q423" i="20"/>
  <c r="N423"/>
  <c r="N419"/>
  <c r="Q419"/>
  <c r="T405"/>
  <c r="F361" i="26"/>
  <c r="H361" s="1"/>
  <c r="T407" i="20"/>
  <c r="F363" i="26"/>
  <c r="H363" s="1"/>
  <c r="N428" i="20"/>
  <c r="Q428"/>
  <c r="T408"/>
  <c r="F364" i="26"/>
  <c r="H364" s="1"/>
  <c r="Q420" i="20"/>
  <c r="N420"/>
  <c r="Q424" i="22"/>
  <c r="N424"/>
  <c r="T403"/>
  <c r="I359" i="26"/>
  <c r="K359" s="1"/>
  <c r="N416" i="22"/>
  <c r="Q416"/>
  <c r="Q426"/>
  <c r="N426"/>
  <c r="Q418"/>
  <c r="N418"/>
  <c r="I362" i="26"/>
  <c r="K362" s="1"/>
  <c r="T406" i="22"/>
  <c r="Q419"/>
  <c r="N419"/>
  <c r="N422"/>
  <c r="Q422"/>
  <c r="N428"/>
  <c r="Q428"/>
  <c r="T407"/>
  <c r="I363" i="26"/>
  <c r="K363" s="1"/>
  <c r="H381" i="22"/>
  <c r="Q381" s="1"/>
  <c r="N381" s="1"/>
  <c r="H388"/>
  <c r="Q388" s="1"/>
  <c r="N388" s="1"/>
  <c r="H396"/>
  <c r="Q396" s="1"/>
  <c r="N396" s="1"/>
  <c r="K15" i="21"/>
  <c r="I342" i="22"/>
  <c r="I359"/>
  <c r="H372"/>
  <c r="Q372" s="1"/>
  <c r="N372" s="1"/>
  <c r="H385"/>
  <c r="Q385" s="1"/>
  <c r="N385" s="1"/>
  <c r="H379"/>
  <c r="Q379" s="1"/>
  <c r="N379" s="1"/>
  <c r="H387"/>
  <c r="Q387" s="1"/>
  <c r="N387" s="1"/>
  <c r="I360"/>
  <c r="H375"/>
  <c r="Q375" s="1"/>
  <c r="N375" s="1"/>
  <c r="H377"/>
  <c r="Q377" s="1"/>
  <c r="N377" s="1"/>
  <c r="H384"/>
  <c r="Q384" s="1"/>
  <c r="N384" s="1"/>
  <c r="H394"/>
  <c r="Q394" s="1"/>
  <c r="N394" s="1"/>
  <c r="I367"/>
  <c r="H397"/>
  <c r="Q397" s="1"/>
  <c r="N397" s="1"/>
  <c r="I364"/>
  <c r="H398"/>
  <c r="Q398" s="1"/>
  <c r="N398" s="1"/>
  <c r="I362"/>
  <c r="I346"/>
  <c r="H373"/>
  <c r="Q373" s="1"/>
  <c r="N373" s="1"/>
  <c r="H374"/>
  <c r="Q374" s="1"/>
  <c r="N374" s="1"/>
  <c r="I365"/>
  <c r="I352"/>
  <c r="I363"/>
  <c r="H386"/>
  <c r="Q386" s="1"/>
  <c r="N386" s="1"/>
  <c r="I343"/>
  <c r="I354"/>
  <c r="H376"/>
  <c r="Q376" s="1"/>
  <c r="N376" s="1"/>
  <c r="H390"/>
  <c r="Q390" s="1"/>
  <c r="N390" s="1"/>
  <c r="H371"/>
  <c r="Q371" s="1"/>
  <c r="N371" s="1"/>
  <c r="H389"/>
  <c r="Q389" s="1"/>
  <c r="N389" s="1"/>
  <c r="I356"/>
  <c r="H393"/>
  <c r="Q393" s="1"/>
  <c r="N393" s="1"/>
  <c r="I369"/>
  <c r="H399"/>
  <c r="Q399" s="1"/>
  <c r="N399" s="1"/>
  <c r="I366"/>
  <c r="I351"/>
  <c r="I357"/>
  <c r="H382"/>
  <c r="Q382" s="1"/>
  <c r="N382" s="1"/>
  <c r="I349"/>
  <c r="I345"/>
  <c r="I353"/>
  <c r="I347"/>
  <c r="I368"/>
  <c r="H378"/>
  <c r="Q378" s="1"/>
  <c r="N378" s="1"/>
  <c r="I350"/>
  <c r="I344"/>
  <c r="H400"/>
  <c r="Q400" s="1"/>
  <c r="N400" s="1"/>
  <c r="H392"/>
  <c r="Q392" s="1"/>
  <c r="N392" s="1"/>
  <c r="I361"/>
  <c r="H391"/>
  <c r="Q391" s="1"/>
  <c r="N391" s="1"/>
  <c r="I358"/>
  <c r="H383"/>
  <c r="Q383" s="1"/>
  <c r="N383" s="1"/>
  <c r="I348"/>
  <c r="I340"/>
  <c r="I341"/>
  <c r="I355"/>
  <c r="H370"/>
  <c r="Q370" s="1"/>
  <c r="N370" s="1"/>
  <c r="H380"/>
  <c r="Q380" s="1"/>
  <c r="N380" s="1"/>
  <c r="H395"/>
  <c r="Q395" s="1"/>
  <c r="N395" s="1"/>
  <c r="T404"/>
  <c r="I360" i="26"/>
  <c r="K360" s="1"/>
  <c r="N425" i="22"/>
  <c r="Q425"/>
  <c r="Q427"/>
  <c r="N427"/>
  <c r="I357" i="26"/>
  <c r="K357" s="1"/>
  <c r="T401" i="22"/>
  <c r="N423"/>
  <c r="Q423"/>
  <c r="T405"/>
  <c r="I361" i="26"/>
  <c r="K361" s="1"/>
  <c r="N421" i="22"/>
  <c r="Q421"/>
  <c r="N448" i="5"/>
  <c r="Q448"/>
  <c r="N434"/>
  <c r="Q434"/>
  <c r="Q436"/>
  <c r="N436"/>
  <c r="Q445"/>
  <c r="N445"/>
  <c r="Q438"/>
  <c r="N438"/>
  <c r="Q442"/>
  <c r="N442"/>
  <c r="E378" i="38"/>
  <c r="D378"/>
  <c r="Z378"/>
  <c r="AA378" s="1"/>
  <c r="F378"/>
  <c r="AM378" s="1"/>
  <c r="H454" i="50"/>
  <c r="I414"/>
  <c r="I405"/>
  <c r="I418"/>
  <c r="I402"/>
  <c r="I406"/>
  <c r="H436"/>
  <c r="Q436" s="1"/>
  <c r="I401"/>
  <c r="H458"/>
  <c r="Q458" s="1"/>
  <c r="H451"/>
  <c r="N451" s="1"/>
  <c r="H450"/>
  <c r="Q450" s="1"/>
  <c r="I415"/>
  <c r="H443"/>
  <c r="Q443" s="1"/>
  <c r="I427"/>
  <c r="I408"/>
  <c r="I419"/>
  <c r="I409"/>
  <c r="I410"/>
  <c r="I429"/>
  <c r="H431"/>
  <c r="N431" s="1"/>
  <c r="H455"/>
  <c r="H439"/>
  <c r="Q439" s="1"/>
  <c r="H445"/>
  <c r="N445" s="1"/>
  <c r="I407"/>
  <c r="H457"/>
  <c r="Q457" s="1"/>
  <c r="I416"/>
  <c r="H430"/>
  <c r="N430" s="1"/>
  <c r="I404"/>
  <c r="I423"/>
  <c r="I420"/>
  <c r="H449"/>
  <c r="H448"/>
  <c r="Q448" s="1"/>
  <c r="H447"/>
  <c r="Q447" s="1"/>
  <c r="H433"/>
  <c r="Q433" s="1"/>
  <c r="H434"/>
  <c r="N434" s="1"/>
  <c r="I424"/>
  <c r="H442"/>
  <c r="Q442" s="1"/>
  <c r="H437"/>
  <c r="N437" s="1"/>
  <c r="I428"/>
  <c r="I426"/>
  <c r="H438"/>
  <c r="N438" s="1"/>
  <c r="H441"/>
  <c r="N441" s="1"/>
  <c r="H452"/>
  <c r="Q452" s="1"/>
  <c r="I421"/>
  <c r="I412"/>
  <c r="K17" i="49"/>
  <c r="H435" i="50"/>
  <c r="Q435" s="1"/>
  <c r="H459"/>
  <c r="N459" s="1"/>
  <c r="I425"/>
  <c r="H446"/>
  <c r="Q446" s="1"/>
  <c r="I413"/>
  <c r="H432"/>
  <c r="I422"/>
  <c r="H456"/>
  <c r="H444"/>
  <c r="Q444" s="1"/>
  <c r="H440"/>
  <c r="I417"/>
  <c r="I411"/>
  <c r="H453"/>
  <c r="H460"/>
  <c r="N460" s="1"/>
  <c r="I403"/>
  <c r="N422" i="20"/>
  <c r="Q422"/>
  <c r="Q418"/>
  <c r="N418"/>
  <c r="N425"/>
  <c r="Q425"/>
  <c r="R394" i="1"/>
  <c r="S394" s="1"/>
  <c r="W394"/>
  <c r="AO377" i="38"/>
  <c r="AP377" s="1"/>
  <c r="AQ377" s="1"/>
  <c r="AN377"/>
  <c r="BK375"/>
  <c r="AS375"/>
  <c r="AU375" s="1"/>
  <c r="AV375" s="1"/>
  <c r="BA375" s="1"/>
  <c r="BB375" s="1"/>
  <c r="BH375" s="1"/>
  <c r="BJ375" s="1"/>
  <c r="P375" s="1"/>
  <c r="O375" s="1"/>
  <c r="N429" i="22"/>
  <c r="Q429"/>
  <c r="Q420"/>
  <c r="N420"/>
  <c r="T408"/>
  <c r="I364" i="26"/>
  <c r="K364" s="1"/>
  <c r="N417" i="22"/>
  <c r="Q417"/>
  <c r="I358" i="26"/>
  <c r="K358" s="1"/>
  <c r="T402" i="22"/>
  <c r="Q459" i="5"/>
  <c r="N459"/>
  <c r="Q444"/>
  <c r="N444"/>
  <c r="Q435"/>
  <c r="N435"/>
  <c r="N443"/>
  <c r="Q443"/>
  <c r="N451"/>
  <c r="Q451"/>
  <c r="Q452"/>
  <c r="N452"/>
  <c r="N446"/>
  <c r="Q446"/>
  <c r="Q440"/>
  <c r="N440"/>
  <c r="AM395" i="1"/>
  <c r="AJ395"/>
  <c r="AK395"/>
  <c r="AL395"/>
  <c r="AH395"/>
  <c r="AI395"/>
  <c r="BC395"/>
  <c r="AC395"/>
  <c r="E397" i="52"/>
  <c r="Q424" i="20"/>
  <c r="N424"/>
  <c r="N426"/>
  <c r="Q426"/>
  <c r="I348"/>
  <c r="I342"/>
  <c r="I357"/>
  <c r="H385"/>
  <c r="Q385" s="1"/>
  <c r="N385" s="1"/>
  <c r="I367"/>
  <c r="H398"/>
  <c r="Q398" s="1"/>
  <c r="N398" s="1"/>
  <c r="I361"/>
  <c r="H387"/>
  <c r="Q387" s="1"/>
  <c r="N387" s="1"/>
  <c r="I352"/>
  <c r="H378"/>
  <c r="Q378" s="1"/>
  <c r="N378" s="1"/>
  <c r="H370"/>
  <c r="Q370" s="1"/>
  <c r="N370" s="1"/>
  <c r="H379"/>
  <c r="Q379" s="1"/>
  <c r="N379" s="1"/>
  <c r="I346"/>
  <c r="H399"/>
  <c r="Q399" s="1"/>
  <c r="N399" s="1"/>
  <c r="H381"/>
  <c r="Q381" s="1"/>
  <c r="N381" s="1"/>
  <c r="H392"/>
  <c r="Q392" s="1"/>
  <c r="N392" s="1"/>
  <c r="H384"/>
  <c r="Q384" s="1"/>
  <c r="N384" s="1"/>
  <c r="I351"/>
  <c r="K15" i="19"/>
  <c r="I366" i="20"/>
  <c r="H390"/>
  <c r="Q390" s="1"/>
  <c r="N390" s="1"/>
  <c r="I353"/>
  <c r="H382"/>
  <c r="Q382" s="1"/>
  <c r="N382" s="1"/>
  <c r="I349"/>
  <c r="H377"/>
  <c r="Q377" s="1"/>
  <c r="N377" s="1"/>
  <c r="H400"/>
  <c r="Q400" s="1"/>
  <c r="N400" s="1"/>
  <c r="I345"/>
  <c r="H371"/>
  <c r="Q371" s="1"/>
  <c r="N371" s="1"/>
  <c r="I358"/>
  <c r="H396"/>
  <c r="Q396" s="1"/>
  <c r="N396" s="1"/>
  <c r="I355"/>
  <c r="H373"/>
  <c r="Q373" s="1"/>
  <c r="N373" s="1"/>
  <c r="I350"/>
  <c r="H374"/>
  <c r="Q374" s="1"/>
  <c r="N374" s="1"/>
  <c r="I359"/>
  <c r="H383"/>
  <c r="Q383" s="1"/>
  <c r="N383" s="1"/>
  <c r="I356"/>
  <c r="I344"/>
  <c r="I341"/>
  <c r="I368"/>
  <c r="I347"/>
  <c r="H397"/>
  <c r="Q397" s="1"/>
  <c r="N397" s="1"/>
  <c r="H395"/>
  <c r="Q395" s="1"/>
  <c r="N395" s="1"/>
  <c r="I362"/>
  <c r="H391"/>
  <c r="Q391" s="1"/>
  <c r="N391" s="1"/>
  <c r="H375"/>
  <c r="Q375" s="1"/>
  <c r="N375" s="1"/>
  <c r="I364"/>
  <c r="I343"/>
  <c r="I365"/>
  <c r="H393"/>
  <c r="Q393" s="1"/>
  <c r="N393" s="1"/>
  <c r="H380"/>
  <c r="Q380" s="1"/>
  <c r="N380" s="1"/>
  <c r="I340"/>
  <c r="H394"/>
  <c r="Q394" s="1"/>
  <c r="N394" s="1"/>
  <c r="I369"/>
  <c r="I360"/>
  <c r="H386"/>
  <c r="Q386" s="1"/>
  <c r="N386" s="1"/>
  <c r="I363"/>
  <c r="H389"/>
  <c r="Q389" s="1"/>
  <c r="N389" s="1"/>
  <c r="I354"/>
  <c r="H376"/>
  <c r="Q376" s="1"/>
  <c r="N376" s="1"/>
  <c r="H388"/>
  <c r="Q388" s="1"/>
  <c r="N388" s="1"/>
  <c r="H372"/>
  <c r="Q372" s="1"/>
  <c r="N372" s="1"/>
  <c r="F360" i="26"/>
  <c r="H360" s="1"/>
  <c r="T404" i="20"/>
  <c r="Q429"/>
  <c r="N429"/>
  <c r="Q417"/>
  <c r="N417"/>
  <c r="Q427"/>
  <c r="N427"/>
  <c r="AB390" i="1" l="1"/>
  <c r="AE390" s="1"/>
  <c r="Z390"/>
  <c r="AA390"/>
  <c r="E397" i="53" s="1"/>
  <c r="BD392" i="1"/>
  <c r="BE392" s="1"/>
  <c r="T392" s="1"/>
  <c r="U392" s="1"/>
  <c r="BA393"/>
  <c r="D395" i="53"/>
  <c r="O3" i="55" s="1"/>
  <c r="BZ3"/>
  <c r="I395" i="53"/>
  <c r="CU3" i="55" s="1"/>
  <c r="V391" i="1"/>
  <c r="X391"/>
  <c r="AF388"/>
  <c r="AD389"/>
  <c r="G396" i="53"/>
  <c r="BE4" i="55"/>
  <c r="Q441" i="50"/>
  <c r="N450"/>
  <c r="Q445"/>
  <c r="N452"/>
  <c r="N435"/>
  <c r="Q431"/>
  <c r="N436"/>
  <c r="Q437"/>
  <c r="F336" i="26"/>
  <c r="H336" s="1"/>
  <c r="T380" i="20"/>
  <c r="T395"/>
  <c r="F351" i="26"/>
  <c r="H351" s="1"/>
  <c r="T382" i="20"/>
  <c r="F338" i="26"/>
  <c r="H338" s="1"/>
  <c r="I326" i="20"/>
  <c r="I321"/>
  <c r="I314"/>
  <c r="H343"/>
  <c r="Q343" s="1"/>
  <c r="N343" s="1"/>
  <c r="H354"/>
  <c r="Q354" s="1"/>
  <c r="N354" s="1"/>
  <c r="H340"/>
  <c r="Q340" s="1"/>
  <c r="N340" s="1"/>
  <c r="I327"/>
  <c r="I328"/>
  <c r="H348"/>
  <c r="Q348" s="1"/>
  <c r="N348" s="1"/>
  <c r="H367"/>
  <c r="Q367" s="1"/>
  <c r="N367" s="1"/>
  <c r="H350"/>
  <c r="Q350" s="1"/>
  <c r="N350" s="1"/>
  <c r="H344"/>
  <c r="Q344" s="1"/>
  <c r="N344" s="1"/>
  <c r="I323"/>
  <c r="H346"/>
  <c r="Q346" s="1"/>
  <c r="N346" s="1"/>
  <c r="I313"/>
  <c r="I339"/>
  <c r="I320"/>
  <c r="H360"/>
  <c r="Q360" s="1"/>
  <c r="N360" s="1"/>
  <c r="H341"/>
  <c r="Q341" s="1"/>
  <c r="N341" s="1"/>
  <c r="I317"/>
  <c r="I311"/>
  <c r="I316"/>
  <c r="I334"/>
  <c r="I338"/>
  <c r="H351"/>
  <c r="Q351" s="1"/>
  <c r="N351" s="1"/>
  <c r="H342"/>
  <c r="Q342" s="1"/>
  <c r="N342" s="1"/>
  <c r="I309"/>
  <c r="H368"/>
  <c r="Q368" s="1"/>
  <c r="N368" s="1"/>
  <c r="I312"/>
  <c r="I337"/>
  <c r="H363"/>
  <c r="Q363" s="1"/>
  <c r="N363" s="1"/>
  <c r="I318"/>
  <c r="I324"/>
  <c r="H356"/>
  <c r="Q356" s="1"/>
  <c r="N356" s="1"/>
  <c r="H365"/>
  <c r="Q365" s="1"/>
  <c r="N365" s="1"/>
  <c r="H345"/>
  <c r="Q345" s="1"/>
  <c r="N345" s="1"/>
  <c r="I331"/>
  <c r="I315"/>
  <c r="H366"/>
  <c r="Q366" s="1"/>
  <c r="N366" s="1"/>
  <c r="I330"/>
  <c r="H369"/>
  <c r="Q369" s="1"/>
  <c r="N369" s="1"/>
  <c r="I336"/>
  <c r="H362"/>
  <c r="Q362" s="1"/>
  <c r="N362" s="1"/>
  <c r="H359"/>
  <c r="Q359" s="1"/>
  <c r="N359" s="1"/>
  <c r="H355"/>
  <c r="Q355" s="1"/>
  <c r="N355" s="1"/>
  <c r="I322"/>
  <c r="I332"/>
  <c r="I333"/>
  <c r="H347"/>
  <c r="Q347" s="1"/>
  <c r="N347" s="1"/>
  <c r="I335"/>
  <c r="H357"/>
  <c r="Q357" s="1"/>
  <c r="N357" s="1"/>
  <c r="I329"/>
  <c r="H358"/>
  <c r="Q358" s="1"/>
  <c r="N358" s="1"/>
  <c r="I319"/>
  <c r="K14" i="19"/>
  <c r="I310" i="20"/>
  <c r="H364"/>
  <c r="Q364" s="1"/>
  <c r="N364" s="1"/>
  <c r="H352"/>
  <c r="Q352" s="1"/>
  <c r="N352" s="1"/>
  <c r="H353"/>
  <c r="Q353" s="1"/>
  <c r="N353" s="1"/>
  <c r="H349"/>
  <c r="Q349" s="1"/>
  <c r="N349" s="1"/>
  <c r="I325"/>
  <c r="H361"/>
  <c r="Q361" s="1"/>
  <c r="N361" s="1"/>
  <c r="T381"/>
  <c r="F337" i="26"/>
  <c r="H337" s="1"/>
  <c r="T370" i="20"/>
  <c r="F326" i="26"/>
  <c r="H326" s="1"/>
  <c r="N456" i="50"/>
  <c r="Q456"/>
  <c r="H412"/>
  <c r="Q412" s="1"/>
  <c r="H416"/>
  <c r="H428"/>
  <c r="I373"/>
  <c r="H421"/>
  <c r="I380"/>
  <c r="I378"/>
  <c r="K16" i="49"/>
  <c r="I375" i="50"/>
  <c r="H410"/>
  <c r="Q410" s="1"/>
  <c r="H429"/>
  <c r="H424"/>
  <c r="I381"/>
  <c r="H420"/>
  <c r="H423"/>
  <c r="H414"/>
  <c r="Q414" s="1"/>
  <c r="I385"/>
  <c r="H418"/>
  <c r="I386"/>
  <c r="I400"/>
  <c r="I398"/>
  <c r="I391"/>
  <c r="H401"/>
  <c r="Q401" s="1"/>
  <c r="N401" s="1"/>
  <c r="I383"/>
  <c r="H411"/>
  <c r="Q411" s="1"/>
  <c r="I374"/>
  <c r="I377"/>
  <c r="H417"/>
  <c r="I388"/>
  <c r="I371"/>
  <c r="H422"/>
  <c r="H409"/>
  <c r="Q409" s="1"/>
  <c r="I395"/>
  <c r="I372"/>
  <c r="I399"/>
  <c r="H419"/>
  <c r="I390"/>
  <c r="H427"/>
  <c r="I387"/>
  <c r="H402"/>
  <c r="Q402" s="1"/>
  <c r="N402" s="1"/>
  <c r="I384"/>
  <c r="H426"/>
  <c r="I379"/>
  <c r="H403"/>
  <c r="Q403" s="1"/>
  <c r="N403" s="1"/>
  <c r="H413"/>
  <c r="Q413" s="1"/>
  <c r="H404"/>
  <c r="Q404" s="1"/>
  <c r="N404" s="1"/>
  <c r="H425"/>
  <c r="H405"/>
  <c r="Q405" s="1"/>
  <c r="N405" s="1"/>
  <c r="I396"/>
  <c r="I397"/>
  <c r="I394"/>
  <c r="H408"/>
  <c r="Q408" s="1"/>
  <c r="N408" s="1"/>
  <c r="I382"/>
  <c r="I389"/>
  <c r="I370"/>
  <c r="H406"/>
  <c r="Q406" s="1"/>
  <c r="N406" s="1"/>
  <c r="I392"/>
  <c r="I376"/>
  <c r="H415"/>
  <c r="Q415" s="1"/>
  <c r="I393"/>
  <c r="H407"/>
  <c r="Q407" s="1"/>
  <c r="N407" s="1"/>
  <c r="N439"/>
  <c r="T380" i="22"/>
  <c r="I336" i="26"/>
  <c r="K336" s="1"/>
  <c r="T391" i="22"/>
  <c r="I347" i="26"/>
  <c r="K347" s="1"/>
  <c r="I338"/>
  <c r="K338" s="1"/>
  <c r="T382" i="22"/>
  <c r="T399"/>
  <c r="I355" i="26"/>
  <c r="K355" s="1"/>
  <c r="T389" i="22"/>
  <c r="I345" i="26"/>
  <c r="K345" s="1"/>
  <c r="T397" i="22"/>
  <c r="I353" i="26"/>
  <c r="K353" s="1"/>
  <c r="T377" i="22"/>
  <c r="I333" i="26"/>
  <c r="K333" s="1"/>
  <c r="T379" i="22"/>
  <c r="I335" i="26"/>
  <c r="K335" s="1"/>
  <c r="T381" i="22"/>
  <c r="I337" i="26"/>
  <c r="K337" s="1"/>
  <c r="Q451" i="50"/>
  <c r="N419" i="5"/>
  <c r="Q419"/>
  <c r="N427"/>
  <c r="Q427"/>
  <c r="Q460" i="50"/>
  <c r="N458"/>
  <c r="Q434"/>
  <c r="CT33" i="55"/>
  <c r="N446" i="50"/>
  <c r="AL396" i="1"/>
  <c r="BC396"/>
  <c r="AK396"/>
  <c r="AM396"/>
  <c r="AC396"/>
  <c r="AJ396"/>
  <c r="AI396"/>
  <c r="AH396"/>
  <c r="P396"/>
  <c r="N444" i="50"/>
  <c r="N443"/>
  <c r="BK376" i="38"/>
  <c r="AS376"/>
  <c r="AU376" s="1"/>
  <c r="AV376" s="1"/>
  <c r="BA376" s="1"/>
  <c r="BB376" s="1"/>
  <c r="BH376" s="1"/>
  <c r="BJ376" s="1"/>
  <c r="P376" s="1"/>
  <c r="O376" s="1"/>
  <c r="N433" i="50"/>
  <c r="T372" i="20"/>
  <c r="F328" i="26"/>
  <c r="H328" s="1"/>
  <c r="F345"/>
  <c r="H345" s="1"/>
  <c r="T389" i="20"/>
  <c r="T393"/>
  <c r="F349" i="26"/>
  <c r="H349" s="1"/>
  <c r="T375" i="20"/>
  <c r="F331" i="26"/>
  <c r="H331" s="1"/>
  <c r="F353"/>
  <c r="H353" s="1"/>
  <c r="T397" i="20"/>
  <c r="T374"/>
  <c r="F330" i="26"/>
  <c r="H330" s="1"/>
  <c r="F352"/>
  <c r="H352" s="1"/>
  <c r="T396" i="20"/>
  <c r="T400"/>
  <c r="F356" i="26"/>
  <c r="H356" s="1"/>
  <c r="F355"/>
  <c r="H355" s="1"/>
  <c r="T399" i="20"/>
  <c r="T378"/>
  <c r="F334" i="26"/>
  <c r="H334" s="1"/>
  <c r="F354"/>
  <c r="H354" s="1"/>
  <c r="T398" i="20"/>
  <c r="N455" i="50"/>
  <c r="Q455"/>
  <c r="Q454"/>
  <c r="N454"/>
  <c r="AN378" i="38"/>
  <c r="AO378"/>
  <c r="AP378" s="1"/>
  <c r="AQ378" s="1"/>
  <c r="T370" i="22"/>
  <c r="I326" i="26"/>
  <c r="K326" s="1"/>
  <c r="T371" i="22"/>
  <c r="I327" i="26"/>
  <c r="K327" s="1"/>
  <c r="T375" i="22"/>
  <c r="I331" i="26"/>
  <c r="K331" s="1"/>
  <c r="T385" i="22"/>
  <c r="I341" i="26"/>
  <c r="K341" s="1"/>
  <c r="I317" i="22"/>
  <c r="H351"/>
  <c r="Q351" s="1"/>
  <c r="N351" s="1"/>
  <c r="I318"/>
  <c r="H354"/>
  <c r="Q354" s="1"/>
  <c r="N354" s="1"/>
  <c r="H347"/>
  <c r="Q347" s="1"/>
  <c r="N347" s="1"/>
  <c r="H363"/>
  <c r="Q363" s="1"/>
  <c r="N363" s="1"/>
  <c r="H355"/>
  <c r="Q355" s="1"/>
  <c r="N355" s="1"/>
  <c r="H350"/>
  <c r="Q350" s="1"/>
  <c r="N350" s="1"/>
  <c r="I327"/>
  <c r="I311"/>
  <c r="H356"/>
  <c r="Q356" s="1"/>
  <c r="N356" s="1"/>
  <c r="I323"/>
  <c r="I321"/>
  <c r="H349"/>
  <c r="Q349" s="1"/>
  <c r="N349" s="1"/>
  <c r="I316"/>
  <c r="I338"/>
  <c r="I309"/>
  <c r="H343"/>
  <c r="Q343" s="1"/>
  <c r="N343" s="1"/>
  <c r="I310"/>
  <c r="H346"/>
  <c r="Q346" s="1"/>
  <c r="N346" s="1"/>
  <c r="I312"/>
  <c r="I328"/>
  <c r="H353"/>
  <c r="Q353" s="1"/>
  <c r="N353" s="1"/>
  <c r="H342"/>
  <c r="Q342" s="1"/>
  <c r="N342" s="1"/>
  <c r="I322"/>
  <c r="H361"/>
  <c r="Q361" s="1"/>
  <c r="N361" s="1"/>
  <c r="H352"/>
  <c r="Q352" s="1"/>
  <c r="N352" s="1"/>
  <c r="I336"/>
  <c r="I313"/>
  <c r="H341"/>
  <c r="Q341" s="1"/>
  <c r="N341" s="1"/>
  <c r="H366"/>
  <c r="Q366" s="1"/>
  <c r="N366" s="1"/>
  <c r="I319"/>
  <c r="H367"/>
  <c r="Q367" s="1"/>
  <c r="N367" s="1"/>
  <c r="I334"/>
  <c r="I335"/>
  <c r="H365"/>
  <c r="Q365" s="1"/>
  <c r="N365" s="1"/>
  <c r="I320"/>
  <c r="I339"/>
  <c r="H364"/>
  <c r="Q364" s="1"/>
  <c r="N364" s="1"/>
  <c r="I333"/>
  <c r="H345"/>
  <c r="Q345" s="1"/>
  <c r="N345" s="1"/>
  <c r="H340"/>
  <c r="Q340" s="1"/>
  <c r="N340" s="1"/>
  <c r="I325"/>
  <c r="H359"/>
  <c r="Q359" s="1"/>
  <c r="N359" s="1"/>
  <c r="I332"/>
  <c r="H358"/>
  <c r="Q358" s="1"/>
  <c r="N358" s="1"/>
  <c r="H369"/>
  <c r="Q369" s="1"/>
  <c r="N369" s="1"/>
  <c r="I326"/>
  <c r="I314"/>
  <c r="H362"/>
  <c r="Q362" s="1"/>
  <c r="N362" s="1"/>
  <c r="K14" i="21"/>
  <c r="I315" i="22"/>
  <c r="H360"/>
  <c r="Q360" s="1"/>
  <c r="N360" s="1"/>
  <c r="I337"/>
  <c r="H348"/>
  <c r="Q348" s="1"/>
  <c r="N348" s="1"/>
  <c r="I330"/>
  <c r="H368"/>
  <c r="Q368" s="1"/>
  <c r="N368" s="1"/>
  <c r="I331"/>
  <c r="I329"/>
  <c r="H357"/>
  <c r="Q357" s="1"/>
  <c r="N357" s="1"/>
  <c r="I324"/>
  <c r="H344"/>
  <c r="Q344" s="1"/>
  <c r="N344" s="1"/>
  <c r="N457" i="50"/>
  <c r="Q417" i="5"/>
  <c r="N417"/>
  <c r="N424"/>
  <c r="Q424"/>
  <c r="V384" i="48"/>
  <c r="F384"/>
  <c r="Y384" s="1"/>
  <c r="N447" i="50"/>
  <c r="N440"/>
  <c r="Q440"/>
  <c r="Q432"/>
  <c r="N432"/>
  <c r="Q459"/>
  <c r="T383" i="22"/>
  <c r="I339" i="26"/>
  <c r="K339" s="1"/>
  <c r="T392" i="22"/>
  <c r="I348" i="26"/>
  <c r="K348" s="1"/>
  <c r="T378" i="22"/>
  <c r="I334" i="26"/>
  <c r="K334" s="1"/>
  <c r="I349"/>
  <c r="K349" s="1"/>
  <c r="T393" i="22"/>
  <c r="I346" i="26"/>
  <c r="K346" s="1"/>
  <c r="T390" i="22"/>
  <c r="T386"/>
  <c r="I342" i="26"/>
  <c r="K342" s="1"/>
  <c r="T374" i="22"/>
  <c r="I330" i="26"/>
  <c r="K330" s="1"/>
  <c r="I354"/>
  <c r="K354" s="1"/>
  <c r="T398" i="22"/>
  <c r="T394"/>
  <c r="I350" i="26"/>
  <c r="K350" s="1"/>
  <c r="T372" i="22"/>
  <c r="I328" i="26"/>
  <c r="K328" s="1"/>
  <c r="I352"/>
  <c r="K352" s="1"/>
  <c r="T396" i="22"/>
  <c r="Q421" i="5"/>
  <c r="N421"/>
  <c r="Q429"/>
  <c r="N429"/>
  <c r="T408"/>
  <c r="C364" i="26" s="1"/>
  <c r="G380" i="1" s="1"/>
  <c r="N416" i="5"/>
  <c r="Q416"/>
  <c r="N422"/>
  <c r="Q422"/>
  <c r="Q426"/>
  <c r="N426"/>
  <c r="N420"/>
  <c r="Q420"/>
  <c r="N448" i="50"/>
  <c r="Q438"/>
  <c r="D379" i="38"/>
  <c r="E379"/>
  <c r="Z379"/>
  <c r="AA379" s="1"/>
  <c r="F379"/>
  <c r="AM379" s="1"/>
  <c r="Q430" i="50"/>
  <c r="N442"/>
  <c r="T388" i="20"/>
  <c r="F344" i="26"/>
  <c r="H344" s="1"/>
  <c r="T394" i="20"/>
  <c r="F350" i="26"/>
  <c r="H350" s="1"/>
  <c r="T391" i="20"/>
  <c r="F347" i="26"/>
  <c r="H347" s="1"/>
  <c r="T377" i="20"/>
  <c r="F333" i="26"/>
  <c r="H333" s="1"/>
  <c r="T390" i="20"/>
  <c r="F346" i="26"/>
  <c r="H346" s="1"/>
  <c r="T384" i="20"/>
  <c r="F340" i="26"/>
  <c r="H340" s="1"/>
  <c r="T376" i="20"/>
  <c r="F332" i="26"/>
  <c r="H332" s="1"/>
  <c r="T386" i="20"/>
  <c r="F342" i="26"/>
  <c r="H342" s="1"/>
  <c r="F339"/>
  <c r="H339" s="1"/>
  <c r="T383" i="20"/>
  <c r="T373"/>
  <c r="F329" i="26"/>
  <c r="H329" s="1"/>
  <c r="T371" i="20"/>
  <c r="F327" i="26"/>
  <c r="H327" s="1"/>
  <c r="F348"/>
  <c r="H348" s="1"/>
  <c r="T392" i="20"/>
  <c r="F335" i="26"/>
  <c r="H335" s="1"/>
  <c r="T379" i="20"/>
  <c r="T387"/>
  <c r="F343" i="26"/>
  <c r="H343" s="1"/>
  <c r="T385" i="20"/>
  <c r="F341" i="26"/>
  <c r="H341" s="1"/>
  <c r="AR377" i="38"/>
  <c r="N453" i="50"/>
  <c r="Q453"/>
  <c r="Q449"/>
  <c r="N449"/>
  <c r="T395" i="22"/>
  <c r="I351" i="26"/>
  <c r="K351" s="1"/>
  <c r="T400" i="22"/>
  <c r="I356" i="26"/>
  <c r="K356" s="1"/>
  <c r="I332"/>
  <c r="K332" s="1"/>
  <c r="T376" i="22"/>
  <c r="T373"/>
  <c r="I329" i="26"/>
  <c r="K329" s="1"/>
  <c r="T384" i="22"/>
  <c r="I340" i="26"/>
  <c r="K340" s="1"/>
  <c r="T387" i="22"/>
  <c r="I343" i="26"/>
  <c r="K343" s="1"/>
  <c r="T388" i="22"/>
  <c r="I344" i="26"/>
  <c r="K344" s="1"/>
  <c r="W395" i="1"/>
  <c r="R395"/>
  <c r="N428" i="5"/>
  <c r="Q428"/>
  <c r="I350"/>
  <c r="I348"/>
  <c r="I346"/>
  <c r="I364"/>
  <c r="H396"/>
  <c r="Q396" s="1"/>
  <c r="N396" s="1"/>
  <c r="T396" s="1"/>
  <c r="C352" i="26" s="1"/>
  <c r="G368" i="1" s="1"/>
  <c r="H400" i="5"/>
  <c r="Q400" s="1"/>
  <c r="N400" s="1"/>
  <c r="T400" s="1"/>
  <c r="C356" i="26" s="1"/>
  <c r="G372" i="1" s="1"/>
  <c r="H388" i="5"/>
  <c r="Q388" s="1"/>
  <c r="N388" s="1"/>
  <c r="T388" s="1"/>
  <c r="C344" i="26" s="1"/>
  <c r="G360" i="1" s="1"/>
  <c r="H371" i="5"/>
  <c r="Q371" s="1"/>
  <c r="N371" s="1"/>
  <c r="T371" s="1"/>
  <c r="C327" i="26" s="1"/>
  <c r="G343" i="1" s="1"/>
  <c r="I349" i="5"/>
  <c r="H377"/>
  <c r="Q377" s="1"/>
  <c r="N377" s="1"/>
  <c r="T377" s="1"/>
  <c r="C333" i="26" s="1"/>
  <c r="G349" i="1" s="1"/>
  <c r="I362" i="5"/>
  <c r="I358"/>
  <c r="I369"/>
  <c r="H390"/>
  <c r="Q390" s="1"/>
  <c r="N390" s="1"/>
  <c r="T390" s="1"/>
  <c r="C346" i="26" s="1"/>
  <c r="G362" i="1" s="1"/>
  <c r="H376" i="5"/>
  <c r="Q376" s="1"/>
  <c r="N376" s="1"/>
  <c r="T376" s="1"/>
  <c r="C332" i="26" s="1"/>
  <c r="G348" i="1" s="1"/>
  <c r="H383" i="5"/>
  <c r="Q383" s="1"/>
  <c r="N383" s="1"/>
  <c r="T383" s="1"/>
  <c r="C339" i="26" s="1"/>
  <c r="G355" i="1" s="1"/>
  <c r="H379" i="5"/>
  <c r="Q379" s="1"/>
  <c r="N379" s="1"/>
  <c r="T379" s="1"/>
  <c r="C335" i="26" s="1"/>
  <c r="G351" i="1" s="1"/>
  <c r="H392" i="5"/>
  <c r="Q392" s="1"/>
  <c r="N392" s="1"/>
  <c r="T392" s="1"/>
  <c r="C348" i="26" s="1"/>
  <c r="G364" i="1" s="1"/>
  <c r="I367" i="5"/>
  <c r="H384"/>
  <c r="Q384" s="1"/>
  <c r="N384" s="1"/>
  <c r="T384" s="1"/>
  <c r="C340" i="26" s="1"/>
  <c r="G356" i="1" s="1"/>
  <c r="I344" i="5"/>
  <c r="I355"/>
  <c r="I343"/>
  <c r="H394"/>
  <c r="Q394" s="1"/>
  <c r="N394" s="1"/>
  <c r="T394" s="1"/>
  <c r="C350" i="26" s="1"/>
  <c r="G366" i="1" s="1"/>
  <c r="H399" i="5"/>
  <c r="Q399" s="1"/>
  <c r="N399" s="1"/>
  <c r="T399" s="1"/>
  <c r="C355" i="26" s="1"/>
  <c r="G371" i="1" s="1"/>
  <c r="I340" i="5"/>
  <c r="H373"/>
  <c r="Q373" s="1"/>
  <c r="N373" s="1"/>
  <c r="T373" s="1"/>
  <c r="C329" i="26" s="1"/>
  <c r="G345" i="1" s="1"/>
  <c r="I342" i="5"/>
  <c r="H374"/>
  <c r="Q374" s="1"/>
  <c r="N374" s="1"/>
  <c r="T374" s="1"/>
  <c r="C330" i="26" s="1"/>
  <c r="G346" i="1" s="1"/>
  <c r="H397" i="5"/>
  <c r="Q397" s="1"/>
  <c r="N397" s="1"/>
  <c r="T397" s="1"/>
  <c r="C353" i="26" s="1"/>
  <c r="G369" i="1" s="1"/>
  <c r="K15" i="4"/>
  <c r="H372" i="5"/>
  <c r="Q372" s="1"/>
  <c r="N372" s="1"/>
  <c r="T372" s="1"/>
  <c r="C328" i="26" s="1"/>
  <c r="G344" i="1" s="1"/>
  <c r="H391" i="5"/>
  <c r="Q391" s="1"/>
  <c r="N391" s="1"/>
  <c r="T391" s="1"/>
  <c r="C347" i="26" s="1"/>
  <c r="G363" i="1" s="1"/>
  <c r="I363" i="5"/>
  <c r="H370"/>
  <c r="Q370" s="1"/>
  <c r="N370" s="1"/>
  <c r="T370" s="1"/>
  <c r="C326" i="26" s="1"/>
  <c r="G342" i="1" s="1"/>
  <c r="H398" i="5"/>
  <c r="Q398" s="1"/>
  <c r="N398" s="1"/>
  <c r="T398" s="1"/>
  <c r="C354" i="26" s="1"/>
  <c r="G370" i="1" s="1"/>
  <c r="I352" i="5"/>
  <c r="I351"/>
  <c r="H387"/>
  <c r="Q387" s="1"/>
  <c r="N387" s="1"/>
  <c r="T387" s="1"/>
  <c r="C343" i="26" s="1"/>
  <c r="G359" i="1" s="1"/>
  <c r="H380" i="5"/>
  <c r="Q380" s="1"/>
  <c r="N380" s="1"/>
  <c r="T380" s="1"/>
  <c r="C336" i="26" s="1"/>
  <c r="G352" i="1" s="1"/>
  <c r="I365" i="5"/>
  <c r="H382"/>
  <c r="Q382" s="1"/>
  <c r="N382" s="1"/>
  <c r="T382" s="1"/>
  <c r="C338" i="26" s="1"/>
  <c r="G354" i="1" s="1"/>
  <c r="I356" i="5"/>
  <c r="H393"/>
  <c r="Q393" s="1"/>
  <c r="N393" s="1"/>
  <c r="T393" s="1"/>
  <c r="C349" i="26" s="1"/>
  <c r="G365" i="1" s="1"/>
  <c r="H386" i="5"/>
  <c r="Q386" s="1"/>
  <c r="N386" s="1"/>
  <c r="T386" s="1"/>
  <c r="C342" i="26" s="1"/>
  <c r="G358" i="1" s="1"/>
  <c r="I366" i="5"/>
  <c r="I361"/>
  <c r="I368"/>
  <c r="I357"/>
  <c r="I353"/>
  <c r="I359"/>
  <c r="I341"/>
  <c r="H381"/>
  <c r="Q381" s="1"/>
  <c r="N381" s="1"/>
  <c r="T381" s="1"/>
  <c r="C337" i="26" s="1"/>
  <c r="G353" i="1" s="1"/>
  <c r="I354" i="5"/>
  <c r="H378"/>
  <c r="Q378" s="1"/>
  <c r="N378" s="1"/>
  <c r="T378" s="1"/>
  <c r="C334" i="26" s="1"/>
  <c r="G350" i="1" s="1"/>
  <c r="I347" i="5"/>
  <c r="H395"/>
  <c r="Q395" s="1"/>
  <c r="N395" s="1"/>
  <c r="T395" s="1"/>
  <c r="C351" i="26" s="1"/>
  <c r="G367" i="1" s="1"/>
  <c r="H389" i="5"/>
  <c r="Q389" s="1"/>
  <c r="N389" s="1"/>
  <c r="T389" s="1"/>
  <c r="C345" i="26" s="1"/>
  <c r="G361" i="1" s="1"/>
  <c r="I360" i="5"/>
  <c r="H375"/>
  <c r="Q375" s="1"/>
  <c r="N375" s="1"/>
  <c r="T375" s="1"/>
  <c r="C331" i="26" s="1"/>
  <c r="G347" i="1" s="1"/>
  <c r="I345" i="5"/>
  <c r="H385"/>
  <c r="Q385" s="1"/>
  <c r="N385" s="1"/>
  <c r="T385" s="1"/>
  <c r="C341" i="26" s="1"/>
  <c r="G357" i="1" s="1"/>
  <c r="Q423" i="5"/>
  <c r="N423"/>
  <c r="N425"/>
  <c r="Q425"/>
  <c r="Q418"/>
  <c r="N418"/>
  <c r="L397" i="1"/>
  <c r="M396" s="1"/>
  <c r="F399" i="52"/>
  <c r="E397" i="1"/>
  <c r="C397"/>
  <c r="D397" s="1"/>
  <c r="A397"/>
  <c r="B380" i="38"/>
  <c r="A381" i="26"/>
  <c r="B381" s="1"/>
  <c r="B398" i="1"/>
  <c r="A404" i="53"/>
  <c r="B405" s="1"/>
  <c r="K397" i="1"/>
  <c r="N397" s="1"/>
  <c r="E398" i="52"/>
  <c r="C385" i="48"/>
  <c r="B386"/>
  <c r="D385"/>
  <c r="W385" s="1"/>
  <c r="E385"/>
  <c r="X385" s="1"/>
  <c r="AR378" i="38" l="1"/>
  <c r="V392" i="1"/>
  <c r="X392"/>
  <c r="G397" i="53"/>
  <c r="BE5" i="55"/>
  <c r="D396" i="53"/>
  <c r="O4" i="55" s="1"/>
  <c r="BZ4"/>
  <c r="I396" i="53"/>
  <c r="CU4" i="55" s="1"/>
  <c r="AB391" i="1"/>
  <c r="AE391" s="1"/>
  <c r="AA391"/>
  <c r="E398" i="53" s="1"/>
  <c r="Z391" i="1"/>
  <c r="S395"/>
  <c r="AF389"/>
  <c r="AD390"/>
  <c r="BD393"/>
  <c r="BE393" s="1"/>
  <c r="T393" s="1"/>
  <c r="U393" s="1"/>
  <c r="BA394"/>
  <c r="L398"/>
  <c r="M397" s="1"/>
  <c r="F400" i="52"/>
  <c r="E398" i="1"/>
  <c r="A382" i="26"/>
  <c r="B382" s="1"/>
  <c r="B399" i="1"/>
  <c r="B381" i="38"/>
  <c r="A405" i="53"/>
  <c r="B406" s="1"/>
  <c r="A398" i="1"/>
  <c r="K398"/>
  <c r="N398" s="1"/>
  <c r="C398"/>
  <c r="D398" s="1"/>
  <c r="I324" i="26"/>
  <c r="K324" s="1"/>
  <c r="T368" i="22"/>
  <c r="T360"/>
  <c r="I316" i="26"/>
  <c r="K316" s="1"/>
  <c r="T345" i="22"/>
  <c r="I301" i="26"/>
  <c r="K301" s="1"/>
  <c r="T367" i="22"/>
  <c r="I323" i="26"/>
  <c r="K323" s="1"/>
  <c r="T347" i="22"/>
  <c r="I303" i="26"/>
  <c r="K303" s="1"/>
  <c r="W396" i="1"/>
  <c r="R396"/>
  <c r="S396" s="1"/>
  <c r="T407" i="50"/>
  <c r="AN378" i="1"/>
  <c r="Q421" i="50"/>
  <c r="N421"/>
  <c r="T364" i="20"/>
  <c r="F320" i="26"/>
  <c r="H320" s="1"/>
  <c r="T358" i="20"/>
  <c r="F314" i="26"/>
  <c r="H314" s="1"/>
  <c r="T347" i="20"/>
  <c r="F303" i="26"/>
  <c r="H303" s="1"/>
  <c r="T355" i="20"/>
  <c r="F311" i="26"/>
  <c r="H311" s="1"/>
  <c r="F325"/>
  <c r="H325" s="1"/>
  <c r="T369" i="20"/>
  <c r="F307" i="26"/>
  <c r="H307" s="1"/>
  <c r="T351" i="20"/>
  <c r="T348"/>
  <c r="F304" i="26"/>
  <c r="H304" s="1"/>
  <c r="T354" i="20"/>
  <c r="F310" i="26"/>
  <c r="H310" s="1"/>
  <c r="BK377" i="38"/>
  <c r="AS377"/>
  <c r="AU377" s="1"/>
  <c r="AV377" s="1"/>
  <c r="BA377" s="1"/>
  <c r="BB377" s="1"/>
  <c r="BH377" s="1"/>
  <c r="BJ377" s="1"/>
  <c r="P377" s="1"/>
  <c r="O377" s="1"/>
  <c r="T357" i="22"/>
  <c r="I313" i="26"/>
  <c r="K313" s="1"/>
  <c r="T359" i="22"/>
  <c r="I315" i="26"/>
  <c r="K315" s="1"/>
  <c r="T365" i="22"/>
  <c r="I321" i="26"/>
  <c r="K321" s="1"/>
  <c r="T342" i="22"/>
  <c r="I298" i="26"/>
  <c r="K298" s="1"/>
  <c r="I302"/>
  <c r="K302" s="1"/>
  <c r="T346" i="22"/>
  <c r="T350"/>
  <c r="I306" i="26"/>
  <c r="K306" s="1"/>
  <c r="T354" i="22"/>
  <c r="I310" i="26"/>
  <c r="K310" s="1"/>
  <c r="AN377" i="1"/>
  <c r="T406" i="50"/>
  <c r="T408"/>
  <c r="AN379" i="1"/>
  <c r="T405" i="50"/>
  <c r="AN376" i="1"/>
  <c r="T403" i="50"/>
  <c r="AN374" i="1"/>
  <c r="T402" i="50"/>
  <c r="AN373" i="1"/>
  <c r="Q419" i="50"/>
  <c r="N419"/>
  <c r="N417"/>
  <c r="Q417"/>
  <c r="Q424"/>
  <c r="N424"/>
  <c r="H386"/>
  <c r="Q386" s="1"/>
  <c r="N386" s="1"/>
  <c r="H375"/>
  <c r="Q375" s="1"/>
  <c r="N375" s="1"/>
  <c r="I342"/>
  <c r="H383"/>
  <c r="Q383" s="1"/>
  <c r="N383" s="1"/>
  <c r="I347"/>
  <c r="H397"/>
  <c r="Q397" s="1"/>
  <c r="N397" s="1"/>
  <c r="I343"/>
  <c r="H394"/>
  <c r="Q394" s="1"/>
  <c r="N394" s="1"/>
  <c r="H398"/>
  <c r="Q398" s="1"/>
  <c r="N398" s="1"/>
  <c r="I358"/>
  <c r="H391"/>
  <c r="Q391" s="1"/>
  <c r="N391" s="1"/>
  <c r="I354"/>
  <c r="H396"/>
  <c r="Q396" s="1"/>
  <c r="N396" s="1"/>
  <c r="H388"/>
  <c r="Q388" s="1"/>
  <c r="N388" s="1"/>
  <c r="H378"/>
  <c r="Q378" s="1"/>
  <c r="N378" s="1"/>
  <c r="I348"/>
  <c r="I344"/>
  <c r="I360"/>
  <c r="I352"/>
  <c r="I365"/>
  <c r="I345"/>
  <c r="H371"/>
  <c r="Q371" s="1"/>
  <c r="N371" s="1"/>
  <c r="I368"/>
  <c r="H399"/>
  <c r="Q399" s="1"/>
  <c r="N399" s="1"/>
  <c r="H384"/>
  <c r="Q384" s="1"/>
  <c r="N384" s="1"/>
  <c r="H385"/>
  <c r="Q385" s="1"/>
  <c r="N385" s="1"/>
  <c r="H400"/>
  <c r="Q400" s="1"/>
  <c r="N400" s="1"/>
  <c r="H377"/>
  <c r="Q377" s="1"/>
  <c r="N377" s="1"/>
  <c r="I359"/>
  <c r="I350"/>
  <c r="H390"/>
  <c r="Q390" s="1"/>
  <c r="N390" s="1"/>
  <c r="I355"/>
  <c r="I341"/>
  <c r="I349"/>
  <c r="K15" i="49"/>
  <c r="I361" i="50"/>
  <c r="H379"/>
  <c r="Q379" s="1"/>
  <c r="N379" s="1"/>
  <c r="I356"/>
  <c r="I346"/>
  <c r="I363"/>
  <c r="H370"/>
  <c r="Q370" s="1"/>
  <c r="N370" s="1"/>
  <c r="I366"/>
  <c r="I340"/>
  <c r="H387"/>
  <c r="Q387" s="1"/>
  <c r="N387" s="1"/>
  <c r="H381"/>
  <c r="Q381" s="1"/>
  <c r="N381" s="1"/>
  <c r="I367"/>
  <c r="I351"/>
  <c r="H382"/>
  <c r="Q382" s="1"/>
  <c r="N382" s="1"/>
  <c r="I353"/>
  <c r="H395"/>
  <c r="Q395" s="1"/>
  <c r="N395" s="1"/>
  <c r="H393"/>
  <c r="Q393" s="1"/>
  <c r="N393" s="1"/>
  <c r="H392"/>
  <c r="Q392" s="1"/>
  <c r="N392" s="1"/>
  <c r="H376"/>
  <c r="Q376" s="1"/>
  <c r="N376" s="1"/>
  <c r="I369"/>
  <c r="H380"/>
  <c r="Q380" s="1"/>
  <c r="N380" s="1"/>
  <c r="H372"/>
  <c r="Q372" s="1"/>
  <c r="N372" s="1"/>
  <c r="H374"/>
  <c r="Q374" s="1"/>
  <c r="N374" s="1"/>
  <c r="I357"/>
  <c r="I362"/>
  <c r="I364"/>
  <c r="H373"/>
  <c r="Q373" s="1"/>
  <c r="N373" s="1"/>
  <c r="H389"/>
  <c r="Q389" s="1"/>
  <c r="N389" s="1"/>
  <c r="T349" i="20"/>
  <c r="F305" i="26"/>
  <c r="H305" s="1"/>
  <c r="T359" i="20"/>
  <c r="F315" i="26"/>
  <c r="H315" s="1"/>
  <c r="F301"/>
  <c r="H301" s="1"/>
  <c r="T345" i="20"/>
  <c r="T368"/>
  <c r="F324" i="26"/>
  <c r="H324" s="1"/>
  <c r="T344" i="20"/>
  <c r="F300" i="26"/>
  <c r="H300" s="1"/>
  <c r="F299"/>
  <c r="H299" s="1"/>
  <c r="T343" i="20"/>
  <c r="V385" i="48"/>
  <c r="F385"/>
  <c r="Y385" s="1"/>
  <c r="P397" i="1"/>
  <c r="E380" i="38"/>
  <c r="D380"/>
  <c r="F380"/>
  <c r="AM380" s="1"/>
  <c r="Z380"/>
  <c r="AA380" s="1"/>
  <c r="I321" i="5"/>
  <c r="I323"/>
  <c r="H364"/>
  <c r="Q364" s="1"/>
  <c r="N364" s="1"/>
  <c r="T364" s="1"/>
  <c r="C320" i="26" s="1"/>
  <c r="G336" i="1" s="1"/>
  <c r="H354" i="5"/>
  <c r="Q354" s="1"/>
  <c r="N354" s="1"/>
  <c r="T354" s="1"/>
  <c r="C310" i="26" s="1"/>
  <c r="G326" i="1" s="1"/>
  <c r="H345" i="5"/>
  <c r="Q345" s="1"/>
  <c r="N345" s="1"/>
  <c r="T345" s="1"/>
  <c r="C301" i="26" s="1"/>
  <c r="G317" i="1" s="1"/>
  <c r="I310" i="5"/>
  <c r="I333"/>
  <c r="H341"/>
  <c r="Q341" s="1"/>
  <c r="N341" s="1"/>
  <c r="T341" s="1"/>
  <c r="C297" i="26" s="1"/>
  <c r="G313" i="1" s="1"/>
  <c r="H365" i="5"/>
  <c r="Q365" s="1"/>
  <c r="N365" s="1"/>
  <c r="T365" s="1"/>
  <c r="C321" i="26" s="1"/>
  <c r="G337" i="1" s="1"/>
  <c r="I335" i="5"/>
  <c r="H352"/>
  <c r="Q352" s="1"/>
  <c r="N352" s="1"/>
  <c r="T352" s="1"/>
  <c r="C308" i="26" s="1"/>
  <c r="G324" i="1" s="1"/>
  <c r="H346" i="5"/>
  <c r="Q346" s="1"/>
  <c r="N346" s="1"/>
  <c r="T346" s="1"/>
  <c r="C302" i="26" s="1"/>
  <c r="G318" i="1" s="1"/>
  <c r="I317" i="5"/>
  <c r="H362"/>
  <c r="Q362" s="1"/>
  <c r="N362" s="1"/>
  <c r="T362" s="1"/>
  <c r="C318" i="26" s="1"/>
  <c r="G334" i="1" s="1"/>
  <c r="H369" i="5"/>
  <c r="Q369" s="1"/>
  <c r="N369" s="1"/>
  <c r="T369" s="1"/>
  <c r="C325" i="26" s="1"/>
  <c r="G341" i="1" s="1"/>
  <c r="H342" i="5"/>
  <c r="Q342" s="1"/>
  <c r="N342" s="1"/>
  <c r="T342" s="1"/>
  <c r="C298" i="26" s="1"/>
  <c r="G314" i="1" s="1"/>
  <c r="I334" i="5"/>
  <c r="I319"/>
  <c r="I331"/>
  <c r="H340"/>
  <c r="Q340" s="1"/>
  <c r="N340" s="1"/>
  <c r="T340" s="1"/>
  <c r="C296" i="26" s="1"/>
  <c r="G312" i="1" s="1"/>
  <c r="H344" i="5"/>
  <c r="Q344" s="1"/>
  <c r="N344" s="1"/>
  <c r="T344" s="1"/>
  <c r="C300" i="26" s="1"/>
  <c r="G316" i="1" s="1"/>
  <c r="I325" i="5"/>
  <c r="H355"/>
  <c r="Q355" s="1"/>
  <c r="N355" s="1"/>
  <c r="T355" s="1"/>
  <c r="C311" i="26" s="1"/>
  <c r="G327" i="1" s="1"/>
  <c r="I315" i="5"/>
  <c r="I318"/>
  <c r="I313"/>
  <c r="H360"/>
  <c r="Q360" s="1"/>
  <c r="N360" s="1"/>
  <c r="T360" s="1"/>
  <c r="C316" i="26" s="1"/>
  <c r="G332" i="1" s="1"/>
  <c r="I311" i="5"/>
  <c r="I320"/>
  <c r="H366"/>
  <c r="Q366" s="1"/>
  <c r="N366" s="1"/>
  <c r="T366" s="1"/>
  <c r="C322" i="26" s="1"/>
  <c r="G338" i="1" s="1"/>
  <c r="I324" i="5"/>
  <c r="H343"/>
  <c r="Q343" s="1"/>
  <c r="N343" s="1"/>
  <c r="T343" s="1"/>
  <c r="C299" i="26" s="1"/>
  <c r="G315" i="1" s="1"/>
  <c r="I336" i="5"/>
  <c r="I309"/>
  <c r="H368"/>
  <c r="Q368" s="1"/>
  <c r="N368" s="1"/>
  <c r="T368" s="1"/>
  <c r="C324" i="26" s="1"/>
  <c r="G340" i="1" s="1"/>
  <c r="I328" i="5"/>
  <c r="H363"/>
  <c r="Q363" s="1"/>
  <c r="N363" s="1"/>
  <c r="T363" s="1"/>
  <c r="C319" i="26" s="1"/>
  <c r="G335" i="1" s="1"/>
  <c r="I330" i="5"/>
  <c r="H356"/>
  <c r="Q356" s="1"/>
  <c r="N356" s="1"/>
  <c r="T356" s="1"/>
  <c r="C312" i="26" s="1"/>
  <c r="G328" i="1" s="1"/>
  <c r="I314" i="5"/>
  <c r="H358"/>
  <c r="Q358" s="1"/>
  <c r="N358" s="1"/>
  <c r="T358" s="1"/>
  <c r="C314" i="26" s="1"/>
  <c r="G330" i="1" s="1"/>
  <c r="H350" i="5"/>
  <c r="Q350" s="1"/>
  <c r="N350" s="1"/>
  <c r="T350" s="1"/>
  <c r="C306" i="26" s="1"/>
  <c r="G322" i="1" s="1"/>
  <c r="I326" i="5"/>
  <c r="H348"/>
  <c r="Q348" s="1"/>
  <c r="N348" s="1"/>
  <c r="T348" s="1"/>
  <c r="C304" i="26" s="1"/>
  <c r="G320" i="1" s="1"/>
  <c r="I338" i="5"/>
  <c r="H359"/>
  <c r="Q359" s="1"/>
  <c r="N359" s="1"/>
  <c r="T359" s="1"/>
  <c r="C315" i="26" s="1"/>
  <c r="G331" i="1" s="1"/>
  <c r="H347" i="5"/>
  <c r="Q347" s="1"/>
  <c r="N347" s="1"/>
  <c r="T347" s="1"/>
  <c r="C303" i="26" s="1"/>
  <c r="G319" i="1" s="1"/>
  <c r="H349" i="5"/>
  <c r="Q349" s="1"/>
  <c r="N349" s="1"/>
  <c r="T349" s="1"/>
  <c r="C305" i="26" s="1"/>
  <c r="G321" i="1" s="1"/>
  <c r="I327" i="5"/>
  <c r="H357"/>
  <c r="Q357" s="1"/>
  <c r="N357" s="1"/>
  <c r="T357" s="1"/>
  <c r="C313" i="26" s="1"/>
  <c r="G329" i="1" s="1"/>
  <c r="H367" i="5"/>
  <c r="Q367" s="1"/>
  <c r="N367" s="1"/>
  <c r="T367" s="1"/>
  <c r="C323" i="26" s="1"/>
  <c r="G339" i="1" s="1"/>
  <c r="I316" i="5"/>
  <c r="I312"/>
  <c r="I332"/>
  <c r="H351"/>
  <c r="Q351" s="1"/>
  <c r="N351" s="1"/>
  <c r="T351" s="1"/>
  <c r="C307" i="26" s="1"/>
  <c r="G323" i="1" s="1"/>
  <c r="H353" i="5"/>
  <c r="Q353" s="1"/>
  <c r="N353" s="1"/>
  <c r="T353" s="1"/>
  <c r="C309" i="26" s="1"/>
  <c r="G325" i="1" s="1"/>
  <c r="I337" i="5"/>
  <c r="I329"/>
  <c r="K14" i="4"/>
  <c r="H361" i="5"/>
  <c r="Q361" s="1"/>
  <c r="N361" s="1"/>
  <c r="T361" s="1"/>
  <c r="C317" i="26" s="1"/>
  <c r="G333" i="1" s="1"/>
  <c r="I339" i="5"/>
  <c r="I322"/>
  <c r="T348" i="22"/>
  <c r="I304" i="26"/>
  <c r="K304" s="1"/>
  <c r="I308" i="22"/>
  <c r="H334"/>
  <c r="Q334" s="1"/>
  <c r="N334" s="1"/>
  <c r="I287"/>
  <c r="I297"/>
  <c r="I302"/>
  <c r="H330"/>
  <c r="Q330" s="1"/>
  <c r="N330" s="1"/>
  <c r="I307"/>
  <c r="H332"/>
  <c r="Q332" s="1"/>
  <c r="N332" s="1"/>
  <c r="H325"/>
  <c r="Q325" s="1"/>
  <c r="N325" s="1"/>
  <c r="H327"/>
  <c r="Q327" s="1"/>
  <c r="N327" s="1"/>
  <c r="I289"/>
  <c r="H337"/>
  <c r="Q337" s="1"/>
  <c r="N337" s="1"/>
  <c r="H336"/>
  <c r="Q336" s="1"/>
  <c r="N336" s="1"/>
  <c r="I288"/>
  <c r="H319"/>
  <c r="Q319" s="1"/>
  <c r="N319" s="1"/>
  <c r="K13" i="21"/>
  <c r="H312" i="22"/>
  <c r="Q312" s="1"/>
  <c r="N312" s="1"/>
  <c r="I292"/>
  <c r="H323"/>
  <c r="Q323" s="1"/>
  <c r="N323" s="1"/>
  <c r="I306"/>
  <c r="I280"/>
  <c r="I303"/>
  <c r="H320"/>
  <c r="Q320" s="1"/>
  <c r="N320" s="1"/>
  <c r="I286"/>
  <c r="H328"/>
  <c r="Q328" s="1"/>
  <c r="N328" s="1"/>
  <c r="H331"/>
  <c r="Q331" s="1"/>
  <c r="N331" s="1"/>
  <c r="H309"/>
  <c r="Q309" s="1"/>
  <c r="N309" s="1"/>
  <c r="I279"/>
  <c r="H321"/>
  <c r="Q321" s="1"/>
  <c r="N321" s="1"/>
  <c r="I298"/>
  <c r="H311"/>
  <c r="Q311" s="1"/>
  <c r="N311" s="1"/>
  <c r="I299"/>
  <c r="H324"/>
  <c r="Q324" s="1"/>
  <c r="N324" s="1"/>
  <c r="H322"/>
  <c r="Q322" s="1"/>
  <c r="N322" s="1"/>
  <c r="H313"/>
  <c r="Q313" s="1"/>
  <c r="N313" s="1"/>
  <c r="H317"/>
  <c r="Q317" s="1"/>
  <c r="N317" s="1"/>
  <c r="H318"/>
  <c r="Q318" s="1"/>
  <c r="N318" s="1"/>
  <c r="I285"/>
  <c r="I291"/>
  <c r="I282"/>
  <c r="H339"/>
  <c r="Q339" s="1"/>
  <c r="N339" s="1"/>
  <c r="I305"/>
  <c r="H335"/>
  <c r="Q335" s="1"/>
  <c r="N335" s="1"/>
  <c r="I283"/>
  <c r="H338"/>
  <c r="Q338" s="1"/>
  <c r="N338" s="1"/>
  <c r="I301"/>
  <c r="H329"/>
  <c r="Q329" s="1"/>
  <c r="N329" s="1"/>
  <c r="H316"/>
  <c r="Q316" s="1"/>
  <c r="N316" s="1"/>
  <c r="H314"/>
  <c r="Q314" s="1"/>
  <c r="N314" s="1"/>
  <c r="I281"/>
  <c r="I296"/>
  <c r="I284"/>
  <c r="H310"/>
  <c r="Q310" s="1"/>
  <c r="N310" s="1"/>
  <c r="H315"/>
  <c r="Q315" s="1"/>
  <c r="N315" s="1"/>
  <c r="H333"/>
  <c r="Q333" s="1"/>
  <c r="N333" s="1"/>
  <c r="I304"/>
  <c r="I290"/>
  <c r="I293"/>
  <c r="I294"/>
  <c r="I300"/>
  <c r="H326"/>
  <c r="Q326" s="1"/>
  <c r="N326" s="1"/>
  <c r="I295"/>
  <c r="I325" i="26"/>
  <c r="K325" s="1"/>
  <c r="T369" i="22"/>
  <c r="I320" i="26"/>
  <c r="K320" s="1"/>
  <c r="T364" i="22"/>
  <c r="I322" i="26"/>
  <c r="K322" s="1"/>
  <c r="T366" i="22"/>
  <c r="T352"/>
  <c r="I308" i="26"/>
  <c r="K308" s="1"/>
  <c r="T353" i="22"/>
  <c r="I309" i="26"/>
  <c r="K309" s="1"/>
  <c r="I312"/>
  <c r="K312" s="1"/>
  <c r="T356" i="22"/>
  <c r="I311" i="26"/>
  <c r="K311" s="1"/>
  <c r="T355" i="22"/>
  <c r="BK378" i="38"/>
  <c r="AS378"/>
  <c r="AU378" s="1"/>
  <c r="AV378" s="1"/>
  <c r="BA378" s="1"/>
  <c r="BB378" s="1"/>
  <c r="BH378" s="1"/>
  <c r="BJ378" s="1"/>
  <c r="P378" s="1"/>
  <c r="O378" s="1"/>
  <c r="Q425" i="50"/>
  <c r="N425"/>
  <c r="N422"/>
  <c r="Q422"/>
  <c r="T401"/>
  <c r="AN372" i="1"/>
  <c r="Q423" i="50"/>
  <c r="N423"/>
  <c r="N429"/>
  <c r="Q429"/>
  <c r="Q428"/>
  <c r="N428"/>
  <c r="T353" i="20"/>
  <c r="F309" i="26"/>
  <c r="H309" s="1"/>
  <c r="H334" i="20"/>
  <c r="Q334" s="1"/>
  <c r="N334" s="1"/>
  <c r="I297"/>
  <c r="H331"/>
  <c r="Q331" s="1"/>
  <c r="N331" s="1"/>
  <c r="I284"/>
  <c r="I289"/>
  <c r="I308"/>
  <c r="I302"/>
  <c r="H318"/>
  <c r="Q318" s="1"/>
  <c r="N318" s="1"/>
  <c r="I286"/>
  <c r="I287"/>
  <c r="H317"/>
  <c r="Q317" s="1"/>
  <c r="N317" s="1"/>
  <c r="H314"/>
  <c r="Q314" s="1"/>
  <c r="N314" s="1"/>
  <c r="I294"/>
  <c r="H313"/>
  <c r="Q313" s="1"/>
  <c r="N313" s="1"/>
  <c r="I280"/>
  <c r="I283"/>
  <c r="I293"/>
  <c r="H323"/>
  <c r="Q323" s="1"/>
  <c r="N323" s="1"/>
  <c r="I290"/>
  <c r="H328"/>
  <c r="Q328" s="1"/>
  <c r="N328" s="1"/>
  <c r="I281"/>
  <c r="I292"/>
  <c r="H327"/>
  <c r="Q327" s="1"/>
  <c r="N327" s="1"/>
  <c r="I304"/>
  <c r="H336"/>
  <c r="Q336" s="1"/>
  <c r="N336" s="1"/>
  <c r="H310"/>
  <c r="Q310" s="1"/>
  <c r="N310" s="1"/>
  <c r="H337"/>
  <c r="Q337" s="1"/>
  <c r="N337" s="1"/>
  <c r="K13" i="19"/>
  <c r="H309" i="20"/>
  <c r="Q309" s="1"/>
  <c r="N309" s="1"/>
  <c r="I305"/>
  <c r="H339"/>
  <c r="Q339" s="1"/>
  <c r="N339" s="1"/>
  <c r="I306"/>
  <c r="I285"/>
  <c r="H315"/>
  <c r="Q315" s="1"/>
  <c r="N315" s="1"/>
  <c r="I282"/>
  <c r="I291"/>
  <c r="I279"/>
  <c r="H324"/>
  <c r="Q324" s="1"/>
  <c r="N324" s="1"/>
  <c r="H333"/>
  <c r="Q333" s="1"/>
  <c r="N333" s="1"/>
  <c r="H311"/>
  <c r="Q311" s="1"/>
  <c r="N311" s="1"/>
  <c r="H316"/>
  <c r="Q316" s="1"/>
  <c r="N316" s="1"/>
  <c r="I303"/>
  <c r="I296"/>
  <c r="H335"/>
  <c r="Q335" s="1"/>
  <c r="N335" s="1"/>
  <c r="I301"/>
  <c r="H329"/>
  <c r="Q329" s="1"/>
  <c r="N329" s="1"/>
  <c r="I298"/>
  <c r="H338"/>
  <c r="Q338" s="1"/>
  <c r="N338" s="1"/>
  <c r="I307"/>
  <c r="H332"/>
  <c r="Q332" s="1"/>
  <c r="N332" s="1"/>
  <c r="H330"/>
  <c r="Q330" s="1"/>
  <c r="N330" s="1"/>
  <c r="I299"/>
  <c r="H312"/>
  <c r="Q312" s="1"/>
  <c r="N312" s="1"/>
  <c r="H326"/>
  <c r="Q326" s="1"/>
  <c r="N326" s="1"/>
  <c r="H320"/>
  <c r="Q320" s="1"/>
  <c r="N320" s="1"/>
  <c r="I295"/>
  <c r="H325"/>
  <c r="Q325" s="1"/>
  <c r="N325" s="1"/>
  <c r="H322"/>
  <c r="Q322" s="1"/>
  <c r="N322" s="1"/>
  <c r="I300"/>
  <c r="H321"/>
  <c r="Q321" s="1"/>
  <c r="N321" s="1"/>
  <c r="I288"/>
  <c r="H319"/>
  <c r="Q319" s="1"/>
  <c r="N319" s="1"/>
  <c r="F313" i="26"/>
  <c r="H313" s="1"/>
  <c r="T357" i="20"/>
  <c r="T362"/>
  <c r="F318" i="26"/>
  <c r="H318" s="1"/>
  <c r="T366" i="20"/>
  <c r="F322" i="26"/>
  <c r="H322" s="1"/>
  <c r="T365" i="20"/>
  <c r="F321" i="26"/>
  <c r="H321" s="1"/>
  <c r="F319"/>
  <c r="H319" s="1"/>
  <c r="T363" i="20"/>
  <c r="T341"/>
  <c r="F297" i="26"/>
  <c r="H297" s="1"/>
  <c r="T350" i="20"/>
  <c r="F306" i="26"/>
  <c r="H306" s="1"/>
  <c r="C386" i="48"/>
  <c r="D386"/>
  <c r="W386" s="1"/>
  <c r="E386"/>
  <c r="X386" s="1"/>
  <c r="B387"/>
  <c r="E399" i="52"/>
  <c r="AK397" i="1"/>
  <c r="BC397"/>
  <c r="AH397"/>
  <c r="AC397"/>
  <c r="AJ397"/>
  <c r="AL397"/>
  <c r="AI397"/>
  <c r="AM397"/>
  <c r="AO379" i="38"/>
  <c r="AP379" s="1"/>
  <c r="AQ379" s="1"/>
  <c r="AN379"/>
  <c r="AR379" s="1"/>
  <c r="T344" i="22"/>
  <c r="I300" i="26"/>
  <c r="K300" s="1"/>
  <c r="I318"/>
  <c r="K318" s="1"/>
  <c r="T362" i="22"/>
  <c r="I314" i="26"/>
  <c r="K314" s="1"/>
  <c r="T358" i="22"/>
  <c r="T340"/>
  <c r="I296" i="26"/>
  <c r="K296" s="1"/>
  <c r="T341" i="22"/>
  <c r="I297" i="26"/>
  <c r="K297" s="1"/>
  <c r="I317"/>
  <c r="K317" s="1"/>
  <c r="T361" i="22"/>
  <c r="I299" i="26"/>
  <c r="K299" s="1"/>
  <c r="T343" i="22"/>
  <c r="T349"/>
  <c r="I305" i="26"/>
  <c r="K305" s="1"/>
  <c r="T363" i="22"/>
  <c r="I319" i="26"/>
  <c r="K319" s="1"/>
  <c r="T351" i="22"/>
  <c r="I307" i="26"/>
  <c r="K307" s="1"/>
  <c r="T404" i="50"/>
  <c r="AN375" i="1"/>
  <c r="N426" i="50"/>
  <c r="Q426"/>
  <c r="N427"/>
  <c r="Q427"/>
  <c r="N418"/>
  <c r="Q418"/>
  <c r="Q420"/>
  <c r="N420"/>
  <c r="Q416"/>
  <c r="N416"/>
  <c r="AN387" i="1" s="1"/>
  <c r="T361" i="20"/>
  <c r="F317" i="26"/>
  <c r="H317" s="1"/>
  <c r="F308"/>
  <c r="H308" s="1"/>
  <c r="T352" i="20"/>
  <c r="T356"/>
  <c r="F312" i="26"/>
  <c r="H312" s="1"/>
  <c r="T342" i="20"/>
  <c r="F298" i="26"/>
  <c r="H298" s="1"/>
  <c r="T360" i="20"/>
  <c r="F316" i="26"/>
  <c r="H316" s="1"/>
  <c r="T346" i="20"/>
  <c r="F302" i="26"/>
  <c r="H302" s="1"/>
  <c r="T367" i="20"/>
  <c r="F323" i="26"/>
  <c r="H323" s="1"/>
  <c r="F296"/>
  <c r="H296" s="1"/>
  <c r="T340" i="20"/>
  <c r="AF390" i="1" l="1"/>
  <c r="AD391"/>
  <c r="BE6" i="55"/>
  <c r="G398" i="53"/>
  <c r="D397"/>
  <c r="O5" i="55" s="1"/>
  <c r="I397" i="53"/>
  <c r="CU5" i="55" s="1"/>
  <c r="BZ5"/>
  <c r="BD394" i="1"/>
  <c r="BE394" s="1"/>
  <c r="T394" s="1"/>
  <c r="U394" s="1"/>
  <c r="BA395"/>
  <c r="AB392"/>
  <c r="AE392" s="1"/>
  <c r="Z392"/>
  <c r="AA392"/>
  <c r="E399" i="53" s="1"/>
  <c r="V393" i="1"/>
  <c r="X393"/>
  <c r="C387" i="48"/>
  <c r="E387"/>
  <c r="X387" s="1"/>
  <c r="B388"/>
  <c r="D387"/>
  <c r="W387" s="1"/>
  <c r="T321" i="20"/>
  <c r="F277" i="26"/>
  <c r="H277" s="1"/>
  <c r="T338" i="20"/>
  <c r="F294" i="26"/>
  <c r="H294" s="1"/>
  <c r="T335" i="20"/>
  <c r="F291" i="26"/>
  <c r="H291" s="1"/>
  <c r="T311" i="20"/>
  <c r="F267" i="26"/>
  <c r="H267" s="1"/>
  <c r="I269" i="20"/>
  <c r="H297"/>
  <c r="Q297" s="1"/>
  <c r="N297" s="1"/>
  <c r="I264"/>
  <c r="I278"/>
  <c r="I265"/>
  <c r="H299"/>
  <c r="Q299" s="1"/>
  <c r="N299" s="1"/>
  <c r="I266"/>
  <c r="I271"/>
  <c r="H291"/>
  <c r="Q291" s="1"/>
  <c r="N291" s="1"/>
  <c r="I258"/>
  <c r="I270"/>
  <c r="K12" i="19"/>
  <c r="H279" i="20"/>
  <c r="Q279" s="1"/>
  <c r="N279" s="1"/>
  <c r="I262"/>
  <c r="H296"/>
  <c r="Q296" s="1"/>
  <c r="N296" s="1"/>
  <c r="H292"/>
  <c r="Q292" s="1"/>
  <c r="N292" s="1"/>
  <c r="I263"/>
  <c r="H294"/>
  <c r="Q294" s="1"/>
  <c r="N294" s="1"/>
  <c r="I257"/>
  <c r="H289"/>
  <c r="Q289" s="1"/>
  <c r="N289" s="1"/>
  <c r="I256"/>
  <c r="H290"/>
  <c r="Q290" s="1"/>
  <c r="N290" s="1"/>
  <c r="I253"/>
  <c r="H281"/>
  <c r="Q281" s="1"/>
  <c r="N281" s="1"/>
  <c r="I248"/>
  <c r="I274"/>
  <c r="I252"/>
  <c r="H308"/>
  <c r="Q308" s="1"/>
  <c r="N308" s="1"/>
  <c r="H305"/>
  <c r="Q305" s="1"/>
  <c r="N305" s="1"/>
  <c r="I276"/>
  <c r="H288"/>
  <c r="Q288" s="1"/>
  <c r="N288" s="1"/>
  <c r="H304"/>
  <c r="Q304" s="1"/>
  <c r="N304" s="1"/>
  <c r="H293"/>
  <c r="Q293" s="1"/>
  <c r="N293" s="1"/>
  <c r="H286"/>
  <c r="Q286" s="1"/>
  <c r="N286" s="1"/>
  <c r="I255"/>
  <c r="H284"/>
  <c r="Q284" s="1"/>
  <c r="N284" s="1"/>
  <c r="I267"/>
  <c r="H282"/>
  <c r="Q282" s="1"/>
  <c r="N282" s="1"/>
  <c r="I254"/>
  <c r="I260"/>
  <c r="H280"/>
  <c r="Q280" s="1"/>
  <c r="N280" s="1"/>
  <c r="H298"/>
  <c r="Q298" s="1"/>
  <c r="N298" s="1"/>
  <c r="I249"/>
  <c r="H283"/>
  <c r="Q283" s="1"/>
  <c r="N283" s="1"/>
  <c r="I250"/>
  <c r="I277"/>
  <c r="H285"/>
  <c r="Q285" s="1"/>
  <c r="N285" s="1"/>
  <c r="H301"/>
  <c r="Q301" s="1"/>
  <c r="N301" s="1"/>
  <c r="I275"/>
  <c r="I268"/>
  <c r="I272"/>
  <c r="H306"/>
  <c r="Q306" s="1"/>
  <c r="N306" s="1"/>
  <c r="H307"/>
  <c r="Q307" s="1"/>
  <c r="N307" s="1"/>
  <c r="H302"/>
  <c r="Q302" s="1"/>
  <c r="N302" s="1"/>
  <c r="H287"/>
  <c r="Q287" s="1"/>
  <c r="N287" s="1"/>
  <c r="I251"/>
  <c r="I273"/>
  <c r="I261"/>
  <c r="H295"/>
  <c r="Q295" s="1"/>
  <c r="N295" s="1"/>
  <c r="H300"/>
  <c r="Q300" s="1"/>
  <c r="N300" s="1"/>
  <c r="I259"/>
  <c r="H303"/>
  <c r="Q303" s="1"/>
  <c r="N303" s="1"/>
  <c r="T328"/>
  <c r="F284" i="26"/>
  <c r="H284" s="1"/>
  <c r="T314" i="20"/>
  <c r="F270" i="26"/>
  <c r="H270" s="1"/>
  <c r="T318" i="20"/>
  <c r="F274" i="26"/>
  <c r="H274" s="1"/>
  <c r="T315" i="22"/>
  <c r="I271" i="26"/>
  <c r="K271" s="1"/>
  <c r="T322" i="22"/>
  <c r="I278" i="26"/>
  <c r="K278" s="1"/>
  <c r="I287"/>
  <c r="K287" s="1"/>
  <c r="T331" i="22"/>
  <c r="T327"/>
  <c r="I283" i="26"/>
  <c r="K283" s="1"/>
  <c r="I286"/>
  <c r="K286" s="1"/>
  <c r="T330" i="22"/>
  <c r="I290" i="26"/>
  <c r="K290" s="1"/>
  <c r="T334" i="22"/>
  <c r="T372" i="50"/>
  <c r="AN343" i="1"/>
  <c r="T392" i="50"/>
  <c r="AN363" i="1"/>
  <c r="T382" i="50"/>
  <c r="AN353" i="1"/>
  <c r="T387" i="50"/>
  <c r="AN358" i="1"/>
  <c r="T377" i="50"/>
  <c r="AN348" i="1"/>
  <c r="T399" i="50"/>
  <c r="AN370" i="1"/>
  <c r="AN365"/>
  <c r="T394" i="50"/>
  <c r="T383"/>
  <c r="AN354" i="1"/>
  <c r="E381" i="38"/>
  <c r="Z381"/>
  <c r="AA381" s="1"/>
  <c r="D381"/>
  <c r="F381"/>
  <c r="AM381" s="1"/>
  <c r="T320" i="20"/>
  <c r="F276" i="26"/>
  <c r="H276" s="1"/>
  <c r="T330" i="20"/>
  <c r="F286" i="26"/>
  <c r="H286" s="1"/>
  <c r="T333" i="20"/>
  <c r="F289" i="26"/>
  <c r="H289" s="1"/>
  <c r="F295"/>
  <c r="H295" s="1"/>
  <c r="T339" i="20"/>
  <c r="T337"/>
  <c r="F293" i="26"/>
  <c r="H293" s="1"/>
  <c r="T327" i="20"/>
  <c r="F283" i="26"/>
  <c r="H283" s="1"/>
  <c r="T317" i="20"/>
  <c r="F273" i="26"/>
  <c r="H273" s="1"/>
  <c r="F287"/>
  <c r="H287" s="1"/>
  <c r="T331" i="20"/>
  <c r="I282" i="26"/>
  <c r="K282" s="1"/>
  <c r="T326" i="22"/>
  <c r="T310"/>
  <c r="I266" i="26"/>
  <c r="K266" s="1"/>
  <c r="T314" i="22"/>
  <c r="I270" i="26"/>
  <c r="K270" s="1"/>
  <c r="T338" i="22"/>
  <c r="I294" i="26"/>
  <c r="K294" s="1"/>
  <c r="T339" i="22"/>
  <c r="I295" i="26"/>
  <c r="K295" s="1"/>
  <c r="I274"/>
  <c r="K274" s="1"/>
  <c r="T318" i="22"/>
  <c r="T324"/>
  <c r="I280" i="26"/>
  <c r="K280" s="1"/>
  <c r="T321" i="22"/>
  <c r="I277" i="26"/>
  <c r="K277" s="1"/>
  <c r="T328" i="22"/>
  <c r="I284" i="26"/>
  <c r="K284" s="1"/>
  <c r="T312" i="22"/>
  <c r="I268" i="26"/>
  <c r="K268" s="1"/>
  <c r="I292"/>
  <c r="K292" s="1"/>
  <c r="T336" i="22"/>
  <c r="T325"/>
  <c r="I281" i="26"/>
  <c r="K281" s="1"/>
  <c r="H321" i="5"/>
  <c r="Q321" s="1"/>
  <c r="N321" s="1"/>
  <c r="T321" s="1"/>
  <c r="C277" i="26" s="1"/>
  <c r="G293" i="1" s="1"/>
  <c r="I280" i="5"/>
  <c r="K13" i="4"/>
  <c r="H336" i="5"/>
  <c r="Q336" s="1"/>
  <c r="N336" s="1"/>
  <c r="T336" s="1"/>
  <c r="C292" i="26" s="1"/>
  <c r="G308" i="1" s="1"/>
  <c r="H332" i="5"/>
  <c r="Q332" s="1"/>
  <c r="N332" s="1"/>
  <c r="T332" s="1"/>
  <c r="C288" i="26" s="1"/>
  <c r="G304" i="1" s="1"/>
  <c r="H318" i="5"/>
  <c r="Q318" s="1"/>
  <c r="N318" s="1"/>
  <c r="T318" s="1"/>
  <c r="C274" i="26" s="1"/>
  <c r="G290" i="1" s="1"/>
  <c r="H335" i="5"/>
  <c r="Q335" s="1"/>
  <c r="N335" s="1"/>
  <c r="T335" s="1"/>
  <c r="C291" i="26" s="1"/>
  <c r="G307" i="1" s="1"/>
  <c r="H337" i="5"/>
  <c r="Q337" s="1"/>
  <c r="N337" s="1"/>
  <c r="T337" s="1"/>
  <c r="C293" i="26" s="1"/>
  <c r="G309" i="1" s="1"/>
  <c r="I304" i="5"/>
  <c r="H327"/>
  <c r="Q327" s="1"/>
  <c r="N327" s="1"/>
  <c r="T327" s="1"/>
  <c r="C283" i="26" s="1"/>
  <c r="G299" i="1" s="1"/>
  <c r="I295" i="5"/>
  <c r="I291"/>
  <c r="H339"/>
  <c r="Q339" s="1"/>
  <c r="N339" s="1"/>
  <c r="T339" s="1"/>
  <c r="C295" i="26" s="1"/>
  <c r="G311" i="1" s="1"/>
  <c r="H310" i="5"/>
  <c r="Q310" s="1"/>
  <c r="N310" s="1"/>
  <c r="T310" s="1"/>
  <c r="C266" i="26" s="1"/>
  <c r="G282" i="1" s="1"/>
  <c r="H311" i="5"/>
  <c r="Q311" s="1"/>
  <c r="N311" s="1"/>
  <c r="T311" s="1"/>
  <c r="C267" i="26" s="1"/>
  <c r="G283" i="1" s="1"/>
  <c r="I279" i="5"/>
  <c r="I297"/>
  <c r="I299"/>
  <c r="I302"/>
  <c r="H324"/>
  <c r="Q324" s="1"/>
  <c r="N324" s="1"/>
  <c r="T324" s="1"/>
  <c r="C280" i="26" s="1"/>
  <c r="G296" i="1" s="1"/>
  <c r="I286" i="5"/>
  <c r="I308"/>
  <c r="H319"/>
  <c r="Q319" s="1"/>
  <c r="N319" s="1"/>
  <c r="T319" s="1"/>
  <c r="C275" i="26" s="1"/>
  <c r="G291" i="1" s="1"/>
  <c r="H323" i="5"/>
  <c r="Q323" s="1"/>
  <c r="N323" s="1"/>
  <c r="T323" s="1"/>
  <c r="C279" i="26" s="1"/>
  <c r="G295" i="1" s="1"/>
  <c r="I281" i="5"/>
  <c r="I292"/>
  <c r="I305"/>
  <c r="I303"/>
  <c r="H333"/>
  <c r="Q333" s="1"/>
  <c r="N333" s="1"/>
  <c r="T333" s="1"/>
  <c r="C289" i="26" s="1"/>
  <c r="G305" i="1" s="1"/>
  <c r="I296" i="5"/>
  <c r="I282"/>
  <c r="H330"/>
  <c r="Q330" s="1"/>
  <c r="N330" s="1"/>
  <c r="T330" s="1"/>
  <c r="C286" i="26" s="1"/>
  <c r="G302" i="1" s="1"/>
  <c r="H326" i="5"/>
  <c r="Q326" s="1"/>
  <c r="N326" s="1"/>
  <c r="T326" s="1"/>
  <c r="C282" i="26" s="1"/>
  <c r="G298" i="1" s="1"/>
  <c r="I288" i="5"/>
  <c r="H338"/>
  <c r="Q338" s="1"/>
  <c r="N338" s="1"/>
  <c r="T338" s="1"/>
  <c r="C294" i="26" s="1"/>
  <c r="G310" i="1" s="1"/>
  <c r="H316" i="5"/>
  <c r="Q316" s="1"/>
  <c r="N316" s="1"/>
  <c r="T316" s="1"/>
  <c r="C272" i="26" s="1"/>
  <c r="G288" i="1" s="1"/>
  <c r="H325" i="5"/>
  <c r="Q325" s="1"/>
  <c r="N325" s="1"/>
  <c r="T325" s="1"/>
  <c r="C281" i="26" s="1"/>
  <c r="G297" i="1" s="1"/>
  <c r="H334" i="5"/>
  <c r="Q334" s="1"/>
  <c r="N334" s="1"/>
  <c r="T334" s="1"/>
  <c r="C290" i="26" s="1"/>
  <c r="G306" i="1" s="1"/>
  <c r="H315" i="5"/>
  <c r="Q315" s="1"/>
  <c r="N315" s="1"/>
  <c r="T315" s="1"/>
  <c r="C271" i="26" s="1"/>
  <c r="G287" i="1" s="1"/>
  <c r="I301" i="5"/>
  <c r="I306"/>
  <c r="H312"/>
  <c r="Q312" s="1"/>
  <c r="N312" s="1"/>
  <c r="T312" s="1"/>
  <c r="C268" i="26" s="1"/>
  <c r="G284" i="1" s="1"/>
  <c r="H313" i="5"/>
  <c r="Q313" s="1"/>
  <c r="N313" s="1"/>
  <c r="T313" s="1"/>
  <c r="C269" i="26" s="1"/>
  <c r="G285" i="1" s="1"/>
  <c r="I307" i="5"/>
  <c r="H331"/>
  <c r="Q331" s="1"/>
  <c r="N331" s="1"/>
  <c r="T331" s="1"/>
  <c r="C287" i="26" s="1"/>
  <c r="G303" i="1" s="1"/>
  <c r="H328" i="5"/>
  <c r="Q328" s="1"/>
  <c r="N328" s="1"/>
  <c r="T328" s="1"/>
  <c r="C284" i="26" s="1"/>
  <c r="G300" i="1" s="1"/>
  <c r="I290" i="5"/>
  <c r="I294"/>
  <c r="I289"/>
  <c r="H329"/>
  <c r="Q329" s="1"/>
  <c r="N329" s="1"/>
  <c r="T329" s="1"/>
  <c r="C285" i="26" s="1"/>
  <c r="G301" i="1" s="1"/>
  <c r="H317" i="5"/>
  <c r="Q317" s="1"/>
  <c r="N317" s="1"/>
  <c r="T317" s="1"/>
  <c r="C273" i="26" s="1"/>
  <c r="G289" i="1" s="1"/>
  <c r="I283" i="5"/>
  <c r="H309"/>
  <c r="Q309" s="1"/>
  <c r="N309" s="1"/>
  <c r="T309" s="1"/>
  <c r="C265" i="26" s="1"/>
  <c r="G281" i="1" s="1"/>
  <c r="I284" i="5"/>
  <c r="I293"/>
  <c r="I287"/>
  <c r="I298"/>
  <c r="H314"/>
  <c r="Q314" s="1"/>
  <c r="N314" s="1"/>
  <c r="T314" s="1"/>
  <c r="C270" i="26" s="1"/>
  <c r="G286" i="1" s="1"/>
  <c r="H320" i="5"/>
  <c r="Q320" s="1"/>
  <c r="N320" s="1"/>
  <c r="T320" s="1"/>
  <c r="C276" i="26" s="1"/>
  <c r="G292" i="1" s="1"/>
  <c r="I285" i="5"/>
  <c r="I300"/>
  <c r="H322"/>
  <c r="Q322" s="1"/>
  <c r="N322" s="1"/>
  <c r="T322" s="1"/>
  <c r="C278" i="26" s="1"/>
  <c r="G294" i="1" s="1"/>
  <c r="AN380" i="38"/>
  <c r="AO380"/>
  <c r="AP380" s="1"/>
  <c r="AQ380" s="1"/>
  <c r="T380" i="50"/>
  <c r="AN351" i="1"/>
  <c r="T393" i="50"/>
  <c r="AN364" i="1"/>
  <c r="I317" i="50"/>
  <c r="I333"/>
  <c r="I330"/>
  <c r="I334"/>
  <c r="I323"/>
  <c r="H363"/>
  <c r="Q363" s="1"/>
  <c r="N363" s="1"/>
  <c r="H340"/>
  <c r="Q340" s="1"/>
  <c r="N340" s="1"/>
  <c r="H347"/>
  <c r="Q347" s="1"/>
  <c r="N347" s="1"/>
  <c r="H350"/>
  <c r="Q350" s="1"/>
  <c r="N350" s="1"/>
  <c r="H354"/>
  <c r="Q354" s="1"/>
  <c r="N354" s="1"/>
  <c r="H348"/>
  <c r="Q348" s="1"/>
  <c r="N348" s="1"/>
  <c r="H353"/>
  <c r="Q353" s="1"/>
  <c r="N353" s="1"/>
  <c r="H341"/>
  <c r="Q341" s="1"/>
  <c r="N341" s="1"/>
  <c r="I331"/>
  <c r="I320"/>
  <c r="I325"/>
  <c r="I315"/>
  <c r="I319"/>
  <c r="H344"/>
  <c r="Q344" s="1"/>
  <c r="N344" s="1"/>
  <c r="H349"/>
  <c r="Q349" s="1"/>
  <c r="N349" s="1"/>
  <c r="H359"/>
  <c r="Q359" s="1"/>
  <c r="N359" s="1"/>
  <c r="I318"/>
  <c r="I316"/>
  <c r="I327"/>
  <c r="H343"/>
  <c r="Q343" s="1"/>
  <c r="N343" s="1"/>
  <c r="I339"/>
  <c r="I332"/>
  <c r="H362"/>
  <c r="Q362" s="1"/>
  <c r="N362" s="1"/>
  <c r="I336"/>
  <c r="H367"/>
  <c r="Q367" s="1"/>
  <c r="N367" s="1"/>
  <c r="K14" i="49"/>
  <c r="I310" i="50"/>
  <c r="H351"/>
  <c r="Q351" s="1"/>
  <c r="N351" s="1"/>
  <c r="I328"/>
  <c r="H342"/>
  <c r="Q342" s="1"/>
  <c r="N342" s="1"/>
  <c r="I313"/>
  <c r="H346"/>
  <c r="Q346" s="1"/>
  <c r="N346" s="1"/>
  <c r="I337"/>
  <c r="I311"/>
  <c r="I335"/>
  <c r="H345"/>
  <c r="Q345" s="1"/>
  <c r="N345" s="1"/>
  <c r="H355"/>
  <c r="Q355" s="1"/>
  <c r="N355" s="1"/>
  <c r="I322"/>
  <c r="H369"/>
  <c r="Q369" s="1"/>
  <c r="N369" s="1"/>
  <c r="I324"/>
  <c r="I312"/>
  <c r="I338"/>
  <c r="H358"/>
  <c r="Q358" s="1"/>
  <c r="N358" s="1"/>
  <c r="H352"/>
  <c r="Q352" s="1"/>
  <c r="N352" s="1"/>
  <c r="H364"/>
  <c r="Q364" s="1"/>
  <c r="N364" s="1"/>
  <c r="H360"/>
  <c r="Q360" s="1"/>
  <c r="N360" s="1"/>
  <c r="H365"/>
  <c r="Q365" s="1"/>
  <c r="N365" s="1"/>
  <c r="H356"/>
  <c r="Q356" s="1"/>
  <c r="N356" s="1"/>
  <c r="H368"/>
  <c r="Q368" s="1"/>
  <c r="N368" s="1"/>
  <c r="H357"/>
  <c r="Q357" s="1"/>
  <c r="N357" s="1"/>
  <c r="I321"/>
  <c r="I326"/>
  <c r="I314"/>
  <c r="H366"/>
  <c r="Q366" s="1"/>
  <c r="N366" s="1"/>
  <c r="I309"/>
  <c r="I329"/>
  <c r="H361"/>
  <c r="Q361" s="1"/>
  <c r="N361" s="1"/>
  <c r="T390"/>
  <c r="AN361" i="1"/>
  <c r="T400" i="50"/>
  <c r="AN371" i="1"/>
  <c r="T378" i="50"/>
  <c r="AN349" i="1"/>
  <c r="T391" i="50"/>
  <c r="AN362" i="1"/>
  <c r="P398"/>
  <c r="A406" i="53"/>
  <c r="B407" s="1"/>
  <c r="F401" i="52"/>
  <c r="A383" i="26"/>
  <c r="B383" s="1"/>
  <c r="L399" i="1"/>
  <c r="M398" s="1"/>
  <c r="E399"/>
  <c r="A399"/>
  <c r="B382" i="38"/>
  <c r="C399" i="1"/>
  <c r="D399" s="1"/>
  <c r="K399"/>
  <c r="N399" s="1"/>
  <c r="B400"/>
  <c r="T319" i="20"/>
  <c r="F275" i="26"/>
  <c r="H275" s="1"/>
  <c r="F278"/>
  <c r="H278" s="1"/>
  <c r="T322" i="20"/>
  <c r="T326"/>
  <c r="F282" i="26"/>
  <c r="H282" s="1"/>
  <c r="F288"/>
  <c r="H288" s="1"/>
  <c r="T332" i="20"/>
  <c r="T329"/>
  <c r="F285" i="26"/>
  <c r="H285" s="1"/>
  <c r="F280"/>
  <c r="H280" s="1"/>
  <c r="T324" i="20"/>
  <c r="T315"/>
  <c r="F271" i="26"/>
  <c r="H271" s="1"/>
  <c r="T310" i="20"/>
  <c r="F266" i="26"/>
  <c r="H266" s="1"/>
  <c r="T323" i="20"/>
  <c r="F279" i="26"/>
  <c r="H279" s="1"/>
  <c r="T313" i="20"/>
  <c r="F269" i="26"/>
  <c r="H269" s="1"/>
  <c r="T316" i="22"/>
  <c r="I272" i="26"/>
  <c r="K272" s="1"/>
  <c r="T317" i="22"/>
  <c r="I273" i="26"/>
  <c r="K273" s="1"/>
  <c r="H287" i="22"/>
  <c r="Q287" s="1"/>
  <c r="N287" s="1"/>
  <c r="I262"/>
  <c r="I264"/>
  <c r="I275"/>
  <c r="I258"/>
  <c r="I265"/>
  <c r="I260"/>
  <c r="H279"/>
  <c r="Q279" s="1"/>
  <c r="N279" s="1"/>
  <c r="I267"/>
  <c r="H297"/>
  <c r="Q297" s="1"/>
  <c r="N297" s="1"/>
  <c r="H305"/>
  <c r="Q305" s="1"/>
  <c r="N305" s="1"/>
  <c r="H296"/>
  <c r="Q296" s="1"/>
  <c r="N296" s="1"/>
  <c r="I259"/>
  <c r="I272"/>
  <c r="H280"/>
  <c r="Q280" s="1"/>
  <c r="N280" s="1"/>
  <c r="I250"/>
  <c r="H290"/>
  <c r="Q290" s="1"/>
  <c r="N290" s="1"/>
  <c r="I257"/>
  <c r="H285"/>
  <c r="Q285" s="1"/>
  <c r="N285" s="1"/>
  <c r="I252"/>
  <c r="I277"/>
  <c r="H303"/>
  <c r="Q303" s="1"/>
  <c r="N303" s="1"/>
  <c r="I278"/>
  <c r="I253"/>
  <c r="H288"/>
  <c r="Q288" s="1"/>
  <c r="N288" s="1"/>
  <c r="H299"/>
  <c r="Q299" s="1"/>
  <c r="N299" s="1"/>
  <c r="H298"/>
  <c r="Q298" s="1"/>
  <c r="N298" s="1"/>
  <c r="H289"/>
  <c r="Q289" s="1"/>
  <c r="N289" s="1"/>
  <c r="H281"/>
  <c r="Q281" s="1"/>
  <c r="N281" s="1"/>
  <c r="I248"/>
  <c r="H284"/>
  <c r="Q284" s="1"/>
  <c r="N284" s="1"/>
  <c r="I256"/>
  <c r="H283"/>
  <c r="Q283" s="1"/>
  <c r="N283" s="1"/>
  <c r="H300"/>
  <c r="Q300" s="1"/>
  <c r="N300" s="1"/>
  <c r="K12" i="21"/>
  <c r="H282" i="22"/>
  <c r="Q282" s="1"/>
  <c r="N282" s="1"/>
  <c r="I249"/>
  <c r="I276"/>
  <c r="H302"/>
  <c r="Q302" s="1"/>
  <c r="N302" s="1"/>
  <c r="I269"/>
  <c r="H295"/>
  <c r="Q295" s="1"/>
  <c r="N295" s="1"/>
  <c r="I270"/>
  <c r="H301"/>
  <c r="Q301" s="1"/>
  <c r="N301" s="1"/>
  <c r="I268"/>
  <c r="H294"/>
  <c r="Q294" s="1"/>
  <c r="N294" s="1"/>
  <c r="I261"/>
  <c r="H293"/>
  <c r="Q293" s="1"/>
  <c r="N293" s="1"/>
  <c r="H286"/>
  <c r="Q286" s="1"/>
  <c r="N286" s="1"/>
  <c r="I254"/>
  <c r="I271"/>
  <c r="H304"/>
  <c r="Q304" s="1"/>
  <c r="N304" s="1"/>
  <c r="I251"/>
  <c r="I255"/>
  <c r="H307"/>
  <c r="Q307" s="1"/>
  <c r="N307" s="1"/>
  <c r="I274"/>
  <c r="H292"/>
  <c r="Q292" s="1"/>
  <c r="N292" s="1"/>
  <c r="H306"/>
  <c r="Q306" s="1"/>
  <c r="N306" s="1"/>
  <c r="I273"/>
  <c r="I263"/>
  <c r="H291"/>
  <c r="Q291" s="1"/>
  <c r="N291" s="1"/>
  <c r="H308"/>
  <c r="Q308" s="1"/>
  <c r="N308" s="1"/>
  <c r="I266"/>
  <c r="T337"/>
  <c r="I293" i="26"/>
  <c r="K293" s="1"/>
  <c r="I288"/>
  <c r="K288" s="1"/>
  <c r="T332" i="22"/>
  <c r="T389" i="50"/>
  <c r="AN360" i="1"/>
  <c r="AN366"/>
  <c r="T395" i="50"/>
  <c r="T385"/>
  <c r="AN356" i="1"/>
  <c r="AN342"/>
  <c r="T371" i="50"/>
  <c r="T388"/>
  <c r="AN359" i="1"/>
  <c r="T397" i="50"/>
  <c r="AN368" i="1"/>
  <c r="AN346"/>
  <c r="T375" i="50"/>
  <c r="AM398" i="1"/>
  <c r="AI398"/>
  <c r="BC398"/>
  <c r="AK398"/>
  <c r="AH398"/>
  <c r="AJ398"/>
  <c r="AC398"/>
  <c r="AL398"/>
  <c r="BK379" i="38"/>
  <c r="AS379"/>
  <c r="AU379" s="1"/>
  <c r="AV379" s="1"/>
  <c r="BA379" s="1"/>
  <c r="BB379" s="1"/>
  <c r="BH379" s="1"/>
  <c r="BJ379" s="1"/>
  <c r="P379" s="1"/>
  <c r="O379" s="1"/>
  <c r="V386" i="48"/>
  <c r="F386"/>
  <c r="Y386" s="1"/>
  <c r="T325" i="20"/>
  <c r="F281" i="26"/>
  <c r="H281" s="1"/>
  <c r="T312" i="20"/>
  <c r="F268" i="26"/>
  <c r="H268" s="1"/>
  <c r="T316" i="20"/>
  <c r="F272" i="26"/>
  <c r="H272" s="1"/>
  <c r="T309" i="20"/>
  <c r="F265" i="26"/>
  <c r="H265" s="1"/>
  <c r="T336" i="20"/>
  <c r="F292" i="26"/>
  <c r="H292" s="1"/>
  <c r="F290"/>
  <c r="H290" s="1"/>
  <c r="T334" i="20"/>
  <c r="T333" i="22"/>
  <c r="I289" i="26"/>
  <c r="K289" s="1"/>
  <c r="T329" i="22"/>
  <c r="I285" i="26"/>
  <c r="K285" s="1"/>
  <c r="T335" i="22"/>
  <c r="I291" i="26"/>
  <c r="K291" s="1"/>
  <c r="T313" i="22"/>
  <c r="I269" i="26"/>
  <c r="K269" s="1"/>
  <c r="T311" i="22"/>
  <c r="I267" i="26"/>
  <c r="K267" s="1"/>
  <c r="T309" i="22"/>
  <c r="I265" i="26"/>
  <c r="K265" s="1"/>
  <c r="T320" i="22"/>
  <c r="I276" i="26"/>
  <c r="K276" s="1"/>
  <c r="T323" i="22"/>
  <c r="I279" i="26"/>
  <c r="K279" s="1"/>
  <c r="T319" i="22"/>
  <c r="I275" i="26"/>
  <c r="K275" s="1"/>
  <c r="W397" i="1"/>
  <c r="R397"/>
  <c r="AN344"/>
  <c r="T373" i="50"/>
  <c r="T374"/>
  <c r="AN345" i="1"/>
  <c r="AN347"/>
  <c r="T376" i="50"/>
  <c r="T381"/>
  <c r="AN352" i="1"/>
  <c r="T370" i="50"/>
  <c r="AN341" i="1"/>
  <c r="AN350"/>
  <c r="T379" i="50"/>
  <c r="AN355" i="1"/>
  <c r="T384" i="50"/>
  <c r="AN367" i="1"/>
  <c r="T396" i="50"/>
  <c r="T398"/>
  <c r="AN369" i="1"/>
  <c r="AN357"/>
  <c r="T386" i="50"/>
  <c r="E400" i="52"/>
  <c r="S397" i="1" l="1"/>
  <c r="AB393"/>
  <c r="AE393" s="1"/>
  <c r="Z393"/>
  <c r="AA393"/>
  <c r="E400" i="53" s="1"/>
  <c r="BD395" i="1"/>
  <c r="BE395" s="1"/>
  <c r="T395" s="1"/>
  <c r="U395" s="1"/>
  <c r="BA396"/>
  <c r="BE7" i="55"/>
  <c r="G399" i="53"/>
  <c r="V394" i="1"/>
  <c r="X394"/>
  <c r="D398" i="53"/>
  <c r="O6" i="55" s="1"/>
  <c r="BZ6"/>
  <c r="I398" i="53"/>
  <c r="CU6" i="55" s="1"/>
  <c r="AF391" i="1"/>
  <c r="AD392"/>
  <c r="T308" i="22"/>
  <c r="I264" i="26"/>
  <c r="K264" s="1"/>
  <c r="T306" i="22"/>
  <c r="I262" i="26"/>
  <c r="K262" s="1"/>
  <c r="I250"/>
  <c r="K250" s="1"/>
  <c r="T294" i="22"/>
  <c r="T295"/>
  <c r="I251" i="26"/>
  <c r="K251" s="1"/>
  <c r="I239"/>
  <c r="K239" s="1"/>
  <c r="T283" i="22"/>
  <c r="T281"/>
  <c r="I237" i="26"/>
  <c r="K237" s="1"/>
  <c r="I244"/>
  <c r="K244" s="1"/>
  <c r="T288" i="22"/>
  <c r="I246" i="26"/>
  <c r="K246" s="1"/>
  <c r="T290" i="22"/>
  <c r="T287"/>
  <c r="I243" i="26"/>
  <c r="K243" s="1"/>
  <c r="W398" i="1"/>
  <c r="R398"/>
  <c r="S398" s="1"/>
  <c r="AN337"/>
  <c r="T366" i="50"/>
  <c r="T357"/>
  <c r="AN328" i="1"/>
  <c r="AN331"/>
  <c r="T360" i="50"/>
  <c r="AN313" i="1"/>
  <c r="T342" i="50"/>
  <c r="I290"/>
  <c r="H326"/>
  <c r="Q326" s="1"/>
  <c r="N326" s="1"/>
  <c r="I280"/>
  <c r="H331"/>
  <c r="Q331" s="1"/>
  <c r="N331" s="1"/>
  <c r="I296"/>
  <c r="I303"/>
  <c r="I282"/>
  <c r="I300"/>
  <c r="H318"/>
  <c r="Q318" s="1"/>
  <c r="N318" s="1"/>
  <c r="H332"/>
  <c r="Q332" s="1"/>
  <c r="N332" s="1"/>
  <c r="H335"/>
  <c r="Q335" s="1"/>
  <c r="N335" s="1"/>
  <c r="H319"/>
  <c r="Q319" s="1"/>
  <c r="N319" s="1"/>
  <c r="I298"/>
  <c r="I291"/>
  <c r="H321"/>
  <c r="Q321" s="1"/>
  <c r="N321" s="1"/>
  <c r="H316"/>
  <c r="Q316" s="1"/>
  <c r="N316" s="1"/>
  <c r="I287"/>
  <c r="I283"/>
  <c r="H320"/>
  <c r="Q320" s="1"/>
  <c r="N320" s="1"/>
  <c r="I295"/>
  <c r="H328"/>
  <c r="Q328" s="1"/>
  <c r="N328" s="1"/>
  <c r="I294"/>
  <c r="H312"/>
  <c r="Q312" s="1"/>
  <c r="N312" s="1"/>
  <c r="H334"/>
  <c r="Q334" s="1"/>
  <c r="N334" s="1"/>
  <c r="H329"/>
  <c r="Q329" s="1"/>
  <c r="N329" s="1"/>
  <c r="H324"/>
  <c r="Q324" s="1"/>
  <c r="N324" s="1"/>
  <c r="I299"/>
  <c r="I302"/>
  <c r="I279"/>
  <c r="H327"/>
  <c r="Q327" s="1"/>
  <c r="N327" s="1"/>
  <c r="H317"/>
  <c r="Q317" s="1"/>
  <c r="N317" s="1"/>
  <c r="H333"/>
  <c r="Q333" s="1"/>
  <c r="N333" s="1"/>
  <c r="I285"/>
  <c r="H313"/>
  <c r="Q313" s="1"/>
  <c r="N313" s="1"/>
  <c r="I292"/>
  <c r="I281"/>
  <c r="I304"/>
  <c r="I307"/>
  <c r="K13" i="49"/>
  <c r="I308" i="50"/>
  <c r="H315"/>
  <c r="Q315" s="1"/>
  <c r="N315" s="1"/>
  <c r="H338"/>
  <c r="Q338" s="1"/>
  <c r="N338" s="1"/>
  <c r="H310"/>
  <c r="Q310" s="1"/>
  <c r="N310" s="1"/>
  <c r="I289"/>
  <c r="H337"/>
  <c r="Q337" s="1"/>
  <c r="N337" s="1"/>
  <c r="H325"/>
  <c r="Q325" s="1"/>
  <c r="N325" s="1"/>
  <c r="H336"/>
  <c r="Q336" s="1"/>
  <c r="N336" s="1"/>
  <c r="H309"/>
  <c r="Q309" s="1"/>
  <c r="N309" s="1"/>
  <c r="H311"/>
  <c r="Q311" s="1"/>
  <c r="N311" s="1"/>
  <c r="I301"/>
  <c r="I306"/>
  <c r="H330"/>
  <c r="Q330" s="1"/>
  <c r="N330" s="1"/>
  <c r="H339"/>
  <c r="Q339" s="1"/>
  <c r="N339" s="1"/>
  <c r="H323"/>
  <c r="Q323" s="1"/>
  <c r="N323" s="1"/>
  <c r="I288"/>
  <c r="I297"/>
  <c r="I286"/>
  <c r="H322"/>
  <c r="Q322" s="1"/>
  <c r="N322" s="1"/>
  <c r="I305"/>
  <c r="H314"/>
  <c r="Q314" s="1"/>
  <c r="N314" s="1"/>
  <c r="I284"/>
  <c r="I293"/>
  <c r="AN315" i="1"/>
  <c r="T344" i="50"/>
  <c r="AN319" i="1"/>
  <c r="T348" i="50"/>
  <c r="T340"/>
  <c r="AN311" i="1"/>
  <c r="AR380" i="38"/>
  <c r="I268" i="5"/>
  <c r="I272"/>
  <c r="H285"/>
  <c r="Q285" s="1"/>
  <c r="N285" s="1"/>
  <c r="T285" s="1"/>
  <c r="C241" i="26" s="1"/>
  <c r="G257" i="1" s="1"/>
  <c r="H286" i="5"/>
  <c r="Q286" s="1"/>
  <c r="N286" s="1"/>
  <c r="T286" s="1"/>
  <c r="C242" i="26" s="1"/>
  <c r="G258" i="1" s="1"/>
  <c r="I277" i="5"/>
  <c r="I261"/>
  <c r="H292"/>
  <c r="Q292" s="1"/>
  <c r="N292" s="1"/>
  <c r="T292" s="1"/>
  <c r="C248" i="26" s="1"/>
  <c r="G264" i="1" s="1"/>
  <c r="H287" i="5"/>
  <c r="Q287" s="1"/>
  <c r="N287" s="1"/>
  <c r="T287" s="1"/>
  <c r="C243" i="26" s="1"/>
  <c r="G259" i="1" s="1"/>
  <c r="I256" i="5"/>
  <c r="I254"/>
  <c r="I249"/>
  <c r="H291"/>
  <c r="Q291" s="1"/>
  <c r="N291" s="1"/>
  <c r="T291" s="1"/>
  <c r="C247" i="26" s="1"/>
  <c r="G263" i="1" s="1"/>
  <c r="I266" i="5"/>
  <c r="H305"/>
  <c r="Q305" s="1"/>
  <c r="N305" s="1"/>
  <c r="T305" s="1"/>
  <c r="C261" i="26" s="1"/>
  <c r="G277" i="1" s="1"/>
  <c r="I278" i="5"/>
  <c r="I255"/>
  <c r="I252"/>
  <c r="H303"/>
  <c r="Q303" s="1"/>
  <c r="N303" s="1"/>
  <c r="T303" s="1"/>
  <c r="C259" i="26" s="1"/>
  <c r="G275" i="1" s="1"/>
  <c r="H295" i="5"/>
  <c r="Q295" s="1"/>
  <c r="N295" s="1"/>
  <c r="T295" s="1"/>
  <c r="C251" i="26" s="1"/>
  <c r="G267" i="1" s="1"/>
  <c r="I250" i="5"/>
  <c r="H281"/>
  <c r="Q281" s="1"/>
  <c r="N281" s="1"/>
  <c r="T281" s="1"/>
  <c r="C237" i="26" s="1"/>
  <c r="G253" i="1" s="1"/>
  <c r="H308" i="5"/>
  <c r="Q308" s="1"/>
  <c r="N308" s="1"/>
  <c r="T308" s="1"/>
  <c r="C264" i="26" s="1"/>
  <c r="G280" i="1" s="1"/>
  <c r="I271" i="5"/>
  <c r="I259"/>
  <c r="H307"/>
  <c r="Q307" s="1"/>
  <c r="N307" s="1"/>
  <c r="T307" s="1"/>
  <c r="C263" i="26" s="1"/>
  <c r="G279" i="1" s="1"/>
  <c r="I267" i="5"/>
  <c r="H298"/>
  <c r="Q298" s="1"/>
  <c r="N298" s="1"/>
  <c r="T298" s="1"/>
  <c r="C254" i="26" s="1"/>
  <c r="G270" i="1" s="1"/>
  <c r="H297" i="5"/>
  <c r="Q297" s="1"/>
  <c r="N297" s="1"/>
  <c r="T297" s="1"/>
  <c r="C253" i="26" s="1"/>
  <c r="G269" i="1" s="1"/>
  <c r="I269" i="5"/>
  <c r="I265"/>
  <c r="H284"/>
  <c r="Q284" s="1"/>
  <c r="N284" s="1"/>
  <c r="T284" s="1"/>
  <c r="C240" i="26" s="1"/>
  <c r="G256" i="1" s="1"/>
  <c r="H302" i="5"/>
  <c r="Q302" s="1"/>
  <c r="N302" s="1"/>
  <c r="T302" s="1"/>
  <c r="C258" i="26" s="1"/>
  <c r="G274" i="1" s="1"/>
  <c r="K12" i="4"/>
  <c r="H282" i="5"/>
  <c r="Q282" s="1"/>
  <c r="N282" s="1"/>
  <c r="T282" s="1"/>
  <c r="C238" i="26" s="1"/>
  <c r="G254" i="1" s="1"/>
  <c r="H296" i="5"/>
  <c r="Q296" s="1"/>
  <c r="N296" s="1"/>
  <c r="T296" s="1"/>
  <c r="C252" i="26" s="1"/>
  <c r="G268" i="1" s="1"/>
  <c r="I248" i="5"/>
  <c r="I273"/>
  <c r="I253"/>
  <c r="H306"/>
  <c r="Q306" s="1"/>
  <c r="N306" s="1"/>
  <c r="T306" s="1"/>
  <c r="C262" i="26" s="1"/>
  <c r="G278" i="1" s="1"/>
  <c r="H283" i="5"/>
  <c r="Q283" s="1"/>
  <c r="N283" s="1"/>
  <c r="T283" s="1"/>
  <c r="C239" i="26" s="1"/>
  <c r="G255" i="1" s="1"/>
  <c r="I270" i="5"/>
  <c r="H288"/>
  <c r="Q288" s="1"/>
  <c r="N288" s="1"/>
  <c r="T288" s="1"/>
  <c r="C244" i="26" s="1"/>
  <c r="G260" i="1" s="1"/>
  <c r="H299" i="5"/>
  <c r="Q299" s="1"/>
  <c r="N299" s="1"/>
  <c r="T299" s="1"/>
  <c r="C255" i="26" s="1"/>
  <c r="G271" i="1" s="1"/>
  <c r="H301" i="5"/>
  <c r="Q301" s="1"/>
  <c r="N301" s="1"/>
  <c r="T301" s="1"/>
  <c r="C257" i="26" s="1"/>
  <c r="G273" i="1" s="1"/>
  <c r="I275" i="5"/>
  <c r="H280"/>
  <c r="Q280" s="1"/>
  <c r="N280" s="1"/>
  <c r="T280" s="1"/>
  <c r="C236" i="26" s="1"/>
  <c r="G252" i="1" s="1"/>
  <c r="I264" i="5"/>
  <c r="I260"/>
  <c r="H294"/>
  <c r="Q294" s="1"/>
  <c r="N294" s="1"/>
  <c r="T294" s="1"/>
  <c r="C250" i="26" s="1"/>
  <c r="G266" i="1" s="1"/>
  <c r="I262" i="5"/>
  <c r="I274"/>
  <c r="H304"/>
  <c r="Q304" s="1"/>
  <c r="N304" s="1"/>
  <c r="T304" s="1"/>
  <c r="C260" i="26" s="1"/>
  <c r="G276" i="1" s="1"/>
  <c r="H279" i="5"/>
  <c r="Q279" s="1"/>
  <c r="N279" s="1"/>
  <c r="T279" s="1"/>
  <c r="C235" i="26" s="1"/>
  <c r="G251" i="1" s="1"/>
  <c r="I251" i="5"/>
  <c r="H290"/>
  <c r="Q290" s="1"/>
  <c r="N290" s="1"/>
  <c r="T290" s="1"/>
  <c r="C246" i="26" s="1"/>
  <c r="G262" i="1" s="1"/>
  <c r="I258" i="5"/>
  <c r="H293"/>
  <c r="Q293" s="1"/>
  <c r="N293" s="1"/>
  <c r="T293" s="1"/>
  <c r="C249" i="26" s="1"/>
  <c r="G265" i="1" s="1"/>
  <c r="I263" i="5"/>
  <c r="H300"/>
  <c r="Q300" s="1"/>
  <c r="N300" s="1"/>
  <c r="T300" s="1"/>
  <c r="C256" i="26" s="1"/>
  <c r="G272" i="1" s="1"/>
  <c r="I276" i="5"/>
  <c r="I257"/>
  <c r="H289"/>
  <c r="Q289" s="1"/>
  <c r="N289" s="1"/>
  <c r="T289" s="1"/>
  <c r="C245" i="26" s="1"/>
  <c r="G261" i="1" s="1"/>
  <c r="F251" i="26"/>
  <c r="H251" s="1"/>
  <c r="T295" i="20"/>
  <c r="F243" i="26"/>
  <c r="H243" s="1"/>
  <c r="T287" i="20"/>
  <c r="T285"/>
  <c r="F241" i="26"/>
  <c r="H241" s="1"/>
  <c r="T288" i="20"/>
  <c r="F244" i="26"/>
  <c r="H244" s="1"/>
  <c r="T296" i="20"/>
  <c r="F252" i="26"/>
  <c r="H252" s="1"/>
  <c r="C388" i="48"/>
  <c r="E388"/>
  <c r="X388" s="1"/>
  <c r="D388"/>
  <c r="W388" s="1"/>
  <c r="B389"/>
  <c r="T291" i="22"/>
  <c r="I247" i="26"/>
  <c r="K247" s="1"/>
  <c r="T292" i="22"/>
  <c r="I248" i="26"/>
  <c r="K248" s="1"/>
  <c r="T286" i="22"/>
  <c r="I242" i="26"/>
  <c r="K242" s="1"/>
  <c r="I238"/>
  <c r="K238" s="1"/>
  <c r="T282" i="22"/>
  <c r="I245" i="26"/>
  <c r="K245" s="1"/>
  <c r="T289" i="22"/>
  <c r="T296"/>
  <c r="I252" i="26"/>
  <c r="K252" s="1"/>
  <c r="T279" i="22"/>
  <c r="I235" i="26"/>
  <c r="K235" s="1"/>
  <c r="E382" i="38"/>
  <c r="D382"/>
  <c r="Z382"/>
  <c r="AA382" s="1"/>
  <c r="F382"/>
  <c r="AM382" s="1"/>
  <c r="AN332" i="1"/>
  <c r="T361" i="50"/>
  <c r="AN339" i="1"/>
  <c r="T368" i="50"/>
  <c r="T364"/>
  <c r="AN335" i="1"/>
  <c r="T355" i="50"/>
  <c r="AN326" i="1"/>
  <c r="T367" i="50"/>
  <c r="AN338" i="1"/>
  <c r="T354" i="50"/>
  <c r="AN325" i="1"/>
  <c r="T363" i="50"/>
  <c r="AN334" i="1"/>
  <c r="AO381" i="38"/>
  <c r="AP381" s="1"/>
  <c r="AQ381" s="1"/>
  <c r="AN381"/>
  <c r="F259" i="26"/>
  <c r="H259" s="1"/>
  <c r="T303" i="20"/>
  <c r="T302"/>
  <c r="F258" i="26"/>
  <c r="H258" s="1"/>
  <c r="T298" i="20"/>
  <c r="F254" i="26"/>
  <c r="H254" s="1"/>
  <c r="T282" i="20"/>
  <c r="F238" i="26"/>
  <c r="H238" s="1"/>
  <c r="T286" i="20"/>
  <c r="F242" i="26"/>
  <c r="H242" s="1"/>
  <c r="T290" i="20"/>
  <c r="F246" i="26"/>
  <c r="H246" s="1"/>
  <c r="T294" i="20"/>
  <c r="F250" i="26"/>
  <c r="H250" s="1"/>
  <c r="T299" i="20"/>
  <c r="F255" i="26"/>
  <c r="H255" s="1"/>
  <c r="F253"/>
  <c r="H253" s="1"/>
  <c r="T297" i="20"/>
  <c r="I260" i="26"/>
  <c r="K260" s="1"/>
  <c r="T304" i="22"/>
  <c r="T293"/>
  <c r="I249" i="26"/>
  <c r="K249" s="1"/>
  <c r="T301" i="22"/>
  <c r="I257" i="26"/>
  <c r="K257" s="1"/>
  <c r="T302" i="22"/>
  <c r="I258" i="26"/>
  <c r="K258" s="1"/>
  <c r="I237" i="22"/>
  <c r="H258"/>
  <c r="Q258" s="1"/>
  <c r="N258" s="1"/>
  <c r="I225"/>
  <c r="H253"/>
  <c r="Q253" s="1"/>
  <c r="N253" s="1"/>
  <c r="I247"/>
  <c r="H254"/>
  <c r="Q254" s="1"/>
  <c r="N254" s="1"/>
  <c r="I221"/>
  <c r="I219"/>
  <c r="I244"/>
  <c r="H278"/>
  <c r="Q278" s="1"/>
  <c r="N278" s="1"/>
  <c r="I245"/>
  <c r="H275"/>
  <c r="Q275" s="1"/>
  <c r="N275" s="1"/>
  <c r="I238"/>
  <c r="I231"/>
  <c r="H249"/>
  <c r="Q249" s="1"/>
  <c r="N249" s="1"/>
  <c r="K11" i="21"/>
  <c r="H270" i="22"/>
  <c r="Q270" s="1"/>
  <c r="N270" s="1"/>
  <c r="I235"/>
  <c r="I218"/>
  <c r="I241"/>
  <c r="I223"/>
  <c r="H251"/>
  <c r="Q251" s="1"/>
  <c r="N251" s="1"/>
  <c r="H250"/>
  <c r="Q250" s="1"/>
  <c r="N250" s="1"/>
  <c r="H268"/>
  <c r="Q268" s="1"/>
  <c r="N268" s="1"/>
  <c r="H264"/>
  <c r="Q264" s="1"/>
  <c r="N264" s="1"/>
  <c r="H259"/>
  <c r="Q259" s="1"/>
  <c r="N259" s="1"/>
  <c r="H267"/>
  <c r="Q267" s="1"/>
  <c r="N267" s="1"/>
  <c r="H272"/>
  <c r="Q272" s="1"/>
  <c r="N272" s="1"/>
  <c r="I233"/>
  <c r="H261"/>
  <c r="Q261" s="1"/>
  <c r="N261" s="1"/>
  <c r="I228"/>
  <c r="H277"/>
  <c r="Q277" s="1"/>
  <c r="N277" s="1"/>
  <c r="H274"/>
  <c r="Q274" s="1"/>
  <c r="N274" s="1"/>
  <c r="I236"/>
  <c r="H263"/>
  <c r="Q263" s="1"/>
  <c r="N263" s="1"/>
  <c r="H271"/>
  <c r="Q271" s="1"/>
  <c r="N271" s="1"/>
  <c r="H273"/>
  <c r="Q273" s="1"/>
  <c r="N273" s="1"/>
  <c r="I234"/>
  <c r="H248"/>
  <c r="Q248" s="1"/>
  <c r="N248" s="1"/>
  <c r="H262"/>
  <c r="Q262" s="1"/>
  <c r="N262" s="1"/>
  <c r="I239"/>
  <c r="I224"/>
  <c r="I232"/>
  <c r="I227"/>
  <c r="I243"/>
  <c r="I226"/>
  <c r="H252"/>
  <c r="Q252" s="1"/>
  <c r="N252" s="1"/>
  <c r="H256"/>
  <c r="Q256" s="1"/>
  <c r="N256" s="1"/>
  <c r="I229"/>
  <c r="H255"/>
  <c r="Q255" s="1"/>
  <c r="N255" s="1"/>
  <c r="I222"/>
  <c r="H266"/>
  <c r="Q266" s="1"/>
  <c r="N266" s="1"/>
  <c r="H257"/>
  <c r="Q257" s="1"/>
  <c r="N257" s="1"/>
  <c r="H276"/>
  <c r="Q276" s="1"/>
  <c r="N276" s="1"/>
  <c r="H269"/>
  <c r="Q269" s="1"/>
  <c r="N269" s="1"/>
  <c r="H260"/>
  <c r="Q260" s="1"/>
  <c r="N260" s="1"/>
  <c r="I242"/>
  <c r="H265"/>
  <c r="Q265" s="1"/>
  <c r="N265" s="1"/>
  <c r="I246"/>
  <c r="I220"/>
  <c r="I230"/>
  <c r="I240"/>
  <c r="T284"/>
  <c r="I240" i="26"/>
  <c r="K240" s="1"/>
  <c r="T298" i="22"/>
  <c r="I254" i="26"/>
  <c r="K254" s="1"/>
  <c r="T285" i="22"/>
  <c r="I241" i="26"/>
  <c r="K241" s="1"/>
  <c r="T280" i="22"/>
  <c r="I236" i="26"/>
  <c r="K236" s="1"/>
  <c r="T305" i="22"/>
  <c r="I261" i="26"/>
  <c r="K261" s="1"/>
  <c r="A407" i="53"/>
  <c r="B408" s="1"/>
  <c r="A400" i="1"/>
  <c r="F402" i="52"/>
  <c r="C400" i="1"/>
  <c r="D400" s="1"/>
  <c r="E400"/>
  <c r="B401"/>
  <c r="L400"/>
  <c r="M399" s="1"/>
  <c r="K400"/>
  <c r="N400" s="1"/>
  <c r="B383" i="38"/>
  <c r="A384" i="26"/>
  <c r="B384" s="1"/>
  <c r="AJ399" i="1"/>
  <c r="AL399"/>
  <c r="AM399"/>
  <c r="AC399"/>
  <c r="AI399"/>
  <c r="AK399"/>
  <c r="BC399"/>
  <c r="AH399"/>
  <c r="T356" i="50"/>
  <c r="AN327" i="1"/>
  <c r="T352" i="50"/>
  <c r="AN323" i="1"/>
  <c r="AN316"/>
  <c r="T345" i="50"/>
  <c r="T346"/>
  <c r="AN317" i="1"/>
  <c r="T351" i="50"/>
  <c r="AN322" i="1"/>
  <c r="T343" i="50"/>
  <c r="AN314" i="1"/>
  <c r="T359" i="50"/>
  <c r="AN330" i="1"/>
  <c r="T341" i="50"/>
  <c r="AN312" i="1"/>
  <c r="T350" i="50"/>
  <c r="AN321" i="1"/>
  <c r="T307" i="20"/>
  <c r="F263" i="26"/>
  <c r="H263" s="1"/>
  <c r="T280" i="20"/>
  <c r="F236" i="26"/>
  <c r="H236" s="1"/>
  <c r="T293" i="20"/>
  <c r="F249" i="26"/>
  <c r="H249" s="1"/>
  <c r="T305" i="20"/>
  <c r="F261" i="26"/>
  <c r="H261" s="1"/>
  <c r="F235"/>
  <c r="H235" s="1"/>
  <c r="T279" i="20"/>
  <c r="T291"/>
  <c r="F247" i="26"/>
  <c r="H247" s="1"/>
  <c r="V387" i="48"/>
  <c r="F387"/>
  <c r="Y387" s="1"/>
  <c r="I263" i="26"/>
  <c r="K263" s="1"/>
  <c r="T307" i="22"/>
  <c r="T300"/>
  <c r="I256" i="26"/>
  <c r="K256" s="1"/>
  <c r="I255"/>
  <c r="K255" s="1"/>
  <c r="T299" i="22"/>
  <c r="T303"/>
  <c r="I259" i="26"/>
  <c r="K259" s="1"/>
  <c r="T297" i="22"/>
  <c r="I253" i="26"/>
  <c r="K253" s="1"/>
  <c r="P399" i="1"/>
  <c r="E401" i="52"/>
  <c r="T365" i="50"/>
  <c r="AN336" i="1"/>
  <c r="AN329"/>
  <c r="T358" i="50"/>
  <c r="AN340" i="1"/>
  <c r="T369" i="50"/>
  <c r="T362"/>
  <c r="AN333" i="1"/>
  <c r="AN320"/>
  <c r="T349" i="50"/>
  <c r="T353"/>
  <c r="AN324" i="1"/>
  <c r="AN318"/>
  <c r="T347" i="50"/>
  <c r="T300" i="20"/>
  <c r="F256" i="26"/>
  <c r="H256" s="1"/>
  <c r="T306" i="20"/>
  <c r="F262" i="26"/>
  <c r="H262" s="1"/>
  <c r="F257"/>
  <c r="H257" s="1"/>
  <c r="T301" i="20"/>
  <c r="F239" i="26"/>
  <c r="H239" s="1"/>
  <c r="T283" i="20"/>
  <c r="F240" i="26"/>
  <c r="H240" s="1"/>
  <c r="T284" i="20"/>
  <c r="T304"/>
  <c r="F260" i="26"/>
  <c r="H260" s="1"/>
  <c r="T308" i="20"/>
  <c r="F264" i="26"/>
  <c r="H264" s="1"/>
  <c r="T281" i="20"/>
  <c r="F237" i="26"/>
  <c r="H237" s="1"/>
  <c r="T289" i="20"/>
  <c r="F245" i="26"/>
  <c r="H245" s="1"/>
  <c r="T292" i="20"/>
  <c r="F248" i="26"/>
  <c r="H248" s="1"/>
  <c r="I239" i="20"/>
  <c r="H258"/>
  <c r="Q258" s="1"/>
  <c r="N258" s="1"/>
  <c r="I228"/>
  <c r="H251"/>
  <c r="Q251" s="1"/>
  <c r="N251" s="1"/>
  <c r="I232"/>
  <c r="H260"/>
  <c r="Q260" s="1"/>
  <c r="N260" s="1"/>
  <c r="H263"/>
  <c r="Q263" s="1"/>
  <c r="N263" s="1"/>
  <c r="K11" i="19"/>
  <c r="I218" i="20"/>
  <c r="H264"/>
  <c r="Q264" s="1"/>
  <c r="N264" s="1"/>
  <c r="I238"/>
  <c r="I223"/>
  <c r="I241"/>
  <c r="H262"/>
  <c r="Q262" s="1"/>
  <c r="N262" s="1"/>
  <c r="I229"/>
  <c r="H253"/>
  <c r="Q253" s="1"/>
  <c r="N253" s="1"/>
  <c r="H248"/>
  <c r="Q248" s="1"/>
  <c r="N248" s="1"/>
  <c r="H250"/>
  <c r="Q250" s="1"/>
  <c r="N250" s="1"/>
  <c r="H275"/>
  <c r="Q275" s="1"/>
  <c r="N275" s="1"/>
  <c r="I222"/>
  <c r="I231"/>
  <c r="H261"/>
  <c r="Q261" s="1"/>
  <c r="N261" s="1"/>
  <c r="I244"/>
  <c r="H257"/>
  <c r="Q257" s="1"/>
  <c r="N257" s="1"/>
  <c r="I224"/>
  <c r="H249"/>
  <c r="Q249" s="1"/>
  <c r="N249" s="1"/>
  <c r="I234"/>
  <c r="I242"/>
  <c r="H254"/>
  <c r="Q254" s="1"/>
  <c r="N254" s="1"/>
  <c r="H277"/>
  <c r="Q277" s="1"/>
  <c r="N277" s="1"/>
  <c r="H256"/>
  <c r="Q256" s="1"/>
  <c r="N256" s="1"/>
  <c r="I219"/>
  <c r="H255"/>
  <c r="Q255" s="1"/>
  <c r="N255" s="1"/>
  <c r="I247"/>
  <c r="H278"/>
  <c r="Q278" s="1"/>
  <c r="N278" s="1"/>
  <c r="H272"/>
  <c r="Q272" s="1"/>
  <c r="N272" s="1"/>
  <c r="I230"/>
  <c r="I240"/>
  <c r="H266"/>
  <c r="Q266" s="1"/>
  <c r="N266" s="1"/>
  <c r="I246"/>
  <c r="H273"/>
  <c r="Q273" s="1"/>
  <c r="N273" s="1"/>
  <c r="I226"/>
  <c r="I220"/>
  <c r="I245"/>
  <c r="H259"/>
  <c r="Q259" s="1"/>
  <c r="N259" s="1"/>
  <c r="I221"/>
  <c r="H274"/>
  <c r="Q274" s="1"/>
  <c r="N274" s="1"/>
  <c r="I233"/>
  <c r="I235"/>
  <c r="H269"/>
  <c r="Q269" s="1"/>
  <c r="N269" s="1"/>
  <c r="H271"/>
  <c r="Q271" s="1"/>
  <c r="N271" s="1"/>
  <c r="H252"/>
  <c r="Q252" s="1"/>
  <c r="N252" s="1"/>
  <c r="H268"/>
  <c r="Q268" s="1"/>
  <c r="N268" s="1"/>
  <c r="I243"/>
  <c r="I227"/>
  <c r="H267"/>
  <c r="Q267" s="1"/>
  <c r="N267" s="1"/>
  <c r="I236"/>
  <c r="I237"/>
  <c r="H265"/>
  <c r="Q265" s="1"/>
  <c r="N265" s="1"/>
  <c r="H276"/>
  <c r="Q276" s="1"/>
  <c r="N276" s="1"/>
  <c r="H270"/>
  <c r="Q270" s="1"/>
  <c r="N270" s="1"/>
  <c r="I225"/>
  <c r="BD396" i="1" l="1"/>
  <c r="BE396" s="1"/>
  <c r="T396" s="1"/>
  <c r="U396" s="1"/>
  <c r="BA397"/>
  <c r="D399" i="53"/>
  <c r="O7" i="55" s="1"/>
  <c r="BZ7"/>
  <c r="I399" i="53"/>
  <c r="CU7" i="55" s="1"/>
  <c r="V395" i="1"/>
  <c r="X395"/>
  <c r="AF392"/>
  <c r="AD393"/>
  <c r="G400" i="53"/>
  <c r="BE8" i="55"/>
  <c r="AB394" i="1"/>
  <c r="AE394" s="1"/>
  <c r="Z394"/>
  <c r="AA394"/>
  <c r="E401" i="53" s="1"/>
  <c r="T265" i="20"/>
  <c r="F221" i="26"/>
  <c r="H221" s="1"/>
  <c r="T274" i="20"/>
  <c r="F230" i="26"/>
  <c r="H230" s="1"/>
  <c r="F234"/>
  <c r="H234" s="1"/>
  <c r="T278" i="20"/>
  <c r="T270"/>
  <c r="F226" i="26"/>
  <c r="H226" s="1"/>
  <c r="T268" i="20"/>
  <c r="F224" i="26"/>
  <c r="H224" s="1"/>
  <c r="T259" i="20"/>
  <c r="F215" i="26"/>
  <c r="H215" s="1"/>
  <c r="F581"/>
  <c r="H581" s="1"/>
  <c r="T273" i="20"/>
  <c r="F229" i="26"/>
  <c r="H229" s="1"/>
  <c r="F577"/>
  <c r="H577" s="1"/>
  <c r="T255" i="20"/>
  <c r="F211" i="26"/>
  <c r="H211" s="1"/>
  <c r="T254" i="20"/>
  <c r="F576" i="26"/>
  <c r="H576" s="1"/>
  <c r="F210"/>
  <c r="H210" s="1"/>
  <c r="T248" i="20"/>
  <c r="F570" i="26"/>
  <c r="H570" s="1"/>
  <c r="F204"/>
  <c r="H204" s="1"/>
  <c r="T276" i="20"/>
  <c r="F232" i="26"/>
  <c r="H232" s="1"/>
  <c r="F223"/>
  <c r="H223" s="1"/>
  <c r="T267" i="20"/>
  <c r="F208" i="26"/>
  <c r="H208" s="1"/>
  <c r="F574"/>
  <c r="H574" s="1"/>
  <c r="T252" i="20"/>
  <c r="F228" i="26"/>
  <c r="H228" s="1"/>
  <c r="T272" i="20"/>
  <c r="T257"/>
  <c r="F579" i="26"/>
  <c r="H579" s="1"/>
  <c r="F213"/>
  <c r="H213" s="1"/>
  <c r="F575"/>
  <c r="H575" s="1"/>
  <c r="T253" i="20"/>
  <c r="F209" i="26"/>
  <c r="H209" s="1"/>
  <c r="I210" i="20"/>
  <c r="H228"/>
  <c r="Q228" s="1"/>
  <c r="N228" s="1"/>
  <c r="H220"/>
  <c r="Q220" s="1"/>
  <c r="N220" s="1"/>
  <c r="I214"/>
  <c r="H232"/>
  <c r="Q232" s="1"/>
  <c r="N232" s="1"/>
  <c r="H237"/>
  <c r="Q237" s="1"/>
  <c r="N237" s="1"/>
  <c r="H239"/>
  <c r="Q239" s="1"/>
  <c r="N239" s="1"/>
  <c r="I208"/>
  <c r="I206"/>
  <c r="I205"/>
  <c r="H241"/>
  <c r="Q241" s="1"/>
  <c r="N241" s="1"/>
  <c r="I187"/>
  <c r="H230"/>
  <c r="Q230" s="1"/>
  <c r="N230" s="1"/>
  <c r="I197"/>
  <c r="H233"/>
  <c r="Q233" s="1"/>
  <c r="N233" s="1"/>
  <c r="H234"/>
  <c r="Q234" s="1"/>
  <c r="N234" s="1"/>
  <c r="I203"/>
  <c r="I190"/>
  <c r="K10" i="19"/>
  <c r="H240" i="20"/>
  <c r="Q240" s="1"/>
  <c r="N240" s="1"/>
  <c r="I188"/>
  <c r="I204"/>
  <c r="H218"/>
  <c r="Q218" s="1"/>
  <c r="N218" s="1"/>
  <c r="I191"/>
  <c r="H229"/>
  <c r="Q229" s="1"/>
  <c r="N229" s="1"/>
  <c r="H231"/>
  <c r="Q231" s="1"/>
  <c r="N231" s="1"/>
  <c r="I211"/>
  <c r="H219"/>
  <c r="Q219" s="1"/>
  <c r="N219" s="1"/>
  <c r="I212"/>
  <c r="I196"/>
  <c r="I199"/>
  <c r="H226"/>
  <c r="Q226" s="1"/>
  <c r="N226" s="1"/>
  <c r="I201"/>
  <c r="H227"/>
  <c r="Q227" s="1"/>
  <c r="N227" s="1"/>
  <c r="I200"/>
  <c r="H221"/>
  <c r="Q221" s="1"/>
  <c r="N221" s="1"/>
  <c r="I189"/>
  <c r="I192"/>
  <c r="I194"/>
  <c r="H244"/>
  <c r="Q244" s="1"/>
  <c r="N244" s="1"/>
  <c r="I198"/>
  <c r="H222"/>
  <c r="Q222" s="1"/>
  <c r="N222" s="1"/>
  <c r="I216"/>
  <c r="H224"/>
  <c r="Q224" s="1"/>
  <c r="N224" s="1"/>
  <c r="H223"/>
  <c r="Q223" s="1"/>
  <c r="N223" s="1"/>
  <c r="I195"/>
  <c r="H225"/>
  <c r="Q225" s="1"/>
  <c r="N225" s="1"/>
  <c r="I207"/>
  <c r="H245"/>
  <c r="Q245" s="1"/>
  <c r="N245" s="1"/>
  <c r="H247"/>
  <c r="Q247" s="1"/>
  <c r="N247" s="1"/>
  <c r="H236"/>
  <c r="Q236" s="1"/>
  <c r="N236" s="1"/>
  <c r="H246"/>
  <c r="Q246" s="1"/>
  <c r="N246" s="1"/>
  <c r="I213"/>
  <c r="H243"/>
  <c r="Q243" s="1"/>
  <c r="N243" s="1"/>
  <c r="I215"/>
  <c r="H242"/>
  <c r="Q242" s="1"/>
  <c r="N242" s="1"/>
  <c r="I217"/>
  <c r="I193"/>
  <c r="H238"/>
  <c r="Q238" s="1"/>
  <c r="N238" s="1"/>
  <c r="I209"/>
  <c r="H235"/>
  <c r="Q235" s="1"/>
  <c r="N235" s="1"/>
  <c r="I202"/>
  <c r="F207" i="26"/>
  <c r="H207" s="1"/>
  <c r="T251" i="20"/>
  <c r="F573" i="26"/>
  <c r="H573" s="1"/>
  <c r="T269" i="22"/>
  <c r="I225" i="26"/>
  <c r="K225" s="1"/>
  <c r="I208"/>
  <c r="K208" s="1"/>
  <c r="I574"/>
  <c r="K574" s="1"/>
  <c r="T252" i="22"/>
  <c r="T248"/>
  <c r="I204" i="26"/>
  <c r="K204" s="1"/>
  <c r="I570"/>
  <c r="K570" s="1"/>
  <c r="I219"/>
  <c r="K219" s="1"/>
  <c r="T263" i="22"/>
  <c r="T267"/>
  <c r="I223" i="26"/>
  <c r="K223" s="1"/>
  <c r="T250" i="22"/>
  <c r="I206" i="26"/>
  <c r="K206" s="1"/>
  <c r="I572"/>
  <c r="K572" s="1"/>
  <c r="T249" i="22"/>
  <c r="I571" i="26"/>
  <c r="K571" s="1"/>
  <c r="I205"/>
  <c r="K205" s="1"/>
  <c r="AR381" i="38"/>
  <c r="E389" i="48"/>
  <c r="X389" s="1"/>
  <c r="D389"/>
  <c r="W389" s="1"/>
  <c r="C389"/>
  <c r="B390"/>
  <c r="BK380" i="38"/>
  <c r="AS380"/>
  <c r="AU380" s="1"/>
  <c r="AV380" s="1"/>
  <c r="BA380" s="1"/>
  <c r="BB380" s="1"/>
  <c r="BH380" s="1"/>
  <c r="BJ380" s="1"/>
  <c r="P380" s="1"/>
  <c r="O380" s="1"/>
  <c r="AN310" i="1"/>
  <c r="T339" i="50"/>
  <c r="T311"/>
  <c r="AN282" i="1"/>
  <c r="T337" i="50"/>
  <c r="AN308" i="1"/>
  <c r="AN286"/>
  <c r="T315" i="50"/>
  <c r="AN300" i="1"/>
  <c r="T329" i="50"/>
  <c r="T328"/>
  <c r="AN299" i="1"/>
  <c r="T318" i="50"/>
  <c r="AN289" i="1"/>
  <c r="W399"/>
  <c r="R399"/>
  <c r="S399" s="1"/>
  <c r="C401"/>
  <c r="D401" s="1"/>
  <c r="F403" i="52"/>
  <c r="A401" i="1"/>
  <c r="A385" i="26"/>
  <c r="B385" s="1"/>
  <c r="E401" i="1"/>
  <c r="B384" i="38"/>
  <c r="K401" i="1"/>
  <c r="N401" s="1"/>
  <c r="A408" i="53"/>
  <c r="B409" s="1"/>
  <c r="B402" i="1"/>
  <c r="L401"/>
  <c r="M400" s="1"/>
  <c r="AI400"/>
  <c r="AL400"/>
  <c r="AH400"/>
  <c r="BC400"/>
  <c r="AJ400"/>
  <c r="AM400"/>
  <c r="AK400"/>
  <c r="AC400"/>
  <c r="T265" i="22"/>
  <c r="I221" i="26"/>
  <c r="K221" s="1"/>
  <c r="I232"/>
  <c r="K232" s="1"/>
  <c r="T276" i="22"/>
  <c r="I211" i="26"/>
  <c r="K211" s="1"/>
  <c r="T255" i="22"/>
  <c r="I577" i="26"/>
  <c r="K577" s="1"/>
  <c r="T261" i="22"/>
  <c r="I583" i="26"/>
  <c r="K583" s="1"/>
  <c r="I217"/>
  <c r="K217" s="1"/>
  <c r="T259" i="22"/>
  <c r="I581" i="26"/>
  <c r="K581" s="1"/>
  <c r="I215"/>
  <c r="K215" s="1"/>
  <c r="T251" i="22"/>
  <c r="I573" i="26"/>
  <c r="K573" s="1"/>
  <c r="I207"/>
  <c r="K207" s="1"/>
  <c r="T278" i="22"/>
  <c r="I234" i="26"/>
  <c r="K234" s="1"/>
  <c r="T254" i="22"/>
  <c r="I210" i="26"/>
  <c r="K210" s="1"/>
  <c r="I576"/>
  <c r="K576" s="1"/>
  <c r="T258" i="22"/>
  <c r="I580" i="26"/>
  <c r="K580" s="1"/>
  <c r="I214"/>
  <c r="K214" s="1"/>
  <c r="AO382" i="38"/>
  <c r="AP382" s="1"/>
  <c r="AQ382" s="1"/>
  <c r="AN382"/>
  <c r="AN285" i="1"/>
  <c r="T314" i="50"/>
  <c r="AN301" i="1"/>
  <c r="T330" i="50"/>
  <c r="T309"/>
  <c r="AN280" i="1"/>
  <c r="T333" i="50"/>
  <c r="AN304" i="1"/>
  <c r="AN305"/>
  <c r="T334" i="50"/>
  <c r="AN287" i="1"/>
  <c r="T316" i="50"/>
  <c r="AN290" i="1"/>
  <c r="T319" i="50"/>
  <c r="T331"/>
  <c r="AN302" i="1"/>
  <c r="T271" i="20"/>
  <c r="F227" i="26"/>
  <c r="H227" s="1"/>
  <c r="F222"/>
  <c r="H222" s="1"/>
  <c r="T266" i="20"/>
  <c r="F578" i="26"/>
  <c r="H578" s="1"/>
  <c r="T256" i="20"/>
  <c r="F212" i="26"/>
  <c r="H212" s="1"/>
  <c r="T275" i="20"/>
  <c r="F231" i="26"/>
  <c r="H231" s="1"/>
  <c r="F219"/>
  <c r="H219" s="1"/>
  <c r="T263" i="20"/>
  <c r="F225" i="26"/>
  <c r="H225" s="1"/>
  <c r="T269" i="20"/>
  <c r="T277"/>
  <c r="F233" i="26"/>
  <c r="H233" s="1"/>
  <c r="F571"/>
  <c r="H571" s="1"/>
  <c r="T249" i="20"/>
  <c r="F205" i="26"/>
  <c r="H205" s="1"/>
  <c r="F217"/>
  <c r="H217" s="1"/>
  <c r="T261" i="20"/>
  <c r="F583" i="26"/>
  <c r="H583" s="1"/>
  <c r="T250" i="20"/>
  <c r="F206" i="26"/>
  <c r="H206" s="1"/>
  <c r="F572"/>
  <c r="H572" s="1"/>
  <c r="F218"/>
  <c r="H218" s="1"/>
  <c r="T262" i="20"/>
  <c r="T264"/>
  <c r="F220" i="26"/>
  <c r="H220" s="1"/>
  <c r="T260" i="20"/>
  <c r="F216" i="26"/>
  <c r="H216" s="1"/>
  <c r="F582"/>
  <c r="H582" s="1"/>
  <c r="F214"/>
  <c r="H214" s="1"/>
  <c r="T258" i="20"/>
  <c r="F580" i="26"/>
  <c r="H580" s="1"/>
  <c r="D383" i="38"/>
  <c r="E383"/>
  <c r="F383"/>
  <c r="AM383" s="1"/>
  <c r="Z383"/>
  <c r="AA383" s="1"/>
  <c r="E402" i="52"/>
  <c r="T257" i="22"/>
  <c r="I579" i="26"/>
  <c r="K579" s="1"/>
  <c r="I213"/>
  <c r="K213" s="1"/>
  <c r="I229"/>
  <c r="K229" s="1"/>
  <c r="T273" i="22"/>
  <c r="T274"/>
  <c r="I230" i="26"/>
  <c r="K230" s="1"/>
  <c r="I220"/>
  <c r="K220" s="1"/>
  <c r="T264" i="22"/>
  <c r="I226" i="26"/>
  <c r="K226" s="1"/>
  <c r="T270" i="22"/>
  <c r="T336" i="50"/>
  <c r="AN307" i="1"/>
  <c r="T310" i="50"/>
  <c r="AN281" i="1"/>
  <c r="H304" i="50"/>
  <c r="Q304" s="1"/>
  <c r="N304" s="1"/>
  <c r="I270"/>
  <c r="I265"/>
  <c r="H287"/>
  <c r="Q287" s="1"/>
  <c r="N287" s="1"/>
  <c r="I259"/>
  <c r="I260"/>
  <c r="I252"/>
  <c r="H296"/>
  <c r="Q296" s="1"/>
  <c r="N296" s="1"/>
  <c r="I258"/>
  <c r="I269"/>
  <c r="I254"/>
  <c r="I275"/>
  <c r="I266"/>
  <c r="H284"/>
  <c r="Q284" s="1"/>
  <c r="N284" s="1"/>
  <c r="H293"/>
  <c r="Q293" s="1"/>
  <c r="N293" s="1"/>
  <c r="H286"/>
  <c r="Q286" s="1"/>
  <c r="N286" s="1"/>
  <c r="H285"/>
  <c r="Q285" s="1"/>
  <c r="N285" s="1"/>
  <c r="H291"/>
  <c r="Q291" s="1"/>
  <c r="N291" s="1"/>
  <c r="H279"/>
  <c r="Q279" s="1"/>
  <c r="N279" s="1"/>
  <c r="I256"/>
  <c r="H289"/>
  <c r="Q289" s="1"/>
  <c r="N289" s="1"/>
  <c r="I253"/>
  <c r="H308"/>
  <c r="Q308" s="1"/>
  <c r="N308" s="1"/>
  <c r="I251"/>
  <c r="I277"/>
  <c r="H292"/>
  <c r="Q292" s="1"/>
  <c r="N292" s="1"/>
  <c r="H281"/>
  <c r="Q281" s="1"/>
  <c r="N281" s="1"/>
  <c r="H302"/>
  <c r="Q302" s="1"/>
  <c r="N302" s="1"/>
  <c r="H305"/>
  <c r="Q305" s="1"/>
  <c r="N305" s="1"/>
  <c r="H299"/>
  <c r="Q299" s="1"/>
  <c r="N299" s="1"/>
  <c r="H288"/>
  <c r="Q288" s="1"/>
  <c r="N288" s="1"/>
  <c r="I274"/>
  <c r="I264"/>
  <c r="H297"/>
  <c r="Q297" s="1"/>
  <c r="N297" s="1"/>
  <c r="H294"/>
  <c r="Q294" s="1"/>
  <c r="N294" s="1"/>
  <c r="I272"/>
  <c r="I250"/>
  <c r="I255"/>
  <c r="I271"/>
  <c r="H300"/>
  <c r="Q300" s="1"/>
  <c r="N300" s="1"/>
  <c r="I268"/>
  <c r="H306"/>
  <c r="Q306" s="1"/>
  <c r="N306" s="1"/>
  <c r="I273"/>
  <c r="H295"/>
  <c r="Q295" s="1"/>
  <c r="N295" s="1"/>
  <c r="H280"/>
  <c r="Q280" s="1"/>
  <c r="N280" s="1"/>
  <c r="I267"/>
  <c r="H298"/>
  <c r="Q298" s="1"/>
  <c r="N298" s="1"/>
  <c r="H283"/>
  <c r="Q283" s="1"/>
  <c r="N283" s="1"/>
  <c r="I276"/>
  <c r="I278"/>
  <c r="H301"/>
  <c r="Q301" s="1"/>
  <c r="N301" s="1"/>
  <c r="H303"/>
  <c r="Q303" s="1"/>
  <c r="N303" s="1"/>
  <c r="I249"/>
  <c r="I263"/>
  <c r="K12" i="49"/>
  <c r="I261" i="50"/>
  <c r="H290"/>
  <c r="Q290" s="1"/>
  <c r="N290" s="1"/>
  <c r="I257"/>
  <c r="I262"/>
  <c r="H282"/>
  <c r="Q282" s="1"/>
  <c r="N282" s="1"/>
  <c r="I248"/>
  <c r="H307"/>
  <c r="Q307" s="1"/>
  <c r="N307" s="1"/>
  <c r="T317"/>
  <c r="AN288" i="1"/>
  <c r="AN283"/>
  <c r="T312" i="50"/>
  <c r="T320"/>
  <c r="AN291" i="1"/>
  <c r="T321" i="50"/>
  <c r="AN292" i="1"/>
  <c r="T335" i="50"/>
  <c r="AN306" i="1"/>
  <c r="P400"/>
  <c r="T260" i="22"/>
  <c r="I216" i="26"/>
  <c r="K216" s="1"/>
  <c r="I582"/>
  <c r="K582" s="1"/>
  <c r="T266" i="22"/>
  <c r="I222" i="26"/>
  <c r="K222" s="1"/>
  <c r="T256" i="22"/>
  <c r="I578" i="26"/>
  <c r="K578" s="1"/>
  <c r="I212"/>
  <c r="K212" s="1"/>
  <c r="T262" i="22"/>
  <c r="I218" i="26"/>
  <c r="K218" s="1"/>
  <c r="T271" i="22"/>
  <c r="I227" i="26"/>
  <c r="K227" s="1"/>
  <c r="T277" i="22"/>
  <c r="I233" i="26"/>
  <c r="K233" s="1"/>
  <c r="I228"/>
  <c r="K228" s="1"/>
  <c r="T272" i="22"/>
  <c r="I224" i="26"/>
  <c r="K224" s="1"/>
  <c r="T268" i="22"/>
  <c r="H218"/>
  <c r="Q218" s="1"/>
  <c r="N218" s="1"/>
  <c r="I193"/>
  <c r="H221"/>
  <c r="Q221" s="1"/>
  <c r="N221" s="1"/>
  <c r="H246"/>
  <c r="Q246" s="1"/>
  <c r="N246" s="1"/>
  <c r="H222"/>
  <c r="Q222" s="1"/>
  <c r="N222" s="1"/>
  <c r="I189"/>
  <c r="H223"/>
  <c r="Q223" s="1"/>
  <c r="N223" s="1"/>
  <c r="I194"/>
  <c r="I212"/>
  <c r="I192"/>
  <c r="H225"/>
  <c r="Q225" s="1"/>
  <c r="N225" s="1"/>
  <c r="H234"/>
  <c r="Q234" s="1"/>
  <c r="N234" s="1"/>
  <c r="I187"/>
  <c r="H232"/>
  <c r="Q232" s="1"/>
  <c r="N232" s="1"/>
  <c r="H247"/>
  <c r="Q247" s="1"/>
  <c r="N247" s="1"/>
  <c r="I201"/>
  <c r="H220"/>
  <c r="Q220" s="1"/>
  <c r="N220" s="1"/>
  <c r="H243"/>
  <c r="Q243" s="1"/>
  <c r="N243" s="1"/>
  <c r="H227"/>
  <c r="Q227" s="1"/>
  <c r="N227" s="1"/>
  <c r="I191"/>
  <c r="I209"/>
  <c r="H237"/>
  <c r="Q237" s="1"/>
  <c r="N237" s="1"/>
  <c r="I204"/>
  <c r="I203"/>
  <c r="I205"/>
  <c r="H239"/>
  <c r="Q239" s="1"/>
  <c r="N239" s="1"/>
  <c r="I206"/>
  <c r="H241"/>
  <c r="Q241" s="1"/>
  <c r="N241" s="1"/>
  <c r="H231"/>
  <c r="Q231" s="1"/>
  <c r="N231" s="1"/>
  <c r="I198"/>
  <c r="I217"/>
  <c r="I199"/>
  <c r="I202"/>
  <c r="H244"/>
  <c r="Q244" s="1"/>
  <c r="N244" s="1"/>
  <c r="K10" i="21"/>
  <c r="H240" i="22"/>
  <c r="Q240" s="1"/>
  <c r="N240" s="1"/>
  <c r="H224"/>
  <c r="Q224" s="1"/>
  <c r="N224" s="1"/>
  <c r="H226"/>
  <c r="Q226" s="1"/>
  <c r="N226" s="1"/>
  <c r="I197"/>
  <c r="H229"/>
  <c r="Q229" s="1"/>
  <c r="N229" s="1"/>
  <c r="I196"/>
  <c r="H230"/>
  <c r="Q230" s="1"/>
  <c r="N230" s="1"/>
  <c r="H236"/>
  <c r="Q236" s="1"/>
  <c r="N236" s="1"/>
  <c r="H233"/>
  <c r="Q233" s="1"/>
  <c r="N233" s="1"/>
  <c r="H235"/>
  <c r="Q235" s="1"/>
  <c r="N235" s="1"/>
  <c r="I190"/>
  <c r="I216"/>
  <c r="H228"/>
  <c r="Q228" s="1"/>
  <c r="N228" s="1"/>
  <c r="H242"/>
  <c r="Q242" s="1"/>
  <c r="N242" s="1"/>
  <c r="I195"/>
  <c r="H245"/>
  <c r="Q245" s="1"/>
  <c r="N245" s="1"/>
  <c r="I213"/>
  <c r="I214"/>
  <c r="H219"/>
  <c r="Q219" s="1"/>
  <c r="N219" s="1"/>
  <c r="I211"/>
  <c r="I207"/>
  <c r="I215"/>
  <c r="I188"/>
  <c r="I200"/>
  <c r="I208"/>
  <c r="I210"/>
  <c r="H238"/>
  <c r="Q238" s="1"/>
  <c r="N238" s="1"/>
  <c r="T275"/>
  <c r="I231" i="26"/>
  <c r="K231" s="1"/>
  <c r="I575"/>
  <c r="K575" s="1"/>
  <c r="T253" i="22"/>
  <c r="I209" i="26"/>
  <c r="K209" s="1"/>
  <c r="F388" i="48"/>
  <c r="Y388" s="1"/>
  <c r="V388"/>
  <c r="I223" i="5"/>
  <c r="H274"/>
  <c r="Q274" s="1"/>
  <c r="N274" s="1"/>
  <c r="T274" s="1"/>
  <c r="C230" i="26" s="1"/>
  <c r="G246" i="1" s="1"/>
  <c r="I246" i="5"/>
  <c r="H251"/>
  <c r="Q251" s="1"/>
  <c r="N251" s="1"/>
  <c r="H265"/>
  <c r="Q265" s="1"/>
  <c r="N265" s="1"/>
  <c r="T265" s="1"/>
  <c r="C221" i="26" s="1"/>
  <c r="G237" i="1" s="1"/>
  <c r="I247" i="5"/>
  <c r="H267"/>
  <c r="Q267" s="1"/>
  <c r="N267" s="1"/>
  <c r="T267" s="1"/>
  <c r="C223" i="26" s="1"/>
  <c r="G239" i="1" s="1"/>
  <c r="H253" i="5"/>
  <c r="Q253" s="1"/>
  <c r="N253" s="1"/>
  <c r="I242"/>
  <c r="I225"/>
  <c r="I219"/>
  <c r="H273"/>
  <c r="Q273" s="1"/>
  <c r="N273" s="1"/>
  <c r="T273" s="1"/>
  <c r="C229" i="26" s="1"/>
  <c r="G245" i="1" s="1"/>
  <c r="I227" i="5"/>
  <c r="H275"/>
  <c r="Q275" s="1"/>
  <c r="N275" s="1"/>
  <c r="T275" s="1"/>
  <c r="C231" i="26" s="1"/>
  <c r="G247" i="1" s="1"/>
  <c r="H258" i="5"/>
  <c r="Q258" s="1"/>
  <c r="N258" s="1"/>
  <c r="H261"/>
  <c r="Q261" s="1"/>
  <c r="N261" s="1"/>
  <c r="I238"/>
  <c r="I239"/>
  <c r="H250"/>
  <c r="Q250" s="1"/>
  <c r="N250" s="1"/>
  <c r="I229"/>
  <c r="I222"/>
  <c r="H268"/>
  <c r="Q268" s="1"/>
  <c r="N268" s="1"/>
  <c r="T268" s="1"/>
  <c r="C224" i="26" s="1"/>
  <c r="G240" i="1" s="1"/>
  <c r="H270" i="5"/>
  <c r="Q270" s="1"/>
  <c r="N270" s="1"/>
  <c r="T270" s="1"/>
  <c r="C226" i="26" s="1"/>
  <c r="G242" i="1" s="1"/>
  <c r="I243" i="5"/>
  <c r="H260"/>
  <c r="Q260" s="1"/>
  <c r="N260" s="1"/>
  <c r="H256"/>
  <c r="Q256" s="1"/>
  <c r="N256" s="1"/>
  <c r="H278"/>
  <c r="Q278" s="1"/>
  <c r="N278" s="1"/>
  <c r="T278" s="1"/>
  <c r="C234" i="26" s="1"/>
  <c r="G250" i="1" s="1"/>
  <c r="H257" i="5"/>
  <c r="Q257" s="1"/>
  <c r="N257" s="1"/>
  <c r="H262"/>
  <c r="Q262" s="1"/>
  <c r="N262" s="1"/>
  <c r="I231"/>
  <c r="H271"/>
  <c r="Q271" s="1"/>
  <c r="N271" s="1"/>
  <c r="T271" s="1"/>
  <c r="C227" i="26" s="1"/>
  <c r="G243" i="1" s="1"/>
  <c r="I221" i="5"/>
  <c r="I233"/>
  <c r="I235"/>
  <c r="I237"/>
  <c r="K11" i="4"/>
  <c r="I234" i="5"/>
  <c r="I244"/>
  <c r="H277"/>
  <c r="Q277" s="1"/>
  <c r="N277" s="1"/>
  <c r="T277" s="1"/>
  <c r="C233" i="26" s="1"/>
  <c r="G249" i="1" s="1"/>
  <c r="I236" i="5"/>
  <c r="H259"/>
  <c r="Q259" s="1"/>
  <c r="N259" s="1"/>
  <c r="H272"/>
  <c r="Q272" s="1"/>
  <c r="N272" s="1"/>
  <c r="T272" s="1"/>
  <c r="C228" i="26" s="1"/>
  <c r="G244" i="1" s="1"/>
  <c r="H254" i="5"/>
  <c r="Q254" s="1"/>
  <c r="N254" s="1"/>
  <c r="I218"/>
  <c r="I230"/>
  <c r="H249"/>
  <c r="Q249" s="1"/>
  <c r="N249" s="1"/>
  <c r="H255"/>
  <c r="Q255" s="1"/>
  <c r="N255" s="1"/>
  <c r="I240"/>
  <c r="H263"/>
  <c r="Q263" s="1"/>
  <c r="N263" s="1"/>
  <c r="T263" s="1"/>
  <c r="C219" i="26" s="1"/>
  <c r="G235" i="1" s="1"/>
  <c r="H266" i="5"/>
  <c r="Q266" s="1"/>
  <c r="N266" s="1"/>
  <c r="T266" s="1"/>
  <c r="C222" i="26" s="1"/>
  <c r="G238" i="1" s="1"/>
  <c r="I232" i="5"/>
  <c r="H269"/>
  <c r="Q269" s="1"/>
  <c r="N269" s="1"/>
  <c r="T269" s="1"/>
  <c r="C225" i="26" s="1"/>
  <c r="G241" i="1" s="1"/>
  <c r="I241" i="5"/>
  <c r="H248"/>
  <c r="Q248" s="1"/>
  <c r="N248" s="1"/>
  <c r="H264"/>
  <c r="Q264" s="1"/>
  <c r="N264" s="1"/>
  <c r="T264" s="1"/>
  <c r="C220" i="26" s="1"/>
  <c r="G236" i="1" s="1"/>
  <c r="I224" i="5"/>
  <c r="I220"/>
  <c r="H252"/>
  <c r="Q252" s="1"/>
  <c r="N252" s="1"/>
  <c r="I228"/>
  <c r="H276"/>
  <c r="Q276" s="1"/>
  <c r="N276" s="1"/>
  <c r="T276" s="1"/>
  <c r="C232" i="26" s="1"/>
  <c r="G248" i="1" s="1"/>
  <c r="I226" i="5"/>
  <c r="I245"/>
  <c r="T322" i="50"/>
  <c r="AN293" i="1"/>
  <c r="T323" i="50"/>
  <c r="AN294" i="1"/>
  <c r="T325" i="50"/>
  <c r="AN296" i="1"/>
  <c r="T338" i="50"/>
  <c r="AN309" i="1"/>
  <c r="T313" i="50"/>
  <c r="AN284" i="1"/>
  <c r="T327" i="50"/>
  <c r="AN298" i="1"/>
  <c r="T324" i="50"/>
  <c r="AN295" i="1"/>
  <c r="T332" i="50"/>
  <c r="AN303" i="1"/>
  <c r="AN297"/>
  <c r="T326" i="50"/>
  <c r="G401" i="53" l="1"/>
  <c r="BE9" i="55"/>
  <c r="AB395" i="1"/>
  <c r="AE395" s="1"/>
  <c r="AA395"/>
  <c r="E402" i="53" s="1"/>
  <c r="Z395" i="1"/>
  <c r="I400" i="53"/>
  <c r="CU8" i="55" s="1"/>
  <c r="BZ8"/>
  <c r="D400" i="53"/>
  <c r="O8" i="55" s="1"/>
  <c r="BD397" i="1"/>
  <c r="BE397" s="1"/>
  <c r="T397" s="1"/>
  <c r="U397" s="1"/>
  <c r="BA398"/>
  <c r="AF393"/>
  <c r="AD394"/>
  <c r="V396"/>
  <c r="X396"/>
  <c r="H233" i="5"/>
  <c r="Q233" s="1"/>
  <c r="N233" s="1"/>
  <c r="I196"/>
  <c r="H244"/>
  <c r="Q244" s="1"/>
  <c r="N244" s="1"/>
  <c r="I198"/>
  <c r="H234"/>
  <c r="Q234" s="1"/>
  <c r="N234" s="1"/>
  <c r="H232"/>
  <c r="Q232" s="1"/>
  <c r="N232" s="1"/>
  <c r="I191"/>
  <c r="H222"/>
  <c r="Q222" s="1"/>
  <c r="N222" s="1"/>
  <c r="H229"/>
  <c r="Q229" s="1"/>
  <c r="N229" s="1"/>
  <c r="I192"/>
  <c r="H240"/>
  <c r="Q240" s="1"/>
  <c r="N240" s="1"/>
  <c r="I202"/>
  <c r="H230"/>
  <c r="Q230" s="1"/>
  <c r="N230" s="1"/>
  <c r="H224"/>
  <c r="Q224" s="1"/>
  <c r="N224" s="1"/>
  <c r="I215"/>
  <c r="I197"/>
  <c r="H237"/>
  <c r="Q237" s="1"/>
  <c r="N237" s="1"/>
  <c r="H227"/>
  <c r="Q227" s="1"/>
  <c r="N227" s="1"/>
  <c r="I188"/>
  <c r="I216"/>
  <c r="I210"/>
  <c r="I203"/>
  <c r="I190"/>
  <c r="H247"/>
  <c r="Q247" s="1"/>
  <c r="N247" s="1"/>
  <c r="H228"/>
  <c r="Q228" s="1"/>
  <c r="N228" s="1"/>
  <c r="H241"/>
  <c r="Q241" s="1"/>
  <c r="N241" s="1"/>
  <c r="I195"/>
  <c r="H236"/>
  <c r="Q236" s="1"/>
  <c r="N236" s="1"/>
  <c r="H239"/>
  <c r="Q239" s="1"/>
  <c r="N239" s="1"/>
  <c r="I217"/>
  <c r="I200"/>
  <c r="H223"/>
  <c r="Q223" s="1"/>
  <c r="N223" s="1"/>
  <c r="H246"/>
  <c r="Q246" s="1"/>
  <c r="N246" s="1"/>
  <c r="I201"/>
  <c r="H225"/>
  <c r="Q225" s="1"/>
  <c r="N225" s="1"/>
  <c r="H235"/>
  <c r="Q235" s="1"/>
  <c r="N235" s="1"/>
  <c r="I193"/>
  <c r="H231"/>
  <c r="Q231" s="1"/>
  <c r="N231" s="1"/>
  <c r="H242"/>
  <c r="Q242" s="1"/>
  <c r="N242" s="1"/>
  <c r="H219"/>
  <c r="Q219" s="1"/>
  <c r="N219" s="1"/>
  <c r="I212"/>
  <c r="I187"/>
  <c r="I211"/>
  <c r="I207"/>
  <c r="H218"/>
  <c r="Q218" s="1"/>
  <c r="N218" s="1"/>
  <c r="H243"/>
  <c r="Q243" s="1"/>
  <c r="N243" s="1"/>
  <c r="I199"/>
  <c r="I205"/>
  <c r="K10" i="4"/>
  <c r="I194" i="5"/>
  <c r="I208"/>
  <c r="H238"/>
  <c r="Q238" s="1"/>
  <c r="N238" s="1"/>
  <c r="H226"/>
  <c r="Q226" s="1"/>
  <c r="N226" s="1"/>
  <c r="I209"/>
  <c r="I189"/>
  <c r="I214"/>
  <c r="I213"/>
  <c r="H221"/>
  <c r="Q221" s="1"/>
  <c r="N221" s="1"/>
  <c r="H245"/>
  <c r="Q245" s="1"/>
  <c r="N245" s="1"/>
  <c r="H220"/>
  <c r="Q220" s="1"/>
  <c r="N220" s="1"/>
  <c r="I204"/>
  <c r="I206"/>
  <c r="T257"/>
  <c r="C213" i="26" s="1"/>
  <c r="G229" i="1" s="1"/>
  <c r="T622" i="5"/>
  <c r="C578" i="26" s="1"/>
  <c r="G594" i="1" s="1"/>
  <c r="T261" i="5"/>
  <c r="C217" i="26" s="1"/>
  <c r="G233" i="1" s="1"/>
  <c r="T626" i="5"/>
  <c r="C582" i="26" s="1"/>
  <c r="G598" i="1" s="1"/>
  <c r="T618" i="5"/>
  <c r="C574" i="26" s="1"/>
  <c r="G590" i="1" s="1"/>
  <c r="T253" i="5"/>
  <c r="C209" i="26" s="1"/>
  <c r="G225" i="1" s="1"/>
  <c r="T616" i="5"/>
  <c r="C572" i="26" s="1"/>
  <c r="G588" i="1" s="1"/>
  <c r="T251" i="5"/>
  <c r="C207" i="26" s="1"/>
  <c r="G223" i="1" s="1"/>
  <c r="T245" i="22"/>
  <c r="I201" i="26"/>
  <c r="K201" s="1"/>
  <c r="I567"/>
  <c r="K567" s="1"/>
  <c r="I558"/>
  <c r="K558" s="1"/>
  <c r="T236" i="22"/>
  <c r="I192" i="26"/>
  <c r="K192" s="1"/>
  <c r="I166" i="22"/>
  <c r="H187"/>
  <c r="Q187" s="1"/>
  <c r="N187" s="1"/>
  <c r="I176"/>
  <c r="I167"/>
  <c r="I178"/>
  <c r="I175"/>
  <c r="H208"/>
  <c r="Q208" s="1"/>
  <c r="N208" s="1"/>
  <c r="H205"/>
  <c r="Q205" s="1"/>
  <c r="N205" s="1"/>
  <c r="H200"/>
  <c r="Q200" s="1"/>
  <c r="N200" s="1"/>
  <c r="H202"/>
  <c r="Q202" s="1"/>
  <c r="N202" s="1"/>
  <c r="I169"/>
  <c r="H191"/>
  <c r="Q191" s="1"/>
  <c r="N191" s="1"/>
  <c r="I164"/>
  <c r="H190"/>
  <c r="Q190" s="1"/>
  <c r="N190" s="1"/>
  <c r="I157"/>
  <c r="I163"/>
  <c r="I158"/>
  <c r="H195"/>
  <c r="Q195" s="1"/>
  <c r="N195" s="1"/>
  <c r="I168"/>
  <c r="H216"/>
  <c r="Q216" s="1"/>
  <c r="N216" s="1"/>
  <c r="I171"/>
  <c r="I159"/>
  <c r="H201"/>
  <c r="Q201" s="1"/>
  <c r="N201" s="1"/>
  <c r="H197"/>
  <c r="Q197" s="1"/>
  <c r="N197" s="1"/>
  <c r="H193"/>
  <c r="Q193" s="1"/>
  <c r="N193" s="1"/>
  <c r="H194"/>
  <c r="Q194" s="1"/>
  <c r="N194" s="1"/>
  <c r="I161"/>
  <c r="I182"/>
  <c r="H214"/>
  <c r="Q214" s="1"/>
  <c r="N214" s="1"/>
  <c r="I181"/>
  <c r="H215"/>
  <c r="Q215" s="1"/>
  <c r="N215" s="1"/>
  <c r="I162"/>
  <c r="H203"/>
  <c r="Q203" s="1"/>
  <c r="N203" s="1"/>
  <c r="I160"/>
  <c r="I186"/>
  <c r="H188"/>
  <c r="Q188" s="1"/>
  <c r="N188" s="1"/>
  <c r="I170"/>
  <c r="H217"/>
  <c r="Q217" s="1"/>
  <c r="N217" s="1"/>
  <c r="H196"/>
  <c r="Q196" s="1"/>
  <c r="N196" s="1"/>
  <c r="H189"/>
  <c r="Q189" s="1"/>
  <c r="N189" s="1"/>
  <c r="I185"/>
  <c r="H213"/>
  <c r="Q213" s="1"/>
  <c r="N213" s="1"/>
  <c r="I180"/>
  <c r="H206"/>
  <c r="Q206" s="1"/>
  <c r="N206" s="1"/>
  <c r="I173"/>
  <c r="H207"/>
  <c r="Q207" s="1"/>
  <c r="N207" s="1"/>
  <c r="I174"/>
  <c r="H211"/>
  <c r="Q211" s="1"/>
  <c r="N211" s="1"/>
  <c r="I184"/>
  <c r="I183"/>
  <c r="K9" i="21"/>
  <c r="H212" i="22"/>
  <c r="Q212" s="1"/>
  <c r="N212" s="1"/>
  <c r="H192"/>
  <c r="Q192" s="1"/>
  <c r="N192" s="1"/>
  <c r="H209"/>
  <c r="Q209" s="1"/>
  <c r="N209" s="1"/>
  <c r="H204"/>
  <c r="Q204" s="1"/>
  <c r="N204" s="1"/>
  <c r="H210"/>
  <c r="Q210" s="1"/>
  <c r="N210" s="1"/>
  <c r="I177"/>
  <c r="H199"/>
  <c r="Q199" s="1"/>
  <c r="N199" s="1"/>
  <c r="I172"/>
  <c r="H198"/>
  <c r="Q198" s="1"/>
  <c r="N198" s="1"/>
  <c r="I165"/>
  <c r="I179"/>
  <c r="I549" i="26"/>
  <c r="K549" s="1"/>
  <c r="T227" i="22"/>
  <c r="I183" i="26"/>
  <c r="K183" s="1"/>
  <c r="T247" i="22"/>
  <c r="I203" i="26"/>
  <c r="K203" s="1"/>
  <c r="I569"/>
  <c r="K569" s="1"/>
  <c r="I547"/>
  <c r="K547" s="1"/>
  <c r="I181"/>
  <c r="K181" s="1"/>
  <c r="T225" i="22"/>
  <c r="I545" i="26"/>
  <c r="K545" s="1"/>
  <c r="T223" i="22"/>
  <c r="I179" i="26"/>
  <c r="K179" s="1"/>
  <c r="T221" i="22"/>
  <c r="I543" i="26"/>
  <c r="K543" s="1"/>
  <c r="I177"/>
  <c r="K177" s="1"/>
  <c r="AN253" i="1"/>
  <c r="T282" i="50"/>
  <c r="AN274" i="1"/>
  <c r="T303" i="50"/>
  <c r="AN254" i="1"/>
  <c r="T283" i="50"/>
  <c r="AN266" i="1"/>
  <c r="T295" i="50"/>
  <c r="T300"/>
  <c r="AN271" i="1"/>
  <c r="T302" i="50"/>
  <c r="AN273" i="1"/>
  <c r="T286" i="50"/>
  <c r="AN257" i="1"/>
  <c r="AN267"/>
  <c r="T296" i="50"/>
  <c r="AN258" i="1"/>
  <c r="T287" i="50"/>
  <c r="AR382" i="38"/>
  <c r="P401" i="1"/>
  <c r="AC401"/>
  <c r="AJ401"/>
  <c r="BC401"/>
  <c r="AI401"/>
  <c r="AK401"/>
  <c r="AM401"/>
  <c r="AL401"/>
  <c r="AH401"/>
  <c r="V389" i="48"/>
  <c r="F389"/>
  <c r="Y389" s="1"/>
  <c r="F199" i="26"/>
  <c r="H199" s="1"/>
  <c r="T243" i="20"/>
  <c r="F565" i="26"/>
  <c r="H565" s="1"/>
  <c r="T247" i="20"/>
  <c r="F569" i="26"/>
  <c r="H569" s="1"/>
  <c r="F203"/>
  <c r="H203" s="1"/>
  <c r="T222" i="20"/>
  <c r="F544" i="26"/>
  <c r="H544" s="1"/>
  <c r="F178"/>
  <c r="H178" s="1"/>
  <c r="T227" i="20"/>
  <c r="F183" i="26"/>
  <c r="H183" s="1"/>
  <c r="F549"/>
  <c r="H549" s="1"/>
  <c r="F187"/>
  <c r="H187" s="1"/>
  <c r="T231" i="20"/>
  <c r="F553" i="26"/>
  <c r="H553" s="1"/>
  <c r="F193"/>
  <c r="H193" s="1"/>
  <c r="F559"/>
  <c r="H559" s="1"/>
  <c r="T237" i="20"/>
  <c r="F550" i="26"/>
  <c r="H550" s="1"/>
  <c r="T228" i="20"/>
  <c r="F184" i="26"/>
  <c r="H184" s="1"/>
  <c r="T620" i="5"/>
  <c r="C576" i="26" s="1"/>
  <c r="G592" i="1" s="1"/>
  <c r="T255" i="5"/>
  <c r="C211" i="26" s="1"/>
  <c r="G227" i="1" s="1"/>
  <c r="T619" i="5"/>
  <c r="C575" i="26" s="1"/>
  <c r="G591" i="1" s="1"/>
  <c r="T254" i="5"/>
  <c r="C210" i="26" s="1"/>
  <c r="G226" i="1" s="1"/>
  <c r="T250" i="5"/>
  <c r="C206" i="26" s="1"/>
  <c r="G222" i="1" s="1"/>
  <c r="T615" i="5"/>
  <c r="C571" i="26" s="1"/>
  <c r="G587" i="1" s="1"/>
  <c r="T623" i="5"/>
  <c r="C579" i="26" s="1"/>
  <c r="G595" i="1" s="1"/>
  <c r="T258" i="5"/>
  <c r="C214" i="26" s="1"/>
  <c r="G230" i="1" s="1"/>
  <c r="T238" i="22"/>
  <c r="I194" i="26"/>
  <c r="K194" s="1"/>
  <c r="I560"/>
  <c r="K560" s="1"/>
  <c r="T219" i="22"/>
  <c r="I175" i="26"/>
  <c r="K175" s="1"/>
  <c r="I541"/>
  <c r="K541" s="1"/>
  <c r="T230" i="22"/>
  <c r="I552" i="26"/>
  <c r="K552" s="1"/>
  <c r="I186"/>
  <c r="K186" s="1"/>
  <c r="I548"/>
  <c r="K548" s="1"/>
  <c r="T226" i="22"/>
  <c r="I182" i="26"/>
  <c r="K182" s="1"/>
  <c r="I200"/>
  <c r="K200" s="1"/>
  <c r="T244" i="22"/>
  <c r="I566" i="26"/>
  <c r="K566" s="1"/>
  <c r="I561"/>
  <c r="K561" s="1"/>
  <c r="T239" i="22"/>
  <c r="I195" i="26"/>
  <c r="K195" s="1"/>
  <c r="T237" i="22"/>
  <c r="I559" i="26"/>
  <c r="K559" s="1"/>
  <c r="I193"/>
  <c r="K193" s="1"/>
  <c r="T243" i="22"/>
  <c r="I199" i="26"/>
  <c r="K199" s="1"/>
  <c r="I565"/>
  <c r="K565" s="1"/>
  <c r="I188"/>
  <c r="K188" s="1"/>
  <c r="I554"/>
  <c r="K554" s="1"/>
  <c r="T232" i="22"/>
  <c r="H262" i="50"/>
  <c r="Q262" s="1"/>
  <c r="N262" s="1"/>
  <c r="I222"/>
  <c r="I235"/>
  <c r="H249"/>
  <c r="Q249" s="1"/>
  <c r="N249" s="1"/>
  <c r="I237"/>
  <c r="H253"/>
  <c r="Q253" s="1"/>
  <c r="N253" s="1"/>
  <c r="H248"/>
  <c r="Q248" s="1"/>
  <c r="N248" s="1"/>
  <c r="I221"/>
  <c r="H258"/>
  <c r="Q258" s="1"/>
  <c r="N258" s="1"/>
  <c r="I241"/>
  <c r="H250"/>
  <c r="Q250" s="1"/>
  <c r="N250" s="1"/>
  <c r="I228"/>
  <c r="I225"/>
  <c r="I218"/>
  <c r="H252"/>
  <c r="Q252" s="1"/>
  <c r="N252" s="1"/>
  <c r="H264"/>
  <c r="Q264" s="1"/>
  <c r="N264" s="1"/>
  <c r="H267"/>
  <c r="Q267" s="1"/>
  <c r="N267" s="1"/>
  <c r="I224"/>
  <c r="I238"/>
  <c r="H255"/>
  <c r="Q255" s="1"/>
  <c r="N255" s="1"/>
  <c r="H265"/>
  <c r="Q265" s="1"/>
  <c r="N265" s="1"/>
  <c r="H261"/>
  <c r="Q261" s="1"/>
  <c r="N261" s="1"/>
  <c r="H257"/>
  <c r="Q257" s="1"/>
  <c r="N257" s="1"/>
  <c r="I231"/>
  <c r="H277"/>
  <c r="Q277" s="1"/>
  <c r="N277" s="1"/>
  <c r="H254"/>
  <c r="Q254" s="1"/>
  <c r="N254" s="1"/>
  <c r="H260"/>
  <c r="Q260" s="1"/>
  <c r="N260" s="1"/>
  <c r="H272"/>
  <c r="Q272" s="1"/>
  <c r="N272" s="1"/>
  <c r="H271"/>
  <c r="Q271" s="1"/>
  <c r="N271" s="1"/>
  <c r="H256"/>
  <c r="Q256" s="1"/>
  <c r="N256" s="1"/>
  <c r="I243"/>
  <c r="I240"/>
  <c r="I245"/>
  <c r="I230"/>
  <c r="I247"/>
  <c r="I227"/>
  <c r="I220"/>
  <c r="H278"/>
  <c r="Q278" s="1"/>
  <c r="N278" s="1"/>
  <c r="I226"/>
  <c r="H268"/>
  <c r="Q268" s="1"/>
  <c r="N268" s="1"/>
  <c r="I234"/>
  <c r="H274"/>
  <c r="Q274" s="1"/>
  <c r="N274" s="1"/>
  <c r="H266"/>
  <c r="Q266" s="1"/>
  <c r="N266" s="1"/>
  <c r="I242"/>
  <c r="I232"/>
  <c r="I233"/>
  <c r="K11" i="49"/>
  <c r="H269" i="50"/>
  <c r="Q269" s="1"/>
  <c r="N269" s="1"/>
  <c r="I246"/>
  <c r="I239"/>
  <c r="H270"/>
  <c r="Q270" s="1"/>
  <c r="N270" s="1"/>
  <c r="H251"/>
  <c r="Q251" s="1"/>
  <c r="N251" s="1"/>
  <c r="I229"/>
  <c r="I223"/>
  <c r="H273"/>
  <c r="Q273" s="1"/>
  <c r="N273" s="1"/>
  <c r="I236"/>
  <c r="H263"/>
  <c r="Q263" s="1"/>
  <c r="N263" s="1"/>
  <c r="I244"/>
  <c r="I219"/>
  <c r="H276"/>
  <c r="Q276" s="1"/>
  <c r="N276" s="1"/>
  <c r="H275"/>
  <c r="Q275" s="1"/>
  <c r="N275" s="1"/>
  <c r="H259"/>
  <c r="Q259" s="1"/>
  <c r="N259" s="1"/>
  <c r="T301"/>
  <c r="AN272" i="1"/>
  <c r="T298" i="50"/>
  <c r="AN269" i="1"/>
  <c r="T294" i="50"/>
  <c r="AN265" i="1"/>
  <c r="T288" i="50"/>
  <c r="AN259" i="1"/>
  <c r="T281" i="50"/>
  <c r="AN252" i="1"/>
  <c r="T308" i="50"/>
  <c r="AN279" i="1"/>
  <c r="AN250"/>
  <c r="T279" i="50"/>
  <c r="T293"/>
  <c r="AN264" i="1"/>
  <c r="D384" i="38"/>
  <c r="E384"/>
  <c r="Z384"/>
  <c r="AA384" s="1"/>
  <c r="F384"/>
  <c r="AM384" s="1"/>
  <c r="BK381"/>
  <c r="AS381"/>
  <c r="AU381" s="1"/>
  <c r="AV381" s="1"/>
  <c r="BA381" s="1"/>
  <c r="BB381" s="1"/>
  <c r="BH381" s="1"/>
  <c r="BJ381" s="1"/>
  <c r="P381" s="1"/>
  <c r="O381" s="1"/>
  <c r="T235" i="20"/>
  <c r="F557" i="26"/>
  <c r="H557" s="1"/>
  <c r="F191"/>
  <c r="H191" s="1"/>
  <c r="T245" i="20"/>
  <c r="F567" i="26"/>
  <c r="H567" s="1"/>
  <c r="F201"/>
  <c r="H201" s="1"/>
  <c r="T223" i="20"/>
  <c r="F545" i="26"/>
  <c r="H545" s="1"/>
  <c r="F179"/>
  <c r="H179" s="1"/>
  <c r="T229" i="20"/>
  <c r="F185" i="26"/>
  <c r="H185" s="1"/>
  <c r="F551"/>
  <c r="H551" s="1"/>
  <c r="T230" i="20"/>
  <c r="F552" i="26"/>
  <c r="H552" s="1"/>
  <c r="F186"/>
  <c r="H186" s="1"/>
  <c r="F554"/>
  <c r="H554" s="1"/>
  <c r="T232" i="20"/>
  <c r="F188" i="26"/>
  <c r="H188" s="1"/>
  <c r="T242" i="22"/>
  <c r="I564" i="26"/>
  <c r="K564" s="1"/>
  <c r="I198"/>
  <c r="K198" s="1"/>
  <c r="T235" i="22"/>
  <c r="I557" i="26"/>
  <c r="K557" s="1"/>
  <c r="I191"/>
  <c r="K191" s="1"/>
  <c r="T224" i="22"/>
  <c r="I546" i="26"/>
  <c r="K546" s="1"/>
  <c r="I180"/>
  <c r="K180" s="1"/>
  <c r="T231" i="22"/>
  <c r="I187" i="26"/>
  <c r="K187" s="1"/>
  <c r="I553"/>
  <c r="K553" s="1"/>
  <c r="I176"/>
  <c r="K176" s="1"/>
  <c r="I542"/>
  <c r="K542" s="1"/>
  <c r="T220" i="22"/>
  <c r="T222"/>
  <c r="I178" i="26"/>
  <c r="K178" s="1"/>
  <c r="I544"/>
  <c r="K544" s="1"/>
  <c r="T218" i="22"/>
  <c r="I540" i="26"/>
  <c r="K540" s="1"/>
  <c r="I174"/>
  <c r="K174" s="1"/>
  <c r="W400" i="1"/>
  <c r="R400"/>
  <c r="S400" s="1"/>
  <c r="AN278"/>
  <c r="T307" i="50"/>
  <c r="T306"/>
  <c r="AN277" i="1"/>
  <c r="T297" i="50"/>
  <c r="AN268" i="1"/>
  <c r="T299" i="50"/>
  <c r="AN270" i="1"/>
  <c r="AN263"/>
  <c r="T292" i="50"/>
  <c r="AN262" i="1"/>
  <c r="T291" i="50"/>
  <c r="T284"/>
  <c r="AN255" i="1"/>
  <c r="AO383" i="38"/>
  <c r="AP383" s="1"/>
  <c r="AQ383" s="1"/>
  <c r="AN383"/>
  <c r="A402" i="1"/>
  <c r="K402"/>
  <c r="N402" s="1"/>
  <c r="A409" i="53"/>
  <c r="B410" s="1"/>
  <c r="B385" i="38"/>
  <c r="F404" i="52"/>
  <c r="A386" i="26"/>
  <c r="B386" s="1"/>
  <c r="E402" i="1"/>
  <c r="C402"/>
  <c r="D402" s="1"/>
  <c r="B403"/>
  <c r="L402"/>
  <c r="M401" s="1"/>
  <c r="E403" i="52"/>
  <c r="T242" i="20"/>
  <c r="F564" i="26"/>
  <c r="H564" s="1"/>
  <c r="F198"/>
  <c r="H198" s="1"/>
  <c r="F202"/>
  <c r="H202" s="1"/>
  <c r="F568"/>
  <c r="H568" s="1"/>
  <c r="T246" i="20"/>
  <c r="F546" i="26"/>
  <c r="H546" s="1"/>
  <c r="T224" i="20"/>
  <c r="F180" i="26"/>
  <c r="H180" s="1"/>
  <c r="T244" i="20"/>
  <c r="F566" i="26"/>
  <c r="H566" s="1"/>
  <c r="F200"/>
  <c r="H200" s="1"/>
  <c r="T221" i="20"/>
  <c r="F543" i="26"/>
  <c r="H543" s="1"/>
  <c r="F177"/>
  <c r="H177" s="1"/>
  <c r="T226" i="20"/>
  <c r="F548" i="26"/>
  <c r="H548" s="1"/>
  <c r="F182"/>
  <c r="H182" s="1"/>
  <c r="T219" i="20"/>
  <c r="F175" i="26"/>
  <c r="H175" s="1"/>
  <c r="F541"/>
  <c r="H541" s="1"/>
  <c r="T240" i="20"/>
  <c r="F196" i="26"/>
  <c r="H196" s="1"/>
  <c r="F562"/>
  <c r="H562" s="1"/>
  <c r="T234" i="20"/>
  <c r="F556" i="26"/>
  <c r="H556" s="1"/>
  <c r="F190"/>
  <c r="H190" s="1"/>
  <c r="T252" i="5"/>
  <c r="C208" i="26" s="1"/>
  <c r="G224" i="1" s="1"/>
  <c r="T617" i="5"/>
  <c r="C573" i="26" s="1"/>
  <c r="G589" i="1" s="1"/>
  <c r="T248" i="5"/>
  <c r="C204" i="26" s="1"/>
  <c r="G220" i="1" s="1"/>
  <c r="T613" i="5"/>
  <c r="C569" i="26" s="1"/>
  <c r="G585" i="1" s="1"/>
  <c r="T614" i="5"/>
  <c r="C570" i="26" s="1"/>
  <c r="G586" i="1" s="1"/>
  <c r="T249" i="5"/>
  <c r="C205" i="26" s="1"/>
  <c r="G221" i="1" s="1"/>
  <c r="T621" i="5"/>
  <c r="C577" i="26" s="1"/>
  <c r="G593" i="1" s="1"/>
  <c r="T256" i="5"/>
  <c r="C212" i="26" s="1"/>
  <c r="G228" i="1" s="1"/>
  <c r="T624" i="5"/>
  <c r="C580" i="26" s="1"/>
  <c r="G596" i="1" s="1"/>
  <c r="T259" i="5"/>
  <c r="C215" i="26" s="1"/>
  <c r="G231" i="1" s="1"/>
  <c r="T262" i="5"/>
  <c r="C218" i="26" s="1"/>
  <c r="G234" i="1" s="1"/>
  <c r="T627" i="5"/>
  <c r="C583" i="26" s="1"/>
  <c r="G599" i="1" s="1"/>
  <c r="T625" i="5"/>
  <c r="C581" i="26" s="1"/>
  <c r="G597" i="1" s="1"/>
  <c r="T260" i="5"/>
  <c r="C216" i="26" s="1"/>
  <c r="G232" i="1" s="1"/>
  <c r="T228" i="22"/>
  <c r="I184" i="26"/>
  <c r="K184" s="1"/>
  <c r="I550"/>
  <c r="K550" s="1"/>
  <c r="T233" i="22"/>
  <c r="I189" i="26"/>
  <c r="K189" s="1"/>
  <c r="I555"/>
  <c r="K555" s="1"/>
  <c r="T229" i="22"/>
  <c r="I185" i="26"/>
  <c r="K185" s="1"/>
  <c r="I551"/>
  <c r="K551" s="1"/>
  <c r="T240" i="22"/>
  <c r="I196" i="26"/>
  <c r="K196" s="1"/>
  <c r="I562"/>
  <c r="K562" s="1"/>
  <c r="I197"/>
  <c r="K197" s="1"/>
  <c r="T241" i="22"/>
  <c r="I563" i="26"/>
  <c r="K563" s="1"/>
  <c r="T234" i="22"/>
  <c r="I556" i="26"/>
  <c r="K556" s="1"/>
  <c r="I190"/>
  <c r="K190" s="1"/>
  <c r="I568"/>
  <c r="K568" s="1"/>
  <c r="T246" i="22"/>
  <c r="I202" i="26"/>
  <c r="K202" s="1"/>
  <c r="AN261" i="1"/>
  <c r="T290" i="50"/>
  <c r="T280"/>
  <c r="AN251" i="1"/>
  <c r="T305" i="50"/>
  <c r="AN276" i="1"/>
  <c r="AN260"/>
  <c r="T289" i="50"/>
  <c r="T285"/>
  <c r="AN256" i="1"/>
  <c r="T304" i="50"/>
  <c r="AN275" i="1"/>
  <c r="E390" i="48"/>
  <c r="X390" s="1"/>
  <c r="D390"/>
  <c r="W390" s="1"/>
  <c r="B391"/>
  <c r="C390"/>
  <c r="F560" i="26"/>
  <c r="H560" s="1"/>
  <c r="T238" i="20"/>
  <c r="F194" i="26"/>
  <c r="H194" s="1"/>
  <c r="F192"/>
  <c r="H192" s="1"/>
  <c r="F558"/>
  <c r="H558" s="1"/>
  <c r="T236" i="20"/>
  <c r="T225"/>
  <c r="F547" i="26"/>
  <c r="H547" s="1"/>
  <c r="F181"/>
  <c r="H181" s="1"/>
  <c r="T218" i="20"/>
  <c r="F540" i="26"/>
  <c r="H540" s="1"/>
  <c r="F174"/>
  <c r="H174" s="1"/>
  <c r="H211" i="20"/>
  <c r="Q211" s="1"/>
  <c r="N211" s="1"/>
  <c r="I186"/>
  <c r="I181"/>
  <c r="H217"/>
  <c r="Q217" s="1"/>
  <c r="N217" s="1"/>
  <c r="I179"/>
  <c r="I167"/>
  <c r="I177"/>
  <c r="H203"/>
  <c r="Q203" s="1"/>
  <c r="N203" s="1"/>
  <c r="I182"/>
  <c r="H206"/>
  <c r="Q206" s="1"/>
  <c r="N206" s="1"/>
  <c r="H207"/>
  <c r="Q207" s="1"/>
  <c r="N207" s="1"/>
  <c r="H191"/>
  <c r="Q191" s="1"/>
  <c r="N191" s="1"/>
  <c r="I176"/>
  <c r="H202"/>
  <c r="Q202" s="1"/>
  <c r="N202" s="1"/>
  <c r="H192"/>
  <c r="Q192" s="1"/>
  <c r="N192" s="1"/>
  <c r="H205"/>
  <c r="Q205" s="1"/>
  <c r="N205" s="1"/>
  <c r="I178"/>
  <c r="H188"/>
  <c r="Q188" s="1"/>
  <c r="N188" s="1"/>
  <c r="I173"/>
  <c r="H209"/>
  <c r="Q209" s="1"/>
  <c r="N209" s="1"/>
  <c r="I175"/>
  <c r="I163"/>
  <c r="I169"/>
  <c r="H195"/>
  <c r="Q195" s="1"/>
  <c r="N195" s="1"/>
  <c r="I166"/>
  <c r="H198"/>
  <c r="Q198" s="1"/>
  <c r="N198" s="1"/>
  <c r="H215"/>
  <c r="Q215" s="1"/>
  <c r="N215" s="1"/>
  <c r="H187"/>
  <c r="Q187" s="1"/>
  <c r="N187" s="1"/>
  <c r="I168"/>
  <c r="H194"/>
  <c r="Q194" s="1"/>
  <c r="N194" s="1"/>
  <c r="H213"/>
  <c r="Q213" s="1"/>
  <c r="N213" s="1"/>
  <c r="I170"/>
  <c r="H196"/>
  <c r="Q196" s="1"/>
  <c r="N196" s="1"/>
  <c r="I165"/>
  <c r="H201"/>
  <c r="Q201" s="1"/>
  <c r="N201" s="1"/>
  <c r="I172"/>
  <c r="I159"/>
  <c r="I161"/>
  <c r="I174"/>
  <c r="H200"/>
  <c r="Q200" s="1"/>
  <c r="N200" s="1"/>
  <c r="H212"/>
  <c r="Q212" s="1"/>
  <c r="N212" s="1"/>
  <c r="I180"/>
  <c r="I157"/>
  <c r="H193"/>
  <c r="Q193" s="1"/>
  <c r="N193" s="1"/>
  <c r="H208"/>
  <c r="Q208" s="1"/>
  <c r="N208" s="1"/>
  <c r="I158"/>
  <c r="K9" i="19"/>
  <c r="I162" i="20"/>
  <c r="I171"/>
  <c r="H190"/>
  <c r="Q190" s="1"/>
  <c r="N190" s="1"/>
  <c r="H199"/>
  <c r="Q199" s="1"/>
  <c r="N199" s="1"/>
  <c r="I183"/>
  <c r="I160"/>
  <c r="I185"/>
  <c r="H189"/>
  <c r="Q189" s="1"/>
  <c r="N189" s="1"/>
  <c r="H214"/>
  <c r="Q214" s="1"/>
  <c r="N214" s="1"/>
  <c r="H204"/>
  <c r="Q204" s="1"/>
  <c r="N204" s="1"/>
  <c r="I164"/>
  <c r="I184"/>
  <c r="H210"/>
  <c r="Q210" s="1"/>
  <c r="N210" s="1"/>
  <c r="H197"/>
  <c r="Q197" s="1"/>
  <c r="N197" s="1"/>
  <c r="H216"/>
  <c r="Q216" s="1"/>
  <c r="N216" s="1"/>
  <c r="T233"/>
  <c r="F555" i="26"/>
  <c r="H555" s="1"/>
  <c r="F189"/>
  <c r="H189" s="1"/>
  <c r="T241" i="20"/>
  <c r="F563" i="26"/>
  <c r="H563" s="1"/>
  <c r="F197"/>
  <c r="H197" s="1"/>
  <c r="T239" i="20"/>
  <c r="F561" i="26"/>
  <c r="H561" s="1"/>
  <c r="F195"/>
  <c r="H195" s="1"/>
  <c r="F176"/>
  <c r="H176" s="1"/>
  <c r="T220" i="20"/>
  <c r="F542" i="26"/>
  <c r="H542" s="1"/>
  <c r="AB396" i="1" l="1"/>
  <c r="AE396" s="1"/>
  <c r="Z396"/>
  <c r="AA396"/>
  <c r="E403" i="53" s="1"/>
  <c r="BD398" i="1"/>
  <c r="BE398" s="1"/>
  <c r="T398" s="1"/>
  <c r="U398" s="1"/>
  <c r="BA399"/>
  <c r="V397"/>
  <c r="X397"/>
  <c r="AF394"/>
  <c r="AD395"/>
  <c r="G402" i="53"/>
  <c r="BE10" i="55"/>
  <c r="D401" i="53"/>
  <c r="O9" i="55" s="1"/>
  <c r="I401" i="53"/>
  <c r="CU9" i="55" s="1"/>
  <c r="BZ9"/>
  <c r="V390" i="48"/>
  <c r="F390"/>
  <c r="Y390" s="1"/>
  <c r="E404" i="52"/>
  <c r="AN247" i="1"/>
  <c r="T276" i="50"/>
  <c r="T251"/>
  <c r="AN222" i="1"/>
  <c r="T269" i="50"/>
  <c r="AN240" i="1"/>
  <c r="T268" i="50"/>
  <c r="AN239" i="1"/>
  <c r="T272" i="50"/>
  <c r="AN243" i="1"/>
  <c r="T255" i="50"/>
  <c r="AN226" i="1"/>
  <c r="AN235"/>
  <c r="T264" i="50"/>
  <c r="T249"/>
  <c r="AN220" i="1"/>
  <c r="T199" i="22"/>
  <c r="I155" i="26"/>
  <c r="K155" s="1"/>
  <c r="I521"/>
  <c r="K521" s="1"/>
  <c r="T209" i="22"/>
  <c r="I165" i="26"/>
  <c r="K165" s="1"/>
  <c r="I531"/>
  <c r="K531" s="1"/>
  <c r="T207" i="22"/>
  <c r="I163" i="26"/>
  <c r="K163" s="1"/>
  <c r="I529"/>
  <c r="K529" s="1"/>
  <c r="I169"/>
  <c r="K169" s="1"/>
  <c r="T213" i="22"/>
  <c r="I535" i="26"/>
  <c r="K535" s="1"/>
  <c r="T217" i="22"/>
  <c r="I173" i="26"/>
  <c r="K173" s="1"/>
  <c r="I539"/>
  <c r="K539" s="1"/>
  <c r="I516"/>
  <c r="K516" s="1"/>
  <c r="T194" i="22"/>
  <c r="I150" i="26"/>
  <c r="K150" s="1"/>
  <c r="I517"/>
  <c r="K517" s="1"/>
  <c r="T195" i="22"/>
  <c r="I151" i="26"/>
  <c r="K151" s="1"/>
  <c r="T190" i="22"/>
  <c r="I512" i="26"/>
  <c r="K512" s="1"/>
  <c r="I146"/>
  <c r="K146" s="1"/>
  <c r="I524"/>
  <c r="K524" s="1"/>
  <c r="T202" i="22"/>
  <c r="I158" i="26"/>
  <c r="K158" s="1"/>
  <c r="T187" i="22"/>
  <c r="I143" i="26"/>
  <c r="K143" s="1"/>
  <c r="I509"/>
  <c r="K509" s="1"/>
  <c r="T586" i="5"/>
  <c r="C542" i="26" s="1"/>
  <c r="G558" i="1" s="1"/>
  <c r="T221" i="5"/>
  <c r="C177" i="26" s="1"/>
  <c r="G193" i="1" s="1"/>
  <c r="T608" i="5"/>
  <c r="C564" i="26" s="1"/>
  <c r="G580" i="1" s="1"/>
  <c r="T243" i="5"/>
  <c r="C199" i="26" s="1"/>
  <c r="G215" i="1" s="1"/>
  <c r="T231" i="5"/>
  <c r="C187" i="26" s="1"/>
  <c r="G203" i="1" s="1"/>
  <c r="T596" i="5"/>
  <c r="C552" i="26" s="1"/>
  <c r="G568" i="1" s="1"/>
  <c r="T241" i="5"/>
  <c r="C197" i="26" s="1"/>
  <c r="G213" i="1" s="1"/>
  <c r="T606" i="5"/>
  <c r="C562" i="26" s="1"/>
  <c r="G578" i="1" s="1"/>
  <c r="T592" i="5"/>
  <c r="C548" i="26" s="1"/>
  <c r="G564" i="1" s="1"/>
  <c r="T227" i="5"/>
  <c r="C183" i="26" s="1"/>
  <c r="G199" i="1" s="1"/>
  <c r="T224" i="5"/>
  <c r="C180" i="26" s="1"/>
  <c r="G196" i="1" s="1"/>
  <c r="T589" i="5"/>
  <c r="C545" i="26" s="1"/>
  <c r="G561" i="1" s="1"/>
  <c r="T597" i="5"/>
  <c r="C553" i="26" s="1"/>
  <c r="G569" i="1" s="1"/>
  <c r="T232" i="5"/>
  <c r="C188" i="26" s="1"/>
  <c r="G204" i="1" s="1"/>
  <c r="T216" i="20"/>
  <c r="F172" i="26"/>
  <c r="H172" s="1"/>
  <c r="F538"/>
  <c r="H538" s="1"/>
  <c r="F512"/>
  <c r="H512" s="1"/>
  <c r="T190" i="20"/>
  <c r="F146" i="26"/>
  <c r="H146" s="1"/>
  <c r="F516"/>
  <c r="H516" s="1"/>
  <c r="T194" i="20"/>
  <c r="F150" i="26"/>
  <c r="H150" s="1"/>
  <c r="F154"/>
  <c r="H154" s="1"/>
  <c r="T198" i="20"/>
  <c r="F520" i="26"/>
  <c r="H520" s="1"/>
  <c r="T188" i="20"/>
  <c r="F144" i="26"/>
  <c r="H144" s="1"/>
  <c r="F510"/>
  <c r="H510" s="1"/>
  <c r="T202" i="20"/>
  <c r="F158" i="26"/>
  <c r="H158" s="1"/>
  <c r="F524"/>
  <c r="H524" s="1"/>
  <c r="T206" i="20"/>
  <c r="F528" i="26"/>
  <c r="H528" s="1"/>
  <c r="F162"/>
  <c r="H162" s="1"/>
  <c r="T197" i="20"/>
  <c r="F153" i="26"/>
  <c r="H153" s="1"/>
  <c r="F519"/>
  <c r="H519" s="1"/>
  <c r="T204" i="20"/>
  <c r="F160" i="26"/>
  <c r="H160" s="1"/>
  <c r="F526"/>
  <c r="H526" s="1"/>
  <c r="F164"/>
  <c r="H164" s="1"/>
  <c r="T208" i="20"/>
  <c r="F530" i="26"/>
  <c r="H530" s="1"/>
  <c r="F168"/>
  <c r="H168" s="1"/>
  <c r="T212" i="20"/>
  <c r="F534" i="26"/>
  <c r="H534" s="1"/>
  <c r="F152"/>
  <c r="H152" s="1"/>
  <c r="T196" i="20"/>
  <c r="F518" i="26"/>
  <c r="H518" s="1"/>
  <c r="T211" i="20"/>
  <c r="F167" i="26"/>
  <c r="H167" s="1"/>
  <c r="F533"/>
  <c r="H533" s="1"/>
  <c r="P402" i="1"/>
  <c r="AR383" i="38"/>
  <c r="T273" i="50"/>
  <c r="AN244" i="1"/>
  <c r="T270" i="50"/>
  <c r="AN241" i="1"/>
  <c r="H237" i="50"/>
  <c r="Q237" s="1"/>
  <c r="N237" s="1"/>
  <c r="I190"/>
  <c r="H228"/>
  <c r="Q228" s="1"/>
  <c r="N228" s="1"/>
  <c r="K10" i="49"/>
  <c r="H244" i="50"/>
  <c r="Q244" s="1"/>
  <c r="N244" s="1"/>
  <c r="H230"/>
  <c r="Q230" s="1"/>
  <c r="N230" s="1"/>
  <c r="H229"/>
  <c r="Q229" s="1"/>
  <c r="N229" s="1"/>
  <c r="H225"/>
  <c r="Q225" s="1"/>
  <c r="N225" s="1"/>
  <c r="I208"/>
  <c r="I188"/>
  <c r="H223"/>
  <c r="Q223" s="1"/>
  <c r="N223" s="1"/>
  <c r="I217"/>
  <c r="H235"/>
  <c r="Q235" s="1"/>
  <c r="N235" s="1"/>
  <c r="I202"/>
  <c r="I194"/>
  <c r="I213"/>
  <c r="I205"/>
  <c r="H241"/>
  <c r="Q241" s="1"/>
  <c r="N241" s="1"/>
  <c r="H233"/>
  <c r="Q233" s="1"/>
  <c r="N233" s="1"/>
  <c r="I187"/>
  <c r="H226"/>
  <c r="Q226" s="1"/>
  <c r="N226" s="1"/>
  <c r="I196"/>
  <c r="I206"/>
  <c r="H245"/>
  <c r="Q245" s="1"/>
  <c r="N245" s="1"/>
  <c r="H240"/>
  <c r="Q240" s="1"/>
  <c r="N240" s="1"/>
  <c r="I200"/>
  <c r="H242"/>
  <c r="Q242" s="1"/>
  <c r="N242" s="1"/>
  <c r="I209"/>
  <c r="H243"/>
  <c r="Q243" s="1"/>
  <c r="N243" s="1"/>
  <c r="H219"/>
  <c r="Q219" s="1"/>
  <c r="N219" s="1"/>
  <c r="I212"/>
  <c r="I189"/>
  <c r="H246"/>
  <c r="Q246" s="1"/>
  <c r="N246" s="1"/>
  <c r="I197"/>
  <c r="I199"/>
  <c r="H236"/>
  <c r="Q236" s="1"/>
  <c r="N236" s="1"/>
  <c r="H218"/>
  <c r="Q218" s="1"/>
  <c r="N218" s="1"/>
  <c r="H234"/>
  <c r="Q234" s="1"/>
  <c r="N234" s="1"/>
  <c r="I204"/>
  <c r="H222"/>
  <c r="Q222" s="1"/>
  <c r="N222" s="1"/>
  <c r="H232"/>
  <c r="Q232" s="1"/>
  <c r="N232" s="1"/>
  <c r="I211"/>
  <c r="H224"/>
  <c r="Q224" s="1"/>
  <c r="N224" s="1"/>
  <c r="I214"/>
  <c r="I195"/>
  <c r="I198"/>
  <c r="I193"/>
  <c r="H238"/>
  <c r="Q238" s="1"/>
  <c r="N238" s="1"/>
  <c r="I191"/>
  <c r="I216"/>
  <c r="I207"/>
  <c r="I210"/>
  <c r="H247"/>
  <c r="Q247" s="1"/>
  <c r="N247" s="1"/>
  <c r="I192"/>
  <c r="H231"/>
  <c r="Q231" s="1"/>
  <c r="N231" s="1"/>
  <c r="H220"/>
  <c r="Q220" s="1"/>
  <c r="N220" s="1"/>
  <c r="I203"/>
  <c r="I215"/>
  <c r="H239"/>
  <c r="Q239" s="1"/>
  <c r="N239" s="1"/>
  <c r="H227"/>
  <c r="Q227" s="1"/>
  <c r="N227" s="1"/>
  <c r="H221"/>
  <c r="Q221" s="1"/>
  <c r="N221" s="1"/>
  <c r="I201"/>
  <c r="T266"/>
  <c r="AN237" i="1"/>
  <c r="T260" i="50"/>
  <c r="AN231" i="1"/>
  <c r="T257" i="50"/>
  <c r="AN228" i="1"/>
  <c r="AN223"/>
  <c r="T252" i="50"/>
  <c r="AN221" i="1"/>
  <c r="T250" i="50"/>
  <c r="AN219" i="1"/>
  <c r="T248" i="50"/>
  <c r="T192" i="22"/>
  <c r="I514" i="26"/>
  <c r="K514" s="1"/>
  <c r="I148"/>
  <c r="K148" s="1"/>
  <c r="T203" i="22"/>
  <c r="I525" i="26"/>
  <c r="K525" s="1"/>
  <c r="I159"/>
  <c r="K159" s="1"/>
  <c r="T214" i="22"/>
  <c r="I170" i="26"/>
  <c r="K170" s="1"/>
  <c r="I536"/>
  <c r="K536" s="1"/>
  <c r="T193" i="22"/>
  <c r="I149" i="26"/>
  <c r="K149" s="1"/>
  <c r="I515"/>
  <c r="K515" s="1"/>
  <c r="T200" i="22"/>
  <c r="I156" i="26"/>
  <c r="K156" s="1"/>
  <c r="I522"/>
  <c r="K522" s="1"/>
  <c r="T591" i="5"/>
  <c r="C547" i="26" s="1"/>
  <c r="G563" i="1" s="1"/>
  <c r="T226" i="5"/>
  <c r="C182" i="26" s="1"/>
  <c r="G198" i="1" s="1"/>
  <c r="I161" i="5"/>
  <c r="H210"/>
  <c r="Q210" s="1"/>
  <c r="N210" s="1"/>
  <c r="I159"/>
  <c r="H201"/>
  <c r="Q201" s="1"/>
  <c r="N201" s="1"/>
  <c r="I171"/>
  <c r="I177"/>
  <c r="H208"/>
  <c r="Q208" s="1"/>
  <c r="N208" s="1"/>
  <c r="I172"/>
  <c r="H217"/>
  <c r="Q217" s="1"/>
  <c r="N217" s="1"/>
  <c r="H199"/>
  <c r="Q199" s="1"/>
  <c r="N199" s="1"/>
  <c r="I183"/>
  <c r="I166"/>
  <c r="H214"/>
  <c r="Q214" s="1"/>
  <c r="N214" s="1"/>
  <c r="H191"/>
  <c r="Q191" s="1"/>
  <c r="N191" s="1"/>
  <c r="I157"/>
  <c r="H206"/>
  <c r="Q206" s="1"/>
  <c r="N206" s="1"/>
  <c r="I179"/>
  <c r="H196"/>
  <c r="Q196" s="1"/>
  <c r="N196" s="1"/>
  <c r="H204"/>
  <c r="Q204" s="1"/>
  <c r="N204" s="1"/>
  <c r="I170"/>
  <c r="I158"/>
  <c r="H209"/>
  <c r="Q209" s="1"/>
  <c r="N209" s="1"/>
  <c r="I169"/>
  <c r="H212"/>
  <c r="Q212" s="1"/>
  <c r="N212" s="1"/>
  <c r="I178"/>
  <c r="H193"/>
  <c r="Q193" s="1"/>
  <c r="N193" s="1"/>
  <c r="I184"/>
  <c r="H192"/>
  <c r="Q192" s="1"/>
  <c r="N192" s="1"/>
  <c r="H188"/>
  <c r="Q188" s="1"/>
  <c r="N188" s="1"/>
  <c r="I180"/>
  <c r="H195"/>
  <c r="Q195" s="1"/>
  <c r="N195" s="1"/>
  <c r="I173"/>
  <c r="H213"/>
  <c r="Q213" s="1"/>
  <c r="N213" s="1"/>
  <c r="H202"/>
  <c r="Q202" s="1"/>
  <c r="N202" s="1"/>
  <c r="H197"/>
  <c r="Q197" s="1"/>
  <c r="N197" s="1"/>
  <c r="I164"/>
  <c r="I162"/>
  <c r="H207"/>
  <c r="Q207" s="1"/>
  <c r="N207" s="1"/>
  <c r="H205"/>
  <c r="Q205" s="1"/>
  <c r="N205" s="1"/>
  <c r="I168"/>
  <c r="I174"/>
  <c r="I186"/>
  <c r="H198"/>
  <c r="Q198" s="1"/>
  <c r="N198" s="1"/>
  <c r="I176"/>
  <c r="H211"/>
  <c r="Q211" s="1"/>
  <c r="N211" s="1"/>
  <c r="I167"/>
  <c r="H200"/>
  <c r="Q200" s="1"/>
  <c r="N200" s="1"/>
  <c r="H203"/>
  <c r="Q203" s="1"/>
  <c r="N203" s="1"/>
  <c r="I175"/>
  <c r="I165"/>
  <c r="I160"/>
  <c r="I181"/>
  <c r="H187"/>
  <c r="Q187" s="1"/>
  <c r="N187" s="1"/>
  <c r="I182"/>
  <c r="H194"/>
  <c r="Q194" s="1"/>
  <c r="N194" s="1"/>
  <c r="I163"/>
  <c r="H189"/>
  <c r="Q189" s="1"/>
  <c r="N189" s="1"/>
  <c r="H216"/>
  <c r="Q216" s="1"/>
  <c r="N216" s="1"/>
  <c r="I185"/>
  <c r="K9" i="4"/>
  <c r="H215" i="5"/>
  <c r="Q215" s="1"/>
  <c r="N215" s="1"/>
  <c r="H190"/>
  <c r="Q190" s="1"/>
  <c r="N190" s="1"/>
  <c r="T218"/>
  <c r="C174" i="26" s="1"/>
  <c r="G190" i="1" s="1"/>
  <c r="T583" i="5"/>
  <c r="C539" i="26" s="1"/>
  <c r="G555" i="1" s="1"/>
  <c r="T246" i="5"/>
  <c r="C202" i="26" s="1"/>
  <c r="G218" i="1" s="1"/>
  <c r="T611" i="5"/>
  <c r="C567" i="26" s="1"/>
  <c r="G583" i="1" s="1"/>
  <c r="T604" i="5"/>
  <c r="C560" i="26" s="1"/>
  <c r="G576" i="1" s="1"/>
  <c r="T239" i="5"/>
  <c r="C195" i="26" s="1"/>
  <c r="G211" i="1" s="1"/>
  <c r="T593" i="5"/>
  <c r="C549" i="26" s="1"/>
  <c r="G565" i="1" s="1"/>
  <c r="T228" i="5"/>
  <c r="C184" i="26" s="1"/>
  <c r="G200" i="1" s="1"/>
  <c r="T237" i="5"/>
  <c r="C193" i="26" s="1"/>
  <c r="G209" i="1" s="1"/>
  <c r="T602" i="5"/>
  <c r="C558" i="26" s="1"/>
  <c r="G574" i="1" s="1"/>
  <c r="T230" i="5"/>
  <c r="C186" i="26" s="1"/>
  <c r="G202" i="1" s="1"/>
  <c r="T595" i="5"/>
  <c r="C551" i="26" s="1"/>
  <c r="G567" i="1" s="1"/>
  <c r="T594" i="5"/>
  <c r="C550" i="26" s="1"/>
  <c r="G566" i="1" s="1"/>
  <c r="T229" i="5"/>
  <c r="C185" i="26" s="1"/>
  <c r="G201" i="1" s="1"/>
  <c r="T234" i="5"/>
  <c r="C190" i="26" s="1"/>
  <c r="G206" i="1" s="1"/>
  <c r="T599" i="5"/>
  <c r="C555" i="26" s="1"/>
  <c r="G571" i="1" s="1"/>
  <c r="T598" i="5"/>
  <c r="C554" i="26" s="1"/>
  <c r="G570" i="1" s="1"/>
  <c r="T233" i="5"/>
  <c r="C189" i="26" s="1"/>
  <c r="G205" i="1" s="1"/>
  <c r="T210" i="20"/>
  <c r="F532" i="26"/>
  <c r="H532" s="1"/>
  <c r="F166"/>
  <c r="H166" s="1"/>
  <c r="T214" i="20"/>
  <c r="F536" i="26"/>
  <c r="H536" s="1"/>
  <c r="F170"/>
  <c r="H170" s="1"/>
  <c r="T193" i="20"/>
  <c r="F515" i="26"/>
  <c r="H515" s="1"/>
  <c r="F149"/>
  <c r="H149" s="1"/>
  <c r="F156"/>
  <c r="H156" s="1"/>
  <c r="T200" i="20"/>
  <c r="F522" i="26"/>
  <c r="H522" s="1"/>
  <c r="T187" i="20"/>
  <c r="F143" i="26"/>
  <c r="H143" s="1"/>
  <c r="F509"/>
  <c r="H509" s="1"/>
  <c r="F517"/>
  <c r="H517" s="1"/>
  <c r="T195" i="20"/>
  <c r="F151" i="26"/>
  <c r="H151" s="1"/>
  <c r="F531"/>
  <c r="H531" s="1"/>
  <c r="T209" i="20"/>
  <c r="F165" i="26"/>
  <c r="H165" s="1"/>
  <c r="T205" i="20"/>
  <c r="F161" i="26"/>
  <c r="H161" s="1"/>
  <c r="F527"/>
  <c r="H527" s="1"/>
  <c r="T191" i="20"/>
  <c r="F513" i="26"/>
  <c r="H513" s="1"/>
  <c r="F147"/>
  <c r="H147" s="1"/>
  <c r="F525"/>
  <c r="H525" s="1"/>
  <c r="T203" i="20"/>
  <c r="F159" i="26"/>
  <c r="H159" s="1"/>
  <c r="T217" i="20"/>
  <c r="F539" i="26"/>
  <c r="H539" s="1"/>
  <c r="F173"/>
  <c r="H173" s="1"/>
  <c r="F405" i="52"/>
  <c r="C403" i="1"/>
  <c r="D403" s="1"/>
  <c r="B386" i="38"/>
  <c r="B404" i="1"/>
  <c r="A410" i="53"/>
  <c r="B411" s="1"/>
  <c r="E403" i="1"/>
  <c r="L403"/>
  <c r="M402" s="1"/>
  <c r="A403"/>
  <c r="K403"/>
  <c r="N403" s="1"/>
  <c r="A387" i="26"/>
  <c r="B387" s="1"/>
  <c r="AC402" i="1"/>
  <c r="AK402"/>
  <c r="BC402"/>
  <c r="AH402"/>
  <c r="AI402"/>
  <c r="AL402"/>
  <c r="AJ402"/>
  <c r="AM402"/>
  <c r="AO384" i="38"/>
  <c r="AP384" s="1"/>
  <c r="AQ384" s="1"/>
  <c r="AN384"/>
  <c r="AN230" i="1"/>
  <c r="T259" i="50"/>
  <c r="AN245" i="1"/>
  <c r="T274" i="50"/>
  <c r="AN249" i="1"/>
  <c r="T278" i="50"/>
  <c r="T256"/>
  <c r="AN227" i="1"/>
  <c r="T254" i="50"/>
  <c r="AN225" i="1"/>
  <c r="AN232"/>
  <c r="T261" i="50"/>
  <c r="T253"/>
  <c r="AN224" i="1"/>
  <c r="BK382" i="38"/>
  <c r="AS382"/>
  <c r="AU382" s="1"/>
  <c r="AV382" s="1"/>
  <c r="BA382" s="1"/>
  <c r="BB382" s="1"/>
  <c r="BH382" s="1"/>
  <c r="BJ382" s="1"/>
  <c r="P382" s="1"/>
  <c r="O382" s="1"/>
  <c r="I154" i="26"/>
  <c r="K154" s="1"/>
  <c r="T198" i="22"/>
  <c r="I520" i="26"/>
  <c r="K520" s="1"/>
  <c r="T210" i="22"/>
  <c r="I166" i="26"/>
  <c r="K166" s="1"/>
  <c r="I532"/>
  <c r="K532" s="1"/>
  <c r="I534"/>
  <c r="K534" s="1"/>
  <c r="I168"/>
  <c r="K168" s="1"/>
  <c r="T212" i="22"/>
  <c r="T211"/>
  <c r="I533" i="26"/>
  <c r="K533" s="1"/>
  <c r="I167"/>
  <c r="K167" s="1"/>
  <c r="I162"/>
  <c r="K162" s="1"/>
  <c r="T206" i="22"/>
  <c r="I528" i="26"/>
  <c r="K528" s="1"/>
  <c r="I511"/>
  <c r="K511" s="1"/>
  <c r="T189" i="22"/>
  <c r="I145" i="26"/>
  <c r="K145" s="1"/>
  <c r="T188" i="22"/>
  <c r="I510" i="26"/>
  <c r="K510" s="1"/>
  <c r="I144"/>
  <c r="K144" s="1"/>
  <c r="I153"/>
  <c r="K153" s="1"/>
  <c r="T197" i="22"/>
  <c r="I519" i="26"/>
  <c r="K519" s="1"/>
  <c r="T216" i="22"/>
  <c r="I172" i="26"/>
  <c r="K172" s="1"/>
  <c r="I538"/>
  <c r="K538" s="1"/>
  <c r="I513"/>
  <c r="K513" s="1"/>
  <c r="T191" i="22"/>
  <c r="I147" i="26"/>
  <c r="K147" s="1"/>
  <c r="I527"/>
  <c r="K527" s="1"/>
  <c r="T205" i="22"/>
  <c r="I161" i="26"/>
  <c r="K161" s="1"/>
  <c r="T220" i="5"/>
  <c r="C176" i="26" s="1"/>
  <c r="G192" i="1" s="1"/>
  <c r="T585" i="5"/>
  <c r="C541" i="26" s="1"/>
  <c r="G557" i="1" s="1"/>
  <c r="T603" i="5"/>
  <c r="C559" i="26" s="1"/>
  <c r="G575" i="1" s="1"/>
  <c r="T238" i="5"/>
  <c r="C194" i="26" s="1"/>
  <c r="G210" i="1" s="1"/>
  <c r="T219" i="5"/>
  <c r="C175" i="26" s="1"/>
  <c r="G191" i="1" s="1"/>
  <c r="T584" i="5"/>
  <c r="C540" i="26" s="1"/>
  <c r="G556" i="1" s="1"/>
  <c r="T600" i="5"/>
  <c r="C556" i="26" s="1"/>
  <c r="G572" i="1" s="1"/>
  <c r="T235" i="5"/>
  <c r="C191" i="26" s="1"/>
  <c r="G207" i="1" s="1"/>
  <c r="T588" i="5"/>
  <c r="C544" i="26" s="1"/>
  <c r="G560" i="1" s="1"/>
  <c r="T223" i="5"/>
  <c r="C179" i="26" s="1"/>
  <c r="G195" i="1" s="1"/>
  <c r="T236" i="5"/>
  <c r="C192" i="26" s="1"/>
  <c r="G208" i="1" s="1"/>
  <c r="T601" i="5"/>
  <c r="C557" i="26" s="1"/>
  <c r="G573" i="1" s="1"/>
  <c r="T247" i="5"/>
  <c r="C203" i="26" s="1"/>
  <c r="G219" i="1" s="1"/>
  <c r="T612" i="5"/>
  <c r="C568" i="26" s="1"/>
  <c r="G584" i="1" s="1"/>
  <c r="T587" i="5"/>
  <c r="C543" i="26" s="1"/>
  <c r="G559" i="1" s="1"/>
  <c r="T222" i="5"/>
  <c r="C178" i="26" s="1"/>
  <c r="G194" i="1" s="1"/>
  <c r="E391" i="48"/>
  <c r="X391" s="1"/>
  <c r="C391"/>
  <c r="D391"/>
  <c r="W391" s="1"/>
  <c r="B392"/>
  <c r="T189" i="20"/>
  <c r="F511" i="26"/>
  <c r="H511" s="1"/>
  <c r="F145"/>
  <c r="H145" s="1"/>
  <c r="T199" i="20"/>
  <c r="F155" i="26"/>
  <c r="H155" s="1"/>
  <c r="F521"/>
  <c r="H521" s="1"/>
  <c r="K8" i="19"/>
  <c r="H169" i="20"/>
  <c r="Q169" s="1"/>
  <c r="N169" s="1"/>
  <c r="I127"/>
  <c r="H162"/>
  <c r="Q162" s="1"/>
  <c r="N162" s="1"/>
  <c r="H174"/>
  <c r="Q174" s="1"/>
  <c r="N174" s="1"/>
  <c r="H163"/>
  <c r="Q163" s="1"/>
  <c r="N163" s="1"/>
  <c r="I150"/>
  <c r="I155"/>
  <c r="I144"/>
  <c r="I148"/>
  <c r="I137"/>
  <c r="I145"/>
  <c r="H175"/>
  <c r="Q175" s="1"/>
  <c r="N175" s="1"/>
  <c r="I133"/>
  <c r="H157"/>
  <c r="Q157" s="1"/>
  <c r="N157" s="1"/>
  <c r="H158"/>
  <c r="Q158" s="1"/>
  <c r="N158" s="1"/>
  <c r="I149"/>
  <c r="I128"/>
  <c r="H161"/>
  <c r="Q161" s="1"/>
  <c r="N161" s="1"/>
  <c r="H186"/>
  <c r="Q186" s="1"/>
  <c r="N186" s="1"/>
  <c r="H185"/>
  <c r="Q185" s="1"/>
  <c r="N185" s="1"/>
  <c r="I142"/>
  <c r="I147"/>
  <c r="H160"/>
  <c r="Q160" s="1"/>
  <c r="N160" s="1"/>
  <c r="I138"/>
  <c r="H172"/>
  <c r="Q172" s="1"/>
  <c r="N172" s="1"/>
  <c r="I154"/>
  <c r="I143"/>
  <c r="H165"/>
  <c r="Q165" s="1"/>
  <c r="N165" s="1"/>
  <c r="H183"/>
  <c r="Q183" s="1"/>
  <c r="N183" s="1"/>
  <c r="H182"/>
  <c r="Q182" s="1"/>
  <c r="N182" s="1"/>
  <c r="I140"/>
  <c r="H181"/>
  <c r="Q181" s="1"/>
  <c r="N181" s="1"/>
  <c r="I153"/>
  <c r="H178"/>
  <c r="Q178" s="1"/>
  <c r="N178" s="1"/>
  <c r="I141"/>
  <c r="I135"/>
  <c r="I134"/>
  <c r="I139"/>
  <c r="H168"/>
  <c r="Q168" s="1"/>
  <c r="N168" s="1"/>
  <c r="H180"/>
  <c r="Q180" s="1"/>
  <c r="N180" s="1"/>
  <c r="I156"/>
  <c r="I151"/>
  <c r="I136"/>
  <c r="I132"/>
  <c r="H159"/>
  <c r="Q159" s="1"/>
  <c r="N159" s="1"/>
  <c r="H173"/>
  <c r="Q173" s="1"/>
  <c r="N173" s="1"/>
  <c r="H177"/>
  <c r="Q177" s="1"/>
  <c r="N177" s="1"/>
  <c r="I130"/>
  <c r="H170"/>
  <c r="Q170" s="1"/>
  <c r="N170" s="1"/>
  <c r="H179"/>
  <c r="Q179" s="1"/>
  <c r="N179" s="1"/>
  <c r="I129"/>
  <c r="I126"/>
  <c r="I131"/>
  <c r="H171"/>
  <c r="Q171" s="1"/>
  <c r="N171" s="1"/>
  <c r="H176"/>
  <c r="Q176" s="1"/>
  <c r="N176" s="1"/>
  <c r="H184"/>
  <c r="Q184" s="1"/>
  <c r="N184" s="1"/>
  <c r="I152"/>
  <c r="H164"/>
  <c r="Q164" s="1"/>
  <c r="N164" s="1"/>
  <c r="I146"/>
  <c r="H167"/>
  <c r="Q167" s="1"/>
  <c r="N167" s="1"/>
  <c r="H166"/>
  <c r="Q166" s="1"/>
  <c r="N166" s="1"/>
  <c r="T201"/>
  <c r="F157" i="26"/>
  <c r="H157" s="1"/>
  <c r="F523"/>
  <c r="H523" s="1"/>
  <c r="T213" i="20"/>
  <c r="F535" i="26"/>
  <c r="H535" s="1"/>
  <c r="F169"/>
  <c r="H169" s="1"/>
  <c r="T215" i="20"/>
  <c r="F537" i="26"/>
  <c r="H537" s="1"/>
  <c r="F171"/>
  <c r="H171" s="1"/>
  <c r="F514"/>
  <c r="H514" s="1"/>
  <c r="T192" i="20"/>
  <c r="F148" i="26"/>
  <c r="H148" s="1"/>
  <c r="T207" i="20"/>
  <c r="F529" i="26"/>
  <c r="H529" s="1"/>
  <c r="F163"/>
  <c r="H163" s="1"/>
  <c r="E385" i="38"/>
  <c r="D385"/>
  <c r="F385"/>
  <c r="AM385" s="1"/>
  <c r="Z385"/>
  <c r="AA385" s="1"/>
  <c r="AN246" i="1"/>
  <c r="T275" i="50"/>
  <c r="AN234" i="1"/>
  <c r="T263" i="50"/>
  <c r="T271"/>
  <c r="AN242" i="1"/>
  <c r="AN248"/>
  <c r="T277" i="50"/>
  <c r="T265"/>
  <c r="AN236" i="1"/>
  <c r="T267" i="50"/>
  <c r="AN238" i="1"/>
  <c r="T258" i="50"/>
  <c r="AN229" i="1"/>
  <c r="AN233"/>
  <c r="T262" i="50"/>
  <c r="W401" i="1"/>
  <c r="R401"/>
  <c r="T204" i="22"/>
  <c r="I160" i="26"/>
  <c r="K160" s="1"/>
  <c r="I526"/>
  <c r="K526" s="1"/>
  <c r="K8" i="21"/>
  <c r="I140" i="22"/>
  <c r="I152"/>
  <c r="H173"/>
  <c r="Q173" s="1"/>
  <c r="N173" s="1"/>
  <c r="H171"/>
  <c r="Q171" s="1"/>
  <c r="N171" s="1"/>
  <c r="H186"/>
  <c r="Q186" s="1"/>
  <c r="N186" s="1"/>
  <c r="I136"/>
  <c r="H167"/>
  <c r="Q167" s="1"/>
  <c r="N167" s="1"/>
  <c r="H178"/>
  <c r="Q178" s="1"/>
  <c r="N178" s="1"/>
  <c r="I133"/>
  <c r="I147"/>
  <c r="I134"/>
  <c r="H158"/>
  <c r="Q158" s="1"/>
  <c r="N158" s="1"/>
  <c r="I129"/>
  <c r="H172"/>
  <c r="Q172" s="1"/>
  <c r="N172" s="1"/>
  <c r="I141"/>
  <c r="I146"/>
  <c r="I131"/>
  <c r="H165"/>
  <c r="Q165" s="1"/>
  <c r="N165" s="1"/>
  <c r="I145"/>
  <c r="H185"/>
  <c r="Q185" s="1"/>
  <c r="N185" s="1"/>
  <c r="I149"/>
  <c r="H159"/>
  <c r="Q159" s="1"/>
  <c r="N159" s="1"/>
  <c r="I138"/>
  <c r="H170"/>
  <c r="Q170" s="1"/>
  <c r="N170" s="1"/>
  <c r="H183"/>
  <c r="Q183" s="1"/>
  <c r="N183" s="1"/>
  <c r="I132"/>
  <c r="I144"/>
  <c r="I142"/>
  <c r="H163"/>
  <c r="Q163" s="1"/>
  <c r="N163" s="1"/>
  <c r="H161"/>
  <c r="Q161" s="1"/>
  <c r="N161" s="1"/>
  <c r="I137"/>
  <c r="I135"/>
  <c r="I128"/>
  <c r="H157"/>
  <c r="Q157" s="1"/>
  <c r="N157" s="1"/>
  <c r="H182"/>
  <c r="Q182" s="1"/>
  <c r="N182" s="1"/>
  <c r="H180"/>
  <c r="Q180" s="1"/>
  <c r="N180" s="1"/>
  <c r="I126"/>
  <c r="I153"/>
  <c r="I130"/>
  <c r="H162"/>
  <c r="Q162" s="1"/>
  <c r="N162" s="1"/>
  <c r="H175"/>
  <c r="Q175" s="1"/>
  <c r="N175" s="1"/>
  <c r="I150"/>
  <c r="I151"/>
  <c r="I139"/>
  <c r="H164"/>
  <c r="Q164" s="1"/>
  <c r="N164" s="1"/>
  <c r="H160"/>
  <c r="Q160" s="1"/>
  <c r="N160" s="1"/>
  <c r="I127"/>
  <c r="H176"/>
  <c r="Q176" s="1"/>
  <c r="N176" s="1"/>
  <c r="I156"/>
  <c r="H174"/>
  <c r="Q174" s="1"/>
  <c r="N174" s="1"/>
  <c r="H169"/>
  <c r="Q169" s="1"/>
  <c r="N169" s="1"/>
  <c r="H181"/>
  <c r="Q181" s="1"/>
  <c r="N181" s="1"/>
  <c r="I154"/>
  <c r="H184"/>
  <c r="Q184" s="1"/>
  <c r="N184" s="1"/>
  <c r="H166"/>
  <c r="Q166" s="1"/>
  <c r="N166" s="1"/>
  <c r="H179"/>
  <c r="Q179" s="1"/>
  <c r="N179" s="1"/>
  <c r="I155"/>
  <c r="I148"/>
  <c r="I143"/>
  <c r="H177"/>
  <c r="Q177" s="1"/>
  <c r="N177" s="1"/>
  <c r="H168"/>
  <c r="Q168" s="1"/>
  <c r="N168" s="1"/>
  <c r="I518" i="26"/>
  <c r="K518" s="1"/>
  <c r="T196" i="22"/>
  <c r="I152" i="26"/>
  <c r="K152" s="1"/>
  <c r="T215" i="22"/>
  <c r="I537" i="26"/>
  <c r="K537" s="1"/>
  <c r="I171"/>
  <c r="K171" s="1"/>
  <c r="T201" i="22"/>
  <c r="I523" i="26"/>
  <c r="K523" s="1"/>
  <c r="I157"/>
  <c r="K157" s="1"/>
  <c r="T208" i="22"/>
  <c r="I530" i="26"/>
  <c r="K530" s="1"/>
  <c r="I164"/>
  <c r="K164" s="1"/>
  <c r="T610" i="5"/>
  <c r="C566" i="26" s="1"/>
  <c r="G582" i="1" s="1"/>
  <c r="T245" i="5"/>
  <c r="C201" i="26" s="1"/>
  <c r="G217" i="1" s="1"/>
  <c r="T607" i="5"/>
  <c r="C563" i="26" s="1"/>
  <c r="G579" i="1" s="1"/>
  <c r="T242" i="5"/>
  <c r="C198" i="26" s="1"/>
  <c r="G214" i="1" s="1"/>
  <c r="T225" i="5"/>
  <c r="C181" i="26" s="1"/>
  <c r="G197" i="1" s="1"/>
  <c r="T590" i="5"/>
  <c r="C546" i="26" s="1"/>
  <c r="G562" i="1" s="1"/>
  <c r="T240" i="5"/>
  <c r="C196" i="26" s="1"/>
  <c r="G212" i="1" s="1"/>
  <c r="T605" i="5"/>
  <c r="C561" i="26" s="1"/>
  <c r="G577" i="1" s="1"/>
  <c r="T609" i="5"/>
  <c r="C565" i="26" s="1"/>
  <c r="G581" i="1" s="1"/>
  <c r="T244" i="5"/>
  <c r="C200" i="26" s="1"/>
  <c r="G216" i="1" s="1"/>
  <c r="I402" i="53" l="1"/>
  <c r="CU10" i="55" s="1"/>
  <c r="BZ10"/>
  <c r="D402" i="53"/>
  <c r="O10" i="55" s="1"/>
  <c r="V398" i="1"/>
  <c r="X398"/>
  <c r="AB397"/>
  <c r="AE397" s="1"/>
  <c r="AA397"/>
  <c r="E404" i="53" s="1"/>
  <c r="Z397" i="1"/>
  <c r="BE11" i="55"/>
  <c r="G403" i="53"/>
  <c r="AF395" i="1"/>
  <c r="AD396"/>
  <c r="S401"/>
  <c r="BD399"/>
  <c r="BE399" s="1"/>
  <c r="T399" s="1"/>
  <c r="U399" s="1"/>
  <c r="BA400"/>
  <c r="T177" i="22"/>
  <c r="I133" i="26"/>
  <c r="K133" s="1"/>
  <c r="I499"/>
  <c r="K499" s="1"/>
  <c r="T179" i="22"/>
  <c r="I501" i="26"/>
  <c r="K501" s="1"/>
  <c r="I135"/>
  <c r="K135" s="1"/>
  <c r="T181" i="22"/>
  <c r="I503" i="26"/>
  <c r="K503" s="1"/>
  <c r="I137"/>
  <c r="K137" s="1"/>
  <c r="I498"/>
  <c r="K498" s="1"/>
  <c r="I132"/>
  <c r="K132" s="1"/>
  <c r="T176" i="22"/>
  <c r="T162"/>
  <c r="I118" i="26"/>
  <c r="K118" s="1"/>
  <c r="I484"/>
  <c r="K484" s="1"/>
  <c r="T180" i="22"/>
  <c r="I502" i="26"/>
  <c r="K502" s="1"/>
  <c r="I136"/>
  <c r="K136" s="1"/>
  <c r="I492"/>
  <c r="K492" s="1"/>
  <c r="T170" i="22"/>
  <c r="I126" i="26"/>
  <c r="K126" s="1"/>
  <c r="T185" i="22"/>
  <c r="I141" i="26"/>
  <c r="K141" s="1"/>
  <c r="I507"/>
  <c r="K507" s="1"/>
  <c r="I480"/>
  <c r="K480" s="1"/>
  <c r="I114"/>
  <c r="K114" s="1"/>
  <c r="T158" i="22"/>
  <c r="I500" i="26"/>
  <c r="K500" s="1"/>
  <c r="I134"/>
  <c r="K134" s="1"/>
  <c r="T178" i="22"/>
  <c r="T171"/>
  <c r="I493" i="26"/>
  <c r="K493" s="1"/>
  <c r="I127"/>
  <c r="K127" s="1"/>
  <c r="H134" i="22"/>
  <c r="Q134" s="1"/>
  <c r="N134" s="1"/>
  <c r="I115"/>
  <c r="H143"/>
  <c r="Q143" s="1"/>
  <c r="N143" s="1"/>
  <c r="H131"/>
  <c r="Q131" s="1"/>
  <c r="N131" s="1"/>
  <c r="I118"/>
  <c r="H137"/>
  <c r="Q137" s="1"/>
  <c r="N137" s="1"/>
  <c r="I110"/>
  <c r="I122"/>
  <c r="H130"/>
  <c r="Q130" s="1"/>
  <c r="N130" s="1"/>
  <c r="I101"/>
  <c r="I124"/>
  <c r="I121"/>
  <c r="H152"/>
  <c r="Q152" s="1"/>
  <c r="N152" s="1"/>
  <c r="I119"/>
  <c r="H151"/>
  <c r="Q151" s="1"/>
  <c r="N151" s="1"/>
  <c r="H135"/>
  <c r="Q135" s="1"/>
  <c r="N135" s="1"/>
  <c r="H154"/>
  <c r="Q154" s="1"/>
  <c r="N154" s="1"/>
  <c r="I97"/>
  <c r="I108"/>
  <c r="I105"/>
  <c r="I123"/>
  <c r="I112"/>
  <c r="K7" i="21"/>
  <c r="I113" i="22"/>
  <c r="H150"/>
  <c r="Q150" s="1"/>
  <c r="N150" s="1"/>
  <c r="H155"/>
  <c r="Q155" s="1"/>
  <c r="N155" s="1"/>
  <c r="I114"/>
  <c r="H144"/>
  <c r="Q144" s="1"/>
  <c r="N144" s="1"/>
  <c r="I111"/>
  <c r="H142"/>
  <c r="Q142" s="1"/>
  <c r="N142" s="1"/>
  <c r="I100"/>
  <c r="H126"/>
  <c r="Q126" s="1"/>
  <c r="N126" s="1"/>
  <c r="H148"/>
  <c r="Q148" s="1"/>
  <c r="N148" s="1"/>
  <c r="H147"/>
  <c r="Q147" s="1"/>
  <c r="N147" s="1"/>
  <c r="I99"/>
  <c r="H146"/>
  <c r="Q146" s="1"/>
  <c r="N146" s="1"/>
  <c r="I120"/>
  <c r="I109"/>
  <c r="I102"/>
  <c r="I107"/>
  <c r="H141"/>
  <c r="Q141" s="1"/>
  <c r="N141" s="1"/>
  <c r="H156"/>
  <c r="Q156" s="1"/>
  <c r="N156" s="1"/>
  <c r="I106"/>
  <c r="H136"/>
  <c r="Q136" s="1"/>
  <c r="N136" s="1"/>
  <c r="I103"/>
  <c r="H133"/>
  <c r="Q133" s="1"/>
  <c r="N133" s="1"/>
  <c r="I96"/>
  <c r="H149"/>
  <c r="Q149" s="1"/>
  <c r="N149" s="1"/>
  <c r="H145"/>
  <c r="Q145" s="1"/>
  <c r="N145" s="1"/>
  <c r="H139"/>
  <c r="Q139" s="1"/>
  <c r="N139" s="1"/>
  <c r="H129"/>
  <c r="Q129" s="1"/>
  <c r="N129" s="1"/>
  <c r="H140"/>
  <c r="Q140" s="1"/>
  <c r="N140" s="1"/>
  <c r="I117"/>
  <c r="H132"/>
  <c r="Q132" s="1"/>
  <c r="N132" s="1"/>
  <c r="H153"/>
  <c r="Q153" s="1"/>
  <c r="N153" s="1"/>
  <c r="I104"/>
  <c r="H127"/>
  <c r="Q127" s="1"/>
  <c r="N127" s="1"/>
  <c r="H138"/>
  <c r="Q138" s="1"/>
  <c r="N138" s="1"/>
  <c r="I98"/>
  <c r="H128"/>
  <c r="Q128" s="1"/>
  <c r="N128" s="1"/>
  <c r="I125"/>
  <c r="I116"/>
  <c r="AO385" i="38"/>
  <c r="AP385" s="1"/>
  <c r="AQ385" s="1"/>
  <c r="AN385"/>
  <c r="AR385" s="1"/>
  <c r="T167" i="20"/>
  <c r="F123" i="26"/>
  <c r="H123" s="1"/>
  <c r="F489"/>
  <c r="H489" s="1"/>
  <c r="F506"/>
  <c r="H506" s="1"/>
  <c r="T184" i="20"/>
  <c r="F140" i="26"/>
  <c r="H140" s="1"/>
  <c r="T180" i="20"/>
  <c r="F502" i="26"/>
  <c r="H502" s="1"/>
  <c r="F136"/>
  <c r="H136" s="1"/>
  <c r="F137"/>
  <c r="H137" s="1"/>
  <c r="F503"/>
  <c r="H503" s="1"/>
  <c r="T181" i="20"/>
  <c r="F487" i="26"/>
  <c r="H487" s="1"/>
  <c r="T165" i="20"/>
  <c r="F121" i="26"/>
  <c r="H121" s="1"/>
  <c r="T185" i="20"/>
  <c r="F141" i="26"/>
  <c r="H141" s="1"/>
  <c r="F507"/>
  <c r="H507" s="1"/>
  <c r="T175" i="20"/>
  <c r="F131" i="26"/>
  <c r="H131" s="1"/>
  <c r="F497"/>
  <c r="H497" s="1"/>
  <c r="T174" i="20"/>
  <c r="F496" i="26"/>
  <c r="H496" s="1"/>
  <c r="F130"/>
  <c r="H130" s="1"/>
  <c r="I116" i="20"/>
  <c r="H130"/>
  <c r="Q130" s="1"/>
  <c r="N130" s="1"/>
  <c r="I96"/>
  <c r="I110"/>
  <c r="H145"/>
  <c r="Q145" s="1"/>
  <c r="N145" s="1"/>
  <c r="I114"/>
  <c r="H143"/>
  <c r="Q143" s="1"/>
  <c r="N143" s="1"/>
  <c r="H156"/>
  <c r="Q156" s="1"/>
  <c r="N156" s="1"/>
  <c r="I124"/>
  <c r="I98"/>
  <c r="H136"/>
  <c r="Q136" s="1"/>
  <c r="N136" s="1"/>
  <c r="I106"/>
  <c r="I123"/>
  <c r="H150"/>
  <c r="Q150" s="1"/>
  <c r="N150" s="1"/>
  <c r="I100"/>
  <c r="H153"/>
  <c r="Q153" s="1"/>
  <c r="N153" s="1"/>
  <c r="H155"/>
  <c r="Q155" s="1"/>
  <c r="N155" s="1"/>
  <c r="H144"/>
  <c r="Q144" s="1"/>
  <c r="N144" s="1"/>
  <c r="K7" i="19"/>
  <c r="H142" i="20"/>
  <c r="Q142" s="1"/>
  <c r="N142" s="1"/>
  <c r="I111"/>
  <c r="H135"/>
  <c r="Q135" s="1"/>
  <c r="N135" s="1"/>
  <c r="I102"/>
  <c r="I121"/>
  <c r="H152"/>
  <c r="Q152" s="1"/>
  <c r="N152" s="1"/>
  <c r="H139"/>
  <c r="Q139" s="1"/>
  <c r="N139" s="1"/>
  <c r="H148"/>
  <c r="Q148" s="1"/>
  <c r="N148" s="1"/>
  <c r="I115"/>
  <c r="I120"/>
  <c r="H137"/>
  <c r="Q137" s="1"/>
  <c r="N137" s="1"/>
  <c r="H134"/>
  <c r="Q134" s="1"/>
  <c r="N134" s="1"/>
  <c r="H146"/>
  <c r="Q146" s="1"/>
  <c r="N146" s="1"/>
  <c r="I108"/>
  <c r="H141"/>
  <c r="Q141" s="1"/>
  <c r="N141" s="1"/>
  <c r="I101"/>
  <c r="H131"/>
  <c r="Q131" s="1"/>
  <c r="N131" s="1"/>
  <c r="H149"/>
  <c r="Q149" s="1"/>
  <c r="N149" s="1"/>
  <c r="H127"/>
  <c r="Q127" s="1"/>
  <c r="N127" s="1"/>
  <c r="H129"/>
  <c r="Q129" s="1"/>
  <c r="N129" s="1"/>
  <c r="I112"/>
  <c r="I104"/>
  <c r="H128"/>
  <c r="Q128" s="1"/>
  <c r="N128" s="1"/>
  <c r="H140"/>
  <c r="Q140" s="1"/>
  <c r="N140" s="1"/>
  <c r="I107"/>
  <c r="I117"/>
  <c r="H147"/>
  <c r="Q147" s="1"/>
  <c r="N147" s="1"/>
  <c r="I119"/>
  <c r="H133"/>
  <c r="Q133" s="1"/>
  <c r="N133" s="1"/>
  <c r="I105"/>
  <c r="I118"/>
  <c r="H154"/>
  <c r="Q154" s="1"/>
  <c r="N154" s="1"/>
  <c r="I125"/>
  <c r="H151"/>
  <c r="Q151" s="1"/>
  <c r="N151" s="1"/>
  <c r="I113"/>
  <c r="H126"/>
  <c r="Q126" s="1"/>
  <c r="N126" s="1"/>
  <c r="I109"/>
  <c r="I97"/>
  <c r="I122"/>
  <c r="H132"/>
  <c r="Q132" s="1"/>
  <c r="N132" s="1"/>
  <c r="I99"/>
  <c r="I103"/>
  <c r="H138"/>
  <c r="Q138" s="1"/>
  <c r="N138" s="1"/>
  <c r="AR384" i="38"/>
  <c r="AC403" i="1"/>
  <c r="AI403"/>
  <c r="AL403"/>
  <c r="AJ403"/>
  <c r="AH403"/>
  <c r="BC403"/>
  <c r="AM403"/>
  <c r="AK403"/>
  <c r="F406" i="52"/>
  <c r="A411" i="53"/>
  <c r="B412" s="1"/>
  <c r="C404" i="1"/>
  <c r="D404" s="1"/>
  <c r="B405"/>
  <c r="A404"/>
  <c r="B387" i="38"/>
  <c r="E404" i="1"/>
  <c r="A388" i="26"/>
  <c r="B388" s="1"/>
  <c r="K404" i="1"/>
  <c r="N404" s="1"/>
  <c r="L404"/>
  <c r="M403" s="1"/>
  <c r="T555" i="5"/>
  <c r="C511" i="26" s="1"/>
  <c r="G527" i="1" s="1"/>
  <c r="T190" i="5"/>
  <c r="C146" i="26" s="1"/>
  <c r="G162" i="1" s="1"/>
  <c r="T581" i="5"/>
  <c r="C537" i="26" s="1"/>
  <c r="G553" i="1" s="1"/>
  <c r="T216" i="5"/>
  <c r="C172" i="26" s="1"/>
  <c r="G188" i="1" s="1"/>
  <c r="T572" i="5"/>
  <c r="C528" i="26" s="1"/>
  <c r="G544" i="1" s="1"/>
  <c r="T207" i="5"/>
  <c r="C163" i="26" s="1"/>
  <c r="G179" i="1" s="1"/>
  <c r="T202" i="5"/>
  <c r="C158" i="26" s="1"/>
  <c r="G174" i="1" s="1"/>
  <c r="T567" i="5"/>
  <c r="C523" i="26" s="1"/>
  <c r="G539" i="1" s="1"/>
  <c r="T558" i="5"/>
  <c r="C514" i="26" s="1"/>
  <c r="G530" i="1" s="1"/>
  <c r="T193" i="5"/>
  <c r="C149" i="26" s="1"/>
  <c r="G165" i="1" s="1"/>
  <c r="T209" i="5"/>
  <c r="C165" i="26" s="1"/>
  <c r="G181" i="1" s="1"/>
  <c r="T574" i="5"/>
  <c r="C530" i="26" s="1"/>
  <c r="G546" i="1" s="1"/>
  <c r="T561" i="5"/>
  <c r="C517" i="26" s="1"/>
  <c r="G533" i="1" s="1"/>
  <c r="T196" i="5"/>
  <c r="C152" i="26" s="1"/>
  <c r="G168" i="1" s="1"/>
  <c r="T556" i="5"/>
  <c r="C512" i="26" s="1"/>
  <c r="G528" i="1" s="1"/>
  <c r="T191" i="5"/>
  <c r="C147" i="26" s="1"/>
  <c r="G163" i="1" s="1"/>
  <c r="T199" i="5"/>
  <c r="C155" i="26" s="1"/>
  <c r="G171" i="1" s="1"/>
  <c r="T564" i="5"/>
  <c r="C520" i="26" s="1"/>
  <c r="G536" i="1" s="1"/>
  <c r="T575" i="5"/>
  <c r="C531" i="26" s="1"/>
  <c r="G547" i="1" s="1"/>
  <c r="T210" i="5"/>
  <c r="C166" i="26" s="1"/>
  <c r="G182" i="1" s="1"/>
  <c r="T221" i="50"/>
  <c r="AN192" i="1"/>
  <c r="T247" i="50"/>
  <c r="AN218" i="1"/>
  <c r="AN203"/>
  <c r="T232" i="50"/>
  <c r="T218"/>
  <c r="AN189" i="1"/>
  <c r="AN217"/>
  <c r="T246" i="50"/>
  <c r="T243"/>
  <c r="AN214" i="1"/>
  <c r="AN211"/>
  <c r="T240" i="50"/>
  <c r="T226"/>
  <c r="AN197" i="1"/>
  <c r="T235" i="50"/>
  <c r="AN206" i="1"/>
  <c r="AN215"/>
  <c r="T244" i="50"/>
  <c r="T237"/>
  <c r="AN208" i="1"/>
  <c r="I488" i="26"/>
  <c r="K488" s="1"/>
  <c r="T166" i="22"/>
  <c r="I122" i="26"/>
  <c r="K122" s="1"/>
  <c r="T169" i="22"/>
  <c r="I125" i="26"/>
  <c r="K125" s="1"/>
  <c r="I491"/>
  <c r="K491" s="1"/>
  <c r="T182" i="22"/>
  <c r="I138" i="26"/>
  <c r="K138" s="1"/>
  <c r="I504"/>
  <c r="K504" s="1"/>
  <c r="T167" i="22"/>
  <c r="I123" i="26"/>
  <c r="K123" s="1"/>
  <c r="I489"/>
  <c r="K489" s="1"/>
  <c r="T173" i="22"/>
  <c r="I495" i="26"/>
  <c r="K495" s="1"/>
  <c r="I129"/>
  <c r="K129" s="1"/>
  <c r="I140"/>
  <c r="K140" s="1"/>
  <c r="T184" i="22"/>
  <c r="I506" i="26"/>
  <c r="K506" s="1"/>
  <c r="I496"/>
  <c r="K496" s="1"/>
  <c r="T174" i="22"/>
  <c r="I130" i="26"/>
  <c r="K130" s="1"/>
  <c r="T160" i="22"/>
  <c r="I482" i="26"/>
  <c r="K482" s="1"/>
  <c r="I116"/>
  <c r="K116" s="1"/>
  <c r="T157" i="22"/>
  <c r="I113" i="26"/>
  <c r="K113" s="1"/>
  <c r="I479"/>
  <c r="K479" s="1"/>
  <c r="T161" i="22"/>
  <c r="I117" i="26"/>
  <c r="K117" s="1"/>
  <c r="I483"/>
  <c r="K483" s="1"/>
  <c r="I481"/>
  <c r="K481" s="1"/>
  <c r="T159" i="22"/>
  <c r="I115" i="26"/>
  <c r="K115" s="1"/>
  <c r="I487"/>
  <c r="K487" s="1"/>
  <c r="T165" i="22"/>
  <c r="I121" i="26"/>
  <c r="K121" s="1"/>
  <c r="I128"/>
  <c r="K128" s="1"/>
  <c r="T172" i="22"/>
  <c r="I494" i="26"/>
  <c r="K494" s="1"/>
  <c r="T176" i="20"/>
  <c r="F498" i="26"/>
  <c r="H498" s="1"/>
  <c r="F132"/>
  <c r="H132" s="1"/>
  <c r="F133"/>
  <c r="H133" s="1"/>
  <c r="T177" i="20"/>
  <c r="F499" i="26"/>
  <c r="H499" s="1"/>
  <c r="F490"/>
  <c r="H490" s="1"/>
  <c r="T168" i="20"/>
  <c r="F124" i="26"/>
  <c r="H124" s="1"/>
  <c r="F116"/>
  <c r="H116" s="1"/>
  <c r="T160" i="20"/>
  <c r="F482" i="26"/>
  <c r="H482" s="1"/>
  <c r="T186" i="20"/>
  <c r="F508" i="26"/>
  <c r="H508" s="1"/>
  <c r="F142"/>
  <c r="H142" s="1"/>
  <c r="T158" i="20"/>
  <c r="F114" i="26"/>
  <c r="H114" s="1"/>
  <c r="F480"/>
  <c r="H480" s="1"/>
  <c r="F118"/>
  <c r="H118" s="1"/>
  <c r="F484"/>
  <c r="H484" s="1"/>
  <c r="T162" i="20"/>
  <c r="C392" i="48"/>
  <c r="E392"/>
  <c r="X392" s="1"/>
  <c r="D392"/>
  <c r="W392" s="1"/>
  <c r="B393"/>
  <c r="E386" i="38"/>
  <c r="Z386"/>
  <c r="AA386" s="1"/>
  <c r="D386"/>
  <c r="F386"/>
  <c r="AM386" s="1"/>
  <c r="T215" i="5"/>
  <c r="C171" i="26" s="1"/>
  <c r="G187" i="1" s="1"/>
  <c r="T580" i="5"/>
  <c r="C536" i="26" s="1"/>
  <c r="G552" i="1" s="1"/>
  <c r="T554" i="5"/>
  <c r="C510" i="26" s="1"/>
  <c r="G526" i="1" s="1"/>
  <c r="T189" i="5"/>
  <c r="C145" i="26" s="1"/>
  <c r="G161" i="1" s="1"/>
  <c r="T552" i="5"/>
  <c r="C508" i="26" s="1"/>
  <c r="G524" i="1" s="1"/>
  <c r="T187" i="5"/>
  <c r="C143" i="26" s="1"/>
  <c r="G159" i="1" s="1"/>
  <c r="T211" i="5"/>
  <c r="C167" i="26" s="1"/>
  <c r="G183" i="1" s="1"/>
  <c r="T576" i="5"/>
  <c r="C532" i="26" s="1"/>
  <c r="G548" i="1" s="1"/>
  <c r="T578" i="5"/>
  <c r="C534" i="26" s="1"/>
  <c r="G550" i="1" s="1"/>
  <c r="T213" i="5"/>
  <c r="C169" i="26" s="1"/>
  <c r="G185" i="1" s="1"/>
  <c r="T188" i="5"/>
  <c r="C144" i="26" s="1"/>
  <c r="G160" i="1" s="1"/>
  <c r="T553" i="5"/>
  <c r="C509" i="26" s="1"/>
  <c r="G525" i="1" s="1"/>
  <c r="T214" i="5"/>
  <c r="C170" i="26" s="1"/>
  <c r="G186" i="1" s="1"/>
  <c r="T579" i="5"/>
  <c r="C535" i="26" s="1"/>
  <c r="G551" i="1" s="1"/>
  <c r="T582" i="5"/>
  <c r="C538" i="26" s="1"/>
  <c r="G554" i="1" s="1"/>
  <c r="T217" i="5"/>
  <c r="C173" i="26" s="1"/>
  <c r="G189" i="1" s="1"/>
  <c r="AN198"/>
  <c r="T227" i="50"/>
  <c r="AN191" i="1"/>
  <c r="T220" i="50"/>
  <c r="AN209" i="1"/>
  <c r="T238" i="50"/>
  <c r="AN193" i="1"/>
  <c r="T222" i="50"/>
  <c r="T236"/>
  <c r="AN207" i="1"/>
  <c r="AN216"/>
  <c r="T245" i="50"/>
  <c r="T225"/>
  <c r="AN196" i="1"/>
  <c r="H191" i="50"/>
  <c r="Q191" s="1"/>
  <c r="N191" s="1"/>
  <c r="H187"/>
  <c r="Q187" s="1"/>
  <c r="N187" s="1"/>
  <c r="H214"/>
  <c r="Q214" s="1"/>
  <c r="N214" s="1"/>
  <c r="I178"/>
  <c r="I186"/>
  <c r="I184"/>
  <c r="H197"/>
  <c r="Q197" s="1"/>
  <c r="N197" s="1"/>
  <c r="H204"/>
  <c r="Q204" s="1"/>
  <c r="N204" s="1"/>
  <c r="H199"/>
  <c r="Q199" s="1"/>
  <c r="N199" s="1"/>
  <c r="I160"/>
  <c r="I179"/>
  <c r="H201"/>
  <c r="Q201" s="1"/>
  <c r="N201" s="1"/>
  <c r="H210"/>
  <c r="Q210" s="1"/>
  <c r="N210" s="1"/>
  <c r="H205"/>
  <c r="Q205" s="1"/>
  <c r="N205" s="1"/>
  <c r="I175"/>
  <c r="I168"/>
  <c r="I169"/>
  <c r="I185"/>
  <c r="H188"/>
  <c r="Q188" s="1"/>
  <c r="N188" s="1"/>
  <c r="H196"/>
  <c r="Q196" s="1"/>
  <c r="N196" s="1"/>
  <c r="I164"/>
  <c r="H215"/>
  <c r="Q215" s="1"/>
  <c r="N215" s="1"/>
  <c r="I174"/>
  <c r="I157"/>
  <c r="I176"/>
  <c r="H195"/>
  <c r="Q195" s="1"/>
  <c r="N195" s="1"/>
  <c r="I173"/>
  <c r="H202"/>
  <c r="Q202" s="1"/>
  <c r="N202" s="1"/>
  <c r="I161"/>
  <c r="I182"/>
  <c r="K9" i="49"/>
  <c r="H217" i="50"/>
  <c r="Q217" s="1"/>
  <c r="N217" s="1"/>
  <c r="H192"/>
  <c r="Q192" s="1"/>
  <c r="N192" s="1"/>
  <c r="I163"/>
  <c r="I172"/>
  <c r="I166"/>
  <c r="H208"/>
  <c r="Q208" s="1"/>
  <c r="N208" s="1"/>
  <c r="H209"/>
  <c r="Q209" s="1"/>
  <c r="N209" s="1"/>
  <c r="H212"/>
  <c r="Q212" s="1"/>
  <c r="N212" s="1"/>
  <c r="H211"/>
  <c r="Q211" s="1"/>
  <c r="N211" s="1"/>
  <c r="I165"/>
  <c r="I180"/>
  <c r="H189"/>
  <c r="Q189" s="1"/>
  <c r="N189" s="1"/>
  <c r="H194"/>
  <c r="Q194" s="1"/>
  <c r="N194" s="1"/>
  <c r="I181"/>
  <c r="H203"/>
  <c r="Q203" s="1"/>
  <c r="N203" s="1"/>
  <c r="I171"/>
  <c r="I158"/>
  <c r="I167"/>
  <c r="I170"/>
  <c r="I162"/>
  <c r="H206"/>
  <c r="Q206" s="1"/>
  <c r="N206" s="1"/>
  <c r="H216"/>
  <c r="Q216" s="1"/>
  <c r="N216" s="1"/>
  <c r="H193"/>
  <c r="Q193" s="1"/>
  <c r="N193" s="1"/>
  <c r="H207"/>
  <c r="Q207" s="1"/>
  <c r="N207" s="1"/>
  <c r="H190"/>
  <c r="Q190" s="1"/>
  <c r="N190" s="1"/>
  <c r="H198"/>
  <c r="Q198" s="1"/>
  <c r="N198" s="1"/>
  <c r="H200"/>
  <c r="Q200" s="1"/>
  <c r="N200" s="1"/>
  <c r="H213"/>
  <c r="Q213" s="1"/>
  <c r="N213" s="1"/>
  <c r="I159"/>
  <c r="I183"/>
  <c r="I177"/>
  <c r="W402" i="1"/>
  <c r="R402"/>
  <c r="I124" i="26"/>
  <c r="K124" s="1"/>
  <c r="T168" i="22"/>
  <c r="I490" i="26"/>
  <c r="K490" s="1"/>
  <c r="I486"/>
  <c r="K486" s="1"/>
  <c r="I120"/>
  <c r="K120" s="1"/>
  <c r="T164" i="22"/>
  <c r="I131" i="26"/>
  <c r="K131" s="1"/>
  <c r="I497"/>
  <c r="K497" s="1"/>
  <c r="T175" i="22"/>
  <c r="T163"/>
  <c r="I119" i="26"/>
  <c r="K119" s="1"/>
  <c r="I485"/>
  <c r="K485" s="1"/>
  <c r="T183" i="22"/>
  <c r="I505" i="26"/>
  <c r="K505" s="1"/>
  <c r="I139"/>
  <c r="K139" s="1"/>
  <c r="T186" i="22"/>
  <c r="I142" i="26"/>
  <c r="K142" s="1"/>
  <c r="I508"/>
  <c r="K508" s="1"/>
  <c r="T164" i="20"/>
  <c r="F486" i="26"/>
  <c r="H486" s="1"/>
  <c r="F120"/>
  <c r="H120" s="1"/>
  <c r="F493"/>
  <c r="H493" s="1"/>
  <c r="T171" i="20"/>
  <c r="F127" i="26"/>
  <c r="H127" s="1"/>
  <c r="F135"/>
  <c r="H135" s="1"/>
  <c r="T179" i="20"/>
  <c r="F501" i="26"/>
  <c r="H501" s="1"/>
  <c r="T173" i="20"/>
  <c r="F129" i="26"/>
  <c r="H129" s="1"/>
  <c r="F495"/>
  <c r="H495" s="1"/>
  <c r="T178" i="20"/>
  <c r="F500" i="26"/>
  <c r="H500" s="1"/>
  <c r="F134"/>
  <c r="H134" s="1"/>
  <c r="F504"/>
  <c r="H504" s="1"/>
  <c r="T182" i="20"/>
  <c r="F138" i="26"/>
  <c r="H138" s="1"/>
  <c r="T161" i="20"/>
  <c r="F483" i="26"/>
  <c r="H483" s="1"/>
  <c r="F117"/>
  <c r="H117" s="1"/>
  <c r="F113"/>
  <c r="H113" s="1"/>
  <c r="F479"/>
  <c r="H479" s="1"/>
  <c r="T157" i="20"/>
  <c r="E405" i="52"/>
  <c r="H173" i="5"/>
  <c r="Q173" s="1"/>
  <c r="N173" s="1"/>
  <c r="I145"/>
  <c r="H186"/>
  <c r="Q186" s="1"/>
  <c r="N186" s="1"/>
  <c r="K8" i="4"/>
  <c r="I136" i="5"/>
  <c r="H175"/>
  <c r="Q175" s="1"/>
  <c r="N175" s="1"/>
  <c r="I143"/>
  <c r="I139"/>
  <c r="H165"/>
  <c r="Q165" s="1"/>
  <c r="N165" s="1"/>
  <c r="H158"/>
  <c r="Q158" s="1"/>
  <c r="N158" s="1"/>
  <c r="H161"/>
  <c r="Q161" s="1"/>
  <c r="N161" s="1"/>
  <c r="I147"/>
  <c r="I133"/>
  <c r="H157"/>
  <c r="Q157" s="1"/>
  <c r="N157" s="1"/>
  <c r="H171"/>
  <c r="Q171" s="1"/>
  <c r="N171" s="1"/>
  <c r="H166"/>
  <c r="Q166" s="1"/>
  <c r="N166" s="1"/>
  <c r="H170"/>
  <c r="Q170" s="1"/>
  <c r="N170" s="1"/>
  <c r="H163"/>
  <c r="Q163" s="1"/>
  <c r="N163" s="1"/>
  <c r="H180"/>
  <c r="Q180" s="1"/>
  <c r="N180" s="1"/>
  <c r="H160"/>
  <c r="Q160" s="1"/>
  <c r="N160" s="1"/>
  <c r="H176"/>
  <c r="Q176" s="1"/>
  <c r="N176" s="1"/>
  <c r="H169"/>
  <c r="Q169" s="1"/>
  <c r="N169" s="1"/>
  <c r="H178"/>
  <c r="Q178" s="1"/>
  <c r="N178" s="1"/>
  <c r="H177"/>
  <c r="Q177" s="1"/>
  <c r="N177" s="1"/>
  <c r="H183"/>
  <c r="Q183" s="1"/>
  <c r="N183" s="1"/>
  <c r="H164"/>
  <c r="Q164" s="1"/>
  <c r="N164" s="1"/>
  <c r="I129"/>
  <c r="I131"/>
  <c r="H181"/>
  <c r="Q181" s="1"/>
  <c r="N181" s="1"/>
  <c r="I132"/>
  <c r="I154"/>
  <c r="I128"/>
  <c r="I151"/>
  <c r="I130"/>
  <c r="I148"/>
  <c r="I137"/>
  <c r="I146"/>
  <c r="I126"/>
  <c r="H179"/>
  <c r="Q179" s="1"/>
  <c r="N179" s="1"/>
  <c r="I155"/>
  <c r="I144"/>
  <c r="H184"/>
  <c r="Q184" s="1"/>
  <c r="N184" s="1"/>
  <c r="H167"/>
  <c r="Q167" s="1"/>
  <c r="N167" s="1"/>
  <c r="H159"/>
  <c r="Q159" s="1"/>
  <c r="N159" s="1"/>
  <c r="I140"/>
  <c r="H168"/>
  <c r="Q168" s="1"/>
  <c r="N168" s="1"/>
  <c r="I134"/>
  <c r="I153"/>
  <c r="I135"/>
  <c r="H185"/>
  <c r="Q185" s="1"/>
  <c r="N185" s="1"/>
  <c r="H182"/>
  <c r="Q182" s="1"/>
  <c r="N182" s="1"/>
  <c r="I138"/>
  <c r="I152"/>
  <c r="I142"/>
  <c r="H174"/>
  <c r="Q174" s="1"/>
  <c r="N174" s="1"/>
  <c r="I127"/>
  <c r="H172"/>
  <c r="Q172" s="1"/>
  <c r="N172" s="1"/>
  <c r="I141"/>
  <c r="I150"/>
  <c r="H162"/>
  <c r="Q162" s="1"/>
  <c r="N162" s="1"/>
  <c r="I156"/>
  <c r="I149"/>
  <c r="T203"/>
  <c r="C159" i="26" s="1"/>
  <c r="G175" i="1" s="1"/>
  <c r="T568" i="5"/>
  <c r="C524" i="26" s="1"/>
  <c r="G540" i="1" s="1"/>
  <c r="T557" i="5"/>
  <c r="C513" i="26" s="1"/>
  <c r="G529" i="1" s="1"/>
  <c r="T192" i="5"/>
  <c r="C148" i="26" s="1"/>
  <c r="G164" i="1" s="1"/>
  <c r="T577" i="5"/>
  <c r="C533" i="26" s="1"/>
  <c r="G549" i="1" s="1"/>
  <c r="T212" i="5"/>
  <c r="C168" i="26" s="1"/>
  <c r="G184" i="1" s="1"/>
  <c r="T571" i="5"/>
  <c r="C527" i="26" s="1"/>
  <c r="G543" i="1" s="1"/>
  <c r="T206" i="5"/>
  <c r="C162" i="26" s="1"/>
  <c r="G178" i="1" s="1"/>
  <c r="T566" i="5"/>
  <c r="C522" i="26" s="1"/>
  <c r="G538" i="1" s="1"/>
  <c r="T201" i="5"/>
  <c r="C157" i="26" s="1"/>
  <c r="G173" i="1" s="1"/>
  <c r="T239" i="50"/>
  <c r="AN210" i="1"/>
  <c r="AN202"/>
  <c r="T231" i="50"/>
  <c r="AN195" i="1"/>
  <c r="T224" i="50"/>
  <c r="T242"/>
  <c r="AN213" i="1"/>
  <c r="T233" i="50"/>
  <c r="AN204" i="1"/>
  <c r="AN194"/>
  <c r="T223" i="50"/>
  <c r="T229"/>
  <c r="AN200" i="1"/>
  <c r="AN199"/>
  <c r="T228" i="50"/>
  <c r="T166" i="20"/>
  <c r="F122" i="26"/>
  <c r="H122" s="1"/>
  <c r="F488"/>
  <c r="H488" s="1"/>
  <c r="T170" i="20"/>
  <c r="F492" i="26"/>
  <c r="H492" s="1"/>
  <c r="F126"/>
  <c r="H126" s="1"/>
  <c r="F481"/>
  <c r="H481" s="1"/>
  <c r="T159" i="20"/>
  <c r="F115" i="26"/>
  <c r="H115" s="1"/>
  <c r="T183" i="20"/>
  <c r="F139" i="26"/>
  <c r="H139" s="1"/>
  <c r="F505"/>
  <c r="H505" s="1"/>
  <c r="T172" i="20"/>
  <c r="F128" i="26"/>
  <c r="H128" s="1"/>
  <c r="F494"/>
  <c r="H494" s="1"/>
  <c r="F119"/>
  <c r="H119" s="1"/>
  <c r="F485"/>
  <c r="H485" s="1"/>
  <c r="T163" i="20"/>
  <c r="T169"/>
  <c r="F491" i="26"/>
  <c r="H491" s="1"/>
  <c r="F125"/>
  <c r="H125" s="1"/>
  <c r="V391" i="48"/>
  <c r="F391"/>
  <c r="Y391" s="1"/>
  <c r="P403" i="1"/>
  <c r="T559" i="5"/>
  <c r="C515" i="26" s="1"/>
  <c r="G531" i="1" s="1"/>
  <c r="T194" i="5"/>
  <c r="C150" i="26" s="1"/>
  <c r="G166" i="1" s="1"/>
  <c r="T200" i="5"/>
  <c r="C156" i="26" s="1"/>
  <c r="G172" i="1" s="1"/>
  <c r="T565" i="5"/>
  <c r="C521" i="26" s="1"/>
  <c r="G537" i="1" s="1"/>
  <c r="T198" i="5"/>
  <c r="C154" i="26" s="1"/>
  <c r="G170" i="1" s="1"/>
  <c r="T563" i="5"/>
  <c r="C519" i="26" s="1"/>
  <c r="G535" i="1" s="1"/>
  <c r="T570" i="5"/>
  <c r="C526" i="26" s="1"/>
  <c r="G542" i="1" s="1"/>
  <c r="T205" i="5"/>
  <c r="C161" i="26" s="1"/>
  <c r="G177" i="1" s="1"/>
  <c r="T197" i="5"/>
  <c r="C153" i="26" s="1"/>
  <c r="G169" i="1" s="1"/>
  <c r="T562" i="5"/>
  <c r="C518" i="26" s="1"/>
  <c r="G534" i="1" s="1"/>
  <c r="T560" i="5"/>
  <c r="C516" i="26" s="1"/>
  <c r="G532" i="1" s="1"/>
  <c r="T195" i="5"/>
  <c r="C151" i="26" s="1"/>
  <c r="G167" i="1" s="1"/>
  <c r="T204" i="5"/>
  <c r="C160" i="26" s="1"/>
  <c r="G176" i="1" s="1"/>
  <c r="T569" i="5"/>
  <c r="C525" i="26" s="1"/>
  <c r="G541" i="1" s="1"/>
  <c r="T573" i="5"/>
  <c r="C529" i="26" s="1"/>
  <c r="G545" i="1" s="1"/>
  <c r="T208" i="5"/>
  <c r="C164" i="26" s="1"/>
  <c r="G180" i="1" s="1"/>
  <c r="AN205"/>
  <c r="T234" i="50"/>
  <c r="T219"/>
  <c r="AN190" i="1"/>
  <c r="T241" i="50"/>
  <c r="AN212" i="1"/>
  <c r="T230" i="50"/>
  <c r="AN201" i="1"/>
  <c r="BK383" i="38"/>
  <c r="AS383"/>
  <c r="AU383" s="1"/>
  <c r="AV383" s="1"/>
  <c r="BA383" s="1"/>
  <c r="BB383" s="1"/>
  <c r="BH383" s="1"/>
  <c r="BJ383" s="1"/>
  <c r="P383" s="1"/>
  <c r="O383" s="1"/>
  <c r="I403" i="53" l="1"/>
  <c r="CU11" i="55" s="1"/>
  <c r="D403" i="53"/>
  <c r="O11" i="55" s="1"/>
  <c r="BZ11"/>
  <c r="G404" i="53"/>
  <c r="BE12" i="55"/>
  <c r="BD400" i="1"/>
  <c r="BE400" s="1"/>
  <c r="T400" s="1"/>
  <c r="U400" s="1"/>
  <c r="BA401"/>
  <c r="AF396"/>
  <c r="AD397"/>
  <c r="S402"/>
  <c r="V399"/>
  <c r="X399"/>
  <c r="AB398"/>
  <c r="AE398" s="1"/>
  <c r="Z398"/>
  <c r="AA398"/>
  <c r="E405" i="53" s="1"/>
  <c r="T527" i="5"/>
  <c r="C483" i="26" s="1"/>
  <c r="G499" i="1" s="1"/>
  <c r="T162" i="5"/>
  <c r="C118" i="26" s="1"/>
  <c r="G134" i="1" s="1"/>
  <c r="T524" i="5"/>
  <c r="C480" i="26" s="1"/>
  <c r="G496" i="1" s="1"/>
  <c r="T159" i="5"/>
  <c r="C115" i="26" s="1"/>
  <c r="G131" i="1" s="1"/>
  <c r="T542" i="5"/>
  <c r="C498" i="26" s="1"/>
  <c r="G514" i="1" s="1"/>
  <c r="T177" i="5"/>
  <c r="C133" i="26" s="1"/>
  <c r="G149" i="1" s="1"/>
  <c r="T160" i="5"/>
  <c r="C116" i="26" s="1"/>
  <c r="G132" i="1" s="1"/>
  <c r="T525" i="5"/>
  <c r="C481" i="26" s="1"/>
  <c r="G497" i="1" s="1"/>
  <c r="T166" i="5"/>
  <c r="C122" i="26" s="1"/>
  <c r="G138" i="1" s="1"/>
  <c r="T531" i="5"/>
  <c r="C487" i="26" s="1"/>
  <c r="G503" i="1" s="1"/>
  <c r="I118" i="5"/>
  <c r="H128"/>
  <c r="Q128" s="1"/>
  <c r="N128" s="1"/>
  <c r="I117"/>
  <c r="I104"/>
  <c r="H129"/>
  <c r="Q129" s="1"/>
  <c r="N129" s="1"/>
  <c r="I108"/>
  <c r="I111"/>
  <c r="I125"/>
  <c r="H147"/>
  <c r="Q147" s="1"/>
  <c r="N147" s="1"/>
  <c r="H131"/>
  <c r="Q131" s="1"/>
  <c r="N131" s="1"/>
  <c r="H137"/>
  <c r="Q137" s="1"/>
  <c r="N137" s="1"/>
  <c r="I106"/>
  <c r="I96"/>
  <c r="H133"/>
  <c r="Q133" s="1"/>
  <c r="N133" s="1"/>
  <c r="I122"/>
  <c r="H143"/>
  <c r="Q143" s="1"/>
  <c r="N143" s="1"/>
  <c r="H136"/>
  <c r="Q136" s="1"/>
  <c r="N136" s="1"/>
  <c r="I119"/>
  <c r="H154"/>
  <c r="Q154" s="1"/>
  <c r="N154" s="1"/>
  <c r="I100"/>
  <c r="H135"/>
  <c r="Q135" s="1"/>
  <c r="N135" s="1"/>
  <c r="H149"/>
  <c r="Q149" s="1"/>
  <c r="N149" s="1"/>
  <c r="H138"/>
  <c r="Q138" s="1"/>
  <c r="N138" s="1"/>
  <c r="H156"/>
  <c r="Q156" s="1"/>
  <c r="N156" s="1"/>
  <c r="I114"/>
  <c r="H130"/>
  <c r="Q130" s="1"/>
  <c r="N130" s="1"/>
  <c r="I116"/>
  <c r="I99"/>
  <c r="H144"/>
  <c r="Q144" s="1"/>
  <c r="N144" s="1"/>
  <c r="I102"/>
  <c r="I98"/>
  <c r="I123"/>
  <c r="H126"/>
  <c r="Q126" s="1"/>
  <c r="N126" s="1"/>
  <c r="I112"/>
  <c r="I109"/>
  <c r="H153"/>
  <c r="Q153" s="1"/>
  <c r="N153" s="1"/>
  <c r="I97"/>
  <c r="H146"/>
  <c r="Q146" s="1"/>
  <c r="N146" s="1"/>
  <c r="H145"/>
  <c r="Q145" s="1"/>
  <c r="N145" s="1"/>
  <c r="H140"/>
  <c r="Q140" s="1"/>
  <c r="N140" s="1"/>
  <c r="H152"/>
  <c r="Q152" s="1"/>
  <c r="N152" s="1"/>
  <c r="I115"/>
  <c r="I124"/>
  <c r="I120"/>
  <c r="H148"/>
  <c r="Q148" s="1"/>
  <c r="N148" s="1"/>
  <c r="H141"/>
  <c r="Q141" s="1"/>
  <c r="N141" s="1"/>
  <c r="I107"/>
  <c r="H150"/>
  <c r="Q150" s="1"/>
  <c r="N150" s="1"/>
  <c r="K7" i="4"/>
  <c r="H132" i="5"/>
  <c r="Q132" s="1"/>
  <c r="N132" s="1"/>
  <c r="H142"/>
  <c r="Q142" s="1"/>
  <c r="N142" s="1"/>
  <c r="H134"/>
  <c r="Q134" s="1"/>
  <c r="N134" s="1"/>
  <c r="I121"/>
  <c r="I113"/>
  <c r="H127"/>
  <c r="Q127" s="1"/>
  <c r="N127" s="1"/>
  <c r="H155"/>
  <c r="Q155" s="1"/>
  <c r="N155" s="1"/>
  <c r="I105"/>
  <c r="I101"/>
  <c r="H151"/>
  <c r="Q151" s="1"/>
  <c r="N151" s="1"/>
  <c r="I110"/>
  <c r="H139"/>
  <c r="Q139" s="1"/>
  <c r="N139" s="1"/>
  <c r="I103"/>
  <c r="AN161" i="1"/>
  <c r="T190" i="50"/>
  <c r="T206"/>
  <c r="AN177" i="1"/>
  <c r="T194" i="50"/>
  <c r="AN165" i="1"/>
  <c r="AN182"/>
  <c r="T211" i="50"/>
  <c r="T217"/>
  <c r="AN188" i="1"/>
  <c r="T202" i="50"/>
  <c r="AN173" i="1"/>
  <c r="T196" i="50"/>
  <c r="AN167" i="1"/>
  <c r="T201" i="50"/>
  <c r="AN172" i="1"/>
  <c r="T204" i="50"/>
  <c r="AN175" i="1"/>
  <c r="E393" i="48"/>
  <c r="X393" s="1"/>
  <c r="C393"/>
  <c r="D393"/>
  <c r="W393" s="1"/>
  <c r="B394"/>
  <c r="F407" i="52"/>
  <c r="L405" i="1"/>
  <c r="M404" s="1"/>
  <c r="A412" i="53"/>
  <c r="B413" s="1"/>
  <c r="B388" i="38"/>
  <c r="C405" i="1"/>
  <c r="D405" s="1"/>
  <c r="A389" i="26"/>
  <c r="B389" s="1"/>
  <c r="A405" i="1"/>
  <c r="K405"/>
  <c r="N405" s="1"/>
  <c r="E405"/>
  <c r="B406"/>
  <c r="T132" i="20"/>
  <c r="F88" i="26"/>
  <c r="H88" s="1"/>
  <c r="F454"/>
  <c r="H454" s="1"/>
  <c r="T126" i="20"/>
  <c r="F448" i="26"/>
  <c r="H448" s="1"/>
  <c r="F82"/>
  <c r="H82" s="1"/>
  <c r="T154" i="20"/>
  <c r="F110" i="26"/>
  <c r="H110" s="1"/>
  <c r="F476"/>
  <c r="H476" s="1"/>
  <c r="T140" i="20"/>
  <c r="F96" i="26"/>
  <c r="H96" s="1"/>
  <c r="F462"/>
  <c r="H462" s="1"/>
  <c r="T129" i="20"/>
  <c r="F451" i="26"/>
  <c r="H451" s="1"/>
  <c r="F85"/>
  <c r="H85" s="1"/>
  <c r="F90"/>
  <c r="H90" s="1"/>
  <c r="T134" i="20"/>
  <c r="F456" i="26"/>
  <c r="H456" s="1"/>
  <c r="T148" i="20"/>
  <c r="F470" i="26"/>
  <c r="H470" s="1"/>
  <c r="F104"/>
  <c r="H104" s="1"/>
  <c r="H116" i="20"/>
  <c r="Q116" s="1"/>
  <c r="N116" s="1"/>
  <c r="I83"/>
  <c r="I88"/>
  <c r="H106"/>
  <c r="Q106" s="1"/>
  <c r="N106" s="1"/>
  <c r="I92"/>
  <c r="H122"/>
  <c r="Q122" s="1"/>
  <c r="N122" s="1"/>
  <c r="I78"/>
  <c r="H108"/>
  <c r="Q108" s="1"/>
  <c r="N108" s="1"/>
  <c r="H109"/>
  <c r="Q109" s="1"/>
  <c r="N109" s="1"/>
  <c r="H115"/>
  <c r="Q115" s="1"/>
  <c r="N115" s="1"/>
  <c r="H125"/>
  <c r="Q125" s="1"/>
  <c r="N125" s="1"/>
  <c r="H100"/>
  <c r="Q100" s="1"/>
  <c r="N100" s="1"/>
  <c r="I85"/>
  <c r="H111"/>
  <c r="Q111" s="1"/>
  <c r="N111" s="1"/>
  <c r="I82"/>
  <c r="I89"/>
  <c r="I75"/>
  <c r="I80"/>
  <c r="I76"/>
  <c r="H97"/>
  <c r="Q97" s="1"/>
  <c r="N97" s="1"/>
  <c r="I87"/>
  <c r="H105"/>
  <c r="Q105" s="1"/>
  <c r="N105" s="1"/>
  <c r="I70"/>
  <c r="I74"/>
  <c r="H121"/>
  <c r="Q121" s="1"/>
  <c r="N121" s="1"/>
  <c r="I69"/>
  <c r="H102"/>
  <c r="Q102" s="1"/>
  <c r="N102" s="1"/>
  <c r="K6" i="19"/>
  <c r="I77" i="20"/>
  <c r="H103"/>
  <c r="Q103" s="1"/>
  <c r="N103" s="1"/>
  <c r="H101"/>
  <c r="Q101" s="1"/>
  <c r="N101" s="1"/>
  <c r="I67"/>
  <c r="I72"/>
  <c r="I95"/>
  <c r="H107"/>
  <c r="Q107" s="1"/>
  <c r="N107" s="1"/>
  <c r="I68"/>
  <c r="H98"/>
  <c r="Q98" s="1"/>
  <c r="N98" s="1"/>
  <c r="I94"/>
  <c r="I65"/>
  <c r="H118"/>
  <c r="Q118" s="1"/>
  <c r="N118" s="1"/>
  <c r="H113"/>
  <c r="Q113" s="1"/>
  <c r="N113" s="1"/>
  <c r="I79"/>
  <c r="H120"/>
  <c r="Q120" s="1"/>
  <c r="N120" s="1"/>
  <c r="I81"/>
  <c r="I73"/>
  <c r="H114"/>
  <c r="Q114" s="1"/>
  <c r="N114" s="1"/>
  <c r="H124"/>
  <c r="Q124" s="1"/>
  <c r="N124" s="1"/>
  <c r="I91"/>
  <c r="I71"/>
  <c r="I90"/>
  <c r="I84"/>
  <c r="H123"/>
  <c r="Q123" s="1"/>
  <c r="N123" s="1"/>
  <c r="H119"/>
  <c r="Q119" s="1"/>
  <c r="N119" s="1"/>
  <c r="I86"/>
  <c r="H112"/>
  <c r="Q112" s="1"/>
  <c r="N112" s="1"/>
  <c r="I66"/>
  <c r="H110"/>
  <c r="Q110" s="1"/>
  <c r="N110" s="1"/>
  <c r="H96"/>
  <c r="Q96" s="1"/>
  <c r="N96" s="1"/>
  <c r="H117"/>
  <c r="Q117" s="1"/>
  <c r="N117" s="1"/>
  <c r="I93"/>
  <c r="H104"/>
  <c r="Q104" s="1"/>
  <c r="N104" s="1"/>
  <c r="H99"/>
  <c r="Q99" s="1"/>
  <c r="N99" s="1"/>
  <c r="T136"/>
  <c r="F92" i="26"/>
  <c r="H92" s="1"/>
  <c r="F458"/>
  <c r="H458" s="1"/>
  <c r="T143" i="20"/>
  <c r="F99" i="26"/>
  <c r="H99" s="1"/>
  <c r="F465"/>
  <c r="H465" s="1"/>
  <c r="T128" i="22"/>
  <c r="I84" i="26"/>
  <c r="K84" s="1"/>
  <c r="I450"/>
  <c r="K450" s="1"/>
  <c r="T140" i="22"/>
  <c r="I462" i="26"/>
  <c r="K462" s="1"/>
  <c r="I96"/>
  <c r="K96" s="1"/>
  <c r="I105"/>
  <c r="K105" s="1"/>
  <c r="I471"/>
  <c r="K471" s="1"/>
  <c r="T149" i="22"/>
  <c r="I458" i="26"/>
  <c r="K458" s="1"/>
  <c r="I92"/>
  <c r="K92" s="1"/>
  <c r="T136" i="22"/>
  <c r="T146"/>
  <c r="I468" i="26"/>
  <c r="K468" s="1"/>
  <c r="I102"/>
  <c r="K102" s="1"/>
  <c r="T126" i="22"/>
  <c r="I82" i="26"/>
  <c r="K82" s="1"/>
  <c r="I448"/>
  <c r="K448" s="1"/>
  <c r="T144" i="22"/>
  <c r="I466" i="26"/>
  <c r="K466" s="1"/>
  <c r="I100"/>
  <c r="K100" s="1"/>
  <c r="T135" i="22"/>
  <c r="I91" i="26"/>
  <c r="K91" s="1"/>
  <c r="I457"/>
  <c r="K457" s="1"/>
  <c r="I453"/>
  <c r="K453" s="1"/>
  <c r="T131" i="22"/>
  <c r="I87" i="26"/>
  <c r="K87" s="1"/>
  <c r="W403" i="1"/>
  <c r="R403"/>
  <c r="T539" i="5"/>
  <c r="C495" i="26" s="1"/>
  <c r="G511" i="1" s="1"/>
  <c r="T174" i="5"/>
  <c r="C130" i="26" s="1"/>
  <c r="G146" i="1" s="1"/>
  <c r="T182" i="5"/>
  <c r="C138" i="26" s="1"/>
  <c r="G154" i="1" s="1"/>
  <c r="T547" i="5"/>
  <c r="C503" i="26" s="1"/>
  <c r="G519" i="1" s="1"/>
  <c r="T167" i="5"/>
  <c r="C123" i="26" s="1"/>
  <c r="G139" i="1" s="1"/>
  <c r="T532" i="5"/>
  <c r="C488" i="26" s="1"/>
  <c r="G504" i="1" s="1"/>
  <c r="T544" i="5"/>
  <c r="C500" i="26" s="1"/>
  <c r="G516" i="1" s="1"/>
  <c r="T179" i="5"/>
  <c r="C135" i="26" s="1"/>
  <c r="G151" i="1" s="1"/>
  <c r="T543" i="5"/>
  <c r="C499" i="26" s="1"/>
  <c r="G515" i="1" s="1"/>
  <c r="T178" i="5"/>
  <c r="C134" i="26" s="1"/>
  <c r="G150" i="1" s="1"/>
  <c r="T545" i="5"/>
  <c r="C501" i="26" s="1"/>
  <c r="G517" i="1" s="1"/>
  <c r="T180" i="5"/>
  <c r="C136" i="26" s="1"/>
  <c r="G152" i="1" s="1"/>
  <c r="T536" i="5"/>
  <c r="C492" i="26" s="1"/>
  <c r="G508" i="1" s="1"/>
  <c r="T171" i="5"/>
  <c r="C127" i="26" s="1"/>
  <c r="G143" i="1" s="1"/>
  <c r="T161" i="5"/>
  <c r="C117" i="26" s="1"/>
  <c r="G133" i="1" s="1"/>
  <c r="T526" i="5"/>
  <c r="C482" i="26" s="1"/>
  <c r="G498" i="1" s="1"/>
  <c r="T186" i="5"/>
  <c r="C142" i="26" s="1"/>
  <c r="G158" i="1" s="1"/>
  <c r="T551" i="5"/>
  <c r="C507" i="26" s="1"/>
  <c r="G523" i="1" s="1"/>
  <c r="T213" i="50"/>
  <c r="AN184" i="1"/>
  <c r="T207" i="50"/>
  <c r="AN178" i="1"/>
  <c r="T189" i="50"/>
  <c r="AN160" i="1"/>
  <c r="AN183"/>
  <c r="T212" i="50"/>
  <c r="H169"/>
  <c r="Q169" s="1"/>
  <c r="N169" s="1"/>
  <c r="H157"/>
  <c r="Q157" s="1"/>
  <c r="N157" s="1"/>
  <c r="H158"/>
  <c r="Q158" s="1"/>
  <c r="N158" s="1"/>
  <c r="I137"/>
  <c r="I141"/>
  <c r="I155"/>
  <c r="I150"/>
  <c r="I135"/>
  <c r="H167"/>
  <c r="Q167" s="1"/>
  <c r="N167" s="1"/>
  <c r="H174"/>
  <c r="Q174" s="1"/>
  <c r="N174" s="1"/>
  <c r="I132"/>
  <c r="H181"/>
  <c r="Q181" s="1"/>
  <c r="N181" s="1"/>
  <c r="H162"/>
  <c r="Q162" s="1"/>
  <c r="N162" s="1"/>
  <c r="I149"/>
  <c r="I144"/>
  <c r="I147"/>
  <c r="I153"/>
  <c r="H172"/>
  <c r="Q172" s="1"/>
  <c r="N172" s="1"/>
  <c r="H159"/>
  <c r="Q159" s="1"/>
  <c r="N159" s="1"/>
  <c r="H173"/>
  <c r="Q173" s="1"/>
  <c r="N173" s="1"/>
  <c r="I154"/>
  <c r="I129"/>
  <c r="I140"/>
  <c r="H175"/>
  <c r="Q175" s="1"/>
  <c r="N175" s="1"/>
  <c r="H182"/>
  <c r="Q182" s="1"/>
  <c r="N182" s="1"/>
  <c r="I145"/>
  <c r="H160"/>
  <c r="Q160" s="1"/>
  <c r="N160" s="1"/>
  <c r="I146"/>
  <c r="H168"/>
  <c r="Q168" s="1"/>
  <c r="N168" s="1"/>
  <c r="H161"/>
  <c r="Q161" s="1"/>
  <c r="N161" s="1"/>
  <c r="I131"/>
  <c r="H178"/>
  <c r="Q178" s="1"/>
  <c r="N178" s="1"/>
  <c r="H180"/>
  <c r="Q180" s="1"/>
  <c r="N180" s="1"/>
  <c r="I156"/>
  <c r="H171"/>
  <c r="Q171" s="1"/>
  <c r="N171" s="1"/>
  <c r="I143"/>
  <c r="I136"/>
  <c r="H165"/>
  <c r="Q165" s="1"/>
  <c r="N165" s="1"/>
  <c r="K8" i="49"/>
  <c r="I128" i="50"/>
  <c r="I139"/>
  <c r="H176"/>
  <c r="Q176" s="1"/>
  <c r="N176" s="1"/>
  <c r="H184"/>
  <c r="Q184" s="1"/>
  <c r="N184" s="1"/>
  <c r="I133"/>
  <c r="I152"/>
  <c r="H179"/>
  <c r="Q179" s="1"/>
  <c r="N179" s="1"/>
  <c r="I134"/>
  <c r="I127"/>
  <c r="I142"/>
  <c r="H170"/>
  <c r="Q170" s="1"/>
  <c r="N170" s="1"/>
  <c r="H164"/>
  <c r="Q164" s="1"/>
  <c r="N164" s="1"/>
  <c r="I138"/>
  <c r="H163"/>
  <c r="Q163" s="1"/>
  <c r="N163" s="1"/>
  <c r="H177"/>
  <c r="Q177" s="1"/>
  <c r="N177" s="1"/>
  <c r="H185"/>
  <c r="Q185" s="1"/>
  <c r="N185" s="1"/>
  <c r="H186"/>
  <c r="Q186" s="1"/>
  <c r="N186" s="1"/>
  <c r="H166"/>
  <c r="Q166" s="1"/>
  <c r="N166" s="1"/>
  <c r="I130"/>
  <c r="I151"/>
  <c r="H183"/>
  <c r="Q183" s="1"/>
  <c r="N183" s="1"/>
  <c r="I126"/>
  <c r="I148"/>
  <c r="T188"/>
  <c r="AN159" i="1"/>
  <c r="T197" i="50"/>
  <c r="AN168" i="1"/>
  <c r="AN185"/>
  <c r="T214" i="50"/>
  <c r="AN386" i="38"/>
  <c r="AO386"/>
  <c r="AP386" s="1"/>
  <c r="AQ386" s="1"/>
  <c r="E406" i="52"/>
  <c r="T138" i="20"/>
  <c r="F94" i="26"/>
  <c r="H94" s="1"/>
  <c r="F460"/>
  <c r="H460" s="1"/>
  <c r="F469"/>
  <c r="H469" s="1"/>
  <c r="T147" i="20"/>
  <c r="F103" i="26"/>
  <c r="H103" s="1"/>
  <c r="T128" i="20"/>
  <c r="F84" i="26"/>
  <c r="H84" s="1"/>
  <c r="F450"/>
  <c r="H450" s="1"/>
  <c r="T127" i="20"/>
  <c r="F449" i="26"/>
  <c r="H449" s="1"/>
  <c r="F83"/>
  <c r="H83" s="1"/>
  <c r="F463"/>
  <c r="H463" s="1"/>
  <c r="T141" i="20"/>
  <c r="F97" i="26"/>
  <c r="H97" s="1"/>
  <c r="T137" i="20"/>
  <c r="F93" i="26"/>
  <c r="H93" s="1"/>
  <c r="F459"/>
  <c r="H459" s="1"/>
  <c r="T139" i="20"/>
  <c r="F461" i="26"/>
  <c r="H461" s="1"/>
  <c r="F95"/>
  <c r="H95" s="1"/>
  <c r="T135" i="20"/>
  <c r="F91" i="26"/>
  <c r="H91" s="1"/>
  <c r="F457"/>
  <c r="H457" s="1"/>
  <c r="T144" i="20"/>
  <c r="F466" i="26"/>
  <c r="H466" s="1"/>
  <c r="F100"/>
  <c r="H100" s="1"/>
  <c r="F106"/>
  <c r="H106" s="1"/>
  <c r="T150" i="20"/>
  <c r="F472" i="26"/>
  <c r="H472" s="1"/>
  <c r="T130" i="20"/>
  <c r="F452" i="26"/>
  <c r="H452" s="1"/>
  <c r="F86"/>
  <c r="H86" s="1"/>
  <c r="I475"/>
  <c r="K475" s="1"/>
  <c r="I109"/>
  <c r="K109" s="1"/>
  <c r="T153" i="22"/>
  <c r="I85" i="26"/>
  <c r="K85" s="1"/>
  <c r="T129" i="22"/>
  <c r="I451" i="26"/>
  <c r="K451" s="1"/>
  <c r="I68" i="22"/>
  <c r="H97"/>
  <c r="Q97" s="1"/>
  <c r="N97" s="1"/>
  <c r="H111"/>
  <c r="Q111" s="1"/>
  <c r="N111" s="1"/>
  <c r="I71"/>
  <c r="H114"/>
  <c r="Q114" s="1"/>
  <c r="N114" s="1"/>
  <c r="I77"/>
  <c r="H113"/>
  <c r="Q113" s="1"/>
  <c r="N113" s="1"/>
  <c r="H106"/>
  <c r="Q106" s="1"/>
  <c r="N106" s="1"/>
  <c r="H119"/>
  <c r="Q119" s="1"/>
  <c r="N119" s="1"/>
  <c r="H109"/>
  <c r="Q109" s="1"/>
  <c r="N109" s="1"/>
  <c r="I67"/>
  <c r="I83"/>
  <c r="I90"/>
  <c r="H120"/>
  <c r="Q120" s="1"/>
  <c r="N120" s="1"/>
  <c r="I95"/>
  <c r="I65"/>
  <c r="H100"/>
  <c r="Q100" s="1"/>
  <c r="N100" s="1"/>
  <c r="I92"/>
  <c r="I84"/>
  <c r="H102"/>
  <c r="Q102" s="1"/>
  <c r="N102" s="1"/>
  <c r="H108"/>
  <c r="Q108" s="1"/>
  <c r="N108" s="1"/>
  <c r="I75"/>
  <c r="H101"/>
  <c r="Q101" s="1"/>
  <c r="N101" s="1"/>
  <c r="H105"/>
  <c r="Q105" s="1"/>
  <c r="N105" s="1"/>
  <c r="H110"/>
  <c r="Q110" s="1"/>
  <c r="N110" s="1"/>
  <c r="H98"/>
  <c r="Q98" s="1"/>
  <c r="N98" s="1"/>
  <c r="I89"/>
  <c r="H115"/>
  <c r="Q115" s="1"/>
  <c r="N115" s="1"/>
  <c r="I82"/>
  <c r="H112"/>
  <c r="Q112" s="1"/>
  <c r="N112" s="1"/>
  <c r="I87"/>
  <c r="H123"/>
  <c r="Q123" s="1"/>
  <c r="N123" s="1"/>
  <c r="I91"/>
  <c r="H125"/>
  <c r="Q125" s="1"/>
  <c r="N125" s="1"/>
  <c r="H118"/>
  <c r="Q118" s="1"/>
  <c r="N118" s="1"/>
  <c r="H103"/>
  <c r="Q103" s="1"/>
  <c r="N103" s="1"/>
  <c r="I72"/>
  <c r="I94"/>
  <c r="H124"/>
  <c r="Q124" s="1"/>
  <c r="N124" s="1"/>
  <c r="I80"/>
  <c r="I76"/>
  <c r="I78"/>
  <c r="I81"/>
  <c r="I74"/>
  <c r="H104"/>
  <c r="Q104" s="1"/>
  <c r="N104" s="1"/>
  <c r="I79"/>
  <c r="H107"/>
  <c r="Q107" s="1"/>
  <c r="N107" s="1"/>
  <c r="H117"/>
  <c r="Q117" s="1"/>
  <c r="N117" s="1"/>
  <c r="I88"/>
  <c r="H116"/>
  <c r="Q116" s="1"/>
  <c r="N116" s="1"/>
  <c r="I93"/>
  <c r="I70"/>
  <c r="I86"/>
  <c r="H122"/>
  <c r="Q122" s="1"/>
  <c r="N122" s="1"/>
  <c r="K6" i="21"/>
  <c r="H121" i="22"/>
  <c r="Q121" s="1"/>
  <c r="N121" s="1"/>
  <c r="I69"/>
  <c r="I73"/>
  <c r="I85"/>
  <c r="H99"/>
  <c r="Q99" s="1"/>
  <c r="N99" s="1"/>
  <c r="I66"/>
  <c r="H96"/>
  <c r="Q96" s="1"/>
  <c r="N96" s="1"/>
  <c r="I107" i="26"/>
  <c r="K107" s="1"/>
  <c r="T151" i="22"/>
  <c r="I473" i="26"/>
  <c r="K473" s="1"/>
  <c r="I99"/>
  <c r="K99" s="1"/>
  <c r="I465"/>
  <c r="K465" s="1"/>
  <c r="T143" i="22"/>
  <c r="T550" i="5"/>
  <c r="C506" i="26" s="1"/>
  <c r="G522" i="1" s="1"/>
  <c r="T185" i="5"/>
  <c r="C141" i="26" s="1"/>
  <c r="G157" i="1" s="1"/>
  <c r="T533" i="5"/>
  <c r="C489" i="26" s="1"/>
  <c r="G505" i="1" s="1"/>
  <c r="T168" i="5"/>
  <c r="C124" i="26" s="1"/>
  <c r="G140" i="1" s="1"/>
  <c r="T184" i="5"/>
  <c r="C140" i="26" s="1"/>
  <c r="G156" i="1" s="1"/>
  <c r="T549" i="5"/>
  <c r="C505" i="26" s="1"/>
  <c r="G521" i="1" s="1"/>
  <c r="T529" i="5"/>
  <c r="C485" i="26" s="1"/>
  <c r="G501" i="1" s="1"/>
  <c r="T164" i="5"/>
  <c r="C120" i="26" s="1"/>
  <c r="G136" i="1" s="1"/>
  <c r="T169" i="5"/>
  <c r="C125" i="26" s="1"/>
  <c r="G141" i="1" s="1"/>
  <c r="T534" i="5"/>
  <c r="C490" i="26" s="1"/>
  <c r="G506" i="1" s="1"/>
  <c r="T528" i="5"/>
  <c r="C484" i="26" s="1"/>
  <c r="G500" i="1" s="1"/>
  <c r="T163" i="5"/>
  <c r="C119" i="26" s="1"/>
  <c r="G135" i="1" s="1"/>
  <c r="T522" i="5"/>
  <c r="C478" i="26" s="1"/>
  <c r="G494" i="1" s="1"/>
  <c r="T157" i="5"/>
  <c r="C113" i="26" s="1"/>
  <c r="G129" i="1" s="1"/>
  <c r="T523" i="5"/>
  <c r="C479" i="26" s="1"/>
  <c r="G495" i="1" s="1"/>
  <c r="T158" i="5"/>
  <c r="C114" i="26" s="1"/>
  <c r="G130" i="1" s="1"/>
  <c r="T540" i="5"/>
  <c r="C496" i="26" s="1"/>
  <c r="G512" i="1" s="1"/>
  <c r="T175" i="5"/>
  <c r="C131" i="26" s="1"/>
  <c r="G147" i="1" s="1"/>
  <c r="T200" i="50"/>
  <c r="AN171" i="1"/>
  <c r="T193" i="50"/>
  <c r="AN164" i="1"/>
  <c r="AN174"/>
  <c r="T203" i="50"/>
  <c r="T209"/>
  <c r="AN180" i="1"/>
  <c r="T195" i="50"/>
  <c r="AN166" i="1"/>
  <c r="AN186"/>
  <c r="T215" i="50"/>
  <c r="T205"/>
  <c r="AN176" i="1"/>
  <c r="T187" i="50"/>
  <c r="AN158" i="1"/>
  <c r="F387" i="38"/>
  <c r="AM387" s="1"/>
  <c r="E387"/>
  <c r="D387"/>
  <c r="Z387"/>
  <c r="AA387" s="1"/>
  <c r="BK384"/>
  <c r="AS384"/>
  <c r="AU384" s="1"/>
  <c r="AV384" s="1"/>
  <c r="BA384" s="1"/>
  <c r="BB384" s="1"/>
  <c r="BH384" s="1"/>
  <c r="BJ384" s="1"/>
  <c r="P384" s="1"/>
  <c r="O384" s="1"/>
  <c r="T151" i="20"/>
  <c r="F473" i="26"/>
  <c r="H473" s="1"/>
  <c r="F107"/>
  <c r="H107" s="1"/>
  <c r="F471"/>
  <c r="H471" s="1"/>
  <c r="T149" i="20"/>
  <c r="F105" i="26"/>
  <c r="H105" s="1"/>
  <c r="T152" i="20"/>
  <c r="F474" i="26"/>
  <c r="H474" s="1"/>
  <c r="F108"/>
  <c r="H108" s="1"/>
  <c r="T155" i="20"/>
  <c r="F111" i="26"/>
  <c r="H111" s="1"/>
  <c r="F477"/>
  <c r="H477" s="1"/>
  <c r="F467"/>
  <c r="H467" s="1"/>
  <c r="T145" i="20"/>
  <c r="F101" i="26"/>
  <c r="H101" s="1"/>
  <c r="BK385" i="38"/>
  <c r="AS385"/>
  <c r="AU385" s="1"/>
  <c r="AV385" s="1"/>
  <c r="BA385" s="1"/>
  <c r="BB385" s="1"/>
  <c r="BH385" s="1"/>
  <c r="BJ385" s="1"/>
  <c r="P385" s="1"/>
  <c r="O385" s="1"/>
  <c r="T138" i="22"/>
  <c r="I94" i="26"/>
  <c r="K94" s="1"/>
  <c r="I460"/>
  <c r="K460" s="1"/>
  <c r="T132" i="22"/>
  <c r="I454" i="26"/>
  <c r="K454" s="1"/>
  <c r="I88"/>
  <c r="K88" s="1"/>
  <c r="I95"/>
  <c r="K95" s="1"/>
  <c r="T139" i="22"/>
  <c r="I461" i="26"/>
  <c r="K461" s="1"/>
  <c r="I455"/>
  <c r="K455" s="1"/>
  <c r="T133" i="22"/>
  <c r="I89" i="26"/>
  <c r="K89" s="1"/>
  <c r="T156" i="22"/>
  <c r="I478" i="26"/>
  <c r="K478" s="1"/>
  <c r="I112"/>
  <c r="K112" s="1"/>
  <c r="I103"/>
  <c r="K103" s="1"/>
  <c r="T147" i="22"/>
  <c r="I469" i="26"/>
  <c r="K469" s="1"/>
  <c r="T142" i="22"/>
  <c r="I98" i="26"/>
  <c r="K98" s="1"/>
  <c r="I464"/>
  <c r="K464" s="1"/>
  <c r="T155" i="22"/>
  <c r="I477" i="26"/>
  <c r="K477" s="1"/>
  <c r="I111"/>
  <c r="K111" s="1"/>
  <c r="T137" i="22"/>
  <c r="I459" i="26"/>
  <c r="K459" s="1"/>
  <c r="I93"/>
  <c r="K93" s="1"/>
  <c r="T172" i="5"/>
  <c r="C128" i="26" s="1"/>
  <c r="G144" i="1" s="1"/>
  <c r="T537" i="5"/>
  <c r="C493" i="26" s="1"/>
  <c r="G509" i="1" s="1"/>
  <c r="T181" i="5"/>
  <c r="C137" i="26" s="1"/>
  <c r="G153" i="1" s="1"/>
  <c r="T546" i="5"/>
  <c r="C502" i="26" s="1"/>
  <c r="G518" i="1" s="1"/>
  <c r="T183" i="5"/>
  <c r="C139" i="26" s="1"/>
  <c r="G155" i="1" s="1"/>
  <c r="T548" i="5"/>
  <c r="C504" i="26" s="1"/>
  <c r="G520" i="1" s="1"/>
  <c r="T176" i="5"/>
  <c r="C132" i="26" s="1"/>
  <c r="G148" i="1" s="1"/>
  <c r="T541" i="5"/>
  <c r="C497" i="26" s="1"/>
  <c r="G513" i="1" s="1"/>
  <c r="T170" i="5"/>
  <c r="C126" i="26" s="1"/>
  <c r="G142" i="1" s="1"/>
  <c r="T535" i="5"/>
  <c r="C491" i="26" s="1"/>
  <c r="G507" i="1" s="1"/>
  <c r="T530" i="5"/>
  <c r="C486" i="26" s="1"/>
  <c r="G502" i="1" s="1"/>
  <c r="T165" i="5"/>
  <c r="C121" i="26" s="1"/>
  <c r="G137" i="1" s="1"/>
  <c r="T538" i="5"/>
  <c r="C494" i="26" s="1"/>
  <c r="G510" i="1" s="1"/>
  <c r="T173" i="5"/>
  <c r="C129" i="26" s="1"/>
  <c r="G145" i="1" s="1"/>
  <c r="AN169"/>
  <c r="T198" i="50"/>
  <c r="T216"/>
  <c r="AN187" i="1"/>
  <c r="T208" i="50"/>
  <c r="AN179" i="1"/>
  <c r="T192" i="50"/>
  <c r="AN163" i="1"/>
  <c r="AN181"/>
  <c r="T210" i="50"/>
  <c r="T199"/>
  <c r="AN170" i="1"/>
  <c r="T191" i="50"/>
  <c r="AN162" i="1"/>
  <c r="V392" i="48"/>
  <c r="F392"/>
  <c r="Y392" s="1"/>
  <c r="P404" i="1"/>
  <c r="AH404"/>
  <c r="AL404"/>
  <c r="AJ404"/>
  <c r="AI404"/>
  <c r="AK404"/>
  <c r="BC404"/>
  <c r="AC404"/>
  <c r="AM404"/>
  <c r="F89" i="26"/>
  <c r="H89" s="1"/>
  <c r="T133" i="20"/>
  <c r="F455" i="26"/>
  <c r="H455" s="1"/>
  <c r="F453"/>
  <c r="H453" s="1"/>
  <c r="T131" i="20"/>
  <c r="F87" i="26"/>
  <c r="H87" s="1"/>
  <c r="T146" i="20"/>
  <c r="F468" i="26"/>
  <c r="H468" s="1"/>
  <c r="F102"/>
  <c r="H102" s="1"/>
  <c r="T142" i="20"/>
  <c r="F464" i="26"/>
  <c r="H464" s="1"/>
  <c r="F98"/>
  <c r="H98" s="1"/>
  <c r="T153" i="20"/>
  <c r="F475" i="26"/>
  <c r="H475" s="1"/>
  <c r="F109"/>
  <c r="H109" s="1"/>
  <c r="T156" i="20"/>
  <c r="F112" i="26"/>
  <c r="H112" s="1"/>
  <c r="F478"/>
  <c r="H478" s="1"/>
  <c r="T127" i="22"/>
  <c r="I83" i="26"/>
  <c r="K83" s="1"/>
  <c r="I449"/>
  <c r="K449" s="1"/>
  <c r="T145" i="22"/>
  <c r="I467" i="26"/>
  <c r="K467" s="1"/>
  <c r="I101"/>
  <c r="K101" s="1"/>
  <c r="I97"/>
  <c r="K97" s="1"/>
  <c r="T141" i="22"/>
  <c r="I463" i="26"/>
  <c r="K463" s="1"/>
  <c r="I470"/>
  <c r="K470" s="1"/>
  <c r="T148" i="22"/>
  <c r="I104" i="26"/>
  <c r="K104" s="1"/>
  <c r="T150" i="22"/>
  <c r="I472" i="26"/>
  <c r="K472" s="1"/>
  <c r="I106"/>
  <c r="K106" s="1"/>
  <c r="T154" i="22"/>
  <c r="I110" i="26"/>
  <c r="K110" s="1"/>
  <c r="I476"/>
  <c r="K476" s="1"/>
  <c r="I474"/>
  <c r="K474" s="1"/>
  <c r="T152" i="22"/>
  <c r="I108" i="26"/>
  <c r="K108" s="1"/>
  <c r="T130" i="22"/>
  <c r="I452" i="26"/>
  <c r="K452" s="1"/>
  <c r="I86"/>
  <c r="K86" s="1"/>
  <c r="I456"/>
  <c r="K456" s="1"/>
  <c r="T134" i="22"/>
  <c r="I90" i="26"/>
  <c r="K90" s="1"/>
  <c r="V400" i="1" l="1"/>
  <c r="X400"/>
  <c r="BZ12" i="55"/>
  <c r="D404" i="53"/>
  <c r="O12" i="55" s="1"/>
  <c r="I404" i="53"/>
  <c r="CU12" i="55" s="1"/>
  <c r="AB399" i="1"/>
  <c r="AE399" s="1"/>
  <c r="Z399"/>
  <c r="AA399"/>
  <c r="E406" i="53" s="1"/>
  <c r="AF397" i="1"/>
  <c r="AD398"/>
  <c r="BE13" i="55"/>
  <c r="G405" i="53"/>
  <c r="S403" i="1"/>
  <c r="BD401"/>
  <c r="BE401" s="1"/>
  <c r="T401" s="1"/>
  <c r="U401" s="1"/>
  <c r="BA402"/>
  <c r="T99" i="22"/>
  <c r="I421" i="26"/>
  <c r="K421" s="1"/>
  <c r="I55"/>
  <c r="K55" s="1"/>
  <c r="T121" i="22"/>
  <c r="I77" i="26"/>
  <c r="K77" s="1"/>
  <c r="I443"/>
  <c r="K443" s="1"/>
  <c r="T117" i="22"/>
  <c r="I73" i="26"/>
  <c r="K73" s="1"/>
  <c r="I439"/>
  <c r="K439" s="1"/>
  <c r="T103" i="22"/>
  <c r="I425" i="26"/>
  <c r="K425" s="1"/>
  <c r="I59"/>
  <c r="K59" s="1"/>
  <c r="I445"/>
  <c r="K445" s="1"/>
  <c r="T123" i="22"/>
  <c r="I79" i="26"/>
  <c r="K79" s="1"/>
  <c r="T115" i="22"/>
  <c r="I437" i="26"/>
  <c r="K437" s="1"/>
  <c r="I71"/>
  <c r="K71" s="1"/>
  <c r="T105" i="22"/>
  <c r="I61" i="26"/>
  <c r="K61" s="1"/>
  <c r="I427"/>
  <c r="K427" s="1"/>
  <c r="I424"/>
  <c r="K424" s="1"/>
  <c r="T102" i="22"/>
  <c r="I58" i="26"/>
  <c r="K58" s="1"/>
  <c r="T106" i="22"/>
  <c r="I62" i="26"/>
  <c r="K62" s="1"/>
  <c r="I428"/>
  <c r="K428" s="1"/>
  <c r="AR386" i="38"/>
  <c r="AN154" i="1"/>
  <c r="T183" i="50"/>
  <c r="AN157" i="1"/>
  <c r="T186" i="50"/>
  <c r="T178"/>
  <c r="AN149" i="1"/>
  <c r="AN146"/>
  <c r="T175" i="50"/>
  <c r="T173"/>
  <c r="AN144" i="1"/>
  <c r="T181" i="50"/>
  <c r="AN152" i="1"/>
  <c r="F426" i="26"/>
  <c r="H426" s="1"/>
  <c r="T104" i="20"/>
  <c r="F60" i="26"/>
  <c r="H60" s="1"/>
  <c r="T110" i="20"/>
  <c r="F432" i="26"/>
  <c r="H432" s="1"/>
  <c r="F66"/>
  <c r="H66" s="1"/>
  <c r="T119" i="20"/>
  <c r="F75" i="26"/>
  <c r="H75" s="1"/>
  <c r="F441"/>
  <c r="H441" s="1"/>
  <c r="F69"/>
  <c r="H69" s="1"/>
  <c r="F435"/>
  <c r="H435" s="1"/>
  <c r="T113" i="20"/>
  <c r="F420" i="26"/>
  <c r="H420" s="1"/>
  <c r="T98" i="20"/>
  <c r="F54" i="26"/>
  <c r="H54" s="1"/>
  <c r="T121" i="20"/>
  <c r="F443" i="26"/>
  <c r="H443" s="1"/>
  <c r="F77"/>
  <c r="H77" s="1"/>
  <c r="F65"/>
  <c r="H65" s="1"/>
  <c r="T109" i="20"/>
  <c r="F431" i="26"/>
  <c r="H431" s="1"/>
  <c r="T116" i="20"/>
  <c r="F438" i="26"/>
  <c r="H438" s="1"/>
  <c r="F72"/>
  <c r="H72" s="1"/>
  <c r="E407" i="52"/>
  <c r="V393" i="48"/>
  <c r="F393"/>
  <c r="Y393" s="1"/>
  <c r="T497" i="5"/>
  <c r="C453" i="26" s="1"/>
  <c r="G469" i="1" s="1"/>
  <c r="T132" i="5"/>
  <c r="C88" i="26" s="1"/>
  <c r="G104" i="1" s="1"/>
  <c r="T506" i="5"/>
  <c r="C462" i="26" s="1"/>
  <c r="G478" i="1" s="1"/>
  <c r="T141" i="5"/>
  <c r="C97" i="26" s="1"/>
  <c r="G113" i="1" s="1"/>
  <c r="T511" i="5"/>
  <c r="C467" i="26" s="1"/>
  <c r="G483" i="1" s="1"/>
  <c r="T146" i="5"/>
  <c r="C102" i="26" s="1"/>
  <c r="G118" i="1" s="1"/>
  <c r="T495" i="5"/>
  <c r="C451" i="26" s="1"/>
  <c r="G467" i="1" s="1"/>
  <c r="T130" i="5"/>
  <c r="C86" i="26" s="1"/>
  <c r="G102" i="1" s="1"/>
  <c r="T514" i="5"/>
  <c r="C470" i="26" s="1"/>
  <c r="G486" i="1" s="1"/>
  <c r="T149" i="5"/>
  <c r="C105" i="26" s="1"/>
  <c r="G121" i="1" s="1"/>
  <c r="T498" i="5"/>
  <c r="C454" i="26" s="1"/>
  <c r="G470" i="1" s="1"/>
  <c r="T133" i="5"/>
  <c r="C89" i="26" s="1"/>
  <c r="G105" i="1" s="1"/>
  <c r="T496" i="5"/>
  <c r="C452" i="26" s="1"/>
  <c r="G468" i="1" s="1"/>
  <c r="T131" i="5"/>
  <c r="C87" i="26" s="1"/>
  <c r="G103" i="1" s="1"/>
  <c r="T493" i="5"/>
  <c r="C449" i="26" s="1"/>
  <c r="G465" i="1" s="1"/>
  <c r="T128" i="5"/>
  <c r="C84" i="26" s="1"/>
  <c r="G100" i="1" s="1"/>
  <c r="K5" i="21"/>
  <c r="H73" i="22"/>
  <c r="Q73" s="1"/>
  <c r="N73" s="1"/>
  <c r="I61"/>
  <c r="H82"/>
  <c r="Q82" s="1"/>
  <c r="N82" s="1"/>
  <c r="H93"/>
  <c r="Q93" s="1"/>
  <c r="N93" s="1"/>
  <c r="H74"/>
  <c r="Q74" s="1"/>
  <c r="N74" s="1"/>
  <c r="H83"/>
  <c r="Q83" s="1"/>
  <c r="N83" s="1"/>
  <c r="I58"/>
  <c r="I37"/>
  <c r="I38"/>
  <c r="I53"/>
  <c r="H68"/>
  <c r="Q68" s="1"/>
  <c r="N68" s="1"/>
  <c r="H70"/>
  <c r="Q70" s="1"/>
  <c r="N70" s="1"/>
  <c r="I55"/>
  <c r="H71"/>
  <c r="Q71" s="1"/>
  <c r="N71" s="1"/>
  <c r="H91"/>
  <c r="Q91" s="1"/>
  <c r="N91" s="1"/>
  <c r="H86"/>
  <c r="Q86" s="1"/>
  <c r="N86" s="1"/>
  <c r="H94"/>
  <c r="Q94" s="1"/>
  <c r="N94" s="1"/>
  <c r="I62"/>
  <c r="H80"/>
  <c r="Q80" s="1"/>
  <c r="N80" s="1"/>
  <c r="H66"/>
  <c r="Q66" s="1"/>
  <c r="N66" s="1"/>
  <c r="H75"/>
  <c r="Q75" s="1"/>
  <c r="N75" s="1"/>
  <c r="H72"/>
  <c r="Q72" s="1"/>
  <c r="N72" s="1"/>
  <c r="H89"/>
  <c r="Q89" s="1"/>
  <c r="N89" s="1"/>
  <c r="I39"/>
  <c r="I49"/>
  <c r="I42"/>
  <c r="I41"/>
  <c r="I52"/>
  <c r="I51"/>
  <c r="H87"/>
  <c r="Q87" s="1"/>
  <c r="N87" s="1"/>
  <c r="H81"/>
  <c r="Q81" s="1"/>
  <c r="N81" s="1"/>
  <c r="I50"/>
  <c r="H78"/>
  <c r="Q78" s="1"/>
  <c r="N78" s="1"/>
  <c r="I36"/>
  <c r="H67"/>
  <c r="Q67" s="1"/>
  <c r="N67" s="1"/>
  <c r="I63"/>
  <c r="I54"/>
  <c r="H65"/>
  <c r="Q65" s="1"/>
  <c r="N65" s="1"/>
  <c r="I43"/>
  <c r="I48"/>
  <c r="I59"/>
  <c r="H77"/>
  <c r="Q77" s="1"/>
  <c r="N77" s="1"/>
  <c r="I60"/>
  <c r="I57"/>
  <c r="I64"/>
  <c r="H76"/>
  <c r="Q76" s="1"/>
  <c r="N76" s="1"/>
  <c r="H69"/>
  <c r="Q69" s="1"/>
  <c r="N69" s="1"/>
  <c r="H90"/>
  <c r="Q90" s="1"/>
  <c r="N90" s="1"/>
  <c r="H92"/>
  <c r="Q92" s="1"/>
  <c r="N92" s="1"/>
  <c r="H88"/>
  <c r="Q88" s="1"/>
  <c r="N88" s="1"/>
  <c r="I56"/>
  <c r="I40"/>
  <c r="I44"/>
  <c r="I45"/>
  <c r="I46"/>
  <c r="H84"/>
  <c r="Q84" s="1"/>
  <c r="N84" s="1"/>
  <c r="H79"/>
  <c r="Q79" s="1"/>
  <c r="N79" s="1"/>
  <c r="H95"/>
  <c r="Q95" s="1"/>
  <c r="N95" s="1"/>
  <c r="H85"/>
  <c r="Q85" s="1"/>
  <c r="N85" s="1"/>
  <c r="I47"/>
  <c r="I429" i="26"/>
  <c r="K429" s="1"/>
  <c r="T107" i="22"/>
  <c r="I63" i="26"/>
  <c r="K63" s="1"/>
  <c r="T124" i="22"/>
  <c r="I80" i="26"/>
  <c r="K80" s="1"/>
  <c r="I446"/>
  <c r="K446" s="1"/>
  <c r="I74"/>
  <c r="K74" s="1"/>
  <c r="I440"/>
  <c r="K440" s="1"/>
  <c r="T118" i="22"/>
  <c r="T101"/>
  <c r="I57" i="26"/>
  <c r="K57" s="1"/>
  <c r="I423"/>
  <c r="K423" s="1"/>
  <c r="T113" i="22"/>
  <c r="I69" i="26"/>
  <c r="K69" s="1"/>
  <c r="I435"/>
  <c r="K435" s="1"/>
  <c r="T111" i="22"/>
  <c r="I433" i="26"/>
  <c r="K433" s="1"/>
  <c r="I67"/>
  <c r="K67" s="1"/>
  <c r="AN156" i="1"/>
  <c r="T185" i="50"/>
  <c r="T164"/>
  <c r="AN135" i="1"/>
  <c r="T184" i="50"/>
  <c r="AN155" i="1"/>
  <c r="H127" i="50"/>
  <c r="Q127" s="1"/>
  <c r="N127" s="1"/>
  <c r="I123"/>
  <c r="I98"/>
  <c r="I119"/>
  <c r="I108"/>
  <c r="H137"/>
  <c r="Q137" s="1"/>
  <c r="N137" s="1"/>
  <c r="I103"/>
  <c r="H138"/>
  <c r="Q138" s="1"/>
  <c r="N138" s="1"/>
  <c r="H152"/>
  <c r="Q152" s="1"/>
  <c r="N152" s="1"/>
  <c r="H143"/>
  <c r="Q143" s="1"/>
  <c r="N143" s="1"/>
  <c r="I115"/>
  <c r="H156"/>
  <c r="Q156" s="1"/>
  <c r="N156" s="1"/>
  <c r="H149"/>
  <c r="Q149" s="1"/>
  <c r="N149" s="1"/>
  <c r="I111"/>
  <c r="I97"/>
  <c r="K7" i="49"/>
  <c r="H140" i="50"/>
  <c r="Q140" s="1"/>
  <c r="N140" s="1"/>
  <c r="H136"/>
  <c r="Q136" s="1"/>
  <c r="N136" s="1"/>
  <c r="I110"/>
  <c r="H151"/>
  <c r="Q151" s="1"/>
  <c r="N151" s="1"/>
  <c r="H131"/>
  <c r="Q131" s="1"/>
  <c r="N131" s="1"/>
  <c r="I100"/>
  <c r="H154"/>
  <c r="Q154" s="1"/>
  <c r="N154" s="1"/>
  <c r="I109"/>
  <c r="I125"/>
  <c r="I112"/>
  <c r="H132"/>
  <c r="Q132" s="1"/>
  <c r="N132" s="1"/>
  <c r="I102"/>
  <c r="I118"/>
  <c r="I105"/>
  <c r="H130"/>
  <c r="Q130" s="1"/>
  <c r="N130" s="1"/>
  <c r="H135"/>
  <c r="Q135" s="1"/>
  <c r="N135" s="1"/>
  <c r="H150"/>
  <c r="Q150" s="1"/>
  <c r="N150" s="1"/>
  <c r="I99"/>
  <c r="H147"/>
  <c r="Q147" s="1"/>
  <c r="N147" s="1"/>
  <c r="I120"/>
  <c r="I107"/>
  <c r="H142"/>
  <c r="Q142" s="1"/>
  <c r="N142" s="1"/>
  <c r="I114"/>
  <c r="I96"/>
  <c r="H145"/>
  <c r="Q145" s="1"/>
  <c r="N145" s="1"/>
  <c r="H148"/>
  <c r="Q148" s="1"/>
  <c r="N148" s="1"/>
  <c r="H134"/>
  <c r="Q134" s="1"/>
  <c r="N134" s="1"/>
  <c r="H139"/>
  <c r="Q139" s="1"/>
  <c r="N139" s="1"/>
  <c r="H155"/>
  <c r="Q155" s="1"/>
  <c r="N155" s="1"/>
  <c r="I104"/>
  <c r="H128"/>
  <c r="Q128" s="1"/>
  <c r="N128" s="1"/>
  <c r="H133"/>
  <c r="Q133" s="1"/>
  <c r="N133" s="1"/>
  <c r="I122"/>
  <c r="I106"/>
  <c r="I113"/>
  <c r="H141"/>
  <c r="Q141" s="1"/>
  <c r="N141" s="1"/>
  <c r="H126"/>
  <c r="Q126" s="1"/>
  <c r="N126" s="1"/>
  <c r="H129"/>
  <c r="Q129" s="1"/>
  <c r="N129" s="1"/>
  <c r="I124"/>
  <c r="I116"/>
  <c r="H153"/>
  <c r="Q153" s="1"/>
  <c r="N153" s="1"/>
  <c r="I117"/>
  <c r="H144"/>
  <c r="Q144" s="1"/>
  <c r="N144" s="1"/>
  <c r="I121"/>
  <c r="H146"/>
  <c r="Q146" s="1"/>
  <c r="N146" s="1"/>
  <c r="I101"/>
  <c r="AN142" i="1"/>
  <c r="T171" i="50"/>
  <c r="T160"/>
  <c r="AN131" i="1"/>
  <c r="T159" i="50"/>
  <c r="AN130" i="1"/>
  <c r="AN129"/>
  <c r="T158" i="50"/>
  <c r="F445" i="26"/>
  <c r="H445" s="1"/>
  <c r="T123" i="20"/>
  <c r="F79" i="26"/>
  <c r="H79" s="1"/>
  <c r="T118" i="20"/>
  <c r="F440" i="26"/>
  <c r="H440" s="1"/>
  <c r="F74"/>
  <c r="H74" s="1"/>
  <c r="H85" i="20"/>
  <c r="Q85" s="1"/>
  <c r="N85" s="1"/>
  <c r="H82"/>
  <c r="Q82" s="1"/>
  <c r="N82" s="1"/>
  <c r="H87"/>
  <c r="Q87" s="1"/>
  <c r="N87" s="1"/>
  <c r="H92"/>
  <c r="Q92" s="1"/>
  <c r="N92" s="1"/>
  <c r="I64"/>
  <c r="H72"/>
  <c r="Q72" s="1"/>
  <c r="N72" s="1"/>
  <c r="I59"/>
  <c r="I56"/>
  <c r="I57"/>
  <c r="I44"/>
  <c r="H65"/>
  <c r="Q65" s="1"/>
  <c r="N65" s="1"/>
  <c r="I60"/>
  <c r="I54"/>
  <c r="H89"/>
  <c r="Q89" s="1"/>
  <c r="N89" s="1"/>
  <c r="H86"/>
  <c r="Q86" s="1"/>
  <c r="N86" s="1"/>
  <c r="I39"/>
  <c r="I52"/>
  <c r="H81"/>
  <c r="Q81" s="1"/>
  <c r="N81" s="1"/>
  <c r="I50"/>
  <c r="K5" i="19"/>
  <c r="H67" i="20"/>
  <c r="Q67" s="1"/>
  <c r="N67" s="1"/>
  <c r="H70"/>
  <c r="Q70" s="1"/>
  <c r="N70" s="1"/>
  <c r="I46"/>
  <c r="I61"/>
  <c r="H79"/>
  <c r="Q79" s="1"/>
  <c r="N79" s="1"/>
  <c r="I49"/>
  <c r="H66"/>
  <c r="Q66" s="1"/>
  <c r="N66" s="1"/>
  <c r="I38"/>
  <c r="I40"/>
  <c r="I51"/>
  <c r="H95"/>
  <c r="Q95" s="1"/>
  <c r="N95" s="1"/>
  <c r="I53"/>
  <c r="I43"/>
  <c r="H74"/>
  <c r="Q74" s="1"/>
  <c r="N74" s="1"/>
  <c r="I58"/>
  <c r="H80"/>
  <c r="Q80" s="1"/>
  <c r="N80" s="1"/>
  <c r="H83"/>
  <c r="Q83" s="1"/>
  <c r="N83" s="1"/>
  <c r="H84"/>
  <c r="Q84" s="1"/>
  <c r="N84" s="1"/>
  <c r="I48"/>
  <c r="I55"/>
  <c r="H71"/>
  <c r="Q71" s="1"/>
  <c r="N71" s="1"/>
  <c r="I36"/>
  <c r="H90"/>
  <c r="Q90" s="1"/>
  <c r="N90" s="1"/>
  <c r="I45"/>
  <c r="I47"/>
  <c r="H88"/>
  <c r="Q88" s="1"/>
  <c r="N88" s="1"/>
  <c r="H77"/>
  <c r="Q77" s="1"/>
  <c r="N77" s="1"/>
  <c r="H73"/>
  <c r="Q73" s="1"/>
  <c r="N73" s="1"/>
  <c r="H78"/>
  <c r="Q78" s="1"/>
  <c r="N78" s="1"/>
  <c r="I41"/>
  <c r="H75"/>
  <c r="Q75" s="1"/>
  <c r="N75" s="1"/>
  <c r="H69"/>
  <c r="Q69" s="1"/>
  <c r="N69" s="1"/>
  <c r="H76"/>
  <c r="Q76" s="1"/>
  <c r="N76" s="1"/>
  <c r="I42"/>
  <c r="I62"/>
  <c r="H68"/>
  <c r="Q68" s="1"/>
  <c r="N68" s="1"/>
  <c r="I63"/>
  <c r="H93"/>
  <c r="Q93" s="1"/>
  <c r="N93" s="1"/>
  <c r="I37"/>
  <c r="H91"/>
  <c r="Q91" s="1"/>
  <c r="N91" s="1"/>
  <c r="H94"/>
  <c r="Q94" s="1"/>
  <c r="N94" s="1"/>
  <c r="T97"/>
  <c r="F419" i="26"/>
  <c r="H419" s="1"/>
  <c r="F53"/>
  <c r="H53" s="1"/>
  <c r="T100" i="20"/>
  <c r="F422" i="26"/>
  <c r="H422" s="1"/>
  <c r="F56"/>
  <c r="H56" s="1"/>
  <c r="F430"/>
  <c r="H430" s="1"/>
  <c r="T108" i="20"/>
  <c r="F64" i="26"/>
  <c r="H64" s="1"/>
  <c r="F428"/>
  <c r="H428" s="1"/>
  <c r="T106" i="20"/>
  <c r="F62" i="26"/>
  <c r="H62" s="1"/>
  <c r="P405" i="1"/>
  <c r="D388" i="38"/>
  <c r="E388"/>
  <c r="Z388"/>
  <c r="AA388" s="1"/>
  <c r="F388"/>
  <c r="AM388" s="1"/>
  <c r="T139" i="5"/>
  <c r="C95" i="26" s="1"/>
  <c r="G111" i="1" s="1"/>
  <c r="T504" i="5"/>
  <c r="C460" i="26" s="1"/>
  <c r="G476" i="1" s="1"/>
  <c r="K6" i="4"/>
  <c r="I87" i="5"/>
  <c r="H105"/>
  <c r="Q105" s="1"/>
  <c r="N105" s="1"/>
  <c r="H103"/>
  <c r="Q103" s="1"/>
  <c r="N103" s="1"/>
  <c r="I66"/>
  <c r="H117"/>
  <c r="Q117" s="1"/>
  <c r="N117" s="1"/>
  <c r="I67"/>
  <c r="H116"/>
  <c r="Q116" s="1"/>
  <c r="N116" s="1"/>
  <c r="I71"/>
  <c r="H104"/>
  <c r="Q104" s="1"/>
  <c r="N104" s="1"/>
  <c r="I80"/>
  <c r="I73"/>
  <c r="I76"/>
  <c r="I91"/>
  <c r="H109"/>
  <c r="Q109" s="1"/>
  <c r="N109" s="1"/>
  <c r="I68"/>
  <c r="H110"/>
  <c r="Q110" s="1"/>
  <c r="N110" s="1"/>
  <c r="H107"/>
  <c r="Q107" s="1"/>
  <c r="N107" s="1"/>
  <c r="I69"/>
  <c r="H111"/>
  <c r="Q111" s="1"/>
  <c r="N111" s="1"/>
  <c r="I74"/>
  <c r="I78"/>
  <c r="I75"/>
  <c r="H124"/>
  <c r="Q124" s="1"/>
  <c r="N124" s="1"/>
  <c r="I79"/>
  <c r="H112"/>
  <c r="Q112" s="1"/>
  <c r="N112" s="1"/>
  <c r="I70"/>
  <c r="I81"/>
  <c r="I84"/>
  <c r="H98"/>
  <c r="Q98" s="1"/>
  <c r="N98" s="1"/>
  <c r="H114"/>
  <c r="Q114" s="1"/>
  <c r="N114" s="1"/>
  <c r="I92"/>
  <c r="H118"/>
  <c r="Q118" s="1"/>
  <c r="N118" s="1"/>
  <c r="H115"/>
  <c r="Q115" s="1"/>
  <c r="N115" s="1"/>
  <c r="I77"/>
  <c r="H119"/>
  <c r="Q119" s="1"/>
  <c r="N119" s="1"/>
  <c r="I89"/>
  <c r="I85"/>
  <c r="I90"/>
  <c r="H99"/>
  <c r="Q99" s="1"/>
  <c r="N99" s="1"/>
  <c r="I65"/>
  <c r="H100"/>
  <c r="Q100" s="1"/>
  <c r="N100" s="1"/>
  <c r="H106"/>
  <c r="Q106" s="1"/>
  <c r="N106" s="1"/>
  <c r="I82"/>
  <c r="H120"/>
  <c r="Q120" s="1"/>
  <c r="N120" s="1"/>
  <c r="H101"/>
  <c r="Q101" s="1"/>
  <c r="N101" s="1"/>
  <c r="H121"/>
  <c r="Q121" s="1"/>
  <c r="N121" s="1"/>
  <c r="H125"/>
  <c r="Q125" s="1"/>
  <c r="N125" s="1"/>
  <c r="H123"/>
  <c r="Q123" s="1"/>
  <c r="N123" s="1"/>
  <c r="H97"/>
  <c r="Q97" s="1"/>
  <c r="N97" s="1"/>
  <c r="H102"/>
  <c r="Q102" s="1"/>
  <c r="N102" s="1"/>
  <c r="I94"/>
  <c r="I95"/>
  <c r="H108"/>
  <c r="Q108" s="1"/>
  <c r="N108" s="1"/>
  <c r="I93"/>
  <c r="H96"/>
  <c r="Q96" s="1"/>
  <c r="N96" s="1"/>
  <c r="I88"/>
  <c r="H122"/>
  <c r="Q122" s="1"/>
  <c r="N122" s="1"/>
  <c r="H113"/>
  <c r="Q113" s="1"/>
  <c r="N113" s="1"/>
  <c r="I72"/>
  <c r="I83"/>
  <c r="I86"/>
  <c r="T513"/>
  <c r="C469" i="26" s="1"/>
  <c r="G485" i="1" s="1"/>
  <c r="T148" i="5"/>
  <c r="C104" i="26" s="1"/>
  <c r="G120" i="1" s="1"/>
  <c r="T517" i="5"/>
  <c r="C473" i="26" s="1"/>
  <c r="G489" i="1" s="1"/>
  <c r="T152" i="5"/>
  <c r="C108" i="26" s="1"/>
  <c r="G124" i="1" s="1"/>
  <c r="T491" i="5"/>
  <c r="C447" i="26" s="1"/>
  <c r="G463" i="1" s="1"/>
  <c r="T126" i="5"/>
  <c r="C82" i="26" s="1"/>
  <c r="G98" i="1" s="1"/>
  <c r="T509" i="5"/>
  <c r="C465" i="26" s="1"/>
  <c r="G481" i="1" s="1"/>
  <c r="T144" i="5"/>
  <c r="C100" i="26" s="1"/>
  <c r="G116" i="1" s="1"/>
  <c r="T135" i="5"/>
  <c r="C91" i="26" s="1"/>
  <c r="G107" i="1" s="1"/>
  <c r="T500" i="5"/>
  <c r="C456" i="26" s="1"/>
  <c r="G472" i="1" s="1"/>
  <c r="T136" i="5"/>
  <c r="C92" i="26" s="1"/>
  <c r="G108" i="1" s="1"/>
  <c r="T501" i="5"/>
  <c r="C457" i="26" s="1"/>
  <c r="G473" i="1" s="1"/>
  <c r="T147" i="5"/>
  <c r="C103" i="26" s="1"/>
  <c r="G119" i="1" s="1"/>
  <c r="T512" i="5"/>
  <c r="C468" i="26" s="1"/>
  <c r="G484" i="1" s="1"/>
  <c r="T494" i="5"/>
  <c r="C450" i="26" s="1"/>
  <c r="G466" i="1" s="1"/>
  <c r="T129" i="5"/>
  <c r="C85" i="26" s="1"/>
  <c r="G101" i="1" s="1"/>
  <c r="AO387" i="38"/>
  <c r="AP387" s="1"/>
  <c r="AQ387" s="1"/>
  <c r="AN387"/>
  <c r="T96" i="22"/>
  <c r="I418" i="26"/>
  <c r="K418" s="1"/>
  <c r="I52"/>
  <c r="K52" s="1"/>
  <c r="T122" i="22"/>
  <c r="I78" i="26"/>
  <c r="K78" s="1"/>
  <c r="I444"/>
  <c r="K444" s="1"/>
  <c r="T116" i="22"/>
  <c r="I438" i="26"/>
  <c r="K438" s="1"/>
  <c r="I72"/>
  <c r="K72" s="1"/>
  <c r="I81"/>
  <c r="K81" s="1"/>
  <c r="T125" i="22"/>
  <c r="I447" i="26"/>
  <c r="K447" s="1"/>
  <c r="I434"/>
  <c r="K434" s="1"/>
  <c r="T112" i="22"/>
  <c r="I68" i="26"/>
  <c r="K68" s="1"/>
  <c r="I420"/>
  <c r="K420" s="1"/>
  <c r="T98" i="22"/>
  <c r="I54" i="26"/>
  <c r="K54" s="1"/>
  <c r="T120" i="22"/>
  <c r="I442" i="26"/>
  <c r="K442" s="1"/>
  <c r="I76"/>
  <c r="K76" s="1"/>
  <c r="T109" i="22"/>
  <c r="I65" i="26"/>
  <c r="K65" s="1"/>
  <c r="I431"/>
  <c r="K431" s="1"/>
  <c r="I53"/>
  <c r="K53" s="1"/>
  <c r="T97" i="22"/>
  <c r="I419" i="26"/>
  <c r="K419" s="1"/>
  <c r="AN148" i="1"/>
  <c r="T177" i="50"/>
  <c r="T170"/>
  <c r="AN141" i="1"/>
  <c r="T179" i="50"/>
  <c r="AN150" i="1"/>
  <c r="AN147"/>
  <c r="T176" i="50"/>
  <c r="T165"/>
  <c r="AN136" i="1"/>
  <c r="T161" i="50"/>
  <c r="AN132" i="1"/>
  <c r="T172" i="50"/>
  <c r="AN143" i="1"/>
  <c r="AN145"/>
  <c r="T174" i="50"/>
  <c r="T157"/>
  <c r="AN128" i="1"/>
  <c r="T117" i="20"/>
  <c r="F73" i="26"/>
  <c r="H73" s="1"/>
  <c r="F439"/>
  <c r="H439" s="1"/>
  <c r="T112" i="20"/>
  <c r="F68" i="26"/>
  <c r="H68" s="1"/>
  <c r="F434"/>
  <c r="H434" s="1"/>
  <c r="F80"/>
  <c r="H80" s="1"/>
  <c r="T124" i="20"/>
  <c r="F446" i="26"/>
  <c r="H446" s="1"/>
  <c r="F76"/>
  <c r="H76" s="1"/>
  <c r="T120" i="20"/>
  <c r="F442" i="26"/>
  <c r="H442" s="1"/>
  <c r="T107" i="20"/>
  <c r="F429" i="26"/>
  <c r="H429" s="1"/>
  <c r="F63"/>
  <c r="H63" s="1"/>
  <c r="T101" i="20"/>
  <c r="F423" i="26"/>
  <c r="H423" s="1"/>
  <c r="F57"/>
  <c r="H57" s="1"/>
  <c r="F424"/>
  <c r="H424" s="1"/>
  <c r="T102" i="20"/>
  <c r="F58" i="26"/>
  <c r="H58" s="1"/>
  <c r="F81"/>
  <c r="H81" s="1"/>
  <c r="T125" i="20"/>
  <c r="F447" i="26"/>
  <c r="H447" s="1"/>
  <c r="AK405" i="1"/>
  <c r="AH405"/>
  <c r="BC405"/>
  <c r="AJ405"/>
  <c r="AC405"/>
  <c r="AL405"/>
  <c r="AM405"/>
  <c r="AI405"/>
  <c r="C394" i="48"/>
  <c r="D394"/>
  <c r="W394" s="1"/>
  <c r="E394"/>
  <c r="X394" s="1"/>
  <c r="B395"/>
  <c r="T155" i="5"/>
  <c r="C111" i="26" s="1"/>
  <c r="G127" i="1" s="1"/>
  <c r="T520" i="5"/>
  <c r="C476" i="26" s="1"/>
  <c r="G492" i="1" s="1"/>
  <c r="T134" i="5"/>
  <c r="C90" i="26" s="1"/>
  <c r="G106" i="1" s="1"/>
  <c r="T499" i="5"/>
  <c r="C455" i="26" s="1"/>
  <c r="G471" i="1" s="1"/>
  <c r="T150" i="5"/>
  <c r="C106" i="26" s="1"/>
  <c r="G122" i="1" s="1"/>
  <c r="T515" i="5"/>
  <c r="C471" i="26" s="1"/>
  <c r="G487" i="1" s="1"/>
  <c r="T140" i="5"/>
  <c r="C96" i="26" s="1"/>
  <c r="G112" i="1" s="1"/>
  <c r="T505" i="5"/>
  <c r="C461" i="26" s="1"/>
  <c r="G477" i="1" s="1"/>
  <c r="T518" i="5"/>
  <c r="C474" i="26" s="1"/>
  <c r="G490" i="1" s="1"/>
  <c r="T153" i="5"/>
  <c r="C109" i="26" s="1"/>
  <c r="G125" i="1" s="1"/>
  <c r="T156" i="5"/>
  <c r="C112" i="26" s="1"/>
  <c r="G128" i="1" s="1"/>
  <c r="T521" i="5"/>
  <c r="C477" i="26" s="1"/>
  <c r="G493" i="1" s="1"/>
  <c r="T508" i="5"/>
  <c r="C464" i="26" s="1"/>
  <c r="G480" i="1" s="1"/>
  <c r="T143" i="5"/>
  <c r="C99" i="26" s="1"/>
  <c r="G115" i="1" s="1"/>
  <c r="W404"/>
  <c r="R404"/>
  <c r="T104" i="22"/>
  <c r="I426" i="26"/>
  <c r="K426" s="1"/>
  <c r="I60"/>
  <c r="K60" s="1"/>
  <c r="T110" i="22"/>
  <c r="I432" i="26"/>
  <c r="K432" s="1"/>
  <c r="I66"/>
  <c r="K66" s="1"/>
  <c r="T108" i="22"/>
  <c r="I430" i="26"/>
  <c r="K430" s="1"/>
  <c r="I64"/>
  <c r="K64" s="1"/>
  <c r="T100" i="22"/>
  <c r="I56" i="26"/>
  <c r="K56" s="1"/>
  <c r="I422"/>
  <c r="K422" s="1"/>
  <c r="T119" i="22"/>
  <c r="I75" i="26"/>
  <c r="K75" s="1"/>
  <c r="I441"/>
  <c r="K441" s="1"/>
  <c r="T114" i="22"/>
  <c r="I70" i="26"/>
  <c r="K70" s="1"/>
  <c r="I436"/>
  <c r="K436" s="1"/>
  <c r="T166" i="50"/>
  <c r="AN137" i="1"/>
  <c r="T163" i="50"/>
  <c r="AN134" i="1"/>
  <c r="T180" i="50"/>
  <c r="AN151" i="1"/>
  <c r="T168" i="50"/>
  <c r="AN139" i="1"/>
  <c r="T182" i="50"/>
  <c r="AN153" i="1"/>
  <c r="AN133"/>
  <c r="T162" i="50"/>
  <c r="T167"/>
  <c r="AN138" i="1"/>
  <c r="T169" i="50"/>
  <c r="AN140" i="1"/>
  <c r="T99" i="20"/>
  <c r="F421" i="26"/>
  <c r="H421" s="1"/>
  <c r="F55"/>
  <c r="H55" s="1"/>
  <c r="T96" i="20"/>
  <c r="F52" i="26"/>
  <c r="H52" s="1"/>
  <c r="F418"/>
  <c r="H418" s="1"/>
  <c r="T114" i="20"/>
  <c r="F436" i="26"/>
  <c r="H436" s="1"/>
  <c r="F70"/>
  <c r="H70" s="1"/>
  <c r="F59"/>
  <c r="H59" s="1"/>
  <c r="T103" i="20"/>
  <c r="F425" i="26"/>
  <c r="H425" s="1"/>
  <c r="T105" i="20"/>
  <c r="F427" i="26"/>
  <c r="H427" s="1"/>
  <c r="F61"/>
  <c r="H61" s="1"/>
  <c r="T111" i="20"/>
  <c r="F433" i="26"/>
  <c r="H433" s="1"/>
  <c r="F67"/>
  <c r="H67" s="1"/>
  <c r="F71"/>
  <c r="H71" s="1"/>
  <c r="T115" i="20"/>
  <c r="F437" i="26"/>
  <c r="H437" s="1"/>
  <c r="T122" i="20"/>
  <c r="F78" i="26"/>
  <c r="H78" s="1"/>
  <c r="F444"/>
  <c r="H444" s="1"/>
  <c r="E406" i="1"/>
  <c r="F408" i="52"/>
  <c r="K406" i="1"/>
  <c r="N406" s="1"/>
  <c r="A413" i="53"/>
  <c r="B414" s="1"/>
  <c r="B389" i="38"/>
  <c r="A406" i="1"/>
  <c r="B407"/>
  <c r="A390" i="26"/>
  <c r="B390" s="1"/>
  <c r="L406" i="1"/>
  <c r="M405" s="1"/>
  <c r="C406"/>
  <c r="D406" s="1"/>
  <c r="T151" i="5"/>
  <c r="C107" i="26" s="1"/>
  <c r="G123" i="1" s="1"/>
  <c r="T516" i="5"/>
  <c r="C472" i="26" s="1"/>
  <c r="G488" i="1" s="1"/>
  <c r="T492" i="5"/>
  <c r="C448" i="26" s="1"/>
  <c r="G464" i="1" s="1"/>
  <c r="T127" i="5"/>
  <c r="C83" i="26" s="1"/>
  <c r="G99" i="1" s="1"/>
  <c r="T507" i="5"/>
  <c r="C463" i="26" s="1"/>
  <c r="G479" i="1" s="1"/>
  <c r="T142" i="5"/>
  <c r="C98" i="26" s="1"/>
  <c r="G114" i="1" s="1"/>
  <c r="T510" i="5"/>
  <c r="C466" i="26" s="1"/>
  <c r="G482" i="1" s="1"/>
  <c r="T145" i="5"/>
  <c r="C101" i="26" s="1"/>
  <c r="G117" i="1" s="1"/>
  <c r="T138" i="5"/>
  <c r="C94" i="26" s="1"/>
  <c r="G110" i="1" s="1"/>
  <c r="T503" i="5"/>
  <c r="C459" i="26" s="1"/>
  <c r="G475" i="1" s="1"/>
  <c r="T154" i="5"/>
  <c r="C110" i="26" s="1"/>
  <c r="G126" i="1" s="1"/>
  <c r="T519" i="5"/>
  <c r="C475" i="26" s="1"/>
  <c r="G491" i="1" s="1"/>
  <c r="T502" i="5"/>
  <c r="C458" i="26" s="1"/>
  <c r="G474" i="1" s="1"/>
  <c r="T137" i="5"/>
  <c r="C93" i="26" s="1"/>
  <c r="G109" i="1" s="1"/>
  <c r="BE14" i="55" l="1"/>
  <c r="G406" i="53"/>
  <c r="BD402" i="1"/>
  <c r="BE402" s="1"/>
  <c r="T402" s="1"/>
  <c r="U402" s="1"/>
  <c r="BA403"/>
  <c r="I405" i="53"/>
  <c r="CU13" i="55" s="1"/>
  <c r="D405" i="53"/>
  <c r="O13" i="55" s="1"/>
  <c r="BZ13"/>
  <c r="AF398" i="1"/>
  <c r="AD399"/>
  <c r="AB400"/>
  <c r="AE400" s="1"/>
  <c r="Z400"/>
  <c r="AA400"/>
  <c r="E407" i="53" s="1"/>
  <c r="S404" i="1"/>
  <c r="V401"/>
  <c r="X401"/>
  <c r="F394" i="48"/>
  <c r="Y394" s="1"/>
  <c r="V394"/>
  <c r="T488" i="5"/>
  <c r="C444" i="26" s="1"/>
  <c r="G460" i="1" s="1"/>
  <c r="T123" i="5"/>
  <c r="C79" i="26" s="1"/>
  <c r="G95" i="1" s="1"/>
  <c r="T120" i="5"/>
  <c r="C76" i="26" s="1"/>
  <c r="G92" i="1" s="1"/>
  <c r="T485" i="5"/>
  <c r="C441" i="26" s="1"/>
  <c r="G457" i="1" s="1"/>
  <c r="T118" i="5"/>
  <c r="C74" i="26" s="1"/>
  <c r="G90" i="1" s="1"/>
  <c r="T483" i="5"/>
  <c r="C439" i="26" s="1"/>
  <c r="G455" i="1" s="1"/>
  <c r="T475" i="5"/>
  <c r="C431" i="26" s="1"/>
  <c r="G447" i="1" s="1"/>
  <c r="T110" i="5"/>
  <c r="C66" i="26" s="1"/>
  <c r="G82" i="1" s="1"/>
  <c r="I58" i="5"/>
  <c r="I46"/>
  <c r="I39"/>
  <c r="H67"/>
  <c r="Q67" s="1"/>
  <c r="N67" s="1"/>
  <c r="I36"/>
  <c r="I38"/>
  <c r="H75"/>
  <c r="Q75" s="1"/>
  <c r="N75" s="1"/>
  <c r="H65"/>
  <c r="Q65" s="1"/>
  <c r="N65" s="1"/>
  <c r="H69"/>
  <c r="Q69" s="1"/>
  <c r="N69" s="1"/>
  <c r="I41"/>
  <c r="I54"/>
  <c r="H79"/>
  <c r="Q79" s="1"/>
  <c r="N79" s="1"/>
  <c r="H91"/>
  <c r="Q91" s="1"/>
  <c r="N91" s="1"/>
  <c r="H73"/>
  <c r="Q73" s="1"/>
  <c r="N73" s="1"/>
  <c r="I44"/>
  <c r="I40"/>
  <c r="H66"/>
  <c r="Q66" s="1"/>
  <c r="N66" s="1"/>
  <c r="H86"/>
  <c r="Q86" s="1"/>
  <c r="N86" s="1"/>
  <c r="I43"/>
  <c r="I42"/>
  <c r="I56"/>
  <c r="H82"/>
  <c r="Q82" s="1"/>
  <c r="N82" s="1"/>
  <c r="H83"/>
  <c r="Q83" s="1"/>
  <c r="N83" s="1"/>
  <c r="H94"/>
  <c r="Q94" s="1"/>
  <c r="N94" s="1"/>
  <c r="I50"/>
  <c r="I59"/>
  <c r="H77"/>
  <c r="Q77" s="1"/>
  <c r="N77" s="1"/>
  <c r="H90"/>
  <c r="Q90" s="1"/>
  <c r="N90" s="1"/>
  <c r="H93"/>
  <c r="Q93" s="1"/>
  <c r="N93" s="1"/>
  <c r="I37"/>
  <c r="H74"/>
  <c r="Q74" s="1"/>
  <c r="N74" s="1"/>
  <c r="H72"/>
  <c r="Q72" s="1"/>
  <c r="N72" s="1"/>
  <c r="H68"/>
  <c r="Q68" s="1"/>
  <c r="N68" s="1"/>
  <c r="H95"/>
  <c r="Q95" s="1"/>
  <c r="N95" s="1"/>
  <c r="I53"/>
  <c r="I47"/>
  <c r="H78"/>
  <c r="Q78" s="1"/>
  <c r="N78" s="1"/>
  <c r="H80"/>
  <c r="Q80" s="1"/>
  <c r="N80" s="1"/>
  <c r="H92"/>
  <c r="Q92" s="1"/>
  <c r="N92" s="1"/>
  <c r="H84"/>
  <c r="Q84" s="1"/>
  <c r="N84" s="1"/>
  <c r="I48"/>
  <c r="I57"/>
  <c r="H85"/>
  <c r="Q85" s="1"/>
  <c r="N85" s="1"/>
  <c r="I51"/>
  <c r="I64"/>
  <c r="K5" i="4"/>
  <c r="H89" i="5"/>
  <c r="Q89" s="1"/>
  <c r="N89" s="1"/>
  <c r="I62"/>
  <c r="H76"/>
  <c r="Q76" s="1"/>
  <c r="N76" s="1"/>
  <c r="I63"/>
  <c r="H81"/>
  <c r="Q81" s="1"/>
  <c r="N81" s="1"/>
  <c r="I52"/>
  <c r="I61"/>
  <c r="H88"/>
  <c r="Q88" s="1"/>
  <c r="N88" s="1"/>
  <c r="H87"/>
  <c r="Q87" s="1"/>
  <c r="N87" s="1"/>
  <c r="I49"/>
  <c r="H71"/>
  <c r="Q71" s="1"/>
  <c r="N71" s="1"/>
  <c r="I60"/>
  <c r="I45"/>
  <c r="I55"/>
  <c r="H70"/>
  <c r="Q70" s="1"/>
  <c r="N70" s="1"/>
  <c r="W405" i="1"/>
  <c r="R405"/>
  <c r="T94" i="20"/>
  <c r="F50" i="26"/>
  <c r="H50" s="1"/>
  <c r="F416"/>
  <c r="H416" s="1"/>
  <c r="F398"/>
  <c r="H398" s="1"/>
  <c r="T76" i="20"/>
  <c r="F32" i="26"/>
  <c r="H32" s="1"/>
  <c r="F34"/>
  <c r="H34" s="1"/>
  <c r="F400"/>
  <c r="H400" s="1"/>
  <c r="T78" i="20"/>
  <c r="T71"/>
  <c r="F393" i="26"/>
  <c r="H393" s="1"/>
  <c r="F27"/>
  <c r="H27" s="1"/>
  <c r="T83" i="20"/>
  <c r="F39" i="26"/>
  <c r="H39" s="1"/>
  <c r="F405"/>
  <c r="H405" s="1"/>
  <c r="T79" i="20"/>
  <c r="F401" i="26"/>
  <c r="H401" s="1"/>
  <c r="F35"/>
  <c r="H35" s="1"/>
  <c r="F389"/>
  <c r="H389" s="1"/>
  <c r="F23"/>
  <c r="H23" s="1"/>
  <c r="T67" i="20"/>
  <c r="T85"/>
  <c r="F407" i="26"/>
  <c r="H407" s="1"/>
  <c r="F41"/>
  <c r="H41" s="1"/>
  <c r="T129" i="50"/>
  <c r="AN100" i="1"/>
  <c r="AN119"/>
  <c r="T148" i="50"/>
  <c r="T142"/>
  <c r="AN113" i="1"/>
  <c r="AN107"/>
  <c r="T136" i="50"/>
  <c r="T143"/>
  <c r="AN114" i="1"/>
  <c r="T137" i="50"/>
  <c r="AN108" i="1"/>
  <c r="T84" i="22"/>
  <c r="I406" i="26"/>
  <c r="K406" s="1"/>
  <c r="I40"/>
  <c r="K40" s="1"/>
  <c r="T90" i="22"/>
  <c r="I412" i="26"/>
  <c r="K412" s="1"/>
  <c r="I46"/>
  <c r="K46" s="1"/>
  <c r="T66" i="22"/>
  <c r="I22" i="26"/>
  <c r="K22" s="1"/>
  <c r="I388"/>
  <c r="K388" s="1"/>
  <c r="I408"/>
  <c r="K408" s="1"/>
  <c r="T86" i="22"/>
  <c r="I42" i="26"/>
  <c r="K42" s="1"/>
  <c r="T70" i="22"/>
  <c r="I26" i="26"/>
  <c r="K26" s="1"/>
  <c r="I392"/>
  <c r="K392" s="1"/>
  <c r="T93" i="22"/>
  <c r="I49" i="26"/>
  <c r="K49" s="1"/>
  <c r="I415"/>
  <c r="K415" s="1"/>
  <c r="H43" i="22"/>
  <c r="I23"/>
  <c r="I27"/>
  <c r="I20"/>
  <c r="H52"/>
  <c r="Q52" s="1"/>
  <c r="H61"/>
  <c r="Q61" s="1"/>
  <c r="N61" s="1"/>
  <c r="H48"/>
  <c r="H56"/>
  <c r="Q56" s="1"/>
  <c r="N56" s="1"/>
  <c r="I7"/>
  <c r="I4"/>
  <c r="H45"/>
  <c r="H39"/>
  <c r="I10"/>
  <c r="H58"/>
  <c r="Q58" s="1"/>
  <c r="N58" s="1"/>
  <c r="I15"/>
  <c r="H46"/>
  <c r="H42"/>
  <c r="H44"/>
  <c r="I30"/>
  <c r="H40"/>
  <c r="H53"/>
  <c r="Q53" s="1"/>
  <c r="H51"/>
  <c r="Q51" s="1"/>
  <c r="N415" s="1"/>
  <c r="I371" i="26" s="1"/>
  <c r="K371" s="1"/>
  <c r="H37" i="22"/>
  <c r="H57"/>
  <c r="Q57" s="1"/>
  <c r="N57" s="1"/>
  <c r="H41"/>
  <c r="I17"/>
  <c r="H64"/>
  <c r="Q64" s="1"/>
  <c r="N64" s="1"/>
  <c r="I34"/>
  <c r="I24"/>
  <c r="H55"/>
  <c r="Q55" s="1"/>
  <c r="N55" s="1"/>
  <c r="H49"/>
  <c r="H38"/>
  <c r="I29"/>
  <c r="I33"/>
  <c r="I22"/>
  <c r="I28"/>
  <c r="H62"/>
  <c r="Q62" s="1"/>
  <c r="N62" s="1"/>
  <c r="I25"/>
  <c r="H54"/>
  <c r="Q54" s="1"/>
  <c r="I32"/>
  <c r="K4" i="21"/>
  <c r="I13" i="22"/>
  <c r="I9"/>
  <c r="I26"/>
  <c r="I11"/>
  <c r="H50"/>
  <c r="Q50" s="1"/>
  <c r="H36"/>
  <c r="I21"/>
  <c r="I8"/>
  <c r="I14"/>
  <c r="H60"/>
  <c r="Q60" s="1"/>
  <c r="N60" s="1"/>
  <c r="H63"/>
  <c r="Q63" s="1"/>
  <c r="N63" s="1"/>
  <c r="I12"/>
  <c r="H59"/>
  <c r="Q59" s="1"/>
  <c r="N59" s="1"/>
  <c r="I19"/>
  <c r="I31"/>
  <c r="I5"/>
  <c r="I16"/>
  <c r="I18"/>
  <c r="H47"/>
  <c r="I35"/>
  <c r="I6"/>
  <c r="E407" i="1"/>
  <c r="C407"/>
  <c r="D407" s="1"/>
  <c r="A414" i="53"/>
  <c r="B415" s="1"/>
  <c r="A407" i="1"/>
  <c r="F409" i="52"/>
  <c r="A391" i="26"/>
  <c r="B391" s="1"/>
  <c r="B408" i="1"/>
  <c r="L407"/>
  <c r="M406" s="1"/>
  <c r="K407"/>
  <c r="N407" s="1"/>
  <c r="B390" i="38"/>
  <c r="P406" i="1"/>
  <c r="C395" i="48"/>
  <c r="E395"/>
  <c r="X395" s="1"/>
  <c r="B396"/>
  <c r="D395"/>
  <c r="W395" s="1"/>
  <c r="T96" i="5"/>
  <c r="C52" i="26" s="1"/>
  <c r="G68" i="1" s="1"/>
  <c r="T461" i="5"/>
  <c r="C417" i="26" s="1"/>
  <c r="G433" i="1" s="1"/>
  <c r="T490" i="5"/>
  <c r="C446" i="26" s="1"/>
  <c r="G462" i="1" s="1"/>
  <c r="T125" i="5"/>
  <c r="C81" i="26" s="1"/>
  <c r="G97" i="1" s="1"/>
  <c r="T464" i="5"/>
  <c r="C420" i="26" s="1"/>
  <c r="G436" i="1" s="1"/>
  <c r="T99" i="5"/>
  <c r="C55" i="26" s="1"/>
  <c r="G71" i="1" s="1"/>
  <c r="T119" i="5"/>
  <c r="C75" i="26" s="1"/>
  <c r="G91" i="1" s="1"/>
  <c r="T484" i="5"/>
  <c r="C440" i="26" s="1"/>
  <c r="G456" i="1" s="1"/>
  <c r="T124" i="5"/>
  <c r="C80" i="26" s="1"/>
  <c r="G96" i="1" s="1"/>
  <c r="T489" i="5"/>
  <c r="C445" i="26" s="1"/>
  <c r="G461" i="1" s="1"/>
  <c r="T476" i="5"/>
  <c r="C432" i="26" s="1"/>
  <c r="G448" i="1" s="1"/>
  <c r="T111" i="5"/>
  <c r="C67" i="26" s="1"/>
  <c r="G83" i="1" s="1"/>
  <c r="T481" i="5"/>
  <c r="C437" i="26" s="1"/>
  <c r="G453" i="1" s="1"/>
  <c r="T116" i="5"/>
  <c r="C72" i="26" s="1"/>
  <c r="G88" i="1" s="1"/>
  <c r="T103" i="5"/>
  <c r="C59" i="26" s="1"/>
  <c r="G75" i="1" s="1"/>
  <c r="T468" i="5"/>
  <c r="C424" i="26" s="1"/>
  <c r="G440" i="1" s="1"/>
  <c r="F413" i="26"/>
  <c r="H413" s="1"/>
  <c r="T91" i="20"/>
  <c r="F47" i="26"/>
  <c r="H47" s="1"/>
  <c r="F24"/>
  <c r="H24" s="1"/>
  <c r="F390"/>
  <c r="H390" s="1"/>
  <c r="T68" i="20"/>
  <c r="T69"/>
  <c r="F391" i="26"/>
  <c r="H391" s="1"/>
  <c r="F25"/>
  <c r="H25" s="1"/>
  <c r="T73" i="20"/>
  <c r="F395" i="26"/>
  <c r="H395" s="1"/>
  <c r="F29"/>
  <c r="H29" s="1"/>
  <c r="T80" i="20"/>
  <c r="F36" i="26"/>
  <c r="H36" s="1"/>
  <c r="F402"/>
  <c r="H402" s="1"/>
  <c r="H62" i="20"/>
  <c r="Q62" s="1"/>
  <c r="N62" s="1"/>
  <c r="I10"/>
  <c r="I33"/>
  <c r="H54"/>
  <c r="Q54" s="1"/>
  <c r="I23"/>
  <c r="I27"/>
  <c r="I5"/>
  <c r="H56"/>
  <c r="Q56" s="1"/>
  <c r="N56" s="1"/>
  <c r="I14"/>
  <c r="H41"/>
  <c r="H43"/>
  <c r="H57"/>
  <c r="Q57" s="1"/>
  <c r="N57" s="1"/>
  <c r="I12"/>
  <c r="I16"/>
  <c r="H64"/>
  <c r="Q64" s="1"/>
  <c r="N64" s="1"/>
  <c r="K4" i="19"/>
  <c r="H63" i="20"/>
  <c r="Q63" s="1"/>
  <c r="N63" s="1"/>
  <c r="H38"/>
  <c r="I25"/>
  <c r="H48"/>
  <c r="I34"/>
  <c r="I15"/>
  <c r="H51"/>
  <c r="Q51" s="1"/>
  <c r="N415" s="1"/>
  <c r="F371" i="26" s="1"/>
  <c r="H371" s="1"/>
  <c r="I18" i="20"/>
  <c r="H53"/>
  <c r="Q53" s="1"/>
  <c r="I29"/>
  <c r="I17"/>
  <c r="I11"/>
  <c r="H59"/>
  <c r="Q59" s="1"/>
  <c r="N59" s="1"/>
  <c r="H42"/>
  <c r="H61"/>
  <c r="Q61" s="1"/>
  <c r="N61" s="1"/>
  <c r="H52"/>
  <c r="Q52" s="1"/>
  <c r="H58"/>
  <c r="Q58" s="1"/>
  <c r="N58" s="1"/>
  <c r="H45"/>
  <c r="I22"/>
  <c r="H40"/>
  <c r="I8"/>
  <c r="I21"/>
  <c r="I7"/>
  <c r="H47"/>
  <c r="I4"/>
  <c r="I30"/>
  <c r="I9"/>
  <c r="I28"/>
  <c r="H60"/>
  <c r="Q60" s="1"/>
  <c r="N60" s="1"/>
  <c r="I32"/>
  <c r="I24"/>
  <c r="H55"/>
  <c r="Q55" s="1"/>
  <c r="N55" s="1"/>
  <c r="I35"/>
  <c r="H37"/>
  <c r="I31"/>
  <c r="H44"/>
  <c r="H36"/>
  <c r="I13"/>
  <c r="H46"/>
  <c r="I26"/>
  <c r="H49"/>
  <c r="H39"/>
  <c r="I6"/>
  <c r="I20"/>
  <c r="H50"/>
  <c r="Q50" s="1"/>
  <c r="I19"/>
  <c r="F414" i="26"/>
  <c r="H414" s="1"/>
  <c r="F48"/>
  <c r="H48" s="1"/>
  <c r="T92" i="20"/>
  <c r="AN117" i="1"/>
  <c r="T146" i="50"/>
  <c r="T153"/>
  <c r="AN124" i="1"/>
  <c r="T126" i="50"/>
  <c r="AN97" i="1"/>
  <c r="AN126"/>
  <c r="T155" i="50"/>
  <c r="T145"/>
  <c r="AN116" i="1"/>
  <c r="AN121"/>
  <c r="T150" i="50"/>
  <c r="T131"/>
  <c r="AN102" i="1"/>
  <c r="T140" i="50"/>
  <c r="AN111" i="1"/>
  <c r="T149" i="50"/>
  <c r="AN120" i="1"/>
  <c r="T152" i="50"/>
  <c r="AN123" i="1"/>
  <c r="T127" i="50"/>
  <c r="AN98" i="1"/>
  <c r="T85" i="22"/>
  <c r="I41" i="26"/>
  <c r="K41" s="1"/>
  <c r="I407"/>
  <c r="K407" s="1"/>
  <c r="I391"/>
  <c r="K391" s="1"/>
  <c r="T69" i="22"/>
  <c r="I25" i="26"/>
  <c r="K25" s="1"/>
  <c r="T67" i="22"/>
  <c r="I23" i="26"/>
  <c r="K23" s="1"/>
  <c r="I389"/>
  <c r="K389" s="1"/>
  <c r="T81" i="22"/>
  <c r="I403" i="26"/>
  <c r="K403" s="1"/>
  <c r="I37"/>
  <c r="K37" s="1"/>
  <c r="T89" i="22"/>
  <c r="I411" i="26"/>
  <c r="K411" s="1"/>
  <c r="I45"/>
  <c r="K45" s="1"/>
  <c r="I402"/>
  <c r="K402" s="1"/>
  <c r="T80" i="22"/>
  <c r="I36" i="26"/>
  <c r="K36" s="1"/>
  <c r="T91" i="22"/>
  <c r="I413" i="26"/>
  <c r="K413" s="1"/>
  <c r="I47"/>
  <c r="K47" s="1"/>
  <c r="T68" i="22"/>
  <c r="I24" i="26"/>
  <c r="K24" s="1"/>
  <c r="I390"/>
  <c r="K390" s="1"/>
  <c r="T82" i="22"/>
  <c r="I38" i="26"/>
  <c r="K38" s="1"/>
  <c r="I404"/>
  <c r="K404" s="1"/>
  <c r="BK386" i="38"/>
  <c r="AS386"/>
  <c r="AU386" s="1"/>
  <c r="AV386" s="1"/>
  <c r="BA386" s="1"/>
  <c r="BB386" s="1"/>
  <c r="BH386" s="1"/>
  <c r="BJ386" s="1"/>
  <c r="P386" s="1"/>
  <c r="O386" s="1"/>
  <c r="AJ406" i="1"/>
  <c r="AL406"/>
  <c r="AC406"/>
  <c r="AM406"/>
  <c r="AH406"/>
  <c r="BC406"/>
  <c r="AK406"/>
  <c r="AI406"/>
  <c r="T478" i="5"/>
  <c r="C434" i="26" s="1"/>
  <c r="G450" i="1" s="1"/>
  <c r="T113" i="5"/>
  <c r="C69" i="26" s="1"/>
  <c r="G85" i="1" s="1"/>
  <c r="T102" i="5"/>
  <c r="C58" i="26" s="1"/>
  <c r="G74" i="1" s="1"/>
  <c r="T467" i="5"/>
  <c r="C423" i="26" s="1"/>
  <c r="G439" i="1" s="1"/>
  <c r="T486" i="5"/>
  <c r="C442" i="26" s="1"/>
  <c r="G458" i="1" s="1"/>
  <c r="T121" i="5"/>
  <c r="C77" i="26" s="1"/>
  <c r="G93" i="1" s="1"/>
  <c r="T106" i="5"/>
  <c r="C62" i="26" s="1"/>
  <c r="G78" i="1" s="1"/>
  <c r="T471" i="5"/>
  <c r="C427" i="26" s="1"/>
  <c r="G443" i="1" s="1"/>
  <c r="T479" i="5"/>
  <c r="C435" i="26" s="1"/>
  <c r="G451" i="1" s="1"/>
  <c r="T114" i="5"/>
  <c r="C70" i="26" s="1"/>
  <c r="G86" i="1" s="1"/>
  <c r="T474" i="5"/>
  <c r="C430" i="26" s="1"/>
  <c r="G446" i="1" s="1"/>
  <c r="T109" i="5"/>
  <c r="C65" i="26" s="1"/>
  <c r="G81" i="1" s="1"/>
  <c r="T470" i="5"/>
  <c r="C426" i="26" s="1"/>
  <c r="G442" i="1" s="1"/>
  <c r="T105" i="5"/>
  <c r="C61" i="26" s="1"/>
  <c r="G77" i="1" s="1"/>
  <c r="T75" i="20"/>
  <c r="F397" i="26"/>
  <c r="H397" s="1"/>
  <c r="F31"/>
  <c r="H31" s="1"/>
  <c r="T77" i="20"/>
  <c r="F399" i="26"/>
  <c r="H399" s="1"/>
  <c r="F33"/>
  <c r="H33" s="1"/>
  <c r="T90" i="20"/>
  <c r="F412" i="26"/>
  <c r="H412" s="1"/>
  <c r="F46"/>
  <c r="H46" s="1"/>
  <c r="F417"/>
  <c r="H417" s="1"/>
  <c r="T95" i="20"/>
  <c r="F51" i="26"/>
  <c r="H51" s="1"/>
  <c r="F22"/>
  <c r="H22" s="1"/>
  <c r="T66" i="20"/>
  <c r="F388" i="26"/>
  <c r="H388" s="1"/>
  <c r="T86" i="20"/>
  <c r="F408" i="26"/>
  <c r="H408" s="1"/>
  <c r="F42"/>
  <c r="H42" s="1"/>
  <c r="T65" i="20"/>
  <c r="F21" i="26"/>
  <c r="H21" s="1"/>
  <c r="F387"/>
  <c r="H387" s="1"/>
  <c r="F409"/>
  <c r="H409" s="1"/>
  <c r="F43"/>
  <c r="H43" s="1"/>
  <c r="T87" i="20"/>
  <c r="T141" i="50"/>
  <c r="AN112" i="1"/>
  <c r="T133" i="50"/>
  <c r="AN104" i="1"/>
  <c r="T139" i="50"/>
  <c r="AN110" i="1"/>
  <c r="T135" i="50"/>
  <c r="AN106" i="1"/>
  <c r="T151" i="50"/>
  <c r="AN122" i="1"/>
  <c r="H112" i="50"/>
  <c r="Q112" s="1"/>
  <c r="N112" s="1"/>
  <c r="H116"/>
  <c r="Q116" s="1"/>
  <c r="N116" s="1"/>
  <c r="H107"/>
  <c r="Q107" s="1"/>
  <c r="N107" s="1"/>
  <c r="H115"/>
  <c r="Q115" s="1"/>
  <c r="N115" s="1"/>
  <c r="I69"/>
  <c r="I85"/>
  <c r="I72"/>
  <c r="I95"/>
  <c r="I65"/>
  <c r="I84"/>
  <c r="H97"/>
  <c r="Q97" s="1"/>
  <c r="N97" s="1"/>
  <c r="I68"/>
  <c r="H109"/>
  <c r="Q109" s="1"/>
  <c r="N109" s="1"/>
  <c r="H124"/>
  <c r="Q124" s="1"/>
  <c r="N124" s="1"/>
  <c r="H101"/>
  <c r="Q101" s="1"/>
  <c r="N101" s="1"/>
  <c r="I88"/>
  <c r="I83"/>
  <c r="I91"/>
  <c r="H121"/>
  <c r="Q121" s="1"/>
  <c r="N121" s="1"/>
  <c r="H123"/>
  <c r="Q123" s="1"/>
  <c r="N123" s="1"/>
  <c r="I79"/>
  <c r="I93"/>
  <c r="I67"/>
  <c r="H108"/>
  <c r="Q108" s="1"/>
  <c r="N108" s="1"/>
  <c r="I86"/>
  <c r="H102"/>
  <c r="Q102" s="1"/>
  <c r="N102" s="1"/>
  <c r="I80"/>
  <c r="H118"/>
  <c r="Q118" s="1"/>
  <c r="N118" s="1"/>
  <c r="H122"/>
  <c r="Q122" s="1"/>
  <c r="N122" s="1"/>
  <c r="H100"/>
  <c r="Q100" s="1"/>
  <c r="N100" s="1"/>
  <c r="H113"/>
  <c r="Q113" s="1"/>
  <c r="N113" s="1"/>
  <c r="I89"/>
  <c r="I90"/>
  <c r="I94"/>
  <c r="H104"/>
  <c r="Q104" s="1"/>
  <c r="N104" s="1"/>
  <c r="H125"/>
  <c r="Q125" s="1"/>
  <c r="N125" s="1"/>
  <c r="H103"/>
  <c r="Q103" s="1"/>
  <c r="N103" s="1"/>
  <c r="H99"/>
  <c r="Q99" s="1"/>
  <c r="N99" s="1"/>
  <c r="H120"/>
  <c r="Q120" s="1"/>
  <c r="N120" s="1"/>
  <c r="I82"/>
  <c r="H98"/>
  <c r="Q98" s="1"/>
  <c r="N98" s="1"/>
  <c r="H111"/>
  <c r="Q111" s="1"/>
  <c r="N111" s="1"/>
  <c r="I74"/>
  <c r="H117"/>
  <c r="Q117" s="1"/>
  <c r="N117" s="1"/>
  <c r="I71"/>
  <c r="I76"/>
  <c r="K6" i="49"/>
  <c r="H105" i="50"/>
  <c r="Q105" s="1"/>
  <c r="N105" s="1"/>
  <c r="I70"/>
  <c r="I73"/>
  <c r="H119"/>
  <c r="Q119" s="1"/>
  <c r="N119" s="1"/>
  <c r="I78"/>
  <c r="I75"/>
  <c r="I87"/>
  <c r="H96"/>
  <c r="Q96" s="1"/>
  <c r="N96" s="1"/>
  <c r="I77"/>
  <c r="I92"/>
  <c r="H106"/>
  <c r="Q106" s="1"/>
  <c r="N106" s="1"/>
  <c r="I81"/>
  <c r="H110"/>
  <c r="Q110" s="1"/>
  <c r="N110" s="1"/>
  <c r="H114"/>
  <c r="Q114" s="1"/>
  <c r="N114" s="1"/>
  <c r="I66"/>
  <c r="AN127" i="1"/>
  <c r="T156" i="50"/>
  <c r="T138"/>
  <c r="AN109" i="1"/>
  <c r="I417" i="26"/>
  <c r="K417" s="1"/>
  <c r="T95" i="22"/>
  <c r="I51" i="26"/>
  <c r="K51" s="1"/>
  <c r="T88" i="22"/>
  <c r="I410" i="26"/>
  <c r="K410" s="1"/>
  <c r="I44"/>
  <c r="K44" s="1"/>
  <c r="T76" i="22"/>
  <c r="I32" i="26"/>
  <c r="K32" s="1"/>
  <c r="I398"/>
  <c r="K398" s="1"/>
  <c r="T77" i="22"/>
  <c r="I399" i="26"/>
  <c r="K399" s="1"/>
  <c r="I33"/>
  <c r="K33" s="1"/>
  <c r="I387"/>
  <c r="K387" s="1"/>
  <c r="T65" i="22"/>
  <c r="I21" i="26"/>
  <c r="K21" s="1"/>
  <c r="T87" i="22"/>
  <c r="I43" i="26"/>
  <c r="K43" s="1"/>
  <c r="I409"/>
  <c r="K409" s="1"/>
  <c r="I394"/>
  <c r="K394" s="1"/>
  <c r="T72" i="22"/>
  <c r="I28" i="26"/>
  <c r="K28" s="1"/>
  <c r="T71" i="22"/>
  <c r="I393" i="26"/>
  <c r="K393" s="1"/>
  <c r="I27"/>
  <c r="K27" s="1"/>
  <c r="T83" i="22"/>
  <c r="I39" i="26"/>
  <c r="K39" s="1"/>
  <c r="I405"/>
  <c r="K405" s="1"/>
  <c r="E389" i="38"/>
  <c r="D389"/>
  <c r="Z389"/>
  <c r="AA389" s="1"/>
  <c r="F389"/>
  <c r="AM389" s="1"/>
  <c r="E408" i="52"/>
  <c r="AR387" i="38"/>
  <c r="T122" i="5"/>
  <c r="C78" i="26" s="1"/>
  <c r="G94" i="1" s="1"/>
  <c r="T487" i="5"/>
  <c r="C443" i="26" s="1"/>
  <c r="G459" i="1" s="1"/>
  <c r="T108" i="5"/>
  <c r="C64" i="26" s="1"/>
  <c r="G80" i="1" s="1"/>
  <c r="T473" i="5"/>
  <c r="C429" i="26" s="1"/>
  <c r="G445" i="1" s="1"/>
  <c r="T462" i="5"/>
  <c r="C418" i="26" s="1"/>
  <c r="G434" i="1" s="1"/>
  <c r="T97" i="5"/>
  <c r="C53" i="26" s="1"/>
  <c r="G69" i="1" s="1"/>
  <c r="T101" i="5"/>
  <c r="C57" i="26" s="1"/>
  <c r="G73" i="1" s="1"/>
  <c r="T466" i="5"/>
  <c r="C422" i="26" s="1"/>
  <c r="G438" i="1" s="1"/>
  <c r="T465" i="5"/>
  <c r="C421" i="26" s="1"/>
  <c r="G437" i="1" s="1"/>
  <c r="T100" i="5"/>
  <c r="C56" i="26" s="1"/>
  <c r="G72" i="1" s="1"/>
  <c r="T480" i="5"/>
  <c r="C436" i="26" s="1"/>
  <c r="G452" i="1" s="1"/>
  <c r="T115" i="5"/>
  <c r="C71" i="26" s="1"/>
  <c r="G87" i="1" s="1"/>
  <c r="T463" i="5"/>
  <c r="C419" i="26" s="1"/>
  <c r="G435" i="1" s="1"/>
  <c r="T98" i="5"/>
  <c r="C54" i="26" s="1"/>
  <c r="G70" i="1" s="1"/>
  <c r="T112" i="5"/>
  <c r="C68" i="26" s="1"/>
  <c r="G84" i="1" s="1"/>
  <c r="T477" i="5"/>
  <c r="C433" i="26" s="1"/>
  <c r="G449" i="1" s="1"/>
  <c r="T472" i="5"/>
  <c r="C428" i="26" s="1"/>
  <c r="G444" i="1" s="1"/>
  <c r="T107" i="5"/>
  <c r="C63" i="26" s="1"/>
  <c r="G79" i="1" s="1"/>
  <c r="T469" i="5"/>
  <c r="C425" i="26" s="1"/>
  <c r="G441" i="1" s="1"/>
  <c r="T104" i="5"/>
  <c r="C60" i="26" s="1"/>
  <c r="G76" i="1" s="1"/>
  <c r="T117" i="5"/>
  <c r="C73" i="26" s="1"/>
  <c r="G89" i="1" s="1"/>
  <c r="T482" i="5"/>
  <c r="C438" i="26" s="1"/>
  <c r="G454" i="1" s="1"/>
  <c r="AO388" i="38"/>
  <c r="AP388" s="1"/>
  <c r="AQ388" s="1"/>
  <c r="AN388"/>
  <c r="T93" i="20"/>
  <c r="F415" i="26"/>
  <c r="H415" s="1"/>
  <c r="F49"/>
  <c r="H49" s="1"/>
  <c r="T88" i="20"/>
  <c r="F44" i="26"/>
  <c r="H44" s="1"/>
  <c r="F410"/>
  <c r="H410" s="1"/>
  <c r="F40"/>
  <c r="H40" s="1"/>
  <c r="T84" i="20"/>
  <c r="F406" i="26"/>
  <c r="H406" s="1"/>
  <c r="T74" i="20"/>
  <c r="F30" i="26"/>
  <c r="H30" s="1"/>
  <c r="F396"/>
  <c r="H396" s="1"/>
  <c r="F26"/>
  <c r="H26" s="1"/>
  <c r="T70" i="20"/>
  <c r="F392" i="26"/>
  <c r="H392" s="1"/>
  <c r="T81" i="20"/>
  <c r="F37" i="26"/>
  <c r="H37" s="1"/>
  <c r="F403"/>
  <c r="H403" s="1"/>
  <c r="T89" i="20"/>
  <c r="F411" i="26"/>
  <c r="H411" s="1"/>
  <c r="F45"/>
  <c r="H45" s="1"/>
  <c r="T72" i="20"/>
  <c r="F28" i="26"/>
  <c r="H28" s="1"/>
  <c r="F394"/>
  <c r="H394" s="1"/>
  <c r="F404"/>
  <c r="H404" s="1"/>
  <c r="T82" i="20"/>
  <c r="F38" i="26"/>
  <c r="H38" s="1"/>
  <c r="T144" i="50"/>
  <c r="AN115" i="1"/>
  <c r="T128" i="50"/>
  <c r="AN99" i="1"/>
  <c r="AN105"/>
  <c r="T134" i="50"/>
  <c r="T147"/>
  <c r="AN118" i="1"/>
  <c r="T130" i="50"/>
  <c r="AN101" i="1"/>
  <c r="T132" i="50"/>
  <c r="AN103" i="1"/>
  <c r="AN125"/>
  <c r="T154" i="50"/>
  <c r="T79" i="22"/>
  <c r="I401" i="26"/>
  <c r="K401" s="1"/>
  <c r="I35"/>
  <c r="K35" s="1"/>
  <c r="I414"/>
  <c r="K414" s="1"/>
  <c r="T92" i="22"/>
  <c r="I48" i="26"/>
  <c r="K48" s="1"/>
  <c r="T78" i="22"/>
  <c r="I34" i="26"/>
  <c r="K34" s="1"/>
  <c r="I400"/>
  <c r="K400" s="1"/>
  <c r="I397"/>
  <c r="K397" s="1"/>
  <c r="T75" i="22"/>
  <c r="I31" i="26"/>
  <c r="K31" s="1"/>
  <c r="T94" i="22"/>
  <c r="I50" i="26"/>
  <c r="K50" s="1"/>
  <c r="I416"/>
  <c r="K416" s="1"/>
  <c r="I396"/>
  <c r="K396" s="1"/>
  <c r="T74" i="22"/>
  <c r="I30" i="26"/>
  <c r="K30" s="1"/>
  <c r="I395"/>
  <c r="K395" s="1"/>
  <c r="I29"/>
  <c r="K29" s="1"/>
  <c r="T73" i="22"/>
  <c r="V402" i="1" l="1"/>
  <c r="X402"/>
  <c r="S405"/>
  <c r="BZ14" i="55"/>
  <c r="D406" i="53"/>
  <c r="O14" i="55" s="1"/>
  <c r="I406" i="53"/>
  <c r="CU14" i="55" s="1"/>
  <c r="AB401" i="1"/>
  <c r="AE401" s="1"/>
  <c r="Z401"/>
  <c r="AA401"/>
  <c r="E408" i="53" s="1"/>
  <c r="AF399" i="1"/>
  <c r="AD400"/>
  <c r="BE15" i="55"/>
  <c r="G407" i="53"/>
  <c r="BD403" i="1"/>
  <c r="BE403" s="1"/>
  <c r="T403" s="1"/>
  <c r="U403" s="1"/>
  <c r="BA404"/>
  <c r="T106" i="50"/>
  <c r="AN77" i="1"/>
  <c r="T111" i="50"/>
  <c r="AN82" i="1"/>
  <c r="T99" i="50"/>
  <c r="AN70" i="1"/>
  <c r="T100" i="50"/>
  <c r="AN71" i="1"/>
  <c r="T102" i="50"/>
  <c r="AN73" i="1"/>
  <c r="T124" i="50"/>
  <c r="AN95" i="1"/>
  <c r="T116" i="50"/>
  <c r="AN87" i="1"/>
  <c r="Q39" i="20"/>
  <c r="N39"/>
  <c r="Q37"/>
  <c r="N37"/>
  <c r="N45"/>
  <c r="Q45"/>
  <c r="N42"/>
  <c r="Q42"/>
  <c r="N38"/>
  <c r="Q38"/>
  <c r="N41"/>
  <c r="Q41"/>
  <c r="P407" i="1"/>
  <c r="E409" i="52"/>
  <c r="T59" i="22"/>
  <c r="I15" i="26"/>
  <c r="K15" s="1"/>
  <c r="I381"/>
  <c r="K381" s="1"/>
  <c r="N414" i="22"/>
  <c r="N50"/>
  <c r="T55"/>
  <c r="R50"/>
  <c r="I11" i="26"/>
  <c r="K11" s="1"/>
  <c r="I377"/>
  <c r="K377" s="1"/>
  <c r="N44" i="22"/>
  <c r="Q44"/>
  <c r="T58"/>
  <c r="I14" i="26"/>
  <c r="K14" s="1"/>
  <c r="I380"/>
  <c r="K380" s="1"/>
  <c r="T61" i="22"/>
  <c r="I17" i="26"/>
  <c r="K17" s="1"/>
  <c r="I383"/>
  <c r="K383" s="1"/>
  <c r="T453" i="5"/>
  <c r="C409" i="26" s="1"/>
  <c r="G425" i="1" s="1"/>
  <c r="T88" i="5"/>
  <c r="C44" i="26" s="1"/>
  <c r="G60" i="1" s="1"/>
  <c r="K4" i="4"/>
  <c r="I24" i="5"/>
  <c r="H57"/>
  <c r="Q57" s="1"/>
  <c r="N57" s="1"/>
  <c r="H42"/>
  <c r="I20"/>
  <c r="H39"/>
  <c r="I19"/>
  <c r="I23"/>
  <c r="I6"/>
  <c r="I21"/>
  <c r="H37"/>
  <c r="I26"/>
  <c r="I17"/>
  <c r="H43"/>
  <c r="H52"/>
  <c r="Q52" s="1"/>
  <c r="I31"/>
  <c r="I18"/>
  <c r="H36"/>
  <c r="I33"/>
  <c r="H41"/>
  <c r="I22"/>
  <c r="I16"/>
  <c r="I25"/>
  <c r="H45"/>
  <c r="I8"/>
  <c r="H53"/>
  <c r="Q53" s="1"/>
  <c r="I5"/>
  <c r="H48"/>
  <c r="I32"/>
  <c r="I15"/>
  <c r="H40"/>
  <c r="I9"/>
  <c r="H60"/>
  <c r="Q60" s="1"/>
  <c r="N60" s="1"/>
  <c r="I29"/>
  <c r="H59"/>
  <c r="Q59" s="1"/>
  <c r="N59" s="1"/>
  <c r="H58"/>
  <c r="Q58" s="1"/>
  <c r="N58" s="1"/>
  <c r="H47"/>
  <c r="I12"/>
  <c r="H49"/>
  <c r="H46"/>
  <c r="H56"/>
  <c r="Q56" s="1"/>
  <c r="N56" s="1"/>
  <c r="I10"/>
  <c r="H55"/>
  <c r="Q55" s="1"/>
  <c r="N55" s="1"/>
  <c r="H50"/>
  <c r="Q50" s="1"/>
  <c r="I13"/>
  <c r="H44"/>
  <c r="I27"/>
  <c r="I35"/>
  <c r="I11"/>
  <c r="I14"/>
  <c r="I4"/>
  <c r="H62"/>
  <c r="Q62" s="1"/>
  <c r="N62" s="1"/>
  <c r="I7"/>
  <c r="I34"/>
  <c r="I28"/>
  <c r="H64"/>
  <c r="Q64" s="1"/>
  <c r="N64" s="1"/>
  <c r="H61"/>
  <c r="Q61" s="1"/>
  <c r="N61" s="1"/>
  <c r="H63"/>
  <c r="Q63" s="1"/>
  <c r="N63" s="1"/>
  <c r="H51"/>
  <c r="Q51" s="1"/>
  <c r="N415" s="1"/>
  <c r="I30"/>
  <c r="H38"/>
  <c r="H54"/>
  <c r="Q54" s="1"/>
  <c r="T445"/>
  <c r="C401" i="26" s="1"/>
  <c r="G417" i="1" s="1"/>
  <c r="T80" i="5"/>
  <c r="C36" i="26" s="1"/>
  <c r="G52" i="1" s="1"/>
  <c r="T460" i="5"/>
  <c r="C416" i="26" s="1"/>
  <c r="G432" i="1" s="1"/>
  <c r="T95" i="5"/>
  <c r="C51" i="26" s="1"/>
  <c r="G67" i="1" s="1"/>
  <c r="T447" i="5"/>
  <c r="C403" i="26" s="1"/>
  <c r="G419" i="1" s="1"/>
  <c r="T82" i="5"/>
  <c r="C38" i="26" s="1"/>
  <c r="G54" i="1" s="1"/>
  <c r="T86" i="5"/>
  <c r="C42" i="26" s="1"/>
  <c r="G58" i="1" s="1"/>
  <c r="T451" i="5"/>
  <c r="C407" i="26" s="1"/>
  <c r="G423" i="1" s="1"/>
  <c r="T438" i="5"/>
  <c r="C394" i="26" s="1"/>
  <c r="G410" i="1" s="1"/>
  <c r="T73" i="5"/>
  <c r="C29" i="26" s="1"/>
  <c r="G45" i="1" s="1"/>
  <c r="T114" i="50"/>
  <c r="AN85" i="1"/>
  <c r="T98" i="50"/>
  <c r="AN69" i="1"/>
  <c r="T103" i="50"/>
  <c r="AN74" i="1"/>
  <c r="T122" i="50"/>
  <c r="AN93" i="1"/>
  <c r="T109" i="50"/>
  <c r="AN80" i="1"/>
  <c r="T112" i="50"/>
  <c r="AN83" i="1"/>
  <c r="N50" i="20"/>
  <c r="R50" s="1"/>
  <c r="N414"/>
  <c r="N49"/>
  <c r="Q49"/>
  <c r="N36"/>
  <c r="Q36"/>
  <c r="T60"/>
  <c r="F16" i="26"/>
  <c r="H16" s="1"/>
  <c r="F382"/>
  <c r="H382" s="1"/>
  <c r="T58" i="20"/>
  <c r="F14" i="26"/>
  <c r="H14" s="1"/>
  <c r="F380"/>
  <c r="H380" s="1"/>
  <c r="F381"/>
  <c r="H381" s="1"/>
  <c r="T59" i="20"/>
  <c r="F15" i="26"/>
  <c r="H15" s="1"/>
  <c r="T63" i="20"/>
  <c r="F19" i="26"/>
  <c r="H19" s="1"/>
  <c r="F385"/>
  <c r="H385" s="1"/>
  <c r="T62" i="20"/>
  <c r="F384" i="26"/>
  <c r="H384" s="1"/>
  <c r="F18"/>
  <c r="H18" s="1"/>
  <c r="E396" i="48"/>
  <c r="X396" s="1"/>
  <c r="C396"/>
  <c r="D396"/>
  <c r="W396" s="1"/>
  <c r="B397"/>
  <c r="AL407" i="1"/>
  <c r="AK407"/>
  <c r="AM407"/>
  <c r="AI407"/>
  <c r="AH407"/>
  <c r="AJ407"/>
  <c r="BC407"/>
  <c r="AC407"/>
  <c r="H34" i="22"/>
  <c r="H30"/>
  <c r="H28"/>
  <c r="H4"/>
  <c r="H8"/>
  <c r="H5"/>
  <c r="H35"/>
  <c r="H32"/>
  <c r="H18"/>
  <c r="H14"/>
  <c r="H9"/>
  <c r="H19"/>
  <c r="H26"/>
  <c r="H22"/>
  <c r="H11"/>
  <c r="H6"/>
  <c r="H7"/>
  <c r="H29"/>
  <c r="H15"/>
  <c r="H25"/>
  <c r="H27"/>
  <c r="H10"/>
  <c r="H16"/>
  <c r="H12"/>
  <c r="H20"/>
  <c r="H13"/>
  <c r="H24"/>
  <c r="H31"/>
  <c r="H33"/>
  <c r="H21"/>
  <c r="H23"/>
  <c r="H17"/>
  <c r="I384" i="26"/>
  <c r="K384" s="1"/>
  <c r="T62" i="22"/>
  <c r="I18" i="26"/>
  <c r="K18" s="1"/>
  <c r="Q41" i="22"/>
  <c r="N41"/>
  <c r="Q42"/>
  <c r="N42"/>
  <c r="Q43"/>
  <c r="N43"/>
  <c r="T70" i="5"/>
  <c r="C26" i="26" s="1"/>
  <c r="G42" i="1" s="1"/>
  <c r="T435" i="5"/>
  <c r="C391" i="26" s="1"/>
  <c r="G407" i="1" s="1"/>
  <c r="T71" i="5"/>
  <c r="C27" i="26" s="1"/>
  <c r="G43" i="1" s="1"/>
  <c r="T436" i="5"/>
  <c r="C392" i="26" s="1"/>
  <c r="G408" i="1" s="1"/>
  <c r="T76" i="5"/>
  <c r="C32" i="26" s="1"/>
  <c r="G48" i="1" s="1"/>
  <c r="T441" i="5"/>
  <c r="C397" i="26" s="1"/>
  <c r="G413" i="1" s="1"/>
  <c r="T443" i="5"/>
  <c r="C399" i="26" s="1"/>
  <c r="G415" i="1" s="1"/>
  <c r="T78" i="5"/>
  <c r="C34" i="26" s="1"/>
  <c r="G50" i="1" s="1"/>
  <c r="T433" i="5"/>
  <c r="C389" i="26" s="1"/>
  <c r="G405" i="1" s="1"/>
  <c r="T68" i="5"/>
  <c r="C24" i="26" s="1"/>
  <c r="G40" i="1" s="1"/>
  <c r="T458" i="5"/>
  <c r="C414" i="26" s="1"/>
  <c r="G430" i="1" s="1"/>
  <c r="T93" i="5"/>
  <c r="C49" i="26" s="1"/>
  <c r="G65" i="1" s="1"/>
  <c r="T431" i="5"/>
  <c r="C387" i="26" s="1"/>
  <c r="G403" i="1" s="1"/>
  <c r="T66" i="5"/>
  <c r="C22" i="26" s="1"/>
  <c r="G38" i="1" s="1"/>
  <c r="T91" i="5"/>
  <c r="C47" i="26" s="1"/>
  <c r="G63" i="1" s="1"/>
  <c r="T456" i="5"/>
  <c r="C412" i="26" s="1"/>
  <c r="G428" i="1" s="1"/>
  <c r="T69" i="5"/>
  <c r="C25" i="26" s="1"/>
  <c r="G41" i="1" s="1"/>
  <c r="T434" i="5"/>
  <c r="C390" i="26" s="1"/>
  <c r="G406" i="1" s="1"/>
  <c r="T110" i="50"/>
  <c r="AN81" i="1"/>
  <c r="AN76"/>
  <c r="T105" i="50"/>
  <c r="T117"/>
  <c r="AN88" i="1"/>
  <c r="T125" i="50"/>
  <c r="AN96" i="1"/>
  <c r="T118" i="50"/>
  <c r="AN89" i="1"/>
  <c r="AN79"/>
  <c r="T108" i="50"/>
  <c r="T123"/>
  <c r="AN94" i="1"/>
  <c r="T115" i="50"/>
  <c r="AN86" i="1"/>
  <c r="Q44" i="20"/>
  <c r="N44"/>
  <c r="T55"/>
  <c r="F11" i="26"/>
  <c r="H11" s="1"/>
  <c r="F377"/>
  <c r="H377" s="1"/>
  <c r="Q47" i="20"/>
  <c r="N47"/>
  <c r="N40"/>
  <c r="Q40"/>
  <c r="N48"/>
  <c r="Q48"/>
  <c r="H11"/>
  <c r="H15"/>
  <c r="H5"/>
  <c r="H22"/>
  <c r="H16"/>
  <c r="H12"/>
  <c r="H31"/>
  <c r="H18"/>
  <c r="H27"/>
  <c r="H14"/>
  <c r="H6"/>
  <c r="H9"/>
  <c r="H35"/>
  <c r="H26"/>
  <c r="H13"/>
  <c r="H29"/>
  <c r="H8"/>
  <c r="H4"/>
  <c r="H34"/>
  <c r="H21"/>
  <c r="H30"/>
  <c r="H19"/>
  <c r="H17"/>
  <c r="H7"/>
  <c r="H24"/>
  <c r="H20"/>
  <c r="H23"/>
  <c r="H25"/>
  <c r="H32"/>
  <c r="H28"/>
  <c r="H33"/>
  <c r="H10"/>
  <c r="F13" i="26"/>
  <c r="H13" s="1"/>
  <c r="T57" i="20"/>
  <c r="F379" i="26"/>
  <c r="H379" s="1"/>
  <c r="T56" i="20"/>
  <c r="F12" i="26"/>
  <c r="H12" s="1"/>
  <c r="F378"/>
  <c r="H378" s="1"/>
  <c r="C408" i="1"/>
  <c r="D408" s="1"/>
  <c r="A415" i="53"/>
  <c r="B416" s="1"/>
  <c r="F410" i="52"/>
  <c r="E408" i="1"/>
  <c r="K408"/>
  <c r="N408" s="1"/>
  <c r="A408"/>
  <c r="L408"/>
  <c r="M407" s="1"/>
  <c r="B409"/>
  <c r="A392" i="26"/>
  <c r="B392" s="1"/>
  <c r="B391" i="38"/>
  <c r="N47" i="22"/>
  <c r="Q47"/>
  <c r="T63"/>
  <c r="I385" i="26"/>
  <c r="K385" s="1"/>
  <c r="I19"/>
  <c r="K19" s="1"/>
  <c r="N38" i="22"/>
  <c r="Q38"/>
  <c r="I379" i="26"/>
  <c r="K379" s="1"/>
  <c r="T57" i="22"/>
  <c r="I13" i="26"/>
  <c r="K13" s="1"/>
  <c r="N40" i="22"/>
  <c r="Q40"/>
  <c r="N46"/>
  <c r="Q46"/>
  <c r="N39"/>
  <c r="Q39"/>
  <c r="T56"/>
  <c r="I378" i="26"/>
  <c r="K378" s="1"/>
  <c r="I12"/>
  <c r="K12" s="1"/>
  <c r="T449" i="5"/>
  <c r="C405" i="26" s="1"/>
  <c r="G421" i="1" s="1"/>
  <c r="T84" i="5"/>
  <c r="C40" i="26" s="1"/>
  <c r="G56" i="1" s="1"/>
  <c r="T72" i="5"/>
  <c r="C28" i="26" s="1"/>
  <c r="G44" i="1" s="1"/>
  <c r="T437" i="5"/>
  <c r="C393" i="26" s="1"/>
  <c r="G409" i="1" s="1"/>
  <c r="T90" i="5"/>
  <c r="C46" i="26" s="1"/>
  <c r="G62" i="1" s="1"/>
  <c r="T455" i="5"/>
  <c r="C411" i="26" s="1"/>
  <c r="G427" i="1" s="1"/>
  <c r="T459" i="5"/>
  <c r="C415" i="26" s="1"/>
  <c r="G431" i="1" s="1"/>
  <c r="T94" i="5"/>
  <c r="C50" i="26" s="1"/>
  <c r="G66" i="1" s="1"/>
  <c r="T444" i="5"/>
  <c r="C400" i="26" s="1"/>
  <c r="G416" i="1" s="1"/>
  <c r="T79" i="5"/>
  <c r="C35" i="26" s="1"/>
  <c r="G51" i="1" s="1"/>
  <c r="T65" i="5"/>
  <c r="C21" i="26" s="1"/>
  <c r="G37" i="1" s="1"/>
  <c r="T430" i="5"/>
  <c r="C386" i="26" s="1"/>
  <c r="G402" i="1" s="1"/>
  <c r="T432" i="5"/>
  <c r="C388" i="26" s="1"/>
  <c r="G404" i="1" s="1"/>
  <c r="T67" i="5"/>
  <c r="C23" i="26" s="1"/>
  <c r="G39" i="1" s="1"/>
  <c r="AR388" i="38"/>
  <c r="BK387"/>
  <c r="AS387"/>
  <c r="AU387" s="1"/>
  <c r="AV387" s="1"/>
  <c r="BA387" s="1"/>
  <c r="BB387" s="1"/>
  <c r="BH387" s="1"/>
  <c r="BJ387" s="1"/>
  <c r="P387" s="1"/>
  <c r="O387" s="1"/>
  <c r="AO389"/>
  <c r="AP389" s="1"/>
  <c r="AQ389" s="1"/>
  <c r="AN389"/>
  <c r="T96" i="50"/>
  <c r="AN67" i="1"/>
  <c r="T119" i="50"/>
  <c r="AN90" i="1"/>
  <c r="I58" i="50"/>
  <c r="I63"/>
  <c r="H90"/>
  <c r="Q90" s="1"/>
  <c r="N90" s="1"/>
  <c r="I37"/>
  <c r="I53"/>
  <c r="H76"/>
  <c r="Q76" s="1"/>
  <c r="N76" s="1"/>
  <c r="H79"/>
  <c r="Q79" s="1"/>
  <c r="N79" s="1"/>
  <c r="H84"/>
  <c r="Q84" s="1"/>
  <c r="N84" s="1"/>
  <c r="I51"/>
  <c r="H77"/>
  <c r="Q77" s="1"/>
  <c r="N77" s="1"/>
  <c r="H87"/>
  <c r="Q87" s="1"/>
  <c r="N87" s="1"/>
  <c r="H93"/>
  <c r="Q93" s="1"/>
  <c r="N93" s="1"/>
  <c r="H78"/>
  <c r="Q78" s="1"/>
  <c r="N78" s="1"/>
  <c r="H89"/>
  <c r="Q89" s="1"/>
  <c r="N89" s="1"/>
  <c r="H95"/>
  <c r="Q95" s="1"/>
  <c r="N95" s="1"/>
  <c r="I44"/>
  <c r="H94"/>
  <c r="Q94" s="1"/>
  <c r="N94" s="1"/>
  <c r="I38"/>
  <c r="H73"/>
  <c r="Q73" s="1"/>
  <c r="N73" s="1"/>
  <c r="I47"/>
  <c r="I42"/>
  <c r="H74"/>
  <c r="Q74" s="1"/>
  <c r="N74" s="1"/>
  <c r="H72"/>
  <c r="Q72" s="1"/>
  <c r="N72" s="1"/>
  <c r="H91"/>
  <c r="Q91" s="1"/>
  <c r="N91" s="1"/>
  <c r="I46"/>
  <c r="I55"/>
  <c r="H75"/>
  <c r="Q75" s="1"/>
  <c r="N75" s="1"/>
  <c r="I64"/>
  <c r="H65"/>
  <c r="Q65" s="1"/>
  <c r="N65" s="1"/>
  <c r="I52"/>
  <c r="I41"/>
  <c r="H69"/>
  <c r="Q69" s="1"/>
  <c r="N69" s="1"/>
  <c r="H83"/>
  <c r="Q83" s="1"/>
  <c r="N83" s="1"/>
  <c r="H67"/>
  <c r="Q67" s="1"/>
  <c r="N67" s="1"/>
  <c r="I39"/>
  <c r="I43"/>
  <c r="I54"/>
  <c r="H66"/>
  <c r="Q66" s="1"/>
  <c r="N66" s="1"/>
  <c r="H82"/>
  <c r="Q82" s="1"/>
  <c r="N82" s="1"/>
  <c r="I60"/>
  <c r="H70"/>
  <c r="Q70" s="1"/>
  <c r="N70" s="1"/>
  <c r="I40"/>
  <c r="H92"/>
  <c r="Q92" s="1"/>
  <c r="N92" s="1"/>
  <c r="K5" i="49"/>
  <c r="H85" i="50"/>
  <c r="Q85" s="1"/>
  <c r="N85" s="1"/>
  <c r="I49"/>
  <c r="I48"/>
  <c r="H71"/>
  <c r="Q71" s="1"/>
  <c r="N71" s="1"/>
  <c r="I56"/>
  <c r="H80"/>
  <c r="Q80" s="1"/>
  <c r="N80" s="1"/>
  <c r="I45"/>
  <c r="H88"/>
  <c r="Q88" s="1"/>
  <c r="N88" s="1"/>
  <c r="I50"/>
  <c r="I62"/>
  <c r="H81"/>
  <c r="Q81" s="1"/>
  <c r="N81" s="1"/>
  <c r="H68"/>
  <c r="Q68" s="1"/>
  <c r="N68" s="1"/>
  <c r="I36"/>
  <c r="I61"/>
  <c r="I57"/>
  <c r="H86"/>
  <c r="Q86" s="1"/>
  <c r="N86" s="1"/>
  <c r="I59"/>
  <c r="T120"/>
  <c r="AN91" i="1"/>
  <c r="T104" i="50"/>
  <c r="AN75" i="1"/>
  <c r="T113" i="50"/>
  <c r="AN84" i="1"/>
  <c r="T121" i="50"/>
  <c r="AN92" i="1"/>
  <c r="T101" i="50"/>
  <c r="AN72" i="1"/>
  <c r="T97" i="50"/>
  <c r="AN68" i="1"/>
  <c r="T107" i="50"/>
  <c r="AN78" i="1"/>
  <c r="N46" i="20"/>
  <c r="Q46"/>
  <c r="F17" i="26"/>
  <c r="H17" s="1"/>
  <c r="T61" i="20"/>
  <c r="F383" i="26"/>
  <c r="H383" s="1"/>
  <c r="F386"/>
  <c r="H386" s="1"/>
  <c r="T64" i="20"/>
  <c r="F20" i="26"/>
  <c r="H20" s="1"/>
  <c r="N43" i="20"/>
  <c r="Q43"/>
  <c r="V395" i="48"/>
  <c r="F395"/>
  <c r="Y395" s="1"/>
  <c r="W406" i="1"/>
  <c r="R406"/>
  <c r="D390" i="38"/>
  <c r="E390"/>
  <c r="F390"/>
  <c r="AM390" s="1"/>
  <c r="Z390"/>
  <c r="AA390" s="1"/>
  <c r="T60" i="22"/>
  <c r="I16" i="26"/>
  <c r="K16" s="1"/>
  <c r="I382"/>
  <c r="K382" s="1"/>
  <c r="N36" i="22"/>
  <c r="Q36"/>
  <c r="Q49"/>
  <c r="N49"/>
  <c r="T64"/>
  <c r="I386" i="26"/>
  <c r="K386" s="1"/>
  <c r="I20"/>
  <c r="K20" s="1"/>
  <c r="N37" i="22"/>
  <c r="Q37"/>
  <c r="N45"/>
  <c r="Q45"/>
  <c r="Q48"/>
  <c r="N48"/>
  <c r="T87" i="5"/>
  <c r="C43" i="26" s="1"/>
  <c r="G59" i="1" s="1"/>
  <c r="T452" i="5"/>
  <c r="C408" i="26" s="1"/>
  <c r="G424" i="1" s="1"/>
  <c r="T446" i="5"/>
  <c r="C402" i="26" s="1"/>
  <c r="G418" i="1" s="1"/>
  <c r="T81" i="5"/>
  <c r="C37" i="26" s="1"/>
  <c r="G53" i="1" s="1"/>
  <c r="T454" i="5"/>
  <c r="C410" i="26" s="1"/>
  <c r="G426" i="1" s="1"/>
  <c r="T89" i="5"/>
  <c r="C45" i="26" s="1"/>
  <c r="G61" i="1" s="1"/>
  <c r="T450" i="5"/>
  <c r="C406" i="26" s="1"/>
  <c r="G422" i="1" s="1"/>
  <c r="T85" i="5"/>
  <c r="C41" i="26" s="1"/>
  <c r="G57" i="1" s="1"/>
  <c r="T92" i="5"/>
  <c r="C48" i="26" s="1"/>
  <c r="G64" i="1" s="1"/>
  <c r="T457" i="5"/>
  <c r="C413" i="26" s="1"/>
  <c r="G429" i="1" s="1"/>
  <c r="T74" i="5"/>
  <c r="C30" i="26" s="1"/>
  <c r="G46" i="1" s="1"/>
  <c r="T439" i="5"/>
  <c r="C395" i="26" s="1"/>
  <c r="G411" i="1" s="1"/>
  <c r="T442" i="5"/>
  <c r="C398" i="26" s="1"/>
  <c r="G414" i="1" s="1"/>
  <c r="T77" i="5"/>
  <c r="C33" i="26" s="1"/>
  <c r="G49" i="1" s="1"/>
  <c r="T83" i="5"/>
  <c r="C39" i="26" s="1"/>
  <c r="G55" i="1" s="1"/>
  <c r="T448" i="5"/>
  <c r="C404" i="26" s="1"/>
  <c r="G420" i="1" s="1"/>
  <c r="T75" i="5"/>
  <c r="C31" i="26" s="1"/>
  <c r="G47" i="1" s="1"/>
  <c r="T440" i="5"/>
  <c r="C396" i="26" s="1"/>
  <c r="G412" i="1" s="1"/>
  <c r="AR389" i="38" l="1"/>
  <c r="BZ15" i="55"/>
  <c r="D407" i="53"/>
  <c r="O15" i="55" s="1"/>
  <c r="I407" i="53"/>
  <c r="CU15" i="55" s="1"/>
  <c r="G408" i="53"/>
  <c r="BE16" i="55"/>
  <c r="S406" i="1"/>
  <c r="BD404"/>
  <c r="BE404" s="1"/>
  <c r="T404" s="1"/>
  <c r="U404" s="1"/>
  <c r="BA405"/>
  <c r="AB402"/>
  <c r="AE402" s="1"/>
  <c r="Z402"/>
  <c r="AA402"/>
  <c r="E409" i="53" s="1"/>
  <c r="V403" i="1"/>
  <c r="X403"/>
  <c r="AF400"/>
  <c r="AD401"/>
  <c r="AO390" i="38"/>
  <c r="AP390" s="1"/>
  <c r="AQ390" s="1"/>
  <c r="AN390"/>
  <c r="AN56" i="1"/>
  <c r="T85" i="50"/>
  <c r="T70"/>
  <c r="AN41" i="1"/>
  <c r="T83" i="50"/>
  <c r="AN54" i="1"/>
  <c r="T65" i="50"/>
  <c r="AN36" i="1"/>
  <c r="T94" i="50"/>
  <c r="AN65" i="1"/>
  <c r="T78" i="50"/>
  <c r="AN49" i="1"/>
  <c r="F411" i="52"/>
  <c r="L409" i="1"/>
  <c r="M408" s="1"/>
  <c r="A393" i="26"/>
  <c r="B393" s="1"/>
  <c r="A409" i="1"/>
  <c r="A416" i="53"/>
  <c r="B417" s="1"/>
  <c r="E409" i="1"/>
  <c r="B410"/>
  <c r="B392" i="38"/>
  <c r="K409" i="1"/>
  <c r="N409" s="1"/>
  <c r="C409"/>
  <c r="D409" s="1"/>
  <c r="E410" i="52"/>
  <c r="Q33" i="20"/>
  <c r="N33"/>
  <c r="N23"/>
  <c r="Q23"/>
  <c r="N17"/>
  <c r="Q17"/>
  <c r="Q34"/>
  <c r="N34"/>
  <c r="Q13"/>
  <c r="N13"/>
  <c r="Q6"/>
  <c r="N6"/>
  <c r="Q31"/>
  <c r="N31"/>
  <c r="Q5"/>
  <c r="N5"/>
  <c r="N17" i="22"/>
  <c r="Q17"/>
  <c r="N31"/>
  <c r="Q31"/>
  <c r="Q12"/>
  <c r="N12"/>
  <c r="Q25"/>
  <c r="N25"/>
  <c r="Q6"/>
  <c r="N6"/>
  <c r="Q19"/>
  <c r="N19"/>
  <c r="N32"/>
  <c r="Q32"/>
  <c r="N4"/>
  <c r="P4" s="1"/>
  <c r="Q4"/>
  <c r="C397" i="48"/>
  <c r="D397"/>
  <c r="W397" s="1"/>
  <c r="E397"/>
  <c r="X397" s="1"/>
  <c r="B398"/>
  <c r="F372" i="26"/>
  <c r="H372" s="1"/>
  <c r="T50" i="20"/>
  <c r="F6" i="26"/>
  <c r="H6" s="1"/>
  <c r="N51" i="20"/>
  <c r="Q38" i="5"/>
  <c r="N38"/>
  <c r="T426"/>
  <c r="C382" i="26" s="1"/>
  <c r="G398" i="1" s="1"/>
  <c r="T61" i="5"/>
  <c r="C17" i="26" s="1"/>
  <c r="G33" i="1" s="1"/>
  <c r="T56" i="5"/>
  <c r="C12" i="26" s="1"/>
  <c r="G28" i="1" s="1"/>
  <c r="T421" i="5"/>
  <c r="C377" i="26" s="1"/>
  <c r="G393" i="1" s="1"/>
  <c r="Q47" i="5"/>
  <c r="N47"/>
  <c r="T60"/>
  <c r="C16" i="26" s="1"/>
  <c r="G32" i="1" s="1"/>
  <c r="T425" i="5"/>
  <c r="C381" i="26" s="1"/>
  <c r="G397" i="1" s="1"/>
  <c r="H6" i="5"/>
  <c r="H9"/>
  <c r="H26"/>
  <c r="H27"/>
  <c r="H29"/>
  <c r="H25"/>
  <c r="H32"/>
  <c r="H23"/>
  <c r="H22"/>
  <c r="H5"/>
  <c r="H17"/>
  <c r="H16"/>
  <c r="H10"/>
  <c r="H34"/>
  <c r="H13"/>
  <c r="H28"/>
  <c r="H20"/>
  <c r="H15"/>
  <c r="H11"/>
  <c r="H35"/>
  <c r="H12"/>
  <c r="H30"/>
  <c r="H7"/>
  <c r="H31"/>
  <c r="H14"/>
  <c r="H24"/>
  <c r="H4"/>
  <c r="H33"/>
  <c r="H18"/>
  <c r="H19"/>
  <c r="H8"/>
  <c r="H21"/>
  <c r="T415" i="22"/>
  <c r="I370" i="26"/>
  <c r="K370" s="1"/>
  <c r="T414" i="22"/>
  <c r="R414"/>
  <c r="N409" s="1"/>
  <c r="T86" i="50"/>
  <c r="AN57" i="1"/>
  <c r="T68" i="50"/>
  <c r="AN39" i="1"/>
  <c r="T88" i="50"/>
  <c r="AN59" i="1"/>
  <c r="T71" i="50"/>
  <c r="AN42" i="1"/>
  <c r="K4" i="49"/>
  <c r="H54" i="50"/>
  <c r="Q54" s="1"/>
  <c r="H39"/>
  <c r="I21"/>
  <c r="I14"/>
  <c r="H42"/>
  <c r="I8"/>
  <c r="I34"/>
  <c r="H46"/>
  <c r="I25"/>
  <c r="H43"/>
  <c r="H57"/>
  <c r="Q57" s="1"/>
  <c r="N57" s="1"/>
  <c r="H63"/>
  <c r="Q63" s="1"/>
  <c r="N63" s="1"/>
  <c r="I33"/>
  <c r="H62"/>
  <c r="Q62" s="1"/>
  <c r="N62" s="1"/>
  <c r="H40"/>
  <c r="I7"/>
  <c r="H52"/>
  <c r="Q52" s="1"/>
  <c r="H53"/>
  <c r="Q53" s="1"/>
  <c r="H61"/>
  <c r="Q61" s="1"/>
  <c r="N61" s="1"/>
  <c r="I11"/>
  <c r="I4"/>
  <c r="H58"/>
  <c r="Q58" s="1"/>
  <c r="N58" s="1"/>
  <c r="I15"/>
  <c r="I10"/>
  <c r="H41"/>
  <c r="I17"/>
  <c r="I16"/>
  <c r="H38"/>
  <c r="I24"/>
  <c r="I31"/>
  <c r="H48"/>
  <c r="H47"/>
  <c r="I29"/>
  <c r="H37"/>
  <c r="H51"/>
  <c r="Q51" s="1"/>
  <c r="N415" s="1"/>
  <c r="AN386" i="1" s="1"/>
  <c r="I30" i="50"/>
  <c r="I12"/>
  <c r="I35"/>
  <c r="H60"/>
  <c r="Q60" s="1"/>
  <c r="N60" s="1"/>
  <c r="I6"/>
  <c r="I28"/>
  <c r="I13"/>
  <c r="I26"/>
  <c r="I20"/>
  <c r="H56"/>
  <c r="Q56" s="1"/>
  <c r="N56" s="1"/>
  <c r="I18"/>
  <c r="I5"/>
  <c r="H55"/>
  <c r="Q55" s="1"/>
  <c r="N55" s="1"/>
  <c r="H64"/>
  <c r="Q64" s="1"/>
  <c r="N64" s="1"/>
  <c r="I19"/>
  <c r="H36"/>
  <c r="H45"/>
  <c r="H59"/>
  <c r="Q59" s="1"/>
  <c r="N59" s="1"/>
  <c r="I27"/>
  <c r="I23"/>
  <c r="I9"/>
  <c r="I32"/>
  <c r="H50"/>
  <c r="Q50" s="1"/>
  <c r="H44"/>
  <c r="I22"/>
  <c r="H49"/>
  <c r="T69"/>
  <c r="AN40" i="1"/>
  <c r="T91" i="50"/>
  <c r="AN62" i="1"/>
  <c r="T93" i="50"/>
  <c r="AN64" i="1"/>
  <c r="T84" i="50"/>
  <c r="AN55" i="1"/>
  <c r="BK389" i="38"/>
  <c r="AS389"/>
  <c r="AU389" s="1"/>
  <c r="AV389" s="1"/>
  <c r="BA389" s="1"/>
  <c r="BB389" s="1"/>
  <c r="BH389" s="1"/>
  <c r="BJ389" s="1"/>
  <c r="P389" s="1"/>
  <c r="O389" s="1"/>
  <c r="N28" i="20"/>
  <c r="Q28"/>
  <c r="Q20"/>
  <c r="N20"/>
  <c r="N19"/>
  <c r="Q19"/>
  <c r="N4"/>
  <c r="P4" s="1"/>
  <c r="P5" s="1"/>
  <c r="P6" s="1"/>
  <c r="Q4"/>
  <c r="N26"/>
  <c r="Q26"/>
  <c r="Q14"/>
  <c r="N14"/>
  <c r="Q12"/>
  <c r="N12"/>
  <c r="Q15"/>
  <c r="N15"/>
  <c r="Q23" i="22"/>
  <c r="N23"/>
  <c r="N24"/>
  <c r="Q24"/>
  <c r="N16"/>
  <c r="Q16"/>
  <c r="Q15"/>
  <c r="N15"/>
  <c r="Q11"/>
  <c r="N11"/>
  <c r="N9"/>
  <c r="Q9"/>
  <c r="Q35"/>
  <c r="N35"/>
  <c r="N28"/>
  <c r="Q28"/>
  <c r="T429" i="5"/>
  <c r="C385" i="26" s="1"/>
  <c r="G401" i="1" s="1"/>
  <c r="T64" i="5"/>
  <c r="C20" i="26" s="1"/>
  <c r="G36" i="1" s="1"/>
  <c r="T427" i="5"/>
  <c r="C383" i="26" s="1"/>
  <c r="G399" i="1" s="1"/>
  <c r="T62" i="5"/>
  <c r="C18" i="26" s="1"/>
  <c r="G34" i="1" s="1"/>
  <c r="N414" i="5"/>
  <c r="N50"/>
  <c r="N46"/>
  <c r="Q46"/>
  <c r="T58"/>
  <c r="C14" i="26" s="1"/>
  <c r="G30" i="1" s="1"/>
  <c r="T423" i="5"/>
  <c r="C379" i="26" s="1"/>
  <c r="G395" i="1" s="1"/>
  <c r="N48" i="5"/>
  <c r="Q48"/>
  <c r="N45"/>
  <c r="Q45"/>
  <c r="Q41"/>
  <c r="N41"/>
  <c r="N42"/>
  <c r="Q42"/>
  <c r="R407" i="1"/>
  <c r="S407" s="1"/>
  <c r="W407"/>
  <c r="T81" i="50"/>
  <c r="AN52" i="1"/>
  <c r="T92" i="50"/>
  <c r="AN63" i="1"/>
  <c r="T82" i="50"/>
  <c r="AN53" i="1"/>
  <c r="AN46"/>
  <c r="T75" i="50"/>
  <c r="T72"/>
  <c r="AN43" i="1"/>
  <c r="T73" i="50"/>
  <c r="AN44" i="1"/>
  <c r="T95" i="50"/>
  <c r="AN66" i="1"/>
  <c r="T87" i="50"/>
  <c r="AN58" i="1"/>
  <c r="AN50"/>
  <c r="T79" i="50"/>
  <c r="AN61" i="1"/>
  <c r="T90" i="50"/>
  <c r="D391" i="38"/>
  <c r="Z391"/>
  <c r="AA391" s="1"/>
  <c r="E391"/>
  <c r="F391"/>
  <c r="AM391" s="1"/>
  <c r="AL408" i="1"/>
  <c r="BC408"/>
  <c r="AK408"/>
  <c r="AC408"/>
  <c r="AI408"/>
  <c r="AH408"/>
  <c r="AM408"/>
  <c r="AJ408"/>
  <c r="Q32" i="20"/>
  <c r="N32"/>
  <c r="N24"/>
  <c r="Q24"/>
  <c r="N30"/>
  <c r="Q30"/>
  <c r="Q8"/>
  <c r="N8"/>
  <c r="N35"/>
  <c r="Q35"/>
  <c r="Q27"/>
  <c r="N27"/>
  <c r="N16"/>
  <c r="Q16"/>
  <c r="N11"/>
  <c r="Q11"/>
  <c r="Q21" i="22"/>
  <c r="N21"/>
  <c r="Q13"/>
  <c r="N13"/>
  <c r="Q10"/>
  <c r="N10"/>
  <c r="Q29"/>
  <c r="N29"/>
  <c r="Q22"/>
  <c r="N22"/>
  <c r="Q14"/>
  <c r="N14"/>
  <c r="Q5"/>
  <c r="N5"/>
  <c r="Q30"/>
  <c r="N30"/>
  <c r="V396" i="48"/>
  <c r="F396"/>
  <c r="Y396" s="1"/>
  <c r="R50" i="5"/>
  <c r="T55"/>
  <c r="C11" i="26" s="1"/>
  <c r="G27" i="1" s="1"/>
  <c r="T420" i="5"/>
  <c r="C376" i="26" s="1"/>
  <c r="G392" i="1" s="1"/>
  <c r="Q49" i="5"/>
  <c r="N49"/>
  <c r="T424"/>
  <c r="C380" i="26" s="1"/>
  <c r="G396" i="1" s="1"/>
  <c r="T59" i="5"/>
  <c r="C15" i="26" s="1"/>
  <c r="G31" i="1" s="1"/>
  <c r="N40" i="5"/>
  <c r="Q40"/>
  <c r="Q37"/>
  <c r="N37"/>
  <c r="T57"/>
  <c r="C13" i="26" s="1"/>
  <c r="G29" i="1" s="1"/>
  <c r="T422" i="5"/>
  <c r="C378" i="26" s="1"/>
  <c r="G394" i="1" s="1"/>
  <c r="AN51"/>
  <c r="T80" i="50"/>
  <c r="AN37" i="1"/>
  <c r="T66" i="50"/>
  <c r="T67"/>
  <c r="AN38" i="1"/>
  <c r="T74" i="50"/>
  <c r="AN45" i="1"/>
  <c r="T89" i="50"/>
  <c r="AN60" i="1"/>
  <c r="T77" i="50"/>
  <c r="AN48" i="1"/>
  <c r="T76" i="50"/>
  <c r="AN47" i="1"/>
  <c r="BK388" i="38"/>
  <c r="AS388"/>
  <c r="AU388" s="1"/>
  <c r="AV388" s="1"/>
  <c r="BA388" s="1"/>
  <c r="BB388" s="1"/>
  <c r="BH388" s="1"/>
  <c r="BJ388" s="1"/>
  <c r="P388" s="1"/>
  <c r="O388" s="1"/>
  <c r="P408" i="1"/>
  <c r="Q10" i="20"/>
  <c r="N10"/>
  <c r="N25"/>
  <c r="Q25"/>
  <c r="N7"/>
  <c r="Q7"/>
  <c r="Q21"/>
  <c r="N21"/>
  <c r="N29"/>
  <c r="Q29"/>
  <c r="N9"/>
  <c r="Q9"/>
  <c r="Q18"/>
  <c r="N18"/>
  <c r="N22"/>
  <c r="Q22"/>
  <c r="N33" i="22"/>
  <c r="Q33"/>
  <c r="N20"/>
  <c r="Q20"/>
  <c r="Q27"/>
  <c r="N27"/>
  <c r="Q7"/>
  <c r="N7"/>
  <c r="Q26"/>
  <c r="N26"/>
  <c r="Q18"/>
  <c r="N18"/>
  <c r="N8"/>
  <c r="Q8"/>
  <c r="Q34"/>
  <c r="N34"/>
  <c r="F370" i="26"/>
  <c r="H370" s="1"/>
  <c r="T415" i="20"/>
  <c r="T414"/>
  <c r="R414"/>
  <c r="N409" s="1"/>
  <c r="T428" i="5"/>
  <c r="C384" i="26" s="1"/>
  <c r="G400" i="1" s="1"/>
  <c r="T63" i="5"/>
  <c r="C19" i="26" s="1"/>
  <c r="G35" i="1" s="1"/>
  <c r="N44" i="5"/>
  <c r="Q44"/>
  <c r="Q36"/>
  <c r="N36"/>
  <c r="N43"/>
  <c r="Q43"/>
  <c r="Q39"/>
  <c r="N39"/>
  <c r="T50" i="22"/>
  <c r="I6" i="26"/>
  <c r="K6" s="1"/>
  <c r="I372"/>
  <c r="K372" s="1"/>
  <c r="N51" i="22"/>
  <c r="AB403" i="1" l="1"/>
  <c r="AE403" s="1"/>
  <c r="Z403"/>
  <c r="AA403"/>
  <c r="E410" i="53" s="1"/>
  <c r="BD405" i="1"/>
  <c r="BE405" s="1"/>
  <c r="T405" s="1"/>
  <c r="U405" s="1"/>
  <c r="BA406"/>
  <c r="AF401"/>
  <c r="AD402"/>
  <c r="G409" i="53"/>
  <c r="BE17" i="55"/>
  <c r="V404" i="1"/>
  <c r="X404"/>
  <c r="BZ16" i="55"/>
  <c r="I408" i="53"/>
  <c r="CU16" i="55" s="1"/>
  <c r="D408" i="53"/>
  <c r="O16" i="55" s="1"/>
  <c r="T51" i="22"/>
  <c r="I7" i="26"/>
  <c r="K7" s="1"/>
  <c r="I373"/>
  <c r="K373" s="1"/>
  <c r="N52" i="22"/>
  <c r="W408" i="1"/>
  <c r="R408"/>
  <c r="S408" s="1"/>
  <c r="Q45" i="50"/>
  <c r="N45"/>
  <c r="AN26" i="1"/>
  <c r="T55" i="50"/>
  <c r="N47"/>
  <c r="Q47"/>
  <c r="N38"/>
  <c r="Q38"/>
  <c r="T63"/>
  <c r="AN34" i="1"/>
  <c r="N46" i="50"/>
  <c r="Q46"/>
  <c r="H33"/>
  <c r="H18"/>
  <c r="H35"/>
  <c r="H15"/>
  <c r="H22"/>
  <c r="H30"/>
  <c r="H27"/>
  <c r="H28"/>
  <c r="H10"/>
  <c r="H26"/>
  <c r="H8"/>
  <c r="H31"/>
  <c r="H17"/>
  <c r="H12"/>
  <c r="H20"/>
  <c r="H16"/>
  <c r="H11"/>
  <c r="H25"/>
  <c r="H34"/>
  <c r="H19"/>
  <c r="H9"/>
  <c r="H21"/>
  <c r="H32"/>
  <c r="H6"/>
  <c r="H29"/>
  <c r="H4"/>
  <c r="H23"/>
  <c r="H24"/>
  <c r="H5"/>
  <c r="H14"/>
  <c r="H13"/>
  <c r="H7"/>
  <c r="I365" i="26"/>
  <c r="K365" s="1"/>
  <c r="T409" i="22"/>
  <c r="N410"/>
  <c r="Q18" i="5"/>
  <c r="N18"/>
  <c r="Q14"/>
  <c r="N14"/>
  <c r="N12"/>
  <c r="Q12"/>
  <c r="Q20"/>
  <c r="N20"/>
  <c r="Q10"/>
  <c r="N10"/>
  <c r="N22"/>
  <c r="Q22"/>
  <c r="N29"/>
  <c r="Q29"/>
  <c r="Q6"/>
  <c r="N6"/>
  <c r="T51" i="20"/>
  <c r="F373" i="26"/>
  <c r="H373" s="1"/>
  <c r="N52" i="20"/>
  <c r="F7" i="26"/>
  <c r="H7" s="1"/>
  <c r="E398" i="48"/>
  <c r="X398" s="1"/>
  <c r="B399"/>
  <c r="C398"/>
  <c r="D398"/>
  <c r="W398" s="1"/>
  <c r="P409" i="1"/>
  <c r="AR390" i="38"/>
  <c r="T415" i="5"/>
  <c r="C371" i="26" s="1"/>
  <c r="G387" i="1" s="1"/>
  <c r="N51" i="5"/>
  <c r="T50"/>
  <c r="C6" i="26" s="1"/>
  <c r="G22" i="1" s="1"/>
  <c r="P7" i="20"/>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Q44" i="50"/>
  <c r="N44"/>
  <c r="N36"/>
  <c r="Q36"/>
  <c r="AN31" i="1"/>
  <c r="T60" i="50"/>
  <c r="N48"/>
  <c r="Q48"/>
  <c r="AN32" i="1"/>
  <c r="T61" i="50"/>
  <c r="N40"/>
  <c r="Q40"/>
  <c r="T57"/>
  <c r="AN28" i="1"/>
  <c r="Q21" i="5"/>
  <c r="N21"/>
  <c r="Q33"/>
  <c r="N33"/>
  <c r="Q31"/>
  <c r="N31"/>
  <c r="Q35"/>
  <c r="N35"/>
  <c r="Q28"/>
  <c r="N28"/>
  <c r="N16"/>
  <c r="Q16"/>
  <c r="Q23"/>
  <c r="N23"/>
  <c r="Q27"/>
  <c r="N27"/>
  <c r="P5" i="22"/>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D392" i="38"/>
  <c r="E392"/>
  <c r="Z392"/>
  <c r="AA392" s="1"/>
  <c r="F392"/>
  <c r="AM392" s="1"/>
  <c r="AH409" i="1"/>
  <c r="AM409"/>
  <c r="BC409"/>
  <c r="AJ409"/>
  <c r="AK409"/>
  <c r="AC409"/>
  <c r="AL409"/>
  <c r="AI409"/>
  <c r="R414" i="5"/>
  <c r="N409" s="1"/>
  <c r="T414"/>
  <c r="C370" i="26" s="1"/>
  <c r="G386" i="1" s="1"/>
  <c r="N50" i="50"/>
  <c r="R50" s="1"/>
  <c r="N414"/>
  <c r="N37"/>
  <c r="Q37"/>
  <c r="AN29" i="1"/>
  <c r="T58" i="50"/>
  <c r="T62"/>
  <c r="AN33" i="1"/>
  <c r="Q43" i="50"/>
  <c r="N43"/>
  <c r="N39"/>
  <c r="Q39"/>
  <c r="N8" i="5"/>
  <c r="Q8"/>
  <c r="Q4"/>
  <c r="N4"/>
  <c r="P4" s="1"/>
  <c r="N7"/>
  <c r="Q7"/>
  <c r="N11"/>
  <c r="Q11"/>
  <c r="N13"/>
  <c r="Q13"/>
  <c r="Q17"/>
  <c r="N17"/>
  <c r="Q32"/>
  <c r="N32"/>
  <c r="N26"/>
  <c r="Q26"/>
  <c r="A394" i="26"/>
  <c r="B394" s="1"/>
  <c r="A417" i="53"/>
  <c r="B418" s="1"/>
  <c r="F412" i="52"/>
  <c r="C410" i="1"/>
  <c r="D410" s="1"/>
  <c r="B411"/>
  <c r="B393" i="38"/>
  <c r="L410" i="1"/>
  <c r="M409" s="1"/>
  <c r="A410"/>
  <c r="E410"/>
  <c r="K410"/>
  <c r="N410" s="1"/>
  <c r="F365" i="26"/>
  <c r="H365" s="1"/>
  <c r="T409" i="20"/>
  <c r="N410"/>
  <c r="AN391" i="38"/>
  <c r="AO391"/>
  <c r="AP391" s="1"/>
  <c r="AQ391" s="1"/>
  <c r="N49" i="50"/>
  <c r="Q49"/>
  <c r="AN30" i="1"/>
  <c r="T59" i="50"/>
  <c r="AN35" i="1"/>
  <c r="T64" i="50"/>
  <c r="T56"/>
  <c r="AN27" i="1"/>
  <c r="N41" i="50"/>
  <c r="Q41"/>
  <c r="N42"/>
  <c r="Q42"/>
  <c r="N19" i="5"/>
  <c r="Q19"/>
  <c r="Q24"/>
  <c r="N24"/>
  <c r="N30"/>
  <c r="Q30"/>
  <c r="Q15"/>
  <c r="N15"/>
  <c r="Q34"/>
  <c r="N34"/>
  <c r="Q5"/>
  <c r="N5"/>
  <c r="N25"/>
  <c r="Q25"/>
  <c r="Q9"/>
  <c r="N9"/>
  <c r="V397" i="48"/>
  <c r="F397"/>
  <c r="Y397" s="1"/>
  <c r="E411" i="52"/>
  <c r="AF402" i="1" l="1"/>
  <c r="AD403"/>
  <c r="BE18" i="55"/>
  <c r="G410" i="53"/>
  <c r="BD406" i="1"/>
  <c r="BE406" s="1"/>
  <c r="T406" s="1"/>
  <c r="U406" s="1"/>
  <c r="BA407"/>
  <c r="AB404"/>
  <c r="AE404" s="1"/>
  <c r="AA404"/>
  <c r="E411" i="53" s="1"/>
  <c r="Z404" i="1"/>
  <c r="I409" i="53"/>
  <c r="CU17" i="55" s="1"/>
  <c r="BZ17"/>
  <c r="D409" i="53"/>
  <c r="O17" i="55" s="1"/>
  <c r="V405" i="1"/>
  <c r="X405"/>
  <c r="AI410"/>
  <c r="AK410"/>
  <c r="AH410"/>
  <c r="AL410"/>
  <c r="AM410"/>
  <c r="BC410"/>
  <c r="AJ410"/>
  <c r="AC410"/>
  <c r="T409" i="5"/>
  <c r="C365" i="26" s="1"/>
  <c r="G381" i="1" s="1"/>
  <c r="N410" i="5"/>
  <c r="V398" i="48"/>
  <c r="F398"/>
  <c r="Y398" s="1"/>
  <c r="F374" i="26"/>
  <c r="H374" s="1"/>
  <c r="T52" i="20"/>
  <c r="F8" i="26"/>
  <c r="H8" s="1"/>
  <c r="N53" i="20"/>
  <c r="T410" i="22"/>
  <c r="I366" i="26"/>
  <c r="K366" s="1"/>
  <c r="N411" i="22"/>
  <c r="Q7" i="50"/>
  <c r="N7"/>
  <c r="Q24"/>
  <c r="N24"/>
  <c r="N6"/>
  <c r="Q6"/>
  <c r="N19"/>
  <c r="Q19"/>
  <c r="Q16"/>
  <c r="N16"/>
  <c r="Q31"/>
  <c r="N31"/>
  <c r="N28"/>
  <c r="Q28"/>
  <c r="Q15"/>
  <c r="N15"/>
  <c r="AR391" i="38"/>
  <c r="T410" i="20"/>
  <c r="F366" i="26"/>
  <c r="H366" s="1"/>
  <c r="N411" i="20"/>
  <c r="P5" i="5"/>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T416"/>
  <c r="C372" i="26" s="1"/>
  <c r="G388" i="1" s="1"/>
  <c r="N52" i="5"/>
  <c r="T51"/>
  <c r="C7" i="26" s="1"/>
  <c r="G23" i="1" s="1"/>
  <c r="W409"/>
  <c r="R409"/>
  <c r="E399" i="48"/>
  <c r="X399" s="1"/>
  <c r="C399"/>
  <c r="B400"/>
  <c r="D399"/>
  <c r="W399" s="1"/>
  <c r="N13" i="50"/>
  <c r="Q13"/>
  <c r="N23"/>
  <c r="Q23"/>
  <c r="Q32"/>
  <c r="N32"/>
  <c r="Q34"/>
  <c r="N34"/>
  <c r="Q20"/>
  <c r="N20"/>
  <c r="N8"/>
  <c r="Q8"/>
  <c r="Q27"/>
  <c r="N27"/>
  <c r="N35"/>
  <c r="Q35"/>
  <c r="P410" i="1"/>
  <c r="D393" i="38"/>
  <c r="E393"/>
  <c r="Z393"/>
  <c r="AA393" s="1"/>
  <c r="F393"/>
  <c r="AM393" s="1"/>
  <c r="R414" i="50"/>
  <c r="N409" s="1"/>
  <c r="T415"/>
  <c r="T414"/>
  <c r="AN385" i="1"/>
  <c r="Q14" i="50"/>
  <c r="N14"/>
  <c r="Q4"/>
  <c r="N4"/>
  <c r="P4" s="1"/>
  <c r="Q21"/>
  <c r="N21"/>
  <c r="N25"/>
  <c r="Q25"/>
  <c r="N12"/>
  <c r="Q12"/>
  <c r="Q26"/>
  <c r="N26"/>
  <c r="Q30"/>
  <c r="N30"/>
  <c r="N18"/>
  <c r="Q18"/>
  <c r="E412" i="52"/>
  <c r="F413"/>
  <c r="C411" i="1"/>
  <c r="D411" s="1"/>
  <c r="E411"/>
  <c r="A418" i="53"/>
  <c r="B419" s="1"/>
  <c r="B412" i="1"/>
  <c r="B394" i="38"/>
  <c r="A395" i="26"/>
  <c r="B395" s="1"/>
  <c r="K411" i="1"/>
  <c r="N411" s="1"/>
  <c r="L411"/>
  <c r="M410" s="1"/>
  <c r="A411"/>
  <c r="T50" i="50"/>
  <c r="N51"/>
  <c r="AN392" i="38"/>
  <c r="AO392"/>
  <c r="AP392" s="1"/>
  <c r="AQ392" s="1"/>
  <c r="P53" i="20"/>
  <c r="BK390" i="38"/>
  <c r="AS390"/>
  <c r="AU390" s="1"/>
  <c r="AV390" s="1"/>
  <c r="BA390" s="1"/>
  <c r="BB390" s="1"/>
  <c r="BH390" s="1"/>
  <c r="BJ390" s="1"/>
  <c r="P390" s="1"/>
  <c r="O390" s="1"/>
  <c r="Q5" i="50"/>
  <c r="N5"/>
  <c r="N29"/>
  <c r="Q29"/>
  <c r="Q9"/>
  <c r="N9"/>
  <c r="N11"/>
  <c r="Q11"/>
  <c r="Q17"/>
  <c r="N17"/>
  <c r="N10"/>
  <c r="Q10"/>
  <c r="N22"/>
  <c r="Q22"/>
  <c r="Q33"/>
  <c r="N33"/>
  <c r="T52" i="22"/>
  <c r="I8" i="26"/>
  <c r="K8" s="1"/>
  <c r="I374"/>
  <c r="K374" s="1"/>
  <c r="N53" i="22"/>
  <c r="S409" i="1" l="1"/>
  <c r="AB405"/>
  <c r="AE405" s="1"/>
  <c r="Z405"/>
  <c r="AA405"/>
  <c r="E412" i="53" s="1"/>
  <c r="BD407" i="1"/>
  <c r="BE407" s="1"/>
  <c r="T407" s="1"/>
  <c r="U407" s="1"/>
  <c r="BA408"/>
  <c r="D410" i="53"/>
  <c r="O18" i="55" s="1"/>
  <c r="I410" i="53"/>
  <c r="CU18" i="55" s="1"/>
  <c r="BZ18"/>
  <c r="V406" i="1"/>
  <c r="X406"/>
  <c r="BE19" i="55"/>
  <c r="G411" i="53"/>
  <c r="AF403" i="1"/>
  <c r="AD404"/>
  <c r="T53" i="22"/>
  <c r="N54"/>
  <c r="I9" i="26"/>
  <c r="K9" s="1"/>
  <c r="I375"/>
  <c r="K375" s="1"/>
  <c r="P411" i="1"/>
  <c r="T409" i="50"/>
  <c r="N410"/>
  <c r="AN380" i="1"/>
  <c r="F399" i="48"/>
  <c r="Y399" s="1"/>
  <c r="V399"/>
  <c r="T417" i="5"/>
  <c r="C373" i="26" s="1"/>
  <c r="G389" i="1" s="1"/>
  <c r="N53" i="5"/>
  <c r="T52"/>
  <c r="C8" i="26" s="1"/>
  <c r="G24" i="1" s="1"/>
  <c r="T411" i="20"/>
  <c r="N412"/>
  <c r="F367" i="26"/>
  <c r="H367" s="1"/>
  <c r="T411" i="22"/>
  <c r="I367" i="26"/>
  <c r="K367" s="1"/>
  <c r="N412" i="22"/>
  <c r="P53"/>
  <c r="E413" i="52"/>
  <c r="P5" i="50"/>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AO393" i="38"/>
  <c r="AP393" s="1"/>
  <c r="AQ393" s="1"/>
  <c r="AN393"/>
  <c r="T51" i="50"/>
  <c r="N52"/>
  <c r="AN22" i="1"/>
  <c r="AC411"/>
  <c r="AM411"/>
  <c r="AI411"/>
  <c r="AJ411"/>
  <c r="AH411"/>
  <c r="BC411"/>
  <c r="AL411"/>
  <c r="AK411"/>
  <c r="E394" i="38"/>
  <c r="D394"/>
  <c r="Z394"/>
  <c r="AA394" s="1"/>
  <c r="F394"/>
  <c r="AM394" s="1"/>
  <c r="W410" i="1"/>
  <c r="R410"/>
  <c r="S410" s="1"/>
  <c r="BK391" i="38"/>
  <c r="AS391"/>
  <c r="AU391" s="1"/>
  <c r="AV391" s="1"/>
  <c r="BA391" s="1"/>
  <c r="BB391" s="1"/>
  <c r="BH391" s="1"/>
  <c r="BJ391" s="1"/>
  <c r="P391" s="1"/>
  <c r="O391" s="1"/>
  <c r="AR392"/>
  <c r="C412" i="1"/>
  <c r="D412" s="1"/>
  <c r="L412"/>
  <c r="M411" s="1"/>
  <c r="F414" i="52"/>
  <c r="A412" i="1"/>
  <c r="E412"/>
  <c r="A419" i="53"/>
  <c r="B420" s="1"/>
  <c r="A396" i="26"/>
  <c r="B396" s="1"/>
  <c r="K412" i="1"/>
  <c r="N412" s="1"/>
  <c r="B395" i="38"/>
  <c r="B413" i="1"/>
  <c r="E400" i="48"/>
  <c r="X400" s="1"/>
  <c r="B401"/>
  <c r="C400"/>
  <c r="D400"/>
  <c r="W400" s="1"/>
  <c r="P52" i="5"/>
  <c r="P53" s="1"/>
  <c r="T53" i="20"/>
  <c r="F9" i="26"/>
  <c r="H9" s="1"/>
  <c r="F375"/>
  <c r="H375" s="1"/>
  <c r="N54" i="20"/>
  <c r="N411" i="5"/>
  <c r="T410"/>
  <c r="C366" i="26" s="1"/>
  <c r="G382" i="1" s="1"/>
  <c r="P54" i="22" l="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P245" s="1"/>
  <c r="P246" s="1"/>
  <c r="P247" s="1"/>
  <c r="P248" s="1"/>
  <c r="P249" s="1"/>
  <c r="P250" s="1"/>
  <c r="P251" s="1"/>
  <c r="P252" s="1"/>
  <c r="P253" s="1"/>
  <c r="P254" s="1"/>
  <c r="P255" s="1"/>
  <c r="P256" s="1"/>
  <c r="P257" s="1"/>
  <c r="P258" s="1"/>
  <c r="P259" s="1"/>
  <c r="P260" s="1"/>
  <c r="P261" s="1"/>
  <c r="P262" s="1"/>
  <c r="P263" s="1"/>
  <c r="P264" s="1"/>
  <c r="P265" s="1"/>
  <c r="P266" s="1"/>
  <c r="P267" s="1"/>
  <c r="P268" s="1"/>
  <c r="P269" s="1"/>
  <c r="P270" s="1"/>
  <c r="P271" s="1"/>
  <c r="P272" s="1"/>
  <c r="P273" s="1"/>
  <c r="P274" s="1"/>
  <c r="P275" s="1"/>
  <c r="P276" s="1"/>
  <c r="P277" s="1"/>
  <c r="P278" s="1"/>
  <c r="P279" s="1"/>
  <c r="P280" s="1"/>
  <c r="P281" s="1"/>
  <c r="P282" s="1"/>
  <c r="P283" s="1"/>
  <c r="P284" s="1"/>
  <c r="P285" s="1"/>
  <c r="P286" s="1"/>
  <c r="P287" s="1"/>
  <c r="P288" s="1"/>
  <c r="P289" s="1"/>
  <c r="P290" s="1"/>
  <c r="P291" s="1"/>
  <c r="P292" s="1"/>
  <c r="P293" s="1"/>
  <c r="P294" s="1"/>
  <c r="P295" s="1"/>
  <c r="P296" s="1"/>
  <c r="P297" s="1"/>
  <c r="P298" s="1"/>
  <c r="P299" s="1"/>
  <c r="P300" s="1"/>
  <c r="P301" s="1"/>
  <c r="P302" s="1"/>
  <c r="P303" s="1"/>
  <c r="P304" s="1"/>
  <c r="P305" s="1"/>
  <c r="P306" s="1"/>
  <c r="P307" s="1"/>
  <c r="P308" s="1"/>
  <c r="P309" s="1"/>
  <c r="P310" s="1"/>
  <c r="P311" s="1"/>
  <c r="P312" s="1"/>
  <c r="P313" s="1"/>
  <c r="P314" s="1"/>
  <c r="P315" s="1"/>
  <c r="P316" s="1"/>
  <c r="P317" s="1"/>
  <c r="P318" s="1"/>
  <c r="P319" s="1"/>
  <c r="P320" s="1"/>
  <c r="P321" s="1"/>
  <c r="P322" s="1"/>
  <c r="P323" s="1"/>
  <c r="P324" s="1"/>
  <c r="P325" s="1"/>
  <c r="P326" s="1"/>
  <c r="P327" s="1"/>
  <c r="P328" s="1"/>
  <c r="P329" s="1"/>
  <c r="P330" s="1"/>
  <c r="P331" s="1"/>
  <c r="P332" s="1"/>
  <c r="P333" s="1"/>
  <c r="P334" s="1"/>
  <c r="P335" s="1"/>
  <c r="P336" s="1"/>
  <c r="P337" s="1"/>
  <c r="P338" s="1"/>
  <c r="P339" s="1"/>
  <c r="P340" s="1"/>
  <c r="P341" s="1"/>
  <c r="P342" s="1"/>
  <c r="P343" s="1"/>
  <c r="P344" s="1"/>
  <c r="P345" s="1"/>
  <c r="P346" s="1"/>
  <c r="P347" s="1"/>
  <c r="P348" s="1"/>
  <c r="P349" s="1"/>
  <c r="P350" s="1"/>
  <c r="P351" s="1"/>
  <c r="P352" s="1"/>
  <c r="P353" s="1"/>
  <c r="P354" s="1"/>
  <c r="P355" s="1"/>
  <c r="P356" s="1"/>
  <c r="P357" s="1"/>
  <c r="P358" s="1"/>
  <c r="P359" s="1"/>
  <c r="P360" s="1"/>
  <c r="P361" s="1"/>
  <c r="P362" s="1"/>
  <c r="P363" s="1"/>
  <c r="P364" s="1"/>
  <c r="P365" s="1"/>
  <c r="P366" s="1"/>
  <c r="P367" s="1"/>
  <c r="P368" s="1"/>
  <c r="P369" s="1"/>
  <c r="P370" s="1"/>
  <c r="P371" s="1"/>
  <c r="P372" s="1"/>
  <c r="P373" s="1"/>
  <c r="P374" s="1"/>
  <c r="P375" s="1"/>
  <c r="P376" s="1"/>
  <c r="P377" s="1"/>
  <c r="P378" s="1"/>
  <c r="P379" s="1"/>
  <c r="P380" s="1"/>
  <c r="P381" s="1"/>
  <c r="P382" s="1"/>
  <c r="P383" s="1"/>
  <c r="P384" s="1"/>
  <c r="P385" s="1"/>
  <c r="P386" s="1"/>
  <c r="P387" s="1"/>
  <c r="P388" s="1"/>
  <c r="P389" s="1"/>
  <c r="P390" s="1"/>
  <c r="P391" s="1"/>
  <c r="P392" s="1"/>
  <c r="P393" s="1"/>
  <c r="P394" s="1"/>
  <c r="P395" s="1"/>
  <c r="P396" s="1"/>
  <c r="P397" s="1"/>
  <c r="P398" s="1"/>
  <c r="P399" s="1"/>
  <c r="P400" s="1"/>
  <c r="P401" s="1"/>
  <c r="P402" s="1"/>
  <c r="P403" s="1"/>
  <c r="P404" s="1"/>
  <c r="P405" s="1"/>
  <c r="P406" s="1"/>
  <c r="P407" s="1"/>
  <c r="P408" s="1"/>
  <c r="P409" s="1"/>
  <c r="P410" s="1"/>
  <c r="P411" s="1"/>
  <c r="P412" s="1"/>
  <c r="AB406" i="1"/>
  <c r="AE406" s="1"/>
  <c r="AA406"/>
  <c r="E413" i="53" s="1"/>
  <c r="Z406" i="1"/>
  <c r="I411" i="53"/>
  <c r="CU19" i="55" s="1"/>
  <c r="D411" i="53"/>
  <c r="O19" i="55" s="1"/>
  <c r="BZ19"/>
  <c r="BD408" i="1"/>
  <c r="BE408" s="1"/>
  <c r="T408" s="1"/>
  <c r="U408" s="1"/>
  <c r="BA409"/>
  <c r="V407"/>
  <c r="X407"/>
  <c r="AF404"/>
  <c r="AD405"/>
  <c r="BE20" i="55"/>
  <c r="G412" i="53"/>
  <c r="N412" i="5"/>
  <c r="T411"/>
  <c r="C367" i="26" s="1"/>
  <c r="G383" i="1" s="1"/>
  <c r="AR393" i="38"/>
  <c r="T54" i="20"/>
  <c r="F10" i="26"/>
  <c r="H10" s="1"/>
  <c r="F376"/>
  <c r="H376" s="1"/>
  <c r="F415" i="52"/>
  <c r="A397" i="26"/>
  <c r="B397" s="1"/>
  <c r="C413" i="1"/>
  <c r="D413" s="1"/>
  <c r="L413"/>
  <c r="M412" s="1"/>
  <c r="A420" i="53"/>
  <c r="B421" s="1"/>
  <c r="A413" i="1"/>
  <c r="E413"/>
  <c r="B396" i="38"/>
  <c r="K413" i="1"/>
  <c r="N413" s="1"/>
  <c r="B414"/>
  <c r="F368" i="26"/>
  <c r="H368" s="1"/>
  <c r="T412" i="20"/>
  <c r="N413"/>
  <c r="N54" i="5"/>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P245" s="1"/>
  <c r="P246" s="1"/>
  <c r="P247" s="1"/>
  <c r="P248" s="1"/>
  <c r="P249" s="1"/>
  <c r="P250" s="1"/>
  <c r="P251" s="1"/>
  <c r="P252" s="1"/>
  <c r="P253" s="1"/>
  <c r="P254" s="1"/>
  <c r="P255" s="1"/>
  <c r="P256" s="1"/>
  <c r="P257" s="1"/>
  <c r="P258" s="1"/>
  <c r="P259" s="1"/>
  <c r="P260" s="1"/>
  <c r="P261" s="1"/>
  <c r="P262" s="1"/>
  <c r="P263" s="1"/>
  <c r="P264" s="1"/>
  <c r="P265" s="1"/>
  <c r="P266" s="1"/>
  <c r="P267" s="1"/>
  <c r="P268" s="1"/>
  <c r="P269" s="1"/>
  <c r="P270" s="1"/>
  <c r="P271" s="1"/>
  <c r="P272" s="1"/>
  <c r="P273" s="1"/>
  <c r="P274" s="1"/>
  <c r="P275" s="1"/>
  <c r="P276" s="1"/>
  <c r="P277" s="1"/>
  <c r="P278" s="1"/>
  <c r="P279" s="1"/>
  <c r="P280" s="1"/>
  <c r="P281" s="1"/>
  <c r="P282" s="1"/>
  <c r="P283" s="1"/>
  <c r="P284" s="1"/>
  <c r="P285" s="1"/>
  <c r="P286" s="1"/>
  <c r="P287" s="1"/>
  <c r="P288" s="1"/>
  <c r="P289" s="1"/>
  <c r="P290" s="1"/>
  <c r="P291" s="1"/>
  <c r="P292" s="1"/>
  <c r="P293" s="1"/>
  <c r="P294" s="1"/>
  <c r="P295" s="1"/>
  <c r="P296" s="1"/>
  <c r="P297" s="1"/>
  <c r="P298" s="1"/>
  <c r="P299" s="1"/>
  <c r="P300" s="1"/>
  <c r="P301" s="1"/>
  <c r="P302" s="1"/>
  <c r="P303" s="1"/>
  <c r="P304" s="1"/>
  <c r="P305" s="1"/>
  <c r="P306" s="1"/>
  <c r="P307" s="1"/>
  <c r="P308" s="1"/>
  <c r="P309" s="1"/>
  <c r="P310" s="1"/>
  <c r="P311" s="1"/>
  <c r="P312" s="1"/>
  <c r="P313" s="1"/>
  <c r="P314" s="1"/>
  <c r="P315" s="1"/>
  <c r="P316" s="1"/>
  <c r="P317" s="1"/>
  <c r="P318" s="1"/>
  <c r="P319" s="1"/>
  <c r="P320" s="1"/>
  <c r="P321" s="1"/>
  <c r="P322" s="1"/>
  <c r="P323" s="1"/>
  <c r="P324" s="1"/>
  <c r="P325" s="1"/>
  <c r="P326" s="1"/>
  <c r="P327" s="1"/>
  <c r="P328" s="1"/>
  <c r="P329" s="1"/>
  <c r="P330" s="1"/>
  <c r="P331" s="1"/>
  <c r="P332" s="1"/>
  <c r="P333" s="1"/>
  <c r="P334" s="1"/>
  <c r="P335" s="1"/>
  <c r="P336" s="1"/>
  <c r="P337" s="1"/>
  <c r="P338" s="1"/>
  <c r="P339" s="1"/>
  <c r="P340" s="1"/>
  <c r="P341" s="1"/>
  <c r="P342" s="1"/>
  <c r="P343" s="1"/>
  <c r="P344" s="1"/>
  <c r="P345" s="1"/>
  <c r="P346" s="1"/>
  <c r="P347" s="1"/>
  <c r="P348" s="1"/>
  <c r="P349" s="1"/>
  <c r="P350" s="1"/>
  <c r="P351" s="1"/>
  <c r="P352" s="1"/>
  <c r="P353" s="1"/>
  <c r="P354" s="1"/>
  <c r="P355" s="1"/>
  <c r="P356" s="1"/>
  <c r="P357" s="1"/>
  <c r="P358" s="1"/>
  <c r="P359" s="1"/>
  <c r="P360" s="1"/>
  <c r="P361" s="1"/>
  <c r="P362" s="1"/>
  <c r="P363" s="1"/>
  <c r="P364" s="1"/>
  <c r="P365" s="1"/>
  <c r="P366" s="1"/>
  <c r="P367" s="1"/>
  <c r="P368" s="1"/>
  <c r="P369" s="1"/>
  <c r="P370" s="1"/>
  <c r="P371" s="1"/>
  <c r="P372" s="1"/>
  <c r="P373" s="1"/>
  <c r="P374" s="1"/>
  <c r="P375" s="1"/>
  <c r="P376" s="1"/>
  <c r="P377" s="1"/>
  <c r="P378" s="1"/>
  <c r="P379" s="1"/>
  <c r="P380" s="1"/>
  <c r="P381" s="1"/>
  <c r="P382" s="1"/>
  <c r="P383" s="1"/>
  <c r="P384" s="1"/>
  <c r="P385" s="1"/>
  <c r="P386" s="1"/>
  <c r="P387" s="1"/>
  <c r="P388" s="1"/>
  <c r="P389" s="1"/>
  <c r="P390" s="1"/>
  <c r="P391" s="1"/>
  <c r="P392" s="1"/>
  <c r="P393" s="1"/>
  <c r="P394" s="1"/>
  <c r="P395" s="1"/>
  <c r="P396" s="1"/>
  <c r="P397" s="1"/>
  <c r="P398" s="1"/>
  <c r="P399" s="1"/>
  <c r="P400" s="1"/>
  <c r="P401" s="1"/>
  <c r="P402" s="1"/>
  <c r="P403" s="1"/>
  <c r="P404" s="1"/>
  <c r="P405" s="1"/>
  <c r="P406" s="1"/>
  <c r="P407" s="1"/>
  <c r="P408" s="1"/>
  <c r="P409" s="1"/>
  <c r="P410" s="1"/>
  <c r="P411" s="1"/>
  <c r="P412" s="1"/>
  <c r="T418"/>
  <c r="C374" i="26" s="1"/>
  <c r="G390" i="1" s="1"/>
  <c r="T53" i="5"/>
  <c r="C9" i="26" s="1"/>
  <c r="G25" i="1" s="1"/>
  <c r="T410" i="50"/>
  <c r="AN381" i="1"/>
  <c r="N411" i="50"/>
  <c r="D395" i="38"/>
  <c r="E395"/>
  <c r="F395"/>
  <c r="AM395" s="1"/>
  <c r="Z395"/>
  <c r="AA395" s="1"/>
  <c r="E414" i="52"/>
  <c r="P52" i="50"/>
  <c r="V400" i="48"/>
  <c r="F400"/>
  <c r="Y400" s="1"/>
  <c r="C401"/>
  <c r="E401"/>
  <c r="X401" s="1"/>
  <c r="D401"/>
  <c r="W401" s="1"/>
  <c r="B402"/>
  <c r="P412" i="1"/>
  <c r="AC412"/>
  <c r="BC412"/>
  <c r="AI412"/>
  <c r="AJ412"/>
  <c r="AH412"/>
  <c r="AL412"/>
  <c r="AK412"/>
  <c r="AM412"/>
  <c r="BK392" i="38"/>
  <c r="AS392"/>
  <c r="AU392" s="1"/>
  <c r="AV392" s="1"/>
  <c r="BA392" s="1"/>
  <c r="BB392" s="1"/>
  <c r="BH392" s="1"/>
  <c r="BJ392" s="1"/>
  <c r="P392" s="1"/>
  <c r="O392" s="1"/>
  <c r="AO394"/>
  <c r="AP394" s="1"/>
  <c r="AQ394" s="1"/>
  <c r="AN394"/>
  <c r="T52" i="50"/>
  <c r="AN23" i="1"/>
  <c r="N53" i="50"/>
  <c r="P54" i="20"/>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P245" s="1"/>
  <c r="P246" s="1"/>
  <c r="P247" s="1"/>
  <c r="P248" s="1"/>
  <c r="P249" s="1"/>
  <c r="P250" s="1"/>
  <c r="P251" s="1"/>
  <c r="P252" s="1"/>
  <c r="P253" s="1"/>
  <c r="P254" s="1"/>
  <c r="P255" s="1"/>
  <c r="P256" s="1"/>
  <c r="P257" s="1"/>
  <c r="P258" s="1"/>
  <c r="P259" s="1"/>
  <c r="P260" s="1"/>
  <c r="P261" s="1"/>
  <c r="P262" s="1"/>
  <c r="P263" s="1"/>
  <c r="P264" s="1"/>
  <c r="P265" s="1"/>
  <c r="P266" s="1"/>
  <c r="P267" s="1"/>
  <c r="P268" s="1"/>
  <c r="P269" s="1"/>
  <c r="P270" s="1"/>
  <c r="P271" s="1"/>
  <c r="P272" s="1"/>
  <c r="P273" s="1"/>
  <c r="P274" s="1"/>
  <c r="P275" s="1"/>
  <c r="P276" s="1"/>
  <c r="P277" s="1"/>
  <c r="P278" s="1"/>
  <c r="P279" s="1"/>
  <c r="P280" s="1"/>
  <c r="P281" s="1"/>
  <c r="P282" s="1"/>
  <c r="P283" s="1"/>
  <c r="P284" s="1"/>
  <c r="P285" s="1"/>
  <c r="P286" s="1"/>
  <c r="P287" s="1"/>
  <c r="P288" s="1"/>
  <c r="P289" s="1"/>
  <c r="P290" s="1"/>
  <c r="P291" s="1"/>
  <c r="P292" s="1"/>
  <c r="P293" s="1"/>
  <c r="P294" s="1"/>
  <c r="P295" s="1"/>
  <c r="P296" s="1"/>
  <c r="P297" s="1"/>
  <c r="P298" s="1"/>
  <c r="P299" s="1"/>
  <c r="P300" s="1"/>
  <c r="P301" s="1"/>
  <c r="P302" s="1"/>
  <c r="P303" s="1"/>
  <c r="P304" s="1"/>
  <c r="P305" s="1"/>
  <c r="P306" s="1"/>
  <c r="P307" s="1"/>
  <c r="P308" s="1"/>
  <c r="P309" s="1"/>
  <c r="P310" s="1"/>
  <c r="P311" s="1"/>
  <c r="P312" s="1"/>
  <c r="P313" s="1"/>
  <c r="P314" s="1"/>
  <c r="P315" s="1"/>
  <c r="P316" s="1"/>
  <c r="P317" s="1"/>
  <c r="P318" s="1"/>
  <c r="P319" s="1"/>
  <c r="P320" s="1"/>
  <c r="P321" s="1"/>
  <c r="P322" s="1"/>
  <c r="P323" s="1"/>
  <c r="P324" s="1"/>
  <c r="P325" s="1"/>
  <c r="P326" s="1"/>
  <c r="P327" s="1"/>
  <c r="P328" s="1"/>
  <c r="P329" s="1"/>
  <c r="P330" s="1"/>
  <c r="P331" s="1"/>
  <c r="P332" s="1"/>
  <c r="P333" s="1"/>
  <c r="P334" s="1"/>
  <c r="P335" s="1"/>
  <c r="P336" s="1"/>
  <c r="P337" s="1"/>
  <c r="P338" s="1"/>
  <c r="P339" s="1"/>
  <c r="P340" s="1"/>
  <c r="P341" s="1"/>
  <c r="P342" s="1"/>
  <c r="P343" s="1"/>
  <c r="P344" s="1"/>
  <c r="P345" s="1"/>
  <c r="P346" s="1"/>
  <c r="P347" s="1"/>
  <c r="P348" s="1"/>
  <c r="P349" s="1"/>
  <c r="P350" s="1"/>
  <c r="P351" s="1"/>
  <c r="P352" s="1"/>
  <c r="P353" s="1"/>
  <c r="P354" s="1"/>
  <c r="P355" s="1"/>
  <c r="P356" s="1"/>
  <c r="P357" s="1"/>
  <c r="P358" s="1"/>
  <c r="P359" s="1"/>
  <c r="P360" s="1"/>
  <c r="P361" s="1"/>
  <c r="P362" s="1"/>
  <c r="P363" s="1"/>
  <c r="P364" s="1"/>
  <c r="P365" s="1"/>
  <c r="P366" s="1"/>
  <c r="P367" s="1"/>
  <c r="P368" s="1"/>
  <c r="P369" s="1"/>
  <c r="P370" s="1"/>
  <c r="P371" s="1"/>
  <c r="P372" s="1"/>
  <c r="P373" s="1"/>
  <c r="P374" s="1"/>
  <c r="P375" s="1"/>
  <c r="P376" s="1"/>
  <c r="P377" s="1"/>
  <c r="P378" s="1"/>
  <c r="P379" s="1"/>
  <c r="P380" s="1"/>
  <c r="P381" s="1"/>
  <c r="P382" s="1"/>
  <c r="P383" s="1"/>
  <c r="P384" s="1"/>
  <c r="P385" s="1"/>
  <c r="P386" s="1"/>
  <c r="P387" s="1"/>
  <c r="P388" s="1"/>
  <c r="P389" s="1"/>
  <c r="P390" s="1"/>
  <c r="P391" s="1"/>
  <c r="P392" s="1"/>
  <c r="P393" s="1"/>
  <c r="P394" s="1"/>
  <c r="P395" s="1"/>
  <c r="P396" s="1"/>
  <c r="P397" s="1"/>
  <c r="P398" s="1"/>
  <c r="P399" s="1"/>
  <c r="P400" s="1"/>
  <c r="P401" s="1"/>
  <c r="P402" s="1"/>
  <c r="P403" s="1"/>
  <c r="P404" s="1"/>
  <c r="P405" s="1"/>
  <c r="P406" s="1"/>
  <c r="P407" s="1"/>
  <c r="P408" s="1"/>
  <c r="P409" s="1"/>
  <c r="P410" s="1"/>
  <c r="P411" s="1"/>
  <c r="P412" s="1"/>
  <c r="P413" s="1"/>
  <c r="P414" s="1"/>
  <c r="P415" s="1"/>
  <c r="P416" s="1"/>
  <c r="P417" s="1"/>
  <c r="P418" s="1"/>
  <c r="P419" s="1"/>
  <c r="P420" s="1"/>
  <c r="P421" s="1"/>
  <c r="P422" s="1"/>
  <c r="P423" s="1"/>
  <c r="P424" s="1"/>
  <c r="P425" s="1"/>
  <c r="P426" s="1"/>
  <c r="P427" s="1"/>
  <c r="P428" s="1"/>
  <c r="P429" s="1"/>
  <c r="P430" s="1"/>
  <c r="P431" s="1"/>
  <c r="P432" s="1"/>
  <c r="P433" s="1"/>
  <c r="P434" s="1"/>
  <c r="P435" s="1"/>
  <c r="P436" s="1"/>
  <c r="P437" s="1"/>
  <c r="P438" s="1"/>
  <c r="P439" s="1"/>
  <c r="P440" s="1"/>
  <c r="P441" s="1"/>
  <c r="P442" s="1"/>
  <c r="P443" s="1"/>
  <c r="P444" s="1"/>
  <c r="P445" s="1"/>
  <c r="P446" s="1"/>
  <c r="P447" s="1"/>
  <c r="P448" s="1"/>
  <c r="P449" s="1"/>
  <c r="P450" s="1"/>
  <c r="P451" s="1"/>
  <c r="P452" s="1"/>
  <c r="P453" s="1"/>
  <c r="P454" s="1"/>
  <c r="P455" s="1"/>
  <c r="P456" s="1"/>
  <c r="P457" s="1"/>
  <c r="P458" s="1"/>
  <c r="P459" s="1"/>
  <c r="P460" s="1"/>
  <c r="T412" i="22"/>
  <c r="I368" i="26"/>
  <c r="K368" s="1"/>
  <c r="N413" i="22"/>
  <c r="W411" i="1"/>
  <c r="R411"/>
  <c r="I376" i="26"/>
  <c r="K376" s="1"/>
  <c r="I10"/>
  <c r="K10" s="1"/>
  <c r="T54" i="22"/>
  <c r="AR394" i="38" l="1"/>
  <c r="S411" i="1"/>
  <c r="BZ20" i="55"/>
  <c r="I412" i="53"/>
  <c r="CU20" i="55" s="1"/>
  <c r="D412" i="53"/>
  <c r="O20" i="55" s="1"/>
  <c r="BD409" i="1"/>
  <c r="BE409" s="1"/>
  <c r="T409" s="1"/>
  <c r="U409" s="1"/>
  <c r="BA410"/>
  <c r="AB407"/>
  <c r="AE407" s="1"/>
  <c r="Z407"/>
  <c r="AA407"/>
  <c r="E414" i="53" s="1"/>
  <c r="V408" i="1"/>
  <c r="X408"/>
  <c r="G413" i="53"/>
  <c r="BE21" i="55"/>
  <c r="AF405" i="1"/>
  <c r="AD406"/>
  <c r="T413" i="22"/>
  <c r="I369" i="26"/>
  <c r="K369" s="1"/>
  <c r="N54" i="50"/>
  <c r="T53"/>
  <c r="AN24" i="1"/>
  <c r="W412"/>
  <c r="R412"/>
  <c r="T411" i="50"/>
  <c r="AN382" i="1"/>
  <c r="N412" i="50"/>
  <c r="E396" i="38"/>
  <c r="D396"/>
  <c r="Z396"/>
  <c r="AA396" s="1"/>
  <c r="F396"/>
  <c r="AM396" s="1"/>
  <c r="BK393"/>
  <c r="AS393"/>
  <c r="AU393" s="1"/>
  <c r="AV393" s="1"/>
  <c r="BA393" s="1"/>
  <c r="BB393" s="1"/>
  <c r="BH393" s="1"/>
  <c r="BJ393" s="1"/>
  <c r="P393" s="1"/>
  <c r="O393" s="1"/>
  <c r="P53" i="50"/>
  <c r="AO395" i="38"/>
  <c r="AP395" s="1"/>
  <c r="AQ395" s="1"/>
  <c r="AN395"/>
  <c r="T54" i="5"/>
  <c r="C10" i="26" s="1"/>
  <c r="G26" i="1" s="1"/>
  <c r="T419" i="5"/>
  <c r="C375" i="26" s="1"/>
  <c r="G391" i="1" s="1"/>
  <c r="E415" i="52"/>
  <c r="T412" i="5"/>
  <c r="C368" i="26" s="1"/>
  <c r="G384" i="1" s="1"/>
  <c r="N413" i="5"/>
  <c r="T413" s="1"/>
  <c r="C369" i="26" s="1"/>
  <c r="G385" i="1" s="1"/>
  <c r="V401" i="48"/>
  <c r="F401"/>
  <c r="Y401" s="1"/>
  <c r="P413" i="22"/>
  <c r="P414" s="1"/>
  <c r="P415" s="1"/>
  <c r="P416" s="1"/>
  <c r="P417" s="1"/>
  <c r="P418" s="1"/>
  <c r="P419" s="1"/>
  <c r="P420" s="1"/>
  <c r="P421" s="1"/>
  <c r="P422" s="1"/>
  <c r="P423" s="1"/>
  <c r="P424" s="1"/>
  <c r="P425" s="1"/>
  <c r="P426" s="1"/>
  <c r="P427" s="1"/>
  <c r="P428" s="1"/>
  <c r="P429" s="1"/>
  <c r="P430" s="1"/>
  <c r="P431" s="1"/>
  <c r="P432" s="1"/>
  <c r="P433" s="1"/>
  <c r="P434" s="1"/>
  <c r="P435" s="1"/>
  <c r="P436" s="1"/>
  <c r="P437" s="1"/>
  <c r="P438" s="1"/>
  <c r="P439" s="1"/>
  <c r="P440" s="1"/>
  <c r="P441" s="1"/>
  <c r="P442" s="1"/>
  <c r="P443" s="1"/>
  <c r="P444" s="1"/>
  <c r="P445" s="1"/>
  <c r="P446" s="1"/>
  <c r="P447" s="1"/>
  <c r="P448" s="1"/>
  <c r="P449" s="1"/>
  <c r="P450" s="1"/>
  <c r="P451" s="1"/>
  <c r="P452" s="1"/>
  <c r="P453" s="1"/>
  <c r="P454" s="1"/>
  <c r="P455" s="1"/>
  <c r="P456" s="1"/>
  <c r="P457" s="1"/>
  <c r="P458" s="1"/>
  <c r="P459" s="1"/>
  <c r="P460" s="1"/>
  <c r="F416" i="52"/>
  <c r="E414" i="1"/>
  <c r="C414"/>
  <c r="D414" s="1"/>
  <c r="A398" i="26"/>
  <c r="B398" s="1"/>
  <c r="K414" i="1"/>
  <c r="N414" s="1"/>
  <c r="L414"/>
  <c r="M413" s="1"/>
  <c r="A421" i="53"/>
  <c r="B422" s="1"/>
  <c r="A414" i="1"/>
  <c r="B397" i="38"/>
  <c r="B415" i="1"/>
  <c r="AL413"/>
  <c r="AJ413"/>
  <c r="BC413"/>
  <c r="AH413"/>
  <c r="AI413"/>
  <c r="AK413"/>
  <c r="AM413"/>
  <c r="AC413"/>
  <c r="BK394" i="38"/>
  <c r="AS394"/>
  <c r="AU394" s="1"/>
  <c r="AV394" s="1"/>
  <c r="BA394" s="1"/>
  <c r="BB394" s="1"/>
  <c r="BH394" s="1"/>
  <c r="BJ394" s="1"/>
  <c r="P394" s="1"/>
  <c r="O394" s="1"/>
  <c r="E402" i="48"/>
  <c r="X402" s="1"/>
  <c r="C402"/>
  <c r="B403"/>
  <c r="D402"/>
  <c r="W402" s="1"/>
  <c r="T413" i="20"/>
  <c r="F369" i="26"/>
  <c r="H369" s="1"/>
  <c r="P413" i="1"/>
  <c r="S412" l="1"/>
  <c r="BD410"/>
  <c r="BE410" s="1"/>
  <c r="T410" s="1"/>
  <c r="U410" s="1"/>
  <c r="BA411"/>
  <c r="G414" i="53"/>
  <c r="BE22" i="55"/>
  <c r="V409" i="1"/>
  <c r="X409"/>
  <c r="AF406"/>
  <c r="AD407"/>
  <c r="BZ21" i="55"/>
  <c r="D413" i="53"/>
  <c r="O21" i="55" s="1"/>
  <c r="I413" i="53"/>
  <c r="CU21" i="55" s="1"/>
  <c r="AB408" i="1"/>
  <c r="AE408" s="1"/>
  <c r="Z408"/>
  <c r="AA408"/>
  <c r="E415" i="53" s="1"/>
  <c r="P54" i="50"/>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P159" s="1"/>
  <c r="P160" s="1"/>
  <c r="P161" s="1"/>
  <c r="P162" s="1"/>
  <c r="P163" s="1"/>
  <c r="P164" s="1"/>
  <c r="P165" s="1"/>
  <c r="P166" s="1"/>
  <c r="P167" s="1"/>
  <c r="P168" s="1"/>
  <c r="P169" s="1"/>
  <c r="P170" s="1"/>
  <c r="P171" s="1"/>
  <c r="P172" s="1"/>
  <c r="P173" s="1"/>
  <c r="P174" s="1"/>
  <c r="P175" s="1"/>
  <c r="P176" s="1"/>
  <c r="P177" s="1"/>
  <c r="P178" s="1"/>
  <c r="P179" s="1"/>
  <c r="P180" s="1"/>
  <c r="P181" s="1"/>
  <c r="P182" s="1"/>
  <c r="P183" s="1"/>
  <c r="P184" s="1"/>
  <c r="P185" s="1"/>
  <c r="P186" s="1"/>
  <c r="P187" s="1"/>
  <c r="P188" s="1"/>
  <c r="P189" s="1"/>
  <c r="P190" s="1"/>
  <c r="P191" s="1"/>
  <c r="P192" s="1"/>
  <c r="P193" s="1"/>
  <c r="P194" s="1"/>
  <c r="P195" s="1"/>
  <c r="P196" s="1"/>
  <c r="P197" s="1"/>
  <c r="P198" s="1"/>
  <c r="P199" s="1"/>
  <c r="P200" s="1"/>
  <c r="P201" s="1"/>
  <c r="P202" s="1"/>
  <c r="P203" s="1"/>
  <c r="P204" s="1"/>
  <c r="P205" s="1"/>
  <c r="P206" s="1"/>
  <c r="P207" s="1"/>
  <c r="P208" s="1"/>
  <c r="P209" s="1"/>
  <c r="P210" s="1"/>
  <c r="P211" s="1"/>
  <c r="P212" s="1"/>
  <c r="P213" s="1"/>
  <c r="P214" s="1"/>
  <c r="P215" s="1"/>
  <c r="P216" s="1"/>
  <c r="P217" s="1"/>
  <c r="P218" s="1"/>
  <c r="P219" s="1"/>
  <c r="P220" s="1"/>
  <c r="P221" s="1"/>
  <c r="P222" s="1"/>
  <c r="P223" s="1"/>
  <c r="P224" s="1"/>
  <c r="P225" s="1"/>
  <c r="P226" s="1"/>
  <c r="P227" s="1"/>
  <c r="P228" s="1"/>
  <c r="P229" s="1"/>
  <c r="P230" s="1"/>
  <c r="P231" s="1"/>
  <c r="P232" s="1"/>
  <c r="P233" s="1"/>
  <c r="P234" s="1"/>
  <c r="P235" s="1"/>
  <c r="P236" s="1"/>
  <c r="P237" s="1"/>
  <c r="P238" s="1"/>
  <c r="P239" s="1"/>
  <c r="P240" s="1"/>
  <c r="P241" s="1"/>
  <c r="P242" s="1"/>
  <c r="P243" s="1"/>
  <c r="P244" s="1"/>
  <c r="P245" s="1"/>
  <c r="P246" s="1"/>
  <c r="P247" s="1"/>
  <c r="P248" s="1"/>
  <c r="P249" s="1"/>
  <c r="P250" s="1"/>
  <c r="P251" s="1"/>
  <c r="P252" s="1"/>
  <c r="P253" s="1"/>
  <c r="P254" s="1"/>
  <c r="P255" s="1"/>
  <c r="P256" s="1"/>
  <c r="P257" s="1"/>
  <c r="P258" s="1"/>
  <c r="P259" s="1"/>
  <c r="P260" s="1"/>
  <c r="P261" s="1"/>
  <c r="P262" s="1"/>
  <c r="P263" s="1"/>
  <c r="P264" s="1"/>
  <c r="P265" s="1"/>
  <c r="P266" s="1"/>
  <c r="P267" s="1"/>
  <c r="P268" s="1"/>
  <c r="P269" s="1"/>
  <c r="P270" s="1"/>
  <c r="P271" s="1"/>
  <c r="P272" s="1"/>
  <c r="P273" s="1"/>
  <c r="P274" s="1"/>
  <c r="P275" s="1"/>
  <c r="P276" s="1"/>
  <c r="P277" s="1"/>
  <c r="P278" s="1"/>
  <c r="P279" s="1"/>
  <c r="P280" s="1"/>
  <c r="P281" s="1"/>
  <c r="P282" s="1"/>
  <c r="P283" s="1"/>
  <c r="P284" s="1"/>
  <c r="P285" s="1"/>
  <c r="P286" s="1"/>
  <c r="P287" s="1"/>
  <c r="P288" s="1"/>
  <c r="P289" s="1"/>
  <c r="P290" s="1"/>
  <c r="P291" s="1"/>
  <c r="P292" s="1"/>
  <c r="P293" s="1"/>
  <c r="P294" s="1"/>
  <c r="P295" s="1"/>
  <c r="P296" s="1"/>
  <c r="P297" s="1"/>
  <c r="P298" s="1"/>
  <c r="P299" s="1"/>
  <c r="P300" s="1"/>
  <c r="P301" s="1"/>
  <c r="P302" s="1"/>
  <c r="P303" s="1"/>
  <c r="P304" s="1"/>
  <c r="P305" s="1"/>
  <c r="P306" s="1"/>
  <c r="P307" s="1"/>
  <c r="P308" s="1"/>
  <c r="P309" s="1"/>
  <c r="P310" s="1"/>
  <c r="P311" s="1"/>
  <c r="P312" s="1"/>
  <c r="P313" s="1"/>
  <c r="P314" s="1"/>
  <c r="P315" s="1"/>
  <c r="P316" s="1"/>
  <c r="P317" s="1"/>
  <c r="P318" s="1"/>
  <c r="P319" s="1"/>
  <c r="P320" s="1"/>
  <c r="P321" s="1"/>
  <c r="P322" s="1"/>
  <c r="P323" s="1"/>
  <c r="P324" s="1"/>
  <c r="P325" s="1"/>
  <c r="P326" s="1"/>
  <c r="P327" s="1"/>
  <c r="P328" s="1"/>
  <c r="P329" s="1"/>
  <c r="P330" s="1"/>
  <c r="P331" s="1"/>
  <c r="P332" s="1"/>
  <c r="P333" s="1"/>
  <c r="P334" s="1"/>
  <c r="P335" s="1"/>
  <c r="P336" s="1"/>
  <c r="P337" s="1"/>
  <c r="P338" s="1"/>
  <c r="P339" s="1"/>
  <c r="P340" s="1"/>
  <c r="P341" s="1"/>
  <c r="P342" s="1"/>
  <c r="P343" s="1"/>
  <c r="P344" s="1"/>
  <c r="P345" s="1"/>
  <c r="P346" s="1"/>
  <c r="P347" s="1"/>
  <c r="P348" s="1"/>
  <c r="P349" s="1"/>
  <c r="P350" s="1"/>
  <c r="P351" s="1"/>
  <c r="P352" s="1"/>
  <c r="P353" s="1"/>
  <c r="P354" s="1"/>
  <c r="P355" s="1"/>
  <c r="P356" s="1"/>
  <c r="P357" s="1"/>
  <c r="P358" s="1"/>
  <c r="P359" s="1"/>
  <c r="P360" s="1"/>
  <c r="P361" s="1"/>
  <c r="P362" s="1"/>
  <c r="P363" s="1"/>
  <c r="P364" s="1"/>
  <c r="P365" s="1"/>
  <c r="P366" s="1"/>
  <c r="P367" s="1"/>
  <c r="P368" s="1"/>
  <c r="P369" s="1"/>
  <c r="P370" s="1"/>
  <c r="P371" s="1"/>
  <c r="P372" s="1"/>
  <c r="P373" s="1"/>
  <c r="P374" s="1"/>
  <c r="P375" s="1"/>
  <c r="P376" s="1"/>
  <c r="P377" s="1"/>
  <c r="P378" s="1"/>
  <c r="P379" s="1"/>
  <c r="P380" s="1"/>
  <c r="P381" s="1"/>
  <c r="P382" s="1"/>
  <c r="P383" s="1"/>
  <c r="P384" s="1"/>
  <c r="P385" s="1"/>
  <c r="P386" s="1"/>
  <c r="P387" s="1"/>
  <c r="P388" s="1"/>
  <c r="P389" s="1"/>
  <c r="P390" s="1"/>
  <c r="P391" s="1"/>
  <c r="P392" s="1"/>
  <c r="P393" s="1"/>
  <c r="P394" s="1"/>
  <c r="P395" s="1"/>
  <c r="P396" s="1"/>
  <c r="P397" s="1"/>
  <c r="P398" s="1"/>
  <c r="P399" s="1"/>
  <c r="P400" s="1"/>
  <c r="P401" s="1"/>
  <c r="P402" s="1"/>
  <c r="P403" s="1"/>
  <c r="P404" s="1"/>
  <c r="P405" s="1"/>
  <c r="P406" s="1"/>
  <c r="P407" s="1"/>
  <c r="P408" s="1"/>
  <c r="P409" s="1"/>
  <c r="P410" s="1"/>
  <c r="P411" s="1"/>
  <c r="P412" s="1"/>
  <c r="E415" i="1"/>
  <c r="A422" i="53"/>
  <c r="B423" s="1"/>
  <c r="F417" i="52"/>
  <c r="L415" i="1"/>
  <c r="M414" s="1"/>
  <c r="A415"/>
  <c r="A399" i="26"/>
  <c r="B399" s="1"/>
  <c r="C415" i="1"/>
  <c r="D415" s="1"/>
  <c r="K415"/>
  <c r="N415" s="1"/>
  <c r="B398" i="38"/>
  <c r="B416" i="1"/>
  <c r="E416" i="52"/>
  <c r="E397" i="38"/>
  <c r="D397"/>
  <c r="Z397"/>
  <c r="AA397" s="1"/>
  <c r="F397"/>
  <c r="AM397" s="1"/>
  <c r="P414" i="1"/>
  <c r="AR395" i="38"/>
  <c r="E403" i="48"/>
  <c r="X403" s="1"/>
  <c r="C403"/>
  <c r="D403"/>
  <c r="W403" s="1"/>
  <c r="B404"/>
  <c r="AJ414" i="1"/>
  <c r="BC414"/>
  <c r="AC414"/>
  <c r="AL414"/>
  <c r="AK414"/>
  <c r="AI414"/>
  <c r="AM414"/>
  <c r="AH414"/>
  <c r="T54" i="50"/>
  <c r="AN25" i="1"/>
  <c r="W413"/>
  <c r="R413"/>
  <c r="S413" s="1"/>
  <c r="V402" i="48"/>
  <c r="F402"/>
  <c r="Y402" s="1"/>
  <c r="P413" i="5"/>
  <c r="P414" s="1"/>
  <c r="P415" s="1"/>
  <c r="P416" s="1"/>
  <c r="P417" s="1"/>
  <c r="P418" s="1"/>
  <c r="P419" s="1"/>
  <c r="P420" s="1"/>
  <c r="P421" s="1"/>
  <c r="P422" s="1"/>
  <c r="P423" s="1"/>
  <c r="P424" s="1"/>
  <c r="P425" s="1"/>
  <c r="P426" s="1"/>
  <c r="P427" s="1"/>
  <c r="P428" s="1"/>
  <c r="P429" s="1"/>
  <c r="P430" s="1"/>
  <c r="P431" s="1"/>
  <c r="P432" s="1"/>
  <c r="P433" s="1"/>
  <c r="P434" s="1"/>
  <c r="P435" s="1"/>
  <c r="P436" s="1"/>
  <c r="P437" s="1"/>
  <c r="P438" s="1"/>
  <c r="P439" s="1"/>
  <c r="P440" s="1"/>
  <c r="P441" s="1"/>
  <c r="P442" s="1"/>
  <c r="P443" s="1"/>
  <c r="P444" s="1"/>
  <c r="P445" s="1"/>
  <c r="P446" s="1"/>
  <c r="P447" s="1"/>
  <c r="P448" s="1"/>
  <c r="P449" s="1"/>
  <c r="P450" s="1"/>
  <c r="P451" s="1"/>
  <c r="P452" s="1"/>
  <c r="P453" s="1"/>
  <c r="P454" s="1"/>
  <c r="P455" s="1"/>
  <c r="P456" s="1"/>
  <c r="P457" s="1"/>
  <c r="P458" s="1"/>
  <c r="P459" s="1"/>
  <c r="P460" s="1"/>
  <c r="AO396" i="38"/>
  <c r="AP396" s="1"/>
  <c r="AQ396" s="1"/>
  <c r="AN396"/>
  <c r="AN383" i="1"/>
  <c r="N413" i="50"/>
  <c r="T412"/>
  <c r="AR396" i="38" l="1"/>
  <c r="AF407" i="1"/>
  <c r="AD408"/>
  <c r="BD411"/>
  <c r="BE411" s="1"/>
  <c r="T411" s="1"/>
  <c r="U411" s="1"/>
  <c r="BA412"/>
  <c r="V410"/>
  <c r="X410"/>
  <c r="BE23" i="55"/>
  <c r="G415" i="53"/>
  <c r="AB409" i="1"/>
  <c r="AE409" s="1"/>
  <c r="Z409"/>
  <c r="AA409"/>
  <c r="E416" i="53" s="1"/>
  <c r="I414"/>
  <c r="CU22" i="55" s="1"/>
  <c r="D414" i="53"/>
  <c r="O22" i="55" s="1"/>
  <c r="BZ22"/>
  <c r="T413" i="50"/>
  <c r="AN384" i="1"/>
  <c r="F403" i="48"/>
  <c r="Y403" s="1"/>
  <c r="V403"/>
  <c r="BK395" i="38"/>
  <c r="AS395"/>
  <c r="AU395" s="1"/>
  <c r="AV395" s="1"/>
  <c r="BA395" s="1"/>
  <c r="BB395" s="1"/>
  <c r="BH395" s="1"/>
  <c r="BJ395" s="1"/>
  <c r="P395" s="1"/>
  <c r="O395" s="1"/>
  <c r="W414" i="1"/>
  <c r="R414"/>
  <c r="P415"/>
  <c r="P413" i="50"/>
  <c r="P414" s="1"/>
  <c r="P415" s="1"/>
  <c r="P416" s="1"/>
  <c r="P417" s="1"/>
  <c r="P418" s="1"/>
  <c r="P419" s="1"/>
  <c r="P420" s="1"/>
  <c r="P421" s="1"/>
  <c r="P422" s="1"/>
  <c r="P423" s="1"/>
  <c r="P424" s="1"/>
  <c r="P425" s="1"/>
  <c r="P426" s="1"/>
  <c r="P427" s="1"/>
  <c r="P428" s="1"/>
  <c r="P429" s="1"/>
  <c r="P430" s="1"/>
  <c r="P431" s="1"/>
  <c r="P432" s="1"/>
  <c r="P433" s="1"/>
  <c r="P434" s="1"/>
  <c r="P435" s="1"/>
  <c r="P436" s="1"/>
  <c r="P437" s="1"/>
  <c r="P438" s="1"/>
  <c r="P439" s="1"/>
  <c r="P440" s="1"/>
  <c r="P441" s="1"/>
  <c r="P442" s="1"/>
  <c r="P443" s="1"/>
  <c r="P444" s="1"/>
  <c r="P445" s="1"/>
  <c r="P446" s="1"/>
  <c r="P447" s="1"/>
  <c r="P448" s="1"/>
  <c r="P449" s="1"/>
  <c r="P450" s="1"/>
  <c r="P451" s="1"/>
  <c r="P452" s="1"/>
  <c r="P453" s="1"/>
  <c r="P454" s="1"/>
  <c r="P455" s="1"/>
  <c r="P456" s="1"/>
  <c r="P457" s="1"/>
  <c r="P458" s="1"/>
  <c r="P459" s="1"/>
  <c r="P460" s="1"/>
  <c r="D404" i="48"/>
  <c r="W404" s="1"/>
  <c r="B405"/>
  <c r="C404"/>
  <c r="E404"/>
  <c r="X404" s="1"/>
  <c r="F418" i="52"/>
  <c r="E416" i="1"/>
  <c r="A423" i="53"/>
  <c r="B424" s="1"/>
  <c r="C416" i="1"/>
  <c r="D416" s="1"/>
  <c r="K416"/>
  <c r="N416" s="1"/>
  <c r="A400" i="26"/>
  <c r="B400" s="1"/>
  <c r="L416" i="1"/>
  <c r="M415" s="1"/>
  <c r="B417"/>
  <c r="A416"/>
  <c r="B399" i="38"/>
  <c r="BK396"/>
  <c r="AS396"/>
  <c r="AU396" s="1"/>
  <c r="AV396" s="1"/>
  <c r="BA396" s="1"/>
  <c r="BB396" s="1"/>
  <c r="BH396" s="1"/>
  <c r="BJ396" s="1"/>
  <c r="P396" s="1"/>
  <c r="O396" s="1"/>
  <c r="AO397"/>
  <c r="AP397" s="1"/>
  <c r="AQ397" s="1"/>
  <c r="AN397"/>
  <c r="E398"/>
  <c r="D398"/>
  <c r="Z398"/>
  <c r="AA398" s="1"/>
  <c r="F398"/>
  <c r="AM398" s="1"/>
  <c r="AI415" i="1"/>
  <c r="AM415"/>
  <c r="AL415"/>
  <c r="AC415"/>
  <c r="AK415"/>
  <c r="BC415"/>
  <c r="AH415"/>
  <c r="AJ415"/>
  <c r="E417" i="52"/>
  <c r="V411" i="1" l="1"/>
  <c r="X411"/>
  <c r="S414"/>
  <c r="AB410"/>
  <c r="AE410" s="1"/>
  <c r="Z410"/>
  <c r="AA410"/>
  <c r="E417" i="53" s="1"/>
  <c r="AF408" i="1"/>
  <c r="AD409"/>
  <c r="D415" i="53"/>
  <c r="O23" i="55" s="1"/>
  <c r="BZ23"/>
  <c r="I415" i="53"/>
  <c r="CU23" i="55" s="1"/>
  <c r="BE24"/>
  <c r="G416" i="53"/>
  <c r="BD412" i="1"/>
  <c r="BE412" s="1"/>
  <c r="T412" s="1"/>
  <c r="U412" s="1"/>
  <c r="BA413"/>
  <c r="AR397" i="38"/>
  <c r="V404" i="48"/>
  <c r="F404"/>
  <c r="Y404" s="1"/>
  <c r="D399" i="38"/>
  <c r="E399"/>
  <c r="Z399"/>
  <c r="AA399" s="1"/>
  <c r="F399"/>
  <c r="AM399" s="1"/>
  <c r="E418" i="52"/>
  <c r="E405" i="48"/>
  <c r="X405" s="1"/>
  <c r="D405"/>
  <c r="W405" s="1"/>
  <c r="B406"/>
  <c r="C405"/>
  <c r="AO398" i="38"/>
  <c r="AP398" s="1"/>
  <c r="AQ398" s="1"/>
  <c r="AN398"/>
  <c r="AH416" i="1"/>
  <c r="AM416"/>
  <c r="AC416"/>
  <c r="BC416"/>
  <c r="AK416"/>
  <c r="AI416"/>
  <c r="AL416"/>
  <c r="AJ416"/>
  <c r="P416"/>
  <c r="W415"/>
  <c r="R415"/>
  <c r="F419" i="52"/>
  <c r="E417" i="1"/>
  <c r="A424" i="53"/>
  <c r="B425" s="1"/>
  <c r="A401" i="26"/>
  <c r="B401" s="1"/>
  <c r="L417" i="1"/>
  <c r="M416" s="1"/>
  <c r="K417"/>
  <c r="N417" s="1"/>
  <c r="B400" i="38"/>
  <c r="B418" i="1"/>
  <c r="A417"/>
  <c r="C417"/>
  <c r="D417" s="1"/>
  <c r="AR398" i="38" l="1"/>
  <c r="AS398" s="1"/>
  <c r="AU398" s="1"/>
  <c r="AV398" s="1"/>
  <c r="BA398" s="1"/>
  <c r="BB398" s="1"/>
  <c r="BH398" s="1"/>
  <c r="BJ398" s="1"/>
  <c r="P398" s="1"/>
  <c r="O398" s="1"/>
  <c r="I416" i="53"/>
  <c r="CU24" i="55" s="1"/>
  <c r="BZ24"/>
  <c r="D416" i="53"/>
  <c r="O24" i="55" s="1"/>
  <c r="BE25"/>
  <c r="G417" i="53"/>
  <c r="S415" i="1"/>
  <c r="BD413"/>
  <c r="BE413" s="1"/>
  <c r="T413" s="1"/>
  <c r="U413" s="1"/>
  <c r="BA414"/>
  <c r="AF409"/>
  <c r="AD410"/>
  <c r="AB411"/>
  <c r="AE411" s="1"/>
  <c r="Z411"/>
  <c r="AA411"/>
  <c r="E418" i="53" s="1"/>
  <c r="V412" i="1"/>
  <c r="X412"/>
  <c r="P417"/>
  <c r="E419" i="52"/>
  <c r="AC417" i="1"/>
  <c r="BC417"/>
  <c r="AJ417"/>
  <c r="AM417"/>
  <c r="AK417"/>
  <c r="AL417"/>
  <c r="AH417"/>
  <c r="AI417"/>
  <c r="V405" i="48"/>
  <c r="F405"/>
  <c r="Y405" s="1"/>
  <c r="W416" i="1"/>
  <c r="R416"/>
  <c r="S416" s="1"/>
  <c r="D406" i="48"/>
  <c r="W406" s="1"/>
  <c r="C406"/>
  <c r="E406"/>
  <c r="X406" s="1"/>
  <c r="B407"/>
  <c r="BK397" i="38"/>
  <c r="AS397"/>
  <c r="AU397" s="1"/>
  <c r="AV397" s="1"/>
  <c r="BA397" s="1"/>
  <c r="BB397" s="1"/>
  <c r="BH397" s="1"/>
  <c r="BJ397" s="1"/>
  <c r="P397" s="1"/>
  <c r="O397" s="1"/>
  <c r="A402" i="26"/>
  <c r="B402" s="1"/>
  <c r="F420" i="52"/>
  <c r="A425" i="53"/>
  <c r="B426" s="1"/>
  <c r="E418" i="1"/>
  <c r="C418"/>
  <c r="D418" s="1"/>
  <c r="L418"/>
  <c r="M417" s="1"/>
  <c r="K418"/>
  <c r="N418" s="1"/>
  <c r="B419"/>
  <c r="A418"/>
  <c r="B401" i="38"/>
  <c r="E400"/>
  <c r="D400"/>
  <c r="F400"/>
  <c r="AM400" s="1"/>
  <c r="Z400"/>
  <c r="AA400" s="1"/>
  <c r="AO399"/>
  <c r="AP399" s="1"/>
  <c r="AQ399" s="1"/>
  <c r="AN399"/>
  <c r="BK398" l="1"/>
  <c r="AF410" i="1"/>
  <c r="AD411"/>
  <c r="G418" i="53"/>
  <c r="BE26" i="55"/>
  <c r="AB412" i="1"/>
  <c r="AE412" s="1"/>
  <c r="AA412"/>
  <c r="E419" i="53" s="1"/>
  <c r="Z412" i="1"/>
  <c r="BD414"/>
  <c r="BE414" s="1"/>
  <c r="T414" s="1"/>
  <c r="U414" s="1"/>
  <c r="BA415"/>
  <c r="V413"/>
  <c r="X413"/>
  <c r="I417" i="53"/>
  <c r="CU25" i="55" s="1"/>
  <c r="BZ25"/>
  <c r="D417" i="53"/>
  <c r="O25" i="55" s="1"/>
  <c r="E401" i="38"/>
  <c r="Z401"/>
  <c r="AA401" s="1"/>
  <c r="D401"/>
  <c r="F401"/>
  <c r="AM401" s="1"/>
  <c r="F406" i="48"/>
  <c r="Y406" s="1"/>
  <c r="V406"/>
  <c r="AN400" i="38"/>
  <c r="AO400"/>
  <c r="AP400" s="1"/>
  <c r="AQ400" s="1"/>
  <c r="AJ418" i="1"/>
  <c r="BC418"/>
  <c r="AL418"/>
  <c r="AK418"/>
  <c r="AM418"/>
  <c r="AC418"/>
  <c r="AH418"/>
  <c r="AI418"/>
  <c r="W417"/>
  <c r="R417"/>
  <c r="C419"/>
  <c r="D419" s="1"/>
  <c r="E419"/>
  <c r="A426" i="53"/>
  <c r="B427" s="1"/>
  <c r="L419" i="1"/>
  <c r="M418" s="1"/>
  <c r="F421" i="52"/>
  <c r="A403" i="26"/>
  <c r="B403" s="1"/>
  <c r="A419" i="1"/>
  <c r="B402" i="38"/>
  <c r="K419" i="1"/>
  <c r="N419" s="1"/>
  <c r="B420"/>
  <c r="E420" i="52"/>
  <c r="E407" i="48"/>
  <c r="X407" s="1"/>
  <c r="D407"/>
  <c r="W407" s="1"/>
  <c r="C407"/>
  <c r="B408"/>
  <c r="AR399" i="38"/>
  <c r="P418" i="1"/>
  <c r="AR400" i="38" l="1"/>
  <c r="AS400" s="1"/>
  <c r="AU400" s="1"/>
  <c r="AV400" s="1"/>
  <c r="BA400" s="1"/>
  <c r="BB400" s="1"/>
  <c r="BH400" s="1"/>
  <c r="BJ400" s="1"/>
  <c r="P400" s="1"/>
  <c r="O400" s="1"/>
  <c r="G419" i="53"/>
  <c r="BE27" i="55"/>
  <c r="BD415" i="1"/>
  <c r="BE415" s="1"/>
  <c r="T415" s="1"/>
  <c r="U415" s="1"/>
  <c r="BA416"/>
  <c r="V414"/>
  <c r="X414"/>
  <c r="AF411"/>
  <c r="AD412"/>
  <c r="S417"/>
  <c r="AB413"/>
  <c r="AE413" s="1"/>
  <c r="Z413"/>
  <c r="AA413"/>
  <c r="E420" i="53" s="1"/>
  <c r="D418"/>
  <c r="O26" i="55" s="1"/>
  <c r="BZ26"/>
  <c r="I418" i="53"/>
  <c r="CU26" i="55" s="1"/>
  <c r="P419" i="1"/>
  <c r="C408" i="48"/>
  <c r="D408"/>
  <c r="W408" s="1"/>
  <c r="E408"/>
  <c r="X408" s="1"/>
  <c r="B409"/>
  <c r="E402" i="38"/>
  <c r="Z402"/>
  <c r="AA402" s="1"/>
  <c r="D402"/>
  <c r="F402"/>
  <c r="AM402" s="1"/>
  <c r="W418" i="1"/>
  <c r="R418"/>
  <c r="S418" s="1"/>
  <c r="F407" i="48"/>
  <c r="Y407" s="1"/>
  <c r="V407"/>
  <c r="AK419" i="1"/>
  <c r="AJ419"/>
  <c r="AL419"/>
  <c r="AI419"/>
  <c r="AM419"/>
  <c r="BC419"/>
  <c r="AH419"/>
  <c r="AC419"/>
  <c r="BK399" i="38"/>
  <c r="AS399"/>
  <c r="AU399" s="1"/>
  <c r="AV399" s="1"/>
  <c r="BA399" s="1"/>
  <c r="BB399" s="1"/>
  <c r="BH399" s="1"/>
  <c r="BJ399" s="1"/>
  <c r="P399" s="1"/>
  <c r="O399" s="1"/>
  <c r="A404" i="26"/>
  <c r="B404" s="1"/>
  <c r="F422" i="52"/>
  <c r="C420" i="1"/>
  <c r="D420" s="1"/>
  <c r="A427" i="53"/>
  <c r="B428" s="1"/>
  <c r="K420" i="1"/>
  <c r="N420" s="1"/>
  <c r="A420"/>
  <c r="B403" i="38"/>
  <c r="E420" i="1"/>
  <c r="B421"/>
  <c r="L420"/>
  <c r="M419" s="1"/>
  <c r="E421" i="52"/>
  <c r="AO401" i="38"/>
  <c r="AP401" s="1"/>
  <c r="AQ401" s="1"/>
  <c r="AN401"/>
  <c r="BK400" l="1"/>
  <c r="AR401"/>
  <c r="AS401" s="1"/>
  <c r="AU401" s="1"/>
  <c r="AV401" s="1"/>
  <c r="BA401" s="1"/>
  <c r="BB401" s="1"/>
  <c r="BH401" s="1"/>
  <c r="BJ401" s="1"/>
  <c r="P401" s="1"/>
  <c r="O401" s="1"/>
  <c r="AB414" i="1"/>
  <c r="AE414" s="1"/>
  <c r="Z414"/>
  <c r="AA414"/>
  <c r="E421" i="53" s="1"/>
  <c r="BE28" i="55"/>
  <c r="G420" i="53"/>
  <c r="AF412" i="1"/>
  <c r="AD413"/>
  <c r="BD416"/>
  <c r="BE416" s="1"/>
  <c r="T416" s="1"/>
  <c r="U416" s="1"/>
  <c r="BA417"/>
  <c r="I419" i="53"/>
  <c r="CU27" i="55" s="1"/>
  <c r="D419" i="53"/>
  <c r="O27" i="55" s="1"/>
  <c r="BZ27"/>
  <c r="V415" i="1"/>
  <c r="X415"/>
  <c r="A405" i="26"/>
  <c r="B405" s="1"/>
  <c r="F423" i="52"/>
  <c r="E421" i="1"/>
  <c r="C421"/>
  <c r="D421" s="1"/>
  <c r="A421"/>
  <c r="A428" i="53"/>
  <c r="B429" s="1"/>
  <c r="B422" i="1"/>
  <c r="L421"/>
  <c r="M420" s="1"/>
  <c r="K421"/>
  <c r="N421" s="1"/>
  <c r="B404" i="38"/>
  <c r="P420" i="1"/>
  <c r="AN402" i="38"/>
  <c r="AO402"/>
  <c r="AP402" s="1"/>
  <c r="AQ402" s="1"/>
  <c r="E422" i="52"/>
  <c r="F408" i="48"/>
  <c r="Y408" s="1"/>
  <c r="V408"/>
  <c r="E403" i="38"/>
  <c r="Z403"/>
  <c r="AA403" s="1"/>
  <c r="D403"/>
  <c r="F403"/>
  <c r="AM403" s="1"/>
  <c r="D409" i="48"/>
  <c r="W409" s="1"/>
  <c r="E409"/>
  <c r="X409" s="1"/>
  <c r="C409"/>
  <c r="B410"/>
  <c r="W419" i="1"/>
  <c r="R419"/>
  <c r="AK420"/>
  <c r="AM420"/>
  <c r="AL420"/>
  <c r="AJ420"/>
  <c r="AH420"/>
  <c r="AI420"/>
  <c r="BC420"/>
  <c r="AC420"/>
  <c r="BK401" i="38" l="1"/>
  <c r="AB415" i="1"/>
  <c r="AE415" s="1"/>
  <c r="Z415"/>
  <c r="AA415"/>
  <c r="E422" i="53" s="1"/>
  <c r="AF413" i="1"/>
  <c r="AD414"/>
  <c r="G421" i="53"/>
  <c r="BE29" i="55"/>
  <c r="S419" i="1"/>
  <c r="BD417"/>
  <c r="BE417" s="1"/>
  <c r="T417" s="1"/>
  <c r="U417" s="1"/>
  <c r="BA418"/>
  <c r="V416"/>
  <c r="X416"/>
  <c r="D420" i="53"/>
  <c r="O28" i="55" s="1"/>
  <c r="I420" i="53"/>
  <c r="CU28" i="55" s="1"/>
  <c r="BZ28"/>
  <c r="E410" i="48"/>
  <c r="X410" s="1"/>
  <c r="B411"/>
  <c r="C410"/>
  <c r="D410"/>
  <c r="W410" s="1"/>
  <c r="L422" i="1"/>
  <c r="M421" s="1"/>
  <c r="C422"/>
  <c r="D422" s="1"/>
  <c r="A406" i="26"/>
  <c r="B406" s="1"/>
  <c r="F424" i="52"/>
  <c r="E422" i="1"/>
  <c r="B423"/>
  <c r="B405" i="38"/>
  <c r="A422" i="1"/>
  <c r="A429" i="53"/>
  <c r="B430" s="1"/>
  <c r="K422" i="1"/>
  <c r="N422" s="1"/>
  <c r="E423" i="52"/>
  <c r="F409" i="48"/>
  <c r="Y409" s="1"/>
  <c r="V409"/>
  <c r="W420" i="1"/>
  <c r="R420"/>
  <c r="E404" i="38"/>
  <c r="D404"/>
  <c r="Z404"/>
  <c r="AA404" s="1"/>
  <c r="F404"/>
  <c r="AM404" s="1"/>
  <c r="AR402"/>
  <c r="P421" i="1"/>
  <c r="AM421"/>
  <c r="AJ421"/>
  <c r="BC421"/>
  <c r="AK421"/>
  <c r="AH421"/>
  <c r="AI421"/>
  <c r="Z421"/>
  <c r="AC421"/>
  <c r="AN403" i="38"/>
  <c r="AR403" s="1"/>
  <c r="AO403"/>
  <c r="AP403" s="1"/>
  <c r="AQ403" s="1"/>
  <c r="V417" i="1" l="1"/>
  <c r="X417"/>
  <c r="S420"/>
  <c r="AB416"/>
  <c r="AE416" s="1"/>
  <c r="Z416"/>
  <c r="AA416"/>
  <c r="E423" i="53" s="1"/>
  <c r="BE30" i="55"/>
  <c r="G422" i="53"/>
  <c r="I421"/>
  <c r="CU29" i="55" s="1"/>
  <c r="D421" i="53"/>
  <c r="O29" i="55" s="1"/>
  <c r="BZ29"/>
  <c r="BD418" i="1"/>
  <c r="BE418" s="1"/>
  <c r="T418" s="1"/>
  <c r="U418" s="1"/>
  <c r="BA419"/>
  <c r="AF414"/>
  <c r="AD415"/>
  <c r="BK403" i="38"/>
  <c r="AS403"/>
  <c r="AU403" s="1"/>
  <c r="AV403" s="1"/>
  <c r="BA403" s="1"/>
  <c r="BB403" s="1"/>
  <c r="BH403" s="1"/>
  <c r="BJ403" s="1"/>
  <c r="P403" s="1"/>
  <c r="O403" s="1"/>
  <c r="P422" i="1"/>
  <c r="E423"/>
  <c r="A407" i="26"/>
  <c r="B407" s="1"/>
  <c r="F425" i="52"/>
  <c r="C423" i="1"/>
  <c r="D423" s="1"/>
  <c r="K423"/>
  <c r="N423" s="1"/>
  <c r="B406" i="38"/>
  <c r="L423" i="1"/>
  <c r="M422" s="1"/>
  <c r="B424"/>
  <c r="A430" i="53"/>
  <c r="B431" s="1"/>
  <c r="A423" i="1"/>
  <c r="C411" i="48"/>
  <c r="D411"/>
  <c r="W411" s="1"/>
  <c r="E411"/>
  <c r="X411" s="1"/>
  <c r="B412"/>
  <c r="W421" i="1"/>
  <c r="R421"/>
  <c r="S421" s="1"/>
  <c r="BK402" i="38"/>
  <c r="AS402"/>
  <c r="AU402" s="1"/>
  <c r="AV402" s="1"/>
  <c r="BA402" s="1"/>
  <c r="BB402" s="1"/>
  <c r="BH402" s="1"/>
  <c r="BJ402" s="1"/>
  <c r="P402" s="1"/>
  <c r="O402" s="1"/>
  <c r="E424" i="52"/>
  <c r="AH422" i="1"/>
  <c r="AI422"/>
  <c r="Z422"/>
  <c r="AJ422"/>
  <c r="AK422"/>
  <c r="BC422"/>
  <c r="AM422"/>
  <c r="AC422"/>
  <c r="AN404" i="38"/>
  <c r="AO404"/>
  <c r="AP404" s="1"/>
  <c r="AQ404" s="1"/>
  <c r="D405"/>
  <c r="E405"/>
  <c r="F405"/>
  <c r="AM405" s="1"/>
  <c r="Z405"/>
  <c r="AA405" s="1"/>
  <c r="F410" i="48"/>
  <c r="Y410" s="1"/>
  <c r="V410"/>
  <c r="AR404" i="38" l="1"/>
  <c r="BD419" i="1"/>
  <c r="BE419" s="1"/>
  <c r="T419" s="1"/>
  <c r="U419" s="1"/>
  <c r="BA420"/>
  <c r="V418"/>
  <c r="X418"/>
  <c r="BE31" i="55"/>
  <c r="G423" i="53"/>
  <c r="AF415" i="1"/>
  <c r="AD416"/>
  <c r="AB417"/>
  <c r="AE417" s="1"/>
  <c r="AA417"/>
  <c r="E424" i="53" s="1"/>
  <c r="Z417" i="1"/>
  <c r="D422" i="53"/>
  <c r="O30" i="55" s="1"/>
  <c r="I422" i="53"/>
  <c r="CU30" i="55" s="1"/>
  <c r="BZ30"/>
  <c r="AN405" i="38"/>
  <c r="AO405"/>
  <c r="AP405" s="1"/>
  <c r="AQ405" s="1"/>
  <c r="AK423" i="1"/>
  <c r="AM423"/>
  <c r="AJ423"/>
  <c r="AC423"/>
  <c r="AI423"/>
  <c r="AH423"/>
  <c r="BC423"/>
  <c r="Z423"/>
  <c r="D406" i="38"/>
  <c r="Z406"/>
  <c r="AA406" s="1"/>
  <c r="E406"/>
  <c r="F406"/>
  <c r="AM406" s="1"/>
  <c r="P423" i="1"/>
  <c r="E425" i="52"/>
  <c r="W422" i="1"/>
  <c r="R422"/>
  <c r="BK404" i="38"/>
  <c r="AS404"/>
  <c r="AU404" s="1"/>
  <c r="AV404" s="1"/>
  <c r="BA404" s="1"/>
  <c r="BB404" s="1"/>
  <c r="BH404" s="1"/>
  <c r="BJ404" s="1"/>
  <c r="P404" s="1"/>
  <c r="O404" s="1"/>
  <c r="F411" i="48"/>
  <c r="Y411" s="1"/>
  <c r="V411"/>
  <c r="F426" i="52"/>
  <c r="L424" i="1"/>
  <c r="M423" s="1"/>
  <c r="E424"/>
  <c r="C424"/>
  <c r="D424" s="1"/>
  <c r="K424"/>
  <c r="N424" s="1"/>
  <c r="A431" i="53"/>
  <c r="B432" s="1"/>
  <c r="B425" i="1"/>
  <c r="A424"/>
  <c r="B407" i="38"/>
  <c r="A408" i="26"/>
  <c r="B408" s="1"/>
  <c r="B413" i="48"/>
  <c r="C412"/>
  <c r="E412"/>
  <c r="X412" s="1"/>
  <c r="D412"/>
  <c r="W412" s="1"/>
  <c r="G424" i="53" l="1"/>
  <c r="BE32" i="55"/>
  <c r="AB418" i="1"/>
  <c r="AE418" s="1"/>
  <c r="AA418"/>
  <c r="E425" i="53" s="1"/>
  <c r="Z418" i="1"/>
  <c r="I423" i="53"/>
  <c r="CU31" i="55" s="1"/>
  <c r="D423" i="53"/>
  <c r="O31" i="55" s="1"/>
  <c r="BZ31"/>
  <c r="S422" i="1"/>
  <c r="AF416"/>
  <c r="AD417"/>
  <c r="BD420"/>
  <c r="BE420" s="1"/>
  <c r="T420" s="1"/>
  <c r="U420" s="1"/>
  <c r="BA421"/>
  <c r="V419"/>
  <c r="X419"/>
  <c r="C425"/>
  <c r="D425" s="1"/>
  <c r="L425"/>
  <c r="M424" s="1"/>
  <c r="F427" i="52"/>
  <c r="A409" i="26"/>
  <c r="B409" s="1"/>
  <c r="E425" i="1"/>
  <c r="K425"/>
  <c r="N425" s="1"/>
  <c r="B408" i="38"/>
  <c r="A425" i="1"/>
  <c r="B426"/>
  <c r="A432" i="53"/>
  <c r="B433" s="1"/>
  <c r="E426" i="52"/>
  <c r="AO406" i="38"/>
  <c r="AP406" s="1"/>
  <c r="AQ406" s="1"/>
  <c r="AN406"/>
  <c r="V412" i="48"/>
  <c r="F412"/>
  <c r="Y412" s="1"/>
  <c r="D413"/>
  <c r="W413" s="1"/>
  <c r="C413"/>
  <c r="E413"/>
  <c r="X413" s="1"/>
  <c r="B414"/>
  <c r="D407" i="38"/>
  <c r="E407"/>
  <c r="F407"/>
  <c r="AM407" s="1"/>
  <c r="Z407"/>
  <c r="AA407" s="1"/>
  <c r="P424" i="1"/>
  <c r="AR405" i="38"/>
  <c r="AI424" i="1"/>
  <c r="AH424"/>
  <c r="AJ424"/>
  <c r="AC424"/>
  <c r="AK424"/>
  <c r="AM424"/>
  <c r="BC424"/>
  <c r="Z424"/>
  <c r="W423"/>
  <c r="R423"/>
  <c r="S423" s="1"/>
  <c r="V420" l="1"/>
  <c r="X420"/>
  <c r="AB419"/>
  <c r="AE419" s="1"/>
  <c r="AA419"/>
  <c r="E426" i="53" s="1"/>
  <c r="Z419" i="1"/>
  <c r="AF417"/>
  <c r="AD418"/>
  <c r="I424" i="53"/>
  <c r="CU32" i="55" s="1"/>
  <c r="D424" i="53"/>
  <c r="O32" i="55" s="1"/>
  <c r="BZ32"/>
  <c r="BE33"/>
  <c r="BE35" s="1"/>
  <c r="G425" i="53"/>
  <c r="BD421" i="1"/>
  <c r="BE421" s="1"/>
  <c r="T421" s="1"/>
  <c r="U421" s="1"/>
  <c r="BA422"/>
  <c r="BK405" i="38"/>
  <c r="AS405"/>
  <c r="AU405" s="1"/>
  <c r="AV405" s="1"/>
  <c r="BA405" s="1"/>
  <c r="BB405" s="1"/>
  <c r="BH405" s="1"/>
  <c r="BJ405" s="1"/>
  <c r="P405" s="1"/>
  <c r="O405" s="1"/>
  <c r="AH425" i="1"/>
  <c r="BC425"/>
  <c r="AK425"/>
  <c r="AI425"/>
  <c r="AJ425"/>
  <c r="AC425"/>
  <c r="AM425"/>
  <c r="Z425"/>
  <c r="V413" i="48"/>
  <c r="F413"/>
  <c r="Y413" s="1"/>
  <c r="E408" i="38"/>
  <c r="Z408"/>
  <c r="AA408" s="1"/>
  <c r="D408"/>
  <c r="F408"/>
  <c r="AM408" s="1"/>
  <c r="R424" i="1"/>
  <c r="W424"/>
  <c r="AR406" i="38"/>
  <c r="P425" i="1"/>
  <c r="AN407" i="38"/>
  <c r="AR407" s="1"/>
  <c r="AO407"/>
  <c r="AP407" s="1"/>
  <c r="AQ407" s="1"/>
  <c r="B415" i="48"/>
  <c r="D414"/>
  <c r="W414" s="1"/>
  <c r="C414"/>
  <c r="E414"/>
  <c r="X414" s="1"/>
  <c r="A410" i="26"/>
  <c r="B410" s="1"/>
  <c r="F428" i="52"/>
  <c r="C426" i="1"/>
  <c r="D426" s="1"/>
  <c r="E426"/>
  <c r="A433" i="53"/>
  <c r="B434" s="1"/>
  <c r="A426" i="1"/>
  <c r="K426"/>
  <c r="N426" s="1"/>
  <c r="B409" i="38"/>
  <c r="B427" i="1"/>
  <c r="L426"/>
  <c r="M425" s="1"/>
  <c r="E427" i="52"/>
  <c r="S424" i="1" l="1"/>
  <c r="V421"/>
  <c r="X421"/>
  <c r="AF418"/>
  <c r="AD419"/>
  <c r="I425" i="53"/>
  <c r="CU33" i="55" s="1"/>
  <c r="D425" i="53"/>
  <c r="O33" i="55" s="1"/>
  <c r="O35" s="1"/>
  <c r="BZ33"/>
  <c r="BZ35" s="1"/>
  <c r="AB420" i="1"/>
  <c r="AE420" s="1"/>
  <c r="Z420"/>
  <c r="AA420"/>
  <c r="E427" i="53" s="1"/>
  <c r="BD422" i="1"/>
  <c r="BE422" s="1"/>
  <c r="T422" s="1"/>
  <c r="U422" s="1"/>
  <c r="BA423"/>
  <c r="G426" i="53"/>
  <c r="BF3" i="55"/>
  <c r="V414" i="48"/>
  <c r="F414"/>
  <c r="Y414" s="1"/>
  <c r="W425" i="1"/>
  <c r="R425"/>
  <c r="S425" s="1"/>
  <c r="BK406" i="38"/>
  <c r="AS406"/>
  <c r="AU406" s="1"/>
  <c r="AV406" s="1"/>
  <c r="BA406" s="1"/>
  <c r="BB406" s="1"/>
  <c r="BH406" s="1"/>
  <c r="BJ406" s="1"/>
  <c r="P406" s="1"/>
  <c r="O406" s="1"/>
  <c r="P426" i="1"/>
  <c r="Z426"/>
  <c r="AJ426"/>
  <c r="AC426"/>
  <c r="AK426"/>
  <c r="AI426"/>
  <c r="BC426"/>
  <c r="AH426"/>
  <c r="AM426"/>
  <c r="E415" i="48"/>
  <c r="X415" s="1"/>
  <c r="D415"/>
  <c r="W415" s="1"/>
  <c r="C415"/>
  <c r="B416"/>
  <c r="E409" i="38"/>
  <c r="D409"/>
  <c r="Z409"/>
  <c r="AA409" s="1"/>
  <c r="F409"/>
  <c r="AM409" s="1"/>
  <c r="E428" i="52"/>
  <c r="A411" i="26"/>
  <c r="B411" s="1"/>
  <c r="L427" i="1"/>
  <c r="M426" s="1"/>
  <c r="F429" i="52"/>
  <c r="E427" i="1"/>
  <c r="A434" i="53"/>
  <c r="B435" s="1"/>
  <c r="B410" i="38"/>
  <c r="K427" i="1"/>
  <c r="N427" s="1"/>
  <c r="B428"/>
  <c r="A427"/>
  <c r="C427"/>
  <c r="D427" s="1"/>
  <c r="BK407" i="38"/>
  <c r="AS407"/>
  <c r="AU407" s="1"/>
  <c r="AV407" s="1"/>
  <c r="BA407" s="1"/>
  <c r="BB407" s="1"/>
  <c r="BH407" s="1"/>
  <c r="BJ407" s="1"/>
  <c r="P407" s="1"/>
  <c r="O407" s="1"/>
  <c r="AN408"/>
  <c r="AR408" s="1"/>
  <c r="AO408"/>
  <c r="AP408" s="1"/>
  <c r="AQ408" s="1"/>
  <c r="CA3" i="55" l="1"/>
  <c r="I426" i="53"/>
  <c r="CV3" i="55" s="1"/>
  <c r="D426" i="53"/>
  <c r="P3" i="55" s="1"/>
  <c r="AB421" i="1"/>
  <c r="AE421" s="1"/>
  <c r="AL421" s="1"/>
  <c r="AA421"/>
  <c r="E428" i="53" s="1"/>
  <c r="BD423" i="1"/>
  <c r="BE423" s="1"/>
  <c r="T423" s="1"/>
  <c r="U423" s="1"/>
  <c r="BA424"/>
  <c r="V422"/>
  <c r="X422"/>
  <c r="AF419"/>
  <c r="AD420"/>
  <c r="BF4" i="55"/>
  <c r="G427" i="53"/>
  <c r="P427" i="1"/>
  <c r="E410" i="38"/>
  <c r="Z410"/>
  <c r="AA410" s="1"/>
  <c r="D410"/>
  <c r="F410"/>
  <c r="AM410" s="1"/>
  <c r="D416" i="48"/>
  <c r="W416" s="1"/>
  <c r="B417"/>
  <c r="E416"/>
  <c r="X416" s="1"/>
  <c r="C416"/>
  <c r="AC427" i="1"/>
  <c r="AK427"/>
  <c r="AM427"/>
  <c r="AH427"/>
  <c r="Z427"/>
  <c r="AJ427"/>
  <c r="BC427"/>
  <c r="AI427"/>
  <c r="AO409" i="38"/>
  <c r="AP409" s="1"/>
  <c r="AQ409" s="1"/>
  <c r="AN409"/>
  <c r="V415" i="48"/>
  <c r="F415"/>
  <c r="Y415" s="1"/>
  <c r="W426" i="1"/>
  <c r="R426"/>
  <c r="BK408" i="38"/>
  <c r="AS408"/>
  <c r="AU408" s="1"/>
  <c r="AV408" s="1"/>
  <c r="BA408" s="1"/>
  <c r="BB408" s="1"/>
  <c r="BH408" s="1"/>
  <c r="BJ408" s="1"/>
  <c r="P408" s="1"/>
  <c r="O408" s="1"/>
  <c r="A412" i="26"/>
  <c r="B412" s="1"/>
  <c r="A435" i="53"/>
  <c r="B436" s="1"/>
  <c r="F430" i="52"/>
  <c r="A428" i="1"/>
  <c r="L428"/>
  <c r="M427" s="1"/>
  <c r="E428"/>
  <c r="C428"/>
  <c r="D428" s="1"/>
  <c r="B411" i="38"/>
  <c r="B429" i="1"/>
  <c r="K428"/>
  <c r="N428" s="1"/>
  <c r="E429" i="52"/>
  <c r="S426" i="1" l="1"/>
  <c r="AF420"/>
  <c r="AD421"/>
  <c r="BD424"/>
  <c r="BE424" s="1"/>
  <c r="T424" s="1"/>
  <c r="U424" s="1"/>
  <c r="BA425"/>
  <c r="I427" i="53"/>
  <c r="CV4" i="55" s="1"/>
  <c r="D427" i="53"/>
  <c r="P4" i="55" s="1"/>
  <c r="CA4"/>
  <c r="V423" i="1"/>
  <c r="X423"/>
  <c r="AB422"/>
  <c r="AE422" s="1"/>
  <c r="AL422" s="1"/>
  <c r="AA422"/>
  <c r="E429" i="53" s="1"/>
  <c r="G428"/>
  <c r="BF5" i="55"/>
  <c r="P428" i="1"/>
  <c r="E430" i="52"/>
  <c r="A413" i="26"/>
  <c r="B413" s="1"/>
  <c r="E429" i="1"/>
  <c r="L429"/>
  <c r="M428" s="1"/>
  <c r="A429"/>
  <c r="F431" i="52"/>
  <c r="A436" i="53"/>
  <c r="B437" s="1"/>
  <c r="B430" i="1"/>
  <c r="K429"/>
  <c r="N429" s="1"/>
  <c r="B412" i="38"/>
  <c r="C429" i="1"/>
  <c r="D429" s="1"/>
  <c r="V416" i="48"/>
  <c r="F416"/>
  <c r="Y416" s="1"/>
  <c r="E411" i="38"/>
  <c r="Z411"/>
  <c r="AA411" s="1"/>
  <c r="D411"/>
  <c r="F411"/>
  <c r="AM411" s="1"/>
  <c r="Z428" i="1"/>
  <c r="AI428"/>
  <c r="BC428"/>
  <c r="AM428"/>
  <c r="AH428"/>
  <c r="AJ428"/>
  <c r="AC428"/>
  <c r="AK428"/>
  <c r="AR409" i="38"/>
  <c r="AO410"/>
  <c r="AP410" s="1"/>
  <c r="AQ410" s="1"/>
  <c r="AN410"/>
  <c r="E417" i="48"/>
  <c r="X417" s="1"/>
  <c r="B418"/>
  <c r="C417"/>
  <c r="D417"/>
  <c r="W417" s="1"/>
  <c r="W427" i="1"/>
  <c r="R427"/>
  <c r="AB423" l="1"/>
  <c r="AE423" s="1"/>
  <c r="AL423" s="1"/>
  <c r="AA423"/>
  <c r="E430" i="53" s="1"/>
  <c r="AF421" i="1"/>
  <c r="AD422"/>
  <c r="CA5" i="55"/>
  <c r="D428" i="53"/>
  <c r="P5" i="55" s="1"/>
  <c r="I428" i="53"/>
  <c r="CV5" i="55" s="1"/>
  <c r="S427" i="1"/>
  <c r="G429" i="53"/>
  <c r="BF6" i="55"/>
  <c r="BD425" i="1"/>
  <c r="BE425" s="1"/>
  <c r="T425" s="1"/>
  <c r="U425" s="1"/>
  <c r="BA426"/>
  <c r="V424"/>
  <c r="X424"/>
  <c r="E418" i="48"/>
  <c r="X418" s="1"/>
  <c r="B419"/>
  <c r="C418"/>
  <c r="D418"/>
  <c r="W418" s="1"/>
  <c r="AR410" i="38"/>
  <c r="BK409"/>
  <c r="AS409"/>
  <c r="AU409" s="1"/>
  <c r="AV409" s="1"/>
  <c r="BA409" s="1"/>
  <c r="BB409" s="1"/>
  <c r="BH409" s="1"/>
  <c r="BJ409" s="1"/>
  <c r="P409" s="1"/>
  <c r="O409" s="1"/>
  <c r="E412"/>
  <c r="Z412"/>
  <c r="AA412" s="1"/>
  <c r="D412"/>
  <c r="F412"/>
  <c r="AM412" s="1"/>
  <c r="AO411"/>
  <c r="AP411" s="1"/>
  <c r="AQ411" s="1"/>
  <c r="AN411"/>
  <c r="P429" i="1"/>
  <c r="AJ429"/>
  <c r="AM429"/>
  <c r="BC429"/>
  <c r="AH429"/>
  <c r="AC429"/>
  <c r="AI429"/>
  <c r="AK429"/>
  <c r="Z429"/>
  <c r="W428"/>
  <c r="R428"/>
  <c r="F432" i="52"/>
  <c r="L430" i="1"/>
  <c r="M429" s="1"/>
  <c r="K430"/>
  <c r="N430" s="1"/>
  <c r="C430"/>
  <c r="D430" s="1"/>
  <c r="A430"/>
  <c r="A414" i="26"/>
  <c r="B414" s="1"/>
  <c r="A437" i="53"/>
  <c r="B438" s="1"/>
  <c r="E430" i="1"/>
  <c r="B431"/>
  <c r="B413" i="38"/>
  <c r="V417" i="48"/>
  <c r="F417"/>
  <c r="Y417" s="1"/>
  <c r="E431" i="52"/>
  <c r="AF422" i="1" l="1"/>
  <c r="AD423"/>
  <c r="BD426"/>
  <c r="BE426" s="1"/>
  <c r="T426" s="1"/>
  <c r="U426" s="1"/>
  <c r="BA427"/>
  <c r="D429" i="53"/>
  <c r="P6" i="55" s="1"/>
  <c r="CA6"/>
  <c r="I429" i="53"/>
  <c r="CV6" i="55" s="1"/>
  <c r="V425" i="1"/>
  <c r="X425"/>
  <c r="BF7" i="55"/>
  <c r="G430" i="53"/>
  <c r="S428" i="1"/>
  <c r="AB424"/>
  <c r="AE424" s="1"/>
  <c r="AL424" s="1"/>
  <c r="AA424"/>
  <c r="E431" i="53" s="1"/>
  <c r="E413" i="38"/>
  <c r="D413"/>
  <c r="Z413"/>
  <c r="AA413" s="1"/>
  <c r="F413"/>
  <c r="AM413" s="1"/>
  <c r="AO412"/>
  <c r="AP412" s="1"/>
  <c r="AQ412" s="1"/>
  <c r="AN412"/>
  <c r="BK410"/>
  <c r="AS410"/>
  <c r="AU410" s="1"/>
  <c r="AV410" s="1"/>
  <c r="BA410" s="1"/>
  <c r="BB410" s="1"/>
  <c r="BH410" s="1"/>
  <c r="BJ410" s="1"/>
  <c r="P410" s="1"/>
  <c r="O410" s="1"/>
  <c r="V418" i="48"/>
  <c r="F418"/>
  <c r="Y418" s="1"/>
  <c r="F433" i="52"/>
  <c r="A438" i="53"/>
  <c r="B439" s="1"/>
  <c r="L431" i="1"/>
  <c r="M430" s="1"/>
  <c r="A431"/>
  <c r="C431"/>
  <c r="D431" s="1"/>
  <c r="A415" i="26"/>
  <c r="B415" s="1"/>
  <c r="K431" i="1"/>
  <c r="N431" s="1"/>
  <c r="B432"/>
  <c r="B414" i="38"/>
  <c r="E431" i="1"/>
  <c r="AI430"/>
  <c r="BC430"/>
  <c r="AH430"/>
  <c r="AC430"/>
  <c r="Z430"/>
  <c r="AK430"/>
  <c r="AJ430"/>
  <c r="AM430"/>
  <c r="E419" i="48"/>
  <c r="X419" s="1"/>
  <c r="D419"/>
  <c r="W419" s="1"/>
  <c r="B420"/>
  <c r="C419"/>
  <c r="E432" i="52"/>
  <c r="W429" i="1"/>
  <c r="R429"/>
  <c r="AR411" i="38"/>
  <c r="P430" i="1"/>
  <c r="V426" l="1"/>
  <c r="X426"/>
  <c r="S429"/>
  <c r="AB425"/>
  <c r="AE425" s="1"/>
  <c r="AL425" s="1"/>
  <c r="AA425"/>
  <c r="E432" i="53" s="1"/>
  <c r="AF423" i="1"/>
  <c r="AD424"/>
  <c r="G431" i="53"/>
  <c r="BF8" i="55"/>
  <c r="I430" i="53"/>
  <c r="CV7" i="55" s="1"/>
  <c r="CA7"/>
  <c r="D430" i="53"/>
  <c r="P7" i="55" s="1"/>
  <c r="BD427" i="1"/>
  <c r="BE427" s="1"/>
  <c r="T427" s="1"/>
  <c r="U427" s="1"/>
  <c r="BA428"/>
  <c r="W430"/>
  <c r="R430"/>
  <c r="S430" s="1"/>
  <c r="D420" i="48"/>
  <c r="W420" s="1"/>
  <c r="C420"/>
  <c r="B421"/>
  <c r="E420"/>
  <c r="X420" s="1"/>
  <c r="P431" i="1"/>
  <c r="AR412" i="38"/>
  <c r="BK411"/>
  <c r="AS411"/>
  <c r="AU411" s="1"/>
  <c r="AV411" s="1"/>
  <c r="BA411" s="1"/>
  <c r="BB411" s="1"/>
  <c r="BH411" s="1"/>
  <c r="BJ411" s="1"/>
  <c r="P411" s="1"/>
  <c r="O411" s="1"/>
  <c r="E433" i="52"/>
  <c r="D414" i="38"/>
  <c r="Z414"/>
  <c r="AA414" s="1"/>
  <c r="E414"/>
  <c r="F414"/>
  <c r="AM414" s="1"/>
  <c r="V419" i="48"/>
  <c r="F419"/>
  <c r="Y419" s="1"/>
  <c r="E432" i="1"/>
  <c r="A416" i="26"/>
  <c r="B416" s="1"/>
  <c r="K432" i="1"/>
  <c r="N432" s="1"/>
  <c r="A432"/>
  <c r="L432"/>
  <c r="M431" s="1"/>
  <c r="F434" i="52"/>
  <c r="C432" i="1"/>
  <c r="D432" s="1"/>
  <c r="A439" i="53"/>
  <c r="B440" s="1"/>
  <c r="B433" i="1"/>
  <c r="B415" i="38"/>
  <c r="AM431" i="1"/>
  <c r="AI431"/>
  <c r="AH431"/>
  <c r="AC431"/>
  <c r="AK431"/>
  <c r="BC431"/>
  <c r="Z431"/>
  <c r="AJ431"/>
  <c r="AO413" i="38"/>
  <c r="AP413" s="1"/>
  <c r="AQ413" s="1"/>
  <c r="AN413"/>
  <c r="AR413" l="1"/>
  <c r="BK413" s="1"/>
  <c r="V427" i="1"/>
  <c r="X427"/>
  <c r="AF424"/>
  <c r="AD425"/>
  <c r="CA8" i="55"/>
  <c r="I431" i="53"/>
  <c r="CV8" i="55" s="1"/>
  <c r="D431" i="53"/>
  <c r="P8" i="55" s="1"/>
  <c r="G432" i="53"/>
  <c r="BF9" i="55"/>
  <c r="AB426" i="1"/>
  <c r="AE426" s="1"/>
  <c r="AL426" s="1"/>
  <c r="AA426"/>
  <c r="E433" i="53" s="1"/>
  <c r="BD428" i="1"/>
  <c r="BE428" s="1"/>
  <c r="T428" s="1"/>
  <c r="U428" s="1"/>
  <c r="BA429"/>
  <c r="AK432"/>
  <c r="AC432"/>
  <c r="AM432"/>
  <c r="AH432"/>
  <c r="AI432"/>
  <c r="Z432"/>
  <c r="BC432"/>
  <c r="AJ432"/>
  <c r="W431"/>
  <c r="R431"/>
  <c r="S431" s="1"/>
  <c r="C421" i="48"/>
  <c r="E421"/>
  <c r="X421" s="1"/>
  <c r="B422"/>
  <c r="D421"/>
  <c r="W421" s="1"/>
  <c r="P432" i="1"/>
  <c r="AN414" i="38"/>
  <c r="AO414"/>
  <c r="AP414" s="1"/>
  <c r="AQ414" s="1"/>
  <c r="BK412"/>
  <c r="AS412"/>
  <c r="AU412" s="1"/>
  <c r="AV412" s="1"/>
  <c r="BA412" s="1"/>
  <c r="BB412" s="1"/>
  <c r="BH412" s="1"/>
  <c r="BJ412" s="1"/>
  <c r="P412" s="1"/>
  <c r="O412" s="1"/>
  <c r="V420" i="48"/>
  <c r="F420"/>
  <c r="Y420" s="1"/>
  <c r="D415" i="38"/>
  <c r="E415"/>
  <c r="Z415"/>
  <c r="AA415" s="1"/>
  <c r="F415"/>
  <c r="AM415" s="1"/>
  <c r="E433" i="1"/>
  <c r="A417" i="26"/>
  <c r="B417" s="1"/>
  <c r="K433" i="1"/>
  <c r="N433" s="1"/>
  <c r="F435" i="52"/>
  <c r="A433" i="1"/>
  <c r="B434"/>
  <c r="B416" i="38"/>
  <c r="L433" i="1"/>
  <c r="M432" s="1"/>
  <c r="A440" i="53"/>
  <c r="B441" s="1"/>
  <c r="C433" i="1"/>
  <c r="D433" s="1"/>
  <c r="E434" i="52"/>
  <c r="AS413" i="38" l="1"/>
  <c r="AU413" s="1"/>
  <c r="AV413" s="1"/>
  <c r="BA413" s="1"/>
  <c r="BB413" s="1"/>
  <c r="BH413" s="1"/>
  <c r="BJ413" s="1"/>
  <c r="P413" s="1"/>
  <c r="O413" s="1"/>
  <c r="AR414"/>
  <c r="AS414" s="1"/>
  <c r="AU414" s="1"/>
  <c r="AV414" s="1"/>
  <c r="BA414" s="1"/>
  <c r="BB414" s="1"/>
  <c r="BH414" s="1"/>
  <c r="BJ414" s="1"/>
  <c r="P414" s="1"/>
  <c r="O414" s="1"/>
  <c r="AF425" i="1"/>
  <c r="AD426"/>
  <c r="BD429"/>
  <c r="BE429" s="1"/>
  <c r="T429" s="1"/>
  <c r="U429" s="1"/>
  <c r="BA430"/>
  <c r="V428"/>
  <c r="X428"/>
  <c r="AB427"/>
  <c r="AE427" s="1"/>
  <c r="AL427" s="1"/>
  <c r="AA427"/>
  <c r="E434" i="53" s="1"/>
  <c r="BF10" i="55"/>
  <c r="G433" i="53"/>
  <c r="D432"/>
  <c r="P9" i="55" s="1"/>
  <c r="CA9"/>
  <c r="I432" i="53"/>
  <c r="CV9" i="55" s="1"/>
  <c r="AN415" i="38"/>
  <c r="AO415"/>
  <c r="AP415" s="1"/>
  <c r="AQ415" s="1"/>
  <c r="E416"/>
  <c r="D416"/>
  <c r="F416"/>
  <c r="AM416" s="1"/>
  <c r="Z416"/>
  <c r="AA416" s="1"/>
  <c r="P433" i="1"/>
  <c r="W432"/>
  <c r="R432"/>
  <c r="S432" s="1"/>
  <c r="D422" i="48"/>
  <c r="W422" s="1"/>
  <c r="C422"/>
  <c r="B423"/>
  <c r="E422"/>
  <c r="X422" s="1"/>
  <c r="F436" i="52"/>
  <c r="A441" i="53"/>
  <c r="B442" s="1"/>
  <c r="L434" i="1"/>
  <c r="M433" s="1"/>
  <c r="B417" i="38"/>
  <c r="B435" i="1"/>
  <c r="C434"/>
  <c r="D434" s="1"/>
  <c r="E434"/>
  <c r="A434"/>
  <c r="K434"/>
  <c r="N434" s="1"/>
  <c r="A418" i="26"/>
  <c r="B418" s="1"/>
  <c r="AI433" i="1"/>
  <c r="AM433"/>
  <c r="BC433"/>
  <c r="AC433"/>
  <c r="AJ433"/>
  <c r="AK433"/>
  <c r="AH433"/>
  <c r="Z433"/>
  <c r="E435" i="52"/>
  <c r="F421" i="48"/>
  <c r="Y421" s="1"/>
  <c r="V421"/>
  <c r="BK414" i="38" l="1"/>
  <c r="AR415"/>
  <c r="BK415" s="1"/>
  <c r="CA10" i="55"/>
  <c r="D433" i="53"/>
  <c r="P10" i="55" s="1"/>
  <c r="I433" i="53"/>
  <c r="CV10" i="55" s="1"/>
  <c r="V429" i="1"/>
  <c r="X429"/>
  <c r="AB428"/>
  <c r="AE428" s="1"/>
  <c r="AL428" s="1"/>
  <c r="AA428"/>
  <c r="E435" i="53" s="1"/>
  <c r="AF426" i="1"/>
  <c r="AD427"/>
  <c r="G434" i="53"/>
  <c r="BF11" i="55"/>
  <c r="BD430" i="1"/>
  <c r="BE430" s="1"/>
  <c r="T430" s="1"/>
  <c r="U430" s="1"/>
  <c r="BA431"/>
  <c r="Z434"/>
  <c r="BC434"/>
  <c r="AH434"/>
  <c r="AK434"/>
  <c r="AI434"/>
  <c r="AJ434"/>
  <c r="AM434"/>
  <c r="AC434"/>
  <c r="D417" i="38"/>
  <c r="E417"/>
  <c r="Z417"/>
  <c r="AA417" s="1"/>
  <c r="F417"/>
  <c r="AM417" s="1"/>
  <c r="E436" i="52"/>
  <c r="D423" i="48"/>
  <c r="W423" s="1"/>
  <c r="E423"/>
  <c r="X423" s="1"/>
  <c r="C423"/>
  <c r="B424"/>
  <c r="W433" i="1"/>
  <c r="R433"/>
  <c r="AO416" i="38"/>
  <c r="AP416" s="1"/>
  <c r="AQ416" s="1"/>
  <c r="AN416"/>
  <c r="V422" i="48"/>
  <c r="F422"/>
  <c r="Y422" s="1"/>
  <c r="P434" i="1"/>
  <c r="C435"/>
  <c r="D435" s="1"/>
  <c r="F437" i="52"/>
  <c r="L435" i="1"/>
  <c r="M434" s="1"/>
  <c r="A442" i="53"/>
  <c r="B443" s="1"/>
  <c r="A435" i="1"/>
  <c r="B436"/>
  <c r="B418" i="38"/>
  <c r="E435" i="1"/>
  <c r="K435"/>
  <c r="N435" s="1"/>
  <c r="A419" i="26"/>
  <c r="B419" s="1"/>
  <c r="AS415" i="38" l="1"/>
  <c r="AU415" s="1"/>
  <c r="AV415" s="1"/>
  <c r="BA415" s="1"/>
  <c r="BB415" s="1"/>
  <c r="BH415" s="1"/>
  <c r="BJ415" s="1"/>
  <c r="P415" s="1"/>
  <c r="O415" s="1"/>
  <c r="AR416"/>
  <c r="AS416" s="1"/>
  <c r="AU416" s="1"/>
  <c r="AV416" s="1"/>
  <c r="BA416" s="1"/>
  <c r="BB416" s="1"/>
  <c r="BH416" s="1"/>
  <c r="BJ416" s="1"/>
  <c r="P416" s="1"/>
  <c r="O416" s="1"/>
  <c r="G435" i="53"/>
  <c r="BF12" i="55"/>
  <c r="BD431" i="1"/>
  <c r="BE431" s="1"/>
  <c r="T431" s="1"/>
  <c r="U431" s="1"/>
  <c r="BA432"/>
  <c r="I434" i="53"/>
  <c r="CV11" i="55" s="1"/>
  <c r="CA11"/>
  <c r="D434" i="53"/>
  <c r="P11" i="55" s="1"/>
  <c r="V430" i="1"/>
  <c r="X430"/>
  <c r="AF427"/>
  <c r="AD428"/>
  <c r="AB429"/>
  <c r="AE429" s="1"/>
  <c r="AL429" s="1"/>
  <c r="AA429"/>
  <c r="E436" i="53" s="1"/>
  <c r="S433" i="1"/>
  <c r="E418" i="38"/>
  <c r="Z418"/>
  <c r="AA418" s="1"/>
  <c r="D418"/>
  <c r="F418"/>
  <c r="AM418" s="1"/>
  <c r="C436" i="1"/>
  <c r="D436" s="1"/>
  <c r="A443" i="53"/>
  <c r="B444" s="1"/>
  <c r="A420" i="26"/>
  <c r="B420" s="1"/>
  <c r="E436" i="1"/>
  <c r="F438" i="52"/>
  <c r="A436" i="1"/>
  <c r="B419" i="38"/>
  <c r="B437" i="1"/>
  <c r="L436"/>
  <c r="M435" s="1"/>
  <c r="K436"/>
  <c r="N436" s="1"/>
  <c r="C424" i="48"/>
  <c r="E424"/>
  <c r="X424" s="1"/>
  <c r="D424"/>
  <c r="W424" s="1"/>
  <c r="B425"/>
  <c r="W434" i="1"/>
  <c r="R434"/>
  <c r="S434" s="1"/>
  <c r="P435"/>
  <c r="AC435"/>
  <c r="AM435"/>
  <c r="Z435"/>
  <c r="AK435"/>
  <c r="AI435"/>
  <c r="BC435"/>
  <c r="AJ435"/>
  <c r="AH435"/>
  <c r="F423" i="48"/>
  <c r="Y423" s="1"/>
  <c r="V423"/>
  <c r="AN417" i="38"/>
  <c r="AR417" s="1"/>
  <c r="AO417"/>
  <c r="AP417" s="1"/>
  <c r="AQ417" s="1"/>
  <c r="E437" i="52"/>
  <c r="BK416" i="38" l="1"/>
  <c r="V431" i="1"/>
  <c r="X431"/>
  <c r="BF13" i="55"/>
  <c r="G436" i="53"/>
  <c r="AB430" i="1"/>
  <c r="AE430" s="1"/>
  <c r="AL430" s="1"/>
  <c r="AA430"/>
  <c r="E437" i="53" s="1"/>
  <c r="CA12" i="55"/>
  <c r="I435" i="53"/>
  <c r="CV12" i="55" s="1"/>
  <c r="D435" i="53"/>
  <c r="P12" i="55" s="1"/>
  <c r="AF428" i="1"/>
  <c r="AD429"/>
  <c r="BD432"/>
  <c r="BE432" s="1"/>
  <c r="T432" s="1"/>
  <c r="U432" s="1"/>
  <c r="BA433"/>
  <c r="E425" i="48"/>
  <c r="X425" s="1"/>
  <c r="C425"/>
  <c r="D425"/>
  <c r="W425" s="1"/>
  <c r="B426"/>
  <c r="F439" i="52"/>
  <c r="A444" i="53"/>
  <c r="B445" s="1"/>
  <c r="B438" i="1"/>
  <c r="C437"/>
  <c r="D437" s="1"/>
  <c r="E437"/>
  <c r="B420" i="38"/>
  <c r="L437" i="1"/>
  <c r="M436" s="1"/>
  <c r="A421" i="26"/>
  <c r="B421" s="1"/>
  <c r="A437" i="1"/>
  <c r="K437"/>
  <c r="N437" s="1"/>
  <c r="E438" i="52"/>
  <c r="AN418" i="38"/>
  <c r="AO418"/>
  <c r="AP418" s="1"/>
  <c r="AQ418" s="1"/>
  <c r="BK417"/>
  <c r="AS417"/>
  <c r="AU417" s="1"/>
  <c r="AV417" s="1"/>
  <c r="BA417" s="1"/>
  <c r="BB417" s="1"/>
  <c r="BH417" s="1"/>
  <c r="BJ417" s="1"/>
  <c r="P417" s="1"/>
  <c r="O417" s="1"/>
  <c r="D419"/>
  <c r="E419"/>
  <c r="Z419"/>
  <c r="AA419" s="1"/>
  <c r="F419"/>
  <c r="AM419" s="1"/>
  <c r="R435" i="1"/>
  <c r="S435" s="1"/>
  <c r="W435"/>
  <c r="P436"/>
  <c r="AK436"/>
  <c r="AH436"/>
  <c r="AI436"/>
  <c r="AJ436"/>
  <c r="AM436"/>
  <c r="BC436"/>
  <c r="Z436"/>
  <c r="AC436"/>
  <c r="V424" i="48"/>
  <c r="F424"/>
  <c r="Y424" s="1"/>
  <c r="BF14" i="55" l="1"/>
  <c r="G437" i="53"/>
  <c r="BD433" i="1"/>
  <c r="BE433" s="1"/>
  <c r="T433" s="1"/>
  <c r="U433" s="1"/>
  <c r="BA434"/>
  <c r="V432"/>
  <c r="X432"/>
  <c r="CA13" i="55"/>
  <c r="I436" i="53"/>
  <c r="CV13" i="55" s="1"/>
  <c r="D436" i="53"/>
  <c r="P13" i="55" s="1"/>
  <c r="AB431" i="1"/>
  <c r="AE431" s="1"/>
  <c r="AL431" s="1"/>
  <c r="AA431"/>
  <c r="E438" i="53" s="1"/>
  <c r="AF429" i="1"/>
  <c r="AD430"/>
  <c r="L438"/>
  <c r="M437" s="1"/>
  <c r="F440" i="52"/>
  <c r="C438" i="1"/>
  <c r="D438" s="1"/>
  <c r="B439"/>
  <c r="A422" i="26"/>
  <c r="B422" s="1"/>
  <c r="A445" i="53"/>
  <c r="B446" s="1"/>
  <c r="A438" i="1"/>
  <c r="E438"/>
  <c r="B421" i="38"/>
  <c r="K438" i="1"/>
  <c r="N438" s="1"/>
  <c r="C426" i="48"/>
  <c r="B427"/>
  <c r="E426"/>
  <c r="X426" s="1"/>
  <c r="D426"/>
  <c r="W426" s="1"/>
  <c r="AR418" i="38"/>
  <c r="P437" i="1"/>
  <c r="E420" i="38"/>
  <c r="D420"/>
  <c r="Z420"/>
  <c r="AA420" s="1"/>
  <c r="F420"/>
  <c r="AM420" s="1"/>
  <c r="W436" i="1"/>
  <c r="R436"/>
  <c r="AO419" i="38"/>
  <c r="AP419" s="1"/>
  <c r="AQ419" s="1"/>
  <c r="AN419"/>
  <c r="AH437" i="1"/>
  <c r="AJ437"/>
  <c r="BC437"/>
  <c r="AM437"/>
  <c r="Z437"/>
  <c r="AI437"/>
  <c r="AC437"/>
  <c r="AK437"/>
  <c r="E439" i="52"/>
  <c r="V425" i="48"/>
  <c r="F425"/>
  <c r="Y425" s="1"/>
  <c r="AR419" i="38" l="1"/>
  <c r="BK419" s="1"/>
  <c r="BF15" i="55"/>
  <c r="G438" i="53"/>
  <c r="V433" i="1"/>
  <c r="X433"/>
  <c r="AF430"/>
  <c r="AD431"/>
  <c r="AB432"/>
  <c r="AE432" s="1"/>
  <c r="AL432" s="1"/>
  <c r="AA432"/>
  <c r="E439" i="53" s="1"/>
  <c r="D437"/>
  <c r="P14" i="55" s="1"/>
  <c r="I437" i="53"/>
  <c r="CV14" i="55" s="1"/>
  <c r="CA14"/>
  <c r="S436" i="1"/>
  <c r="BD434"/>
  <c r="BE434" s="1"/>
  <c r="T434" s="1"/>
  <c r="U434" s="1"/>
  <c r="BA435"/>
  <c r="D421" i="38"/>
  <c r="E421"/>
  <c r="Z421"/>
  <c r="AA421" s="1"/>
  <c r="F421"/>
  <c r="AM421" s="1"/>
  <c r="AO420"/>
  <c r="AP420" s="1"/>
  <c r="AQ420" s="1"/>
  <c r="AN420"/>
  <c r="BK418"/>
  <c r="AS418"/>
  <c r="AU418" s="1"/>
  <c r="AV418" s="1"/>
  <c r="BA418" s="1"/>
  <c r="BB418" s="1"/>
  <c r="BH418" s="1"/>
  <c r="BJ418" s="1"/>
  <c r="P418" s="1"/>
  <c r="O418" s="1"/>
  <c r="D427" i="48"/>
  <c r="W427" s="1"/>
  <c r="E427"/>
  <c r="X427" s="1"/>
  <c r="B428"/>
  <c r="C427"/>
  <c r="E440" i="52"/>
  <c r="F441"/>
  <c r="A446" i="53"/>
  <c r="B447" s="1"/>
  <c r="E439" i="1"/>
  <c r="C439"/>
  <c r="D439" s="1"/>
  <c r="B422" i="38"/>
  <c r="K439" i="1"/>
  <c r="N439" s="1"/>
  <c r="B440"/>
  <c r="A423" i="26"/>
  <c r="B423" s="1"/>
  <c r="L439" i="1"/>
  <c r="M438" s="1"/>
  <c r="A439"/>
  <c r="W437"/>
  <c r="R437"/>
  <c r="V426" i="48"/>
  <c r="F426"/>
  <c r="Y426" s="1"/>
  <c r="Z438" i="1"/>
  <c r="AI438"/>
  <c r="AK438"/>
  <c r="AM438"/>
  <c r="AC438"/>
  <c r="BC438"/>
  <c r="AJ438"/>
  <c r="AH438"/>
  <c r="P438"/>
  <c r="AR420" i="38" l="1"/>
  <c r="BK420" s="1"/>
  <c r="AS419"/>
  <c r="AU419" s="1"/>
  <c r="AV419" s="1"/>
  <c r="BA419" s="1"/>
  <c r="BB419" s="1"/>
  <c r="BH419" s="1"/>
  <c r="BJ419" s="1"/>
  <c r="P419" s="1"/>
  <c r="O419" s="1"/>
  <c r="S437" i="1"/>
  <c r="V434"/>
  <c r="X434"/>
  <c r="AF431"/>
  <c r="AD432"/>
  <c r="D438" i="53"/>
  <c r="P15" i="55" s="1"/>
  <c r="CA15"/>
  <c r="I438" i="53"/>
  <c r="CV15" i="55" s="1"/>
  <c r="BD435" i="1"/>
  <c r="BE435" s="1"/>
  <c r="T435" s="1"/>
  <c r="U435" s="1"/>
  <c r="BA436"/>
  <c r="BF16" i="55"/>
  <c r="G439" i="53"/>
  <c r="AB433" i="1"/>
  <c r="AE433" s="1"/>
  <c r="AL433" s="1"/>
  <c r="AA433"/>
  <c r="E440" i="53" s="1"/>
  <c r="E422" i="38"/>
  <c r="D422"/>
  <c r="Z422"/>
  <c r="AA422" s="1"/>
  <c r="F422"/>
  <c r="AM422" s="1"/>
  <c r="V427" i="48"/>
  <c r="F427"/>
  <c r="Y427" s="1"/>
  <c r="E428"/>
  <c r="X428" s="1"/>
  <c r="D428"/>
  <c r="W428" s="1"/>
  <c r="B429"/>
  <c r="C428"/>
  <c r="AO421" i="38"/>
  <c r="AP421" s="1"/>
  <c r="AQ421" s="1"/>
  <c r="AN421"/>
  <c r="A424" i="26"/>
  <c r="B424" s="1"/>
  <c r="F442" i="52"/>
  <c r="K440" i="1"/>
  <c r="N440" s="1"/>
  <c r="A447" i="53"/>
  <c r="B448" s="1"/>
  <c r="B423" i="38"/>
  <c r="B441" i="1"/>
  <c r="A440"/>
  <c r="E440"/>
  <c r="C440"/>
  <c r="D440" s="1"/>
  <c r="L440"/>
  <c r="M439" s="1"/>
  <c r="E441" i="52"/>
  <c r="W438" i="1"/>
  <c r="R438"/>
  <c r="AK439"/>
  <c r="AJ439"/>
  <c r="AC439"/>
  <c r="Z439"/>
  <c r="AM439"/>
  <c r="AH439"/>
  <c r="AI439"/>
  <c r="BC439"/>
  <c r="P439"/>
  <c r="AR421" i="38" l="1"/>
  <c r="BK421" s="1"/>
  <c r="AS420"/>
  <c r="AU420" s="1"/>
  <c r="AV420" s="1"/>
  <c r="BA420" s="1"/>
  <c r="BB420" s="1"/>
  <c r="BH420" s="1"/>
  <c r="BJ420" s="1"/>
  <c r="P420" s="1"/>
  <c r="O420" s="1"/>
  <c r="BD436" i="1"/>
  <c r="BE436" s="1"/>
  <c r="T436" s="1"/>
  <c r="U436" s="1"/>
  <c r="BA437"/>
  <c r="AB434"/>
  <c r="AE434" s="1"/>
  <c r="AL434" s="1"/>
  <c r="AA434"/>
  <c r="E441" i="53" s="1"/>
  <c r="D439"/>
  <c r="P16" i="55" s="1"/>
  <c r="CA16"/>
  <c r="I439" i="53"/>
  <c r="CV16" i="55" s="1"/>
  <c r="V435" i="1"/>
  <c r="X435"/>
  <c r="S438"/>
  <c r="AF432"/>
  <c r="AD433"/>
  <c r="G440" i="53"/>
  <c r="BF17" i="55"/>
  <c r="Z423" i="38"/>
  <c r="AA423" s="1"/>
  <c r="D423"/>
  <c r="F423"/>
  <c r="AM423" s="1"/>
  <c r="E423"/>
  <c r="F428" i="48"/>
  <c r="Y428" s="1"/>
  <c r="V428"/>
  <c r="W439" i="1"/>
  <c r="R439"/>
  <c r="S439" s="1"/>
  <c r="E442" i="52"/>
  <c r="C429" i="48"/>
  <c r="D429"/>
  <c r="W429" s="1"/>
  <c r="E429"/>
  <c r="X429" s="1"/>
  <c r="B430"/>
  <c r="AI440" i="1"/>
  <c r="Z440"/>
  <c r="AJ440"/>
  <c r="AC440"/>
  <c r="BC440"/>
  <c r="AK440"/>
  <c r="AH440"/>
  <c r="AM440"/>
  <c r="P440"/>
  <c r="AN422" i="38"/>
  <c r="AR422" s="1"/>
  <c r="AO422"/>
  <c r="AP422" s="1"/>
  <c r="AQ422" s="1"/>
  <c r="F443" i="52"/>
  <c r="C441" i="1"/>
  <c r="D441" s="1"/>
  <c r="A448" i="53"/>
  <c r="B449" s="1"/>
  <c r="E441" i="1"/>
  <c r="L441"/>
  <c r="M440" s="1"/>
  <c r="B442"/>
  <c r="K441"/>
  <c r="N441" s="1"/>
  <c r="B424" i="38"/>
  <c r="A425" i="26"/>
  <c r="B425" s="1"/>
  <c r="A441" i="1"/>
  <c r="AS421" i="38" l="1"/>
  <c r="AU421" s="1"/>
  <c r="AV421" s="1"/>
  <c r="BA421" s="1"/>
  <c r="BB421" s="1"/>
  <c r="BH421" s="1"/>
  <c r="BJ421" s="1"/>
  <c r="P421" s="1"/>
  <c r="O421" s="1"/>
  <c r="G441" i="53"/>
  <c r="BF18" i="55"/>
  <c r="I440" i="53"/>
  <c r="CV17" i="55" s="1"/>
  <c r="D440" i="53"/>
  <c r="P17" i="55" s="1"/>
  <c r="CA17"/>
  <c r="AF433" i="1"/>
  <c r="AD434"/>
  <c r="BD437"/>
  <c r="BE437" s="1"/>
  <c r="T437" s="1"/>
  <c r="U437" s="1"/>
  <c r="BA438"/>
  <c r="AB435"/>
  <c r="AE435" s="1"/>
  <c r="AL435" s="1"/>
  <c r="AA435"/>
  <c r="E442" i="53" s="1"/>
  <c r="V436" i="1"/>
  <c r="X436"/>
  <c r="P441"/>
  <c r="AJ441"/>
  <c r="AK441"/>
  <c r="BC441"/>
  <c r="AH441"/>
  <c r="Z441"/>
  <c r="AM441"/>
  <c r="AI441"/>
  <c r="AC441"/>
  <c r="A449" i="53"/>
  <c r="B450" s="1"/>
  <c r="F444" i="52"/>
  <c r="L442" i="1"/>
  <c r="M441" s="1"/>
  <c r="A426" i="26"/>
  <c r="B426" s="1"/>
  <c r="A442" i="1"/>
  <c r="K442"/>
  <c r="N442" s="1"/>
  <c r="E442"/>
  <c r="B425" i="38"/>
  <c r="B443" i="1"/>
  <c r="C442"/>
  <c r="D442" s="1"/>
  <c r="W440"/>
  <c r="R440"/>
  <c r="S440" s="1"/>
  <c r="AO423" i="38"/>
  <c r="AP423" s="1"/>
  <c r="AQ423" s="1"/>
  <c r="AN423"/>
  <c r="BK422"/>
  <c r="AS422"/>
  <c r="AU422" s="1"/>
  <c r="AV422" s="1"/>
  <c r="BA422" s="1"/>
  <c r="BB422" s="1"/>
  <c r="BH422" s="1"/>
  <c r="BJ422" s="1"/>
  <c r="P422" s="1"/>
  <c r="O422" s="1"/>
  <c r="F429" i="48"/>
  <c r="Y429" s="1"/>
  <c r="V429"/>
  <c r="E424" i="38"/>
  <c r="Z424"/>
  <c r="AA424" s="1"/>
  <c r="D424"/>
  <c r="F424"/>
  <c r="AM424" s="1"/>
  <c r="E443" i="52"/>
  <c r="D430" i="48"/>
  <c r="W430" s="1"/>
  <c r="C430"/>
  <c r="B431"/>
  <c r="E430"/>
  <c r="X430" s="1"/>
  <c r="AR423" i="38" l="1"/>
  <c r="AS423" s="1"/>
  <c r="AU423" s="1"/>
  <c r="AV423" s="1"/>
  <c r="BA423" s="1"/>
  <c r="BB423" s="1"/>
  <c r="BH423" s="1"/>
  <c r="BJ423" s="1"/>
  <c r="P423" s="1"/>
  <c r="O423" s="1"/>
  <c r="AB436" i="1"/>
  <c r="AE436" s="1"/>
  <c r="AL436" s="1"/>
  <c r="AA436"/>
  <c r="E443" i="53" s="1"/>
  <c r="BD438" i="1"/>
  <c r="BE438" s="1"/>
  <c r="T438" s="1"/>
  <c r="U438" s="1"/>
  <c r="BA439"/>
  <c r="D441" i="53"/>
  <c r="P18" i="55" s="1"/>
  <c r="CA18"/>
  <c r="I441" i="53"/>
  <c r="CV18" i="55" s="1"/>
  <c r="V437" i="1"/>
  <c r="X437"/>
  <c r="G442" i="53"/>
  <c r="BF19" i="55"/>
  <c r="AF434" i="1"/>
  <c r="AD435"/>
  <c r="F430" i="48"/>
  <c r="Y430" s="1"/>
  <c r="V430"/>
  <c r="AN424" i="38"/>
  <c r="AO424"/>
  <c r="AP424" s="1"/>
  <c r="AQ424" s="1"/>
  <c r="E443" i="1"/>
  <c r="A450" i="53"/>
  <c r="B451" s="1"/>
  <c r="C443" i="1"/>
  <c r="D443" s="1"/>
  <c r="F445" i="52"/>
  <c r="A443" i="1"/>
  <c r="B426" i="38"/>
  <c r="A427" i="26"/>
  <c r="B427" s="1"/>
  <c r="K443" i="1"/>
  <c r="N443" s="1"/>
  <c r="B444"/>
  <c r="L443"/>
  <c r="M442" s="1"/>
  <c r="AH442"/>
  <c r="Z442"/>
  <c r="AI442"/>
  <c r="AJ442"/>
  <c r="AM442"/>
  <c r="AK442"/>
  <c r="BC442"/>
  <c r="AC442"/>
  <c r="BK423" i="38"/>
  <c r="D425"/>
  <c r="E425"/>
  <c r="Z425"/>
  <c r="AA425" s="1"/>
  <c r="F425"/>
  <c r="AM425" s="1"/>
  <c r="E444" i="52"/>
  <c r="W441" i="1"/>
  <c r="R441"/>
  <c r="E431" i="48"/>
  <c r="X431" s="1"/>
  <c r="D431"/>
  <c r="W431" s="1"/>
  <c r="C431"/>
  <c r="B432"/>
  <c r="P442" i="1"/>
  <c r="AR424" i="38" l="1"/>
  <c r="V438" i="1"/>
  <c r="X438"/>
  <c r="AF435"/>
  <c r="AD436"/>
  <c r="CA19" i="55"/>
  <c r="I442" i="53"/>
  <c r="CV19" i="55" s="1"/>
  <c r="D442" i="53"/>
  <c r="P19" i="55" s="1"/>
  <c r="BF20"/>
  <c r="G443" i="53"/>
  <c r="AB437" i="1"/>
  <c r="AE437" s="1"/>
  <c r="AL437" s="1"/>
  <c r="AA437"/>
  <c r="E444" i="53" s="1"/>
  <c r="S441" i="1"/>
  <c r="BD439"/>
  <c r="BE439" s="1"/>
  <c r="T439" s="1"/>
  <c r="U439" s="1"/>
  <c r="BA440"/>
  <c r="AO425" i="38"/>
  <c r="AP425" s="1"/>
  <c r="AQ425" s="1"/>
  <c r="AN425"/>
  <c r="P443" i="1"/>
  <c r="W442"/>
  <c r="R442"/>
  <c r="S442" s="1"/>
  <c r="C432" i="48"/>
  <c r="E432"/>
  <c r="X432" s="1"/>
  <c r="D432"/>
  <c r="W432" s="1"/>
  <c r="B433"/>
  <c r="BK424" i="38"/>
  <c r="AS424"/>
  <c r="AU424" s="1"/>
  <c r="AV424" s="1"/>
  <c r="BA424" s="1"/>
  <c r="BB424" s="1"/>
  <c r="BH424" s="1"/>
  <c r="BJ424" s="1"/>
  <c r="P424" s="1"/>
  <c r="O424" s="1"/>
  <c r="V431" i="48"/>
  <c r="F431"/>
  <c r="Y431" s="1"/>
  <c r="E426" i="38"/>
  <c r="Z426"/>
  <c r="AA426" s="1"/>
  <c r="D426"/>
  <c r="F426"/>
  <c r="AM426" s="1"/>
  <c r="F446" i="52"/>
  <c r="C444" i="1"/>
  <c r="D444" s="1"/>
  <c r="E444"/>
  <c r="A428" i="26"/>
  <c r="B428" s="1"/>
  <c r="L444" i="1"/>
  <c r="M443" s="1"/>
  <c r="K444"/>
  <c r="N444" s="1"/>
  <c r="A444"/>
  <c r="A451" i="53"/>
  <c r="B452" s="1"/>
  <c r="B427" i="38"/>
  <c r="B445" i="1"/>
  <c r="Z443"/>
  <c r="AC443"/>
  <c r="AI443"/>
  <c r="AH443"/>
  <c r="AM443"/>
  <c r="BC443"/>
  <c r="AJ443"/>
  <c r="AK443"/>
  <c r="E445" i="52"/>
  <c r="V439" i="1" l="1"/>
  <c r="X439"/>
  <c r="BF21" i="55"/>
  <c r="G444" i="53"/>
  <c r="AF436" i="1"/>
  <c r="AD437"/>
  <c r="CA20" i="55"/>
  <c r="I443" i="53"/>
  <c r="CV20" i="55" s="1"/>
  <c r="D443" i="53"/>
  <c r="P20" i="55" s="1"/>
  <c r="AB438" i="1"/>
  <c r="AE438" s="1"/>
  <c r="AL438" s="1"/>
  <c r="AA438"/>
  <c r="E445" i="53" s="1"/>
  <c r="BD440" i="1"/>
  <c r="BE440" s="1"/>
  <c r="T440" s="1"/>
  <c r="U440" s="1"/>
  <c r="BA441"/>
  <c r="E445"/>
  <c r="F447" i="52"/>
  <c r="A452" i="53"/>
  <c r="B453" s="1"/>
  <c r="A429" i="26"/>
  <c r="B429" s="1"/>
  <c r="B446" i="1"/>
  <c r="K445"/>
  <c r="N445" s="1"/>
  <c r="C445"/>
  <c r="D445" s="1"/>
  <c r="L445"/>
  <c r="M444" s="1"/>
  <c r="A445"/>
  <c r="B428" i="38"/>
  <c r="P444" i="1"/>
  <c r="AN426" i="38"/>
  <c r="AO426"/>
  <c r="AP426" s="1"/>
  <c r="AQ426" s="1"/>
  <c r="F432" i="48"/>
  <c r="Y432" s="1"/>
  <c r="V432"/>
  <c r="AR425" i="38"/>
  <c r="D427"/>
  <c r="E427"/>
  <c r="Z427"/>
  <c r="AA427" s="1"/>
  <c r="F427"/>
  <c r="AM427" s="1"/>
  <c r="C433" i="48"/>
  <c r="E433"/>
  <c r="X433" s="1"/>
  <c r="D433"/>
  <c r="W433" s="1"/>
  <c r="B434"/>
  <c r="W443" i="1"/>
  <c r="R443"/>
  <c r="BC444"/>
  <c r="AK444"/>
  <c r="AC444"/>
  <c r="AI444"/>
  <c r="AH444"/>
  <c r="AM444"/>
  <c r="Z444"/>
  <c r="AJ444"/>
  <c r="E446" i="52"/>
  <c r="AR426" i="38" l="1"/>
  <c r="BK426" s="1"/>
  <c r="BF22" i="55"/>
  <c r="G445" i="53"/>
  <c r="BD441" i="1"/>
  <c r="BE441" s="1"/>
  <c r="T441" s="1"/>
  <c r="U441" s="1"/>
  <c r="BA442"/>
  <c r="AF437"/>
  <c r="AD438"/>
  <c r="V440"/>
  <c r="X440"/>
  <c r="AB439"/>
  <c r="AE439" s="1"/>
  <c r="AL439" s="1"/>
  <c r="AA439"/>
  <c r="E446" i="53" s="1"/>
  <c r="S443" i="1"/>
  <c r="D444" i="53"/>
  <c r="P21" i="55" s="1"/>
  <c r="CA21"/>
  <c r="I444" i="53"/>
  <c r="CV21" i="55" s="1"/>
  <c r="AH445" i="1"/>
  <c r="AI445"/>
  <c r="BC445"/>
  <c r="AM445"/>
  <c r="Z445"/>
  <c r="AJ445"/>
  <c r="AK445"/>
  <c r="AC445"/>
  <c r="A430" i="26"/>
  <c r="B430" s="1"/>
  <c r="F448" i="52"/>
  <c r="A453" i="53"/>
  <c r="B454" s="1"/>
  <c r="L446" i="1"/>
  <c r="M445" s="1"/>
  <c r="C446"/>
  <c r="D446" s="1"/>
  <c r="K446"/>
  <c r="N446" s="1"/>
  <c r="B429" i="38"/>
  <c r="B447" i="1"/>
  <c r="A446"/>
  <c r="E446"/>
  <c r="E447" i="52"/>
  <c r="BK425" i="38"/>
  <c r="AS425"/>
  <c r="AU425" s="1"/>
  <c r="AV425" s="1"/>
  <c r="BA425" s="1"/>
  <c r="BB425" s="1"/>
  <c r="BH425" s="1"/>
  <c r="BJ425" s="1"/>
  <c r="P425" s="1"/>
  <c r="O425" s="1"/>
  <c r="F433" i="48"/>
  <c r="Y433" s="1"/>
  <c r="V433"/>
  <c r="AN427" i="38"/>
  <c r="AO427"/>
  <c r="AP427" s="1"/>
  <c r="AQ427" s="1"/>
  <c r="B435" i="48"/>
  <c r="E434"/>
  <c r="X434" s="1"/>
  <c r="D434"/>
  <c r="W434" s="1"/>
  <c r="C434"/>
  <c r="R444" i="1"/>
  <c r="W444"/>
  <c r="Z428" i="38"/>
  <c r="AA428" s="1"/>
  <c r="D428"/>
  <c r="E428"/>
  <c r="F428"/>
  <c r="AM428" s="1"/>
  <c r="P445" i="1"/>
  <c r="AS426" i="38" l="1"/>
  <c r="AU426" s="1"/>
  <c r="AV426" s="1"/>
  <c r="BA426" s="1"/>
  <c r="BB426" s="1"/>
  <c r="BH426" s="1"/>
  <c r="BJ426" s="1"/>
  <c r="P426" s="1"/>
  <c r="O426" s="1"/>
  <c r="AR427"/>
  <c r="AS427" s="1"/>
  <c r="AU427" s="1"/>
  <c r="AV427" s="1"/>
  <c r="BA427" s="1"/>
  <c r="BB427" s="1"/>
  <c r="BH427" s="1"/>
  <c r="BJ427" s="1"/>
  <c r="P427" s="1"/>
  <c r="O427" s="1"/>
  <c r="G446" i="53"/>
  <c r="BF23" i="55"/>
  <c r="AF438" i="1"/>
  <c r="AD439"/>
  <c r="CA22" i="55"/>
  <c r="D445" i="53"/>
  <c r="P22" i="55" s="1"/>
  <c r="I445" i="53"/>
  <c r="CV22" i="55" s="1"/>
  <c r="AB440" i="1"/>
  <c r="AE440" s="1"/>
  <c r="AL440" s="1"/>
  <c r="AA440"/>
  <c r="E447" i="53" s="1"/>
  <c r="BD442" i="1"/>
  <c r="BE442" s="1"/>
  <c r="T442" s="1"/>
  <c r="U442" s="1"/>
  <c r="BA443"/>
  <c r="S444"/>
  <c r="V441"/>
  <c r="X441"/>
  <c r="E435" i="48"/>
  <c r="X435" s="1"/>
  <c r="C435"/>
  <c r="D435"/>
  <c r="W435" s="1"/>
  <c r="B436"/>
  <c r="E448" i="52"/>
  <c r="P446" i="1"/>
  <c r="V434" i="48"/>
  <c r="F434"/>
  <c r="Y434" s="1"/>
  <c r="AK446" i="1"/>
  <c r="Z446"/>
  <c r="BC446"/>
  <c r="AM446"/>
  <c r="AJ446"/>
  <c r="AC446"/>
  <c r="AI446"/>
  <c r="AH446"/>
  <c r="W445"/>
  <c r="R445"/>
  <c r="S445" s="1"/>
  <c r="AO428" i="38"/>
  <c r="AP428" s="1"/>
  <c r="AQ428" s="1"/>
  <c r="AN428"/>
  <c r="C447" i="1"/>
  <c r="D447" s="1"/>
  <c r="E447"/>
  <c r="A431" i="26"/>
  <c r="B431" s="1"/>
  <c r="F449" i="52"/>
  <c r="A447" i="1"/>
  <c r="B448"/>
  <c r="A454" i="53"/>
  <c r="B455" s="1"/>
  <c r="L447" i="1"/>
  <c r="M446" s="1"/>
  <c r="B430" i="38"/>
  <c r="K447" i="1"/>
  <c r="N447" s="1"/>
  <c r="D429" i="38"/>
  <c r="Z429"/>
  <c r="AA429" s="1"/>
  <c r="F429"/>
  <c r="AM429" s="1"/>
  <c r="E429"/>
  <c r="AR428" l="1"/>
  <c r="BK427"/>
  <c r="BD443" i="1"/>
  <c r="BE443" s="1"/>
  <c r="T443" s="1"/>
  <c r="U443" s="1"/>
  <c r="BA444"/>
  <c r="V442"/>
  <c r="X442"/>
  <c r="G447" i="53"/>
  <c r="BF24" i="55"/>
  <c r="AB441" i="1"/>
  <c r="AE441" s="1"/>
  <c r="AL441" s="1"/>
  <c r="AA441"/>
  <c r="E448" i="53" s="1"/>
  <c r="AF439" i="1"/>
  <c r="AD440"/>
  <c r="I446" i="53"/>
  <c r="CV23" i="55" s="1"/>
  <c r="CA23"/>
  <c r="D446" i="53"/>
  <c r="P23" i="55" s="1"/>
  <c r="AO429" i="38"/>
  <c r="AP429" s="1"/>
  <c r="AQ429" s="1"/>
  <c r="AN429"/>
  <c r="AR429" s="1"/>
  <c r="BK428"/>
  <c r="AS428"/>
  <c r="AU428" s="1"/>
  <c r="AV428" s="1"/>
  <c r="BA428" s="1"/>
  <c r="BB428" s="1"/>
  <c r="BH428" s="1"/>
  <c r="BJ428" s="1"/>
  <c r="P428" s="1"/>
  <c r="O428" s="1"/>
  <c r="B437" i="48"/>
  <c r="C436"/>
  <c r="D436"/>
  <c r="W436" s="1"/>
  <c r="E436"/>
  <c r="X436" s="1"/>
  <c r="P447" i="1"/>
  <c r="C448"/>
  <c r="D448" s="1"/>
  <c r="E448"/>
  <c r="L448"/>
  <c r="M447" s="1"/>
  <c r="F450" i="52"/>
  <c r="A432" i="26"/>
  <c r="B432" s="1"/>
  <c r="B431" i="38"/>
  <c r="A455" i="53"/>
  <c r="B456" s="1"/>
  <c r="B449" i="1"/>
  <c r="A448"/>
  <c r="K448"/>
  <c r="N448" s="1"/>
  <c r="E449" i="52"/>
  <c r="W446" i="1"/>
  <c r="R446"/>
  <c r="E430" i="38"/>
  <c r="D430"/>
  <c r="F430"/>
  <c r="AM430" s="1"/>
  <c r="Z430"/>
  <c r="AA430" s="1"/>
  <c r="AI447" i="1"/>
  <c r="AK447"/>
  <c r="AH447"/>
  <c r="AM447"/>
  <c r="Z447"/>
  <c r="BC447"/>
  <c r="AJ447"/>
  <c r="AC447"/>
  <c r="V435" i="48"/>
  <c r="F435"/>
  <c r="Y435" s="1"/>
  <c r="AF440" i="1" l="1"/>
  <c r="AD441"/>
  <c r="AB442"/>
  <c r="AE442" s="1"/>
  <c r="AL442" s="1"/>
  <c r="AA442"/>
  <c r="E449" i="53" s="1"/>
  <c r="I447"/>
  <c r="CV24" i="55" s="1"/>
  <c r="CA24"/>
  <c r="D447" i="53"/>
  <c r="P24" i="55" s="1"/>
  <c r="BF25"/>
  <c r="G448" i="53"/>
  <c r="BD444" i="1"/>
  <c r="BE444" s="1"/>
  <c r="T444" s="1"/>
  <c r="U444" s="1"/>
  <c r="BA445"/>
  <c r="S446"/>
  <c r="V443"/>
  <c r="X443"/>
  <c r="AO430" i="38"/>
  <c r="AP430" s="1"/>
  <c r="AQ430" s="1"/>
  <c r="AN430"/>
  <c r="AR430" s="1"/>
  <c r="W447" i="1"/>
  <c r="R447"/>
  <c r="P448"/>
  <c r="E431" i="38"/>
  <c r="D431"/>
  <c r="F431"/>
  <c r="AM431" s="1"/>
  <c r="Z431"/>
  <c r="AA431" s="1"/>
  <c r="E450" i="52"/>
  <c r="AK448" i="1"/>
  <c r="AJ448"/>
  <c r="AM448"/>
  <c r="AI448"/>
  <c r="BC448"/>
  <c r="Z448"/>
  <c r="AH448"/>
  <c r="AC448"/>
  <c r="V436" i="48"/>
  <c r="F436"/>
  <c r="Y436" s="1"/>
  <c r="BK429" i="38"/>
  <c r="AS429"/>
  <c r="AU429" s="1"/>
  <c r="AV429" s="1"/>
  <c r="BA429" s="1"/>
  <c r="BB429" s="1"/>
  <c r="BH429" s="1"/>
  <c r="BJ429" s="1"/>
  <c r="P429" s="1"/>
  <c r="O429" s="1"/>
  <c r="E449" i="1"/>
  <c r="F451" i="52"/>
  <c r="A456" i="53"/>
  <c r="B457" s="1"/>
  <c r="C449" i="1"/>
  <c r="D449" s="1"/>
  <c r="B432" i="38"/>
  <c r="B450" i="1"/>
  <c r="A433" i="26"/>
  <c r="B433" s="1"/>
  <c r="A449" i="1"/>
  <c r="K449"/>
  <c r="N449" s="1"/>
  <c r="L449"/>
  <c r="M448" s="1"/>
  <c r="E437" i="48"/>
  <c r="X437" s="1"/>
  <c r="C437"/>
  <c r="B438"/>
  <c r="D437"/>
  <c r="W437" s="1"/>
  <c r="BD445" i="1" l="1"/>
  <c r="BE445" s="1"/>
  <c r="T445" s="1"/>
  <c r="U445" s="1"/>
  <c r="BA446"/>
  <c r="BF26" i="55"/>
  <c r="G449" i="53"/>
  <c r="V444" i="1"/>
  <c r="X444"/>
  <c r="CA25" i="55"/>
  <c r="I448" i="53"/>
  <c r="CV25" i="55" s="1"/>
  <c r="D448" i="53"/>
  <c r="P25" i="55" s="1"/>
  <c r="AF441" i="1"/>
  <c r="AD442"/>
  <c r="S447"/>
  <c r="AB443"/>
  <c r="AE443" s="1"/>
  <c r="AL443" s="1"/>
  <c r="AA443"/>
  <c r="E450" i="53" s="1"/>
  <c r="E438" i="48"/>
  <c r="X438" s="1"/>
  <c r="C438"/>
  <c r="B439"/>
  <c r="D438"/>
  <c r="W438" s="1"/>
  <c r="V437"/>
  <c r="F437"/>
  <c r="Y437" s="1"/>
  <c r="A457" i="53"/>
  <c r="B458" s="1"/>
  <c r="F452" i="52"/>
  <c r="L450" i="1"/>
  <c r="M449" s="1"/>
  <c r="E450"/>
  <c r="A434" i="26"/>
  <c r="B434" s="1"/>
  <c r="A450" i="1"/>
  <c r="K450"/>
  <c r="N450" s="1"/>
  <c r="B433" i="38"/>
  <c r="C450" i="1"/>
  <c r="D450" s="1"/>
  <c r="B451"/>
  <c r="AO431" i="38"/>
  <c r="AP431" s="1"/>
  <c r="AQ431" s="1"/>
  <c r="AN431"/>
  <c r="W448" i="1"/>
  <c r="R448"/>
  <c r="P449"/>
  <c r="D432" i="38"/>
  <c r="E432"/>
  <c r="F432"/>
  <c r="AM432" s="1"/>
  <c r="Z432"/>
  <c r="AA432" s="1"/>
  <c r="E451" i="52"/>
  <c r="BK430" i="38"/>
  <c r="AS430"/>
  <c r="AU430" s="1"/>
  <c r="AV430" s="1"/>
  <c r="BA430" s="1"/>
  <c r="BB430" s="1"/>
  <c r="BH430" s="1"/>
  <c r="BJ430" s="1"/>
  <c r="P430" s="1"/>
  <c r="O430" s="1"/>
  <c r="AM449" i="1"/>
  <c r="AI449"/>
  <c r="BC449"/>
  <c r="Z449"/>
  <c r="AJ449"/>
  <c r="AC449"/>
  <c r="AK449"/>
  <c r="AH449"/>
  <c r="AR431" i="38" l="1"/>
  <c r="BK431" s="1"/>
  <c r="S448" i="1"/>
  <c r="AB444"/>
  <c r="AE444" s="1"/>
  <c r="AL444" s="1"/>
  <c r="AA444"/>
  <c r="E451" i="53" s="1"/>
  <c r="BD446" i="1"/>
  <c r="BE446" s="1"/>
  <c r="T446" s="1"/>
  <c r="U446" s="1"/>
  <c r="BA447"/>
  <c r="BF27" i="55"/>
  <c r="G450" i="53"/>
  <c r="AF442" i="1"/>
  <c r="AD443"/>
  <c r="I449" i="53"/>
  <c r="CV26" i="55" s="1"/>
  <c r="CA26"/>
  <c r="D449" i="53"/>
  <c r="P26" i="55" s="1"/>
  <c r="V445" i="1"/>
  <c r="X445"/>
  <c r="A435" i="26"/>
  <c r="B435" s="1"/>
  <c r="F453" i="52"/>
  <c r="E451" i="1"/>
  <c r="A458" i="53"/>
  <c r="B459" s="1"/>
  <c r="B434" i="38"/>
  <c r="K451" i="1"/>
  <c r="N451" s="1"/>
  <c r="C451"/>
  <c r="D451" s="1"/>
  <c r="A451"/>
  <c r="L451"/>
  <c r="M450" s="1"/>
  <c r="B452"/>
  <c r="AK450"/>
  <c r="AH450"/>
  <c r="BC450"/>
  <c r="AI450"/>
  <c r="Z450"/>
  <c r="AJ450"/>
  <c r="AC450"/>
  <c r="AM450"/>
  <c r="E439" i="48"/>
  <c r="X439" s="1"/>
  <c r="D439"/>
  <c r="W439" s="1"/>
  <c r="C439"/>
  <c r="B440"/>
  <c r="E433" i="38"/>
  <c r="Z433"/>
  <c r="AA433" s="1"/>
  <c r="D433"/>
  <c r="F433"/>
  <c r="AM433" s="1"/>
  <c r="E452" i="52"/>
  <c r="V438" i="48"/>
  <c r="F438"/>
  <c r="Y438" s="1"/>
  <c r="AN432" i="38"/>
  <c r="AO432"/>
  <c r="AP432" s="1"/>
  <c r="AQ432" s="1"/>
  <c r="W449" i="1"/>
  <c r="R449"/>
  <c r="P450"/>
  <c r="AS431" i="38" l="1"/>
  <c r="AU431" s="1"/>
  <c r="AV431" s="1"/>
  <c r="BA431" s="1"/>
  <c r="BB431" s="1"/>
  <c r="BH431" s="1"/>
  <c r="BJ431" s="1"/>
  <c r="P431" s="1"/>
  <c r="O431" s="1"/>
  <c r="AR432"/>
  <c r="AS432" s="1"/>
  <c r="AU432" s="1"/>
  <c r="AV432" s="1"/>
  <c r="BA432" s="1"/>
  <c r="BB432" s="1"/>
  <c r="BH432" s="1"/>
  <c r="BJ432" s="1"/>
  <c r="P432" s="1"/>
  <c r="O432" s="1"/>
  <c r="S449" i="1"/>
  <c r="AF443"/>
  <c r="AD444"/>
  <c r="BD447"/>
  <c r="BE447" s="1"/>
  <c r="T447" s="1"/>
  <c r="U447" s="1"/>
  <c r="BA448"/>
  <c r="I450" i="53"/>
  <c r="CV27" i="55" s="1"/>
  <c r="CA27"/>
  <c r="D450" i="53"/>
  <c r="P27" i="55" s="1"/>
  <c r="V446" i="1"/>
  <c r="X446"/>
  <c r="AB445"/>
  <c r="AE445" s="1"/>
  <c r="AL445" s="1"/>
  <c r="AA445"/>
  <c r="E452" i="53" s="1"/>
  <c r="BF28" i="55"/>
  <c r="G451" i="53"/>
  <c r="BK432" i="38"/>
  <c r="F454" i="52"/>
  <c r="A436" i="26"/>
  <c r="B436" s="1"/>
  <c r="C452" i="1"/>
  <c r="D452" s="1"/>
  <c r="L452"/>
  <c r="M451" s="1"/>
  <c r="B435" i="38"/>
  <c r="E452" i="1"/>
  <c r="A452"/>
  <c r="A459" i="53"/>
  <c r="B460" s="1"/>
  <c r="B453" i="1"/>
  <c r="K452"/>
  <c r="N452" s="1"/>
  <c r="P451"/>
  <c r="E440" i="48"/>
  <c r="X440" s="1"/>
  <c r="B441"/>
  <c r="C440"/>
  <c r="D440"/>
  <c r="W440" s="1"/>
  <c r="D434" i="38"/>
  <c r="Z434"/>
  <c r="AA434" s="1"/>
  <c r="E434"/>
  <c r="F434"/>
  <c r="AM434" s="1"/>
  <c r="W450" i="1"/>
  <c r="R450"/>
  <c r="S450" s="1"/>
  <c r="AN433" i="38"/>
  <c r="AO433"/>
  <c r="AP433" s="1"/>
  <c r="AQ433" s="1"/>
  <c r="V439" i="48"/>
  <c r="F439"/>
  <c r="Y439" s="1"/>
  <c r="AI451" i="1"/>
  <c r="AH451"/>
  <c r="AM451"/>
  <c r="Z451"/>
  <c r="AK451"/>
  <c r="BC451"/>
  <c r="AJ451"/>
  <c r="AC451"/>
  <c r="E453" i="52"/>
  <c r="AR433" i="38" l="1"/>
  <c r="CA28" i="55"/>
  <c r="D451" i="53"/>
  <c r="P28" i="55" s="1"/>
  <c r="I451" i="53"/>
  <c r="CV28" i="55" s="1"/>
  <c r="AF444" i="1"/>
  <c r="AD445"/>
  <c r="AB446"/>
  <c r="AE446" s="1"/>
  <c r="AL446" s="1"/>
  <c r="AA446"/>
  <c r="E453" i="53" s="1"/>
  <c r="BF29" i="55"/>
  <c r="G452" i="53"/>
  <c r="BD448" i="1"/>
  <c r="BE448" s="1"/>
  <c r="T448" s="1"/>
  <c r="U448" s="1"/>
  <c r="BA449"/>
  <c r="V447"/>
  <c r="X447"/>
  <c r="V440" i="48"/>
  <c r="F440"/>
  <c r="Y440" s="1"/>
  <c r="AS433" i="38"/>
  <c r="AU433" s="1"/>
  <c r="AV433" s="1"/>
  <c r="BA433" s="1"/>
  <c r="BB433" s="1"/>
  <c r="BH433" s="1"/>
  <c r="BJ433" s="1"/>
  <c r="P433" s="1"/>
  <c r="O433" s="1"/>
  <c r="BK433"/>
  <c r="D441" i="48"/>
  <c r="W441" s="1"/>
  <c r="E441"/>
  <c r="X441" s="1"/>
  <c r="C441"/>
  <c r="B442"/>
  <c r="AJ452" i="1"/>
  <c r="AM452"/>
  <c r="AH452"/>
  <c r="AI452"/>
  <c r="AK452"/>
  <c r="BC452"/>
  <c r="Z452"/>
  <c r="AC452"/>
  <c r="W451"/>
  <c r="R451"/>
  <c r="P452"/>
  <c r="E454" i="52"/>
  <c r="AO434" i="38"/>
  <c r="AP434" s="1"/>
  <c r="AQ434" s="1"/>
  <c r="AN434"/>
  <c r="C453" i="1"/>
  <c r="D453" s="1"/>
  <c r="F455" i="52"/>
  <c r="A453" i="1"/>
  <c r="E453"/>
  <c r="A437" i="26"/>
  <c r="B437" s="1"/>
  <c r="K453" i="1"/>
  <c r="N453" s="1"/>
  <c r="B436" i="38"/>
  <c r="L453" i="1"/>
  <c r="M452" s="1"/>
  <c r="A460" i="53"/>
  <c r="B461" s="1"/>
  <c r="B454" i="1"/>
  <c r="D435" i="38"/>
  <c r="E435"/>
  <c r="Z435"/>
  <c r="AA435" s="1"/>
  <c r="F435"/>
  <c r="AM435" s="1"/>
  <c r="AR434" l="1"/>
  <c r="BK434" s="1"/>
  <c r="BD449" i="1"/>
  <c r="BE449" s="1"/>
  <c r="T449" s="1"/>
  <c r="U449" s="1"/>
  <c r="BA450"/>
  <c r="AB447"/>
  <c r="AE447" s="1"/>
  <c r="AL447" s="1"/>
  <c r="AA447"/>
  <c r="E454" i="53" s="1"/>
  <c r="V448" i="1"/>
  <c r="X448"/>
  <c r="G453" i="53"/>
  <c r="BF30" i="55"/>
  <c r="S451" i="1"/>
  <c r="I452" i="53"/>
  <c r="CV29" i="55" s="1"/>
  <c r="D452" i="53"/>
  <c r="P29" i="55" s="1"/>
  <c r="CA29"/>
  <c r="AF445" i="1"/>
  <c r="AD446"/>
  <c r="E442" i="48"/>
  <c r="X442" s="1"/>
  <c r="D442"/>
  <c r="W442" s="1"/>
  <c r="B443"/>
  <c r="C442"/>
  <c r="E455" i="52"/>
  <c r="V441" i="48"/>
  <c r="F441"/>
  <c r="Y441" s="1"/>
  <c r="D436" i="38"/>
  <c r="E436"/>
  <c r="Z436"/>
  <c r="AA436" s="1"/>
  <c r="F436"/>
  <c r="AM436" s="1"/>
  <c r="Z453" i="1"/>
  <c r="AH453"/>
  <c r="BC453"/>
  <c r="AM453"/>
  <c r="AJ453"/>
  <c r="AC453"/>
  <c r="AK453"/>
  <c r="AI453"/>
  <c r="R452"/>
  <c r="W452"/>
  <c r="AO435" i="38"/>
  <c r="AP435" s="1"/>
  <c r="AQ435" s="1"/>
  <c r="AN435"/>
  <c r="L454" i="1"/>
  <c r="M453" s="1"/>
  <c r="A461" i="53"/>
  <c r="B462" s="1"/>
  <c r="F456" i="52"/>
  <c r="A438" i="26"/>
  <c r="B438" s="1"/>
  <c r="B455" i="1"/>
  <c r="A454"/>
  <c r="C454"/>
  <c r="D454" s="1"/>
  <c r="K454"/>
  <c r="N454" s="1"/>
  <c r="E454"/>
  <c r="B437" i="38"/>
  <c r="P453" i="1"/>
  <c r="AS434" i="38" l="1"/>
  <c r="AU434" s="1"/>
  <c r="AV434" s="1"/>
  <c r="BA434" s="1"/>
  <c r="BB434" s="1"/>
  <c r="BH434" s="1"/>
  <c r="BJ434" s="1"/>
  <c r="P434" s="1"/>
  <c r="O434" s="1"/>
  <c r="S452" i="1"/>
  <c r="AB448"/>
  <c r="AE448" s="1"/>
  <c r="AL448" s="1"/>
  <c r="AA448"/>
  <c r="E455" i="53" s="1"/>
  <c r="BD450" i="1"/>
  <c r="BE450" s="1"/>
  <c r="T450" s="1"/>
  <c r="U450" s="1"/>
  <c r="BA451"/>
  <c r="V449"/>
  <c r="X449"/>
  <c r="AF446"/>
  <c r="AD447"/>
  <c r="CA30" i="55"/>
  <c r="I453" i="53"/>
  <c r="CV30" i="55" s="1"/>
  <c r="D453" i="53"/>
  <c r="P30" i="55" s="1"/>
  <c r="BF31"/>
  <c r="BF35" s="1"/>
  <c r="BG3"/>
  <c r="G454" i="53"/>
  <c r="P454" i="1"/>
  <c r="AR435" i="38"/>
  <c r="AO436"/>
  <c r="AP436" s="1"/>
  <c r="AQ436" s="1"/>
  <c r="AN436"/>
  <c r="V442" i="48"/>
  <c r="F442"/>
  <c r="Y442" s="1"/>
  <c r="E443"/>
  <c r="X443" s="1"/>
  <c r="C443"/>
  <c r="D443"/>
  <c r="W443" s="1"/>
  <c r="B444"/>
  <c r="E437" i="38"/>
  <c r="D437"/>
  <c r="F437"/>
  <c r="AM437" s="1"/>
  <c r="Z437"/>
  <c r="AA437" s="1"/>
  <c r="AI454" i="1"/>
  <c r="AC454"/>
  <c r="AJ454"/>
  <c r="AM454"/>
  <c r="AK454"/>
  <c r="BC454"/>
  <c r="AH454"/>
  <c r="Z454"/>
  <c r="W453"/>
  <c r="R453"/>
  <c r="E456" i="52"/>
  <c r="F457"/>
  <c r="C455" i="1"/>
  <c r="D455" s="1"/>
  <c r="A439" i="26"/>
  <c r="B439" s="1"/>
  <c r="K455" i="1"/>
  <c r="N455" s="1"/>
  <c r="E455"/>
  <c r="B456"/>
  <c r="B438" i="38"/>
  <c r="A462" i="53"/>
  <c r="B463" s="1"/>
  <c r="L455" i="1"/>
  <c r="M454" s="1"/>
  <c r="A455"/>
  <c r="AF447" l="1"/>
  <c r="AD448"/>
  <c r="BD451"/>
  <c r="BE451" s="1"/>
  <c r="T451" s="1"/>
  <c r="U451" s="1"/>
  <c r="BA452"/>
  <c r="S453"/>
  <c r="CA31" i="55"/>
  <c r="CA35" s="1"/>
  <c r="D454" i="53"/>
  <c r="I454"/>
  <c r="CB3" i="55"/>
  <c r="V450" i="1"/>
  <c r="X450"/>
  <c r="AB449"/>
  <c r="AE449" s="1"/>
  <c r="AL449" s="1"/>
  <c r="AA449"/>
  <c r="E456" i="53" s="1"/>
  <c r="BG4" i="55"/>
  <c r="G455" i="53"/>
  <c r="E457" i="52"/>
  <c r="D444" i="48"/>
  <c r="W444" s="1"/>
  <c r="B445"/>
  <c r="E444"/>
  <c r="X444" s="1"/>
  <c r="C444"/>
  <c r="BK435" i="38"/>
  <c r="AS435"/>
  <c r="AU435" s="1"/>
  <c r="AV435" s="1"/>
  <c r="BA435" s="1"/>
  <c r="BB435" s="1"/>
  <c r="BH435" s="1"/>
  <c r="BJ435" s="1"/>
  <c r="P435" s="1"/>
  <c r="O435" s="1"/>
  <c r="P455" i="1"/>
  <c r="AR436" i="38"/>
  <c r="E438"/>
  <c r="D438"/>
  <c r="Z438"/>
  <c r="AA438" s="1"/>
  <c r="F438"/>
  <c r="AM438" s="1"/>
  <c r="V443" i="48"/>
  <c r="F443"/>
  <c r="Y443" s="1"/>
  <c r="W454" i="1"/>
  <c r="R454"/>
  <c r="AM455"/>
  <c r="AJ455"/>
  <c r="Z455"/>
  <c r="AC455"/>
  <c r="AH455"/>
  <c r="BC455"/>
  <c r="AK455"/>
  <c r="AI455"/>
  <c r="F458" i="52"/>
  <c r="C456" i="1"/>
  <c r="D456" s="1"/>
  <c r="L456"/>
  <c r="M455" s="1"/>
  <c r="A463" i="53"/>
  <c r="B464" s="1"/>
  <c r="A440" i="26"/>
  <c r="B440" s="1"/>
  <c r="E456" i="1"/>
  <c r="A456"/>
  <c r="K456"/>
  <c r="N456" s="1"/>
  <c r="B439" i="38"/>
  <c r="B457" i="1"/>
  <c r="AN437" i="38"/>
  <c r="AO437"/>
  <c r="AP437" s="1"/>
  <c r="AQ437" s="1"/>
  <c r="AB450" i="1" l="1"/>
  <c r="AE450" s="1"/>
  <c r="AL450" s="1"/>
  <c r="AA450"/>
  <c r="E457" i="53" s="1"/>
  <c r="P31" i="55"/>
  <c r="P35" s="1"/>
  <c r="Q3"/>
  <c r="BD452" i="1"/>
  <c r="BE452" s="1"/>
  <c r="T452" s="1"/>
  <c r="U452" s="1"/>
  <c r="BA453"/>
  <c r="G456" i="53"/>
  <c r="BG5" i="55"/>
  <c r="V451" i="1"/>
  <c r="X451"/>
  <c r="S454"/>
  <c r="AF448"/>
  <c r="AD449"/>
  <c r="D455" i="53"/>
  <c r="Q4" i="55" s="1"/>
  <c r="I455" i="53"/>
  <c r="CW4" i="55" s="1"/>
  <c r="CB4"/>
  <c r="CW3"/>
  <c r="CV31"/>
  <c r="P456" i="1"/>
  <c r="AN438" i="38"/>
  <c r="AO438"/>
  <c r="AP438" s="1"/>
  <c r="AQ438" s="1"/>
  <c r="Z456" i="1"/>
  <c r="AK456"/>
  <c r="BC456"/>
  <c r="AJ456"/>
  <c r="AC456"/>
  <c r="AH456"/>
  <c r="AM456"/>
  <c r="AI456"/>
  <c r="W455"/>
  <c r="R455"/>
  <c r="C445" i="48"/>
  <c r="D445"/>
  <c r="W445" s="1"/>
  <c r="E445"/>
  <c r="X445" s="1"/>
  <c r="B446"/>
  <c r="F459" i="52"/>
  <c r="A441" i="26"/>
  <c r="B441" s="1"/>
  <c r="L457" i="1"/>
  <c r="M456" s="1"/>
  <c r="A464" i="53"/>
  <c r="B465" s="1"/>
  <c r="B458" i="1"/>
  <c r="C457"/>
  <c r="D457" s="1"/>
  <c r="K457"/>
  <c r="N457" s="1"/>
  <c r="E457"/>
  <c r="A457"/>
  <c r="B440" i="38"/>
  <c r="E458" i="52"/>
  <c r="AR437" i="38"/>
  <c r="E439"/>
  <c r="Z439"/>
  <c r="AA439" s="1"/>
  <c r="D439"/>
  <c r="F439"/>
  <c r="AM439" s="1"/>
  <c r="BK436"/>
  <c r="AS436"/>
  <c r="AU436" s="1"/>
  <c r="AV436" s="1"/>
  <c r="BA436" s="1"/>
  <c r="BB436" s="1"/>
  <c r="BH436" s="1"/>
  <c r="BJ436" s="1"/>
  <c r="P436" s="1"/>
  <c r="O436" s="1"/>
  <c r="V444" i="48"/>
  <c r="F444"/>
  <c r="Y444" s="1"/>
  <c r="AF449" i="1" l="1"/>
  <c r="AD450"/>
  <c r="AB451"/>
  <c r="AE451" s="1"/>
  <c r="AL451" s="1"/>
  <c r="AA451"/>
  <c r="E458" i="53" s="1"/>
  <c r="I456"/>
  <c r="CW5" i="55" s="1"/>
  <c r="CB5"/>
  <c r="D456" i="53"/>
  <c r="Q5" i="55" s="1"/>
  <c r="BD453" i="1"/>
  <c r="BE453" s="1"/>
  <c r="T453" s="1"/>
  <c r="U453" s="1"/>
  <c r="BA454"/>
  <c r="G457" i="53"/>
  <c r="BG6" i="55"/>
  <c r="S455" i="1"/>
  <c r="V452"/>
  <c r="X452"/>
  <c r="AO439" i="38"/>
  <c r="AP439" s="1"/>
  <c r="AQ439" s="1"/>
  <c r="AN439"/>
  <c r="BK437"/>
  <c r="AS437"/>
  <c r="AU437" s="1"/>
  <c r="AV437" s="1"/>
  <c r="BA437" s="1"/>
  <c r="BB437" s="1"/>
  <c r="BH437" s="1"/>
  <c r="BJ437" s="1"/>
  <c r="P437" s="1"/>
  <c r="O437" s="1"/>
  <c r="AH457" i="1"/>
  <c r="BC457"/>
  <c r="AK457"/>
  <c r="AI457"/>
  <c r="AM457"/>
  <c r="Z457"/>
  <c r="AC457"/>
  <c r="AJ457"/>
  <c r="C458"/>
  <c r="D458" s="1"/>
  <c r="A465" i="53"/>
  <c r="B466" s="1"/>
  <c r="F460" i="52"/>
  <c r="L458" i="1"/>
  <c r="M457" s="1"/>
  <c r="B459"/>
  <c r="A442" i="26"/>
  <c r="B442" s="1"/>
  <c r="A458" i="1"/>
  <c r="B441" i="38"/>
  <c r="K458" i="1"/>
  <c r="N458" s="1"/>
  <c r="E458"/>
  <c r="AR438" i="38"/>
  <c r="W456" i="1"/>
  <c r="R456"/>
  <c r="E459" i="52"/>
  <c r="V445" i="48"/>
  <c r="F445"/>
  <c r="Y445" s="1"/>
  <c r="P457" i="1"/>
  <c r="E446" i="48"/>
  <c r="X446" s="1"/>
  <c r="C446"/>
  <c r="B447"/>
  <c r="D446"/>
  <c r="W446" s="1"/>
  <c r="E440" i="38"/>
  <c r="Z440"/>
  <c r="AA440" s="1"/>
  <c r="D440"/>
  <c r="F440"/>
  <c r="AM440" s="1"/>
  <c r="AR439" l="1"/>
  <c r="S456" i="1"/>
  <c r="BG7" i="55"/>
  <c r="G458" i="53"/>
  <c r="CB6" i="55"/>
  <c r="I457" i="53"/>
  <c r="CW6" i="55" s="1"/>
  <c r="D457" i="53"/>
  <c r="Q6" i="55" s="1"/>
  <c r="BD454" i="1"/>
  <c r="BE454" s="1"/>
  <c r="T454" s="1"/>
  <c r="U454" s="1"/>
  <c r="BA455"/>
  <c r="AF450"/>
  <c r="AD451"/>
  <c r="AB452"/>
  <c r="AE452" s="1"/>
  <c r="AL452" s="1"/>
  <c r="AA452"/>
  <c r="E459" i="53" s="1"/>
  <c r="V453" i="1"/>
  <c r="X453"/>
  <c r="P458"/>
  <c r="L459"/>
  <c r="M458" s="1"/>
  <c r="F461" i="52"/>
  <c r="A443" i="26"/>
  <c r="B443" s="1"/>
  <c r="E459" i="1"/>
  <c r="K459"/>
  <c r="N459" s="1"/>
  <c r="A466" i="53"/>
  <c r="B467" s="1"/>
  <c r="C459" i="1"/>
  <c r="D459" s="1"/>
  <c r="A459"/>
  <c r="B460"/>
  <c r="B442" i="38"/>
  <c r="BK438"/>
  <c r="AS438"/>
  <c r="AU438" s="1"/>
  <c r="AV438" s="1"/>
  <c r="BA438" s="1"/>
  <c r="BB438" s="1"/>
  <c r="BH438" s="1"/>
  <c r="BJ438" s="1"/>
  <c r="P438" s="1"/>
  <c r="O438" s="1"/>
  <c r="D441"/>
  <c r="E441"/>
  <c r="Z441"/>
  <c r="AA441" s="1"/>
  <c r="F441"/>
  <c r="AM441" s="1"/>
  <c r="BK439"/>
  <c r="AS439"/>
  <c r="AU439" s="1"/>
  <c r="AV439" s="1"/>
  <c r="BA439" s="1"/>
  <c r="BB439" s="1"/>
  <c r="BH439" s="1"/>
  <c r="BJ439" s="1"/>
  <c r="P439" s="1"/>
  <c r="O439" s="1"/>
  <c r="E447" i="48"/>
  <c r="X447" s="1"/>
  <c r="D447"/>
  <c r="W447" s="1"/>
  <c r="C447"/>
  <c r="B448"/>
  <c r="W457" i="1"/>
  <c r="R457"/>
  <c r="S457" s="1"/>
  <c r="AK458"/>
  <c r="AH458"/>
  <c r="Z458"/>
  <c r="AM458"/>
  <c r="AC458"/>
  <c r="AI458"/>
  <c r="BC458"/>
  <c r="AJ458"/>
  <c r="AN440" i="38"/>
  <c r="AO440"/>
  <c r="AP440" s="1"/>
  <c r="AQ440" s="1"/>
  <c r="V446" i="48"/>
  <c r="F446"/>
  <c r="Y446" s="1"/>
  <c r="E460" i="52"/>
  <c r="AF451" i="1" l="1"/>
  <c r="AD452"/>
  <c r="BG8" i="55"/>
  <c r="G459" i="53"/>
  <c r="BD455" i="1"/>
  <c r="BE455" s="1"/>
  <c r="T455" s="1"/>
  <c r="U455" s="1"/>
  <c r="BA456"/>
  <c r="AB453"/>
  <c r="AE453" s="1"/>
  <c r="AL453" s="1"/>
  <c r="AA453"/>
  <c r="E460" i="53" s="1"/>
  <c r="V454" i="1"/>
  <c r="X454"/>
  <c r="CB7" i="55"/>
  <c r="D458" i="53"/>
  <c r="Q7" i="55" s="1"/>
  <c r="I458" i="53"/>
  <c r="CW7" i="55" s="1"/>
  <c r="D442" i="38"/>
  <c r="E442"/>
  <c r="Z442"/>
  <c r="AA442" s="1"/>
  <c r="F442"/>
  <c r="AM442" s="1"/>
  <c r="AR440"/>
  <c r="E448" i="48"/>
  <c r="X448" s="1"/>
  <c r="D448"/>
  <c r="W448" s="1"/>
  <c r="C448"/>
  <c r="B449"/>
  <c r="F462" i="52"/>
  <c r="L460" i="1"/>
  <c r="M459" s="1"/>
  <c r="K460"/>
  <c r="N460" s="1"/>
  <c r="A444" i="26"/>
  <c r="B444" s="1"/>
  <c r="B461" i="1"/>
  <c r="B443" i="38"/>
  <c r="C460" i="1"/>
  <c r="D460" s="1"/>
  <c r="A460"/>
  <c r="E460"/>
  <c r="A467" i="53"/>
  <c r="B468" s="1"/>
  <c r="P459" i="1"/>
  <c r="V447" i="48"/>
  <c r="F447"/>
  <c r="Y447" s="1"/>
  <c r="AO441" i="38"/>
  <c r="AP441" s="1"/>
  <c r="AQ441" s="1"/>
  <c r="AN441"/>
  <c r="AJ459" i="1"/>
  <c r="AH459"/>
  <c r="AK459"/>
  <c r="AI459"/>
  <c r="AC459"/>
  <c r="BC459"/>
  <c r="AM459"/>
  <c r="Z459"/>
  <c r="E461" i="52"/>
  <c r="W458" i="1"/>
  <c r="R458"/>
  <c r="AB454" l="1"/>
  <c r="AE454" s="1"/>
  <c r="AL454" s="1"/>
  <c r="AA454"/>
  <c r="E461" i="53" s="1"/>
  <c r="BD456" i="1"/>
  <c r="BE456" s="1"/>
  <c r="T456" s="1"/>
  <c r="U456" s="1"/>
  <c r="BA457"/>
  <c r="V455"/>
  <c r="X455"/>
  <c r="S458"/>
  <c r="BG9" i="55"/>
  <c r="G460" i="53"/>
  <c r="D459"/>
  <c r="Q8" i="55" s="1"/>
  <c r="CB8"/>
  <c r="I459" i="53"/>
  <c r="CW8" i="55" s="1"/>
  <c r="AF452" i="1"/>
  <c r="AD453"/>
  <c r="P460"/>
  <c r="AO442" i="38"/>
  <c r="AP442" s="1"/>
  <c r="AQ442" s="1"/>
  <c r="AN442"/>
  <c r="AR442" s="1"/>
  <c r="R459" i="1"/>
  <c r="W459"/>
  <c r="D443" i="38"/>
  <c r="E443"/>
  <c r="F443"/>
  <c r="AM443" s="1"/>
  <c r="Z443"/>
  <c r="AA443" s="1"/>
  <c r="D449" i="48"/>
  <c r="W449" s="1"/>
  <c r="E449"/>
  <c r="X449" s="1"/>
  <c r="C449"/>
  <c r="B450"/>
  <c r="BK440" i="38"/>
  <c r="AS440"/>
  <c r="AU440" s="1"/>
  <c r="AV440" s="1"/>
  <c r="BA440" s="1"/>
  <c r="BB440" s="1"/>
  <c r="BH440" s="1"/>
  <c r="BJ440" s="1"/>
  <c r="P440" s="1"/>
  <c r="O440" s="1"/>
  <c r="AR441"/>
  <c r="E462" i="52"/>
  <c r="A445" i="26"/>
  <c r="B445" s="1"/>
  <c r="L461" i="1"/>
  <c r="M460" s="1"/>
  <c r="F463" i="52"/>
  <c r="C461" i="1"/>
  <c r="D461" s="1"/>
  <c r="K461"/>
  <c r="N461" s="1"/>
  <c r="E461"/>
  <c r="A461"/>
  <c r="B462"/>
  <c r="B444" i="38"/>
  <c r="A468" i="53"/>
  <c r="B469" s="1"/>
  <c r="V448" i="48"/>
  <c r="F448"/>
  <c r="Y448" s="1"/>
  <c r="AC460" i="1"/>
  <c r="BC460"/>
  <c r="AM460"/>
  <c r="Z460"/>
  <c r="AJ460"/>
  <c r="AK460"/>
  <c r="AI460"/>
  <c r="AH460"/>
  <c r="CB9" i="55" l="1"/>
  <c r="D460" i="53"/>
  <c r="Q9" i="55" s="1"/>
  <c r="I460" i="53"/>
  <c r="CW9" i="55" s="1"/>
  <c r="BD457" i="1"/>
  <c r="BE457" s="1"/>
  <c r="T457" s="1"/>
  <c r="U457" s="1"/>
  <c r="BA458"/>
  <c r="S459"/>
  <c r="AB455"/>
  <c r="AE455" s="1"/>
  <c r="AL455" s="1"/>
  <c r="AA455"/>
  <c r="E462" i="53" s="1"/>
  <c r="V456" i="1"/>
  <c r="X456"/>
  <c r="BG10" i="55"/>
  <c r="G461" i="53"/>
  <c r="AF453" i="1"/>
  <c r="AD454"/>
  <c r="Z461"/>
  <c r="AK461"/>
  <c r="BC461"/>
  <c r="AI461"/>
  <c r="AJ461"/>
  <c r="AH461"/>
  <c r="AC461"/>
  <c r="AM461"/>
  <c r="V449" i="48"/>
  <c r="F449"/>
  <c r="Y449" s="1"/>
  <c r="E463" i="52"/>
  <c r="BK441" i="38"/>
  <c r="AS441"/>
  <c r="AU441" s="1"/>
  <c r="AV441" s="1"/>
  <c r="BA441" s="1"/>
  <c r="BB441" s="1"/>
  <c r="BH441" s="1"/>
  <c r="BJ441" s="1"/>
  <c r="P441" s="1"/>
  <c r="O441" s="1"/>
  <c r="BK442"/>
  <c r="AS442"/>
  <c r="AU442" s="1"/>
  <c r="AV442" s="1"/>
  <c r="BA442" s="1"/>
  <c r="BB442" s="1"/>
  <c r="BH442" s="1"/>
  <c r="BJ442" s="1"/>
  <c r="P442" s="1"/>
  <c r="O442" s="1"/>
  <c r="E444"/>
  <c r="D444"/>
  <c r="F444"/>
  <c r="AM444" s="1"/>
  <c r="Z444"/>
  <c r="AA444" s="1"/>
  <c r="P461" i="1"/>
  <c r="W460"/>
  <c r="R460"/>
  <c r="E462"/>
  <c r="L462"/>
  <c r="M461" s="1"/>
  <c r="F464" i="52"/>
  <c r="A469" i="53"/>
  <c r="B470" s="1"/>
  <c r="A446" i="26"/>
  <c r="B446" s="1"/>
  <c r="K462" i="1"/>
  <c r="N462" s="1"/>
  <c r="A462"/>
  <c r="B463"/>
  <c r="B445" i="38"/>
  <c r="C462" i="1"/>
  <c r="D462" s="1"/>
  <c r="D450" i="48"/>
  <c r="W450" s="1"/>
  <c r="C450"/>
  <c r="E450"/>
  <c r="X450" s="1"/>
  <c r="B451"/>
  <c r="AN443" i="38"/>
  <c r="AO443"/>
  <c r="AP443" s="1"/>
  <c r="AQ443" s="1"/>
  <c r="S460" i="1" l="1"/>
  <c r="AB456"/>
  <c r="AE456" s="1"/>
  <c r="AL456" s="1"/>
  <c r="AA456"/>
  <c r="E463" i="53" s="1"/>
  <c r="V457" i="1"/>
  <c r="X457"/>
  <c r="I461" i="53"/>
  <c r="CW10" i="55" s="1"/>
  <c r="D461" i="53"/>
  <c r="Q10" i="55" s="1"/>
  <c r="CB10"/>
  <c r="BG11"/>
  <c r="G462" i="53"/>
  <c r="AF454" i="1"/>
  <c r="AD455"/>
  <c r="BD458"/>
  <c r="BE458" s="1"/>
  <c r="T458" s="1"/>
  <c r="U458" s="1"/>
  <c r="BA459"/>
  <c r="D451" i="48"/>
  <c r="W451" s="1"/>
  <c r="C451"/>
  <c r="B452"/>
  <c r="E451"/>
  <c r="X451" s="1"/>
  <c r="C463" i="1"/>
  <c r="D463" s="1"/>
  <c r="E463"/>
  <c r="A470" i="53"/>
  <c r="B471" s="1"/>
  <c r="A447" i="26"/>
  <c r="B447" s="1"/>
  <c r="F465" i="52"/>
  <c r="A463" i="1"/>
  <c r="L463"/>
  <c r="M462" s="1"/>
  <c r="K463"/>
  <c r="N463" s="1"/>
  <c r="B446" i="38"/>
  <c r="B464" i="1"/>
  <c r="Z462"/>
  <c r="AC462"/>
  <c r="BC462"/>
  <c r="AJ462"/>
  <c r="AI462"/>
  <c r="AK462"/>
  <c r="AM462"/>
  <c r="AH462"/>
  <c r="V450" i="48"/>
  <c r="F450"/>
  <c r="Y450" s="1"/>
  <c r="P462" i="1"/>
  <c r="AR443" i="38"/>
  <c r="D445"/>
  <c r="Z445"/>
  <c r="AA445" s="1"/>
  <c r="E445"/>
  <c r="F445"/>
  <c r="AM445" s="1"/>
  <c r="E464" i="52"/>
  <c r="W461" i="1"/>
  <c r="R461"/>
  <c r="S461" s="1"/>
  <c r="AN444" i="38"/>
  <c r="AO444"/>
  <c r="AP444" s="1"/>
  <c r="AQ444" s="1"/>
  <c r="AR444" l="1"/>
  <c r="V458" i="1"/>
  <c r="X458"/>
  <c r="I462" i="53"/>
  <c r="CW11" i="55" s="1"/>
  <c r="CB11"/>
  <c r="D462" i="53"/>
  <c r="Q11" i="55" s="1"/>
  <c r="BG12"/>
  <c r="G463" i="53"/>
  <c r="AF455" i="1"/>
  <c r="AD456"/>
  <c r="AB457"/>
  <c r="AE457" s="1"/>
  <c r="AL457" s="1"/>
  <c r="AA457"/>
  <c r="E464" i="53" s="1"/>
  <c r="BD459" i="1"/>
  <c r="BE459" s="1"/>
  <c r="T459" s="1"/>
  <c r="U459" s="1"/>
  <c r="BA460"/>
  <c r="W462"/>
  <c r="R462"/>
  <c r="S462" s="1"/>
  <c r="A471" i="53"/>
  <c r="B472" s="1"/>
  <c r="E464" i="1"/>
  <c r="A448" i="26"/>
  <c r="B448" s="1"/>
  <c r="F466" i="52"/>
  <c r="C464" i="1"/>
  <c r="D464" s="1"/>
  <c r="A464"/>
  <c r="L464"/>
  <c r="M463" s="1"/>
  <c r="K464"/>
  <c r="N464" s="1"/>
  <c r="B465"/>
  <c r="B447" i="38"/>
  <c r="AJ463" i="1"/>
  <c r="AM463"/>
  <c r="AK463"/>
  <c r="AC463"/>
  <c r="AH463"/>
  <c r="Z463"/>
  <c r="BC463"/>
  <c r="AI463"/>
  <c r="E465" i="52"/>
  <c r="V451" i="48"/>
  <c r="F451"/>
  <c r="Y451" s="1"/>
  <c r="D446" i="38"/>
  <c r="E446"/>
  <c r="Z446"/>
  <c r="AA446" s="1"/>
  <c r="F446"/>
  <c r="AM446" s="1"/>
  <c r="BK444"/>
  <c r="AS444"/>
  <c r="AU444" s="1"/>
  <c r="AV444" s="1"/>
  <c r="BA444" s="1"/>
  <c r="BB444" s="1"/>
  <c r="BH444" s="1"/>
  <c r="BJ444" s="1"/>
  <c r="P444" s="1"/>
  <c r="O444" s="1"/>
  <c r="P463" i="1"/>
  <c r="AO445" i="38"/>
  <c r="AP445" s="1"/>
  <c r="AQ445" s="1"/>
  <c r="AN445"/>
  <c r="BK443"/>
  <c r="AS443"/>
  <c r="AU443" s="1"/>
  <c r="AV443" s="1"/>
  <c r="BA443" s="1"/>
  <c r="BB443" s="1"/>
  <c r="BH443" s="1"/>
  <c r="BJ443" s="1"/>
  <c r="P443" s="1"/>
  <c r="O443" s="1"/>
  <c r="C452" i="48"/>
  <c r="D452"/>
  <c r="W452" s="1"/>
  <c r="B453"/>
  <c r="E452"/>
  <c r="X452" s="1"/>
  <c r="AR445" i="38" l="1"/>
  <c r="AS445" s="1"/>
  <c r="AU445" s="1"/>
  <c r="AV445" s="1"/>
  <c r="BA445" s="1"/>
  <c r="BB445" s="1"/>
  <c r="BH445" s="1"/>
  <c r="BJ445" s="1"/>
  <c r="P445" s="1"/>
  <c r="O445" s="1"/>
  <c r="G464" i="53"/>
  <c r="BG13" i="55"/>
  <c r="CB12"/>
  <c r="I463" i="53"/>
  <c r="CW12" i="55" s="1"/>
  <c r="D463" i="53"/>
  <c r="Q12" i="55" s="1"/>
  <c r="BD460" i="1"/>
  <c r="BE460" s="1"/>
  <c r="T460" s="1"/>
  <c r="U460" s="1"/>
  <c r="BA461"/>
  <c r="V459"/>
  <c r="X459"/>
  <c r="AF456"/>
  <c r="AD457"/>
  <c r="AB458"/>
  <c r="AE458" s="1"/>
  <c r="AL458" s="1"/>
  <c r="AA458"/>
  <c r="E465" i="53" s="1"/>
  <c r="V452" i="48"/>
  <c r="F452"/>
  <c r="Y452" s="1"/>
  <c r="E453"/>
  <c r="X453" s="1"/>
  <c r="D453"/>
  <c r="W453" s="1"/>
  <c r="C453"/>
  <c r="B454"/>
  <c r="P464" i="1"/>
  <c r="AN446" i="38"/>
  <c r="AO446"/>
  <c r="AP446" s="1"/>
  <c r="AQ446" s="1"/>
  <c r="D447"/>
  <c r="E447"/>
  <c r="Z447"/>
  <c r="AA447" s="1"/>
  <c r="F447"/>
  <c r="AM447" s="1"/>
  <c r="AK464" i="1"/>
  <c r="AJ464"/>
  <c r="AM464"/>
  <c r="BC464"/>
  <c r="AC464"/>
  <c r="AI464"/>
  <c r="Z464"/>
  <c r="AH464"/>
  <c r="E466" i="52"/>
  <c r="W463" i="1"/>
  <c r="R463"/>
  <c r="S463" s="1"/>
  <c r="F467" i="52"/>
  <c r="L465" i="1"/>
  <c r="M464" s="1"/>
  <c r="E465"/>
  <c r="A472" i="53"/>
  <c r="B473" s="1"/>
  <c r="C465" i="1"/>
  <c r="D465" s="1"/>
  <c r="B466"/>
  <c r="K465"/>
  <c r="N465" s="1"/>
  <c r="B448" i="38"/>
  <c r="A449" i="26"/>
  <c r="B449" s="1"/>
  <c r="A465" i="1"/>
  <c r="BK445" i="38" l="1"/>
  <c r="AR446"/>
  <c r="AS446" s="1"/>
  <c r="AU446" s="1"/>
  <c r="AV446" s="1"/>
  <c r="BA446" s="1"/>
  <c r="BB446" s="1"/>
  <c r="BH446" s="1"/>
  <c r="BJ446" s="1"/>
  <c r="P446" s="1"/>
  <c r="O446" s="1"/>
  <c r="V460" i="1"/>
  <c r="X460"/>
  <c r="G465" i="53"/>
  <c r="BG14" i="55"/>
  <c r="AB459" i="1"/>
  <c r="AE459" s="1"/>
  <c r="AL459" s="1"/>
  <c r="AA459"/>
  <c r="E466" i="53" s="1"/>
  <c r="AF457" i="1"/>
  <c r="AD458"/>
  <c r="BD461"/>
  <c r="BE461" s="1"/>
  <c r="T461" s="1"/>
  <c r="U461" s="1"/>
  <c r="BA462"/>
  <c r="CB13" i="55"/>
  <c r="D464" i="53"/>
  <c r="Q13" i="55" s="1"/>
  <c r="I464" i="53"/>
  <c r="CW13" i="55" s="1"/>
  <c r="W464" i="1"/>
  <c r="R464"/>
  <c r="V453" i="48"/>
  <c r="F453"/>
  <c r="Y453" s="1"/>
  <c r="Z448" i="38"/>
  <c r="AA448" s="1"/>
  <c r="D448"/>
  <c r="E448"/>
  <c r="F448"/>
  <c r="AM448" s="1"/>
  <c r="P465" i="1"/>
  <c r="E467" i="52"/>
  <c r="BK446" i="38"/>
  <c r="Z465" i="1"/>
  <c r="AM465"/>
  <c r="BC465"/>
  <c r="AH465"/>
  <c r="AK465"/>
  <c r="AC465"/>
  <c r="AI465"/>
  <c r="AJ465"/>
  <c r="L466"/>
  <c r="M465" s="1"/>
  <c r="F468" i="52"/>
  <c r="C466" i="1"/>
  <c r="D466" s="1"/>
  <c r="E466"/>
  <c r="A473" i="53"/>
  <c r="B474" s="1"/>
  <c r="A466" i="1"/>
  <c r="B467"/>
  <c r="B449" i="38"/>
  <c r="K466" i="1"/>
  <c r="N466" s="1"/>
  <c r="A450" i="26"/>
  <c r="B450" s="1"/>
  <c r="AO447" i="38"/>
  <c r="AP447" s="1"/>
  <c r="AQ447" s="1"/>
  <c r="AN447"/>
  <c r="B455" i="48"/>
  <c r="D454"/>
  <c r="W454" s="1"/>
  <c r="C454"/>
  <c r="E454"/>
  <c r="X454" s="1"/>
  <c r="AR447" i="38" l="1"/>
  <c r="AS447" s="1"/>
  <c r="AU447" s="1"/>
  <c r="AV447" s="1"/>
  <c r="BA447" s="1"/>
  <c r="BB447" s="1"/>
  <c r="BH447" s="1"/>
  <c r="BJ447" s="1"/>
  <c r="P447" s="1"/>
  <c r="O447" s="1"/>
  <c r="BD462" i="1"/>
  <c r="BE462" s="1"/>
  <c r="T462" s="1"/>
  <c r="U462" s="1"/>
  <c r="BA463"/>
  <c r="V461"/>
  <c r="X461"/>
  <c r="BG15" i="55"/>
  <c r="G466" i="53"/>
  <c r="D465"/>
  <c r="Q14" i="55" s="1"/>
  <c r="CB14"/>
  <c r="I465" i="53"/>
  <c r="CW14" i="55" s="1"/>
  <c r="S464" i="1"/>
  <c r="AF458"/>
  <c r="AD459"/>
  <c r="AB460"/>
  <c r="AE460" s="1"/>
  <c r="AL460" s="1"/>
  <c r="AA460"/>
  <c r="E467" i="53" s="1"/>
  <c r="E455" i="48"/>
  <c r="X455" s="1"/>
  <c r="D455"/>
  <c r="W455" s="1"/>
  <c r="C455"/>
  <c r="B456"/>
  <c r="V454"/>
  <c r="F454"/>
  <c r="Y454" s="1"/>
  <c r="A474" i="53"/>
  <c r="B475" s="1"/>
  <c r="E467" i="1"/>
  <c r="A451" i="26"/>
  <c r="B451" s="1"/>
  <c r="F469" i="52"/>
  <c r="K467" i="1"/>
  <c r="N467" s="1"/>
  <c r="L467"/>
  <c r="M466" s="1"/>
  <c r="A467"/>
  <c r="B468"/>
  <c r="B450" i="38"/>
  <c r="C467" i="1"/>
  <c r="D467" s="1"/>
  <c r="AK466"/>
  <c r="BC466"/>
  <c r="AM466"/>
  <c r="AC466"/>
  <c r="AJ466"/>
  <c r="AH466"/>
  <c r="Z466"/>
  <c r="AI466"/>
  <c r="P466"/>
  <c r="W465"/>
  <c r="R465"/>
  <c r="D449" i="38"/>
  <c r="E449"/>
  <c r="F449"/>
  <c r="AM449" s="1"/>
  <c r="Z449"/>
  <c r="AA449" s="1"/>
  <c r="E468" i="52"/>
  <c r="AO448" i="38"/>
  <c r="AP448" s="1"/>
  <c r="AQ448" s="1"/>
  <c r="AN448"/>
  <c r="BK447" l="1"/>
  <c r="AR448"/>
  <c r="AS448" s="1"/>
  <c r="AU448" s="1"/>
  <c r="AV448" s="1"/>
  <c r="BA448" s="1"/>
  <c r="BB448" s="1"/>
  <c r="BH448" s="1"/>
  <c r="BJ448" s="1"/>
  <c r="P448" s="1"/>
  <c r="O448" s="1"/>
  <c r="S465" i="1"/>
  <c r="AB461"/>
  <c r="AE461" s="1"/>
  <c r="AL461" s="1"/>
  <c r="AA461"/>
  <c r="E468" i="53" s="1"/>
  <c r="AF459" i="1"/>
  <c r="AD460"/>
  <c r="D466" i="53"/>
  <c r="Q15" i="55" s="1"/>
  <c r="CB15"/>
  <c r="I466" i="53"/>
  <c r="CW15" i="55" s="1"/>
  <c r="BD463" i="1"/>
  <c r="BE463" s="1"/>
  <c r="T463" s="1"/>
  <c r="U463" s="1"/>
  <c r="BA464"/>
  <c r="G467" i="53"/>
  <c r="BG16" i="55"/>
  <c r="V462" i="1"/>
  <c r="X462"/>
  <c r="W466"/>
  <c r="R466"/>
  <c r="S466" s="1"/>
  <c r="F470" i="52"/>
  <c r="A475" i="53"/>
  <c r="B476" s="1"/>
  <c r="L468" i="1"/>
  <c r="M467" s="1"/>
  <c r="A452" i="26"/>
  <c r="B452" s="1"/>
  <c r="A468" i="1"/>
  <c r="E468"/>
  <c r="K468"/>
  <c r="N468" s="1"/>
  <c r="B469"/>
  <c r="B451" i="38"/>
  <c r="C468" i="1"/>
  <c r="D468" s="1"/>
  <c r="AN449" i="38"/>
  <c r="AR449" s="1"/>
  <c r="AO449"/>
  <c r="AP449" s="1"/>
  <c r="AQ449" s="1"/>
  <c r="Z467" i="1"/>
  <c r="AK467"/>
  <c r="AC467"/>
  <c r="AM467"/>
  <c r="AJ467"/>
  <c r="AH467"/>
  <c r="BC467"/>
  <c r="AI467"/>
  <c r="E469" i="52"/>
  <c r="B457" i="48"/>
  <c r="E456"/>
  <c r="X456" s="1"/>
  <c r="D456"/>
  <c r="W456" s="1"/>
  <c r="C456"/>
  <c r="D450" i="38"/>
  <c r="E450"/>
  <c r="Z450"/>
  <c r="AA450" s="1"/>
  <c r="F450"/>
  <c r="AM450" s="1"/>
  <c r="P467" i="1"/>
  <c r="F455" i="48"/>
  <c r="Y455" s="1"/>
  <c r="V455"/>
  <c r="BK448" i="38" l="1"/>
  <c r="BD464" i="1"/>
  <c r="BE464" s="1"/>
  <c r="T464" s="1"/>
  <c r="U464" s="1"/>
  <c r="BA465"/>
  <c r="V463"/>
  <c r="X463"/>
  <c r="AF460"/>
  <c r="AD461"/>
  <c r="AB462"/>
  <c r="AE462" s="1"/>
  <c r="AL462" s="1"/>
  <c r="AA462"/>
  <c r="E469" i="53" s="1"/>
  <c r="I467"/>
  <c r="CW16" i="55" s="1"/>
  <c r="CB16"/>
  <c r="D467" i="53"/>
  <c r="Q16" i="55" s="1"/>
  <c r="BG17"/>
  <c r="G468" i="53"/>
  <c r="W467" i="1"/>
  <c r="R467"/>
  <c r="S467" s="1"/>
  <c r="AO450" i="38"/>
  <c r="AP450" s="1"/>
  <c r="AQ450" s="1"/>
  <c r="AN450"/>
  <c r="V456" i="48"/>
  <c r="F456"/>
  <c r="Y456" s="1"/>
  <c r="E470" i="52"/>
  <c r="E451" i="38"/>
  <c r="D451"/>
  <c r="F451"/>
  <c r="AM451" s="1"/>
  <c r="Z451"/>
  <c r="AA451" s="1"/>
  <c r="AH468" i="1"/>
  <c r="Z468"/>
  <c r="AK468"/>
  <c r="AM468"/>
  <c r="AC468"/>
  <c r="BC468"/>
  <c r="AJ468"/>
  <c r="AI468"/>
  <c r="BK449" i="38"/>
  <c r="AS449"/>
  <c r="AU449" s="1"/>
  <c r="AV449" s="1"/>
  <c r="BA449" s="1"/>
  <c r="BB449" s="1"/>
  <c r="BH449" s="1"/>
  <c r="BJ449" s="1"/>
  <c r="P449" s="1"/>
  <c r="O449" s="1"/>
  <c r="F471" i="52"/>
  <c r="A453" i="26"/>
  <c r="B453" s="1"/>
  <c r="C469" i="1"/>
  <c r="D469" s="1"/>
  <c r="B470"/>
  <c r="E469"/>
  <c r="A469"/>
  <c r="K469"/>
  <c r="N469" s="1"/>
  <c r="B452" i="38"/>
  <c r="A476" i="53"/>
  <c r="B477" s="1"/>
  <c r="L469" i="1"/>
  <c r="M468" s="1"/>
  <c r="D457" i="48"/>
  <c r="W457" s="1"/>
  <c r="B458"/>
  <c r="C457"/>
  <c r="E457"/>
  <c r="X457" s="1"/>
  <c r="P468" i="1"/>
  <c r="I468" i="53" l="1"/>
  <c r="CW17" i="55" s="1"/>
  <c r="D468" i="53"/>
  <c r="Q17" i="55" s="1"/>
  <c r="CB17"/>
  <c r="AF461" i="1"/>
  <c r="AD462"/>
  <c r="BD465"/>
  <c r="BE465" s="1"/>
  <c r="T465" s="1"/>
  <c r="U465" s="1"/>
  <c r="BA466"/>
  <c r="V464"/>
  <c r="X464"/>
  <c r="BG18" i="55"/>
  <c r="G469" i="53"/>
  <c r="AB463" i="1"/>
  <c r="AE463" s="1"/>
  <c r="AL463" s="1"/>
  <c r="AA463"/>
  <c r="E470" i="53" s="1"/>
  <c r="V457" i="48"/>
  <c r="F457"/>
  <c r="Y457" s="1"/>
  <c r="D452" i="38"/>
  <c r="E452"/>
  <c r="Z452"/>
  <c r="AA452" s="1"/>
  <c r="F452"/>
  <c r="AM452" s="1"/>
  <c r="A454" i="26"/>
  <c r="B454" s="1"/>
  <c r="L470" i="1"/>
  <c r="M469" s="1"/>
  <c r="F472" i="52"/>
  <c r="C470" i="1"/>
  <c r="D470" s="1"/>
  <c r="B453" i="38"/>
  <c r="E470" i="1"/>
  <c r="B471"/>
  <c r="K470"/>
  <c r="N470" s="1"/>
  <c r="A477" i="53"/>
  <c r="B478" s="1"/>
  <c r="A470" i="1"/>
  <c r="AR450" i="38"/>
  <c r="D458" i="48"/>
  <c r="W458" s="1"/>
  <c r="E458"/>
  <c r="X458" s="1"/>
  <c r="C458"/>
  <c r="B459"/>
  <c r="P469" i="1"/>
  <c r="AO451" i="38"/>
  <c r="AP451" s="1"/>
  <c r="AQ451" s="1"/>
  <c r="AN451"/>
  <c r="AJ469" i="1"/>
  <c r="AI469"/>
  <c r="BC469"/>
  <c r="Z469"/>
  <c r="AM469"/>
  <c r="AH469"/>
  <c r="AC469"/>
  <c r="AK469"/>
  <c r="W468"/>
  <c r="R468"/>
  <c r="S468" s="1"/>
  <c r="E471" i="52"/>
  <c r="AR451" i="38" l="1"/>
  <c r="BK451" s="1"/>
  <c r="D469" i="53"/>
  <c r="Q18" i="55" s="1"/>
  <c r="I469" i="53"/>
  <c r="CW18" i="55" s="1"/>
  <c r="CB18"/>
  <c r="BD466" i="1"/>
  <c r="BE466" s="1"/>
  <c r="T466" s="1"/>
  <c r="U466" s="1"/>
  <c r="BA467"/>
  <c r="BG19" i="55"/>
  <c r="G470" i="53"/>
  <c r="V465" i="1"/>
  <c r="X465"/>
  <c r="AB464"/>
  <c r="AE464" s="1"/>
  <c r="AL464" s="1"/>
  <c r="AA464"/>
  <c r="E471" i="53" s="1"/>
  <c r="AF462" i="1"/>
  <c r="AD463"/>
  <c r="W469"/>
  <c r="R469"/>
  <c r="S469" s="1"/>
  <c r="P470"/>
  <c r="AO452" i="38"/>
  <c r="AP452" s="1"/>
  <c r="AQ452" s="1"/>
  <c r="AN452"/>
  <c r="F473" i="52"/>
  <c r="E471" i="1"/>
  <c r="A455" i="26"/>
  <c r="B455" s="1"/>
  <c r="L471" i="1"/>
  <c r="M470" s="1"/>
  <c r="A478" i="53"/>
  <c r="B479" s="1"/>
  <c r="B454" i="38"/>
  <c r="K471" i="1"/>
  <c r="N471" s="1"/>
  <c r="B472"/>
  <c r="C471"/>
  <c r="D471" s="1"/>
  <c r="A471"/>
  <c r="B460" i="48"/>
  <c r="E459"/>
  <c r="X459" s="1"/>
  <c r="D459"/>
  <c r="W459" s="1"/>
  <c r="C459"/>
  <c r="BK450" i="38"/>
  <c r="AS450"/>
  <c r="AU450" s="1"/>
  <c r="AV450" s="1"/>
  <c r="BA450" s="1"/>
  <c r="BB450" s="1"/>
  <c r="BH450" s="1"/>
  <c r="BJ450" s="1"/>
  <c r="P450" s="1"/>
  <c r="O450" s="1"/>
  <c r="AI470" i="1"/>
  <c r="AC470"/>
  <c r="AJ470"/>
  <c r="AM470"/>
  <c r="AK470"/>
  <c r="BC470"/>
  <c r="AH470"/>
  <c r="Z470"/>
  <c r="E472" i="52"/>
  <c r="V458" i="48"/>
  <c r="F458"/>
  <c r="Y458" s="1"/>
  <c r="E453" i="38"/>
  <c r="D453"/>
  <c r="F453"/>
  <c r="AM453" s="1"/>
  <c r="Z453"/>
  <c r="AA453" s="1"/>
  <c r="AR452" l="1"/>
  <c r="AS452" s="1"/>
  <c r="AU452" s="1"/>
  <c r="AV452" s="1"/>
  <c r="BA452" s="1"/>
  <c r="BB452" s="1"/>
  <c r="BH452" s="1"/>
  <c r="BJ452" s="1"/>
  <c r="P452" s="1"/>
  <c r="O452" s="1"/>
  <c r="AS451"/>
  <c r="AU451" s="1"/>
  <c r="AV451" s="1"/>
  <c r="BA451" s="1"/>
  <c r="BB451" s="1"/>
  <c r="BH451" s="1"/>
  <c r="BJ451" s="1"/>
  <c r="P451" s="1"/>
  <c r="O451" s="1"/>
  <c r="G471" i="53"/>
  <c r="BG20" i="55"/>
  <c r="D470" i="53"/>
  <c r="Q19" i="55" s="1"/>
  <c r="CB19"/>
  <c r="I470" i="53"/>
  <c r="CW19" i="55" s="1"/>
  <c r="V466" i="1"/>
  <c r="X466"/>
  <c r="AF463"/>
  <c r="AD464"/>
  <c r="AB465"/>
  <c r="AE465" s="1"/>
  <c r="AL465" s="1"/>
  <c r="AA465"/>
  <c r="E472" i="53" s="1"/>
  <c r="BD467" i="1"/>
  <c r="BE467" s="1"/>
  <c r="T467" s="1"/>
  <c r="U467" s="1"/>
  <c r="BA468"/>
  <c r="F474" i="52"/>
  <c r="C472" i="1"/>
  <c r="D472" s="1"/>
  <c r="L472"/>
  <c r="M471" s="1"/>
  <c r="A479" i="53"/>
  <c r="B480" s="1"/>
  <c r="E472" i="1"/>
  <c r="A472"/>
  <c r="B473"/>
  <c r="A456" i="26"/>
  <c r="B456" s="1"/>
  <c r="B455" i="38"/>
  <c r="K472" i="1"/>
  <c r="N472" s="1"/>
  <c r="W470"/>
  <c r="R470"/>
  <c r="AO453" i="38"/>
  <c r="AP453" s="1"/>
  <c r="AQ453" s="1"/>
  <c r="AN453"/>
  <c r="C460" i="48"/>
  <c r="D460"/>
  <c r="W460" s="1"/>
  <c r="E460"/>
  <c r="X460" s="1"/>
  <c r="B461"/>
  <c r="P471" i="1"/>
  <c r="F459" i="48"/>
  <c r="Y459" s="1"/>
  <c r="V459"/>
  <c r="Z471" i="1"/>
  <c r="AM471"/>
  <c r="AI471"/>
  <c r="AJ471"/>
  <c r="AC471"/>
  <c r="BC471"/>
  <c r="AK471"/>
  <c r="AH471"/>
  <c r="E454" i="38"/>
  <c r="Z454"/>
  <c r="AA454" s="1"/>
  <c r="D454"/>
  <c r="F454"/>
  <c r="AM454" s="1"/>
  <c r="E473" i="52"/>
  <c r="BK452" i="38" l="1"/>
  <c r="AR453"/>
  <c r="AS453" s="1"/>
  <c r="AU453" s="1"/>
  <c r="AV453" s="1"/>
  <c r="BA453" s="1"/>
  <c r="BB453" s="1"/>
  <c r="BH453" s="1"/>
  <c r="BJ453" s="1"/>
  <c r="P453" s="1"/>
  <c r="O453" s="1"/>
  <c r="S470" i="1"/>
  <c r="BD468"/>
  <c r="BE468" s="1"/>
  <c r="T468" s="1"/>
  <c r="U468" s="1"/>
  <c r="BA469"/>
  <c r="AF464"/>
  <c r="AD465"/>
  <c r="V467"/>
  <c r="X467"/>
  <c r="D471" i="53"/>
  <c r="Q20" i="55" s="1"/>
  <c r="CB20"/>
  <c r="I471" i="53"/>
  <c r="CW20" i="55" s="1"/>
  <c r="BG21"/>
  <c r="G472" i="53"/>
  <c r="AB466" i="1"/>
  <c r="AE466" s="1"/>
  <c r="AL466" s="1"/>
  <c r="AA466"/>
  <c r="E473" i="53" s="1"/>
  <c r="A480"/>
  <c r="B481" s="1"/>
  <c r="L473" i="1"/>
  <c r="M472" s="1"/>
  <c r="F475" i="52"/>
  <c r="C473" i="1"/>
  <c r="D473" s="1"/>
  <c r="E473"/>
  <c r="K473"/>
  <c r="N473" s="1"/>
  <c r="A457" i="26"/>
  <c r="B457" s="1"/>
  <c r="B456" i="38"/>
  <c r="B474" i="1"/>
  <c r="A473"/>
  <c r="AO454" i="38"/>
  <c r="AP454" s="1"/>
  <c r="AQ454" s="1"/>
  <c r="AN454"/>
  <c r="D461" i="48"/>
  <c r="W461" s="1"/>
  <c r="E461"/>
  <c r="X461" s="1"/>
  <c r="C461"/>
  <c r="B462"/>
  <c r="P472" i="1"/>
  <c r="Z472"/>
  <c r="AK472"/>
  <c r="BC472"/>
  <c r="AC472"/>
  <c r="AJ472"/>
  <c r="AH472"/>
  <c r="AM472"/>
  <c r="AI472"/>
  <c r="W471"/>
  <c r="R471"/>
  <c r="V460" i="48"/>
  <c r="F460"/>
  <c r="Y460" s="1"/>
  <c r="D455" i="38"/>
  <c r="F455"/>
  <c r="AM455" s="1"/>
  <c r="E455"/>
  <c r="Z455"/>
  <c r="AA455" s="1"/>
  <c r="E474" i="52"/>
  <c r="BK453" i="38" l="1"/>
  <c r="AR454"/>
  <c r="AS454" s="1"/>
  <c r="AU454" s="1"/>
  <c r="AV454" s="1"/>
  <c r="BA454" s="1"/>
  <c r="BB454" s="1"/>
  <c r="BH454" s="1"/>
  <c r="BJ454" s="1"/>
  <c r="P454" s="1"/>
  <c r="O454" s="1"/>
  <c r="V468" i="1"/>
  <c r="X468"/>
  <c r="AF465"/>
  <c r="AD466"/>
  <c r="CB21" i="55"/>
  <c r="I472" i="53"/>
  <c r="CW21" i="55" s="1"/>
  <c r="D472" i="53"/>
  <c r="Q21" i="55" s="1"/>
  <c r="S471" i="1"/>
  <c r="BG22" i="55"/>
  <c r="G473" i="53"/>
  <c r="AB467" i="1"/>
  <c r="AE467" s="1"/>
  <c r="AL467" s="1"/>
  <c r="AA467"/>
  <c r="E474" i="53" s="1"/>
  <c r="BD469" i="1"/>
  <c r="BE469" s="1"/>
  <c r="T469" s="1"/>
  <c r="U469" s="1"/>
  <c r="BA470"/>
  <c r="Z473"/>
  <c r="AI473"/>
  <c r="BC473"/>
  <c r="AM473"/>
  <c r="AH473"/>
  <c r="AJ473"/>
  <c r="AK473"/>
  <c r="AC473"/>
  <c r="P473"/>
  <c r="AN455" i="38"/>
  <c r="AR455" s="1"/>
  <c r="AO455"/>
  <c r="AP455" s="1"/>
  <c r="AQ455" s="1"/>
  <c r="W472" i="1"/>
  <c r="R472"/>
  <c r="S472" s="1"/>
  <c r="C462" i="48"/>
  <c r="D462"/>
  <c r="W462" s="1"/>
  <c r="B463"/>
  <c r="E462"/>
  <c r="X462" s="1"/>
  <c r="BK454" i="38"/>
  <c r="F476" i="52"/>
  <c r="L474" i="1"/>
  <c r="M473" s="1"/>
  <c r="E474"/>
  <c r="C474"/>
  <c r="D474" s="1"/>
  <c r="B475"/>
  <c r="A474"/>
  <c r="B457" i="38"/>
  <c r="A481" i="53"/>
  <c r="B482" s="1"/>
  <c r="K474" i="1"/>
  <c r="N474" s="1"/>
  <c r="A458" i="26"/>
  <c r="B458" s="1"/>
  <c r="E475" i="52"/>
  <c r="V461" i="48"/>
  <c r="F461"/>
  <c r="Y461" s="1"/>
  <c r="D456" i="38"/>
  <c r="E456"/>
  <c r="Z456"/>
  <c r="AA456" s="1"/>
  <c r="F456"/>
  <c r="AM456" s="1"/>
  <c r="V469" i="1" l="1"/>
  <c r="X469"/>
  <c r="AF466"/>
  <c r="AD467"/>
  <c r="G474" i="53"/>
  <c r="BG23" i="55"/>
  <c r="AB468" i="1"/>
  <c r="AE468" s="1"/>
  <c r="AL468" s="1"/>
  <c r="AA468"/>
  <c r="E475" i="53" s="1"/>
  <c r="BD470" i="1"/>
  <c r="BE470" s="1"/>
  <c r="T470" s="1"/>
  <c r="U470" s="1"/>
  <c r="BA471"/>
  <c r="CB22" i="55"/>
  <c r="D473" i="53"/>
  <c r="Q22" i="55" s="1"/>
  <c r="I473" i="53"/>
  <c r="CW22" i="55" s="1"/>
  <c r="AN456" i="38"/>
  <c r="AO456"/>
  <c r="AP456" s="1"/>
  <c r="AQ456" s="1"/>
  <c r="Z474" i="1"/>
  <c r="AC474"/>
  <c r="AH474"/>
  <c r="AI474"/>
  <c r="AK474"/>
  <c r="BC474"/>
  <c r="AJ474"/>
  <c r="AM474"/>
  <c r="F462" i="48"/>
  <c r="Y462" s="1"/>
  <c r="V462"/>
  <c r="P474" i="1"/>
  <c r="A459" i="26"/>
  <c r="B459" s="1"/>
  <c r="F477" i="52"/>
  <c r="E475" i="1"/>
  <c r="L475"/>
  <c r="M474" s="1"/>
  <c r="B458" i="38"/>
  <c r="K475" i="1"/>
  <c r="N475" s="1"/>
  <c r="A475"/>
  <c r="C475"/>
  <c r="D475" s="1"/>
  <c r="B476"/>
  <c r="A482" i="53"/>
  <c r="B483" s="1"/>
  <c r="E463" i="48"/>
  <c r="X463" s="1"/>
  <c r="D463"/>
  <c r="W463" s="1"/>
  <c r="C463"/>
  <c r="B464"/>
  <c r="BK455" i="38"/>
  <c r="AS455"/>
  <c r="AU455" s="1"/>
  <c r="AV455" s="1"/>
  <c r="BA455" s="1"/>
  <c r="BB455" s="1"/>
  <c r="BH455" s="1"/>
  <c r="BJ455" s="1"/>
  <c r="P455" s="1"/>
  <c r="O455" s="1"/>
  <c r="W473" i="1"/>
  <c r="R473"/>
  <c r="S473" s="1"/>
  <c r="Z457" i="38"/>
  <c r="AA457" s="1"/>
  <c r="E457"/>
  <c r="D457"/>
  <c r="F457"/>
  <c r="AM457" s="1"/>
  <c r="E476" i="52"/>
  <c r="BD471" i="1" l="1"/>
  <c r="BE471" s="1"/>
  <c r="T471" s="1"/>
  <c r="U471" s="1"/>
  <c r="BA472"/>
  <c r="AF467"/>
  <c r="AD468"/>
  <c r="V470"/>
  <c r="X470"/>
  <c r="G475" i="53"/>
  <c r="BG24" i="55"/>
  <c r="D474" i="53"/>
  <c r="Q23" i="55" s="1"/>
  <c r="I474" i="53"/>
  <c r="CW23" i="55" s="1"/>
  <c r="CB23"/>
  <c r="AB469" i="1"/>
  <c r="AE469" s="1"/>
  <c r="AL469" s="1"/>
  <c r="AA469"/>
  <c r="E476" i="53" s="1"/>
  <c r="AN457" i="38"/>
  <c r="AO457"/>
  <c r="AP457" s="1"/>
  <c r="AQ457" s="1"/>
  <c r="V463" i="48"/>
  <c r="F463"/>
  <c r="Y463" s="1"/>
  <c r="L476" i="1"/>
  <c r="M475" s="1"/>
  <c r="F478" i="52"/>
  <c r="B459" i="38"/>
  <c r="B477" i="1"/>
  <c r="A460" i="26"/>
  <c r="B460" s="1"/>
  <c r="A476" i="1"/>
  <c r="E476"/>
  <c r="C476"/>
  <c r="D476" s="1"/>
  <c r="K476"/>
  <c r="N476" s="1"/>
  <c r="A483" i="53"/>
  <c r="B484" s="1"/>
  <c r="E458" i="38"/>
  <c r="D458"/>
  <c r="Z458"/>
  <c r="AA458" s="1"/>
  <c r="F458"/>
  <c r="AM458" s="1"/>
  <c r="W474" i="1"/>
  <c r="R474"/>
  <c r="S474" s="1"/>
  <c r="AH475"/>
  <c r="AI475"/>
  <c r="AK475"/>
  <c r="AM475"/>
  <c r="AC475"/>
  <c r="BC475"/>
  <c r="Z475"/>
  <c r="AJ475"/>
  <c r="E477" i="52"/>
  <c r="AR456" i="38"/>
  <c r="C464" i="48"/>
  <c r="D464"/>
  <c r="W464" s="1"/>
  <c r="E464"/>
  <c r="X464" s="1"/>
  <c r="B465"/>
  <c r="P475" i="1"/>
  <c r="AR457" i="38" l="1"/>
  <c r="AS457" s="1"/>
  <c r="AU457" s="1"/>
  <c r="AV457" s="1"/>
  <c r="BA457" s="1"/>
  <c r="BB457" s="1"/>
  <c r="BH457" s="1"/>
  <c r="BJ457" s="1"/>
  <c r="P457" s="1"/>
  <c r="O457" s="1"/>
  <c r="CB24" i="55"/>
  <c r="I475" i="53"/>
  <c r="CW24" i="55" s="1"/>
  <c r="D475" i="53"/>
  <c r="Q24" i="55" s="1"/>
  <c r="G476" i="53"/>
  <c r="BG25" i="55"/>
  <c r="AB470" i="1"/>
  <c r="AE470" s="1"/>
  <c r="AL470" s="1"/>
  <c r="AA470"/>
  <c r="E477" i="53" s="1"/>
  <c r="BD472" i="1"/>
  <c r="BE472" s="1"/>
  <c r="T472" s="1"/>
  <c r="U472" s="1"/>
  <c r="BA473"/>
  <c r="V471"/>
  <c r="X471"/>
  <c r="AF468"/>
  <c r="AD469"/>
  <c r="F464" i="48"/>
  <c r="Y464" s="1"/>
  <c r="V464"/>
  <c r="E478" i="52"/>
  <c r="E459" i="38"/>
  <c r="D459"/>
  <c r="F459"/>
  <c r="AM459" s="1"/>
  <c r="Z459"/>
  <c r="AA459" s="1"/>
  <c r="AO458"/>
  <c r="AP458" s="1"/>
  <c r="AQ458" s="1"/>
  <c r="AN458"/>
  <c r="AC476" i="1"/>
  <c r="BC476"/>
  <c r="AH476"/>
  <c r="AM476"/>
  <c r="AJ476"/>
  <c r="AI476"/>
  <c r="Z476"/>
  <c r="AK476"/>
  <c r="E465" i="48"/>
  <c r="X465" s="1"/>
  <c r="D465"/>
  <c r="W465" s="1"/>
  <c r="C465"/>
  <c r="B466"/>
  <c r="BK456" i="38"/>
  <c r="AS456"/>
  <c r="AU456" s="1"/>
  <c r="AV456" s="1"/>
  <c r="BA456" s="1"/>
  <c r="BB456" s="1"/>
  <c r="BH456" s="1"/>
  <c r="BJ456" s="1"/>
  <c r="P456" s="1"/>
  <c r="O456" s="1"/>
  <c r="P476" i="1"/>
  <c r="W475"/>
  <c r="R475"/>
  <c r="S475" s="1"/>
  <c r="L477"/>
  <c r="M476" s="1"/>
  <c r="F479" i="52"/>
  <c r="E477" i="1"/>
  <c r="C477"/>
  <c r="D477" s="1"/>
  <c r="B460" i="38"/>
  <c r="A477" i="1"/>
  <c r="B478"/>
  <c r="A461" i="26"/>
  <c r="B461" s="1"/>
  <c r="A484" i="53"/>
  <c r="B485" s="1"/>
  <c r="K477" i="1"/>
  <c r="N477" s="1"/>
  <c r="BK457" i="38" l="1"/>
  <c r="AB471" i="1"/>
  <c r="AE471" s="1"/>
  <c r="AL471" s="1"/>
  <c r="AA471"/>
  <c r="E478" i="53" s="1"/>
  <c r="BG26" i="55"/>
  <c r="G477" i="53"/>
  <c r="CB25" i="55"/>
  <c r="I476" i="53"/>
  <c r="CW25" i="55" s="1"/>
  <c r="D476" i="53"/>
  <c r="Q25" i="55" s="1"/>
  <c r="AF469" i="1"/>
  <c r="AD470"/>
  <c r="BD473"/>
  <c r="BE473" s="1"/>
  <c r="T473" s="1"/>
  <c r="U473" s="1"/>
  <c r="BA474"/>
  <c r="V472"/>
  <c r="X472"/>
  <c r="AR458" i="38"/>
  <c r="E478" i="1"/>
  <c r="F480" i="52"/>
  <c r="A462" i="26"/>
  <c r="B462" s="1"/>
  <c r="A485" i="53"/>
  <c r="B486" s="1"/>
  <c r="B479" i="1"/>
  <c r="C478"/>
  <c r="D478" s="1"/>
  <c r="K478"/>
  <c r="N478" s="1"/>
  <c r="L478"/>
  <c r="M477" s="1"/>
  <c r="A478"/>
  <c r="B461" i="38"/>
  <c r="E479" i="52"/>
  <c r="P477" i="1"/>
  <c r="AC477"/>
  <c r="BC477"/>
  <c r="AM477"/>
  <c r="AI477"/>
  <c r="AH477"/>
  <c r="AK477"/>
  <c r="AJ477"/>
  <c r="Z477"/>
  <c r="C466" i="48"/>
  <c r="B467"/>
  <c r="D466"/>
  <c r="W466" s="1"/>
  <c r="E466"/>
  <c r="X466" s="1"/>
  <c r="E460" i="38"/>
  <c r="D460"/>
  <c r="Z460"/>
  <c r="AA460" s="1"/>
  <c r="F460"/>
  <c r="AM460" s="1"/>
  <c r="R476" i="1"/>
  <c r="S476" s="1"/>
  <c r="W476"/>
  <c r="V465" i="48"/>
  <c r="F465"/>
  <c r="Y465" s="1"/>
  <c r="AN459" i="38"/>
  <c r="AO459"/>
  <c r="AP459" s="1"/>
  <c r="AQ459" s="1"/>
  <c r="AR459" l="1"/>
  <c r="BK459" s="1"/>
  <c r="V473" i="1"/>
  <c r="X473"/>
  <c r="AB472"/>
  <c r="AE472" s="1"/>
  <c r="AL472" s="1"/>
  <c r="AA472"/>
  <c r="E479" i="53" s="1"/>
  <c r="AF470" i="1"/>
  <c r="AD471"/>
  <c r="BG27" i="55"/>
  <c r="G478" i="53"/>
  <c r="BD474" i="1"/>
  <c r="BE474" s="1"/>
  <c r="T474" s="1"/>
  <c r="U474" s="1"/>
  <c r="BA475"/>
  <c r="I477" i="53"/>
  <c r="CW26" i="55" s="1"/>
  <c r="CB26"/>
  <c r="D477" i="53"/>
  <c r="Q26" i="55" s="1"/>
  <c r="C467" i="48"/>
  <c r="E467"/>
  <c r="X467" s="1"/>
  <c r="D467"/>
  <c r="W467" s="1"/>
  <c r="B468"/>
  <c r="AM478" i="1"/>
  <c r="AJ478"/>
  <c r="BC478"/>
  <c r="Z478"/>
  <c r="AC478"/>
  <c r="AK478"/>
  <c r="AH478"/>
  <c r="AI478"/>
  <c r="F481" i="52"/>
  <c r="A486" i="53"/>
  <c r="B487" s="1"/>
  <c r="L479" i="1"/>
  <c r="M478" s="1"/>
  <c r="A479"/>
  <c r="K479"/>
  <c r="N479" s="1"/>
  <c r="B462" i="38"/>
  <c r="A463" i="26"/>
  <c r="B463" s="1"/>
  <c r="E479" i="1"/>
  <c r="B480"/>
  <c r="C479"/>
  <c r="D479" s="1"/>
  <c r="E480" i="52"/>
  <c r="V466" i="48"/>
  <c r="F466"/>
  <c r="Y466" s="1"/>
  <c r="BK458" i="38"/>
  <c r="AS458"/>
  <c r="AU458" s="1"/>
  <c r="AV458" s="1"/>
  <c r="BA458" s="1"/>
  <c r="BB458" s="1"/>
  <c r="BH458" s="1"/>
  <c r="BJ458" s="1"/>
  <c r="P458" s="1"/>
  <c r="O458" s="1"/>
  <c r="W477" i="1"/>
  <c r="R477"/>
  <c r="P478"/>
  <c r="AN460" i="38"/>
  <c r="AO460"/>
  <c r="AP460" s="1"/>
  <c r="AQ460" s="1"/>
  <c r="E461"/>
  <c r="D461"/>
  <c r="F461"/>
  <c r="AM461" s="1"/>
  <c r="Z461"/>
  <c r="AA461" s="1"/>
  <c r="AS459" l="1"/>
  <c r="AU459" s="1"/>
  <c r="AV459" s="1"/>
  <c r="BA459" s="1"/>
  <c r="BB459" s="1"/>
  <c r="BH459" s="1"/>
  <c r="BJ459" s="1"/>
  <c r="P459" s="1"/>
  <c r="O459" s="1"/>
  <c r="AR460"/>
  <c r="AS460" s="1"/>
  <c r="AU460" s="1"/>
  <c r="AV460" s="1"/>
  <c r="BA460" s="1"/>
  <c r="BB460" s="1"/>
  <c r="BH460" s="1"/>
  <c r="BJ460" s="1"/>
  <c r="P460" s="1"/>
  <c r="O460" s="1"/>
  <c r="BD475" i="1"/>
  <c r="BE475" s="1"/>
  <c r="T475" s="1"/>
  <c r="U475" s="1"/>
  <c r="BA476"/>
  <c r="CB27" i="55"/>
  <c r="I478" i="53"/>
  <c r="CW27" i="55" s="1"/>
  <c r="D478" i="53"/>
  <c r="Q27" i="55" s="1"/>
  <c r="BG28"/>
  <c r="G479" i="53"/>
  <c r="S477" i="1"/>
  <c r="V474"/>
  <c r="X474"/>
  <c r="AF471"/>
  <c r="AD472"/>
  <c r="AB473"/>
  <c r="AE473" s="1"/>
  <c r="AL473" s="1"/>
  <c r="AA473"/>
  <c r="E480" i="53" s="1"/>
  <c r="E481" i="52"/>
  <c r="AH479" i="1"/>
  <c r="AJ479"/>
  <c r="AC479"/>
  <c r="AK479"/>
  <c r="Z479"/>
  <c r="BC479"/>
  <c r="AI479"/>
  <c r="AM479"/>
  <c r="AN461" i="38"/>
  <c r="AR461" s="1"/>
  <c r="AO461"/>
  <c r="AP461" s="1"/>
  <c r="AQ461" s="1"/>
  <c r="W478" i="1"/>
  <c r="R478"/>
  <c r="S478" s="1"/>
  <c r="E462" i="38"/>
  <c r="D462"/>
  <c r="Z462"/>
  <c r="AA462" s="1"/>
  <c r="F462"/>
  <c r="AM462" s="1"/>
  <c r="F467" i="48"/>
  <c r="Y467" s="1"/>
  <c r="V467"/>
  <c r="E480" i="1"/>
  <c r="L480"/>
  <c r="M479" s="1"/>
  <c r="C480"/>
  <c r="D480" s="1"/>
  <c r="F482" i="52"/>
  <c r="A487" i="53"/>
  <c r="B488" s="1"/>
  <c r="A480" i="1"/>
  <c r="A464" i="26"/>
  <c r="B464" s="1"/>
  <c r="K480" i="1"/>
  <c r="N480" s="1"/>
  <c r="B481"/>
  <c r="B463" i="38"/>
  <c r="P479" i="1"/>
  <c r="D468" i="48"/>
  <c r="W468" s="1"/>
  <c r="E468"/>
  <c r="X468" s="1"/>
  <c r="C468"/>
  <c r="B469"/>
  <c r="BK460" i="38" l="1"/>
  <c r="AF472" i="1"/>
  <c r="AD473"/>
  <c r="BD476"/>
  <c r="BE476" s="1"/>
  <c r="T476" s="1"/>
  <c r="U476" s="1"/>
  <c r="BA477"/>
  <c r="V475"/>
  <c r="X475"/>
  <c r="BG29" i="55"/>
  <c r="G480" i="53"/>
  <c r="AB474" i="1"/>
  <c r="AE474" s="1"/>
  <c r="AL474" s="1"/>
  <c r="AA474"/>
  <c r="E481" i="53" s="1"/>
  <c r="CB28" i="55"/>
  <c r="D479" i="53"/>
  <c r="Q28" i="55" s="1"/>
  <c r="I479" i="53"/>
  <c r="CW28" i="55" s="1"/>
  <c r="W479" i="1"/>
  <c r="R479"/>
  <c r="S479" s="1"/>
  <c r="A488" i="53"/>
  <c r="B489" s="1"/>
  <c r="C481" i="1"/>
  <c r="D481" s="1"/>
  <c r="F483" i="52"/>
  <c r="L481" i="1"/>
  <c r="M480" s="1"/>
  <c r="E481"/>
  <c r="A481"/>
  <c r="B464" i="38"/>
  <c r="A465" i="26"/>
  <c r="B465" s="1"/>
  <c r="K481" i="1"/>
  <c r="N481" s="1"/>
  <c r="B482"/>
  <c r="E482" i="52"/>
  <c r="V468" i="48"/>
  <c r="F468"/>
  <c r="Y468" s="1"/>
  <c r="P480" i="1"/>
  <c r="BK461" i="38"/>
  <c r="AS461"/>
  <c r="AU461" s="1"/>
  <c r="AV461" s="1"/>
  <c r="BA461" s="1"/>
  <c r="BB461" s="1"/>
  <c r="BH461" s="1"/>
  <c r="BJ461" s="1"/>
  <c r="P461" s="1"/>
  <c r="O461" s="1"/>
  <c r="E463"/>
  <c r="D463"/>
  <c r="Z463"/>
  <c r="AA463" s="1"/>
  <c r="F463"/>
  <c r="AM463" s="1"/>
  <c r="AK480" i="1"/>
  <c r="BC480"/>
  <c r="AI480"/>
  <c r="AC480"/>
  <c r="AJ480"/>
  <c r="AM480"/>
  <c r="Z480"/>
  <c r="AH480"/>
  <c r="AO462" i="38"/>
  <c r="AP462" s="1"/>
  <c r="AQ462" s="1"/>
  <c r="AN462"/>
  <c r="E469" i="48"/>
  <c r="X469" s="1"/>
  <c r="C469"/>
  <c r="D469"/>
  <c r="W469" s="1"/>
  <c r="B470"/>
  <c r="AR462" i="38" l="1"/>
  <c r="AS462" s="1"/>
  <c r="AU462" s="1"/>
  <c r="AV462" s="1"/>
  <c r="BA462" s="1"/>
  <c r="BB462" s="1"/>
  <c r="BH462" s="1"/>
  <c r="BJ462" s="1"/>
  <c r="P462" s="1"/>
  <c r="O462" s="1"/>
  <c r="G481" i="53"/>
  <c r="BG30" i="55"/>
  <c r="V476" i="1"/>
  <c r="X476"/>
  <c r="AB475"/>
  <c r="AE475" s="1"/>
  <c r="AL475" s="1"/>
  <c r="AA475"/>
  <c r="E482" i="53" s="1"/>
  <c r="AF473" i="1"/>
  <c r="AD474"/>
  <c r="D480" i="53"/>
  <c r="Q29" i="55" s="1"/>
  <c r="CB29"/>
  <c r="I480" i="53"/>
  <c r="CW29" i="55" s="1"/>
  <c r="BD477" i="1"/>
  <c r="BE477" s="1"/>
  <c r="T477" s="1"/>
  <c r="U477" s="1"/>
  <c r="BA478"/>
  <c r="V469" i="48"/>
  <c r="F469"/>
  <c r="Y469" s="1"/>
  <c r="F484" i="52"/>
  <c r="L482" i="1"/>
  <c r="M481" s="1"/>
  <c r="E482"/>
  <c r="A466" i="26"/>
  <c r="B466" s="1"/>
  <c r="A482" i="1"/>
  <c r="C482"/>
  <c r="D482" s="1"/>
  <c r="B465" i="38"/>
  <c r="K482" i="1"/>
  <c r="N482" s="1"/>
  <c r="B483"/>
  <c r="A489" i="53"/>
  <c r="B490" s="1"/>
  <c r="AH481" i="1"/>
  <c r="AC481"/>
  <c r="BC481"/>
  <c r="AJ481"/>
  <c r="AK481"/>
  <c r="AI481"/>
  <c r="AM481"/>
  <c r="Z481"/>
  <c r="P481"/>
  <c r="E483" i="52"/>
  <c r="C470" i="48"/>
  <c r="D470"/>
  <c r="W470" s="1"/>
  <c r="E470"/>
  <c r="X470" s="1"/>
  <c r="B471"/>
  <c r="W480" i="1"/>
  <c r="R480"/>
  <c r="S480" s="1"/>
  <c r="AN463" i="38"/>
  <c r="AR463" s="1"/>
  <c r="AO463"/>
  <c r="AP463" s="1"/>
  <c r="AQ463" s="1"/>
  <c r="E464"/>
  <c r="D464"/>
  <c r="Z464"/>
  <c r="AA464" s="1"/>
  <c r="F464"/>
  <c r="AM464" s="1"/>
  <c r="BK462" l="1"/>
  <c r="BD478" i="1"/>
  <c r="BE478" s="1"/>
  <c r="T478" s="1"/>
  <c r="U478" s="1"/>
  <c r="BA479"/>
  <c r="BG31" i="55"/>
  <c r="G482" i="53"/>
  <c r="V477" i="1"/>
  <c r="X477"/>
  <c r="AF474"/>
  <c r="AD475"/>
  <c r="AB476"/>
  <c r="AE476" s="1"/>
  <c r="AL476" s="1"/>
  <c r="AA476"/>
  <c r="E483" i="53" s="1"/>
  <c r="CB30" i="55"/>
  <c r="I481" i="53"/>
  <c r="CW30" i="55" s="1"/>
  <c r="D481" i="53"/>
  <c r="Q30" i="55" s="1"/>
  <c r="P482" i="1"/>
  <c r="AN464" i="38"/>
  <c r="AO464"/>
  <c r="AP464" s="1"/>
  <c r="AQ464" s="1"/>
  <c r="F470" i="48"/>
  <c r="Y470" s="1"/>
  <c r="V470"/>
  <c r="E465" i="38"/>
  <c r="D465"/>
  <c r="Z465"/>
  <c r="AA465" s="1"/>
  <c r="F465"/>
  <c r="AM465" s="1"/>
  <c r="E484" i="52"/>
  <c r="D471" i="48"/>
  <c r="W471" s="1"/>
  <c r="B472"/>
  <c r="C471"/>
  <c r="E471"/>
  <c r="X471" s="1"/>
  <c r="BK463" i="38"/>
  <c r="AS463"/>
  <c r="AU463" s="1"/>
  <c r="AV463" s="1"/>
  <c r="BA463" s="1"/>
  <c r="BB463" s="1"/>
  <c r="BH463" s="1"/>
  <c r="BJ463" s="1"/>
  <c r="P463" s="1"/>
  <c r="O463" s="1"/>
  <c r="W481" i="1"/>
  <c r="R481"/>
  <c r="S481" s="1"/>
  <c r="F485" i="52"/>
  <c r="L483" i="1"/>
  <c r="M482" s="1"/>
  <c r="A490" i="53"/>
  <c r="B491" s="1"/>
  <c r="A467" i="26"/>
  <c r="B467" s="1"/>
  <c r="A483" i="1"/>
  <c r="B466" i="38"/>
  <c r="C483" i="1"/>
  <c r="D483" s="1"/>
  <c r="K483"/>
  <c r="N483" s="1"/>
  <c r="B484"/>
  <c r="E483"/>
  <c r="BC482"/>
  <c r="AM482"/>
  <c r="AI482"/>
  <c r="Z482"/>
  <c r="AK482"/>
  <c r="AJ482"/>
  <c r="AH482"/>
  <c r="AC482"/>
  <c r="BG32" i="55" l="1"/>
  <c r="G483" i="53"/>
  <c r="AB477" i="1"/>
  <c r="AE477" s="1"/>
  <c r="AL477" s="1"/>
  <c r="AA477"/>
  <c r="E484" i="53" s="1"/>
  <c r="BD479" i="1"/>
  <c r="BE479" s="1"/>
  <c r="T479" s="1"/>
  <c r="U479" s="1"/>
  <c r="BA480"/>
  <c r="AF475"/>
  <c r="AD476"/>
  <c r="V478"/>
  <c r="X478"/>
  <c r="CB31" i="55"/>
  <c r="D482" i="53"/>
  <c r="Q31" i="55" s="1"/>
  <c r="I482" i="53"/>
  <c r="CW31" i="55" s="1"/>
  <c r="R482" i="1"/>
  <c r="W482"/>
  <c r="E485" i="52"/>
  <c r="E466" i="38"/>
  <c r="D466"/>
  <c r="F466"/>
  <c r="AM466" s="1"/>
  <c r="Z466"/>
  <c r="AA466" s="1"/>
  <c r="V471" i="48"/>
  <c r="F471"/>
  <c r="Y471" s="1"/>
  <c r="AN465" i="38"/>
  <c r="AO465"/>
  <c r="AP465" s="1"/>
  <c r="AQ465" s="1"/>
  <c r="AR464"/>
  <c r="F486" i="52"/>
  <c r="A468" i="26"/>
  <c r="B468" s="1"/>
  <c r="E484" i="1"/>
  <c r="C484"/>
  <c r="D484" s="1"/>
  <c r="L484"/>
  <c r="M483" s="1"/>
  <c r="K484"/>
  <c r="N484" s="1"/>
  <c r="A491" i="53"/>
  <c r="B492" s="1"/>
  <c r="A484" i="1"/>
  <c r="B467" i="38"/>
  <c r="B485" i="1"/>
  <c r="AH483"/>
  <c r="AC483"/>
  <c r="AJ483"/>
  <c r="AI483"/>
  <c r="AK483"/>
  <c r="AM483"/>
  <c r="BC483"/>
  <c r="Z483"/>
  <c r="D472" i="48"/>
  <c r="W472" s="1"/>
  <c r="E472"/>
  <c r="X472" s="1"/>
  <c r="C472"/>
  <c r="B473"/>
  <c r="P483" i="1"/>
  <c r="S482" l="1"/>
  <c r="AB478"/>
  <c r="AE478" s="1"/>
  <c r="AL478" s="1"/>
  <c r="AA478"/>
  <c r="E485" i="53" s="1"/>
  <c r="BD480" i="1"/>
  <c r="BE480" s="1"/>
  <c r="T480" s="1"/>
  <c r="U480" s="1"/>
  <c r="BA481"/>
  <c r="V479"/>
  <c r="X479"/>
  <c r="I483" i="53"/>
  <c r="CW32" i="55" s="1"/>
  <c r="CB32"/>
  <c r="D483" i="53"/>
  <c r="Q32" i="55" s="1"/>
  <c r="AF476" i="1"/>
  <c r="AD477"/>
  <c r="G484" i="53"/>
  <c r="BG33" i="55"/>
  <c r="BG35" s="1"/>
  <c r="W483" i="1"/>
  <c r="R483"/>
  <c r="S483" s="1"/>
  <c r="D467" i="38"/>
  <c r="Z467"/>
  <c r="AA467" s="1"/>
  <c r="E467"/>
  <c r="F467"/>
  <c r="AM467" s="1"/>
  <c r="AR465"/>
  <c r="AN466"/>
  <c r="AO466"/>
  <c r="AP466" s="1"/>
  <c r="AQ466" s="1"/>
  <c r="AI484" i="1"/>
  <c r="AH484"/>
  <c r="AC484"/>
  <c r="AM484"/>
  <c r="AK484"/>
  <c r="BC484"/>
  <c r="AJ484"/>
  <c r="Z484"/>
  <c r="D473" i="48"/>
  <c r="W473" s="1"/>
  <c r="C473"/>
  <c r="B474"/>
  <c r="E473"/>
  <c r="X473" s="1"/>
  <c r="E486" i="52"/>
  <c r="BK464" i="38"/>
  <c r="AS464"/>
  <c r="AU464" s="1"/>
  <c r="AV464" s="1"/>
  <c r="BA464" s="1"/>
  <c r="BB464" s="1"/>
  <c r="BH464" s="1"/>
  <c r="BJ464" s="1"/>
  <c r="P464" s="1"/>
  <c r="O464" s="1"/>
  <c r="V472" i="48"/>
  <c r="F472"/>
  <c r="Y472" s="1"/>
  <c r="L485" i="1"/>
  <c r="M484" s="1"/>
  <c r="A469" i="26"/>
  <c r="B469" s="1"/>
  <c r="A492" i="53"/>
  <c r="B493" s="1"/>
  <c r="F487" i="52"/>
  <c r="E485" i="1"/>
  <c r="B486"/>
  <c r="K485"/>
  <c r="N485" s="1"/>
  <c r="C485"/>
  <c r="D485" s="1"/>
  <c r="A485"/>
  <c r="B468" i="38"/>
  <c r="P484" i="1"/>
  <c r="AB479" l="1"/>
  <c r="AE479" s="1"/>
  <c r="AL479" s="1"/>
  <c r="AA479"/>
  <c r="E486" i="53" s="1"/>
  <c r="BH3" i="55"/>
  <c r="G485" i="53"/>
  <c r="CB33" i="55"/>
  <c r="CB35" s="1"/>
  <c r="I484" i="53"/>
  <c r="CW33" i="55" s="1"/>
  <c r="D484" i="53"/>
  <c r="Q33" i="55" s="1"/>
  <c r="Q35" s="1"/>
  <c r="BD481" i="1"/>
  <c r="BE481" s="1"/>
  <c r="T481" s="1"/>
  <c r="U481" s="1"/>
  <c r="BA482"/>
  <c r="AF477"/>
  <c r="AD478"/>
  <c r="V480"/>
  <c r="X480"/>
  <c r="B475" i="48"/>
  <c r="D474"/>
  <c r="W474" s="1"/>
  <c r="E474"/>
  <c r="X474" s="1"/>
  <c r="C474"/>
  <c r="BK465" i="38"/>
  <c r="AS465"/>
  <c r="AU465" s="1"/>
  <c r="AV465" s="1"/>
  <c r="BA465" s="1"/>
  <c r="BB465" s="1"/>
  <c r="BH465" s="1"/>
  <c r="BJ465" s="1"/>
  <c r="P465" s="1"/>
  <c r="O465" s="1"/>
  <c r="P485" i="1"/>
  <c r="V473" i="48"/>
  <c r="F473"/>
  <c r="Y473" s="1"/>
  <c r="D468" i="38"/>
  <c r="Z468"/>
  <c r="AA468" s="1"/>
  <c r="E468"/>
  <c r="F468"/>
  <c r="AM468" s="1"/>
  <c r="L486" i="1"/>
  <c r="M485" s="1"/>
  <c r="F488" i="52"/>
  <c r="A470" i="26"/>
  <c r="B470" s="1"/>
  <c r="A493" i="53"/>
  <c r="B494" s="1"/>
  <c r="A486" i="1"/>
  <c r="B469" i="38"/>
  <c r="E486" i="1"/>
  <c r="C486"/>
  <c r="D486" s="1"/>
  <c r="K486"/>
  <c r="N486" s="1"/>
  <c r="B487"/>
  <c r="AR466" i="38"/>
  <c r="R484" i="1"/>
  <c r="W484"/>
  <c r="AK485"/>
  <c r="Z485"/>
  <c r="BC485"/>
  <c r="AM485"/>
  <c r="AI485"/>
  <c r="AC485"/>
  <c r="AH485"/>
  <c r="AJ485"/>
  <c r="E487" i="52"/>
  <c r="AO467" i="38"/>
  <c r="AP467" s="1"/>
  <c r="AQ467" s="1"/>
  <c r="AN467"/>
  <c r="AB480" i="1" l="1"/>
  <c r="AE480" s="1"/>
  <c r="AL480" s="1"/>
  <c r="AA480"/>
  <c r="E487" i="53" s="1"/>
  <c r="S484" i="1"/>
  <c r="BD482"/>
  <c r="BE482" s="1"/>
  <c r="T482" s="1"/>
  <c r="U482" s="1"/>
  <c r="BA483"/>
  <c r="G486" i="53"/>
  <c r="BH4" i="55"/>
  <c r="AF478" i="1"/>
  <c r="AD479"/>
  <c r="V481"/>
  <c r="X481"/>
  <c r="D485" i="53"/>
  <c r="R3" i="55" s="1"/>
  <c r="CC3"/>
  <c r="I485" i="53"/>
  <c r="CX3" i="55" s="1"/>
  <c r="BK466" i="38"/>
  <c r="AS466"/>
  <c r="AU466" s="1"/>
  <c r="AV466" s="1"/>
  <c r="BA466" s="1"/>
  <c r="BB466" s="1"/>
  <c r="BH466" s="1"/>
  <c r="BJ466" s="1"/>
  <c r="P466" s="1"/>
  <c r="O466" s="1"/>
  <c r="E488" i="52"/>
  <c r="AR467" i="38"/>
  <c r="A471" i="26"/>
  <c r="B471" s="1"/>
  <c r="F489" i="52"/>
  <c r="A494" i="53"/>
  <c r="B495" s="1"/>
  <c r="C487" i="1"/>
  <c r="D487" s="1"/>
  <c r="L487"/>
  <c r="M486" s="1"/>
  <c r="A487"/>
  <c r="K487"/>
  <c r="N487" s="1"/>
  <c r="E487"/>
  <c r="B470" i="38"/>
  <c r="B488" i="1"/>
  <c r="E469" i="38"/>
  <c r="D469"/>
  <c r="F469"/>
  <c r="AM469" s="1"/>
  <c r="Z469"/>
  <c r="AA469" s="1"/>
  <c r="P486" i="1"/>
  <c r="AJ486"/>
  <c r="AH486"/>
  <c r="AL486"/>
  <c r="AK486"/>
  <c r="Z486"/>
  <c r="BC486"/>
  <c r="AI486"/>
  <c r="W485"/>
  <c r="R485"/>
  <c r="D475" i="48"/>
  <c r="W475" s="1"/>
  <c r="C475"/>
  <c r="B476"/>
  <c r="E475"/>
  <c r="X475" s="1"/>
  <c r="AN468" i="38"/>
  <c r="AO468"/>
  <c r="AP468" s="1"/>
  <c r="AQ468" s="1"/>
  <c r="V474" i="48"/>
  <c r="F474"/>
  <c r="Y474" s="1"/>
  <c r="AR468" i="38" l="1"/>
  <c r="AS468" s="1"/>
  <c r="AU468" s="1"/>
  <c r="AV468" s="1"/>
  <c r="BA468" s="1"/>
  <c r="BB468" s="1"/>
  <c r="BH468" s="1"/>
  <c r="BJ468" s="1"/>
  <c r="P468" s="1"/>
  <c r="O468" s="1"/>
  <c r="AF479" i="1"/>
  <c r="AD480"/>
  <c r="BD483"/>
  <c r="BE483" s="1"/>
  <c r="T483" s="1"/>
  <c r="U483" s="1"/>
  <c r="BA484"/>
  <c r="AB481"/>
  <c r="AE481" s="1"/>
  <c r="AL481" s="1"/>
  <c r="AA481"/>
  <c r="E488" i="53" s="1"/>
  <c r="V482" i="1"/>
  <c r="X482"/>
  <c r="BH5" i="55"/>
  <c r="G487" i="53"/>
  <c r="S485" i="1"/>
  <c r="I486" i="53"/>
  <c r="CX4" i="55" s="1"/>
  <c r="CC4"/>
  <c r="D486" i="53"/>
  <c r="R4" i="55" s="1"/>
  <c r="V475" i="48"/>
  <c r="F475"/>
  <c r="Y475" s="1"/>
  <c r="P487" i="1"/>
  <c r="C488"/>
  <c r="D488" s="1"/>
  <c r="L488"/>
  <c r="M487" s="1"/>
  <c r="F490" i="52"/>
  <c r="A488" i="1"/>
  <c r="B489"/>
  <c r="B471" i="38"/>
  <c r="A472" i="26"/>
  <c r="B472" s="1"/>
  <c r="E488" i="1"/>
  <c r="K488"/>
  <c r="N488" s="1"/>
  <c r="A495" i="53"/>
  <c r="B496" s="1"/>
  <c r="AK487" i="1"/>
  <c r="AL487"/>
  <c r="AI487"/>
  <c r="Z487"/>
  <c r="BC487"/>
  <c r="AJ487"/>
  <c r="AH487"/>
  <c r="W486"/>
  <c r="R486"/>
  <c r="AO469" i="38"/>
  <c r="AP469" s="1"/>
  <c r="AQ469" s="1"/>
  <c r="AN469"/>
  <c r="E470"/>
  <c r="D470"/>
  <c r="Z470"/>
  <c r="AA470" s="1"/>
  <c r="F470"/>
  <c r="AM470" s="1"/>
  <c r="BK468"/>
  <c r="B477" i="48"/>
  <c r="C476"/>
  <c r="D476"/>
  <c r="W476" s="1"/>
  <c r="E476"/>
  <c r="X476" s="1"/>
  <c r="E489" i="52"/>
  <c r="BK467" i="38"/>
  <c r="AS467"/>
  <c r="AU467" s="1"/>
  <c r="AV467" s="1"/>
  <c r="BA467" s="1"/>
  <c r="BB467" s="1"/>
  <c r="BH467" s="1"/>
  <c r="BJ467" s="1"/>
  <c r="P467" s="1"/>
  <c r="O467" s="1"/>
  <c r="AR469" l="1"/>
  <c r="AS469" s="1"/>
  <c r="AU469" s="1"/>
  <c r="AV469" s="1"/>
  <c r="BA469" s="1"/>
  <c r="BB469" s="1"/>
  <c r="BH469" s="1"/>
  <c r="BJ469" s="1"/>
  <c r="P469" s="1"/>
  <c r="O469" s="1"/>
  <c r="CC5" i="55"/>
  <c r="I487" i="53"/>
  <c r="CX5" i="55" s="1"/>
  <c r="D487" i="53"/>
  <c r="R5" i="55" s="1"/>
  <c r="BD484" i="1"/>
  <c r="BE484" s="1"/>
  <c r="T484" s="1"/>
  <c r="U484" s="1"/>
  <c r="BA485"/>
  <c r="G488" i="53"/>
  <c r="BH6" i="55"/>
  <c r="V483" i="1"/>
  <c r="X483"/>
  <c r="S486"/>
  <c r="AF480"/>
  <c r="AD481"/>
  <c r="AB482"/>
  <c r="AE482" s="1"/>
  <c r="AL482" s="1"/>
  <c r="AA482"/>
  <c r="E489" i="53" s="1"/>
  <c r="V476" i="48"/>
  <c r="F476"/>
  <c r="Y476" s="1"/>
  <c r="P488" i="1"/>
  <c r="A489"/>
  <c r="E489"/>
  <c r="F491" i="52"/>
  <c r="L489" i="1"/>
  <c r="M488" s="1"/>
  <c r="A496" i="53"/>
  <c r="B497" s="1"/>
  <c r="A473" i="26"/>
  <c r="B473" s="1"/>
  <c r="C489" i="1"/>
  <c r="D489" s="1"/>
  <c r="B472" i="38"/>
  <c r="K489" i="1"/>
  <c r="N489" s="1"/>
  <c r="B490"/>
  <c r="B478" i="48"/>
  <c r="D477"/>
  <c r="W477" s="1"/>
  <c r="C477"/>
  <c r="E477"/>
  <c r="X477" s="1"/>
  <c r="E490" i="52"/>
  <c r="Z488" i="1"/>
  <c r="AH488"/>
  <c r="AI488"/>
  <c r="AK488"/>
  <c r="AL488"/>
  <c r="AJ488"/>
  <c r="BC488"/>
  <c r="W487"/>
  <c r="R487"/>
  <c r="AN470" i="38"/>
  <c r="AO470"/>
  <c r="AP470" s="1"/>
  <c r="AQ470" s="1"/>
  <c r="BK469"/>
  <c r="D471"/>
  <c r="E471"/>
  <c r="Z471"/>
  <c r="AA471" s="1"/>
  <c r="F471"/>
  <c r="AM471" s="1"/>
  <c r="AR470" l="1"/>
  <c r="AS470" s="1"/>
  <c r="AU470" s="1"/>
  <c r="AV470" s="1"/>
  <c r="BA470" s="1"/>
  <c r="BB470" s="1"/>
  <c r="BH470" s="1"/>
  <c r="BJ470" s="1"/>
  <c r="P470" s="1"/>
  <c r="O470" s="1"/>
  <c r="AF481" i="1"/>
  <c r="AD482"/>
  <c r="AB483"/>
  <c r="AE483" s="1"/>
  <c r="AL483" s="1"/>
  <c r="AA483"/>
  <c r="E490" i="53" s="1"/>
  <c r="I488"/>
  <c r="CX6" i="55" s="1"/>
  <c r="CC6"/>
  <c r="D488" i="53"/>
  <c r="R6" i="55" s="1"/>
  <c r="BD485" i="1"/>
  <c r="BE485" s="1"/>
  <c r="T485" s="1"/>
  <c r="U485" s="1"/>
  <c r="BA486"/>
  <c r="S487"/>
  <c r="BH7" i="55"/>
  <c r="G489" i="53"/>
  <c r="V484" i="1"/>
  <c r="X484"/>
  <c r="V477" i="48"/>
  <c r="F477"/>
  <c r="Y477" s="1"/>
  <c r="F492" i="52"/>
  <c r="A490" i="1"/>
  <c r="A474" i="26"/>
  <c r="B474" s="1"/>
  <c r="A497" i="53"/>
  <c r="B498" s="1"/>
  <c r="B473" i="38"/>
  <c r="L490" i="1"/>
  <c r="M489" s="1"/>
  <c r="E490"/>
  <c r="C490"/>
  <c r="D490" s="1"/>
  <c r="B491"/>
  <c r="K490"/>
  <c r="N490" s="1"/>
  <c r="E491" i="52"/>
  <c r="AN471" i="38"/>
  <c r="AO471"/>
  <c r="AP471" s="1"/>
  <c r="AQ471" s="1"/>
  <c r="P489" i="1"/>
  <c r="AH489"/>
  <c r="AL489"/>
  <c r="BC489"/>
  <c r="Z489"/>
  <c r="AK489"/>
  <c r="AJ489"/>
  <c r="AI489"/>
  <c r="D478" i="48"/>
  <c r="W478" s="1"/>
  <c r="E478"/>
  <c r="X478" s="1"/>
  <c r="C478"/>
  <c r="B479"/>
  <c r="D472" i="38"/>
  <c r="E472"/>
  <c r="F472"/>
  <c r="AM472" s="1"/>
  <c r="Z472"/>
  <c r="AA472" s="1"/>
  <c r="W488" i="1"/>
  <c r="R488"/>
  <c r="BK470" i="38" l="1"/>
  <c r="V485" i="1"/>
  <c r="X485"/>
  <c r="G490" i="53"/>
  <c r="BH8" i="55"/>
  <c r="CC7"/>
  <c r="D489" i="53"/>
  <c r="R7" i="55" s="1"/>
  <c r="I489" i="53"/>
  <c r="CX7" i="55" s="1"/>
  <c r="AF482" i="1"/>
  <c r="AD483"/>
  <c r="S488"/>
  <c r="AB484"/>
  <c r="AE484" s="1"/>
  <c r="AL484" s="1"/>
  <c r="AA484"/>
  <c r="E491" i="53" s="1"/>
  <c r="BD486" i="1"/>
  <c r="BE486" s="1"/>
  <c r="T486" s="1"/>
  <c r="U486" s="1"/>
  <c r="BA487"/>
  <c r="D479" i="48"/>
  <c r="W479" s="1"/>
  <c r="C479"/>
  <c r="B480"/>
  <c r="E479"/>
  <c r="X479" s="1"/>
  <c r="E492" i="52"/>
  <c r="V478" i="48"/>
  <c r="F478"/>
  <c r="Y478" s="1"/>
  <c r="AR471" i="38"/>
  <c r="P490" i="1"/>
  <c r="AJ490"/>
  <c r="AI490"/>
  <c r="AK490"/>
  <c r="Z490"/>
  <c r="BC490"/>
  <c r="AL490"/>
  <c r="AH490"/>
  <c r="AN472" i="38"/>
  <c r="AO472"/>
  <c r="AP472" s="1"/>
  <c r="AQ472" s="1"/>
  <c r="W489" i="1"/>
  <c r="R489"/>
  <c r="S489" s="1"/>
  <c r="F493" i="52"/>
  <c r="A491" i="1"/>
  <c r="A498" i="53"/>
  <c r="B499" s="1"/>
  <c r="K491" i="1"/>
  <c r="N491" s="1"/>
  <c r="E491"/>
  <c r="C491"/>
  <c r="D491" s="1"/>
  <c r="L491"/>
  <c r="M490" s="1"/>
  <c r="B492"/>
  <c r="B474" i="38"/>
  <c r="A475" i="26"/>
  <c r="B475" s="1"/>
  <c r="D473" i="38"/>
  <c r="E473"/>
  <c r="Z473"/>
  <c r="AA473" s="1"/>
  <c r="F473"/>
  <c r="AM473" s="1"/>
  <c r="V486" i="1" l="1"/>
  <c r="X486"/>
  <c r="G491" i="53"/>
  <c r="BH9" i="55"/>
  <c r="AF483" i="1"/>
  <c r="AD484"/>
  <c r="CC8" i="55"/>
  <c r="I490" i="53"/>
  <c r="CX8" i="55" s="1"/>
  <c r="D490" i="53"/>
  <c r="R8" i="55" s="1"/>
  <c r="AB485" i="1"/>
  <c r="AE485" s="1"/>
  <c r="AL485" s="1"/>
  <c r="AA485"/>
  <c r="E492" i="53" s="1"/>
  <c r="BD487" i="1"/>
  <c r="BE487" s="1"/>
  <c r="T487" s="1"/>
  <c r="U487" s="1"/>
  <c r="BA488"/>
  <c r="AN473" i="38"/>
  <c r="AO473"/>
  <c r="AP473" s="1"/>
  <c r="AQ473" s="1"/>
  <c r="AL491" i="1"/>
  <c r="AK491"/>
  <c r="AI491"/>
  <c r="AJ491"/>
  <c r="AH491"/>
  <c r="BC491"/>
  <c r="Z491"/>
  <c r="E480" i="48"/>
  <c r="X480" s="1"/>
  <c r="B481"/>
  <c r="C480"/>
  <c r="D480"/>
  <c r="W480" s="1"/>
  <c r="E474" i="38"/>
  <c r="D474"/>
  <c r="F474"/>
  <c r="AM474" s="1"/>
  <c r="Z474"/>
  <c r="AA474" s="1"/>
  <c r="E493" i="52"/>
  <c r="AR472" i="38"/>
  <c r="BK471"/>
  <c r="AS471"/>
  <c r="AU471" s="1"/>
  <c r="AV471" s="1"/>
  <c r="BA471" s="1"/>
  <c r="BB471" s="1"/>
  <c r="BH471" s="1"/>
  <c r="BJ471" s="1"/>
  <c r="P471" s="1"/>
  <c r="O471" s="1"/>
  <c r="V479" i="48"/>
  <c r="F479"/>
  <c r="Y479" s="1"/>
  <c r="F494" i="52"/>
  <c r="A499" i="53"/>
  <c r="B500" s="1"/>
  <c r="E492" i="1"/>
  <c r="A492"/>
  <c r="A476" i="26"/>
  <c r="B476" s="1"/>
  <c r="K492" i="1"/>
  <c r="N492" s="1"/>
  <c r="L492"/>
  <c r="M491" s="1"/>
  <c r="B493"/>
  <c r="B475" i="38"/>
  <c r="C492" i="1"/>
  <c r="D492" s="1"/>
  <c r="P491"/>
  <c r="W490"/>
  <c r="R490"/>
  <c r="I491" i="53" l="1"/>
  <c r="CX9" i="55" s="1"/>
  <c r="CC9"/>
  <c r="D491" i="53"/>
  <c r="R9" i="55" s="1"/>
  <c r="BD488" i="1"/>
  <c r="BE488" s="1"/>
  <c r="T488" s="1"/>
  <c r="U488" s="1"/>
  <c r="BA489"/>
  <c r="AF484"/>
  <c r="AD485"/>
  <c r="V487"/>
  <c r="X487"/>
  <c r="AB486"/>
  <c r="AE486" s="1"/>
  <c r="AM486" s="1"/>
  <c r="AA486"/>
  <c r="E493" i="53" s="1"/>
  <c r="AC486" i="1"/>
  <c r="S490"/>
  <c r="G492" i="53"/>
  <c r="BH10" i="55"/>
  <c r="W491" i="1"/>
  <c r="R491"/>
  <c r="S491" s="1"/>
  <c r="E475" i="38"/>
  <c r="Z475"/>
  <c r="AA475" s="1"/>
  <c r="D475"/>
  <c r="F475"/>
  <c r="AM475" s="1"/>
  <c r="AS472"/>
  <c r="AU472" s="1"/>
  <c r="AV472" s="1"/>
  <c r="BA472" s="1"/>
  <c r="BB472" s="1"/>
  <c r="BH472" s="1"/>
  <c r="BJ472" s="1"/>
  <c r="P472" s="1"/>
  <c r="O472" s="1"/>
  <c r="BK472"/>
  <c r="V480" i="48"/>
  <c r="F480"/>
  <c r="Y480" s="1"/>
  <c r="A477" i="26"/>
  <c r="B477" s="1"/>
  <c r="F495" i="52"/>
  <c r="A493" i="1"/>
  <c r="C493"/>
  <c r="D493" s="1"/>
  <c r="A500" i="53"/>
  <c r="B501" s="1"/>
  <c r="K493" i="1"/>
  <c r="N493" s="1"/>
  <c r="E493"/>
  <c r="B476" i="38"/>
  <c r="L493" i="1"/>
  <c r="M492" s="1"/>
  <c r="B494"/>
  <c r="AI492"/>
  <c r="AJ492"/>
  <c r="BC492"/>
  <c r="AH492"/>
  <c r="Z492"/>
  <c r="AK492"/>
  <c r="AL492"/>
  <c r="AN474" i="38"/>
  <c r="AO474"/>
  <c r="AP474" s="1"/>
  <c r="AQ474" s="1"/>
  <c r="D481" i="48"/>
  <c r="W481" s="1"/>
  <c r="B482"/>
  <c r="E481"/>
  <c r="X481" s="1"/>
  <c r="C481"/>
  <c r="AR473" i="38"/>
  <c r="E494" i="52"/>
  <c r="P492" i="1"/>
  <c r="V488" l="1"/>
  <c r="X488"/>
  <c r="BH11" i="55"/>
  <c r="G493" i="53"/>
  <c r="AF485" i="1"/>
  <c r="AD486"/>
  <c r="CC10" i="55"/>
  <c r="D492" i="53"/>
  <c r="R10" i="55" s="1"/>
  <c r="I492" i="53"/>
  <c r="CX10" i="55" s="1"/>
  <c r="AB487" i="1"/>
  <c r="AE487" s="1"/>
  <c r="AM487" s="1"/>
  <c r="AC487"/>
  <c r="AA487"/>
  <c r="E494" i="53" s="1"/>
  <c r="BD489" i="1"/>
  <c r="BE489" s="1"/>
  <c r="T489" s="1"/>
  <c r="U489" s="1"/>
  <c r="BA490"/>
  <c r="V481" i="48"/>
  <c r="F481"/>
  <c r="Y481" s="1"/>
  <c r="AR474" i="38"/>
  <c r="E495" i="52"/>
  <c r="AK493" i="1"/>
  <c r="BC493"/>
  <c r="AH493"/>
  <c r="AL493"/>
  <c r="AI493"/>
  <c r="Z493"/>
  <c r="AJ493"/>
  <c r="W492"/>
  <c r="R492"/>
  <c r="S492" s="1"/>
  <c r="BK473" i="38"/>
  <c r="AS473"/>
  <c r="AU473" s="1"/>
  <c r="AV473" s="1"/>
  <c r="BA473" s="1"/>
  <c r="BB473" s="1"/>
  <c r="BH473" s="1"/>
  <c r="BJ473" s="1"/>
  <c r="P473" s="1"/>
  <c r="O473" s="1"/>
  <c r="E494" i="1"/>
  <c r="A494"/>
  <c r="F496" i="52"/>
  <c r="B477" i="38"/>
  <c r="K494" i="1"/>
  <c r="N494" s="1"/>
  <c r="C494"/>
  <c r="D494" s="1"/>
  <c r="A501" i="53"/>
  <c r="B502" s="1"/>
  <c r="A478" i="26"/>
  <c r="B478" s="1"/>
  <c r="B495" i="1"/>
  <c r="L494"/>
  <c r="M493" s="1"/>
  <c r="P493"/>
  <c r="C482" i="48"/>
  <c r="B483"/>
  <c r="D482"/>
  <c r="W482" s="1"/>
  <c r="E482"/>
  <c r="X482" s="1"/>
  <c r="AN475" i="38"/>
  <c r="AR475" s="1"/>
  <c r="AO475"/>
  <c r="AP475" s="1"/>
  <c r="AQ475" s="1"/>
  <c r="Z476"/>
  <c r="AA476" s="1"/>
  <c r="E476"/>
  <c r="D476"/>
  <c r="F476"/>
  <c r="AM476" s="1"/>
  <c r="BD490" i="1" l="1"/>
  <c r="BE490" s="1"/>
  <c r="T490" s="1"/>
  <c r="U490" s="1"/>
  <c r="BA491"/>
  <c r="AF486"/>
  <c r="AD487"/>
  <c r="V489"/>
  <c r="X489"/>
  <c r="AB488"/>
  <c r="AE488" s="1"/>
  <c r="AM488" s="1"/>
  <c r="AA488"/>
  <c r="E495" i="53" s="1"/>
  <c r="AC488" i="1"/>
  <c r="BH12" i="55"/>
  <c r="G494" i="53"/>
  <c r="I493"/>
  <c r="CX11" i="55" s="1"/>
  <c r="CC11"/>
  <c r="D493" i="53"/>
  <c r="R11" i="55" s="1"/>
  <c r="BK475" i="38"/>
  <c r="AS475"/>
  <c r="AU475" s="1"/>
  <c r="AV475" s="1"/>
  <c r="BA475" s="1"/>
  <c r="BB475" s="1"/>
  <c r="BH475" s="1"/>
  <c r="BJ475" s="1"/>
  <c r="P475" s="1"/>
  <c r="O475" s="1"/>
  <c r="AJ494" i="1"/>
  <c r="Z494"/>
  <c r="BC494"/>
  <c r="AK494"/>
  <c r="AL494"/>
  <c r="AH494"/>
  <c r="AI494"/>
  <c r="C483" i="48"/>
  <c r="E483"/>
  <c r="X483" s="1"/>
  <c r="D483"/>
  <c r="W483" s="1"/>
  <c r="B484"/>
  <c r="W493" i="1"/>
  <c r="R493"/>
  <c r="S493" s="1"/>
  <c r="F497" i="52"/>
  <c r="K495" i="1"/>
  <c r="N495" s="1"/>
  <c r="B478" i="38"/>
  <c r="A495" i="1"/>
  <c r="A479" i="26"/>
  <c r="B479" s="1"/>
  <c r="B496" i="1"/>
  <c r="A502" i="53"/>
  <c r="B503" s="1"/>
  <c r="E495" i="1"/>
  <c r="L495"/>
  <c r="M494" s="1"/>
  <c r="C495"/>
  <c r="D495" s="1"/>
  <c r="P494"/>
  <c r="E496" i="52"/>
  <c r="AN476" i="38"/>
  <c r="AR476" s="1"/>
  <c r="AO476"/>
  <c r="AP476" s="1"/>
  <c r="AQ476" s="1"/>
  <c r="V482" i="48"/>
  <c r="F482"/>
  <c r="Y482" s="1"/>
  <c r="D477" i="38"/>
  <c r="E477"/>
  <c r="F477"/>
  <c r="AM477" s="1"/>
  <c r="Z477"/>
  <c r="AA477" s="1"/>
  <c r="BK474"/>
  <c r="AS474"/>
  <c r="AU474" s="1"/>
  <c r="AV474" s="1"/>
  <c r="BA474" s="1"/>
  <c r="BB474" s="1"/>
  <c r="BH474" s="1"/>
  <c r="BJ474" s="1"/>
  <c r="P474" s="1"/>
  <c r="O474" s="1"/>
  <c r="G495" i="53" l="1"/>
  <c r="BH13" i="55"/>
  <c r="AF487" i="1"/>
  <c r="AD488"/>
  <c r="CC12" i="55"/>
  <c r="I494" i="53"/>
  <c r="CX12" i="55" s="1"/>
  <c r="D494" i="53"/>
  <c r="R12" i="55" s="1"/>
  <c r="AB489" i="1"/>
  <c r="AE489" s="1"/>
  <c r="AM489" s="1"/>
  <c r="AA489"/>
  <c r="E496" i="53" s="1"/>
  <c r="AC489" i="1"/>
  <c r="BD491"/>
  <c r="BE491" s="1"/>
  <c r="T491" s="1"/>
  <c r="U491" s="1"/>
  <c r="BA492"/>
  <c r="V490"/>
  <c r="X490"/>
  <c r="E478" i="38"/>
  <c r="D478"/>
  <c r="F478"/>
  <c r="AM478" s="1"/>
  <c r="Z478"/>
  <c r="AA478" s="1"/>
  <c r="BK476"/>
  <c r="AS476"/>
  <c r="AU476" s="1"/>
  <c r="AV476" s="1"/>
  <c r="BA476" s="1"/>
  <c r="BB476" s="1"/>
  <c r="BH476" s="1"/>
  <c r="BJ476" s="1"/>
  <c r="P476" s="1"/>
  <c r="O476" s="1"/>
  <c r="F498" i="52"/>
  <c r="E496" i="1"/>
  <c r="A496"/>
  <c r="B479" i="38"/>
  <c r="L496" i="1"/>
  <c r="M495" s="1"/>
  <c r="C496"/>
  <c r="D496" s="1"/>
  <c r="B497"/>
  <c r="A503" i="53"/>
  <c r="B504" s="1"/>
  <c r="K496" i="1"/>
  <c r="N496" s="1"/>
  <c r="A480" i="26"/>
  <c r="B480" s="1"/>
  <c r="P495" i="1"/>
  <c r="AO477" i="38"/>
  <c r="AP477" s="1"/>
  <c r="AQ477" s="1"/>
  <c r="AN477"/>
  <c r="V483" i="48"/>
  <c r="F483"/>
  <c r="Y483" s="1"/>
  <c r="W494" i="1"/>
  <c r="R494"/>
  <c r="E497" i="52"/>
  <c r="AJ495" i="1"/>
  <c r="Z495"/>
  <c r="AI495"/>
  <c r="AL495"/>
  <c r="AK495"/>
  <c r="BC495"/>
  <c r="AH495"/>
  <c r="E484" i="48"/>
  <c r="X484" s="1"/>
  <c r="B485"/>
  <c r="C484"/>
  <c r="D484"/>
  <c r="W484" s="1"/>
  <c r="S494" i="1" l="1"/>
  <c r="AB490"/>
  <c r="AE490" s="1"/>
  <c r="AM490" s="1"/>
  <c r="AC490"/>
  <c r="AA490"/>
  <c r="E497" i="53" s="1"/>
  <c r="BH14" i="55"/>
  <c r="G496" i="53"/>
  <c r="BD492" i="1"/>
  <c r="BE492" s="1"/>
  <c r="T492" s="1"/>
  <c r="U492" s="1"/>
  <c r="BA493"/>
  <c r="V491"/>
  <c r="X491"/>
  <c r="AF488"/>
  <c r="AD489"/>
  <c r="CC13" i="55"/>
  <c r="D495" i="53"/>
  <c r="R13" i="55" s="1"/>
  <c r="I495" i="53"/>
  <c r="CX13" i="55" s="1"/>
  <c r="V484" i="48"/>
  <c r="F484"/>
  <c r="Y484" s="1"/>
  <c r="W495" i="1"/>
  <c r="R495"/>
  <c r="P496"/>
  <c r="C485" i="48"/>
  <c r="E485"/>
  <c r="X485" s="1"/>
  <c r="B486"/>
  <c r="D485"/>
  <c r="W485" s="1"/>
  <c r="AR477" i="38"/>
  <c r="E479"/>
  <c r="D479"/>
  <c r="F479"/>
  <c r="AM479" s="1"/>
  <c r="Z479"/>
  <c r="AA479" s="1"/>
  <c r="AO478"/>
  <c r="AP478" s="1"/>
  <c r="AQ478" s="1"/>
  <c r="AN478"/>
  <c r="L497" i="1"/>
  <c r="M496" s="1"/>
  <c r="A481" i="26"/>
  <c r="B481" s="1"/>
  <c r="F499" i="52"/>
  <c r="C497" i="1"/>
  <c r="D497" s="1"/>
  <c r="K497"/>
  <c r="N497" s="1"/>
  <c r="B480" i="38"/>
  <c r="A504" i="53"/>
  <c r="B505" s="1"/>
  <c r="A497" i="1"/>
  <c r="E497"/>
  <c r="B498"/>
  <c r="Z496"/>
  <c r="AJ496"/>
  <c r="AK496"/>
  <c r="AL496"/>
  <c r="AH496"/>
  <c r="BC496"/>
  <c r="AI496"/>
  <c r="E498" i="52"/>
  <c r="AR478" i="38" l="1"/>
  <c r="AS478" s="1"/>
  <c r="AU478" s="1"/>
  <c r="AV478" s="1"/>
  <c r="BA478" s="1"/>
  <c r="BB478" s="1"/>
  <c r="BH478" s="1"/>
  <c r="BJ478" s="1"/>
  <c r="P478" s="1"/>
  <c r="O478" s="1"/>
  <c r="S495" i="1"/>
  <c r="AF489"/>
  <c r="AD490"/>
  <c r="BD493"/>
  <c r="BE493" s="1"/>
  <c r="T493" s="1"/>
  <c r="U493" s="1"/>
  <c r="BA494"/>
  <c r="V492"/>
  <c r="X492"/>
  <c r="BH15" i="55"/>
  <c r="G497" i="53"/>
  <c r="AB491" i="1"/>
  <c r="AE491" s="1"/>
  <c r="AM491" s="1"/>
  <c r="AA491"/>
  <c r="E498" i="53" s="1"/>
  <c r="AC491" i="1"/>
  <c r="I496" i="53"/>
  <c r="CX14" i="55" s="1"/>
  <c r="CC14"/>
  <c r="D496" i="53"/>
  <c r="R14" i="55" s="1"/>
  <c r="E499" i="52"/>
  <c r="P497" i="1"/>
  <c r="BC497"/>
  <c r="AI497"/>
  <c r="AK497"/>
  <c r="AJ497"/>
  <c r="AL497"/>
  <c r="AH497"/>
  <c r="Z497"/>
  <c r="V485" i="48"/>
  <c r="F485"/>
  <c r="Y485" s="1"/>
  <c r="W496" i="1"/>
  <c r="R496"/>
  <c r="C498"/>
  <c r="D498" s="1"/>
  <c r="A498"/>
  <c r="L498"/>
  <c r="M497" s="1"/>
  <c r="A505" i="53"/>
  <c r="B506" s="1"/>
  <c r="B499" i="1"/>
  <c r="F500" i="52"/>
  <c r="A482" i="26"/>
  <c r="B482" s="1"/>
  <c r="K498" i="1"/>
  <c r="N498" s="1"/>
  <c r="B481" i="38"/>
  <c r="E498" i="1"/>
  <c r="E480" i="38"/>
  <c r="D480"/>
  <c r="Z480"/>
  <c r="AA480" s="1"/>
  <c r="F480"/>
  <c r="AM480" s="1"/>
  <c r="AO479"/>
  <c r="AP479" s="1"/>
  <c r="AQ479" s="1"/>
  <c r="AN479"/>
  <c r="BK477"/>
  <c r="AS477"/>
  <c r="AU477" s="1"/>
  <c r="AV477" s="1"/>
  <c r="BA477" s="1"/>
  <c r="BB477" s="1"/>
  <c r="BH477" s="1"/>
  <c r="BJ477" s="1"/>
  <c r="P477" s="1"/>
  <c r="O477" s="1"/>
  <c r="C486" i="48"/>
  <c r="D486"/>
  <c r="W486" s="1"/>
  <c r="B487"/>
  <c r="E486"/>
  <c r="X486" s="1"/>
  <c r="BK478" i="38" l="1"/>
  <c r="AR479"/>
  <c r="AS479" s="1"/>
  <c r="AU479" s="1"/>
  <c r="AV479" s="1"/>
  <c r="BA479" s="1"/>
  <c r="BB479" s="1"/>
  <c r="BH479" s="1"/>
  <c r="BJ479" s="1"/>
  <c r="P479" s="1"/>
  <c r="O479" s="1"/>
  <c r="D497" i="53"/>
  <c r="R15" i="55" s="1"/>
  <c r="CC15"/>
  <c r="I497" i="53"/>
  <c r="CX15" i="55" s="1"/>
  <c r="BD494" i="1"/>
  <c r="BE494" s="1"/>
  <c r="T494" s="1"/>
  <c r="U494" s="1"/>
  <c r="BA495"/>
  <c r="S496"/>
  <c r="BH16" i="55"/>
  <c r="G498" i="53"/>
  <c r="V493" i="1"/>
  <c r="X493"/>
  <c r="AB492"/>
  <c r="AE492" s="1"/>
  <c r="AM492" s="1"/>
  <c r="AA492"/>
  <c r="E499" i="53" s="1"/>
  <c r="AC492" i="1"/>
  <c r="AF490"/>
  <c r="AD491"/>
  <c r="E487" i="48"/>
  <c r="X487" s="1"/>
  <c r="C487"/>
  <c r="B488"/>
  <c r="D487"/>
  <c r="W487" s="1"/>
  <c r="D481" i="38"/>
  <c r="E481"/>
  <c r="Z481"/>
  <c r="AA481" s="1"/>
  <c r="F481"/>
  <c r="AM481" s="1"/>
  <c r="F501" i="52"/>
  <c r="A483" i="26"/>
  <c r="B483" s="1"/>
  <c r="L499" i="1"/>
  <c r="M498" s="1"/>
  <c r="E499"/>
  <c r="A499"/>
  <c r="K499"/>
  <c r="N499" s="1"/>
  <c r="B482" i="38"/>
  <c r="C499" i="1"/>
  <c r="D499" s="1"/>
  <c r="A506" i="53"/>
  <c r="B507" s="1"/>
  <c r="B500" i="1"/>
  <c r="P498"/>
  <c r="V486" i="48"/>
  <c r="F486"/>
  <c r="Y486" s="1"/>
  <c r="W497" i="1"/>
  <c r="R497"/>
  <c r="AO480" i="38"/>
  <c r="AP480" s="1"/>
  <c r="AQ480" s="1"/>
  <c r="AN480"/>
  <c r="E500" i="52"/>
  <c r="AJ498" i="1"/>
  <c r="BC498"/>
  <c r="Z498"/>
  <c r="AK498"/>
  <c r="AL498"/>
  <c r="AH498"/>
  <c r="AI498"/>
  <c r="AR480" i="38" l="1"/>
  <c r="AS480" s="1"/>
  <c r="AU480" s="1"/>
  <c r="AV480" s="1"/>
  <c r="BA480" s="1"/>
  <c r="BB480" s="1"/>
  <c r="BH480" s="1"/>
  <c r="BJ480" s="1"/>
  <c r="P480" s="1"/>
  <c r="O480" s="1"/>
  <c r="BK479"/>
  <c r="S497" i="1"/>
  <c r="AB493"/>
  <c r="AE493" s="1"/>
  <c r="AM493" s="1"/>
  <c r="AC493"/>
  <c r="AA493"/>
  <c r="E500" i="53" s="1"/>
  <c r="V494" i="1"/>
  <c r="X494"/>
  <c r="G499" i="53"/>
  <c r="BH17" i="55"/>
  <c r="AF491" i="1"/>
  <c r="AD492"/>
  <c r="D498" i="53"/>
  <c r="R16" i="55" s="1"/>
  <c r="I498" i="53"/>
  <c r="CX16" i="55" s="1"/>
  <c r="CC16"/>
  <c r="BD495" i="1"/>
  <c r="BE495" s="1"/>
  <c r="T495" s="1"/>
  <c r="U495" s="1"/>
  <c r="BA496"/>
  <c r="R498"/>
  <c r="S498" s="1"/>
  <c r="W498"/>
  <c r="Z499"/>
  <c r="AK499"/>
  <c r="AJ499"/>
  <c r="AI499"/>
  <c r="AL499"/>
  <c r="BC499"/>
  <c r="AH499"/>
  <c r="E501" i="52"/>
  <c r="AN481" i="38"/>
  <c r="AR481" s="1"/>
  <c r="AO481"/>
  <c r="AP481" s="1"/>
  <c r="AQ481" s="1"/>
  <c r="E482"/>
  <c r="D482"/>
  <c r="F482"/>
  <c r="AM482" s="1"/>
  <c r="Z482"/>
  <c r="AA482" s="1"/>
  <c r="D488" i="48"/>
  <c r="W488" s="1"/>
  <c r="C488"/>
  <c r="E488"/>
  <c r="X488" s="1"/>
  <c r="B489"/>
  <c r="F502" i="52"/>
  <c r="A507" i="53"/>
  <c r="B508" s="1"/>
  <c r="A484" i="26"/>
  <c r="B484" s="1"/>
  <c r="B501" i="1"/>
  <c r="L500"/>
  <c r="M499" s="1"/>
  <c r="B483" i="38"/>
  <c r="C500" i="1"/>
  <c r="D500" s="1"/>
  <c r="K500"/>
  <c r="N500" s="1"/>
  <c r="A500"/>
  <c r="E500"/>
  <c r="P499"/>
  <c r="F487" i="48"/>
  <c r="Y487" s="1"/>
  <c r="V487"/>
  <c r="BK480" i="38" l="1"/>
  <c r="AB494" i="1"/>
  <c r="AE494" s="1"/>
  <c r="AM494" s="1"/>
  <c r="AA494"/>
  <c r="E501" i="53" s="1"/>
  <c r="AC494" i="1"/>
  <c r="BD496"/>
  <c r="BE496" s="1"/>
  <c r="T496" s="1"/>
  <c r="U496" s="1"/>
  <c r="BA497"/>
  <c r="CC17" i="55"/>
  <c r="D499" i="53"/>
  <c r="R17" i="55" s="1"/>
  <c r="I499" i="53"/>
  <c r="CX17" i="55" s="1"/>
  <c r="BH18"/>
  <c r="G500" i="53"/>
  <c r="V495" i="1"/>
  <c r="X495"/>
  <c r="AF492"/>
  <c r="AD493"/>
  <c r="V488" i="48"/>
  <c r="F488"/>
  <c r="Y488" s="1"/>
  <c r="W499" i="1"/>
  <c r="R499"/>
  <c r="S499" s="1"/>
  <c r="AJ500"/>
  <c r="AL500"/>
  <c r="Z500"/>
  <c r="AI500"/>
  <c r="BC500"/>
  <c r="AK500"/>
  <c r="AH500"/>
  <c r="P500"/>
  <c r="L501"/>
  <c r="M500" s="1"/>
  <c r="F503" i="52"/>
  <c r="A508" i="53"/>
  <c r="B509" s="1"/>
  <c r="C501" i="1"/>
  <c r="D501" s="1"/>
  <c r="K501"/>
  <c r="N501" s="1"/>
  <c r="B484" i="38"/>
  <c r="E501" i="1"/>
  <c r="A485" i="26"/>
  <c r="B485" s="1"/>
  <c r="A501" i="1"/>
  <c r="B502"/>
  <c r="D489" i="48"/>
  <c r="W489" s="1"/>
  <c r="C489"/>
  <c r="B490"/>
  <c r="E489"/>
  <c r="X489" s="1"/>
  <c r="E502" i="52"/>
  <c r="D483" i="38"/>
  <c r="E483"/>
  <c r="F483"/>
  <c r="AM483" s="1"/>
  <c r="Z483"/>
  <c r="AA483" s="1"/>
  <c r="AN482"/>
  <c r="AO482"/>
  <c r="AP482" s="1"/>
  <c r="AQ482" s="1"/>
  <c r="BK481"/>
  <c r="AS481"/>
  <c r="AU481" s="1"/>
  <c r="AV481" s="1"/>
  <c r="BA481" s="1"/>
  <c r="BB481" s="1"/>
  <c r="BH481" s="1"/>
  <c r="BJ481" s="1"/>
  <c r="P481" s="1"/>
  <c r="O481" s="1"/>
  <c r="AF493" i="1" l="1"/>
  <c r="AD494"/>
  <c r="I500" i="53"/>
  <c r="CX18" i="55" s="1"/>
  <c r="D500" i="53"/>
  <c r="R18" i="55" s="1"/>
  <c r="CC18"/>
  <c r="AB495" i="1"/>
  <c r="AE495" s="1"/>
  <c r="AM495" s="1"/>
  <c r="AA495"/>
  <c r="E502" i="53" s="1"/>
  <c r="AC495" i="1"/>
  <c r="BD497"/>
  <c r="BE497" s="1"/>
  <c r="T497" s="1"/>
  <c r="U497" s="1"/>
  <c r="BA498"/>
  <c r="BH19" i="55"/>
  <c r="G501" i="53"/>
  <c r="V496" i="1"/>
  <c r="X496"/>
  <c r="AN483" i="38"/>
  <c r="AO483"/>
  <c r="AP483" s="1"/>
  <c r="AQ483" s="1"/>
  <c r="F504" i="52"/>
  <c r="A509" i="53"/>
  <c r="B510" s="1"/>
  <c r="B485" i="38"/>
  <c r="A486" i="26"/>
  <c r="B486" s="1"/>
  <c r="L502" i="1"/>
  <c r="M501" s="1"/>
  <c r="A502"/>
  <c r="K502"/>
  <c r="N502" s="1"/>
  <c r="E502"/>
  <c r="B503"/>
  <c r="C502"/>
  <c r="D502" s="1"/>
  <c r="E484" i="38"/>
  <c r="D484"/>
  <c r="F484"/>
  <c r="AM484" s="1"/>
  <c r="Z484"/>
  <c r="AA484" s="1"/>
  <c r="W500" i="1"/>
  <c r="R500"/>
  <c r="S500" s="1"/>
  <c r="AR482" i="38"/>
  <c r="D490" i="48"/>
  <c r="W490" s="1"/>
  <c r="E490"/>
  <c r="X490" s="1"/>
  <c r="B491"/>
  <c r="C490"/>
  <c r="AH501" i="1"/>
  <c r="BC501"/>
  <c r="AI501"/>
  <c r="AJ501"/>
  <c r="AK501"/>
  <c r="AL501"/>
  <c r="Z501"/>
  <c r="P501"/>
  <c r="V489" i="48"/>
  <c r="F489"/>
  <c r="Y489" s="1"/>
  <c r="E503" i="52"/>
  <c r="AB496" i="1" l="1"/>
  <c r="AE496" s="1"/>
  <c r="AM496" s="1"/>
  <c r="AA496"/>
  <c r="E503" i="53" s="1"/>
  <c r="AC496" i="1"/>
  <c r="G502" i="53"/>
  <c r="BH20" i="55"/>
  <c r="BD498" i="1"/>
  <c r="BE498" s="1"/>
  <c r="T498" s="1"/>
  <c r="U498" s="1"/>
  <c r="BA499"/>
  <c r="I501" i="53"/>
  <c r="CX19" i="55" s="1"/>
  <c r="CC19"/>
  <c r="D501" i="53"/>
  <c r="R19" i="55" s="1"/>
  <c r="V497" i="1"/>
  <c r="X497"/>
  <c r="AF494"/>
  <c r="AD495"/>
  <c r="E504" i="52"/>
  <c r="W501" i="1"/>
  <c r="R501"/>
  <c r="V490" i="48"/>
  <c r="F490"/>
  <c r="Y490" s="1"/>
  <c r="P502" i="1"/>
  <c r="D485" i="38"/>
  <c r="E485"/>
  <c r="F485"/>
  <c r="AM485" s="1"/>
  <c r="Z485"/>
  <c r="AA485" s="1"/>
  <c r="B492" i="48"/>
  <c r="E491"/>
  <c r="X491" s="1"/>
  <c r="C491"/>
  <c r="D491"/>
  <c r="W491" s="1"/>
  <c r="BK482" i="38"/>
  <c r="AS482"/>
  <c r="AU482" s="1"/>
  <c r="AV482" s="1"/>
  <c r="BA482" s="1"/>
  <c r="BB482" s="1"/>
  <c r="BH482" s="1"/>
  <c r="BJ482" s="1"/>
  <c r="P482" s="1"/>
  <c r="O482" s="1"/>
  <c r="AI502" i="1"/>
  <c r="AH502"/>
  <c r="AK502"/>
  <c r="AL502"/>
  <c r="Z502"/>
  <c r="BC502"/>
  <c r="AJ502"/>
  <c r="AR483" i="38"/>
  <c r="AO484"/>
  <c r="AP484" s="1"/>
  <c r="AQ484" s="1"/>
  <c r="AN484"/>
  <c r="C503" i="1"/>
  <c r="D503" s="1"/>
  <c r="F505" i="52"/>
  <c r="A487" i="26"/>
  <c r="B487" s="1"/>
  <c r="E503" i="1"/>
  <c r="B486" i="38"/>
  <c r="B504" i="1"/>
  <c r="A510" i="53"/>
  <c r="B511" s="1"/>
  <c r="A503" i="1"/>
  <c r="K503"/>
  <c r="N503" s="1"/>
  <c r="L503"/>
  <c r="M502" s="1"/>
  <c r="BD499" l="1"/>
  <c r="BE499" s="1"/>
  <c r="T499" s="1"/>
  <c r="U499" s="1"/>
  <c r="BA500"/>
  <c r="D502" i="53"/>
  <c r="R20" i="55" s="1"/>
  <c r="I502" i="53"/>
  <c r="CX20" i="55" s="1"/>
  <c r="CC20"/>
  <c r="AF495" i="1"/>
  <c r="AD496"/>
  <c r="V498"/>
  <c r="X498"/>
  <c r="S501"/>
  <c r="BH21" i="55"/>
  <c r="G503" i="53"/>
  <c r="AB497" i="1"/>
  <c r="AE497" s="1"/>
  <c r="AM497" s="1"/>
  <c r="AA497"/>
  <c r="E504" i="53" s="1"/>
  <c r="AC497" i="1"/>
  <c r="F506" i="52"/>
  <c r="L504" i="1"/>
  <c r="M503" s="1"/>
  <c r="B487" i="38"/>
  <c r="A488" i="26"/>
  <c r="B488" s="1"/>
  <c r="E504" i="1"/>
  <c r="A504"/>
  <c r="K504"/>
  <c r="N504" s="1"/>
  <c r="A511" i="53"/>
  <c r="B512" s="1"/>
  <c r="B505" i="1"/>
  <c r="C504"/>
  <c r="D504" s="1"/>
  <c r="AJ503"/>
  <c r="AK503"/>
  <c r="AI503"/>
  <c r="AL503"/>
  <c r="BC503"/>
  <c r="Z503"/>
  <c r="AH503"/>
  <c r="E505" i="52"/>
  <c r="AR484" i="38"/>
  <c r="V491" i="48"/>
  <c r="F491"/>
  <c r="Y491" s="1"/>
  <c r="P503" i="1"/>
  <c r="D486" i="38"/>
  <c r="E486"/>
  <c r="F486"/>
  <c r="AM486" s="1"/>
  <c r="Z486"/>
  <c r="AA486" s="1"/>
  <c r="BK483"/>
  <c r="AS483"/>
  <c r="AU483" s="1"/>
  <c r="AV483" s="1"/>
  <c r="BA483" s="1"/>
  <c r="BB483" s="1"/>
  <c r="BH483" s="1"/>
  <c r="BJ483" s="1"/>
  <c r="P483" s="1"/>
  <c r="O483" s="1"/>
  <c r="D492" i="48"/>
  <c r="W492" s="1"/>
  <c r="E492"/>
  <c r="X492" s="1"/>
  <c r="C492"/>
  <c r="B493"/>
  <c r="AN485" i="38"/>
  <c r="AO485"/>
  <c r="AP485" s="1"/>
  <c r="AQ485" s="1"/>
  <c r="W502" i="1"/>
  <c r="R502"/>
  <c r="AR485" i="38" l="1"/>
  <c r="AS485" s="1"/>
  <c r="AU485" s="1"/>
  <c r="AV485" s="1"/>
  <c r="BA485" s="1"/>
  <c r="BB485" s="1"/>
  <c r="BH485" s="1"/>
  <c r="BJ485" s="1"/>
  <c r="P485" s="1"/>
  <c r="O485" s="1"/>
  <c r="S502" i="1"/>
  <c r="AF496"/>
  <c r="AD497"/>
  <c r="BD500"/>
  <c r="BE500" s="1"/>
  <c r="T500" s="1"/>
  <c r="U500" s="1"/>
  <c r="BA501"/>
  <c r="BH22" i="55"/>
  <c r="G504" i="53"/>
  <c r="CC21" i="55"/>
  <c r="I503" i="53"/>
  <c r="CX21" i="55" s="1"/>
  <c r="D503" i="53"/>
  <c r="R21" i="55" s="1"/>
  <c r="AB498" i="1"/>
  <c r="AE498" s="1"/>
  <c r="AM498" s="1"/>
  <c r="AA498"/>
  <c r="E505" i="53" s="1"/>
  <c r="AC498" i="1"/>
  <c r="V499"/>
  <c r="X499"/>
  <c r="V492" i="48"/>
  <c r="F492"/>
  <c r="Y492" s="1"/>
  <c r="R503" i="1"/>
  <c r="S503" s="1"/>
  <c r="W503"/>
  <c r="Z504"/>
  <c r="AJ504"/>
  <c r="AL504"/>
  <c r="BC504"/>
  <c r="AK504"/>
  <c r="AI504"/>
  <c r="AH504"/>
  <c r="AO486" i="38"/>
  <c r="AP486" s="1"/>
  <c r="AQ486" s="1"/>
  <c r="AN486"/>
  <c r="AS484"/>
  <c r="AU484" s="1"/>
  <c r="AV484" s="1"/>
  <c r="BA484" s="1"/>
  <c r="BB484" s="1"/>
  <c r="BH484" s="1"/>
  <c r="BJ484" s="1"/>
  <c r="P484" s="1"/>
  <c r="O484" s="1"/>
  <c r="BK484"/>
  <c r="F507" i="52"/>
  <c r="A512" i="53"/>
  <c r="B513" s="1"/>
  <c r="A505" i="1"/>
  <c r="L505"/>
  <c r="M504" s="1"/>
  <c r="A489" i="26"/>
  <c r="B489" s="1"/>
  <c r="E505" i="1"/>
  <c r="C505"/>
  <c r="D505" s="1"/>
  <c r="K505"/>
  <c r="N505" s="1"/>
  <c r="B506"/>
  <c r="B488" i="38"/>
  <c r="E506" i="52"/>
  <c r="E493" i="48"/>
  <c r="X493" s="1"/>
  <c r="B494"/>
  <c r="D493"/>
  <c r="W493" s="1"/>
  <c r="C493"/>
  <c r="P504" i="1"/>
  <c r="D487" i="38"/>
  <c r="E487"/>
  <c r="F487"/>
  <c r="AM487" s="1"/>
  <c r="Z487"/>
  <c r="AA487" s="1"/>
  <c r="BK485" l="1"/>
  <c r="BH23" i="55"/>
  <c r="G505" i="53"/>
  <c r="BD501" i="1"/>
  <c r="BE501" s="1"/>
  <c r="T501" s="1"/>
  <c r="U501" s="1"/>
  <c r="BA502"/>
  <c r="AB499"/>
  <c r="AE499" s="1"/>
  <c r="AM499" s="1"/>
  <c r="AC499"/>
  <c r="AA499"/>
  <c r="E506" i="53" s="1"/>
  <c r="V500" i="1"/>
  <c r="X500"/>
  <c r="D504" i="53"/>
  <c r="R22" i="55" s="1"/>
  <c r="CC22"/>
  <c r="I504" i="53"/>
  <c r="CX22" i="55" s="1"/>
  <c r="AF497" i="1"/>
  <c r="AD498"/>
  <c r="C506"/>
  <c r="D506" s="1"/>
  <c r="F508" i="52"/>
  <c r="A490" i="26"/>
  <c r="B490" s="1"/>
  <c r="B507" i="1"/>
  <c r="L506"/>
  <c r="M505" s="1"/>
  <c r="K506"/>
  <c r="N506" s="1"/>
  <c r="E506"/>
  <c r="A506"/>
  <c r="B489" i="38"/>
  <c r="A513" i="53"/>
  <c r="B514" s="1"/>
  <c r="D494" i="48"/>
  <c r="W494" s="1"/>
  <c r="E494"/>
  <c r="X494" s="1"/>
  <c r="C494"/>
  <c r="B495"/>
  <c r="P505" i="1"/>
  <c r="AK505"/>
  <c r="AJ505"/>
  <c r="BC505"/>
  <c r="Z505"/>
  <c r="AH505"/>
  <c r="AI505"/>
  <c r="AL505"/>
  <c r="AN487" i="38"/>
  <c r="AO487"/>
  <c r="AP487" s="1"/>
  <c r="AQ487" s="1"/>
  <c r="W504" i="1"/>
  <c r="R504"/>
  <c r="S504" s="1"/>
  <c r="V493" i="48"/>
  <c r="F493"/>
  <c r="Y493" s="1"/>
  <c r="E488" i="38"/>
  <c r="D488"/>
  <c r="Z488"/>
  <c r="AA488" s="1"/>
  <c r="F488"/>
  <c r="AM488" s="1"/>
  <c r="E507" i="52"/>
  <c r="AR486" i="38"/>
  <c r="AR487" l="1"/>
  <c r="AS487" s="1"/>
  <c r="AU487" s="1"/>
  <c r="AV487" s="1"/>
  <c r="BA487" s="1"/>
  <c r="BB487" s="1"/>
  <c r="BH487" s="1"/>
  <c r="BJ487" s="1"/>
  <c r="P487" s="1"/>
  <c r="O487" s="1"/>
  <c r="AF498" i="1"/>
  <c r="AD499"/>
  <c r="CC23" i="55"/>
  <c r="I505" i="53"/>
  <c r="CX23" i="55" s="1"/>
  <c r="D505" i="53"/>
  <c r="R23" i="55" s="1"/>
  <c r="AB500" i="1"/>
  <c r="AE500" s="1"/>
  <c r="AM500" s="1"/>
  <c r="AA500"/>
  <c r="E507" i="53" s="1"/>
  <c r="AC500" i="1"/>
  <c r="BD502"/>
  <c r="BE502" s="1"/>
  <c r="T502" s="1"/>
  <c r="U502" s="1"/>
  <c r="BA503"/>
  <c r="BH24" i="55"/>
  <c r="G506" i="53"/>
  <c r="V501" i="1"/>
  <c r="X501"/>
  <c r="E489" i="38"/>
  <c r="D489"/>
  <c r="Z489"/>
  <c r="AA489" s="1"/>
  <c r="F489"/>
  <c r="AM489" s="1"/>
  <c r="BK487"/>
  <c r="C495" i="48"/>
  <c r="D495"/>
  <c r="W495" s="1"/>
  <c r="B496"/>
  <c r="E495"/>
  <c r="X495" s="1"/>
  <c r="AI506" i="1"/>
  <c r="AH506"/>
  <c r="AK506"/>
  <c r="AL506"/>
  <c r="Z506"/>
  <c r="BC506"/>
  <c r="AJ506"/>
  <c r="F509" i="52"/>
  <c r="A491" i="26"/>
  <c r="B491" s="1"/>
  <c r="A514" i="53"/>
  <c r="B515" s="1"/>
  <c r="B490" i="38"/>
  <c r="L507" i="1"/>
  <c r="M506" s="1"/>
  <c r="E507"/>
  <c r="C507"/>
  <c r="D507" s="1"/>
  <c r="K507"/>
  <c r="N507" s="1"/>
  <c r="B508"/>
  <c r="A507"/>
  <c r="BK486" i="38"/>
  <c r="AS486"/>
  <c r="AU486" s="1"/>
  <c r="AV486" s="1"/>
  <c r="BA486" s="1"/>
  <c r="BB486" s="1"/>
  <c r="BH486" s="1"/>
  <c r="BJ486" s="1"/>
  <c r="P486" s="1"/>
  <c r="O486" s="1"/>
  <c r="V494" i="48"/>
  <c r="F494"/>
  <c r="Y494" s="1"/>
  <c r="E508" i="52"/>
  <c r="AN488" i="38"/>
  <c r="AO488"/>
  <c r="AP488" s="1"/>
  <c r="AQ488" s="1"/>
  <c r="W505" i="1"/>
  <c r="R505"/>
  <c r="S505" s="1"/>
  <c r="P506"/>
  <c r="AR488" i="38" l="1"/>
  <c r="AB501" i="1"/>
  <c r="AE501" s="1"/>
  <c r="AM501" s="1"/>
  <c r="AA501"/>
  <c r="E508" i="53" s="1"/>
  <c r="AC501" i="1"/>
  <c r="G507" i="53"/>
  <c r="BH25" i="55"/>
  <c r="BD503" i="1"/>
  <c r="BE503" s="1"/>
  <c r="T503" s="1"/>
  <c r="U503" s="1"/>
  <c r="BA504"/>
  <c r="AF499"/>
  <c r="AD500"/>
  <c r="V502"/>
  <c r="X502"/>
  <c r="I506" i="53"/>
  <c r="CX24" i="55" s="1"/>
  <c r="D506" i="53"/>
  <c r="R24" i="55" s="1"/>
  <c r="CC24"/>
  <c r="P507" i="1"/>
  <c r="E490" i="38"/>
  <c r="D490"/>
  <c r="F490"/>
  <c r="AM490" s="1"/>
  <c r="Z490"/>
  <c r="AA490" s="1"/>
  <c r="F495" i="48"/>
  <c r="Y495" s="1"/>
  <c r="V495"/>
  <c r="R506" i="1"/>
  <c r="W506"/>
  <c r="AH507"/>
  <c r="Z507"/>
  <c r="AL507"/>
  <c r="AJ507"/>
  <c r="BC507"/>
  <c r="AK507"/>
  <c r="AI507"/>
  <c r="E509" i="52"/>
  <c r="BK488" i="38"/>
  <c r="AS488"/>
  <c r="AU488" s="1"/>
  <c r="AV488" s="1"/>
  <c r="BA488" s="1"/>
  <c r="BB488" s="1"/>
  <c r="BH488" s="1"/>
  <c r="BJ488" s="1"/>
  <c r="P488" s="1"/>
  <c r="O488" s="1"/>
  <c r="F510" i="52"/>
  <c r="A492" i="26"/>
  <c r="B492" s="1"/>
  <c r="A515" i="53"/>
  <c r="B516" s="1"/>
  <c r="L508" i="1"/>
  <c r="M507" s="1"/>
  <c r="C508"/>
  <c r="D508" s="1"/>
  <c r="A508"/>
  <c r="B491" i="38"/>
  <c r="E508" i="1"/>
  <c r="B509"/>
  <c r="K508"/>
  <c r="N508" s="1"/>
  <c r="D496" i="48"/>
  <c r="W496" s="1"/>
  <c r="B497"/>
  <c r="C496"/>
  <c r="E496"/>
  <c r="X496" s="1"/>
  <c r="AO489" i="38"/>
  <c r="AP489" s="1"/>
  <c r="AQ489" s="1"/>
  <c r="AN489"/>
  <c r="AR489" l="1"/>
  <c r="V503" i="1"/>
  <c r="X503"/>
  <c r="AF500"/>
  <c r="AD501"/>
  <c r="G508" i="53"/>
  <c r="BH26" i="55"/>
  <c r="S506" i="1"/>
  <c r="AB502"/>
  <c r="AE502" s="1"/>
  <c r="AM502" s="1"/>
  <c r="AC502"/>
  <c r="AA502"/>
  <c r="E509" i="53" s="1"/>
  <c r="BD504" i="1"/>
  <c r="BE504" s="1"/>
  <c r="T504" s="1"/>
  <c r="U504" s="1"/>
  <c r="BA505"/>
  <c r="I507" i="53"/>
  <c r="CX25" i="55" s="1"/>
  <c r="D507" i="53"/>
  <c r="R25" i="55" s="1"/>
  <c r="CC25"/>
  <c r="P508" i="1"/>
  <c r="AJ508"/>
  <c r="BC508"/>
  <c r="AK508"/>
  <c r="AL508"/>
  <c r="AI508"/>
  <c r="AH508"/>
  <c r="Z508"/>
  <c r="W507"/>
  <c r="R507"/>
  <c r="A493" i="26"/>
  <c r="B493" s="1"/>
  <c r="F511" i="52"/>
  <c r="C509" i="1"/>
  <c r="D509" s="1"/>
  <c r="B492" i="38"/>
  <c r="E509" i="1"/>
  <c r="L509"/>
  <c r="M508" s="1"/>
  <c r="K509"/>
  <c r="N509" s="1"/>
  <c r="A516" i="53"/>
  <c r="B517" s="1"/>
  <c r="A509" i="1"/>
  <c r="B510"/>
  <c r="AN490" i="38"/>
  <c r="AR490" s="1"/>
  <c r="AO490"/>
  <c r="AP490" s="1"/>
  <c r="AQ490" s="1"/>
  <c r="V496" i="48"/>
  <c r="F496"/>
  <c r="Y496" s="1"/>
  <c r="E510" i="52"/>
  <c r="BK489" i="38"/>
  <c r="AS489"/>
  <c r="AU489" s="1"/>
  <c r="AV489" s="1"/>
  <c r="BA489" s="1"/>
  <c r="BB489" s="1"/>
  <c r="BH489" s="1"/>
  <c r="BJ489" s="1"/>
  <c r="P489" s="1"/>
  <c r="O489" s="1"/>
  <c r="C497" i="48"/>
  <c r="E497"/>
  <c r="X497" s="1"/>
  <c r="B498"/>
  <c r="D497"/>
  <c r="W497" s="1"/>
  <c r="D491" i="38"/>
  <c r="E491"/>
  <c r="Z491"/>
  <c r="AA491" s="1"/>
  <c r="F491"/>
  <c r="AM491" s="1"/>
  <c r="AF501" i="1" l="1"/>
  <c r="AD502"/>
  <c r="S507"/>
  <c r="BD505"/>
  <c r="BE505" s="1"/>
  <c r="T505" s="1"/>
  <c r="U505" s="1"/>
  <c r="BA506"/>
  <c r="V504"/>
  <c r="X504"/>
  <c r="CC26" i="55"/>
  <c r="D508" i="53"/>
  <c r="R26" i="55" s="1"/>
  <c r="I508" i="53"/>
  <c r="CX26" i="55" s="1"/>
  <c r="AB503" i="1"/>
  <c r="AE503" s="1"/>
  <c r="AM503" s="1"/>
  <c r="AA503"/>
  <c r="E510" i="53" s="1"/>
  <c r="AC503" i="1"/>
  <c r="G509" i="53"/>
  <c r="BH27" i="55"/>
  <c r="AO491" i="38"/>
  <c r="AP491" s="1"/>
  <c r="AQ491" s="1"/>
  <c r="AN491"/>
  <c r="AR491" s="1"/>
  <c r="BK490"/>
  <c r="AS490"/>
  <c r="AU490" s="1"/>
  <c r="AV490" s="1"/>
  <c r="BA490" s="1"/>
  <c r="BB490" s="1"/>
  <c r="BH490" s="1"/>
  <c r="BJ490" s="1"/>
  <c r="P490" s="1"/>
  <c r="O490" s="1"/>
  <c r="E492"/>
  <c r="Z492"/>
  <c r="AA492" s="1"/>
  <c r="D492"/>
  <c r="F492"/>
  <c r="AM492" s="1"/>
  <c r="D498" i="48"/>
  <c r="W498" s="1"/>
  <c r="E498"/>
  <c r="X498" s="1"/>
  <c r="C498"/>
  <c r="B499"/>
  <c r="P509" i="1"/>
  <c r="F512" i="52"/>
  <c r="A494" i="26"/>
  <c r="B494" s="1"/>
  <c r="A517" i="53"/>
  <c r="B518" s="1"/>
  <c r="C510" i="1"/>
  <c r="D510" s="1"/>
  <c r="B493" i="38"/>
  <c r="L510" i="1"/>
  <c r="M509" s="1"/>
  <c r="E510"/>
  <c r="K510"/>
  <c r="N510" s="1"/>
  <c r="A510"/>
  <c r="B511"/>
  <c r="V497" i="48"/>
  <c r="F497"/>
  <c r="Y497" s="1"/>
  <c r="BC509" i="1"/>
  <c r="Z509"/>
  <c r="AH509"/>
  <c r="AI509"/>
  <c r="AJ509"/>
  <c r="AK509"/>
  <c r="AL509"/>
  <c r="E511" i="52"/>
  <c r="W508" i="1"/>
  <c r="R508"/>
  <c r="CC27" i="55" l="1"/>
  <c r="D509" i="53"/>
  <c r="R27" i="55" s="1"/>
  <c r="I509" i="53"/>
  <c r="CX27" i="55" s="1"/>
  <c r="BD506" i="1"/>
  <c r="BE506" s="1"/>
  <c r="T506" s="1"/>
  <c r="U506" s="1"/>
  <c r="BA507"/>
  <c r="AF502"/>
  <c r="AD503"/>
  <c r="S508"/>
  <c r="BH28" i="55"/>
  <c r="G510" i="53"/>
  <c r="V505" i="1"/>
  <c r="X505"/>
  <c r="AB504"/>
  <c r="AE504" s="1"/>
  <c r="AM504" s="1"/>
  <c r="AA504"/>
  <c r="E511" i="53" s="1"/>
  <c r="AC504" i="1"/>
  <c r="AJ510"/>
  <c r="BC510"/>
  <c r="Z510"/>
  <c r="AL510"/>
  <c r="AI510"/>
  <c r="AH510"/>
  <c r="AK510"/>
  <c r="E493" i="38"/>
  <c r="D493"/>
  <c r="F493"/>
  <c r="AM493" s="1"/>
  <c r="Z493"/>
  <c r="AA493" s="1"/>
  <c r="W509" i="1"/>
  <c r="R509"/>
  <c r="P510"/>
  <c r="B500" i="48"/>
  <c r="E499"/>
  <c r="X499" s="1"/>
  <c r="C499"/>
  <c r="D499"/>
  <c r="W499" s="1"/>
  <c r="AO492" i="38"/>
  <c r="AP492" s="1"/>
  <c r="AQ492" s="1"/>
  <c r="AN492"/>
  <c r="AS491"/>
  <c r="AU491" s="1"/>
  <c r="AV491" s="1"/>
  <c r="BA491" s="1"/>
  <c r="BB491" s="1"/>
  <c r="BH491" s="1"/>
  <c r="BJ491" s="1"/>
  <c r="P491" s="1"/>
  <c r="O491" s="1"/>
  <c r="BK491"/>
  <c r="E512" i="52"/>
  <c r="F498" i="48"/>
  <c r="Y498" s="1"/>
  <c r="V498"/>
  <c r="F513" i="52"/>
  <c r="A495" i="26"/>
  <c r="B495" s="1"/>
  <c r="L511" i="1"/>
  <c r="M510" s="1"/>
  <c r="K511"/>
  <c r="N511" s="1"/>
  <c r="A518" i="53"/>
  <c r="B519" s="1"/>
  <c r="C511" i="1"/>
  <c r="D511" s="1"/>
  <c r="E511"/>
  <c r="B494" i="38"/>
  <c r="B512" i="1"/>
  <c r="A511"/>
  <c r="AF503" l="1"/>
  <c r="AD504"/>
  <c r="AB505"/>
  <c r="AE505" s="1"/>
  <c r="AM505" s="1"/>
  <c r="AA505"/>
  <c r="E512" i="53" s="1"/>
  <c r="AC505" i="1"/>
  <c r="S509"/>
  <c r="BD507"/>
  <c r="BE507" s="1"/>
  <c r="T507" s="1"/>
  <c r="U507" s="1"/>
  <c r="BA508"/>
  <c r="BH29" i="55"/>
  <c r="G511" i="53"/>
  <c r="I510"/>
  <c r="CX28" i="55" s="1"/>
  <c r="CC28"/>
  <c r="D510" i="53"/>
  <c r="R28" i="55" s="1"/>
  <c r="V506" i="1"/>
  <c r="X506"/>
  <c r="E513" i="52"/>
  <c r="AR492" i="38"/>
  <c r="V499" i="48"/>
  <c r="F499"/>
  <c r="Y499" s="1"/>
  <c r="R510" i="1"/>
  <c r="S510" s="1"/>
  <c r="W510"/>
  <c r="AK511"/>
  <c r="AL511"/>
  <c r="AH511"/>
  <c r="Z511"/>
  <c r="AJ511"/>
  <c r="BC511"/>
  <c r="AI511"/>
  <c r="AO493" i="38"/>
  <c r="AP493" s="1"/>
  <c r="AQ493" s="1"/>
  <c r="AN493"/>
  <c r="C512" i="1"/>
  <c r="D512" s="1"/>
  <c r="F514" i="52"/>
  <c r="E512" i="1"/>
  <c r="A519" i="53"/>
  <c r="B520" s="1"/>
  <c r="A512" i="1"/>
  <c r="B495" i="38"/>
  <c r="K512" i="1"/>
  <c r="N512" s="1"/>
  <c r="B513"/>
  <c r="A496" i="26"/>
  <c r="B496" s="1"/>
  <c r="L512" i="1"/>
  <c r="M511" s="1"/>
  <c r="B501" i="48"/>
  <c r="C500"/>
  <c r="D500"/>
  <c r="W500" s="1"/>
  <c r="E500"/>
  <c r="X500" s="1"/>
  <c r="E494" i="38"/>
  <c r="D494"/>
  <c r="Z494"/>
  <c r="AA494" s="1"/>
  <c r="F494"/>
  <c r="AM494" s="1"/>
  <c r="P511" i="1"/>
  <c r="AF504" l="1"/>
  <c r="AD505"/>
  <c r="AB506"/>
  <c r="AE506" s="1"/>
  <c r="AM506" s="1"/>
  <c r="AC506"/>
  <c r="AA506"/>
  <c r="E513" i="53" s="1"/>
  <c r="BD508" i="1"/>
  <c r="BE508" s="1"/>
  <c r="T508" s="1"/>
  <c r="U508" s="1"/>
  <c r="BA509"/>
  <c r="D511" i="53"/>
  <c r="R29" i="55" s="1"/>
  <c r="CC29"/>
  <c r="I511" i="53"/>
  <c r="CX29" i="55" s="1"/>
  <c r="V507" i="1"/>
  <c r="X507"/>
  <c r="G512" i="53"/>
  <c r="BH30" i="55"/>
  <c r="E495" i="38"/>
  <c r="D495"/>
  <c r="F495"/>
  <c r="AM495" s="1"/>
  <c r="Z495"/>
  <c r="AA495" s="1"/>
  <c r="V500" i="48"/>
  <c r="F500"/>
  <c r="Y500" s="1"/>
  <c r="AJ512" i="1"/>
  <c r="AI512"/>
  <c r="AH512"/>
  <c r="AL512"/>
  <c r="BC512"/>
  <c r="Z512"/>
  <c r="AK512"/>
  <c r="AN494" i="38"/>
  <c r="AO494"/>
  <c r="AP494" s="1"/>
  <c r="AQ494" s="1"/>
  <c r="C501" i="48"/>
  <c r="D501"/>
  <c r="W501" s="1"/>
  <c r="E501"/>
  <c r="X501" s="1"/>
  <c r="B502"/>
  <c r="F515" i="52"/>
  <c r="L513" i="1"/>
  <c r="M512" s="1"/>
  <c r="B496" i="38"/>
  <c r="A520" i="53"/>
  <c r="B521" s="1"/>
  <c r="A513" i="1"/>
  <c r="K513"/>
  <c r="N513" s="1"/>
  <c r="E513"/>
  <c r="C513"/>
  <c r="D513" s="1"/>
  <c r="B514"/>
  <c r="A497" i="26"/>
  <c r="B497" s="1"/>
  <c r="AR493" i="38"/>
  <c r="W511" i="1"/>
  <c r="R511"/>
  <c r="S511" s="1"/>
  <c r="P512"/>
  <c r="E514" i="52"/>
  <c r="BK492" i="38"/>
  <c r="AS492"/>
  <c r="AU492" s="1"/>
  <c r="AV492" s="1"/>
  <c r="BA492" s="1"/>
  <c r="BB492" s="1"/>
  <c r="BH492" s="1"/>
  <c r="BJ492" s="1"/>
  <c r="P492" s="1"/>
  <c r="O492" s="1"/>
  <c r="BD509" i="1" l="1"/>
  <c r="BE509" s="1"/>
  <c r="T509" s="1"/>
  <c r="U509" s="1"/>
  <c r="BA510"/>
  <c r="V508"/>
  <c r="X508"/>
  <c r="I512" i="53"/>
  <c r="CX30" i="55" s="1"/>
  <c r="CC30"/>
  <c r="D512" i="53"/>
  <c r="R30" i="55" s="1"/>
  <c r="G513" i="53"/>
  <c r="BH31" i="55"/>
  <c r="AF505" i="1"/>
  <c r="AD506"/>
  <c r="AB507"/>
  <c r="AE507" s="1"/>
  <c r="AM507" s="1"/>
  <c r="AC507"/>
  <c r="AA507"/>
  <c r="E514" i="53" s="1"/>
  <c r="E515" i="52"/>
  <c r="F496" i="38"/>
  <c r="AM496" s="1"/>
  <c r="D496"/>
  <c r="Z496"/>
  <c r="AA496" s="1"/>
  <c r="E496"/>
  <c r="D502" i="48"/>
  <c r="W502" s="1"/>
  <c r="E502"/>
  <c r="X502" s="1"/>
  <c r="C502"/>
  <c r="B503"/>
  <c r="AS493" i="38"/>
  <c r="AU493" s="1"/>
  <c r="AV493" s="1"/>
  <c r="BA493" s="1"/>
  <c r="BB493" s="1"/>
  <c r="BH493" s="1"/>
  <c r="BJ493" s="1"/>
  <c r="P493" s="1"/>
  <c r="O493" s="1"/>
  <c r="BK493"/>
  <c r="P513" i="1"/>
  <c r="R512"/>
  <c r="S512" s="1"/>
  <c r="W512"/>
  <c r="L514"/>
  <c r="M513" s="1"/>
  <c r="C514"/>
  <c r="D514" s="1"/>
  <c r="A514"/>
  <c r="B497" i="38"/>
  <c r="A498" i="26"/>
  <c r="B498" s="1"/>
  <c r="E514" i="1"/>
  <c r="B515"/>
  <c r="A521" i="53"/>
  <c r="B522" s="1"/>
  <c r="K514" i="1"/>
  <c r="N514" s="1"/>
  <c r="F516" i="52"/>
  <c r="AK513" i="1"/>
  <c r="AI513"/>
  <c r="BC513"/>
  <c r="AL513"/>
  <c r="Z513"/>
  <c r="AJ513"/>
  <c r="AH513"/>
  <c r="V501" i="48"/>
  <c r="F501"/>
  <c r="Y501" s="1"/>
  <c r="AR494" i="38"/>
  <c r="AO495"/>
  <c r="AP495" s="1"/>
  <c r="AQ495" s="1"/>
  <c r="AN495"/>
  <c r="BH32" i="55" l="1"/>
  <c r="BH35" s="1"/>
  <c r="G514" i="53"/>
  <c r="AB508" i="1"/>
  <c r="AE508" s="1"/>
  <c r="AM508" s="1"/>
  <c r="AA508"/>
  <c r="E515" i="53" s="1"/>
  <c r="AC508" i="1"/>
  <c r="BD510"/>
  <c r="BE510" s="1"/>
  <c r="T510" s="1"/>
  <c r="U510" s="1"/>
  <c r="BA511"/>
  <c r="AF506"/>
  <c r="AD507"/>
  <c r="CC31" i="55"/>
  <c r="D513" i="53"/>
  <c r="R31" i="55" s="1"/>
  <c r="I513" i="53"/>
  <c r="CX31" i="55" s="1"/>
  <c r="V509" i="1"/>
  <c r="X509"/>
  <c r="AR495" i="38"/>
  <c r="P514" i="1"/>
  <c r="E503" i="48"/>
  <c r="X503" s="1"/>
  <c r="C503"/>
  <c r="D503"/>
  <c r="W503" s="1"/>
  <c r="B504"/>
  <c r="Z497" i="38"/>
  <c r="AA497" s="1"/>
  <c r="E497"/>
  <c r="D497"/>
  <c r="F497"/>
  <c r="AM497" s="1"/>
  <c r="W513" i="1"/>
  <c r="R513"/>
  <c r="V502" i="48"/>
  <c r="F502"/>
  <c r="Y502" s="1"/>
  <c r="BK494" i="38"/>
  <c r="AS494"/>
  <c r="AU494" s="1"/>
  <c r="AV494" s="1"/>
  <c r="BA494" s="1"/>
  <c r="BB494" s="1"/>
  <c r="BH494" s="1"/>
  <c r="BJ494" s="1"/>
  <c r="P494" s="1"/>
  <c r="O494" s="1"/>
  <c r="F517" i="52"/>
  <c r="A499" i="26"/>
  <c r="B499" s="1"/>
  <c r="E515" i="1"/>
  <c r="A515"/>
  <c r="L515"/>
  <c r="M514" s="1"/>
  <c r="K515"/>
  <c r="N515" s="1"/>
  <c r="B516"/>
  <c r="C515"/>
  <c r="D515" s="1"/>
  <c r="B498" i="38"/>
  <c r="A522" i="53"/>
  <c r="B523" s="1"/>
  <c r="AL514" i="1"/>
  <c r="AK514"/>
  <c r="BC514"/>
  <c r="AH514"/>
  <c r="AI514"/>
  <c r="Z514"/>
  <c r="AJ514"/>
  <c r="E516" i="52"/>
  <c r="AN496" i="38"/>
  <c r="AO496"/>
  <c r="AP496" s="1"/>
  <c r="AQ496" s="1"/>
  <c r="AB509" i="1" l="1"/>
  <c r="AE509" s="1"/>
  <c r="AM509" s="1"/>
  <c r="AC509"/>
  <c r="AA509"/>
  <c r="E516" i="53" s="1"/>
  <c r="V510" i="1"/>
  <c r="X510"/>
  <c r="AF507"/>
  <c r="AD508"/>
  <c r="D514" i="53"/>
  <c r="R32" i="55" s="1"/>
  <c r="R35" s="1"/>
  <c r="I514" i="53"/>
  <c r="CX32" i="55" s="1"/>
  <c r="CC32"/>
  <c r="CC35" s="1"/>
  <c r="S513" i="1"/>
  <c r="BD511"/>
  <c r="BE511" s="1"/>
  <c r="T511" s="1"/>
  <c r="U511" s="1"/>
  <c r="BA512"/>
  <c r="BI3" i="55"/>
  <c r="G515" i="53"/>
  <c r="E498" i="38"/>
  <c r="D498"/>
  <c r="Z498"/>
  <c r="AA498" s="1"/>
  <c r="F498"/>
  <c r="AM498" s="1"/>
  <c r="AN497"/>
  <c r="AO497"/>
  <c r="AP497" s="1"/>
  <c r="AQ497" s="1"/>
  <c r="V503" i="48"/>
  <c r="F503"/>
  <c r="Y503" s="1"/>
  <c r="W514" i="1"/>
  <c r="R514"/>
  <c r="AR496" i="38"/>
  <c r="AH515" i="1"/>
  <c r="AI515"/>
  <c r="Z515"/>
  <c r="AL515"/>
  <c r="BC515"/>
  <c r="AK515"/>
  <c r="AJ515"/>
  <c r="A523" i="53"/>
  <c r="B524" s="1"/>
  <c r="C516" i="1"/>
  <c r="D516" s="1"/>
  <c r="F518" i="52"/>
  <c r="E516" i="1"/>
  <c r="A516"/>
  <c r="K516"/>
  <c r="N516" s="1"/>
  <c r="B517"/>
  <c r="B499" i="38"/>
  <c r="A500" i="26"/>
  <c r="B500" s="1"/>
  <c r="L516" i="1"/>
  <c r="M515" s="1"/>
  <c r="E517" i="52"/>
  <c r="D504" i="48"/>
  <c r="W504" s="1"/>
  <c r="C504"/>
  <c r="E504"/>
  <c r="X504" s="1"/>
  <c r="B505"/>
  <c r="P515" i="1"/>
  <c r="BK495" i="38"/>
  <c r="AS495"/>
  <c r="AU495" s="1"/>
  <c r="AV495" s="1"/>
  <c r="BA495" s="1"/>
  <c r="BB495" s="1"/>
  <c r="BH495" s="1"/>
  <c r="BJ495" s="1"/>
  <c r="P495" s="1"/>
  <c r="O495" s="1"/>
  <c r="S514" i="1" l="1"/>
  <c r="AF508"/>
  <c r="AD509"/>
  <c r="G516" i="53"/>
  <c r="BI4" i="55"/>
  <c r="BD512" i="1"/>
  <c r="BE512" s="1"/>
  <c r="T512" s="1"/>
  <c r="U512" s="1"/>
  <c r="BA513"/>
  <c r="V511"/>
  <c r="X511"/>
  <c r="AB510"/>
  <c r="AE510" s="1"/>
  <c r="AM510" s="1"/>
  <c r="AA510"/>
  <c r="E517" i="53" s="1"/>
  <c r="AC510" i="1"/>
  <c r="I515" i="53"/>
  <c r="CY3" i="55" s="1"/>
  <c r="D515" i="53"/>
  <c r="S3" i="55" s="1"/>
  <c r="CD3"/>
  <c r="E505" i="48"/>
  <c r="X505" s="1"/>
  <c r="B506"/>
  <c r="C505"/>
  <c r="D505"/>
  <c r="W505" s="1"/>
  <c r="D499" i="38"/>
  <c r="E499"/>
  <c r="F499"/>
  <c r="AM499" s="1"/>
  <c r="Z499"/>
  <c r="AA499" s="1"/>
  <c r="E518" i="52"/>
  <c r="F519"/>
  <c r="A524" i="53"/>
  <c r="B525" s="1"/>
  <c r="E517" i="1"/>
  <c r="C517"/>
  <c r="D517" s="1"/>
  <c r="A501" i="26"/>
  <c r="B501" s="1"/>
  <c r="K517" i="1"/>
  <c r="N517" s="1"/>
  <c r="A517"/>
  <c r="B500" i="38"/>
  <c r="B518" i="1"/>
  <c r="L517"/>
  <c r="M516" s="1"/>
  <c r="BK496" i="38"/>
  <c r="AS496"/>
  <c r="AU496" s="1"/>
  <c r="AV496" s="1"/>
  <c r="BA496" s="1"/>
  <c r="BB496" s="1"/>
  <c r="BH496" s="1"/>
  <c r="BJ496" s="1"/>
  <c r="P496" s="1"/>
  <c r="O496" s="1"/>
  <c r="W515" i="1"/>
  <c r="R515"/>
  <c r="S515" s="1"/>
  <c r="V504" i="48"/>
  <c r="F504"/>
  <c r="Y504" s="1"/>
  <c r="P516" i="1"/>
  <c r="AR497" i="38"/>
  <c r="AO498"/>
  <c r="AP498" s="1"/>
  <c r="AQ498" s="1"/>
  <c r="AN498"/>
  <c r="AI516" i="1"/>
  <c r="AL516"/>
  <c r="AJ516"/>
  <c r="Z516"/>
  <c r="AK516"/>
  <c r="BC516"/>
  <c r="AH516"/>
  <c r="AR498" i="38" l="1"/>
  <c r="AS498" s="1"/>
  <c r="AU498" s="1"/>
  <c r="AV498" s="1"/>
  <c r="BA498" s="1"/>
  <c r="BB498" s="1"/>
  <c r="BH498" s="1"/>
  <c r="BJ498" s="1"/>
  <c r="P498" s="1"/>
  <c r="O498" s="1"/>
  <c r="AB511" i="1"/>
  <c r="AE511" s="1"/>
  <c r="AM511" s="1"/>
  <c r="AA511"/>
  <c r="E518" i="53" s="1"/>
  <c r="AC511" i="1"/>
  <c r="AF509"/>
  <c r="AD510"/>
  <c r="G517" i="53"/>
  <c r="BI5" i="55"/>
  <c r="BD513" i="1"/>
  <c r="BE513" s="1"/>
  <c r="T513" s="1"/>
  <c r="U513" s="1"/>
  <c r="BA514"/>
  <c r="D516" i="53"/>
  <c r="S4" i="55" s="1"/>
  <c r="I516" i="53"/>
  <c r="CY4" i="55" s="1"/>
  <c r="CD4"/>
  <c r="V512" i="1"/>
  <c r="X512"/>
  <c r="BK498" i="38"/>
  <c r="AI517" i="1"/>
  <c r="BC517"/>
  <c r="AK517"/>
  <c r="AH517"/>
  <c r="AL517"/>
  <c r="AJ517"/>
  <c r="Z517"/>
  <c r="E519" i="52"/>
  <c r="AN499" i="38"/>
  <c r="AO499"/>
  <c r="AP499" s="1"/>
  <c r="AQ499" s="1"/>
  <c r="R516" i="1"/>
  <c r="W516"/>
  <c r="P517"/>
  <c r="F520" i="52"/>
  <c r="C518" i="1"/>
  <c r="D518" s="1"/>
  <c r="B501" i="38"/>
  <c r="K518" i="1"/>
  <c r="N518" s="1"/>
  <c r="A502" i="26"/>
  <c r="B502" s="1"/>
  <c r="E518" i="1"/>
  <c r="A525" i="53"/>
  <c r="B526" s="1"/>
  <c r="A518" i="1"/>
  <c r="B519"/>
  <c r="L518"/>
  <c r="M517" s="1"/>
  <c r="V505" i="48"/>
  <c r="F505"/>
  <c r="Y505" s="1"/>
  <c r="BK497" i="38"/>
  <c r="AS497"/>
  <c r="AU497" s="1"/>
  <c r="AV497" s="1"/>
  <c r="BA497" s="1"/>
  <c r="BB497" s="1"/>
  <c r="BH497" s="1"/>
  <c r="BJ497" s="1"/>
  <c r="P497" s="1"/>
  <c r="O497" s="1"/>
  <c r="F500"/>
  <c r="AM500" s="1"/>
  <c r="E500"/>
  <c r="D500"/>
  <c r="Z500"/>
  <c r="AA500" s="1"/>
  <c r="D506" i="48"/>
  <c r="W506" s="1"/>
  <c r="C506"/>
  <c r="E506"/>
  <c r="X506" s="1"/>
  <c r="B507"/>
  <c r="S516" i="1" l="1"/>
  <c r="AB512"/>
  <c r="AE512" s="1"/>
  <c r="AM512" s="1"/>
  <c r="AC512"/>
  <c r="AA512"/>
  <c r="E519" i="53" s="1"/>
  <c r="BD514" i="1"/>
  <c r="BE514" s="1"/>
  <c r="T514" s="1"/>
  <c r="U514" s="1"/>
  <c r="BA515"/>
  <c r="D517" i="53"/>
  <c r="S5" i="55" s="1"/>
  <c r="CD5"/>
  <c r="I517" i="53"/>
  <c r="CY5" i="55" s="1"/>
  <c r="BI6"/>
  <c r="G518" i="53"/>
  <c r="V513" i="1"/>
  <c r="X513"/>
  <c r="AF510"/>
  <c r="AD511"/>
  <c r="AO500" i="38"/>
  <c r="AP500" s="1"/>
  <c r="AQ500" s="1"/>
  <c r="AN500"/>
  <c r="D501"/>
  <c r="E501"/>
  <c r="Z501"/>
  <c r="AA501" s="1"/>
  <c r="F501"/>
  <c r="AM501" s="1"/>
  <c r="W517" i="1"/>
  <c r="R517"/>
  <c r="S517" s="1"/>
  <c r="E520" i="52"/>
  <c r="F506" i="48"/>
  <c r="Y506" s="1"/>
  <c r="V506"/>
  <c r="E519" i="1"/>
  <c r="F521" i="52"/>
  <c r="A526" i="53"/>
  <c r="B527" s="1"/>
  <c r="K519" i="1"/>
  <c r="N519" s="1"/>
  <c r="A519"/>
  <c r="A503" i="26"/>
  <c r="B503" s="1"/>
  <c r="B502" i="38"/>
  <c r="C519" i="1"/>
  <c r="D519" s="1"/>
  <c r="L519"/>
  <c r="M518" s="1"/>
  <c r="B520"/>
  <c r="AR499" i="38"/>
  <c r="E507" i="48"/>
  <c r="X507" s="1"/>
  <c r="B508"/>
  <c r="C507"/>
  <c r="D507"/>
  <c r="W507" s="1"/>
  <c r="AJ518" i="1"/>
  <c r="AL518"/>
  <c r="Z518"/>
  <c r="AI518"/>
  <c r="AK518"/>
  <c r="AH518"/>
  <c r="BC518"/>
  <c r="P518"/>
  <c r="AB513" l="1"/>
  <c r="AE513" s="1"/>
  <c r="AM513" s="1"/>
  <c r="AC513"/>
  <c r="AA513"/>
  <c r="E520" i="53" s="1"/>
  <c r="BD515" i="1"/>
  <c r="BE515" s="1"/>
  <c r="T515" s="1"/>
  <c r="U515" s="1"/>
  <c r="BA516"/>
  <c r="AF511"/>
  <c r="AD512"/>
  <c r="V514"/>
  <c r="X514"/>
  <c r="CD6" i="55"/>
  <c r="I518" i="53"/>
  <c r="CY6" i="55" s="1"/>
  <c r="D518" i="53"/>
  <c r="S6" i="55" s="1"/>
  <c r="G519" i="53"/>
  <c r="BI7" i="55"/>
  <c r="D508" i="48"/>
  <c r="W508" s="1"/>
  <c r="B509"/>
  <c r="E508"/>
  <c r="X508" s="1"/>
  <c r="C508"/>
  <c r="F522" i="52"/>
  <c r="C520" i="1"/>
  <c r="D520" s="1"/>
  <c r="A527" i="53"/>
  <c r="B528" s="1"/>
  <c r="A520" i="1"/>
  <c r="B521"/>
  <c r="L520"/>
  <c r="M519" s="1"/>
  <c r="K520"/>
  <c r="N520" s="1"/>
  <c r="A504" i="26"/>
  <c r="B504" s="1"/>
  <c r="E520" i="1"/>
  <c r="B503" i="38"/>
  <c r="AO501"/>
  <c r="AP501" s="1"/>
  <c r="AQ501" s="1"/>
  <c r="AN501"/>
  <c r="Z519" i="1"/>
  <c r="AK519"/>
  <c r="AI519"/>
  <c r="AJ519"/>
  <c r="AH519"/>
  <c r="BC519"/>
  <c r="AL519"/>
  <c r="E521" i="52"/>
  <c r="W518" i="1"/>
  <c r="R518"/>
  <c r="P519"/>
  <c r="AR500" i="38"/>
  <c r="V507" i="48"/>
  <c r="F507"/>
  <c r="Y507" s="1"/>
  <c r="BK499" i="38"/>
  <c r="AS499"/>
  <c r="AU499" s="1"/>
  <c r="AV499" s="1"/>
  <c r="BA499" s="1"/>
  <c r="BB499" s="1"/>
  <c r="BH499" s="1"/>
  <c r="BJ499" s="1"/>
  <c r="P499" s="1"/>
  <c r="O499" s="1"/>
  <c r="Z502"/>
  <c r="AA502" s="1"/>
  <c r="E502"/>
  <c r="D502"/>
  <c r="F502"/>
  <c r="AM502" s="1"/>
  <c r="AF512" i="1" l="1"/>
  <c r="AD513"/>
  <c r="V515"/>
  <c r="X515"/>
  <c r="S518"/>
  <c r="BI8" i="55"/>
  <c r="G520" i="53"/>
  <c r="I519"/>
  <c r="CY7" i="55" s="1"/>
  <c r="CD7"/>
  <c r="D519" i="53"/>
  <c r="S7" i="55" s="1"/>
  <c r="AB514" i="1"/>
  <c r="AE514" s="1"/>
  <c r="AM514" s="1"/>
  <c r="AA514"/>
  <c r="E521" i="53" s="1"/>
  <c r="AC514" i="1"/>
  <c r="BD516"/>
  <c r="BE516" s="1"/>
  <c r="T516" s="1"/>
  <c r="U516" s="1"/>
  <c r="BA517"/>
  <c r="AR501" i="38"/>
  <c r="E503"/>
  <c r="D503"/>
  <c r="F503"/>
  <c r="AM503" s="1"/>
  <c r="Z503"/>
  <c r="AA503" s="1"/>
  <c r="E522" i="52"/>
  <c r="F523"/>
  <c r="C521" i="1"/>
  <c r="D521" s="1"/>
  <c r="A528" i="53"/>
  <c r="B529" s="1"/>
  <c r="B522" i="1"/>
  <c r="A505" i="26"/>
  <c r="B505" s="1"/>
  <c r="A521" i="1"/>
  <c r="B504" i="38"/>
  <c r="L521" i="1"/>
  <c r="M520" s="1"/>
  <c r="E521"/>
  <c r="K521"/>
  <c r="N521" s="1"/>
  <c r="C509" i="48"/>
  <c r="D509"/>
  <c r="W509" s="1"/>
  <c r="E509"/>
  <c r="X509" s="1"/>
  <c r="B510"/>
  <c r="AJ520" i="1"/>
  <c r="AK520"/>
  <c r="BC520"/>
  <c r="Z520"/>
  <c r="AI520"/>
  <c r="AH520"/>
  <c r="AL520"/>
  <c r="AO502" i="38"/>
  <c r="AP502" s="1"/>
  <c r="AQ502" s="1"/>
  <c r="AN502"/>
  <c r="AS500"/>
  <c r="AU500" s="1"/>
  <c r="AV500" s="1"/>
  <c r="BA500" s="1"/>
  <c r="BB500" s="1"/>
  <c r="BH500" s="1"/>
  <c r="BJ500" s="1"/>
  <c r="P500" s="1"/>
  <c r="O500" s="1"/>
  <c r="BK500"/>
  <c r="W519" i="1"/>
  <c r="R519"/>
  <c r="S519" s="1"/>
  <c r="P520"/>
  <c r="F508" i="48"/>
  <c r="Y508" s="1"/>
  <c r="V508"/>
  <c r="BI9" i="55" l="1"/>
  <c r="G521" i="53"/>
  <c r="AF513" i="1"/>
  <c r="AD514"/>
  <c r="BD517"/>
  <c r="BE517" s="1"/>
  <c r="T517" s="1"/>
  <c r="U517" s="1"/>
  <c r="BA518"/>
  <c r="V516"/>
  <c r="X516"/>
  <c r="CD8" i="55"/>
  <c r="D520" i="53"/>
  <c r="S8" i="55" s="1"/>
  <c r="I520" i="53"/>
  <c r="CY8" i="55" s="1"/>
  <c r="AB515" i="1"/>
  <c r="AE515" s="1"/>
  <c r="AM515" s="1"/>
  <c r="AC515"/>
  <c r="AA515"/>
  <c r="E522" i="53" s="1"/>
  <c r="D504" i="38"/>
  <c r="Z504"/>
  <c r="AA504" s="1"/>
  <c r="E504"/>
  <c r="F504"/>
  <c r="AM504" s="1"/>
  <c r="AR502"/>
  <c r="P521" i="1"/>
  <c r="Z521"/>
  <c r="BC521"/>
  <c r="AL521"/>
  <c r="AI521"/>
  <c r="AH521"/>
  <c r="AK521"/>
  <c r="AJ521"/>
  <c r="BK501" i="38"/>
  <c r="AS501"/>
  <c r="AU501" s="1"/>
  <c r="AV501" s="1"/>
  <c r="BA501" s="1"/>
  <c r="BB501" s="1"/>
  <c r="BH501" s="1"/>
  <c r="BJ501" s="1"/>
  <c r="P501" s="1"/>
  <c r="O501" s="1"/>
  <c r="V509" i="48"/>
  <c r="F509"/>
  <c r="Y509" s="1"/>
  <c r="E523" i="52"/>
  <c r="AN503" i="38"/>
  <c r="AR503" s="1"/>
  <c r="AO503"/>
  <c r="AP503" s="1"/>
  <c r="AQ503" s="1"/>
  <c r="W520" i="1"/>
  <c r="R520"/>
  <c r="S520" s="1"/>
  <c r="E510" i="48"/>
  <c r="X510" s="1"/>
  <c r="B511"/>
  <c r="D510"/>
  <c r="W510" s="1"/>
  <c r="C510"/>
  <c r="A506" i="26"/>
  <c r="B506" s="1"/>
  <c r="F524" i="52"/>
  <c r="L522" i="1"/>
  <c r="M521" s="1"/>
  <c r="A522"/>
  <c r="B505" i="38"/>
  <c r="E522" i="1"/>
  <c r="A529" i="53"/>
  <c r="B530" s="1"/>
  <c r="K522" i="1"/>
  <c r="N522" s="1"/>
  <c r="B523"/>
  <c r="C522"/>
  <c r="D522" s="1"/>
  <c r="BI10" i="55" l="1"/>
  <c r="G522" i="53"/>
  <c r="BD518" i="1"/>
  <c r="BE518" s="1"/>
  <c r="T518" s="1"/>
  <c r="U518" s="1"/>
  <c r="BA519"/>
  <c r="V517"/>
  <c r="X517"/>
  <c r="CD9" i="55"/>
  <c r="I521" i="53"/>
  <c r="CY9" i="55" s="1"/>
  <c r="D521" i="53"/>
  <c r="S9" i="55" s="1"/>
  <c r="AB516" i="1"/>
  <c r="AE516" s="1"/>
  <c r="AM516" s="1"/>
  <c r="AC516"/>
  <c r="AA516"/>
  <c r="E523" i="53" s="1"/>
  <c r="AF514" i="1"/>
  <c r="AD515"/>
  <c r="P522"/>
  <c r="AI522"/>
  <c r="AL522"/>
  <c r="Z522"/>
  <c r="AK522"/>
  <c r="BC522"/>
  <c r="AH522"/>
  <c r="AJ522"/>
  <c r="V510" i="48"/>
  <c r="F510"/>
  <c r="Y510" s="1"/>
  <c r="BK503" i="38"/>
  <c r="AS503"/>
  <c r="AU503" s="1"/>
  <c r="AV503" s="1"/>
  <c r="BA503" s="1"/>
  <c r="BB503" s="1"/>
  <c r="BH503" s="1"/>
  <c r="BJ503" s="1"/>
  <c r="P503" s="1"/>
  <c r="O503" s="1"/>
  <c r="E524" i="52"/>
  <c r="B512" i="48"/>
  <c r="D511"/>
  <c r="W511" s="1"/>
  <c r="E511"/>
  <c r="X511" s="1"/>
  <c r="C511"/>
  <c r="W521" i="1"/>
  <c r="R521"/>
  <c r="S521" s="1"/>
  <c r="BK502" i="38"/>
  <c r="AS502"/>
  <c r="AU502" s="1"/>
  <c r="AV502" s="1"/>
  <c r="BA502" s="1"/>
  <c r="BB502" s="1"/>
  <c r="BH502" s="1"/>
  <c r="BJ502" s="1"/>
  <c r="P502" s="1"/>
  <c r="O502" s="1"/>
  <c r="L523" i="1"/>
  <c r="M522" s="1"/>
  <c r="F525" i="52"/>
  <c r="A523" i="1"/>
  <c r="A530" i="53"/>
  <c r="B531" s="1"/>
  <c r="K523" i="1"/>
  <c r="N523" s="1"/>
  <c r="E523"/>
  <c r="B524"/>
  <c r="A507" i="26"/>
  <c r="B507" s="1"/>
  <c r="C523" i="1"/>
  <c r="D523" s="1"/>
  <c r="B506" i="38"/>
  <c r="Z505"/>
  <c r="AA505" s="1"/>
  <c r="E505"/>
  <c r="D505"/>
  <c r="F505"/>
  <c r="AM505" s="1"/>
  <c r="AO504"/>
  <c r="AP504" s="1"/>
  <c r="AQ504" s="1"/>
  <c r="AN504"/>
  <c r="AR504" l="1"/>
  <c r="AS504" s="1"/>
  <c r="AU504" s="1"/>
  <c r="AV504" s="1"/>
  <c r="BA504" s="1"/>
  <c r="BB504" s="1"/>
  <c r="BH504" s="1"/>
  <c r="BJ504" s="1"/>
  <c r="P504" s="1"/>
  <c r="O504" s="1"/>
  <c r="V518" i="1"/>
  <c r="X518"/>
  <c r="AF515"/>
  <c r="AD516"/>
  <c r="AB517"/>
  <c r="AE517" s="1"/>
  <c r="AM517" s="1"/>
  <c r="AA517"/>
  <c r="E524" i="53" s="1"/>
  <c r="AC517" i="1"/>
  <c r="I522" i="53"/>
  <c r="CY10" i="55" s="1"/>
  <c r="CD10"/>
  <c r="D522" i="53"/>
  <c r="S10" i="55" s="1"/>
  <c r="BI11"/>
  <c r="G523" i="53"/>
  <c r="BD519" i="1"/>
  <c r="BE519" s="1"/>
  <c r="T519" s="1"/>
  <c r="U519" s="1"/>
  <c r="BA520"/>
  <c r="AO505" i="38"/>
  <c r="AP505" s="1"/>
  <c r="AQ505" s="1"/>
  <c r="AN505"/>
  <c r="D506"/>
  <c r="E506"/>
  <c r="Z506"/>
  <c r="AA506" s="1"/>
  <c r="F506"/>
  <c r="AM506" s="1"/>
  <c r="E525" i="52"/>
  <c r="F511" i="48"/>
  <c r="Y511" s="1"/>
  <c r="V511"/>
  <c r="P523" i="1"/>
  <c r="C524"/>
  <c r="D524" s="1"/>
  <c r="F526" i="52"/>
  <c r="B507" i="38"/>
  <c r="A531" i="53"/>
  <c r="B532" s="1"/>
  <c r="L524" i="1"/>
  <c r="M523" s="1"/>
  <c r="A524"/>
  <c r="E524"/>
  <c r="B525"/>
  <c r="K524"/>
  <c r="N524" s="1"/>
  <c r="A508" i="26"/>
  <c r="B508" s="1"/>
  <c r="AH523" i="1"/>
  <c r="AL523"/>
  <c r="AK523"/>
  <c r="AI523"/>
  <c r="AJ523"/>
  <c r="BC523"/>
  <c r="Z523"/>
  <c r="D512" i="48"/>
  <c r="W512" s="1"/>
  <c r="C512"/>
  <c r="B513"/>
  <c r="E512"/>
  <c r="X512" s="1"/>
  <c r="R522" i="1"/>
  <c r="S522" s="1"/>
  <c r="W522"/>
  <c r="BK504" i="38" l="1"/>
  <c r="BD520" i="1"/>
  <c r="BE520" s="1"/>
  <c r="T520" s="1"/>
  <c r="U520" s="1"/>
  <c r="BA521"/>
  <c r="V519"/>
  <c r="X519"/>
  <c r="G524" i="53"/>
  <c r="BI12" i="55"/>
  <c r="AB518" i="1"/>
  <c r="AE518" s="1"/>
  <c r="AM518" s="1"/>
  <c r="AA518"/>
  <c r="E525" i="53" s="1"/>
  <c r="AC518" i="1"/>
  <c r="I523" i="53"/>
  <c r="CY11" i="55" s="1"/>
  <c r="CD11"/>
  <c r="D523" i="53"/>
  <c r="S11" i="55" s="1"/>
  <c r="AF516" i="1"/>
  <c r="AD517"/>
  <c r="B514" i="48"/>
  <c r="C513"/>
  <c r="E513"/>
  <c r="X513" s="1"/>
  <c r="D513"/>
  <c r="W513" s="1"/>
  <c r="L525" i="1"/>
  <c r="M524" s="1"/>
  <c r="F527" i="52"/>
  <c r="A509" i="26"/>
  <c r="B509" s="1"/>
  <c r="A525" i="1"/>
  <c r="E525"/>
  <c r="B526"/>
  <c r="A532" i="53"/>
  <c r="B533" s="1"/>
  <c r="C525" i="1"/>
  <c r="D525" s="1"/>
  <c r="K525"/>
  <c r="N525" s="1"/>
  <c r="B508" i="38"/>
  <c r="W523" i="1"/>
  <c r="R523"/>
  <c r="V512" i="48"/>
  <c r="F512"/>
  <c r="Y512" s="1"/>
  <c r="E526" i="52"/>
  <c r="D507" i="38"/>
  <c r="E507"/>
  <c r="Z507"/>
  <c r="AA507" s="1"/>
  <c r="F507"/>
  <c r="AM507" s="1"/>
  <c r="AN506"/>
  <c r="AO506"/>
  <c r="AP506" s="1"/>
  <c r="AQ506" s="1"/>
  <c r="AR505"/>
  <c r="AI524" i="1"/>
  <c r="BC524"/>
  <c r="AH524"/>
  <c r="AK524"/>
  <c r="AJ524"/>
  <c r="AL524"/>
  <c r="Z524"/>
  <c r="P524"/>
  <c r="AF517" l="1"/>
  <c r="AD518"/>
  <c r="AB519"/>
  <c r="AE519" s="1"/>
  <c r="AM519" s="1"/>
  <c r="AC519"/>
  <c r="AA519"/>
  <c r="E526" i="53" s="1"/>
  <c r="CD12" i="55"/>
  <c r="D524" i="53"/>
  <c r="S12" i="55" s="1"/>
  <c r="I524" i="53"/>
  <c r="CY12" i="55" s="1"/>
  <c r="BD521" i="1"/>
  <c r="BE521" s="1"/>
  <c r="T521" s="1"/>
  <c r="U521" s="1"/>
  <c r="BA522"/>
  <c r="S523"/>
  <c r="BI13" i="55"/>
  <c r="G525" i="53"/>
  <c r="V520" i="1"/>
  <c r="X520"/>
  <c r="W524"/>
  <c r="R524"/>
  <c r="S524" s="1"/>
  <c r="AR506" i="38"/>
  <c r="AN507"/>
  <c r="AO507"/>
  <c r="AP507" s="1"/>
  <c r="AQ507" s="1"/>
  <c r="P525" i="1"/>
  <c r="E527" i="52"/>
  <c r="C514" i="48"/>
  <c r="E514"/>
  <c r="X514" s="1"/>
  <c r="D514"/>
  <c r="W514" s="1"/>
  <c r="B515"/>
  <c r="BC525" i="1"/>
  <c r="AI525"/>
  <c r="AJ525"/>
  <c r="AH525"/>
  <c r="AK525"/>
  <c r="Z525"/>
  <c r="AL525"/>
  <c r="AS505" i="38"/>
  <c r="AU505" s="1"/>
  <c r="AV505" s="1"/>
  <c r="BA505" s="1"/>
  <c r="BB505" s="1"/>
  <c r="BH505" s="1"/>
  <c r="BJ505" s="1"/>
  <c r="P505" s="1"/>
  <c r="O505" s="1"/>
  <c r="BK505"/>
  <c r="Z508"/>
  <c r="AA508" s="1"/>
  <c r="D508"/>
  <c r="E508"/>
  <c r="F508"/>
  <c r="AM508" s="1"/>
  <c r="F528" i="52"/>
  <c r="A510" i="26"/>
  <c r="B510" s="1"/>
  <c r="A533" i="53"/>
  <c r="B534" s="1"/>
  <c r="B509" i="38"/>
  <c r="A526" i="1"/>
  <c r="L526"/>
  <c r="M525" s="1"/>
  <c r="C526"/>
  <c r="D526" s="1"/>
  <c r="E526"/>
  <c r="K526"/>
  <c r="N526" s="1"/>
  <c r="B527"/>
  <c r="F513" i="48"/>
  <c r="Y513" s="1"/>
  <c r="V513"/>
  <c r="CD13" i="55" l="1"/>
  <c r="D525" i="53"/>
  <c r="S13" i="55" s="1"/>
  <c r="I525" i="53"/>
  <c r="CY13" i="55" s="1"/>
  <c r="AB520" i="1"/>
  <c r="AE520" s="1"/>
  <c r="AM520" s="1"/>
  <c r="AA520"/>
  <c r="E527" i="53" s="1"/>
  <c r="AC520" i="1"/>
  <c r="BD522"/>
  <c r="BE522" s="1"/>
  <c r="T522" s="1"/>
  <c r="U522" s="1"/>
  <c r="BA523"/>
  <c r="AF518"/>
  <c r="AD519"/>
  <c r="V521"/>
  <c r="X521"/>
  <c r="BI14" i="55"/>
  <c r="G526" i="53"/>
  <c r="E528" i="52"/>
  <c r="D509" i="38"/>
  <c r="E509"/>
  <c r="Z509"/>
  <c r="AA509" s="1"/>
  <c r="F509"/>
  <c r="AM509" s="1"/>
  <c r="AN508"/>
  <c r="AR508" s="1"/>
  <c r="AO508"/>
  <c r="AP508" s="1"/>
  <c r="AQ508" s="1"/>
  <c r="C515" i="48"/>
  <c r="D515"/>
  <c r="W515" s="1"/>
  <c r="B516"/>
  <c r="E515"/>
  <c r="X515" s="1"/>
  <c r="F529" i="52"/>
  <c r="L527" i="1"/>
  <c r="M526" s="1"/>
  <c r="A534" i="53"/>
  <c r="B535" s="1"/>
  <c r="A511" i="26"/>
  <c r="B511" s="1"/>
  <c r="K527" i="1"/>
  <c r="N527" s="1"/>
  <c r="B528"/>
  <c r="B510" i="38"/>
  <c r="E527" i="1"/>
  <c r="C527"/>
  <c r="D527" s="1"/>
  <c r="A527"/>
  <c r="P526"/>
  <c r="Z526"/>
  <c r="BC526"/>
  <c r="AJ526"/>
  <c r="AH526"/>
  <c r="AL526"/>
  <c r="AI526"/>
  <c r="AK526"/>
  <c r="AS506" i="38"/>
  <c r="AU506" s="1"/>
  <c r="AV506" s="1"/>
  <c r="BA506" s="1"/>
  <c r="BB506" s="1"/>
  <c r="BH506" s="1"/>
  <c r="BJ506" s="1"/>
  <c r="P506" s="1"/>
  <c r="O506" s="1"/>
  <c r="BK506"/>
  <c r="F514" i="48"/>
  <c r="Y514" s="1"/>
  <c r="V514"/>
  <c r="W525" i="1"/>
  <c r="R525"/>
  <c r="AR507" i="38"/>
  <c r="V522" i="1" l="1"/>
  <c r="X522"/>
  <c r="S525"/>
  <c r="CD14" i="55"/>
  <c r="D526" i="53"/>
  <c r="S14" i="55" s="1"/>
  <c r="I526" i="53"/>
  <c r="CY14" i="55" s="1"/>
  <c r="AF519" i="1"/>
  <c r="AD520"/>
  <c r="G527" i="53"/>
  <c r="BI15" i="55"/>
  <c r="AB521" i="1"/>
  <c r="AE521" s="1"/>
  <c r="AM521" s="1"/>
  <c r="AA521"/>
  <c r="E528" i="53" s="1"/>
  <c r="AC521" i="1"/>
  <c r="BD523"/>
  <c r="BE523" s="1"/>
  <c r="T523" s="1"/>
  <c r="U523" s="1"/>
  <c r="BA524"/>
  <c r="W526"/>
  <c r="R526"/>
  <c r="E529" i="52"/>
  <c r="D516" i="48"/>
  <c r="W516" s="1"/>
  <c r="E516"/>
  <c r="X516" s="1"/>
  <c r="C516"/>
  <c r="B517"/>
  <c r="AO509" i="38"/>
  <c r="AP509" s="1"/>
  <c r="AQ509" s="1"/>
  <c r="AN509"/>
  <c r="E510"/>
  <c r="D510"/>
  <c r="Z510"/>
  <c r="AA510" s="1"/>
  <c r="F510"/>
  <c r="AM510" s="1"/>
  <c r="AS507"/>
  <c r="AU507" s="1"/>
  <c r="AV507" s="1"/>
  <c r="BA507" s="1"/>
  <c r="BB507" s="1"/>
  <c r="BH507" s="1"/>
  <c r="BJ507" s="1"/>
  <c r="P507" s="1"/>
  <c r="O507" s="1"/>
  <c r="BK507"/>
  <c r="AK527" i="1"/>
  <c r="AI527"/>
  <c r="AH527"/>
  <c r="Z527"/>
  <c r="BC527"/>
  <c r="AJ527"/>
  <c r="AL527"/>
  <c r="F530" i="52"/>
  <c r="A535" i="53"/>
  <c r="B536" s="1"/>
  <c r="A512" i="26"/>
  <c r="B512" s="1"/>
  <c r="B511" i="38"/>
  <c r="E528" i="1"/>
  <c r="A528"/>
  <c r="K528"/>
  <c r="N528" s="1"/>
  <c r="L528"/>
  <c r="M527" s="1"/>
  <c r="B529"/>
  <c r="C528"/>
  <c r="D528" s="1"/>
  <c r="V515" i="48"/>
  <c r="F515"/>
  <c r="Y515" s="1"/>
  <c r="P527" i="1"/>
  <c r="BK508" i="38"/>
  <c r="AS508"/>
  <c r="AU508" s="1"/>
  <c r="AV508" s="1"/>
  <c r="BA508" s="1"/>
  <c r="BB508" s="1"/>
  <c r="BH508" s="1"/>
  <c r="BJ508" s="1"/>
  <c r="P508" s="1"/>
  <c r="O508" s="1"/>
  <c r="AR509" l="1"/>
  <c r="CD15" i="55"/>
  <c r="I527" i="53"/>
  <c r="CY15" i="55" s="1"/>
  <c r="D527" i="53"/>
  <c r="S15" i="55" s="1"/>
  <c r="S526" i="1"/>
  <c r="BI16" i="55"/>
  <c r="G528" i="53"/>
  <c r="AB522" i="1"/>
  <c r="AE522" s="1"/>
  <c r="AM522" s="1"/>
  <c r="AA522"/>
  <c r="E529" i="53" s="1"/>
  <c r="AC522" i="1"/>
  <c r="BD524"/>
  <c r="BE524" s="1"/>
  <c r="T524" s="1"/>
  <c r="U524" s="1"/>
  <c r="BA525"/>
  <c r="AF520"/>
  <c r="AD521"/>
  <c r="V523"/>
  <c r="X523"/>
  <c r="P528"/>
  <c r="BK509" i="38"/>
  <c r="AS509"/>
  <c r="AU509" s="1"/>
  <c r="AV509" s="1"/>
  <c r="BA509" s="1"/>
  <c r="BB509" s="1"/>
  <c r="BH509" s="1"/>
  <c r="BJ509" s="1"/>
  <c r="P509" s="1"/>
  <c r="O509" s="1"/>
  <c r="AI528" i="1"/>
  <c r="AH528"/>
  <c r="BC528"/>
  <c r="AK528"/>
  <c r="AL528"/>
  <c r="AJ528"/>
  <c r="Z528"/>
  <c r="E517" i="48"/>
  <c r="X517" s="1"/>
  <c r="C517"/>
  <c r="D517"/>
  <c r="W517" s="1"/>
  <c r="B518"/>
  <c r="A513" i="26"/>
  <c r="B513" s="1"/>
  <c r="F531" i="52"/>
  <c r="A536" i="53"/>
  <c r="B537" s="1"/>
  <c r="C529" i="1"/>
  <c r="D529" s="1"/>
  <c r="E529"/>
  <c r="A529"/>
  <c r="K529"/>
  <c r="N529" s="1"/>
  <c r="B530"/>
  <c r="B512" i="38"/>
  <c r="L529" i="1"/>
  <c r="M528" s="1"/>
  <c r="E530" i="52"/>
  <c r="F516" i="48"/>
  <c r="Y516" s="1"/>
  <c r="V516"/>
  <c r="R527" i="1"/>
  <c r="S527" s="1"/>
  <c r="W527"/>
  <c r="D511" i="38"/>
  <c r="Z511"/>
  <c r="AA511" s="1"/>
  <c r="E511"/>
  <c r="F511"/>
  <c r="AM511" s="1"/>
  <c r="AN510"/>
  <c r="AR510" s="1"/>
  <c r="AO510"/>
  <c r="AP510" s="1"/>
  <c r="AQ510" s="1"/>
  <c r="AF521" i="1" l="1"/>
  <c r="AD522"/>
  <c r="I528" i="53"/>
  <c r="CY16" i="55" s="1"/>
  <c r="CD16"/>
  <c r="D528" i="53"/>
  <c r="S16" i="55" s="1"/>
  <c r="AB523" i="1"/>
  <c r="AE523" s="1"/>
  <c r="AM523" s="1"/>
  <c r="AA523"/>
  <c r="E530" i="53" s="1"/>
  <c r="AC523" i="1"/>
  <c r="BD525"/>
  <c r="BE525" s="1"/>
  <c r="T525" s="1"/>
  <c r="U525" s="1"/>
  <c r="BA526"/>
  <c r="BI17" i="55"/>
  <c r="G529" i="53"/>
  <c r="V524" i="1"/>
  <c r="X524"/>
  <c r="AN511" i="38"/>
  <c r="AO511"/>
  <c r="AP511" s="1"/>
  <c r="AQ511" s="1"/>
  <c r="L530" i="1"/>
  <c r="M529" s="1"/>
  <c r="F532" i="52"/>
  <c r="C530" i="1"/>
  <c r="D530" s="1"/>
  <c r="A537" i="53"/>
  <c r="B538" s="1"/>
  <c r="B513" i="38"/>
  <c r="K530" i="1"/>
  <c r="N530" s="1"/>
  <c r="B531"/>
  <c r="E530"/>
  <c r="A530"/>
  <c r="A514" i="26"/>
  <c r="B514" s="1"/>
  <c r="E518" i="48"/>
  <c r="X518" s="1"/>
  <c r="B519"/>
  <c r="C518"/>
  <c r="D518"/>
  <c r="W518" s="1"/>
  <c r="BK510" i="38"/>
  <c r="AS510"/>
  <c r="AU510" s="1"/>
  <c r="AV510" s="1"/>
  <c r="BA510" s="1"/>
  <c r="BB510" s="1"/>
  <c r="BH510" s="1"/>
  <c r="BJ510" s="1"/>
  <c r="P510" s="1"/>
  <c r="O510" s="1"/>
  <c r="P529" i="1"/>
  <c r="BC529"/>
  <c r="AJ529"/>
  <c r="AL529"/>
  <c r="Z529"/>
  <c r="AH529"/>
  <c r="AI529"/>
  <c r="AK529"/>
  <c r="V517" i="48"/>
  <c r="F517"/>
  <c r="Y517" s="1"/>
  <c r="F512" i="38"/>
  <c r="AM512" s="1"/>
  <c r="D512"/>
  <c r="E512"/>
  <c r="Z512"/>
  <c r="AA512" s="1"/>
  <c r="E531" i="52"/>
  <c r="W528" i="1"/>
  <c r="R528"/>
  <c r="S528" l="1"/>
  <c r="AB524"/>
  <c r="AE524" s="1"/>
  <c r="AM524" s="1"/>
  <c r="AA524"/>
  <c r="E531" i="53" s="1"/>
  <c r="AC524" i="1"/>
  <c r="CD17" i="55"/>
  <c r="D529" i="53"/>
  <c r="S17" i="55" s="1"/>
  <c r="I529" i="53"/>
  <c r="CY17" i="55" s="1"/>
  <c r="G530" i="53"/>
  <c r="BI18" i="55"/>
  <c r="BD526" i="1"/>
  <c r="BE526" s="1"/>
  <c r="T526" s="1"/>
  <c r="U526" s="1"/>
  <c r="BA527"/>
  <c r="AF522"/>
  <c r="AD523"/>
  <c r="V525"/>
  <c r="X525"/>
  <c r="W529"/>
  <c r="R529"/>
  <c r="D519" i="48"/>
  <c r="W519" s="1"/>
  <c r="E519"/>
  <c r="X519" s="1"/>
  <c r="C519"/>
  <c r="B520"/>
  <c r="F533" i="52"/>
  <c r="L531" i="1"/>
  <c r="M530" s="1"/>
  <c r="E531"/>
  <c r="K531"/>
  <c r="N531" s="1"/>
  <c r="C531"/>
  <c r="D531" s="1"/>
  <c r="A531"/>
  <c r="A538" i="53"/>
  <c r="B539" s="1"/>
  <c r="B532" i="1"/>
  <c r="B514" i="38"/>
  <c r="A515" i="26"/>
  <c r="B515" s="1"/>
  <c r="P530" i="1"/>
  <c r="AR511" i="38"/>
  <c r="AN512"/>
  <c r="AR512" s="1"/>
  <c r="AO512"/>
  <c r="AP512" s="1"/>
  <c r="AQ512" s="1"/>
  <c r="AI530" i="1"/>
  <c r="BC530"/>
  <c r="Z530"/>
  <c r="AH530"/>
  <c r="AL530"/>
  <c r="AK530"/>
  <c r="AJ530"/>
  <c r="E513" i="38"/>
  <c r="D513"/>
  <c r="Z513"/>
  <c r="AA513" s="1"/>
  <c r="F513"/>
  <c r="AM513" s="1"/>
  <c r="V518" i="48"/>
  <c r="F518"/>
  <c r="Y518" s="1"/>
  <c r="E532" i="52"/>
  <c r="AF523" i="1" l="1"/>
  <c r="AD524"/>
  <c r="G531" i="53"/>
  <c r="BI19" i="55"/>
  <c r="S529" i="1"/>
  <c r="AB525"/>
  <c r="AE525" s="1"/>
  <c r="AM525" s="1"/>
  <c r="AC525"/>
  <c r="AA525"/>
  <c r="E532" i="53" s="1"/>
  <c r="BD527" i="1"/>
  <c r="BE527" s="1"/>
  <c r="T527" s="1"/>
  <c r="U527" s="1"/>
  <c r="BA528"/>
  <c r="V526"/>
  <c r="X526"/>
  <c r="CD18" i="55"/>
  <c r="D530" i="53"/>
  <c r="S18" i="55" s="1"/>
  <c r="I530" i="53"/>
  <c r="CY18" i="55" s="1"/>
  <c r="AS512" i="38"/>
  <c r="AU512" s="1"/>
  <c r="AV512" s="1"/>
  <c r="BA512" s="1"/>
  <c r="BB512" s="1"/>
  <c r="BH512" s="1"/>
  <c r="BJ512" s="1"/>
  <c r="P512" s="1"/>
  <c r="O512" s="1"/>
  <c r="BK512"/>
  <c r="F514"/>
  <c r="AM514" s="1"/>
  <c r="Z514"/>
  <c r="AA514" s="1"/>
  <c r="D514"/>
  <c r="E514"/>
  <c r="BK511"/>
  <c r="AS511"/>
  <c r="AU511" s="1"/>
  <c r="AV511" s="1"/>
  <c r="BA511" s="1"/>
  <c r="BB511" s="1"/>
  <c r="BH511" s="1"/>
  <c r="BJ511" s="1"/>
  <c r="P511" s="1"/>
  <c r="O511" s="1"/>
  <c r="W530" i="1"/>
  <c r="R530"/>
  <c r="F534" i="52"/>
  <c r="A532" i="1"/>
  <c r="B515" i="38"/>
  <c r="E532" i="1"/>
  <c r="B533"/>
  <c r="A539" i="53"/>
  <c r="B540" s="1"/>
  <c r="L532" i="1"/>
  <c r="M531" s="1"/>
  <c r="K532"/>
  <c r="N532" s="1"/>
  <c r="C532"/>
  <c r="D532" s="1"/>
  <c r="A516" i="26"/>
  <c r="B516" s="1"/>
  <c r="P531" i="1"/>
  <c r="AN513" i="38"/>
  <c r="AO513"/>
  <c r="AP513" s="1"/>
  <c r="AQ513" s="1"/>
  <c r="E533" i="52"/>
  <c r="B521" i="48"/>
  <c r="C520"/>
  <c r="D520"/>
  <c r="W520" s="1"/>
  <c r="E520"/>
  <c r="X520" s="1"/>
  <c r="AI531" i="1"/>
  <c r="AH531"/>
  <c r="AJ531"/>
  <c r="Z531"/>
  <c r="BC531"/>
  <c r="AK531"/>
  <c r="AL531"/>
  <c r="V519" i="48"/>
  <c r="F519"/>
  <c r="Y519" s="1"/>
  <c r="AR513" i="38" l="1"/>
  <c r="AS513" s="1"/>
  <c r="AU513" s="1"/>
  <c r="AV513" s="1"/>
  <c r="BA513" s="1"/>
  <c r="BB513" s="1"/>
  <c r="BH513" s="1"/>
  <c r="BJ513" s="1"/>
  <c r="P513" s="1"/>
  <c r="O513" s="1"/>
  <c r="V527" i="1"/>
  <c r="X527"/>
  <c r="AB526"/>
  <c r="AE526" s="1"/>
  <c r="AM526" s="1"/>
  <c r="AC526"/>
  <c r="AA526"/>
  <c r="E533" i="53" s="1"/>
  <c r="BI20" i="55"/>
  <c r="G532" i="53"/>
  <c r="AF524" i="1"/>
  <c r="AD525"/>
  <c r="S530"/>
  <c r="BD528"/>
  <c r="BE528" s="1"/>
  <c r="T528" s="1"/>
  <c r="U528" s="1"/>
  <c r="BA529"/>
  <c r="CD19" i="55"/>
  <c r="I531" i="53"/>
  <c r="CY19" i="55" s="1"/>
  <c r="D531" i="53"/>
  <c r="S19" i="55" s="1"/>
  <c r="P532" i="1"/>
  <c r="E534" i="52"/>
  <c r="AN514" i="38"/>
  <c r="AO514"/>
  <c r="AP514" s="1"/>
  <c r="AQ514" s="1"/>
  <c r="W531" i="1"/>
  <c r="R531"/>
  <c r="Z515" i="38"/>
  <c r="AA515" s="1"/>
  <c r="E515"/>
  <c r="D515"/>
  <c r="F515"/>
  <c r="AM515" s="1"/>
  <c r="V520" i="48"/>
  <c r="F520"/>
  <c r="Y520" s="1"/>
  <c r="Z532" i="1"/>
  <c r="AK532"/>
  <c r="AI532"/>
  <c r="AJ532"/>
  <c r="BC532"/>
  <c r="AL532"/>
  <c r="AH532"/>
  <c r="C521" i="48"/>
  <c r="E521"/>
  <c r="X521" s="1"/>
  <c r="B522"/>
  <c r="D521"/>
  <c r="W521" s="1"/>
  <c r="F535" i="52"/>
  <c r="B534" i="1"/>
  <c r="B516" i="38"/>
  <c r="E533" i="1"/>
  <c r="A533"/>
  <c r="L533"/>
  <c r="M532" s="1"/>
  <c r="K533"/>
  <c r="N533" s="1"/>
  <c r="C533"/>
  <c r="D533" s="1"/>
  <c r="A540" i="53"/>
  <c r="B541" s="1"/>
  <c r="A517" i="26"/>
  <c r="B517" s="1"/>
  <c r="BK513" i="38" l="1"/>
  <c r="D532" i="53"/>
  <c r="S20" i="55" s="1"/>
  <c r="I532" i="53"/>
  <c r="CY20" i="55" s="1"/>
  <c r="CD20"/>
  <c r="BD529" i="1"/>
  <c r="BE529" s="1"/>
  <c r="T529" s="1"/>
  <c r="U529" s="1"/>
  <c r="BA530"/>
  <c r="V528"/>
  <c r="X528"/>
  <c r="AF525"/>
  <c r="AD526"/>
  <c r="AB527"/>
  <c r="AE527" s="1"/>
  <c r="AM527" s="1"/>
  <c r="AA527"/>
  <c r="E534" i="53" s="1"/>
  <c r="AC527" i="1"/>
  <c r="S531"/>
  <c r="BI21" i="55"/>
  <c r="G533" i="53"/>
  <c r="AI533" i="1"/>
  <c r="AL533"/>
  <c r="BC533"/>
  <c r="AK533"/>
  <c r="AH533"/>
  <c r="AJ533"/>
  <c r="Z533"/>
  <c r="V521" i="48"/>
  <c r="F521"/>
  <c r="Y521" s="1"/>
  <c r="AN515" i="38"/>
  <c r="AO515"/>
  <c r="AP515" s="1"/>
  <c r="AQ515" s="1"/>
  <c r="E535" i="52"/>
  <c r="P533" i="1"/>
  <c r="E516" i="38"/>
  <c r="Z516"/>
  <c r="AA516" s="1"/>
  <c r="D516"/>
  <c r="F516"/>
  <c r="AM516" s="1"/>
  <c r="D522" i="48"/>
  <c r="W522" s="1"/>
  <c r="E522"/>
  <c r="X522" s="1"/>
  <c r="B523"/>
  <c r="C522"/>
  <c r="W532" i="1"/>
  <c r="R532"/>
  <c r="C534"/>
  <c r="D534" s="1"/>
  <c r="F536" i="52"/>
  <c r="L534" i="1"/>
  <c r="M533" s="1"/>
  <c r="B517" i="38"/>
  <c r="K534" i="1"/>
  <c r="N534" s="1"/>
  <c r="B535"/>
  <c r="A518" i="26"/>
  <c r="B518" s="1"/>
  <c r="E534" i="1"/>
  <c r="A541" i="53"/>
  <c r="B542" s="1"/>
  <c r="A534" i="1"/>
  <c r="AR514" i="38"/>
  <c r="S532" i="1" l="1"/>
  <c r="G534" i="53"/>
  <c r="BI22" i="55"/>
  <c r="AB528" i="1"/>
  <c r="AE528" s="1"/>
  <c r="AM528" s="1"/>
  <c r="AA528"/>
  <c r="E535" i="53" s="1"/>
  <c r="AC528" i="1"/>
  <c r="I533" i="53"/>
  <c r="CY21" i="55" s="1"/>
  <c r="D533" i="53"/>
  <c r="S21" i="55" s="1"/>
  <c r="CD21"/>
  <c r="AF526" i="1"/>
  <c r="AD527"/>
  <c r="BD530"/>
  <c r="BE530" s="1"/>
  <c r="T530" s="1"/>
  <c r="U530" s="1"/>
  <c r="BA531"/>
  <c r="V529"/>
  <c r="X529"/>
  <c r="Z534"/>
  <c r="AJ534"/>
  <c r="AI534"/>
  <c r="AK534"/>
  <c r="BC534"/>
  <c r="AH534"/>
  <c r="AL534"/>
  <c r="F537" i="52"/>
  <c r="E535" i="1"/>
  <c r="C535"/>
  <c r="D535" s="1"/>
  <c r="K535"/>
  <c r="N535" s="1"/>
  <c r="A519" i="26"/>
  <c r="B519" s="1"/>
  <c r="L535" i="1"/>
  <c r="M534" s="1"/>
  <c r="A535"/>
  <c r="B536"/>
  <c r="A542" i="53"/>
  <c r="B543" s="1"/>
  <c r="B518" i="38"/>
  <c r="BK514"/>
  <c r="AS514"/>
  <c r="AU514" s="1"/>
  <c r="AV514" s="1"/>
  <c r="BA514" s="1"/>
  <c r="BB514" s="1"/>
  <c r="BH514" s="1"/>
  <c r="BJ514" s="1"/>
  <c r="P514" s="1"/>
  <c r="O514" s="1"/>
  <c r="P534" i="1"/>
  <c r="V522" i="48"/>
  <c r="F522"/>
  <c r="Y522" s="1"/>
  <c r="AN516" i="38"/>
  <c r="AO516"/>
  <c r="AP516" s="1"/>
  <c r="AQ516" s="1"/>
  <c r="R533" i="1"/>
  <c r="W533"/>
  <c r="AR515" i="38"/>
  <c r="E536" i="52"/>
  <c r="E517" i="38"/>
  <c r="D517"/>
  <c r="F517"/>
  <c r="AM517" s="1"/>
  <c r="Z517"/>
  <c r="AA517" s="1"/>
  <c r="C523" i="48"/>
  <c r="D523"/>
  <c r="W523" s="1"/>
  <c r="B524"/>
  <c r="E523"/>
  <c r="X523" s="1"/>
  <c r="AR516" i="38" l="1"/>
  <c r="AS516" s="1"/>
  <c r="AU516" s="1"/>
  <c r="AV516" s="1"/>
  <c r="BA516" s="1"/>
  <c r="BB516" s="1"/>
  <c r="BH516" s="1"/>
  <c r="BJ516" s="1"/>
  <c r="P516" s="1"/>
  <c r="O516" s="1"/>
  <c r="BD531" i="1"/>
  <c r="BE531" s="1"/>
  <c r="T531" s="1"/>
  <c r="U531" s="1"/>
  <c r="BA532"/>
  <c r="BI23" i="55"/>
  <c r="G535" i="53"/>
  <c r="D534"/>
  <c r="S22" i="55" s="1"/>
  <c r="CD22"/>
  <c r="I534" i="53"/>
  <c r="CY22" i="55" s="1"/>
  <c r="V530" i="1"/>
  <c r="X530"/>
  <c r="AB529"/>
  <c r="AE529" s="1"/>
  <c r="AM529" s="1"/>
  <c r="AA529"/>
  <c r="E536" i="53" s="1"/>
  <c r="AC529" i="1"/>
  <c r="AF527"/>
  <c r="AD528"/>
  <c r="S533"/>
  <c r="V523" i="48"/>
  <c r="F523"/>
  <c r="Y523" s="1"/>
  <c r="AH535" i="1"/>
  <c r="AK535"/>
  <c r="AI535"/>
  <c r="AL535"/>
  <c r="BC535"/>
  <c r="AJ535"/>
  <c r="Z535"/>
  <c r="AN517" i="38"/>
  <c r="AR517" s="1"/>
  <c r="AO517"/>
  <c r="AP517" s="1"/>
  <c r="AQ517" s="1"/>
  <c r="F518"/>
  <c r="AM518" s="1"/>
  <c r="Z518"/>
  <c r="AA518" s="1"/>
  <c r="D518"/>
  <c r="E518"/>
  <c r="E537" i="52"/>
  <c r="D524" i="48"/>
  <c r="W524" s="1"/>
  <c r="B525"/>
  <c r="C524"/>
  <c r="E524"/>
  <c r="X524" s="1"/>
  <c r="BK515" i="38"/>
  <c r="AS515"/>
  <c r="AU515" s="1"/>
  <c r="AV515" s="1"/>
  <c r="BA515" s="1"/>
  <c r="BB515" s="1"/>
  <c r="BH515" s="1"/>
  <c r="BJ515" s="1"/>
  <c r="P515" s="1"/>
  <c r="O515" s="1"/>
  <c r="W534" i="1"/>
  <c r="R534"/>
  <c r="S534" s="1"/>
  <c r="L536"/>
  <c r="M535" s="1"/>
  <c r="C536"/>
  <c r="D536" s="1"/>
  <c r="E536"/>
  <c r="A543" i="53"/>
  <c r="B544" s="1"/>
  <c r="B537" i="1"/>
  <c r="A520" i="26"/>
  <c r="B520" s="1"/>
  <c r="A536" i="1"/>
  <c r="B519" i="38"/>
  <c r="F538" i="52"/>
  <c r="K536" i="1"/>
  <c r="N536" s="1"/>
  <c r="P535"/>
  <c r="BK516" i="38" l="1"/>
  <c r="BI24" i="55"/>
  <c r="G536" i="53"/>
  <c r="I535"/>
  <c r="CY23" i="55" s="1"/>
  <c r="D535" i="53"/>
  <c r="S23" i="55" s="1"/>
  <c r="CD23"/>
  <c r="AF528" i="1"/>
  <c r="AD529"/>
  <c r="AB530"/>
  <c r="AE530" s="1"/>
  <c r="AM530" s="1"/>
  <c r="AC530"/>
  <c r="AA530"/>
  <c r="E537" i="53" s="1"/>
  <c r="BD532" i="1"/>
  <c r="BE532" s="1"/>
  <c r="T532" s="1"/>
  <c r="U532" s="1"/>
  <c r="BA533"/>
  <c r="V531"/>
  <c r="X531"/>
  <c r="E538" i="52"/>
  <c r="V524" i="48"/>
  <c r="F524"/>
  <c r="Y524" s="1"/>
  <c r="C525"/>
  <c r="B526"/>
  <c r="E525"/>
  <c r="X525" s="1"/>
  <c r="D525"/>
  <c r="W525" s="1"/>
  <c r="W535" i="1"/>
  <c r="R535"/>
  <c r="S535" s="1"/>
  <c r="AI536"/>
  <c r="BC536"/>
  <c r="Z536"/>
  <c r="AH536"/>
  <c r="AK536"/>
  <c r="AL536"/>
  <c r="AJ536"/>
  <c r="A521" i="26"/>
  <c r="B521" s="1"/>
  <c r="F539" i="52"/>
  <c r="C537" i="1"/>
  <c r="D537" s="1"/>
  <c r="A537"/>
  <c r="L537"/>
  <c r="M536" s="1"/>
  <c r="B520" i="38"/>
  <c r="B538" i="1"/>
  <c r="E537"/>
  <c r="A544" i="53"/>
  <c r="B545" s="1"/>
  <c r="K537" i="1"/>
  <c r="N537" s="1"/>
  <c r="P536"/>
  <c r="D519" i="38"/>
  <c r="Z519"/>
  <c r="AA519" s="1"/>
  <c r="E519"/>
  <c r="F519"/>
  <c r="AM519" s="1"/>
  <c r="AO518"/>
  <c r="AP518" s="1"/>
  <c r="AQ518" s="1"/>
  <c r="AN518"/>
  <c r="AR518" s="1"/>
  <c r="BK517"/>
  <c r="AS517"/>
  <c r="AU517" s="1"/>
  <c r="AV517" s="1"/>
  <c r="BA517" s="1"/>
  <c r="BB517" s="1"/>
  <c r="BH517" s="1"/>
  <c r="BJ517" s="1"/>
  <c r="P517" s="1"/>
  <c r="O517" s="1"/>
  <c r="AB531" i="1" l="1"/>
  <c r="AE531" s="1"/>
  <c r="AM531" s="1"/>
  <c r="AA531"/>
  <c r="E538" i="53" s="1"/>
  <c r="AC531" i="1"/>
  <c r="BI25" i="55"/>
  <c r="G537" i="53"/>
  <c r="CD24" i="55"/>
  <c r="D536" i="53"/>
  <c r="S24" i="55" s="1"/>
  <c r="I536" i="53"/>
  <c r="CY24" i="55" s="1"/>
  <c r="BD533" i="1"/>
  <c r="BE533" s="1"/>
  <c r="T533" s="1"/>
  <c r="U533" s="1"/>
  <c r="BA534"/>
  <c r="V532"/>
  <c r="X532"/>
  <c r="AF529"/>
  <c r="AD530"/>
  <c r="E539" i="52"/>
  <c r="AK537" i="1"/>
  <c r="BC537"/>
  <c r="AH537"/>
  <c r="AI537"/>
  <c r="AL537"/>
  <c r="AJ537"/>
  <c r="Z537"/>
  <c r="D526" i="48"/>
  <c r="W526" s="1"/>
  <c r="C526"/>
  <c r="B527"/>
  <c r="E526"/>
  <c r="X526" s="1"/>
  <c r="F540" i="52"/>
  <c r="C538" i="1"/>
  <c r="D538" s="1"/>
  <c r="E538"/>
  <c r="A545" i="53"/>
  <c r="B546" s="1"/>
  <c r="B521" i="38"/>
  <c r="K538" i="1"/>
  <c r="N538" s="1"/>
  <c r="B539"/>
  <c r="L538"/>
  <c r="M537" s="1"/>
  <c r="A538"/>
  <c r="A522" i="26"/>
  <c r="B522" s="1"/>
  <c r="F525" i="48"/>
  <c r="Y525" s="1"/>
  <c r="V525"/>
  <c r="P537" i="1"/>
  <c r="D520" i="38"/>
  <c r="E520"/>
  <c r="Z520"/>
  <c r="AA520" s="1"/>
  <c r="F520"/>
  <c r="AM520" s="1"/>
  <c r="AS518"/>
  <c r="AU518" s="1"/>
  <c r="AV518" s="1"/>
  <c r="BA518" s="1"/>
  <c r="BB518" s="1"/>
  <c r="BH518" s="1"/>
  <c r="BJ518" s="1"/>
  <c r="P518" s="1"/>
  <c r="O518" s="1"/>
  <c r="BK518"/>
  <c r="AO519"/>
  <c r="AP519" s="1"/>
  <c r="AQ519" s="1"/>
  <c r="AN519"/>
  <c r="W536" i="1"/>
  <c r="R536"/>
  <c r="S536" s="1"/>
  <c r="AF530" l="1"/>
  <c r="AD531"/>
  <c r="BD534"/>
  <c r="BE534" s="1"/>
  <c r="T534" s="1"/>
  <c r="U534" s="1"/>
  <c r="BA535"/>
  <c r="V533"/>
  <c r="X533"/>
  <c r="I537" i="53"/>
  <c r="CY25" i="55" s="1"/>
  <c r="CD25"/>
  <c r="D537" i="53"/>
  <c r="S25" i="55" s="1"/>
  <c r="G538" i="53"/>
  <c r="BI26" i="55"/>
  <c r="AB532" i="1"/>
  <c r="AE532" s="1"/>
  <c r="AM532" s="1"/>
  <c r="AA532"/>
  <c r="E539" i="53" s="1"/>
  <c r="AC532" i="1"/>
  <c r="AI538"/>
  <c r="AH538"/>
  <c r="AJ538"/>
  <c r="Z538"/>
  <c r="AK538"/>
  <c r="BC538"/>
  <c r="AL538"/>
  <c r="D521" i="38"/>
  <c r="E521"/>
  <c r="F521"/>
  <c r="AM521" s="1"/>
  <c r="Z521"/>
  <c r="AA521" s="1"/>
  <c r="AR519"/>
  <c r="L539" i="1"/>
  <c r="M538" s="1"/>
  <c r="F541" i="52"/>
  <c r="E539" i="1"/>
  <c r="A523" i="26"/>
  <c r="B523" s="1"/>
  <c r="A539" i="1"/>
  <c r="K539"/>
  <c r="N539" s="1"/>
  <c r="B540"/>
  <c r="C539"/>
  <c r="D539" s="1"/>
  <c r="A546" i="53"/>
  <c r="B547" s="1"/>
  <c r="B522" i="38"/>
  <c r="E540" i="52"/>
  <c r="B528" i="48"/>
  <c r="E527"/>
  <c r="X527" s="1"/>
  <c r="C527"/>
  <c r="D527"/>
  <c r="W527" s="1"/>
  <c r="AO520" i="38"/>
  <c r="AP520" s="1"/>
  <c r="AQ520" s="1"/>
  <c r="AN520"/>
  <c r="W537" i="1"/>
  <c r="R537"/>
  <c r="S537" s="1"/>
  <c r="P538"/>
  <c r="V526" i="48"/>
  <c r="F526"/>
  <c r="Y526" s="1"/>
  <c r="AR520" i="38" l="1"/>
  <c r="V534" i="1"/>
  <c r="X534"/>
  <c r="G539" i="53"/>
  <c r="BI27" i="55"/>
  <c r="CD26"/>
  <c r="D538" i="53"/>
  <c r="S26" i="55" s="1"/>
  <c r="I538" i="53"/>
  <c r="CY26" i="55" s="1"/>
  <c r="AB533" i="1"/>
  <c r="AE533" s="1"/>
  <c r="AM533" s="1"/>
  <c r="AA533"/>
  <c r="E540" i="53" s="1"/>
  <c r="AC533" i="1"/>
  <c r="AF531"/>
  <c r="AD532"/>
  <c r="BD535"/>
  <c r="BE535" s="1"/>
  <c r="T535" s="1"/>
  <c r="U535" s="1"/>
  <c r="BA536"/>
  <c r="D528" i="48"/>
  <c r="W528" s="1"/>
  <c r="E528"/>
  <c r="X528" s="1"/>
  <c r="C528"/>
  <c r="B529"/>
  <c r="F542" i="52"/>
  <c r="A524" i="26"/>
  <c r="B524" s="1"/>
  <c r="B541" i="1"/>
  <c r="L540"/>
  <c r="M539" s="1"/>
  <c r="E540"/>
  <c r="B523" i="38"/>
  <c r="A540" i="1"/>
  <c r="C540"/>
  <c r="D540" s="1"/>
  <c r="K540"/>
  <c r="N540" s="1"/>
  <c r="A547" i="53"/>
  <c r="B548" s="1"/>
  <c r="E541" i="52"/>
  <c r="AD539" i="1"/>
  <c r="AF539" s="1"/>
  <c r="AO521" i="38"/>
  <c r="AP521" s="1"/>
  <c r="AQ521" s="1"/>
  <c r="AN521"/>
  <c r="AR521" s="1"/>
  <c r="W538" i="1"/>
  <c r="R538"/>
  <c r="AS520" i="38"/>
  <c r="AU520" s="1"/>
  <c r="AV520" s="1"/>
  <c r="BA520" s="1"/>
  <c r="BB520" s="1"/>
  <c r="BH520" s="1"/>
  <c r="BJ520" s="1"/>
  <c r="P520" s="1"/>
  <c r="O520" s="1"/>
  <c r="BK520"/>
  <c r="E522"/>
  <c r="D522"/>
  <c r="Z522"/>
  <c r="AA522" s="1"/>
  <c r="F522"/>
  <c r="AM522" s="1"/>
  <c r="S539" i="1"/>
  <c r="V539"/>
  <c r="AA539"/>
  <c r="E546" i="53" s="1"/>
  <c r="P539" i="1"/>
  <c r="V527" i="48"/>
  <c r="F527"/>
  <c r="Y527" s="1"/>
  <c r="AI539" i="1"/>
  <c r="AO539"/>
  <c r="AP539" s="1"/>
  <c r="AL539"/>
  <c r="AC539"/>
  <c r="AM539"/>
  <c r="AK539"/>
  <c r="AJ539"/>
  <c r="BC539"/>
  <c r="Z539"/>
  <c r="AH539"/>
  <c r="BD539"/>
  <c r="BE539" s="1"/>
  <c r="T539" s="1"/>
  <c r="BK519" i="38"/>
  <c r="AS519"/>
  <c r="AU519" s="1"/>
  <c r="AV519" s="1"/>
  <c r="BA519" s="1"/>
  <c r="BB519" s="1"/>
  <c r="BH519" s="1"/>
  <c r="BJ519" s="1"/>
  <c r="P519" s="1"/>
  <c r="O519" s="1"/>
  <c r="BK539" i="1" l="1"/>
  <c r="BO539"/>
  <c r="S538"/>
  <c r="BD536"/>
  <c r="BE536" s="1"/>
  <c r="T536" s="1"/>
  <c r="U536" s="1"/>
  <c r="BA537"/>
  <c r="I539" i="53"/>
  <c r="CY27" i="55" s="1"/>
  <c r="D539" i="53"/>
  <c r="S27" i="55" s="1"/>
  <c r="CD27"/>
  <c r="V535" i="1"/>
  <c r="X535"/>
  <c r="BI28" i="55"/>
  <c r="G540" i="53"/>
  <c r="AB534" i="1"/>
  <c r="AE534" s="1"/>
  <c r="AM534" s="1"/>
  <c r="AC534"/>
  <c r="AA534"/>
  <c r="E541" i="53" s="1"/>
  <c r="AF532" i="1"/>
  <c r="AD533"/>
  <c r="U539"/>
  <c r="AR539"/>
  <c r="AQ539"/>
  <c r="E523" i="38"/>
  <c r="F523"/>
  <c r="AM523" s="1"/>
  <c r="D523"/>
  <c r="Z523"/>
  <c r="AA523" s="1"/>
  <c r="C529" i="48"/>
  <c r="E529"/>
  <c r="X529" s="1"/>
  <c r="B530"/>
  <c r="D529"/>
  <c r="W529" s="1"/>
  <c r="W539" i="1"/>
  <c r="R539"/>
  <c r="AN522" i="38"/>
  <c r="AO522"/>
  <c r="AP522" s="1"/>
  <c r="AQ522" s="1"/>
  <c r="S540" i="1"/>
  <c r="V540"/>
  <c r="P540"/>
  <c r="AA540"/>
  <c r="E547" i="53" s="1"/>
  <c r="E542" i="52"/>
  <c r="AD540" i="1"/>
  <c r="AF540" s="1"/>
  <c r="V528" i="48"/>
  <c r="F528"/>
  <c r="Y528" s="1"/>
  <c r="BJ3" i="55"/>
  <c r="F546" i="53"/>
  <c r="G546"/>
  <c r="BK521" i="38"/>
  <c r="AS521"/>
  <c r="AU521" s="1"/>
  <c r="AV521" s="1"/>
  <c r="BA521" s="1"/>
  <c r="BB521" s="1"/>
  <c r="BH521" s="1"/>
  <c r="BJ521" s="1"/>
  <c r="P521" s="1"/>
  <c r="O521" s="1"/>
  <c r="AJ540" i="1"/>
  <c r="AM540"/>
  <c r="BC540"/>
  <c r="AH540"/>
  <c r="AI540"/>
  <c r="AK540"/>
  <c r="AL540"/>
  <c r="AC540"/>
  <c r="Z540"/>
  <c r="AO540"/>
  <c r="AP540" s="1"/>
  <c r="BD540"/>
  <c r="BE540" s="1"/>
  <c r="T540" s="1"/>
  <c r="U540" s="1"/>
  <c r="L541"/>
  <c r="M540" s="1"/>
  <c r="F543" i="52"/>
  <c r="A525" i="26"/>
  <c r="B525" s="1"/>
  <c r="A548" i="53"/>
  <c r="B549" s="1"/>
  <c r="A541" i="1"/>
  <c r="K541"/>
  <c r="N541" s="1"/>
  <c r="B542"/>
  <c r="C541"/>
  <c r="D541" s="1"/>
  <c r="E541"/>
  <c r="B524" i="38"/>
  <c r="BK540" i="1" l="1"/>
  <c r="BO540"/>
  <c r="BI29" i="55"/>
  <c r="G541" i="53"/>
  <c r="V536" i="1"/>
  <c r="X536"/>
  <c r="AF533"/>
  <c r="AD534"/>
  <c r="AB535"/>
  <c r="AE535" s="1"/>
  <c r="AM535" s="1"/>
  <c r="AA535"/>
  <c r="E542" i="53" s="1"/>
  <c r="AC535" i="1"/>
  <c r="I540" i="53"/>
  <c r="CY28" i="55" s="1"/>
  <c r="D540" i="53"/>
  <c r="S28" i="55" s="1"/>
  <c r="CD28"/>
  <c r="BD537" i="1"/>
  <c r="BE537" s="1"/>
  <c r="T537" s="1"/>
  <c r="U537" s="1"/>
  <c r="BA538"/>
  <c r="B541" i="52"/>
  <c r="I541" s="1"/>
  <c r="AT539" i="1"/>
  <c r="AS539"/>
  <c r="AR540"/>
  <c r="AQ540"/>
  <c r="X539"/>
  <c r="AB539" s="1"/>
  <c r="AE539" s="1"/>
  <c r="L542"/>
  <c r="M541" s="1"/>
  <c r="F544" i="52"/>
  <c r="B543" i="1"/>
  <c r="A549" i="53"/>
  <c r="B550" s="1"/>
  <c r="E542" i="1"/>
  <c r="A542"/>
  <c r="K542"/>
  <c r="N542" s="1"/>
  <c r="B525" i="38"/>
  <c r="A526" i="26"/>
  <c r="B526" s="1"/>
  <c r="C542" i="1"/>
  <c r="D542" s="1"/>
  <c r="D530" i="48"/>
  <c r="W530" s="1"/>
  <c r="E530"/>
  <c r="X530" s="1"/>
  <c r="B531"/>
  <c r="C530"/>
  <c r="D524" i="38"/>
  <c r="E524"/>
  <c r="Z524"/>
  <c r="AA524" s="1"/>
  <c r="F524"/>
  <c r="AM524" s="1"/>
  <c r="P541" i="1"/>
  <c r="V541"/>
  <c r="S541"/>
  <c r="AA541"/>
  <c r="E548" i="53" s="1"/>
  <c r="D546"/>
  <c r="T3" i="55" s="1"/>
  <c r="CE3"/>
  <c r="I546" i="53"/>
  <c r="BJ4" i="55"/>
  <c r="G547" i="53"/>
  <c r="F547"/>
  <c r="AO523" i="38"/>
  <c r="AP523" s="1"/>
  <c r="AQ523" s="1"/>
  <c r="AN523"/>
  <c r="E543" i="52"/>
  <c r="AD541" i="1"/>
  <c r="AF541" s="1"/>
  <c r="AO541"/>
  <c r="AP541" s="1"/>
  <c r="AH541"/>
  <c r="BC541"/>
  <c r="AL541"/>
  <c r="Z541"/>
  <c r="AI541"/>
  <c r="AJ541"/>
  <c r="AK541"/>
  <c r="AC541"/>
  <c r="AM541"/>
  <c r="BD541"/>
  <c r="BE541" s="1"/>
  <c r="T541" s="1"/>
  <c r="U541" s="1"/>
  <c r="DU3" i="55"/>
  <c r="H546" i="53"/>
  <c r="W540" i="1"/>
  <c r="R540"/>
  <c r="X540" s="1"/>
  <c r="AB540" s="1"/>
  <c r="AE540" s="1"/>
  <c r="F529" i="48"/>
  <c r="Y529" s="1"/>
  <c r="V529"/>
  <c r="AR522" i="38"/>
  <c r="AR523" l="1"/>
  <c r="AS523" s="1"/>
  <c r="AU523" s="1"/>
  <c r="AV523" s="1"/>
  <c r="BA523" s="1"/>
  <c r="BB523" s="1"/>
  <c r="BH523" s="1"/>
  <c r="BJ523" s="1"/>
  <c r="P523" s="1"/>
  <c r="O523" s="1"/>
  <c r="BK541" i="1"/>
  <c r="BO541"/>
  <c r="BD538"/>
  <c r="BE538" s="1"/>
  <c r="T538" s="1"/>
  <c r="U538" s="1"/>
  <c r="BA539"/>
  <c r="BA540" s="1"/>
  <c r="AF534"/>
  <c r="AD535"/>
  <c r="V537"/>
  <c r="X537"/>
  <c r="BA541"/>
  <c r="BI30" i="55"/>
  <c r="G542" i="53"/>
  <c r="D541"/>
  <c r="S29" i="55" s="1"/>
  <c r="CD29"/>
  <c r="I541" i="53"/>
  <c r="CY29" i="55" s="1"/>
  <c r="AB536" i="1"/>
  <c r="AE536" s="1"/>
  <c r="AM536" s="1"/>
  <c r="AC536"/>
  <c r="AA536"/>
  <c r="E543" i="53" s="1"/>
  <c r="AR541" i="1"/>
  <c r="AQ541"/>
  <c r="B542" i="52"/>
  <c r="I542" s="1"/>
  <c r="AT540" i="1"/>
  <c r="AS540"/>
  <c r="AU539"/>
  <c r="D541" i="52"/>
  <c r="BK522" i="38"/>
  <c r="AS522"/>
  <c r="AU522" s="1"/>
  <c r="AV522" s="1"/>
  <c r="BA522" s="1"/>
  <c r="BB522" s="1"/>
  <c r="BH522" s="1"/>
  <c r="BJ522" s="1"/>
  <c r="P522" s="1"/>
  <c r="O522" s="1"/>
  <c r="AC542" i="1"/>
  <c r="AL542"/>
  <c r="BC542"/>
  <c r="AK542"/>
  <c r="AO542"/>
  <c r="AP542" s="1"/>
  <c r="AM542"/>
  <c r="AJ542"/>
  <c r="AI542"/>
  <c r="AH542"/>
  <c r="Z542"/>
  <c r="BD542"/>
  <c r="BE542" s="1"/>
  <c r="T542" s="1"/>
  <c r="EP3" i="55"/>
  <c r="J546" i="53"/>
  <c r="FK3" i="55" s="1"/>
  <c r="E544" i="52"/>
  <c r="AD542" i="1"/>
  <c r="AF542" s="1"/>
  <c r="H547" i="53"/>
  <c r="DU4" i="55"/>
  <c r="W541" i="1"/>
  <c r="R541"/>
  <c r="X541" s="1"/>
  <c r="AB541" s="1"/>
  <c r="AE541" s="1"/>
  <c r="V530" i="48"/>
  <c r="F530"/>
  <c r="Y530" s="1"/>
  <c r="E525" i="38"/>
  <c r="D525"/>
  <c r="Z525"/>
  <c r="AA525" s="1"/>
  <c r="F525"/>
  <c r="AM525" s="1"/>
  <c r="BK523"/>
  <c r="D547" i="53"/>
  <c r="CE4" i="55"/>
  <c r="I547" i="53"/>
  <c r="CZ3" i="55"/>
  <c r="BJ5"/>
  <c r="F548" i="53"/>
  <c r="G548"/>
  <c r="AN524" i="38"/>
  <c r="AO524"/>
  <c r="AP524" s="1"/>
  <c r="AQ524" s="1"/>
  <c r="D531" i="48"/>
  <c r="W531" s="1"/>
  <c r="C531"/>
  <c r="E531"/>
  <c r="X531" s="1"/>
  <c r="B532"/>
  <c r="P542" i="1"/>
  <c r="AA542"/>
  <c r="E549" i="53" s="1"/>
  <c r="S542" i="1"/>
  <c r="V542"/>
  <c r="C543"/>
  <c r="D543" s="1"/>
  <c r="A550" i="53"/>
  <c r="B551" s="1"/>
  <c r="A527" i="26"/>
  <c r="B527" s="1"/>
  <c r="F545" i="52"/>
  <c r="K543" i="1"/>
  <c r="N543" s="1"/>
  <c r="B526" i="38"/>
  <c r="L543" i="1"/>
  <c r="M542" s="1"/>
  <c r="A543"/>
  <c r="B544"/>
  <c r="E543"/>
  <c r="BA542" l="1"/>
  <c r="BO542"/>
  <c r="BK542"/>
  <c r="BI31" i="55"/>
  <c r="G543" i="53"/>
  <c r="AF535" i="1"/>
  <c r="AD536"/>
  <c r="I542" i="53"/>
  <c r="CY30" i="55" s="1"/>
  <c r="CD30"/>
  <c r="D542" i="53"/>
  <c r="S30" i="55" s="1"/>
  <c r="AB537" i="1"/>
  <c r="AE537" s="1"/>
  <c r="AM537" s="1"/>
  <c r="AA537"/>
  <c r="E544" i="53" s="1"/>
  <c r="AC537" i="1"/>
  <c r="V538"/>
  <c r="X538"/>
  <c r="AR542"/>
  <c r="AQ542"/>
  <c r="D542" i="52"/>
  <c r="AU540" i="1"/>
  <c r="B543" i="52"/>
  <c r="I543" s="1"/>
  <c r="AT541" i="1"/>
  <c r="AS541"/>
  <c r="E532" i="48"/>
  <c r="X532" s="1"/>
  <c r="D532"/>
  <c r="W532" s="1"/>
  <c r="B533"/>
  <c r="C532"/>
  <c r="E545" i="52"/>
  <c r="AD543" i="1"/>
  <c r="AF543" s="1"/>
  <c r="E526" i="38"/>
  <c r="Z526"/>
  <c r="AA526" s="1"/>
  <c r="D526"/>
  <c r="F526"/>
  <c r="AM526" s="1"/>
  <c r="BJ6" i="55"/>
  <c r="F549" i="53"/>
  <c r="G549"/>
  <c r="A551"/>
  <c r="B552" s="1"/>
  <c r="F546" i="52"/>
  <c r="C544" i="1"/>
  <c r="D544" s="1"/>
  <c r="A528" i="26"/>
  <c r="B528" s="1"/>
  <c r="A544" i="1"/>
  <c r="B545"/>
  <c r="L544"/>
  <c r="M543" s="1"/>
  <c r="B527" i="38"/>
  <c r="E544" i="1"/>
  <c r="K544"/>
  <c r="N544" s="1"/>
  <c r="P543"/>
  <c r="V543"/>
  <c r="AA543"/>
  <c r="E550" i="53" s="1"/>
  <c r="S543" i="1"/>
  <c r="W542"/>
  <c r="R542"/>
  <c r="V531" i="48"/>
  <c r="F531"/>
  <c r="Y531" s="1"/>
  <c r="AR524" i="38"/>
  <c r="CZ4" i="55"/>
  <c r="AK543" i="1"/>
  <c r="AC543"/>
  <c r="AL543"/>
  <c r="Z543"/>
  <c r="AO543"/>
  <c r="AP543" s="1"/>
  <c r="AH543"/>
  <c r="AM543"/>
  <c r="BC543"/>
  <c r="BA543" s="1"/>
  <c r="AI543"/>
  <c r="AJ543"/>
  <c r="BD543"/>
  <c r="BE543" s="1"/>
  <c r="T543" s="1"/>
  <c r="U543" s="1"/>
  <c r="EP4" i="55"/>
  <c r="J547" i="53"/>
  <c r="FK4" i="55" s="1"/>
  <c r="D548" i="53"/>
  <c r="CE5" i="55"/>
  <c r="I548" i="53"/>
  <c r="T4" i="55"/>
  <c r="AO525" i="38"/>
  <c r="AP525" s="1"/>
  <c r="AQ525" s="1"/>
  <c r="AN525"/>
  <c r="AR525" s="1"/>
  <c r="DU5" i="55"/>
  <c r="H548" i="53"/>
  <c r="U542" i="1"/>
  <c r="BO543" l="1"/>
  <c r="BK543"/>
  <c r="CD31" i="55"/>
  <c r="I543" i="53"/>
  <c r="CY31" i="55" s="1"/>
  <c r="D543" i="53"/>
  <c r="S31" i="55" s="1"/>
  <c r="G544" i="53"/>
  <c r="BI32" i="55"/>
  <c r="AB538" i="1"/>
  <c r="AE538" s="1"/>
  <c r="AM538" s="1"/>
  <c r="AC538"/>
  <c r="AA538"/>
  <c r="E545" i="53" s="1"/>
  <c r="AF536" i="1"/>
  <c r="AD537"/>
  <c r="AR543"/>
  <c r="AQ543"/>
  <c r="D543" i="52"/>
  <c r="AU541" i="1"/>
  <c r="B544" i="52"/>
  <c r="I544" s="1"/>
  <c r="AT542" i="1"/>
  <c r="AS542"/>
  <c r="T5" i="55"/>
  <c r="W543" i="1"/>
  <c r="R543"/>
  <c r="X543" s="1"/>
  <c r="AB543" s="1"/>
  <c r="AE543" s="1"/>
  <c r="V544"/>
  <c r="S544"/>
  <c r="P544"/>
  <c r="AA544"/>
  <c r="E551" i="53" s="1"/>
  <c r="F547" i="52"/>
  <c r="A545" i="1"/>
  <c r="K545"/>
  <c r="N545" s="1"/>
  <c r="B546"/>
  <c r="E545"/>
  <c r="C545"/>
  <c r="D545" s="1"/>
  <c r="B528" i="38"/>
  <c r="L545" i="1"/>
  <c r="M544" s="1"/>
  <c r="A552" i="53"/>
  <c r="B553" s="1"/>
  <c r="A529" i="26"/>
  <c r="B529" s="1"/>
  <c r="EP5" i="55"/>
  <c r="J548" i="53"/>
  <c r="FK5" i="55" s="1"/>
  <c r="BK525" i="38"/>
  <c r="AS525"/>
  <c r="AU525" s="1"/>
  <c r="AV525" s="1"/>
  <c r="BA525" s="1"/>
  <c r="BB525" s="1"/>
  <c r="BH525" s="1"/>
  <c r="BJ525" s="1"/>
  <c r="P525" s="1"/>
  <c r="O525" s="1"/>
  <c r="CZ5" i="55"/>
  <c r="G550" i="53"/>
  <c r="F550"/>
  <c r="BJ7" i="55"/>
  <c r="E546" i="52"/>
  <c r="AD544" i="1"/>
  <c r="AF544" s="1"/>
  <c r="AL544"/>
  <c r="AJ544"/>
  <c r="AM544"/>
  <c r="BC544"/>
  <c r="BA544" s="1"/>
  <c r="AO544"/>
  <c r="AP544" s="1"/>
  <c r="AK544"/>
  <c r="AI544"/>
  <c r="AH544"/>
  <c r="AC544"/>
  <c r="Z544"/>
  <c r="BD544"/>
  <c r="BE544" s="1"/>
  <c r="T544" s="1"/>
  <c r="U544" s="1"/>
  <c r="CE6" i="55"/>
  <c r="D549" i="53"/>
  <c r="I549"/>
  <c r="V532" i="48"/>
  <c r="F532"/>
  <c r="Y532" s="1"/>
  <c r="BK524" i="38"/>
  <c r="AS524"/>
  <c r="AU524" s="1"/>
  <c r="AV524" s="1"/>
  <c r="BA524" s="1"/>
  <c r="BB524" s="1"/>
  <c r="BH524" s="1"/>
  <c r="BJ524" s="1"/>
  <c r="P524" s="1"/>
  <c r="O524" s="1"/>
  <c r="X542" i="1"/>
  <c r="AB542" s="1"/>
  <c r="AE542" s="1"/>
  <c r="D527" i="38"/>
  <c r="E527"/>
  <c r="F527"/>
  <c r="AM527" s="1"/>
  <c r="Z527"/>
  <c r="AA527" s="1"/>
  <c r="DU6" i="55"/>
  <c r="H549" i="53"/>
  <c r="AO526" i="38"/>
  <c r="AP526" s="1"/>
  <c r="AQ526" s="1"/>
  <c r="AN526"/>
  <c r="D533" i="48"/>
  <c r="W533" s="1"/>
  <c r="C533"/>
  <c r="E533"/>
  <c r="X533" s="1"/>
  <c r="B534"/>
  <c r="BK544" i="1" l="1"/>
  <c r="BO544"/>
  <c r="AR526" i="38"/>
  <c r="AS526" s="1"/>
  <c r="AU526" s="1"/>
  <c r="AV526" s="1"/>
  <c r="BA526" s="1"/>
  <c r="BB526" s="1"/>
  <c r="BH526" s="1"/>
  <c r="BJ526" s="1"/>
  <c r="P526" s="1"/>
  <c r="O526" s="1"/>
  <c r="AF537" i="1"/>
  <c r="AD538"/>
  <c r="AF538" s="1"/>
  <c r="BI33" i="55"/>
  <c r="BI35" s="1"/>
  <c r="G545" i="53"/>
  <c r="CD32" i="55"/>
  <c r="I544" i="53"/>
  <c r="CY32" i="55" s="1"/>
  <c r="D544" i="53"/>
  <c r="S32" i="55" s="1"/>
  <c r="AR544" i="1"/>
  <c r="AQ544"/>
  <c r="D544" i="52"/>
  <c r="AU542" i="1"/>
  <c r="B545" i="52"/>
  <c r="I545" s="1"/>
  <c r="AT543" i="1"/>
  <c r="AS543"/>
  <c r="AL545"/>
  <c r="AO545"/>
  <c r="AP545" s="1"/>
  <c r="BC545"/>
  <c r="BA545" s="1"/>
  <c r="AM545"/>
  <c r="AI545"/>
  <c r="AK545"/>
  <c r="AH545"/>
  <c r="AC545"/>
  <c r="Z545"/>
  <c r="AJ545"/>
  <c r="BD545"/>
  <c r="BE545" s="1"/>
  <c r="T545" s="1"/>
  <c r="CZ6" i="55"/>
  <c r="DU7"/>
  <c r="H550" i="53"/>
  <c r="E547" i="52"/>
  <c r="AD545" i="1"/>
  <c r="AF545" s="1"/>
  <c r="D534" i="48"/>
  <c r="W534" s="1"/>
  <c r="C534"/>
  <c r="B535"/>
  <c r="E534"/>
  <c r="X534" s="1"/>
  <c r="BK526" i="38"/>
  <c r="V533" i="48"/>
  <c r="F533"/>
  <c r="Y533" s="1"/>
  <c r="EP6" i="55"/>
  <c r="J549" i="53"/>
  <c r="FK6" i="55" s="1"/>
  <c r="T6"/>
  <c r="CE7"/>
  <c r="I550" i="53"/>
  <c r="D550"/>
  <c r="T7" i="55" s="1"/>
  <c r="F548" i="52"/>
  <c r="A553" i="53"/>
  <c r="B554" s="1"/>
  <c r="B547" i="1"/>
  <c r="L546"/>
  <c r="M545" s="1"/>
  <c r="A530" i="26"/>
  <c r="B530" s="1"/>
  <c r="K546" i="1"/>
  <c r="N546" s="1"/>
  <c r="B529" i="38"/>
  <c r="C546" i="1"/>
  <c r="D546" s="1"/>
  <c r="A546"/>
  <c r="E546"/>
  <c r="BJ8" i="55"/>
  <c r="G551" i="53"/>
  <c r="F551"/>
  <c r="AO527" i="38"/>
  <c r="AP527" s="1"/>
  <c r="AQ527" s="1"/>
  <c r="AN527"/>
  <c r="D528"/>
  <c r="E528"/>
  <c r="Z528"/>
  <c r="AA528" s="1"/>
  <c r="F528"/>
  <c r="AM528" s="1"/>
  <c r="V545" i="1"/>
  <c r="S545"/>
  <c r="P545"/>
  <c r="AA545"/>
  <c r="E552" i="53" s="1"/>
  <c r="W544" i="1"/>
  <c r="R544"/>
  <c r="X544" s="1"/>
  <c r="AB544" s="1"/>
  <c r="AE544" s="1"/>
  <c r="BK545" l="1"/>
  <c r="BO545"/>
  <c r="D545" i="53"/>
  <c r="S33" i="55" s="1"/>
  <c r="S35" s="1"/>
  <c r="I545" i="53"/>
  <c r="CY33" i="55" s="1"/>
  <c r="CD33"/>
  <c r="CD35" s="1"/>
  <c r="AU543" i="1"/>
  <c r="D545" i="52"/>
  <c r="AR545" i="1"/>
  <c r="AQ545"/>
  <c r="B546" i="52"/>
  <c r="I546" s="1"/>
  <c r="AT544" i="1"/>
  <c r="AS544"/>
  <c r="AR527" i="38"/>
  <c r="D529"/>
  <c r="E529"/>
  <c r="F529"/>
  <c r="AM529" s="1"/>
  <c r="Z529"/>
  <c r="AA529" s="1"/>
  <c r="F549" i="52"/>
  <c r="E547" i="1"/>
  <c r="L547"/>
  <c r="M546" s="1"/>
  <c r="C547"/>
  <c r="D547" s="1"/>
  <c r="A531" i="26"/>
  <c r="B531" s="1"/>
  <c r="A547" i="1"/>
  <c r="K547"/>
  <c r="N547" s="1"/>
  <c r="B548"/>
  <c r="A554" i="53"/>
  <c r="B555" s="1"/>
  <c r="B530" i="38"/>
  <c r="CZ7" i="55"/>
  <c r="V534" i="48"/>
  <c r="F534"/>
  <c r="Y534" s="1"/>
  <c r="E548" i="52"/>
  <c r="AD546" i="1"/>
  <c r="AF546" s="1"/>
  <c r="S546"/>
  <c r="V546"/>
  <c r="P546"/>
  <c r="AA546"/>
  <c r="E553" i="53" s="1"/>
  <c r="F552"/>
  <c r="G552"/>
  <c r="BJ9" i="55"/>
  <c r="AN528" i="38"/>
  <c r="AO528"/>
  <c r="AP528" s="1"/>
  <c r="AQ528" s="1"/>
  <c r="H551" i="53"/>
  <c r="DU8" i="55"/>
  <c r="AC546" i="1"/>
  <c r="AH546"/>
  <c r="BC546"/>
  <c r="BA546" s="1"/>
  <c r="AI546"/>
  <c r="AM546"/>
  <c r="AL546"/>
  <c r="Z546"/>
  <c r="AK546"/>
  <c r="AO546"/>
  <c r="AP546" s="1"/>
  <c r="AJ546"/>
  <c r="BD546"/>
  <c r="BE546" s="1"/>
  <c r="T546" s="1"/>
  <c r="U545"/>
  <c r="W545"/>
  <c r="R545"/>
  <c r="CE8" i="55"/>
  <c r="I551" i="53"/>
  <c r="D551"/>
  <c r="E535" i="48"/>
  <c r="X535" s="1"/>
  <c r="C535"/>
  <c r="B536"/>
  <c r="D535"/>
  <c r="W535" s="1"/>
  <c r="EP7" i="55"/>
  <c r="J550" i="53"/>
  <c r="FK7" i="55" s="1"/>
  <c r="U546" i="1" l="1"/>
  <c r="BK546"/>
  <c r="BO546"/>
  <c r="AR546"/>
  <c r="AQ546"/>
  <c r="D546" i="52"/>
  <c r="AU544" i="1"/>
  <c r="B547" i="52"/>
  <c r="I547" s="1"/>
  <c r="AT545" i="1"/>
  <c r="AS545"/>
  <c r="X545"/>
  <c r="AB545" s="1"/>
  <c r="AE545" s="1"/>
  <c r="AR528" i="38"/>
  <c r="G553" i="53"/>
  <c r="BJ10" i="55"/>
  <c r="F553" i="53"/>
  <c r="T8" i="55"/>
  <c r="CE9"/>
  <c r="D552" i="53"/>
  <c r="I552"/>
  <c r="W546" i="1"/>
  <c r="R546"/>
  <c r="F550" i="52"/>
  <c r="A555" i="53"/>
  <c r="B556" s="1"/>
  <c r="A532" i="26"/>
  <c r="B532" s="1"/>
  <c r="L548" i="1"/>
  <c r="M547" s="1"/>
  <c r="A548"/>
  <c r="B531" i="38"/>
  <c r="K548" i="1"/>
  <c r="N548" s="1"/>
  <c r="E548"/>
  <c r="B549"/>
  <c r="C548"/>
  <c r="D548" s="1"/>
  <c r="B537" i="48"/>
  <c r="E536"/>
  <c r="X536" s="1"/>
  <c r="C536"/>
  <c r="D536"/>
  <c r="W536" s="1"/>
  <c r="CZ8" i="55"/>
  <c r="EP8"/>
  <c r="J551" i="53"/>
  <c r="FK8" i="55" s="1"/>
  <c r="H552" i="53"/>
  <c r="DU9" i="55"/>
  <c r="V547" i="1"/>
  <c r="S547"/>
  <c r="P547"/>
  <c r="AA547"/>
  <c r="E554" i="53" s="1"/>
  <c r="AO529" i="38"/>
  <c r="AP529" s="1"/>
  <c r="AQ529" s="1"/>
  <c r="AN529"/>
  <c r="V535" i="48"/>
  <c r="F535"/>
  <c r="Y535" s="1"/>
  <c r="E530" i="38"/>
  <c r="D530"/>
  <c r="F530"/>
  <c r="AM530" s="1"/>
  <c r="Z530"/>
  <c r="AA530" s="1"/>
  <c r="AI547" i="1"/>
  <c r="AC547"/>
  <c r="AO547"/>
  <c r="AP547" s="1"/>
  <c r="AL547"/>
  <c r="AJ547"/>
  <c r="Z547"/>
  <c r="AH547"/>
  <c r="BC547"/>
  <c r="BA547" s="1"/>
  <c r="AK547"/>
  <c r="AM547"/>
  <c r="BD547"/>
  <c r="BE547" s="1"/>
  <c r="T547" s="1"/>
  <c r="U547" s="1"/>
  <c r="E549" i="52"/>
  <c r="AD547" i="1"/>
  <c r="AF547" s="1"/>
  <c r="BK527" i="38"/>
  <c r="AS527"/>
  <c r="AU527" s="1"/>
  <c r="AV527" s="1"/>
  <c r="BA527" s="1"/>
  <c r="BB527" s="1"/>
  <c r="BH527" s="1"/>
  <c r="BJ527" s="1"/>
  <c r="P527" s="1"/>
  <c r="O527" s="1"/>
  <c r="X546" i="1" l="1"/>
  <c r="AB546" s="1"/>
  <c r="AE546" s="1"/>
  <c r="AR529" i="38"/>
  <c r="AS529" s="1"/>
  <c r="AU529" s="1"/>
  <c r="AV529" s="1"/>
  <c r="BA529" s="1"/>
  <c r="BB529" s="1"/>
  <c r="BH529" s="1"/>
  <c r="BJ529" s="1"/>
  <c r="P529" s="1"/>
  <c r="O529" s="1"/>
  <c r="BK547" i="1"/>
  <c r="BO547"/>
  <c r="AR547"/>
  <c r="AQ547"/>
  <c r="AU545"/>
  <c r="D547" i="52"/>
  <c r="B548"/>
  <c r="I548" s="1"/>
  <c r="AT546" i="1"/>
  <c r="AS546"/>
  <c r="V536" i="48"/>
  <c r="F536"/>
  <c r="Y536" s="1"/>
  <c r="L549" i="1"/>
  <c r="M548" s="1"/>
  <c r="E549"/>
  <c r="F551" i="52"/>
  <c r="C549" i="1"/>
  <c r="D549" s="1"/>
  <c r="K549"/>
  <c r="N549" s="1"/>
  <c r="A556" i="53"/>
  <c r="B557" s="1"/>
  <c r="B532" i="38"/>
  <c r="B550" i="1"/>
  <c r="A549"/>
  <c r="A533" i="26"/>
  <c r="B533" s="1"/>
  <c r="AL548" i="1"/>
  <c r="AK548"/>
  <c r="AJ548"/>
  <c r="AO548"/>
  <c r="AP548" s="1"/>
  <c r="AC548"/>
  <c r="AH548"/>
  <c r="Z548"/>
  <c r="BC548"/>
  <c r="BA548" s="1"/>
  <c r="AM548"/>
  <c r="AI548"/>
  <c r="BD548"/>
  <c r="BE548" s="1"/>
  <c r="T548" s="1"/>
  <c r="BJ11" i="55"/>
  <c r="F554" i="53"/>
  <c r="G554"/>
  <c r="E550" i="52"/>
  <c r="AD548" i="1"/>
  <c r="AF548" s="1"/>
  <c r="CZ9" i="55"/>
  <c r="D553" i="53"/>
  <c r="I553"/>
  <c r="CE10" i="55"/>
  <c r="AO530" i="38"/>
  <c r="AP530" s="1"/>
  <c r="AQ530" s="1"/>
  <c r="AN530"/>
  <c r="R547" i="1"/>
  <c r="X547" s="1"/>
  <c r="AB547" s="1"/>
  <c r="AE547" s="1"/>
  <c r="W547"/>
  <c r="EP9" i="55"/>
  <c r="J552" i="53"/>
  <c r="FK9" i="55" s="1"/>
  <c r="E537" i="48"/>
  <c r="X537" s="1"/>
  <c r="B538"/>
  <c r="C537"/>
  <c r="D537"/>
  <c r="W537" s="1"/>
  <c r="V548" i="1"/>
  <c r="S548"/>
  <c r="P548"/>
  <c r="AA548"/>
  <c r="E555" i="53" s="1"/>
  <c r="T9" i="55"/>
  <c r="BK528" i="38"/>
  <c r="AS528"/>
  <c r="AU528" s="1"/>
  <c r="AV528" s="1"/>
  <c r="BA528" s="1"/>
  <c r="BB528" s="1"/>
  <c r="BH528" s="1"/>
  <c r="BJ528" s="1"/>
  <c r="P528" s="1"/>
  <c r="O528" s="1"/>
  <c r="D531"/>
  <c r="Z531"/>
  <c r="AA531" s="1"/>
  <c r="E531"/>
  <c r="F531"/>
  <c r="AM531" s="1"/>
  <c r="DU10" i="55"/>
  <c r="H553" i="53"/>
  <c r="BK548" i="1" l="1"/>
  <c r="BO548"/>
  <c r="BK529" i="38"/>
  <c r="AR530"/>
  <c r="BK530" s="1"/>
  <c r="AU546" i="1"/>
  <c r="D548" i="52"/>
  <c r="AR548" i="1"/>
  <c r="AQ548"/>
  <c r="B549" i="52"/>
  <c r="I549" s="1"/>
  <c r="AT547" i="1"/>
  <c r="AS547"/>
  <c r="J553" i="53"/>
  <c r="FK10" i="55" s="1"/>
  <c r="EP10"/>
  <c r="V537" i="48"/>
  <c r="F537"/>
  <c r="Y537" s="1"/>
  <c r="F552" i="52"/>
  <c r="A534" i="26"/>
  <c r="B534" s="1"/>
  <c r="A550" i="1"/>
  <c r="L550"/>
  <c r="M549" s="1"/>
  <c r="K550"/>
  <c r="N550" s="1"/>
  <c r="B551"/>
  <c r="C550"/>
  <c r="D550" s="1"/>
  <c r="B533" i="38"/>
  <c r="A557" i="53"/>
  <c r="B558" s="1"/>
  <c r="E550" i="1"/>
  <c r="AO531" i="38"/>
  <c r="AP531" s="1"/>
  <c r="AQ531" s="1"/>
  <c r="AN531"/>
  <c r="BJ12" i="55"/>
  <c r="F555" i="53"/>
  <c r="G555"/>
  <c r="E538" i="48"/>
  <c r="X538" s="1"/>
  <c r="D538"/>
  <c r="W538" s="1"/>
  <c r="C538"/>
  <c r="B539"/>
  <c r="E532" i="38"/>
  <c r="Z532"/>
  <c r="AA532" s="1"/>
  <c r="D532"/>
  <c r="F532"/>
  <c r="AM532" s="1"/>
  <c r="W548" i="1"/>
  <c r="R548"/>
  <c r="CZ10" i="55"/>
  <c r="CE11"/>
  <c r="D554" i="53"/>
  <c r="I554"/>
  <c r="E551" i="52"/>
  <c r="AD549" i="1"/>
  <c r="AF549" s="1"/>
  <c r="T10" i="55"/>
  <c r="DU11"/>
  <c r="H554" i="53"/>
  <c r="U548" i="1"/>
  <c r="AL549"/>
  <c r="AK549"/>
  <c r="BC549"/>
  <c r="BA549" s="1"/>
  <c r="Z549"/>
  <c r="AJ549"/>
  <c r="AH549"/>
  <c r="AM549"/>
  <c r="AI549"/>
  <c r="AC549"/>
  <c r="AO549"/>
  <c r="AP549" s="1"/>
  <c r="BD549"/>
  <c r="BE549" s="1"/>
  <c r="T549" s="1"/>
  <c r="S549"/>
  <c r="V549"/>
  <c r="P549"/>
  <c r="AA549"/>
  <c r="E556" i="53" s="1"/>
  <c r="AS530" i="38" l="1"/>
  <c r="AU530" s="1"/>
  <c r="AV530" s="1"/>
  <c r="BA530" s="1"/>
  <c r="BB530" s="1"/>
  <c r="BH530" s="1"/>
  <c r="BJ530" s="1"/>
  <c r="P530" s="1"/>
  <c r="O530" s="1"/>
  <c r="AR531"/>
  <c r="AS531" s="1"/>
  <c r="AU531" s="1"/>
  <c r="AV531" s="1"/>
  <c r="BA531" s="1"/>
  <c r="BB531" s="1"/>
  <c r="BH531" s="1"/>
  <c r="BJ531" s="1"/>
  <c r="P531" s="1"/>
  <c r="O531" s="1"/>
  <c r="BK549" i="1"/>
  <c r="BO549"/>
  <c r="B550" i="52"/>
  <c r="I550" s="1"/>
  <c r="AT548" i="1"/>
  <c r="AS548"/>
  <c r="AR549"/>
  <c r="AQ549"/>
  <c r="D549" i="52"/>
  <c r="AU547" i="1"/>
  <c r="J554" i="53"/>
  <c r="FK11" i="55" s="1"/>
  <c r="EP11"/>
  <c r="X548" i="1"/>
  <c r="AB548" s="1"/>
  <c r="AE548" s="1"/>
  <c r="D539" i="48"/>
  <c r="W539" s="1"/>
  <c r="B540"/>
  <c r="C539"/>
  <c r="E539"/>
  <c r="X539" s="1"/>
  <c r="D533" i="38"/>
  <c r="E533"/>
  <c r="F533"/>
  <c r="AM533" s="1"/>
  <c r="Z533"/>
  <c r="AA533" s="1"/>
  <c r="BJ13" i="55"/>
  <c r="G556" i="53"/>
  <c r="F556"/>
  <c r="U549" i="1"/>
  <c r="AO532" i="38"/>
  <c r="AP532" s="1"/>
  <c r="AQ532" s="1"/>
  <c r="AN532"/>
  <c r="AR532" s="1"/>
  <c r="V538" i="48"/>
  <c r="F538"/>
  <c r="Y538" s="1"/>
  <c r="CE12" i="55"/>
  <c r="I555" i="53"/>
  <c r="D555"/>
  <c r="AJ550" i="1"/>
  <c r="AC550"/>
  <c r="AO550"/>
  <c r="AP550" s="1"/>
  <c r="AL550"/>
  <c r="Z550"/>
  <c r="AK550"/>
  <c r="AI550"/>
  <c r="BC550"/>
  <c r="BA550" s="1"/>
  <c r="AH550"/>
  <c r="AM550"/>
  <c r="BD550"/>
  <c r="BE550" s="1"/>
  <c r="T550" s="1"/>
  <c r="W549"/>
  <c r="R549"/>
  <c r="CZ11" i="55"/>
  <c r="DU12"/>
  <c r="H555" i="53"/>
  <c r="E552" i="52"/>
  <c r="AD550" i="1"/>
  <c r="AF550" s="1"/>
  <c r="F553" i="52"/>
  <c r="A535" i="26"/>
  <c r="B535" s="1"/>
  <c r="C551" i="1"/>
  <c r="D551" s="1"/>
  <c r="A551"/>
  <c r="B534" i="38"/>
  <c r="A558" i="53"/>
  <c r="B559" s="1"/>
  <c r="E551" i="1"/>
  <c r="B552"/>
  <c r="K551"/>
  <c r="N551" s="1"/>
  <c r="L551"/>
  <c r="M550" s="1"/>
  <c r="T11" i="55"/>
  <c r="S550" i="1"/>
  <c r="V550"/>
  <c r="P550"/>
  <c r="AA550"/>
  <c r="E557" i="53" s="1"/>
  <c r="BO550" i="1" l="1"/>
  <c r="BK550"/>
  <c r="BK531" i="38"/>
  <c r="B551" i="52"/>
  <c r="I551" s="1"/>
  <c r="AT549" i="1"/>
  <c r="AS549"/>
  <c r="D550" i="52"/>
  <c r="AU548" i="1"/>
  <c r="AR550"/>
  <c r="AQ550"/>
  <c r="X549"/>
  <c r="AB549" s="1"/>
  <c r="AE549" s="1"/>
  <c r="BJ14" i="55"/>
  <c r="G557" i="53"/>
  <c r="F557"/>
  <c r="E553" i="52"/>
  <c r="AD551" i="1"/>
  <c r="AF551" s="1"/>
  <c r="BK532" i="38"/>
  <c r="AS532"/>
  <c r="AU532" s="1"/>
  <c r="AV532" s="1"/>
  <c r="BA532" s="1"/>
  <c r="BB532" s="1"/>
  <c r="BH532" s="1"/>
  <c r="BJ532" s="1"/>
  <c r="P532" s="1"/>
  <c r="O532" s="1"/>
  <c r="H556" i="53"/>
  <c r="DU13" i="55"/>
  <c r="AN533" i="38"/>
  <c r="AO533"/>
  <c r="AP533" s="1"/>
  <c r="AQ533" s="1"/>
  <c r="F539" i="48"/>
  <c r="Y539" s="1"/>
  <c r="V539"/>
  <c r="W550" i="1"/>
  <c r="R550"/>
  <c r="CE13" i="55"/>
  <c r="I556" i="53"/>
  <c r="D556"/>
  <c r="E540" i="48"/>
  <c r="X540" s="1"/>
  <c r="B541"/>
  <c r="C540"/>
  <c r="D540"/>
  <c r="W540" s="1"/>
  <c r="S551" i="1"/>
  <c r="V551"/>
  <c r="P551"/>
  <c r="AA551"/>
  <c r="E558" i="53" s="1"/>
  <c r="D534" i="38"/>
  <c r="Z534"/>
  <c r="AA534" s="1"/>
  <c r="E534"/>
  <c r="F534"/>
  <c r="AM534" s="1"/>
  <c r="U550" i="1"/>
  <c r="T12" i="55"/>
  <c r="F554" i="52"/>
  <c r="A559" i="53"/>
  <c r="B560" s="1"/>
  <c r="L552" i="1"/>
  <c r="M551" s="1"/>
  <c r="A536" i="26"/>
  <c r="B536" s="1"/>
  <c r="B535" i="38"/>
  <c r="E552" i="1"/>
  <c r="A552"/>
  <c r="B553"/>
  <c r="K552"/>
  <c r="N552" s="1"/>
  <c r="C552"/>
  <c r="D552" s="1"/>
  <c r="AO551"/>
  <c r="AP551" s="1"/>
  <c r="Z551"/>
  <c r="AH551"/>
  <c r="AI551"/>
  <c r="AM551"/>
  <c r="AC551"/>
  <c r="AK551"/>
  <c r="BC551"/>
  <c r="BA551" s="1"/>
  <c r="AJ551"/>
  <c r="AL551"/>
  <c r="BD551"/>
  <c r="BE551" s="1"/>
  <c r="T551" s="1"/>
  <c r="EP12" i="55"/>
  <c r="J555" i="53"/>
  <c r="FK12" i="55" s="1"/>
  <c r="CZ12"/>
  <c r="BO551" i="1" l="1"/>
  <c r="BK551"/>
  <c r="U551"/>
  <c r="AU549"/>
  <c r="D551" i="52"/>
  <c r="AR551" i="1"/>
  <c r="AQ551"/>
  <c r="B552" i="52"/>
  <c r="I552" s="1"/>
  <c r="AT550" i="1"/>
  <c r="AS550"/>
  <c r="A553"/>
  <c r="A537" i="26"/>
  <c r="B537" s="1"/>
  <c r="A560" i="53"/>
  <c r="B561" s="1"/>
  <c r="F555" i="52"/>
  <c r="L553" i="1"/>
  <c r="M552" s="1"/>
  <c r="E553"/>
  <c r="B536" i="38"/>
  <c r="K553" i="1"/>
  <c r="N553" s="1"/>
  <c r="C553"/>
  <c r="D553" s="1"/>
  <c r="B554"/>
  <c r="CZ13" i="55"/>
  <c r="AM552" i="1"/>
  <c r="AJ552"/>
  <c r="AO552"/>
  <c r="AP552" s="1"/>
  <c r="AC552"/>
  <c r="Z552"/>
  <c r="AL552"/>
  <c r="AH552"/>
  <c r="AK552"/>
  <c r="BC552"/>
  <c r="BA552" s="1"/>
  <c r="AI552"/>
  <c r="BD552"/>
  <c r="BE552" s="1"/>
  <c r="T552" s="1"/>
  <c r="AN534" i="38"/>
  <c r="AO534"/>
  <c r="AP534" s="1"/>
  <c r="AQ534" s="1"/>
  <c r="BJ15" i="55"/>
  <c r="F558" i="53"/>
  <c r="G558"/>
  <c r="V540" i="48"/>
  <c r="F540"/>
  <c r="Y540" s="1"/>
  <c r="E554" i="52"/>
  <c r="AD552" i="1"/>
  <c r="AF552" s="1"/>
  <c r="R551"/>
  <c r="X551" s="1"/>
  <c r="AB551" s="1"/>
  <c r="AE551" s="1"/>
  <c r="W551"/>
  <c r="D541" i="48"/>
  <c r="W541" s="1"/>
  <c r="B542"/>
  <c r="E541"/>
  <c r="X541" s="1"/>
  <c r="C541"/>
  <c r="X550" i="1"/>
  <c r="AB550" s="1"/>
  <c r="AE550" s="1"/>
  <c r="AR533" i="38"/>
  <c r="EP13" i="55"/>
  <c r="J556" i="53"/>
  <c r="FK13" i="55" s="1"/>
  <c r="DU14"/>
  <c r="H557" i="53"/>
  <c r="S552" i="1"/>
  <c r="V552"/>
  <c r="P552"/>
  <c r="AA552"/>
  <c r="E559" i="53" s="1"/>
  <c r="D535" i="38"/>
  <c r="E535"/>
  <c r="F535"/>
  <c r="AM535" s="1"/>
  <c r="Z535"/>
  <c r="AA535" s="1"/>
  <c r="T13" i="55"/>
  <c r="CE14"/>
  <c r="D557" i="53"/>
  <c r="I557"/>
  <c r="AR534" i="38" l="1"/>
  <c r="BO552" i="1"/>
  <c r="BK552"/>
  <c r="AU550"/>
  <c r="D552" i="52"/>
  <c r="AR552" i="1"/>
  <c r="AQ552"/>
  <c r="B553" i="52"/>
  <c r="I553" s="1"/>
  <c r="AT551" i="1"/>
  <c r="AS551"/>
  <c r="CZ14" i="55"/>
  <c r="BK533" i="38"/>
  <c r="AS533"/>
  <c r="AU533" s="1"/>
  <c r="AV533" s="1"/>
  <c r="BA533" s="1"/>
  <c r="BB533" s="1"/>
  <c r="BH533" s="1"/>
  <c r="BJ533" s="1"/>
  <c r="P533" s="1"/>
  <c r="O533" s="1"/>
  <c r="E542" i="48"/>
  <c r="X542" s="1"/>
  <c r="C542"/>
  <c r="B543"/>
  <c r="D542"/>
  <c r="W542" s="1"/>
  <c r="L554" i="1"/>
  <c r="M553" s="1"/>
  <c r="K554"/>
  <c r="N554" s="1"/>
  <c r="F556" i="52"/>
  <c r="A561" i="53"/>
  <c r="B562" s="1"/>
  <c r="A554" i="1"/>
  <c r="A538" i="26"/>
  <c r="B538" s="1"/>
  <c r="E554" i="1"/>
  <c r="B537" i="38"/>
  <c r="B555" i="1"/>
  <c r="C554"/>
  <c r="D554" s="1"/>
  <c r="E555" i="52"/>
  <c r="AD553" i="1"/>
  <c r="AF553" s="1"/>
  <c r="T14" i="55"/>
  <c r="F559" i="53"/>
  <c r="BJ16" i="55"/>
  <c r="G559" i="53"/>
  <c r="EP14" i="55"/>
  <c r="J557" i="53"/>
  <c r="FK14" i="55" s="1"/>
  <c r="AO553" i="1"/>
  <c r="AP553" s="1"/>
  <c r="AM553"/>
  <c r="BC553"/>
  <c r="BA553" s="1"/>
  <c r="AL553"/>
  <c r="AI553"/>
  <c r="AC553"/>
  <c r="Z553"/>
  <c r="AJ553"/>
  <c r="AH553"/>
  <c r="AK553"/>
  <c r="BD553"/>
  <c r="BE553" s="1"/>
  <c r="T553" s="1"/>
  <c r="AN535" i="38"/>
  <c r="AR535" s="1"/>
  <c r="AO535"/>
  <c r="AP535" s="1"/>
  <c r="AQ535" s="1"/>
  <c r="R552" i="1"/>
  <c r="W552"/>
  <c r="F541" i="48"/>
  <c r="Y541" s="1"/>
  <c r="V541"/>
  <c r="CE15" i="55"/>
  <c r="I558" i="53"/>
  <c r="CZ15" i="55" s="1"/>
  <c r="D558" i="53"/>
  <c r="T15" i="55" s="1"/>
  <c r="BK534" i="38"/>
  <c r="AS534"/>
  <c r="AU534" s="1"/>
  <c r="AV534" s="1"/>
  <c r="BA534" s="1"/>
  <c r="BB534" s="1"/>
  <c r="BH534" s="1"/>
  <c r="BJ534" s="1"/>
  <c r="P534" s="1"/>
  <c r="O534" s="1"/>
  <c r="V553" i="1"/>
  <c r="S553"/>
  <c r="P553"/>
  <c r="AA553"/>
  <c r="E560" i="53" s="1"/>
  <c r="DU15" i="55"/>
  <c r="H558" i="53"/>
  <c r="U552" i="1"/>
  <c r="D536" i="38"/>
  <c r="Z536"/>
  <c r="AA536" s="1"/>
  <c r="E536"/>
  <c r="F536"/>
  <c r="AM536" s="1"/>
  <c r="BO553" i="1" l="1"/>
  <c r="BK553"/>
  <c r="AR553"/>
  <c r="AQ553"/>
  <c r="B554" i="52"/>
  <c r="I554" s="1"/>
  <c r="AT552" i="1"/>
  <c r="AS552"/>
  <c r="D553" i="52"/>
  <c r="AU551" i="1"/>
  <c r="BJ17" i="55"/>
  <c r="F560" i="53"/>
  <c r="G560"/>
  <c r="X552" i="1"/>
  <c r="AB552" s="1"/>
  <c r="AE552" s="1"/>
  <c r="S554"/>
  <c r="V554"/>
  <c r="P554"/>
  <c r="AA554"/>
  <c r="E561" i="53" s="1"/>
  <c r="F542" i="48"/>
  <c r="Y542" s="1"/>
  <c r="V542"/>
  <c r="AO536" i="38"/>
  <c r="AP536" s="1"/>
  <c r="AQ536" s="1"/>
  <c r="AN536"/>
  <c r="W553" i="1"/>
  <c r="R553"/>
  <c r="H559" i="53"/>
  <c r="DU16" i="55"/>
  <c r="F557" i="52"/>
  <c r="L555" i="1"/>
  <c r="M554" s="1"/>
  <c r="A555"/>
  <c r="E555"/>
  <c r="A539" i="26"/>
  <c r="B539" s="1"/>
  <c r="K555" i="1"/>
  <c r="N555" s="1"/>
  <c r="A562" i="53"/>
  <c r="B563" s="1"/>
  <c r="B538" i="38"/>
  <c r="B556" i="1"/>
  <c r="C555"/>
  <c r="D555" s="1"/>
  <c r="AJ554"/>
  <c r="AL554"/>
  <c r="AK554"/>
  <c r="AI554"/>
  <c r="Z554"/>
  <c r="AO554"/>
  <c r="AP554" s="1"/>
  <c r="AM554"/>
  <c r="BC554"/>
  <c r="BA554" s="1"/>
  <c r="AH554"/>
  <c r="AC554"/>
  <c r="BD554"/>
  <c r="BE554" s="1"/>
  <c r="T554" s="1"/>
  <c r="U554" s="1"/>
  <c r="BK535" i="38"/>
  <c r="AS535"/>
  <c r="AU535" s="1"/>
  <c r="AV535" s="1"/>
  <c r="BA535" s="1"/>
  <c r="BB535" s="1"/>
  <c r="BH535" s="1"/>
  <c r="BJ535" s="1"/>
  <c r="P535" s="1"/>
  <c r="O535" s="1"/>
  <c r="U553" i="1"/>
  <c r="D537" i="38"/>
  <c r="E537"/>
  <c r="F537"/>
  <c r="AM537" s="1"/>
  <c r="Z537"/>
  <c r="AA537" s="1"/>
  <c r="EP15" i="55"/>
  <c r="J558" i="53"/>
  <c r="FK15" i="55" s="1"/>
  <c r="CE16"/>
  <c r="I559" i="53"/>
  <c r="D559"/>
  <c r="E556" i="52"/>
  <c r="AD554" i="1"/>
  <c r="AF554" s="1"/>
  <c r="D543" i="48"/>
  <c r="W543" s="1"/>
  <c r="C543"/>
  <c r="E543"/>
  <c r="X543" s="1"/>
  <c r="B544"/>
  <c r="BO554" i="1" l="1"/>
  <c r="BK554"/>
  <c r="AR554"/>
  <c r="AQ554"/>
  <c r="AU552"/>
  <c r="D554" i="52"/>
  <c r="B555"/>
  <c r="I555" s="1"/>
  <c r="AT553" i="1"/>
  <c r="AS553"/>
  <c r="CZ16" i="55"/>
  <c r="C556" i="1"/>
  <c r="D556" s="1"/>
  <c r="F558" i="52"/>
  <c r="E556" i="1"/>
  <c r="A556"/>
  <c r="L556"/>
  <c r="M555" s="1"/>
  <c r="K556"/>
  <c r="N556" s="1"/>
  <c r="B539" i="38"/>
  <c r="B557" i="1"/>
  <c r="A540" i="26"/>
  <c r="B540" s="1"/>
  <c r="A563" i="53"/>
  <c r="B564" s="1"/>
  <c r="F543" i="48"/>
  <c r="Y543" s="1"/>
  <c r="V543"/>
  <c r="AN537" i="38"/>
  <c r="AO537"/>
  <c r="AP537" s="1"/>
  <c r="AQ537" s="1"/>
  <c r="D538"/>
  <c r="E538"/>
  <c r="Z538"/>
  <c r="AA538" s="1"/>
  <c r="F538"/>
  <c r="AM538" s="1"/>
  <c r="E557" i="52"/>
  <c r="AD555" i="1"/>
  <c r="AF555" s="1"/>
  <c r="AH555"/>
  <c r="AO555"/>
  <c r="AP555" s="1"/>
  <c r="AK555"/>
  <c r="AM555"/>
  <c r="AJ555"/>
  <c r="AL555"/>
  <c r="AI555"/>
  <c r="BC555"/>
  <c r="BA555" s="1"/>
  <c r="Z555"/>
  <c r="AC555"/>
  <c r="BD555"/>
  <c r="BE555" s="1"/>
  <c r="T555" s="1"/>
  <c r="EP16" i="55"/>
  <c r="J559" i="53"/>
  <c r="FK16" i="55" s="1"/>
  <c r="X553" i="1"/>
  <c r="AB553" s="1"/>
  <c r="AE553" s="1"/>
  <c r="BJ18" i="55"/>
  <c r="F561" i="53"/>
  <c r="G561"/>
  <c r="I560"/>
  <c r="CE17" i="55"/>
  <c r="D560" i="53"/>
  <c r="E544" i="48"/>
  <c r="X544" s="1"/>
  <c r="C544"/>
  <c r="D544"/>
  <c r="W544" s="1"/>
  <c r="B545"/>
  <c r="T16" i="55"/>
  <c r="V555" i="1"/>
  <c r="AA555"/>
  <c r="E562" i="53" s="1"/>
  <c r="S555" i="1"/>
  <c r="P555"/>
  <c r="AR536" i="38"/>
  <c r="W554" i="1"/>
  <c r="R554"/>
  <c r="X554" s="1"/>
  <c r="AB554" s="1"/>
  <c r="AE554" s="1"/>
  <c r="DU17" i="55"/>
  <c r="H560" i="53"/>
  <c r="BK555" i="1" l="1"/>
  <c r="BO555"/>
  <c r="AU553"/>
  <c r="D555" i="52"/>
  <c r="AR555" i="1"/>
  <c r="AQ555"/>
  <c r="B556" i="52"/>
  <c r="I556" s="1"/>
  <c r="AT554" i="1"/>
  <c r="AS554"/>
  <c r="F562" i="53"/>
  <c r="BJ19" i="55"/>
  <c r="G562" i="53"/>
  <c r="F544" i="48"/>
  <c r="Y544" s="1"/>
  <c r="V544"/>
  <c r="T17" i="55"/>
  <c r="CE18"/>
  <c r="D561" i="53"/>
  <c r="I561"/>
  <c r="AO538" i="38"/>
  <c r="AP538" s="1"/>
  <c r="AQ538" s="1"/>
  <c r="AN538"/>
  <c r="AR537"/>
  <c r="D539"/>
  <c r="E539"/>
  <c r="Z539"/>
  <c r="AA539" s="1"/>
  <c r="F539"/>
  <c r="AM539" s="1"/>
  <c r="E558" i="52"/>
  <c r="AD556" i="1"/>
  <c r="AF556" s="1"/>
  <c r="DU18" i="55"/>
  <c r="H561" i="53"/>
  <c r="S556" i="1"/>
  <c r="V556"/>
  <c r="P556"/>
  <c r="AA556"/>
  <c r="E563" i="53" s="1"/>
  <c r="W555" i="1"/>
  <c r="R555"/>
  <c r="C545" i="48"/>
  <c r="D545"/>
  <c r="W545" s="1"/>
  <c r="E545"/>
  <c r="X545" s="1"/>
  <c r="B546"/>
  <c r="CZ17" i="55"/>
  <c r="U555" i="1"/>
  <c r="J560" i="53"/>
  <c r="FK17" i="55" s="1"/>
  <c r="EP17"/>
  <c r="BK536" i="38"/>
  <c r="AS536"/>
  <c r="AU536" s="1"/>
  <c r="AV536" s="1"/>
  <c r="BA536" s="1"/>
  <c r="BB536" s="1"/>
  <c r="BH536" s="1"/>
  <c r="BJ536" s="1"/>
  <c r="P536" s="1"/>
  <c r="O536" s="1"/>
  <c r="E557" i="1"/>
  <c r="K557"/>
  <c r="N557" s="1"/>
  <c r="A564" i="53"/>
  <c r="B565" s="1"/>
  <c r="A557" i="1"/>
  <c r="A541" i="26"/>
  <c r="B541" s="1"/>
  <c r="F559" i="52"/>
  <c r="C557" i="1"/>
  <c r="D557" s="1"/>
  <c r="B558"/>
  <c r="B540" i="38"/>
  <c r="L557" i="1"/>
  <c r="M556" s="1"/>
  <c r="AC556"/>
  <c r="AH556"/>
  <c r="BC556"/>
  <c r="BA556" s="1"/>
  <c r="AL556"/>
  <c r="AO556"/>
  <c r="AP556" s="1"/>
  <c r="AM556"/>
  <c r="AJ556"/>
  <c r="AI556"/>
  <c r="AK556"/>
  <c r="Z556"/>
  <c r="BD556"/>
  <c r="BE556" s="1"/>
  <c r="T556" s="1"/>
  <c r="U556" s="1"/>
  <c r="BK556" l="1"/>
  <c r="BO556"/>
  <c r="AR556"/>
  <c r="AQ556"/>
  <c r="D556" i="52"/>
  <c r="AU554" i="1"/>
  <c r="B557" i="52"/>
  <c r="I557" s="1"/>
  <c r="AT555" i="1"/>
  <c r="AS555"/>
  <c r="F560" i="52"/>
  <c r="E558" i="1"/>
  <c r="A558"/>
  <c r="K558"/>
  <c r="N558" s="1"/>
  <c r="B541" i="38"/>
  <c r="C558" i="1"/>
  <c r="D558" s="1"/>
  <c r="B559"/>
  <c r="L558"/>
  <c r="M557" s="1"/>
  <c r="A565" i="53"/>
  <c r="B566" s="1"/>
  <c r="A542" i="26"/>
  <c r="B542" s="1"/>
  <c r="AC557" i="1"/>
  <c r="AI557"/>
  <c r="BC557"/>
  <c r="BA557" s="1"/>
  <c r="AK557"/>
  <c r="AM557"/>
  <c r="AO557"/>
  <c r="AP557" s="1"/>
  <c r="Z557"/>
  <c r="AL557"/>
  <c r="AJ557"/>
  <c r="AH557"/>
  <c r="BD557"/>
  <c r="BE557" s="1"/>
  <c r="T557" s="1"/>
  <c r="V545" i="48"/>
  <c r="F545"/>
  <c r="Y545" s="1"/>
  <c r="AN539" i="38"/>
  <c r="AO539"/>
  <c r="AP539" s="1"/>
  <c r="AQ539" s="1"/>
  <c r="AR538"/>
  <c r="C546" i="48"/>
  <c r="D546"/>
  <c r="W546" s="1"/>
  <c r="B547"/>
  <c r="E546"/>
  <c r="X546" s="1"/>
  <c r="X555" i="1"/>
  <c r="AB555" s="1"/>
  <c r="AE555" s="1"/>
  <c r="EP18" i="55"/>
  <c r="J561" i="53"/>
  <c r="FK18" i="55" s="1"/>
  <c r="AS537" i="38"/>
  <c r="AU537" s="1"/>
  <c r="AV537" s="1"/>
  <c r="BA537" s="1"/>
  <c r="BB537" s="1"/>
  <c r="BH537" s="1"/>
  <c r="BJ537" s="1"/>
  <c r="P537" s="1"/>
  <c r="O537" s="1"/>
  <c r="BK537"/>
  <c r="H562" i="53"/>
  <c r="DU19" i="55"/>
  <c r="S557" i="1"/>
  <c r="V557"/>
  <c r="P557"/>
  <c r="AA557"/>
  <c r="E564" i="53" s="1"/>
  <c r="G563"/>
  <c r="BJ20" i="55"/>
  <c r="F563" i="53"/>
  <c r="CZ18" i="55"/>
  <c r="E540" i="38"/>
  <c r="D540"/>
  <c r="F540"/>
  <c r="AM540" s="1"/>
  <c r="Z540"/>
  <c r="AA540" s="1"/>
  <c r="AD557" i="1"/>
  <c r="AF557" s="1"/>
  <c r="E559" i="52"/>
  <c r="W556" i="1"/>
  <c r="R556"/>
  <c r="X556" s="1"/>
  <c r="AB556" s="1"/>
  <c r="AE556" s="1"/>
  <c r="T18" i="55"/>
  <c r="D562" i="53"/>
  <c r="CE19" i="55"/>
  <c r="I562" i="53"/>
  <c r="BK557" i="1" l="1"/>
  <c r="BO557"/>
  <c r="AR539" i="38"/>
  <c r="AS539" s="1"/>
  <c r="AU539" s="1"/>
  <c r="AV539" s="1"/>
  <c r="BA539" s="1"/>
  <c r="BB539" s="1"/>
  <c r="BH539" s="1"/>
  <c r="BJ539" s="1"/>
  <c r="P539" s="1"/>
  <c r="O539" s="1"/>
  <c r="D557" i="52"/>
  <c r="AU555" i="1"/>
  <c r="AR557"/>
  <c r="AQ557"/>
  <c r="B558" i="52"/>
  <c r="I558" s="1"/>
  <c r="AT556" i="1"/>
  <c r="AS556"/>
  <c r="CZ19" i="55"/>
  <c r="AN540" i="38"/>
  <c r="AO540"/>
  <c r="AP540" s="1"/>
  <c r="AQ540" s="1"/>
  <c r="J562" i="53"/>
  <c r="FK19" i="55" s="1"/>
  <c r="EP19"/>
  <c r="F561" i="52"/>
  <c r="A566" i="53"/>
  <c r="B567" s="1"/>
  <c r="L559" i="1"/>
  <c r="M558" s="1"/>
  <c r="B542" i="38"/>
  <c r="E559" i="1"/>
  <c r="C559"/>
  <c r="D559" s="1"/>
  <c r="K559"/>
  <c r="N559" s="1"/>
  <c r="B560"/>
  <c r="A559"/>
  <c r="A543" i="26"/>
  <c r="B543" s="1"/>
  <c r="AI558" i="1"/>
  <c r="AJ558"/>
  <c r="BC558"/>
  <c r="BA558" s="1"/>
  <c r="AM558"/>
  <c r="AL558"/>
  <c r="AC558"/>
  <c r="AK558"/>
  <c r="AH558"/>
  <c r="AO558"/>
  <c r="AP558" s="1"/>
  <c r="Z558"/>
  <c r="BD558"/>
  <c r="BE558" s="1"/>
  <c r="T558" s="1"/>
  <c r="BK538" i="38"/>
  <c r="AS538"/>
  <c r="AU538" s="1"/>
  <c r="AV538" s="1"/>
  <c r="BA538" s="1"/>
  <c r="BB538" s="1"/>
  <c r="BH538" s="1"/>
  <c r="BJ538" s="1"/>
  <c r="P538" s="1"/>
  <c r="O538" s="1"/>
  <c r="E560" i="52"/>
  <c r="AD558" i="1"/>
  <c r="AF558" s="1"/>
  <c r="T19" i="55"/>
  <c r="G564" i="53"/>
  <c r="BJ21" i="55"/>
  <c r="F564" i="53"/>
  <c r="U557" i="1"/>
  <c r="E541" i="38"/>
  <c r="D541"/>
  <c r="Z541"/>
  <c r="AA541" s="1"/>
  <c r="F541"/>
  <c r="AM541" s="1"/>
  <c r="CE20" i="55"/>
  <c r="D563" i="53"/>
  <c r="I563"/>
  <c r="B548" i="48"/>
  <c r="E547"/>
  <c r="X547" s="1"/>
  <c r="D547"/>
  <c r="W547" s="1"/>
  <c r="C547"/>
  <c r="DU20" i="55"/>
  <c r="H563" i="53"/>
  <c r="W557" i="1"/>
  <c r="R557"/>
  <c r="F546" i="48"/>
  <c r="Y546" s="1"/>
  <c r="V546"/>
  <c r="S558" i="1"/>
  <c r="V558"/>
  <c r="AA558"/>
  <c r="E565" i="53" s="1"/>
  <c r="P558" i="1"/>
  <c r="BO558" l="1"/>
  <c r="BK558"/>
  <c r="BK539" i="38"/>
  <c r="X557" i="1"/>
  <c r="AB557" s="1"/>
  <c r="AE557" s="1"/>
  <c r="B559" i="52"/>
  <c r="I559" s="1"/>
  <c r="AT557" i="1"/>
  <c r="AS557"/>
  <c r="AR558"/>
  <c r="AQ558"/>
  <c r="D558" i="52"/>
  <c r="AU556" i="1"/>
  <c r="G565" i="53"/>
  <c r="BJ22" i="55"/>
  <c r="F565" i="53"/>
  <c r="EP20" i="55"/>
  <c r="J563" i="53"/>
  <c r="FK20" i="55" s="1"/>
  <c r="CZ20"/>
  <c r="AN541" i="38"/>
  <c r="AO541"/>
  <c r="AP541" s="1"/>
  <c r="AQ541" s="1"/>
  <c r="D564" i="53"/>
  <c r="I564"/>
  <c r="CE21" i="55"/>
  <c r="F562" i="52"/>
  <c r="A544" i="26"/>
  <c r="B544" s="1"/>
  <c r="A560" i="1"/>
  <c r="B543" i="38"/>
  <c r="C560" i="1"/>
  <c r="D560" s="1"/>
  <c r="K560"/>
  <c r="N560" s="1"/>
  <c r="E560"/>
  <c r="L560"/>
  <c r="M559" s="1"/>
  <c r="B561"/>
  <c r="A567" i="53"/>
  <c r="B568" s="1"/>
  <c r="E542" i="38"/>
  <c r="D542"/>
  <c r="F542"/>
  <c r="AM542" s="1"/>
  <c r="Z542"/>
  <c r="AA542" s="1"/>
  <c r="E548" i="48"/>
  <c r="X548" s="1"/>
  <c r="D548"/>
  <c r="W548" s="1"/>
  <c r="C548"/>
  <c r="B549"/>
  <c r="T20" i="55"/>
  <c r="V559" i="1"/>
  <c r="S559"/>
  <c r="AA559"/>
  <c r="E566" i="53" s="1"/>
  <c r="P559" i="1"/>
  <c r="AR540" i="38"/>
  <c r="W558" i="1"/>
  <c r="R558"/>
  <c r="V547" i="48"/>
  <c r="F547"/>
  <c r="Y547" s="1"/>
  <c r="H564" i="53"/>
  <c r="DU21" i="55"/>
  <c r="U558" i="1"/>
  <c r="AL559"/>
  <c r="AH559"/>
  <c r="AO559"/>
  <c r="AP559" s="1"/>
  <c r="AJ559"/>
  <c r="AI559"/>
  <c r="AK559"/>
  <c r="Z559"/>
  <c r="BC559"/>
  <c r="BA559" s="1"/>
  <c r="AC559"/>
  <c r="AM559"/>
  <c r="BD559"/>
  <c r="BE559" s="1"/>
  <c r="T559" s="1"/>
  <c r="U559" s="1"/>
  <c r="E561" i="52"/>
  <c r="AD559" i="1"/>
  <c r="AF559" s="1"/>
  <c r="BO559" l="1"/>
  <c r="BK559"/>
  <c r="B560" i="52"/>
  <c r="I560" s="1"/>
  <c r="AT558" i="1"/>
  <c r="AS558"/>
  <c r="AR559"/>
  <c r="AQ559"/>
  <c r="AU557"/>
  <c r="D559" i="52"/>
  <c r="X558" i="1"/>
  <c r="AB558" s="1"/>
  <c r="AE558" s="1"/>
  <c r="AO542" i="38"/>
  <c r="AP542" s="1"/>
  <c r="AQ542" s="1"/>
  <c r="AN542"/>
  <c r="E561" i="1"/>
  <c r="F563" i="52"/>
  <c r="C561" i="1"/>
  <c r="D561" s="1"/>
  <c r="A568" i="53"/>
  <c r="B569" s="1"/>
  <c r="L561" i="1"/>
  <c r="M560" s="1"/>
  <c r="B544" i="38"/>
  <c r="K561" i="1"/>
  <c r="N561" s="1"/>
  <c r="B562"/>
  <c r="A545" i="26"/>
  <c r="B545" s="1"/>
  <c r="A561" i="1"/>
  <c r="CZ21" i="55"/>
  <c r="CE22"/>
  <c r="D565" i="53"/>
  <c r="I565"/>
  <c r="BK540" i="38"/>
  <c r="AS540"/>
  <c r="AU540" s="1"/>
  <c r="AV540" s="1"/>
  <c r="BA540" s="1"/>
  <c r="BB540" s="1"/>
  <c r="BH540" s="1"/>
  <c r="BJ540" s="1"/>
  <c r="P540" s="1"/>
  <c r="O540" s="1"/>
  <c r="D549" i="48"/>
  <c r="W549" s="1"/>
  <c r="C549"/>
  <c r="B550"/>
  <c r="E549"/>
  <c r="X549" s="1"/>
  <c r="Z543" i="38"/>
  <c r="AA543" s="1"/>
  <c r="E543"/>
  <c r="F543"/>
  <c r="AM543" s="1"/>
  <c r="D543"/>
  <c r="T21" i="55"/>
  <c r="R559" i="1"/>
  <c r="X559" s="1"/>
  <c r="AB559" s="1"/>
  <c r="AE559" s="1"/>
  <c r="W559"/>
  <c r="V548" i="48"/>
  <c r="F548"/>
  <c r="Y548" s="1"/>
  <c r="E562" i="52"/>
  <c r="AD560" i="1"/>
  <c r="AF560" s="1"/>
  <c r="AM560"/>
  <c r="AK560"/>
  <c r="AH560"/>
  <c r="AI560"/>
  <c r="AJ560"/>
  <c r="AL560"/>
  <c r="AC560"/>
  <c r="Z560"/>
  <c r="BC560"/>
  <c r="BA560" s="1"/>
  <c r="AO560"/>
  <c r="AP560" s="1"/>
  <c r="BD560"/>
  <c r="BE560" s="1"/>
  <c r="T560" s="1"/>
  <c r="AR541" i="38"/>
  <c r="H565" i="53"/>
  <c r="DU22" i="55"/>
  <c r="J564" i="53"/>
  <c r="FK21" i="55" s="1"/>
  <c r="EP21"/>
  <c r="BJ23"/>
  <c r="F566" i="53"/>
  <c r="G566"/>
  <c r="V560" i="1"/>
  <c r="S560"/>
  <c r="P560"/>
  <c r="AA560"/>
  <c r="E567" i="53" s="1"/>
  <c r="BK560" i="1" l="1"/>
  <c r="BO560"/>
  <c r="AR542" i="38"/>
  <c r="AR560" i="1"/>
  <c r="AQ560"/>
  <c r="AT559"/>
  <c r="B561" i="52"/>
  <c r="I561" s="1"/>
  <c r="AS559" i="1"/>
  <c r="D560" i="52"/>
  <c r="AU558" i="1"/>
  <c r="BJ24" i="55"/>
  <c r="F567" i="53"/>
  <c r="G567"/>
  <c r="H566"/>
  <c r="DU23" i="55"/>
  <c r="AO543" i="38"/>
  <c r="AP543" s="1"/>
  <c r="AQ543" s="1"/>
  <c r="AN543"/>
  <c r="AR543" s="1"/>
  <c r="F549" i="48"/>
  <c r="Y549" s="1"/>
  <c r="V549"/>
  <c r="P561" i="1"/>
  <c r="S561"/>
  <c r="AA561"/>
  <c r="E568" i="53" s="1"/>
  <c r="V561" i="1"/>
  <c r="W560"/>
  <c r="R560"/>
  <c r="AK561"/>
  <c r="AI561"/>
  <c r="BC561"/>
  <c r="BA561" s="1"/>
  <c r="AL561"/>
  <c r="AC561"/>
  <c r="AO561"/>
  <c r="AP561" s="1"/>
  <c r="AJ561"/>
  <c r="AH561"/>
  <c r="Z561"/>
  <c r="AM561"/>
  <c r="BD561"/>
  <c r="BE561" s="1"/>
  <c r="T561" s="1"/>
  <c r="U561" s="1"/>
  <c r="D544" i="38"/>
  <c r="Z544"/>
  <c r="AA544" s="1"/>
  <c r="E544"/>
  <c r="F544"/>
  <c r="AM544" s="1"/>
  <c r="EP22" i="55"/>
  <c r="J565" i="53"/>
  <c r="FK22" i="55" s="1"/>
  <c r="BK541" i="38"/>
  <c r="AS541"/>
  <c r="AU541" s="1"/>
  <c r="AV541" s="1"/>
  <c r="BA541" s="1"/>
  <c r="BB541" s="1"/>
  <c r="BH541" s="1"/>
  <c r="BJ541" s="1"/>
  <c r="P541" s="1"/>
  <c r="O541" s="1"/>
  <c r="U560" i="1"/>
  <c r="CZ22" i="55"/>
  <c r="E563" i="52"/>
  <c r="AD561" i="1"/>
  <c r="AF561" s="1"/>
  <c r="I566" i="53"/>
  <c r="CE23" i="55"/>
  <c r="D566" i="53"/>
  <c r="D550" i="48"/>
  <c r="W550" s="1"/>
  <c r="E550"/>
  <c r="X550" s="1"/>
  <c r="C550"/>
  <c r="B551"/>
  <c r="T22" i="55"/>
  <c r="F564" i="52"/>
  <c r="A569" i="53"/>
  <c r="B570" s="1"/>
  <c r="L562" i="1"/>
  <c r="M561" s="1"/>
  <c r="A546" i="26"/>
  <c r="B546" s="1"/>
  <c r="C562" i="1"/>
  <c r="D562" s="1"/>
  <c r="K562"/>
  <c r="N562" s="1"/>
  <c r="B545" i="38"/>
  <c r="A562" i="1"/>
  <c r="B563"/>
  <c r="E562"/>
  <c r="AS542" i="38"/>
  <c r="AU542" s="1"/>
  <c r="AV542" s="1"/>
  <c r="BA542" s="1"/>
  <c r="BB542" s="1"/>
  <c r="BH542" s="1"/>
  <c r="BJ542" s="1"/>
  <c r="P542" s="1"/>
  <c r="O542" s="1"/>
  <c r="BK542"/>
  <c r="BK561" i="1" l="1"/>
  <c r="BO561"/>
  <c r="AR561"/>
  <c r="AQ561"/>
  <c r="D561" i="52"/>
  <c r="AU559" i="1"/>
  <c r="B562" i="52"/>
  <c r="I562" s="1"/>
  <c r="AT560" i="1"/>
  <c r="AS560"/>
  <c r="AJ562"/>
  <c r="AL562"/>
  <c r="BC562"/>
  <c r="BA562" s="1"/>
  <c r="AK562"/>
  <c r="AC562"/>
  <c r="AM562"/>
  <c r="AH562"/>
  <c r="AO562"/>
  <c r="AP562" s="1"/>
  <c r="Z562"/>
  <c r="AI562"/>
  <c r="BD562"/>
  <c r="BE562" s="1"/>
  <c r="T562" s="1"/>
  <c r="BJ25" i="55"/>
  <c r="F568" i="53"/>
  <c r="G568"/>
  <c r="D545" i="38"/>
  <c r="E545"/>
  <c r="F545"/>
  <c r="AM545" s="1"/>
  <c r="Z545"/>
  <c r="AA545" s="1"/>
  <c r="C551" i="48"/>
  <c r="E551"/>
  <c r="X551" s="1"/>
  <c r="D551"/>
  <c r="W551" s="1"/>
  <c r="B552"/>
  <c r="CZ23" i="55"/>
  <c r="AN544" i="38"/>
  <c r="AO544"/>
  <c r="AP544" s="1"/>
  <c r="AQ544" s="1"/>
  <c r="BK543"/>
  <c r="AS543"/>
  <c r="AU543" s="1"/>
  <c r="AV543" s="1"/>
  <c r="BA543" s="1"/>
  <c r="BB543" s="1"/>
  <c r="BH543" s="1"/>
  <c r="BJ543" s="1"/>
  <c r="P543" s="1"/>
  <c r="O543" s="1"/>
  <c r="CE24" i="55"/>
  <c r="D567" i="53"/>
  <c r="I567"/>
  <c r="E564" i="52"/>
  <c r="AD562" i="1"/>
  <c r="AF562" s="1"/>
  <c r="V562"/>
  <c r="S562"/>
  <c r="AA562"/>
  <c r="E569" i="53" s="1"/>
  <c r="P562" i="1"/>
  <c r="F550" i="48"/>
  <c r="Y550" s="1"/>
  <c r="V550"/>
  <c r="X560" i="1"/>
  <c r="AB560" s="1"/>
  <c r="AE560" s="1"/>
  <c r="W561"/>
  <c r="R561"/>
  <c r="X561" s="1"/>
  <c r="AB561" s="1"/>
  <c r="AE561" s="1"/>
  <c r="J566" i="53"/>
  <c r="FK23" i="55" s="1"/>
  <c r="EP23"/>
  <c r="DU24"/>
  <c r="H567" i="53"/>
  <c r="A547" i="26"/>
  <c r="B547" s="1"/>
  <c r="L563" i="1"/>
  <c r="M562" s="1"/>
  <c r="C563"/>
  <c r="D563" s="1"/>
  <c r="A570" i="53"/>
  <c r="B571" s="1"/>
  <c r="B564" i="1"/>
  <c r="B546" i="38"/>
  <c r="A563" i="1"/>
  <c r="F565" i="52"/>
  <c r="K563" i="1"/>
  <c r="N563" s="1"/>
  <c r="E563"/>
  <c r="T23" i="55"/>
  <c r="BK562" i="1" l="1"/>
  <c r="BO562"/>
  <c r="AR562"/>
  <c r="AQ562"/>
  <c r="AU560"/>
  <c r="D562" i="52"/>
  <c r="B563"/>
  <c r="I563" s="1"/>
  <c r="AT561" i="1"/>
  <c r="AS561"/>
  <c r="V563"/>
  <c r="S563"/>
  <c r="P563"/>
  <c r="AA563"/>
  <c r="E570" i="53" s="1"/>
  <c r="F566" i="52"/>
  <c r="E564" i="1"/>
  <c r="C564"/>
  <c r="D564" s="1"/>
  <c r="A564"/>
  <c r="A571" i="53"/>
  <c r="B572" s="1"/>
  <c r="B565" i="1"/>
  <c r="L564"/>
  <c r="M563" s="1"/>
  <c r="B547" i="38"/>
  <c r="K564" i="1"/>
  <c r="N564" s="1"/>
  <c r="A548" i="26"/>
  <c r="B548" s="1"/>
  <c r="F551" i="48"/>
  <c r="Y551" s="1"/>
  <c r="V551"/>
  <c r="U562" i="1"/>
  <c r="D552" i="48"/>
  <c r="W552" s="1"/>
  <c r="C552"/>
  <c r="E552"/>
  <c r="X552" s="1"/>
  <c r="B553"/>
  <c r="AI563" i="1"/>
  <c r="AO563"/>
  <c r="AP563" s="1"/>
  <c r="AK563"/>
  <c r="Z563"/>
  <c r="AC563"/>
  <c r="AM563"/>
  <c r="AH563"/>
  <c r="BC563"/>
  <c r="BA563" s="1"/>
  <c r="AJ563"/>
  <c r="AL563"/>
  <c r="BD563"/>
  <c r="BE563" s="1"/>
  <c r="T563" s="1"/>
  <c r="U563" s="1"/>
  <c r="W562"/>
  <c r="R562"/>
  <c r="CZ24" i="55"/>
  <c r="AR544" i="38"/>
  <c r="AN545"/>
  <c r="AO545"/>
  <c r="AP545" s="1"/>
  <c r="AQ545" s="1"/>
  <c r="I568" i="53"/>
  <c r="D568"/>
  <c r="CE25" i="55"/>
  <c r="AD563" i="1"/>
  <c r="AF563" s="1"/>
  <c r="E565" i="52"/>
  <c r="E546" i="38"/>
  <c r="D546"/>
  <c r="F546"/>
  <c r="AM546" s="1"/>
  <c r="Z546"/>
  <c r="AA546" s="1"/>
  <c r="EP24" i="55"/>
  <c r="J567" i="53"/>
  <c r="FK24" i="55" s="1"/>
  <c r="BJ26"/>
  <c r="F569" i="53"/>
  <c r="G569"/>
  <c r="T24" i="55"/>
  <c r="DU25"/>
  <c r="H568" i="53"/>
  <c r="BK563" i="1" l="1"/>
  <c r="BO563"/>
  <c r="X562"/>
  <c r="AB562" s="1"/>
  <c r="AE562" s="1"/>
  <c r="AR563"/>
  <c r="AQ563"/>
  <c r="AU561"/>
  <c r="D563" i="52"/>
  <c r="B564"/>
  <c r="I564" s="1"/>
  <c r="AT562" i="1"/>
  <c r="AS562"/>
  <c r="EP25" i="55"/>
  <c r="J568" i="53"/>
  <c r="FK25" i="55" s="1"/>
  <c r="H569" i="53"/>
  <c r="DU26" i="55"/>
  <c r="CZ25"/>
  <c r="AR545" i="38"/>
  <c r="V564" i="1"/>
  <c r="P564"/>
  <c r="S564"/>
  <c r="AA564"/>
  <c r="E571" i="53" s="1"/>
  <c r="D553" i="48"/>
  <c r="W553" s="1"/>
  <c r="E553"/>
  <c r="X553" s="1"/>
  <c r="C553"/>
  <c r="B554"/>
  <c r="D547" i="38"/>
  <c r="Z547"/>
  <c r="AA547" s="1"/>
  <c r="E547"/>
  <c r="F547"/>
  <c r="AM547" s="1"/>
  <c r="AC564" i="1"/>
  <c r="AO564"/>
  <c r="AP564" s="1"/>
  <c r="AI564"/>
  <c r="AK564"/>
  <c r="AJ564"/>
  <c r="AH564"/>
  <c r="AM564"/>
  <c r="BC564"/>
  <c r="BA564" s="1"/>
  <c r="Z564"/>
  <c r="AL564"/>
  <c r="BD564"/>
  <c r="BE564" s="1"/>
  <c r="T564" s="1"/>
  <c r="BJ27" i="55"/>
  <c r="F570" i="53"/>
  <c r="G570"/>
  <c r="AO546" i="38"/>
  <c r="AP546" s="1"/>
  <c r="AQ546" s="1"/>
  <c r="AN546"/>
  <c r="BK544"/>
  <c r="AS544"/>
  <c r="AU544" s="1"/>
  <c r="AV544" s="1"/>
  <c r="BA544" s="1"/>
  <c r="BB544" s="1"/>
  <c r="BH544" s="1"/>
  <c r="BJ544" s="1"/>
  <c r="P544" s="1"/>
  <c r="O544" s="1"/>
  <c r="W563" i="1"/>
  <c r="R563"/>
  <c r="X563" s="1"/>
  <c r="AB563" s="1"/>
  <c r="AE563" s="1"/>
  <c r="CE26" i="55"/>
  <c r="I569" i="53"/>
  <c r="D569"/>
  <c r="T25" i="55"/>
  <c r="F552" i="48"/>
  <c r="Y552" s="1"/>
  <c r="V552"/>
  <c r="F567" i="52"/>
  <c r="C565" i="1"/>
  <c r="D565" s="1"/>
  <c r="E565"/>
  <c r="L565"/>
  <c r="M564" s="1"/>
  <c r="A572" i="53"/>
  <c r="B573" s="1"/>
  <c r="K565" i="1"/>
  <c r="N565" s="1"/>
  <c r="A565"/>
  <c r="A549" i="26"/>
  <c r="B549" s="1"/>
  <c r="B548" i="38"/>
  <c r="B566" i="1"/>
  <c r="AD564"/>
  <c r="AF564" s="1"/>
  <c r="E566" i="52"/>
  <c r="BK564" i="1" l="1"/>
  <c r="BO564"/>
  <c r="U564"/>
  <c r="AU562"/>
  <c r="D564" i="52"/>
  <c r="AR564" i="1"/>
  <c r="AQ564"/>
  <c r="B565" i="52"/>
  <c r="I565" s="1"/>
  <c r="AT563" i="1"/>
  <c r="AS563"/>
  <c r="BK545" i="38"/>
  <c r="AS545"/>
  <c r="AU545" s="1"/>
  <c r="AV545" s="1"/>
  <c r="BA545" s="1"/>
  <c r="BB545" s="1"/>
  <c r="BH545" s="1"/>
  <c r="BJ545" s="1"/>
  <c r="P545" s="1"/>
  <c r="O545" s="1"/>
  <c r="D548"/>
  <c r="Z548"/>
  <c r="AA548" s="1"/>
  <c r="E548"/>
  <c r="F548"/>
  <c r="AM548" s="1"/>
  <c r="Z565" i="1"/>
  <c r="AJ565"/>
  <c r="BC565"/>
  <c r="BA565" s="1"/>
  <c r="AL565"/>
  <c r="AM565"/>
  <c r="AI565"/>
  <c r="AO565"/>
  <c r="AP565" s="1"/>
  <c r="AH565"/>
  <c r="AK565"/>
  <c r="AC565"/>
  <c r="BD565"/>
  <c r="BE565" s="1"/>
  <c r="T565" s="1"/>
  <c r="E567" i="52"/>
  <c r="AD565" i="1"/>
  <c r="AF565" s="1"/>
  <c r="CE27" i="55"/>
  <c r="D570" i="53"/>
  <c r="I570"/>
  <c r="D554" i="48"/>
  <c r="W554" s="1"/>
  <c r="B555"/>
  <c r="E554"/>
  <c r="X554" s="1"/>
  <c r="C554"/>
  <c r="BJ28" i="55"/>
  <c r="F571" i="53"/>
  <c r="G571"/>
  <c r="F568" i="52"/>
  <c r="C566" i="1"/>
  <c r="D566" s="1"/>
  <c r="A550" i="26"/>
  <c r="B550" s="1"/>
  <c r="A573" i="53"/>
  <c r="B574" s="1"/>
  <c r="E566" i="1"/>
  <c r="L566"/>
  <c r="M565" s="1"/>
  <c r="A566"/>
  <c r="B567"/>
  <c r="K566"/>
  <c r="N566" s="1"/>
  <c r="B549" i="38"/>
  <c r="S565" i="1"/>
  <c r="V565"/>
  <c r="P565"/>
  <c r="AA565"/>
  <c r="E572" i="53" s="1"/>
  <c r="T26" i="55"/>
  <c r="DU27"/>
  <c r="H570" i="53"/>
  <c r="V553" i="48"/>
  <c r="F553"/>
  <c r="Y553" s="1"/>
  <c r="CZ26" i="55"/>
  <c r="AR546" i="38"/>
  <c r="AN547"/>
  <c r="AO547"/>
  <c r="AP547" s="1"/>
  <c r="AQ547" s="1"/>
  <c r="W564" i="1"/>
  <c r="R564"/>
  <c r="X564" s="1"/>
  <c r="AB564" s="1"/>
  <c r="AE564" s="1"/>
  <c r="J569" i="53"/>
  <c r="FK26" i="55" s="1"/>
  <c r="EP26"/>
  <c r="AR547" i="38" l="1"/>
  <c r="AS547" s="1"/>
  <c r="AU547" s="1"/>
  <c r="AV547" s="1"/>
  <c r="BA547" s="1"/>
  <c r="BB547" s="1"/>
  <c r="BH547" s="1"/>
  <c r="BJ547" s="1"/>
  <c r="P547" s="1"/>
  <c r="O547" s="1"/>
  <c r="BK565" i="1"/>
  <c r="BO565"/>
  <c r="D565" i="52"/>
  <c r="AU563" i="1"/>
  <c r="B566" i="52"/>
  <c r="I566" s="1"/>
  <c r="AT564" i="1"/>
  <c r="AS564"/>
  <c r="AR565"/>
  <c r="AQ565"/>
  <c r="F569" i="52"/>
  <c r="A551" i="26"/>
  <c r="B551" s="1"/>
  <c r="C567" i="1"/>
  <c r="D567" s="1"/>
  <c r="E567"/>
  <c r="L567"/>
  <c r="M566" s="1"/>
  <c r="A567"/>
  <c r="K567"/>
  <c r="N567" s="1"/>
  <c r="A574" i="53"/>
  <c r="B575" s="1"/>
  <c r="B550" i="38"/>
  <c r="B568" i="1"/>
  <c r="CE28" i="55"/>
  <c r="D571" i="53"/>
  <c r="I571"/>
  <c r="C555" i="48"/>
  <c r="D555"/>
  <c r="W555" s="1"/>
  <c r="E555"/>
  <c r="X555" s="1"/>
  <c r="B556"/>
  <c r="T27" i="55"/>
  <c r="AI566" i="1"/>
  <c r="AK566"/>
  <c r="AL566"/>
  <c r="AM566"/>
  <c r="Z566"/>
  <c r="AH566"/>
  <c r="AO566"/>
  <c r="AP566" s="1"/>
  <c r="BC566"/>
  <c r="BA566" s="1"/>
  <c r="AJ566"/>
  <c r="AC566"/>
  <c r="BD566"/>
  <c r="BE566" s="1"/>
  <c r="T566" s="1"/>
  <c r="DU28" i="55"/>
  <c r="H571" i="53"/>
  <c r="BJ29" i="55"/>
  <c r="F572" i="53"/>
  <c r="G572"/>
  <c r="D549" i="38"/>
  <c r="Z549"/>
  <c r="AA549" s="1"/>
  <c r="F549"/>
  <c r="AM549" s="1"/>
  <c r="E549"/>
  <c r="V554" i="48"/>
  <c r="F554"/>
  <c r="Y554" s="1"/>
  <c r="BK546" i="38"/>
  <c r="AS546"/>
  <c r="AU546" s="1"/>
  <c r="AV546" s="1"/>
  <c r="BA546" s="1"/>
  <c r="BB546" s="1"/>
  <c r="BH546" s="1"/>
  <c r="BJ546" s="1"/>
  <c r="P546" s="1"/>
  <c r="O546" s="1"/>
  <c r="J570" i="53"/>
  <c r="FK27" i="55" s="1"/>
  <c r="EP27"/>
  <c r="W565" i="1"/>
  <c r="R565"/>
  <c r="AA566"/>
  <c r="E573" i="53" s="1"/>
  <c r="V566" i="1"/>
  <c r="P566"/>
  <c r="S566"/>
  <c r="E568" i="52"/>
  <c r="AD566" i="1"/>
  <c r="AF566" s="1"/>
  <c r="CZ27" i="55"/>
  <c r="U565" i="1"/>
  <c r="AO548" i="38"/>
  <c r="AP548" s="1"/>
  <c r="AQ548" s="1"/>
  <c r="AN548"/>
  <c r="BK547" l="1"/>
  <c r="BO566" i="1"/>
  <c r="BK566"/>
  <c r="AR566"/>
  <c r="AQ566"/>
  <c r="B567" i="52"/>
  <c r="I567" s="1"/>
  <c r="AT565" i="1"/>
  <c r="AS565"/>
  <c r="D566" i="52"/>
  <c r="AU564" i="1"/>
  <c r="J571" i="53"/>
  <c r="FK28" i="55" s="1"/>
  <c r="EP28"/>
  <c r="E556" i="48"/>
  <c r="X556" s="1"/>
  <c r="D556"/>
  <c r="W556" s="1"/>
  <c r="B557"/>
  <c r="C556"/>
  <c r="E569" i="52"/>
  <c r="AD567" i="1"/>
  <c r="AF567" s="1"/>
  <c r="F573" i="53"/>
  <c r="G573"/>
  <c r="BJ30" i="55"/>
  <c r="AO549" i="38"/>
  <c r="AP549" s="1"/>
  <c r="AQ549" s="1"/>
  <c r="AN549"/>
  <c r="D572" i="53"/>
  <c r="CE29" i="55"/>
  <c r="I572" i="53"/>
  <c r="CZ28" i="55"/>
  <c r="S567" i="1"/>
  <c r="V567"/>
  <c r="P567"/>
  <c r="AA567"/>
  <c r="E574" i="53" s="1"/>
  <c r="X565" i="1"/>
  <c r="AB565" s="1"/>
  <c r="AE565" s="1"/>
  <c r="DU29" i="55"/>
  <c r="H572" i="53"/>
  <c r="T28" i="55"/>
  <c r="E568" i="1"/>
  <c r="F570" i="52"/>
  <c r="L568" i="1"/>
  <c r="M567" s="1"/>
  <c r="C568"/>
  <c r="D568" s="1"/>
  <c r="B551" i="38"/>
  <c r="A575" i="53"/>
  <c r="B576" s="1"/>
  <c r="A568" i="1"/>
  <c r="B569"/>
  <c r="A552" i="26"/>
  <c r="B552" s="1"/>
  <c r="K568" i="1"/>
  <c r="N568" s="1"/>
  <c r="AI567"/>
  <c r="AH567"/>
  <c r="AJ567"/>
  <c r="AK567"/>
  <c r="AO567"/>
  <c r="AP567" s="1"/>
  <c r="AL567"/>
  <c r="Z567"/>
  <c r="BC567"/>
  <c r="BA567" s="1"/>
  <c r="AC567"/>
  <c r="AM567"/>
  <c r="BD567"/>
  <c r="BE567" s="1"/>
  <c r="T567" s="1"/>
  <c r="AR548" i="38"/>
  <c r="W566" i="1"/>
  <c r="R566"/>
  <c r="U566"/>
  <c r="V555" i="48"/>
  <c r="F555"/>
  <c r="Y555" s="1"/>
  <c r="D550" i="38"/>
  <c r="E550"/>
  <c r="Z550"/>
  <c r="AA550" s="1"/>
  <c r="F550"/>
  <c r="AM550" s="1"/>
  <c r="BO567" i="1" l="1"/>
  <c r="BK567"/>
  <c r="U567"/>
  <c r="AR567"/>
  <c r="AQ567"/>
  <c r="AU565"/>
  <c r="D567" i="52"/>
  <c r="B568"/>
  <c r="I568" s="1"/>
  <c r="AT566" i="1"/>
  <c r="AS566"/>
  <c r="X566"/>
  <c r="AB566" s="1"/>
  <c r="AE566" s="1"/>
  <c r="D551" i="38"/>
  <c r="E551"/>
  <c r="Z551"/>
  <c r="AA551" s="1"/>
  <c r="F551"/>
  <c r="AM551" s="1"/>
  <c r="AD568" i="1"/>
  <c r="AF568" s="1"/>
  <c r="E570" i="52"/>
  <c r="CZ29" i="55"/>
  <c r="BK548" i="38"/>
  <c r="AS548"/>
  <c r="AU548" s="1"/>
  <c r="AV548" s="1"/>
  <c r="BA548" s="1"/>
  <c r="BB548" s="1"/>
  <c r="BH548" s="1"/>
  <c r="BJ548" s="1"/>
  <c r="P548" s="1"/>
  <c r="O548" s="1"/>
  <c r="L569" i="1"/>
  <c r="M568" s="1"/>
  <c r="E569"/>
  <c r="F571" i="52"/>
  <c r="C569" i="1"/>
  <c r="D569" s="1"/>
  <c r="A553" i="26"/>
  <c r="B553" s="1"/>
  <c r="A576" i="53"/>
  <c r="B577" s="1"/>
  <c r="B552" i="38"/>
  <c r="K569" i="1"/>
  <c r="N569" s="1"/>
  <c r="B570"/>
  <c r="A569"/>
  <c r="I573" i="53"/>
  <c r="D573"/>
  <c r="CE30" i="55"/>
  <c r="AH568" i="1"/>
  <c r="AO568"/>
  <c r="AP568" s="1"/>
  <c r="AI568"/>
  <c r="Z568"/>
  <c r="AK568"/>
  <c r="AL568"/>
  <c r="BC568"/>
  <c r="BA568" s="1"/>
  <c r="AM568"/>
  <c r="AC568"/>
  <c r="AJ568"/>
  <c r="BD568"/>
  <c r="BE568" s="1"/>
  <c r="T568" s="1"/>
  <c r="EP29" i="55"/>
  <c r="J572" i="53"/>
  <c r="FK29" i="55" s="1"/>
  <c r="BJ31"/>
  <c r="G574" i="53"/>
  <c r="F574"/>
  <c r="T29" i="55"/>
  <c r="AR549" i="38"/>
  <c r="H573" i="53"/>
  <c r="DU30" i="55"/>
  <c r="V556" i="48"/>
  <c r="F556"/>
  <c r="Y556" s="1"/>
  <c r="AO550" i="38"/>
  <c r="AP550" s="1"/>
  <c r="AQ550" s="1"/>
  <c r="AN550"/>
  <c r="AR550" s="1"/>
  <c r="P568" i="1"/>
  <c r="V568"/>
  <c r="S568"/>
  <c r="AA568"/>
  <c r="E575" i="53" s="1"/>
  <c r="W567" i="1"/>
  <c r="R567"/>
  <c r="B558" i="48"/>
  <c r="E557"/>
  <c r="X557" s="1"/>
  <c r="C557"/>
  <c r="D557"/>
  <c r="W557" s="1"/>
  <c r="BO568" i="1" l="1"/>
  <c r="BK568"/>
  <c r="X567"/>
  <c r="AB567" s="1"/>
  <c r="AE567" s="1"/>
  <c r="AU566"/>
  <c r="D568" i="52"/>
  <c r="AR568" i="1"/>
  <c r="AQ568"/>
  <c r="B569" i="52"/>
  <c r="I569" s="1"/>
  <c r="AT567" i="1"/>
  <c r="AS567"/>
  <c r="BJ32" i="55"/>
  <c r="BJ35" s="1"/>
  <c r="G575" i="53"/>
  <c r="F575"/>
  <c r="BK550" i="38"/>
  <c r="AS550"/>
  <c r="AU550" s="1"/>
  <c r="AV550" s="1"/>
  <c r="BA550" s="1"/>
  <c r="BB550" s="1"/>
  <c r="BH550" s="1"/>
  <c r="BJ550" s="1"/>
  <c r="P550" s="1"/>
  <c r="O550" s="1"/>
  <c r="H574" i="53"/>
  <c r="DU31" i="55"/>
  <c r="AH569" i="1"/>
  <c r="AM569"/>
  <c r="BC569"/>
  <c r="BA569" s="1"/>
  <c r="AI569"/>
  <c r="AC569"/>
  <c r="AJ569"/>
  <c r="AL569"/>
  <c r="AK569"/>
  <c r="AO569"/>
  <c r="AP569" s="1"/>
  <c r="Z569"/>
  <c r="BD569"/>
  <c r="BE569" s="1"/>
  <c r="T569" s="1"/>
  <c r="E571" i="52"/>
  <c r="AD569" i="1"/>
  <c r="AF569" s="1"/>
  <c r="AO551" i="38"/>
  <c r="AP551" s="1"/>
  <c r="AQ551" s="1"/>
  <c r="AN551"/>
  <c r="F557" i="48"/>
  <c r="Y557" s="1"/>
  <c r="V557"/>
  <c r="I574" i="53"/>
  <c r="CZ31" i="55" s="1"/>
  <c r="D574" i="53"/>
  <c r="CE31" i="55"/>
  <c r="F572" i="52"/>
  <c r="E570" i="1"/>
  <c r="A577" i="53"/>
  <c r="B578" s="1"/>
  <c r="A554" i="26"/>
  <c r="B554" s="1"/>
  <c r="C570" i="1"/>
  <c r="D570" s="1"/>
  <c r="L570"/>
  <c r="M569" s="1"/>
  <c r="B571"/>
  <c r="K570"/>
  <c r="N570" s="1"/>
  <c r="B553" i="38"/>
  <c r="A570" i="1"/>
  <c r="C558" i="48"/>
  <c r="D558"/>
  <c r="W558" s="1"/>
  <c r="E558"/>
  <c r="X558" s="1"/>
  <c r="B559"/>
  <c r="BK549" i="38"/>
  <c r="AS549"/>
  <c r="AU549" s="1"/>
  <c r="AV549" s="1"/>
  <c r="BA549" s="1"/>
  <c r="BB549" s="1"/>
  <c r="BH549" s="1"/>
  <c r="BJ549" s="1"/>
  <c r="P549" s="1"/>
  <c r="O549" s="1"/>
  <c r="T30" i="55"/>
  <c r="V569" i="1"/>
  <c r="AA569"/>
  <c r="E576" i="53" s="1"/>
  <c r="S569" i="1"/>
  <c r="P569"/>
  <c r="W568"/>
  <c r="R568"/>
  <c r="EP30" i="55"/>
  <c r="J573" i="53"/>
  <c r="FK30" i="55" s="1"/>
  <c r="U568" i="1"/>
  <c r="CZ30" i="55"/>
  <c r="E552" i="38"/>
  <c r="Z552"/>
  <c r="AA552" s="1"/>
  <c r="D552"/>
  <c r="F552"/>
  <c r="AM552" s="1"/>
  <c r="BO569" i="1" l="1"/>
  <c r="BK569"/>
  <c r="AU567"/>
  <c r="D569" i="52"/>
  <c r="B570"/>
  <c r="I570" s="1"/>
  <c r="AT568" i="1"/>
  <c r="AS568"/>
  <c r="AR569"/>
  <c r="AQ569"/>
  <c r="E559" i="48"/>
  <c r="X559" s="1"/>
  <c r="C559"/>
  <c r="B560"/>
  <c r="D559"/>
  <c r="W559" s="1"/>
  <c r="AJ570" i="1"/>
  <c r="AH570"/>
  <c r="AC570"/>
  <c r="AO570"/>
  <c r="AP570" s="1"/>
  <c r="AL570"/>
  <c r="AI570"/>
  <c r="AK570"/>
  <c r="BC570"/>
  <c r="BA570" s="1"/>
  <c r="Z570"/>
  <c r="AM570"/>
  <c r="BD570"/>
  <c r="BE570" s="1"/>
  <c r="T570" s="1"/>
  <c r="E572" i="52"/>
  <c r="AD570" i="1"/>
  <c r="AF570" s="1"/>
  <c r="AN552" i="38"/>
  <c r="AO552"/>
  <c r="AP552" s="1"/>
  <c r="AQ552" s="1"/>
  <c r="W569" i="1"/>
  <c r="R569"/>
  <c r="D553" i="38"/>
  <c r="F553"/>
  <c r="AM553" s="1"/>
  <c r="E553"/>
  <c r="Z553"/>
  <c r="AA553" s="1"/>
  <c r="J574" i="53"/>
  <c r="FK31" i="55" s="1"/>
  <c r="EP31"/>
  <c r="S570" i="1"/>
  <c r="P570"/>
  <c r="V570"/>
  <c r="AA570"/>
  <c r="E577" i="53" s="1"/>
  <c r="T31" i="55"/>
  <c r="AR551" i="38"/>
  <c r="DU32" i="55"/>
  <c r="DU35" s="1"/>
  <c r="H575" i="53"/>
  <c r="X568" i="1"/>
  <c r="AB568" s="1"/>
  <c r="AE568" s="1"/>
  <c r="G576" i="53"/>
  <c r="BK3" i="55"/>
  <c r="F576" i="53"/>
  <c r="V558" i="48"/>
  <c r="F558"/>
  <c r="Y558" s="1"/>
  <c r="F573" i="52"/>
  <c r="A555" i="26"/>
  <c r="B555" s="1"/>
  <c r="A578" i="53"/>
  <c r="B579" s="1"/>
  <c r="C571" i="1"/>
  <c r="D571" s="1"/>
  <c r="L571"/>
  <c r="M570" s="1"/>
  <c r="A571"/>
  <c r="B554" i="38"/>
  <c r="B572" i="1"/>
  <c r="K571"/>
  <c r="N571" s="1"/>
  <c r="E571"/>
  <c r="U569"/>
  <c r="I575" i="53"/>
  <c r="CE32" i="55"/>
  <c r="CE35" s="1"/>
  <c r="D575" i="53"/>
  <c r="BO570" i="1" l="1"/>
  <c r="BK570"/>
  <c r="B571" i="52"/>
  <c r="I571" s="1"/>
  <c r="AT569" i="1"/>
  <c r="AS569"/>
  <c r="AR570"/>
  <c r="AQ570"/>
  <c r="D570" i="52"/>
  <c r="AU568" i="1"/>
  <c r="E554" i="38"/>
  <c r="Z554"/>
  <c r="AA554" s="1"/>
  <c r="F554"/>
  <c r="AM554" s="1"/>
  <c r="D554"/>
  <c r="AO553"/>
  <c r="AP553" s="1"/>
  <c r="AQ553" s="1"/>
  <c r="AN553"/>
  <c r="V559" i="48"/>
  <c r="F559"/>
  <c r="Y559" s="1"/>
  <c r="T32" i="55"/>
  <c r="T35" s="1"/>
  <c r="E573" i="52"/>
  <c r="AD571" i="1"/>
  <c r="AF571" s="1"/>
  <c r="AJ571"/>
  <c r="AL571"/>
  <c r="Z571"/>
  <c r="AI571"/>
  <c r="AC571"/>
  <c r="AM571"/>
  <c r="AK571"/>
  <c r="BC571"/>
  <c r="BA571" s="1"/>
  <c r="AO571"/>
  <c r="AP571" s="1"/>
  <c r="AH571"/>
  <c r="BD571"/>
  <c r="BE571" s="1"/>
  <c r="T571" s="1"/>
  <c r="DV3" i="55"/>
  <c r="H576" i="53"/>
  <c r="J575"/>
  <c r="FK32" i="55" s="1"/>
  <c r="EP32"/>
  <c r="EP35" s="1"/>
  <c r="BK4"/>
  <c r="G577" i="53"/>
  <c r="F577"/>
  <c r="S571" i="1"/>
  <c r="AA571"/>
  <c r="E578" i="53" s="1"/>
  <c r="V571" i="1"/>
  <c r="P571"/>
  <c r="AS551" i="38"/>
  <c r="AU551" s="1"/>
  <c r="AV551" s="1"/>
  <c r="BA551" s="1"/>
  <c r="BB551" s="1"/>
  <c r="BH551" s="1"/>
  <c r="BJ551" s="1"/>
  <c r="P551" s="1"/>
  <c r="O551" s="1"/>
  <c r="BK551"/>
  <c r="AR552"/>
  <c r="U570" i="1"/>
  <c r="CZ32" i="55"/>
  <c r="A579" i="53"/>
  <c r="B580" s="1"/>
  <c r="E572" i="1"/>
  <c r="F574" i="52"/>
  <c r="A556" i="26"/>
  <c r="B556" s="1"/>
  <c r="L572" i="1"/>
  <c r="M571" s="1"/>
  <c r="B573"/>
  <c r="C572"/>
  <c r="D572" s="1"/>
  <c r="A572"/>
  <c r="B555" i="38"/>
  <c r="K572" i="1"/>
  <c r="N572" s="1"/>
  <c r="CF3" i="55"/>
  <c r="I576" i="53"/>
  <c r="DA3" i="55" s="1"/>
  <c r="D576" i="53"/>
  <c r="U3" i="55" s="1"/>
  <c r="W570" i="1"/>
  <c r="R570"/>
  <c r="X569"/>
  <c r="AB569" s="1"/>
  <c r="AE569" s="1"/>
  <c r="E560" i="48"/>
  <c r="X560" s="1"/>
  <c r="D560"/>
  <c r="W560" s="1"/>
  <c r="C560"/>
  <c r="B561"/>
  <c r="BK571" i="1" l="1"/>
  <c r="BO571"/>
  <c r="X570"/>
  <c r="AB570" s="1"/>
  <c r="AE570" s="1"/>
  <c r="B572" i="52"/>
  <c r="I572" s="1"/>
  <c r="AT570" i="1"/>
  <c r="AS570"/>
  <c r="AU569"/>
  <c r="D571" i="52"/>
  <c r="AR571" i="1"/>
  <c r="AQ571"/>
  <c r="D561" i="48"/>
  <c r="W561" s="1"/>
  <c r="E561"/>
  <c r="X561" s="1"/>
  <c r="B562"/>
  <c r="C561"/>
  <c r="AH572" i="1"/>
  <c r="AM572"/>
  <c r="BC572"/>
  <c r="BA572" s="1"/>
  <c r="Z572"/>
  <c r="AL572"/>
  <c r="AO572"/>
  <c r="AP572" s="1"/>
  <c r="AK572"/>
  <c r="AJ572"/>
  <c r="AC572"/>
  <c r="AI572"/>
  <c r="BD572"/>
  <c r="BE572" s="1"/>
  <c r="T572" s="1"/>
  <c r="J576" i="53"/>
  <c r="FL3" i="55" s="1"/>
  <c r="EQ3"/>
  <c r="AO554" i="38"/>
  <c r="AP554" s="1"/>
  <c r="AQ554" s="1"/>
  <c r="AN554"/>
  <c r="W571" i="1"/>
  <c r="R571"/>
  <c r="AR553" i="38"/>
  <c r="V572" i="1"/>
  <c r="P572"/>
  <c r="S572"/>
  <c r="AA572"/>
  <c r="E579" i="53" s="1"/>
  <c r="F575" i="52"/>
  <c r="A573" i="1"/>
  <c r="E573"/>
  <c r="A580" i="53"/>
  <c r="B581" s="1"/>
  <c r="A557" i="26"/>
  <c r="B557" s="1"/>
  <c r="C573" i="1"/>
  <c r="D573" s="1"/>
  <c r="K573"/>
  <c r="N573" s="1"/>
  <c r="B556" i="38"/>
  <c r="L573" i="1"/>
  <c r="M572" s="1"/>
  <c r="B574"/>
  <c r="AD572"/>
  <c r="AF572" s="1"/>
  <c r="E574" i="52"/>
  <c r="BK552" i="38"/>
  <c r="AS552"/>
  <c r="AU552" s="1"/>
  <c r="AV552" s="1"/>
  <c r="BA552" s="1"/>
  <c r="BB552" s="1"/>
  <c r="BH552" s="1"/>
  <c r="BJ552" s="1"/>
  <c r="P552" s="1"/>
  <c r="O552" s="1"/>
  <c r="DV4" i="55"/>
  <c r="H577" i="53"/>
  <c r="U571" i="1"/>
  <c r="V560" i="48"/>
  <c r="F560"/>
  <c r="Y560" s="1"/>
  <c r="E555" i="38"/>
  <c r="Z555"/>
  <c r="AA555" s="1"/>
  <c r="D555"/>
  <c r="F555"/>
  <c r="AM555" s="1"/>
  <c r="BK5" i="55"/>
  <c r="G578" i="53"/>
  <c r="F578"/>
  <c r="CF4" i="55"/>
  <c r="I577" i="53"/>
  <c r="D577"/>
  <c r="BK572" i="1" l="1"/>
  <c r="BO572"/>
  <c r="AT571"/>
  <c r="B573" i="52"/>
  <c r="I573" s="1"/>
  <c r="AS571" i="1"/>
  <c r="AU570"/>
  <c r="D572" i="52"/>
  <c r="AR572" i="1"/>
  <c r="AQ572"/>
  <c r="DA4" i="55"/>
  <c r="DV5"/>
  <c r="H578" i="53"/>
  <c r="E556" i="38"/>
  <c r="D556"/>
  <c r="Z556"/>
  <c r="AA556" s="1"/>
  <c r="F556"/>
  <c r="AM556" s="1"/>
  <c r="BK6" i="55"/>
  <c r="F579" i="53"/>
  <c r="G579"/>
  <c r="CF5" i="55"/>
  <c r="I578" i="53"/>
  <c r="D578"/>
  <c r="EQ4" i="55"/>
  <c r="J577" i="53"/>
  <c r="FL4" i="55" s="1"/>
  <c r="S573" i="1"/>
  <c r="V573"/>
  <c r="AA573"/>
  <c r="E580" i="53" s="1"/>
  <c r="P573" i="1"/>
  <c r="E575" i="52"/>
  <c r="AD573" i="1"/>
  <c r="AF573" s="1"/>
  <c r="X571"/>
  <c r="AB571" s="1"/>
  <c r="AE571" s="1"/>
  <c r="AR554" i="38"/>
  <c r="L574" i="1"/>
  <c r="M573" s="1"/>
  <c r="F576" i="52"/>
  <c r="E574" i="1"/>
  <c r="A581" i="53"/>
  <c r="B582" s="1"/>
  <c r="C574" i="1"/>
  <c r="D574" s="1"/>
  <c r="A558" i="26"/>
  <c r="B558" s="1"/>
  <c r="A574" i="1"/>
  <c r="K574"/>
  <c r="N574" s="1"/>
  <c r="B557" i="38"/>
  <c r="B575" i="1"/>
  <c r="AK573"/>
  <c r="AI573"/>
  <c r="BC573"/>
  <c r="BA573" s="1"/>
  <c r="AO573"/>
  <c r="AP573" s="1"/>
  <c r="AH573"/>
  <c r="AC573"/>
  <c r="Z573"/>
  <c r="AM573"/>
  <c r="AL573"/>
  <c r="AJ573"/>
  <c r="BD573"/>
  <c r="BE573" s="1"/>
  <c r="T573" s="1"/>
  <c r="W572"/>
  <c r="R572"/>
  <c r="V561" i="48"/>
  <c r="F561"/>
  <c r="Y561" s="1"/>
  <c r="U4" i="55"/>
  <c r="AO555" i="38"/>
  <c r="AP555" s="1"/>
  <c r="AQ555" s="1"/>
  <c r="AN555"/>
  <c r="BK553"/>
  <c r="AS553"/>
  <c r="AU553" s="1"/>
  <c r="AV553" s="1"/>
  <c r="BA553" s="1"/>
  <c r="BB553" s="1"/>
  <c r="BH553" s="1"/>
  <c r="BJ553" s="1"/>
  <c r="P553" s="1"/>
  <c r="O553" s="1"/>
  <c r="U572" i="1"/>
  <c r="C562" i="48"/>
  <c r="D562"/>
  <c r="W562" s="1"/>
  <c r="B563"/>
  <c r="E562"/>
  <c r="X562" s="1"/>
  <c r="AR555" i="38" l="1"/>
  <c r="AS555" s="1"/>
  <c r="AU555" s="1"/>
  <c r="AV555" s="1"/>
  <c r="BA555" s="1"/>
  <c r="BB555" s="1"/>
  <c r="BH555" s="1"/>
  <c r="BJ555" s="1"/>
  <c r="P555" s="1"/>
  <c r="O555" s="1"/>
  <c r="BK573" i="1"/>
  <c r="BO573"/>
  <c r="U573"/>
  <c r="AR573"/>
  <c r="AQ573"/>
  <c r="D573" i="52"/>
  <c r="AU571" i="1"/>
  <c r="B574" i="52"/>
  <c r="I574" s="1"/>
  <c r="AT572" i="1"/>
  <c r="AS572"/>
  <c r="D563" i="48"/>
  <c r="W563" s="1"/>
  <c r="C563"/>
  <c r="E563"/>
  <c r="X563" s="1"/>
  <c r="B564"/>
  <c r="X572" i="1"/>
  <c r="AB572" s="1"/>
  <c r="AE572" s="1"/>
  <c r="AH574"/>
  <c r="AO574"/>
  <c r="AP574" s="1"/>
  <c r="BC574"/>
  <c r="BA574" s="1"/>
  <c r="AL574"/>
  <c r="AK574"/>
  <c r="AM574"/>
  <c r="AC574"/>
  <c r="AI574"/>
  <c r="Z574"/>
  <c r="AJ574"/>
  <c r="BD574"/>
  <c r="BE574" s="1"/>
  <c r="T574" s="1"/>
  <c r="AD574"/>
  <c r="AF574" s="1"/>
  <c r="E576" i="52"/>
  <c r="D579" i="53"/>
  <c r="CF6" i="55"/>
  <c r="I579" i="53"/>
  <c r="F562" i="48"/>
  <c r="Y562" s="1"/>
  <c r="V562"/>
  <c r="A582" i="53"/>
  <c r="B583" s="1"/>
  <c r="L575" i="1"/>
  <c r="M574" s="1"/>
  <c r="C575"/>
  <c r="D575" s="1"/>
  <c r="F577" i="52"/>
  <c r="A575" i="1"/>
  <c r="E575"/>
  <c r="A559" i="26"/>
  <c r="B559" s="1"/>
  <c r="B558" i="38"/>
  <c r="K575" i="1"/>
  <c r="N575" s="1"/>
  <c r="B576"/>
  <c r="DV6" i="55"/>
  <c r="H579" i="53"/>
  <c r="E557" i="38"/>
  <c r="Z557"/>
  <c r="AA557" s="1"/>
  <c r="D557"/>
  <c r="F557"/>
  <c r="AM557" s="1"/>
  <c r="W573" i="1"/>
  <c r="R573"/>
  <c r="U5" i="55"/>
  <c r="S574" i="1"/>
  <c r="P574"/>
  <c r="V574"/>
  <c r="AA574"/>
  <c r="E581" i="53" s="1"/>
  <c r="BK554" i="38"/>
  <c r="AS554"/>
  <c r="AU554" s="1"/>
  <c r="AV554" s="1"/>
  <c r="BA554" s="1"/>
  <c r="BB554" s="1"/>
  <c r="BH554" s="1"/>
  <c r="BJ554" s="1"/>
  <c r="P554" s="1"/>
  <c r="O554" s="1"/>
  <c r="F580" i="53"/>
  <c r="BK7" i="55"/>
  <c r="G580" i="53"/>
  <c r="DA5" i="55"/>
  <c r="AO556" i="38"/>
  <c r="AP556" s="1"/>
  <c r="AQ556" s="1"/>
  <c r="AN556"/>
  <c r="EQ5" i="55"/>
  <c r="J578" i="53"/>
  <c r="FL5" i="55" s="1"/>
  <c r="X573" i="1" l="1"/>
  <c r="AB573" s="1"/>
  <c r="AE573" s="1"/>
  <c r="BK555" i="38"/>
  <c r="BO574" i="1"/>
  <c r="BK574"/>
  <c r="AR574"/>
  <c r="AQ574"/>
  <c r="AU572"/>
  <c r="D574" i="52"/>
  <c r="B575"/>
  <c r="I575" s="1"/>
  <c r="AT573" i="1"/>
  <c r="AS573"/>
  <c r="AO557" i="38"/>
  <c r="AP557" s="1"/>
  <c r="AQ557" s="1"/>
  <c r="AN557"/>
  <c r="L576" i="1"/>
  <c r="M575" s="1"/>
  <c r="F578" i="52"/>
  <c r="E576" i="1"/>
  <c r="C576"/>
  <c r="D576" s="1"/>
  <c r="A576"/>
  <c r="B577"/>
  <c r="A560" i="26"/>
  <c r="B560" s="1"/>
  <c r="A583" i="53"/>
  <c r="B584" s="1"/>
  <c r="K576" i="1"/>
  <c r="N576" s="1"/>
  <c r="B559" i="38"/>
  <c r="E577" i="52"/>
  <c r="AD575" i="1"/>
  <c r="AF575" s="1"/>
  <c r="V563" i="48"/>
  <c r="F563"/>
  <c r="Y563" s="1"/>
  <c r="H580" i="53"/>
  <c r="DV7" i="55"/>
  <c r="R574" i="1"/>
  <c r="W574"/>
  <c r="J579" i="53"/>
  <c r="FL6" i="55" s="1"/>
  <c r="EQ6"/>
  <c r="V575" i="1"/>
  <c r="S575"/>
  <c r="AA575"/>
  <c r="E582" i="53" s="1"/>
  <c r="P575" i="1"/>
  <c r="AC575"/>
  <c r="AK575"/>
  <c r="Z575"/>
  <c r="AL575"/>
  <c r="AJ575"/>
  <c r="AM575"/>
  <c r="AO575"/>
  <c r="AP575" s="1"/>
  <c r="BC575"/>
  <c r="BA575" s="1"/>
  <c r="AH575"/>
  <c r="AI575"/>
  <c r="BD575"/>
  <c r="BE575" s="1"/>
  <c r="T575" s="1"/>
  <c r="DA6" i="55"/>
  <c r="U574" i="1"/>
  <c r="AR556" i="38"/>
  <c r="D558"/>
  <c r="E558"/>
  <c r="Z558"/>
  <c r="AA558" s="1"/>
  <c r="F558"/>
  <c r="AM558" s="1"/>
  <c r="C564" i="48"/>
  <c r="E564"/>
  <c r="X564" s="1"/>
  <c r="D564"/>
  <c r="W564" s="1"/>
  <c r="B565"/>
  <c r="I580" i="53"/>
  <c r="CF7" i="55"/>
  <c r="D580" i="53"/>
  <c r="BK8" i="55"/>
  <c r="G581" i="53"/>
  <c r="F581"/>
  <c r="U6" i="55"/>
  <c r="BO575" i="1" l="1"/>
  <c r="BK575"/>
  <c r="U575"/>
  <c r="AR575"/>
  <c r="AQ575"/>
  <c r="AU573"/>
  <c r="D575" i="52"/>
  <c r="B576"/>
  <c r="I576" s="1"/>
  <c r="AT574" i="1"/>
  <c r="AS574"/>
  <c r="DV8" i="55"/>
  <c r="H581" i="53"/>
  <c r="DA7" i="55"/>
  <c r="BK9"/>
  <c r="G582" i="53"/>
  <c r="F582"/>
  <c r="X574" i="1"/>
  <c r="AB574" s="1"/>
  <c r="AE574" s="1"/>
  <c r="AD576"/>
  <c r="AF576" s="1"/>
  <c r="E578" i="52"/>
  <c r="CF8" i="55"/>
  <c r="D581" i="53"/>
  <c r="I581"/>
  <c r="V564" i="48"/>
  <c r="F564"/>
  <c r="Y564" s="1"/>
  <c r="E559" i="38"/>
  <c r="D559"/>
  <c r="F559"/>
  <c r="AM559" s="1"/>
  <c r="Z559"/>
  <c r="AA559" s="1"/>
  <c r="L577" i="1"/>
  <c r="M576" s="1"/>
  <c r="E577"/>
  <c r="C577"/>
  <c r="D577" s="1"/>
  <c r="F579" i="52"/>
  <c r="A561" i="26"/>
  <c r="B561" s="1"/>
  <c r="A584" i="53"/>
  <c r="B585" s="1"/>
  <c r="K577" i="1"/>
  <c r="N577" s="1"/>
  <c r="A577"/>
  <c r="B578"/>
  <c r="B560" i="38"/>
  <c r="U7" i="55"/>
  <c r="C565" i="48"/>
  <c r="E565"/>
  <c r="X565" s="1"/>
  <c r="D565"/>
  <c r="W565" s="1"/>
  <c r="B566"/>
  <c r="BK556" i="38"/>
  <c r="AS556"/>
  <c r="AU556" s="1"/>
  <c r="AV556" s="1"/>
  <c r="BA556" s="1"/>
  <c r="BB556" s="1"/>
  <c r="BH556" s="1"/>
  <c r="BJ556" s="1"/>
  <c r="P556" s="1"/>
  <c r="O556" s="1"/>
  <c r="S576" i="1"/>
  <c r="P576"/>
  <c r="V576"/>
  <c r="AA576"/>
  <c r="E583" i="53" s="1"/>
  <c r="AO576" i="1"/>
  <c r="AP576" s="1"/>
  <c r="Z576"/>
  <c r="AL576"/>
  <c r="AJ576"/>
  <c r="AK576"/>
  <c r="AM576"/>
  <c r="BC576"/>
  <c r="BA576" s="1"/>
  <c r="AI576"/>
  <c r="AC576"/>
  <c r="AH576"/>
  <c r="BD576"/>
  <c r="BE576" s="1"/>
  <c r="T576" s="1"/>
  <c r="AR557" i="38"/>
  <c r="AN558"/>
  <c r="AO558"/>
  <c r="AP558" s="1"/>
  <c r="AQ558" s="1"/>
  <c r="R575" i="1"/>
  <c r="W575"/>
  <c r="EQ7" i="55"/>
  <c r="J580" i="53"/>
  <c r="FL7" i="55" s="1"/>
  <c r="BK576" i="1" l="1"/>
  <c r="BO576"/>
  <c r="X575"/>
  <c r="AB575" s="1"/>
  <c r="AE575" s="1"/>
  <c r="U576"/>
  <c r="AU574"/>
  <c r="D576" i="52"/>
  <c r="AR576" i="1"/>
  <c r="AQ576"/>
  <c r="B577" i="52"/>
  <c r="I577" s="1"/>
  <c r="AT575" i="1"/>
  <c r="AS575"/>
  <c r="BK557" i="38"/>
  <c r="AS557"/>
  <c r="AU557" s="1"/>
  <c r="AV557" s="1"/>
  <c r="BA557" s="1"/>
  <c r="BB557" s="1"/>
  <c r="BH557" s="1"/>
  <c r="BJ557" s="1"/>
  <c r="P557" s="1"/>
  <c r="O557" s="1"/>
  <c r="D566" i="48"/>
  <c r="W566" s="1"/>
  <c r="B567"/>
  <c r="E566"/>
  <c r="X566" s="1"/>
  <c r="C566"/>
  <c r="AL577" i="1"/>
  <c r="AC577"/>
  <c r="BC577"/>
  <c r="BA577" s="1"/>
  <c r="Z577"/>
  <c r="AK577"/>
  <c r="AM577"/>
  <c r="AH577"/>
  <c r="AO577"/>
  <c r="AP577" s="1"/>
  <c r="AJ577"/>
  <c r="AI577"/>
  <c r="BD577"/>
  <c r="BE577" s="1"/>
  <c r="T577" s="1"/>
  <c r="J581" i="53"/>
  <c r="FL8" i="55" s="1"/>
  <c r="EQ8"/>
  <c r="BK10"/>
  <c r="F583" i="53"/>
  <c r="G583"/>
  <c r="S577" i="1"/>
  <c r="V577"/>
  <c r="AA577"/>
  <c r="E584" i="53" s="1"/>
  <c r="P577" i="1"/>
  <c r="AO559" i="38"/>
  <c r="AP559" s="1"/>
  <c r="AQ559" s="1"/>
  <c r="AN559"/>
  <c r="DA8" i="55"/>
  <c r="Z560" i="38"/>
  <c r="AA560" s="1"/>
  <c r="D560"/>
  <c r="E560"/>
  <c r="F560"/>
  <c r="AM560" s="1"/>
  <c r="E579" i="52"/>
  <c r="AD577" i="1"/>
  <c r="AF577" s="1"/>
  <c r="U8" i="55"/>
  <c r="DV9"/>
  <c r="H582" i="53"/>
  <c r="AR558" i="38"/>
  <c r="W576" i="1"/>
  <c r="R576"/>
  <c r="X576" s="1"/>
  <c r="AB576" s="1"/>
  <c r="AE576" s="1"/>
  <c r="F565" i="48"/>
  <c r="Y565" s="1"/>
  <c r="V565"/>
  <c r="F580" i="52"/>
  <c r="A585" i="53"/>
  <c r="B586" s="1"/>
  <c r="A562" i="26"/>
  <c r="B562" s="1"/>
  <c r="A578" i="1"/>
  <c r="B579"/>
  <c r="L578"/>
  <c r="M577" s="1"/>
  <c r="B561" i="38"/>
  <c r="K578" i="1"/>
  <c r="N578" s="1"/>
  <c r="C578"/>
  <c r="D578" s="1"/>
  <c r="E578"/>
  <c r="CF9" i="55"/>
  <c r="D582" i="53"/>
  <c r="I582"/>
  <c r="BK577" i="1" l="1"/>
  <c r="BO577"/>
  <c r="D577" i="52"/>
  <c r="AU575" i="1"/>
  <c r="B578" i="52"/>
  <c r="I578" s="1"/>
  <c r="AT576" i="1"/>
  <c r="AS576"/>
  <c r="AR577"/>
  <c r="AQ577"/>
  <c r="P578"/>
  <c r="S578"/>
  <c r="V578"/>
  <c r="AA578"/>
  <c r="E585" i="53" s="1"/>
  <c r="AH578" i="1"/>
  <c r="AL578"/>
  <c r="BC578"/>
  <c r="BA578" s="1"/>
  <c r="AJ578"/>
  <c r="Z578"/>
  <c r="AC578"/>
  <c r="AO578"/>
  <c r="AP578" s="1"/>
  <c r="AK578"/>
  <c r="AM578"/>
  <c r="AI578"/>
  <c r="BD578"/>
  <c r="BE578" s="1"/>
  <c r="T578" s="1"/>
  <c r="BK11" i="55"/>
  <c r="F584" i="53"/>
  <c r="G584"/>
  <c r="I583"/>
  <c r="D583"/>
  <c r="CF10" i="55"/>
  <c r="U577" i="1"/>
  <c r="E561" i="38"/>
  <c r="D561"/>
  <c r="F561"/>
  <c r="AM561" s="1"/>
  <c r="Z561"/>
  <c r="AA561" s="1"/>
  <c r="J582" i="53"/>
  <c r="FL9" i="55" s="1"/>
  <c r="EQ9"/>
  <c r="AO560" i="38"/>
  <c r="AP560" s="1"/>
  <c r="AQ560" s="1"/>
  <c r="AN560"/>
  <c r="AR559"/>
  <c r="H583" i="53"/>
  <c r="DV10" i="55"/>
  <c r="E567" i="48"/>
  <c r="X567" s="1"/>
  <c r="D567"/>
  <c r="W567" s="1"/>
  <c r="C567"/>
  <c r="B568"/>
  <c r="DA9" i="55"/>
  <c r="E580" i="52"/>
  <c r="AD578" i="1"/>
  <c r="AF578" s="1"/>
  <c r="BK558" i="38"/>
  <c r="AS558"/>
  <c r="AU558" s="1"/>
  <c r="AV558" s="1"/>
  <c r="BA558" s="1"/>
  <c r="BB558" s="1"/>
  <c r="BH558" s="1"/>
  <c r="BJ558" s="1"/>
  <c r="P558" s="1"/>
  <c r="O558" s="1"/>
  <c r="U9" i="55"/>
  <c r="A563" i="26"/>
  <c r="B563" s="1"/>
  <c r="A586" i="53"/>
  <c r="B587" s="1"/>
  <c r="A579" i="1"/>
  <c r="B580"/>
  <c r="F581" i="52"/>
  <c r="B562" i="38"/>
  <c r="C579" i="1"/>
  <c r="D579" s="1"/>
  <c r="E579"/>
  <c r="K579"/>
  <c r="N579" s="1"/>
  <c r="L579"/>
  <c r="M578" s="1"/>
  <c r="R577"/>
  <c r="W577"/>
  <c r="V566" i="48"/>
  <c r="F566"/>
  <c r="Y566" s="1"/>
  <c r="BK578" i="1" l="1"/>
  <c r="BO578"/>
  <c r="AR560" i="38"/>
  <c r="AS560" s="1"/>
  <c r="AU560" s="1"/>
  <c r="AV560" s="1"/>
  <c r="BA560" s="1"/>
  <c r="BB560" s="1"/>
  <c r="BH560" s="1"/>
  <c r="BJ560" s="1"/>
  <c r="P560" s="1"/>
  <c r="O560" s="1"/>
  <c r="U578" i="1"/>
  <c r="AR578"/>
  <c r="AQ578"/>
  <c r="B579" i="52"/>
  <c r="I579" s="1"/>
  <c r="AT577" i="1"/>
  <c r="AS577"/>
  <c r="AU576"/>
  <c r="D578" i="52"/>
  <c r="X577" i="1"/>
  <c r="AB577" s="1"/>
  <c r="AE577" s="1"/>
  <c r="AK579"/>
  <c r="AI579"/>
  <c r="Z579"/>
  <c r="AC579"/>
  <c r="AH579"/>
  <c r="AL579"/>
  <c r="AM579"/>
  <c r="BC579"/>
  <c r="BA579" s="1"/>
  <c r="AO579"/>
  <c r="AP579" s="1"/>
  <c r="AJ579"/>
  <c r="BD579"/>
  <c r="BE579" s="1"/>
  <c r="T579" s="1"/>
  <c r="DA10" i="55"/>
  <c r="F585" i="53"/>
  <c r="BK12" i="55"/>
  <c r="G585" i="53"/>
  <c r="D562" i="38"/>
  <c r="F562"/>
  <c r="AM562" s="1"/>
  <c r="E562"/>
  <c r="Z562"/>
  <c r="AA562" s="1"/>
  <c r="EQ10" i="55"/>
  <c r="J583" i="53"/>
  <c r="FL10" i="55" s="1"/>
  <c r="S579" i="1"/>
  <c r="V579"/>
  <c r="P579"/>
  <c r="AA579"/>
  <c r="E586" i="53" s="1"/>
  <c r="D568" i="48"/>
  <c r="W568" s="1"/>
  <c r="E568"/>
  <c r="X568" s="1"/>
  <c r="C568"/>
  <c r="B569"/>
  <c r="CF11" i="55"/>
  <c r="D584" i="53"/>
  <c r="I584"/>
  <c r="E581" i="52"/>
  <c r="AD579" i="1"/>
  <c r="AF579" s="1"/>
  <c r="C580"/>
  <c r="D580" s="1"/>
  <c r="L580"/>
  <c r="M579" s="1"/>
  <c r="E580"/>
  <c r="F582" i="52"/>
  <c r="B581" i="1"/>
  <c r="A564" i="26"/>
  <c r="B564" s="1"/>
  <c r="A580" i="1"/>
  <c r="B563" i="38"/>
  <c r="A587" i="53"/>
  <c r="B588" s="1"/>
  <c r="K580" i="1"/>
  <c r="N580" s="1"/>
  <c r="F567" i="48"/>
  <c r="Y567" s="1"/>
  <c r="V567"/>
  <c r="BK559" i="38"/>
  <c r="AS559"/>
  <c r="AU559" s="1"/>
  <c r="AV559" s="1"/>
  <c r="BA559" s="1"/>
  <c r="BB559" s="1"/>
  <c r="BH559" s="1"/>
  <c r="BJ559" s="1"/>
  <c r="P559" s="1"/>
  <c r="O559" s="1"/>
  <c r="AO561"/>
  <c r="AP561" s="1"/>
  <c r="AQ561" s="1"/>
  <c r="AN561"/>
  <c r="U10" i="55"/>
  <c r="H584" i="53"/>
  <c r="DV11" i="55"/>
  <c r="R578" i="1"/>
  <c r="X578" s="1"/>
  <c r="AB578" s="1"/>
  <c r="AE578" s="1"/>
  <c r="W578"/>
  <c r="BK579" l="1"/>
  <c r="BO579"/>
  <c r="BK560" i="38"/>
  <c r="AR579" i="1"/>
  <c r="AQ579"/>
  <c r="AU577"/>
  <c r="D579" i="52"/>
  <c r="AT578" i="1"/>
  <c r="B580" i="52"/>
  <c r="I580" s="1"/>
  <c r="AS578" i="1"/>
  <c r="E563" i="38"/>
  <c r="Z563"/>
  <c r="AA563" s="1"/>
  <c r="F563"/>
  <c r="AM563" s="1"/>
  <c r="D563"/>
  <c r="DA11" i="55"/>
  <c r="D569" i="48"/>
  <c r="W569" s="1"/>
  <c r="B570"/>
  <c r="E569"/>
  <c r="X569" s="1"/>
  <c r="C569"/>
  <c r="Z580" i="1"/>
  <c r="AC580"/>
  <c r="AL580"/>
  <c r="AK580"/>
  <c r="AH580"/>
  <c r="AJ580"/>
  <c r="AI580"/>
  <c r="BC580"/>
  <c r="BA580" s="1"/>
  <c r="AO580"/>
  <c r="AP580" s="1"/>
  <c r="AM580"/>
  <c r="BD580"/>
  <c r="BE580" s="1"/>
  <c r="T580" s="1"/>
  <c r="AD580"/>
  <c r="AF580" s="1"/>
  <c r="E582" i="52"/>
  <c r="U11" i="55"/>
  <c r="V568" i="48"/>
  <c r="F568"/>
  <c r="Y568" s="1"/>
  <c r="F586" i="53"/>
  <c r="BK13" i="55"/>
  <c r="G586" i="53"/>
  <c r="AN562" i="38"/>
  <c r="AO562"/>
  <c r="AP562" s="1"/>
  <c r="AQ562" s="1"/>
  <c r="D585" i="53"/>
  <c r="I585"/>
  <c r="CF12" i="55"/>
  <c r="U579" i="1"/>
  <c r="J584" i="53"/>
  <c r="FL11" i="55" s="1"/>
  <c r="EQ11"/>
  <c r="AR561" i="38"/>
  <c r="V580" i="1"/>
  <c r="S580"/>
  <c r="P580"/>
  <c r="AA580"/>
  <c r="E587" i="53" s="1"/>
  <c r="W579" i="1"/>
  <c r="R579"/>
  <c r="A565" i="26"/>
  <c r="B565" s="1"/>
  <c r="F583" i="52"/>
  <c r="A588" i="53"/>
  <c r="B589" s="1"/>
  <c r="A581" i="1"/>
  <c r="B582"/>
  <c r="C581"/>
  <c r="D581" s="1"/>
  <c r="K581"/>
  <c r="N581" s="1"/>
  <c r="B564" i="38"/>
  <c r="E581" i="1"/>
  <c r="L581"/>
  <c r="M580" s="1"/>
  <c r="DV12" i="55"/>
  <c r="H585" i="53"/>
  <c r="BK580" i="1" l="1"/>
  <c r="BO580"/>
  <c r="AR580"/>
  <c r="AQ580"/>
  <c r="AU578"/>
  <c r="D580" i="52"/>
  <c r="B581"/>
  <c r="I581" s="1"/>
  <c r="AT579" i="1"/>
  <c r="AS579"/>
  <c r="X579"/>
  <c r="AB579" s="1"/>
  <c r="AE579" s="1"/>
  <c r="E564" i="38"/>
  <c r="Z564"/>
  <c r="AA564" s="1"/>
  <c r="D564"/>
  <c r="F564"/>
  <c r="AM564" s="1"/>
  <c r="AI581" i="1"/>
  <c r="AK581"/>
  <c r="BC581"/>
  <c r="BA581" s="1"/>
  <c r="AH581"/>
  <c r="AO581"/>
  <c r="AP581" s="1"/>
  <c r="Z581"/>
  <c r="AM581"/>
  <c r="AC581"/>
  <c r="AJ581"/>
  <c r="AL581"/>
  <c r="BD581"/>
  <c r="BE581" s="1"/>
  <c r="T581" s="1"/>
  <c r="F587" i="53"/>
  <c r="BK14" i="55"/>
  <c r="G587" i="53"/>
  <c r="AR562" i="38"/>
  <c r="C570" i="48"/>
  <c r="D570"/>
  <c r="W570" s="1"/>
  <c r="E570"/>
  <c r="X570" s="1"/>
  <c r="B571"/>
  <c r="J585" i="53"/>
  <c r="FL12" i="55" s="1"/>
  <c r="EQ12"/>
  <c r="V581" i="1"/>
  <c r="S581"/>
  <c r="P581"/>
  <c r="AA581"/>
  <c r="E588" i="53" s="1"/>
  <c r="W580" i="1"/>
  <c r="R580"/>
  <c r="BK561" i="38"/>
  <c r="AS561"/>
  <c r="AU561" s="1"/>
  <c r="AV561" s="1"/>
  <c r="BA561" s="1"/>
  <c r="BB561" s="1"/>
  <c r="BH561" s="1"/>
  <c r="BJ561" s="1"/>
  <c r="P561" s="1"/>
  <c r="O561" s="1"/>
  <c r="DA12" i="55"/>
  <c r="DV13"/>
  <c r="H586" i="53"/>
  <c r="U580" i="1"/>
  <c r="U12" i="55"/>
  <c r="F569" i="48"/>
  <c r="Y569" s="1"/>
  <c r="V569"/>
  <c r="AO563" i="38"/>
  <c r="AP563" s="1"/>
  <c r="AQ563" s="1"/>
  <c r="AN563"/>
  <c r="E583" i="52"/>
  <c r="AD581" i="1"/>
  <c r="AF581" s="1"/>
  <c r="F584" i="52"/>
  <c r="L582" i="1"/>
  <c r="M581" s="1"/>
  <c r="A589" i="53"/>
  <c r="B590" s="1"/>
  <c r="E582" i="1"/>
  <c r="A566" i="26"/>
  <c r="B566" s="1"/>
  <c r="K582" i="1"/>
  <c r="N582" s="1"/>
  <c r="A582"/>
  <c r="B583"/>
  <c r="B565" i="38"/>
  <c r="C582" i="1"/>
  <c r="D582" s="1"/>
  <c r="CF13" i="55"/>
  <c r="I586" i="53"/>
  <c r="D586"/>
  <c r="AR563" i="38" l="1"/>
  <c r="AS563" s="1"/>
  <c r="AU563" s="1"/>
  <c r="AV563" s="1"/>
  <c r="BA563" s="1"/>
  <c r="BB563" s="1"/>
  <c r="BH563" s="1"/>
  <c r="BJ563" s="1"/>
  <c r="P563" s="1"/>
  <c r="O563" s="1"/>
  <c r="BK581" i="1"/>
  <c r="BO581"/>
  <c r="AR581"/>
  <c r="AQ581"/>
  <c r="D581" i="52"/>
  <c r="AU579" i="1"/>
  <c r="B582" i="52"/>
  <c r="I582" s="1"/>
  <c r="AT580" i="1"/>
  <c r="AS580"/>
  <c r="F585" i="52"/>
  <c r="L583" i="1"/>
  <c r="M582" s="1"/>
  <c r="C583"/>
  <c r="D583" s="1"/>
  <c r="A583"/>
  <c r="B584"/>
  <c r="A590" i="53"/>
  <c r="B591" s="1"/>
  <c r="E583" i="1"/>
  <c r="A567" i="26"/>
  <c r="B567" s="1"/>
  <c r="K583" i="1"/>
  <c r="N583" s="1"/>
  <c r="B566" i="38"/>
  <c r="E584" i="52"/>
  <c r="AD582" i="1"/>
  <c r="AF582" s="1"/>
  <c r="EQ13" i="55"/>
  <c r="J586" i="53"/>
  <c r="FL13" i="55" s="1"/>
  <c r="AC582" i="1"/>
  <c r="AI582"/>
  <c r="AH582"/>
  <c r="AJ582"/>
  <c r="AK582"/>
  <c r="AM582"/>
  <c r="Z582"/>
  <c r="BC582"/>
  <c r="BA582" s="1"/>
  <c r="AL582"/>
  <c r="AO582"/>
  <c r="AP582" s="1"/>
  <c r="BD582"/>
  <c r="BE582" s="1"/>
  <c r="T582" s="1"/>
  <c r="F588" i="53"/>
  <c r="BK15" i="55"/>
  <c r="G588" i="53"/>
  <c r="V570" i="48"/>
  <c r="F570"/>
  <c r="Y570" s="1"/>
  <c r="DV14" i="55"/>
  <c r="H587" i="53"/>
  <c r="U13" i="55"/>
  <c r="S582" i="1"/>
  <c r="V582"/>
  <c r="AA582"/>
  <c r="E589" i="53" s="1"/>
  <c r="P582" i="1"/>
  <c r="R581"/>
  <c r="W581"/>
  <c r="E571" i="48"/>
  <c r="X571" s="1"/>
  <c r="D571"/>
  <c r="W571" s="1"/>
  <c r="C571"/>
  <c r="B572"/>
  <c r="AN564" i="38"/>
  <c r="AO564"/>
  <c r="AP564" s="1"/>
  <c r="AQ564" s="1"/>
  <c r="DA13" i="55"/>
  <c r="D565" i="38"/>
  <c r="F565"/>
  <c r="AM565" s="1"/>
  <c r="Z565"/>
  <c r="AA565" s="1"/>
  <c r="E565"/>
  <c r="X580" i="1"/>
  <c r="AB580" s="1"/>
  <c r="AE580" s="1"/>
  <c r="BK562" i="38"/>
  <c r="AS562"/>
  <c r="AU562" s="1"/>
  <c r="AV562" s="1"/>
  <c r="BA562" s="1"/>
  <c r="BB562" s="1"/>
  <c r="BH562" s="1"/>
  <c r="BJ562" s="1"/>
  <c r="P562" s="1"/>
  <c r="O562" s="1"/>
  <c r="CF14" i="55"/>
  <c r="I587" i="53"/>
  <c r="D587"/>
  <c r="U581" i="1"/>
  <c r="BK563" i="38" l="1"/>
  <c r="BO582" i="1"/>
  <c r="BK582"/>
  <c r="AR564" i="38"/>
  <c r="AS564" s="1"/>
  <c r="AU564" s="1"/>
  <c r="AV564" s="1"/>
  <c r="BA564" s="1"/>
  <c r="BB564" s="1"/>
  <c r="BH564" s="1"/>
  <c r="BJ564" s="1"/>
  <c r="P564" s="1"/>
  <c r="O564" s="1"/>
  <c r="AR582" i="1"/>
  <c r="AQ582"/>
  <c r="AU580"/>
  <c r="D582" i="52"/>
  <c r="B583"/>
  <c r="I583" s="1"/>
  <c r="AT581" i="1"/>
  <c r="AS581"/>
  <c r="DA14" i="55"/>
  <c r="V571" i="48"/>
  <c r="F571"/>
  <c r="Y571" s="1"/>
  <c r="W582" i="1"/>
  <c r="R582"/>
  <c r="U582"/>
  <c r="AM583"/>
  <c r="Z583"/>
  <c r="AO583"/>
  <c r="AP583" s="1"/>
  <c r="AL583"/>
  <c r="AK583"/>
  <c r="AI583"/>
  <c r="AC583"/>
  <c r="BC583"/>
  <c r="BA583" s="1"/>
  <c r="AJ583"/>
  <c r="AH583"/>
  <c r="BD583"/>
  <c r="BE583" s="1"/>
  <c r="T583" s="1"/>
  <c r="BK16" i="55"/>
  <c r="G589" i="53"/>
  <c r="F589"/>
  <c r="D588"/>
  <c r="CF15" i="55"/>
  <c r="I588" i="53"/>
  <c r="DA15" i="55" s="1"/>
  <c r="E585" i="52"/>
  <c r="AD583" i="1"/>
  <c r="AF583" s="1"/>
  <c r="EQ14" i="55"/>
  <c r="J587" i="53"/>
  <c r="FL14" i="55" s="1"/>
  <c r="E566" i="38"/>
  <c r="Z566"/>
  <c r="AA566" s="1"/>
  <c r="F566"/>
  <c r="AM566" s="1"/>
  <c r="D566"/>
  <c r="U14" i="55"/>
  <c r="AN565" i="38"/>
  <c r="AO565"/>
  <c r="AP565" s="1"/>
  <c r="AQ565" s="1"/>
  <c r="E572" i="48"/>
  <c r="X572" s="1"/>
  <c r="D572"/>
  <c r="W572" s="1"/>
  <c r="B573"/>
  <c r="C572"/>
  <c r="X581" i="1"/>
  <c r="AB581" s="1"/>
  <c r="AE581" s="1"/>
  <c r="DV15" i="55"/>
  <c r="H588" i="53"/>
  <c r="AA583" i="1"/>
  <c r="E590" i="53" s="1"/>
  <c r="S583" i="1"/>
  <c r="P583"/>
  <c r="V583"/>
  <c r="A591" i="53"/>
  <c r="B592" s="1"/>
  <c r="A584" i="1"/>
  <c r="E584"/>
  <c r="K584"/>
  <c r="N584" s="1"/>
  <c r="A568" i="26"/>
  <c r="B568" s="1"/>
  <c r="B567" i="38"/>
  <c r="F586" i="52"/>
  <c r="L584" i="1"/>
  <c r="M583" s="1"/>
  <c r="B585"/>
  <c r="C584"/>
  <c r="D584" s="1"/>
  <c r="BK564" i="38" l="1"/>
  <c r="BO583" i="1"/>
  <c r="BK583"/>
  <c r="AR583"/>
  <c r="AQ583"/>
  <c r="D583" i="52"/>
  <c r="AU581" i="1"/>
  <c r="B584" i="52"/>
  <c r="I584" s="1"/>
  <c r="AT582" i="1"/>
  <c r="AS582"/>
  <c r="C573" i="48"/>
  <c r="E573"/>
  <c r="X573" s="1"/>
  <c r="D573"/>
  <c r="W573" s="1"/>
  <c r="B574"/>
  <c r="AO566" i="38"/>
  <c r="AP566" s="1"/>
  <c r="AQ566" s="1"/>
  <c r="AN566"/>
  <c r="I589" i="53"/>
  <c r="CF16" i="55"/>
  <c r="D589" i="53"/>
  <c r="AD584" i="1"/>
  <c r="AF584" s="1"/>
  <c r="E586" i="52"/>
  <c r="W583" i="1"/>
  <c r="R583"/>
  <c r="E567" i="38"/>
  <c r="Z567"/>
  <c r="AA567" s="1"/>
  <c r="D567"/>
  <c r="F567"/>
  <c r="AM567" s="1"/>
  <c r="AJ584" i="1"/>
  <c r="AC584"/>
  <c r="AO584"/>
  <c r="AP584" s="1"/>
  <c r="AH584"/>
  <c r="BC584"/>
  <c r="BA584" s="1"/>
  <c r="AK584"/>
  <c r="Z584"/>
  <c r="AM584"/>
  <c r="AI584"/>
  <c r="AL584"/>
  <c r="BD584"/>
  <c r="BE584" s="1"/>
  <c r="T584" s="1"/>
  <c r="U15" i="55"/>
  <c r="X582" i="1"/>
  <c r="AB582" s="1"/>
  <c r="AE582" s="1"/>
  <c r="E585"/>
  <c r="K585"/>
  <c r="N585" s="1"/>
  <c r="A592" i="53"/>
  <c r="B593" s="1"/>
  <c r="F587" i="52"/>
  <c r="C585" i="1"/>
  <c r="D585" s="1"/>
  <c r="A569" i="26"/>
  <c r="B569" s="1"/>
  <c r="B568" i="38"/>
  <c r="A585" i="1"/>
  <c r="L585"/>
  <c r="M584" s="1"/>
  <c r="B586"/>
  <c r="F590" i="53"/>
  <c r="BK17" i="55"/>
  <c r="G590" i="53"/>
  <c r="V584" i="1"/>
  <c r="S584"/>
  <c r="P584"/>
  <c r="AA584"/>
  <c r="E591" i="53" s="1"/>
  <c r="J588"/>
  <c r="FL15" i="55" s="1"/>
  <c r="EQ15"/>
  <c r="F572" i="48"/>
  <c r="Y572" s="1"/>
  <c r="V572"/>
  <c r="AR565" i="38"/>
  <c r="DV16" i="55"/>
  <c r="H589" i="53"/>
  <c r="U583" i="1"/>
  <c r="BO584" l="1"/>
  <c r="BK584"/>
  <c r="AR566" i="38"/>
  <c r="AS566" s="1"/>
  <c r="AU566" s="1"/>
  <c r="AV566" s="1"/>
  <c r="BA566" s="1"/>
  <c r="BB566" s="1"/>
  <c r="BH566" s="1"/>
  <c r="BJ566" s="1"/>
  <c r="P566" s="1"/>
  <c r="O566" s="1"/>
  <c r="AU582" i="1"/>
  <c r="D584" i="52"/>
  <c r="AR584" i="1"/>
  <c r="AQ584"/>
  <c r="AT583"/>
  <c r="B585" i="52"/>
  <c r="I585" s="1"/>
  <c r="AS583" i="1"/>
  <c r="AL585"/>
  <c r="AM585"/>
  <c r="BC585"/>
  <c r="BA585" s="1"/>
  <c r="AC585"/>
  <c r="AK585"/>
  <c r="AJ585"/>
  <c r="AH585"/>
  <c r="AO585"/>
  <c r="AP585" s="1"/>
  <c r="Z585"/>
  <c r="AI585"/>
  <c r="BD585"/>
  <c r="BE585" s="1"/>
  <c r="T585" s="1"/>
  <c r="AN567" i="38"/>
  <c r="AR567" s="1"/>
  <c r="AO567"/>
  <c r="AP567" s="1"/>
  <c r="AQ567" s="1"/>
  <c r="X583" i="1"/>
  <c r="AB583" s="1"/>
  <c r="AE583" s="1"/>
  <c r="V573" i="48"/>
  <c r="F573"/>
  <c r="Y573" s="1"/>
  <c r="DV17" i="55"/>
  <c r="H590" i="53"/>
  <c r="D568" i="38"/>
  <c r="E568"/>
  <c r="Z568"/>
  <c r="AA568" s="1"/>
  <c r="F568"/>
  <c r="AM568" s="1"/>
  <c r="U584" i="1"/>
  <c r="U16" i="55"/>
  <c r="BK566" i="38"/>
  <c r="D574" i="48"/>
  <c r="W574" s="1"/>
  <c r="B575"/>
  <c r="C574"/>
  <c r="E574"/>
  <c r="X574" s="1"/>
  <c r="EQ16" i="55"/>
  <c r="J589" i="53"/>
  <c r="FL16" i="55" s="1"/>
  <c r="BK565" i="38"/>
  <c r="AS565"/>
  <c r="AU565" s="1"/>
  <c r="AV565" s="1"/>
  <c r="BA565" s="1"/>
  <c r="BB565" s="1"/>
  <c r="BH565" s="1"/>
  <c r="BJ565" s="1"/>
  <c r="P565" s="1"/>
  <c r="O565" s="1"/>
  <c r="BK18" i="55"/>
  <c r="G591" i="53"/>
  <c r="F591"/>
  <c r="C586" i="1"/>
  <c r="D586" s="1"/>
  <c r="A570" i="26"/>
  <c r="B570" s="1"/>
  <c r="F588" i="52"/>
  <c r="A593" i="53"/>
  <c r="B594" s="1"/>
  <c r="E586" i="1"/>
  <c r="A586"/>
  <c r="L586"/>
  <c r="M585" s="1"/>
  <c r="B587"/>
  <c r="K586"/>
  <c r="N586" s="1"/>
  <c r="B569" i="38"/>
  <c r="S585" i="1"/>
  <c r="AA585"/>
  <c r="E592" i="53" s="1"/>
  <c r="V585" i="1"/>
  <c r="P585"/>
  <c r="W584"/>
  <c r="R584"/>
  <c r="I590" i="53"/>
  <c r="CF17" i="55"/>
  <c r="D590" i="53"/>
  <c r="E587" i="52"/>
  <c r="AD585" i="1"/>
  <c r="AF585" s="1"/>
  <c r="DA16" i="55"/>
  <c r="BK585" i="1" l="1"/>
  <c r="BO585"/>
  <c r="X584"/>
  <c r="AB584" s="1"/>
  <c r="AE584" s="1"/>
  <c r="AR585"/>
  <c r="AQ585"/>
  <c r="AU583"/>
  <c r="D585" i="52"/>
  <c r="AT584" i="1"/>
  <c r="B586" i="52"/>
  <c r="I586" s="1"/>
  <c r="AS584" i="1"/>
  <c r="DA17" i="55"/>
  <c r="I591" i="53"/>
  <c r="D591"/>
  <c r="U18" i="55" s="1"/>
  <c r="CF18"/>
  <c r="U585" i="1"/>
  <c r="W585"/>
  <c r="R585"/>
  <c r="D569" i="38"/>
  <c r="Z569"/>
  <c r="AA569" s="1"/>
  <c r="F569"/>
  <c r="AM569" s="1"/>
  <c r="E569"/>
  <c r="AJ586" i="1"/>
  <c r="AM586"/>
  <c r="AC586"/>
  <c r="Z586"/>
  <c r="AO586"/>
  <c r="AP586" s="1"/>
  <c r="AL586"/>
  <c r="AK586"/>
  <c r="BC586"/>
  <c r="BA586" s="1"/>
  <c r="AH586"/>
  <c r="AI586"/>
  <c r="BD586"/>
  <c r="BE586" s="1"/>
  <c r="T586" s="1"/>
  <c r="J590" i="53"/>
  <c r="FL17" i="55" s="1"/>
  <c r="EQ17"/>
  <c r="U17"/>
  <c r="S586" i="1"/>
  <c r="V586"/>
  <c r="AA586"/>
  <c r="E593" i="53" s="1"/>
  <c r="P586" i="1"/>
  <c r="AD586"/>
  <c r="AF586" s="1"/>
  <c r="E588" i="52"/>
  <c r="V574" i="48"/>
  <c r="F574"/>
  <c r="Y574" s="1"/>
  <c r="AO568" i="38"/>
  <c r="AP568" s="1"/>
  <c r="AQ568" s="1"/>
  <c r="AN568"/>
  <c r="G592" i="53"/>
  <c r="BK19" i="55"/>
  <c r="F592" i="53"/>
  <c r="E587" i="1"/>
  <c r="A571" i="26"/>
  <c r="B571" s="1"/>
  <c r="A594" i="53"/>
  <c r="B595" s="1"/>
  <c r="A587" i="1"/>
  <c r="F589" i="52"/>
  <c r="B588" i="1"/>
  <c r="L587"/>
  <c r="M586" s="1"/>
  <c r="B570" i="38"/>
  <c r="K587" i="1"/>
  <c r="N587" s="1"/>
  <c r="C587"/>
  <c r="D587" s="1"/>
  <c r="DV18" i="55"/>
  <c r="H591" i="53"/>
  <c r="D575" i="48"/>
  <c r="W575" s="1"/>
  <c r="E575"/>
  <c r="X575" s="1"/>
  <c r="C575"/>
  <c r="B576"/>
  <c r="BK567" i="38"/>
  <c r="AS567"/>
  <c r="AU567" s="1"/>
  <c r="AV567" s="1"/>
  <c r="BA567" s="1"/>
  <c r="BB567" s="1"/>
  <c r="BH567" s="1"/>
  <c r="BJ567" s="1"/>
  <c r="P567" s="1"/>
  <c r="O567" s="1"/>
  <c r="BK586" i="1" l="1"/>
  <c r="BO586"/>
  <c r="AR568" i="38"/>
  <c r="BK568" s="1"/>
  <c r="AU584" i="1"/>
  <c r="D586" i="52"/>
  <c r="AR586" i="1"/>
  <c r="AQ586"/>
  <c r="B587" i="52"/>
  <c r="I587" s="1"/>
  <c r="AT585" i="1"/>
  <c r="AS585"/>
  <c r="X585"/>
  <c r="AB585" s="1"/>
  <c r="AE585" s="1"/>
  <c r="V575" i="48"/>
  <c r="F575"/>
  <c r="Y575" s="1"/>
  <c r="F590" i="52"/>
  <c r="E588" i="1"/>
  <c r="A595" i="53"/>
  <c r="B596" s="1"/>
  <c r="A572" i="26"/>
  <c r="B572" s="1"/>
  <c r="A588" i="1"/>
  <c r="L588"/>
  <c r="M587" s="1"/>
  <c r="K588"/>
  <c r="N588" s="1"/>
  <c r="B571" i="38"/>
  <c r="B589" i="1"/>
  <c r="C588"/>
  <c r="D588" s="1"/>
  <c r="BK20" i="55"/>
  <c r="F593" i="53"/>
  <c r="G593"/>
  <c r="V587" i="1"/>
  <c r="P587"/>
  <c r="S587"/>
  <c r="AA587"/>
  <c r="E594" i="53" s="1"/>
  <c r="E589" i="52"/>
  <c r="AD587" i="1"/>
  <c r="AF587" s="1"/>
  <c r="CF19" i="55"/>
  <c r="I592" i="53"/>
  <c r="DA19" i="55" s="1"/>
  <c r="D592" i="53"/>
  <c r="U586" i="1"/>
  <c r="AO569" i="38"/>
  <c r="AP569" s="1"/>
  <c r="AQ569" s="1"/>
  <c r="AN569"/>
  <c r="E570"/>
  <c r="Z570"/>
  <c r="AA570" s="1"/>
  <c r="D570"/>
  <c r="F570"/>
  <c r="AM570" s="1"/>
  <c r="AM587" i="1"/>
  <c r="AH587"/>
  <c r="AK587"/>
  <c r="AO587"/>
  <c r="AP587" s="1"/>
  <c r="AI587"/>
  <c r="AJ587"/>
  <c r="AC587"/>
  <c r="BC587"/>
  <c r="BA587" s="1"/>
  <c r="AL587"/>
  <c r="Z587"/>
  <c r="BD587"/>
  <c r="BE587" s="1"/>
  <c r="T587" s="1"/>
  <c r="DA18" i="55"/>
  <c r="C576" i="48"/>
  <c r="B577"/>
  <c r="E576"/>
  <c r="X576" s="1"/>
  <c r="D576"/>
  <c r="W576" s="1"/>
  <c r="EQ18" i="55"/>
  <c r="J591" i="53"/>
  <c r="FL18" i="55" s="1"/>
  <c r="H592" i="53"/>
  <c r="DV19" i="55"/>
  <c r="W586" i="1"/>
  <c r="R586"/>
  <c r="X586" s="1"/>
  <c r="AB586" s="1"/>
  <c r="AE586" s="1"/>
  <c r="AS568" i="38" l="1"/>
  <c r="AU568" s="1"/>
  <c r="AV568" s="1"/>
  <c r="BA568" s="1"/>
  <c r="BB568" s="1"/>
  <c r="BH568" s="1"/>
  <c r="BJ568" s="1"/>
  <c r="P568" s="1"/>
  <c r="O568" s="1"/>
  <c r="BK587" i="1"/>
  <c r="BO587"/>
  <c r="AT586"/>
  <c r="B588" i="52"/>
  <c r="I588" s="1"/>
  <c r="AS586" i="1"/>
  <c r="AR587"/>
  <c r="AQ587"/>
  <c r="AU585"/>
  <c r="D587" i="52"/>
  <c r="U587" i="1"/>
  <c r="F576" i="48"/>
  <c r="Y576" s="1"/>
  <c r="V576"/>
  <c r="AN570" i="38"/>
  <c r="AR570" s="1"/>
  <c r="AO570"/>
  <c r="AP570" s="1"/>
  <c r="AQ570" s="1"/>
  <c r="U19" i="55"/>
  <c r="W587" i="1"/>
  <c r="R587"/>
  <c r="AD588"/>
  <c r="AF588" s="1"/>
  <c r="E590" i="52"/>
  <c r="AR569" i="38"/>
  <c r="L589" i="1"/>
  <c r="M588" s="1"/>
  <c r="A596" i="53"/>
  <c r="B597" s="1"/>
  <c r="K589" i="1"/>
  <c r="N589" s="1"/>
  <c r="B590"/>
  <c r="C589"/>
  <c r="D589" s="1"/>
  <c r="A573" i="26"/>
  <c r="B573" s="1"/>
  <c r="A589" i="1"/>
  <c r="B572" i="38"/>
  <c r="F591" i="52"/>
  <c r="E589" i="1"/>
  <c r="AO588"/>
  <c r="AP588" s="1"/>
  <c r="AC588"/>
  <c r="BC588"/>
  <c r="BA588" s="1"/>
  <c r="AH588"/>
  <c r="AK588"/>
  <c r="Z588"/>
  <c r="AM588"/>
  <c r="AJ588"/>
  <c r="AI588"/>
  <c r="AL588"/>
  <c r="BD588"/>
  <c r="BE588" s="1"/>
  <c r="T588" s="1"/>
  <c r="EQ19" i="55"/>
  <c r="J592" i="53"/>
  <c r="FL19" i="55" s="1"/>
  <c r="F594" i="53"/>
  <c r="BK21" i="55"/>
  <c r="G594" i="53"/>
  <c r="CF20" i="55"/>
  <c r="D593" i="53"/>
  <c r="I593"/>
  <c r="E571" i="38"/>
  <c r="D571"/>
  <c r="Z571"/>
  <c r="AA571" s="1"/>
  <c r="F571"/>
  <c r="AM571" s="1"/>
  <c r="D577" i="48"/>
  <c r="W577" s="1"/>
  <c r="E577"/>
  <c r="X577" s="1"/>
  <c r="B578"/>
  <c r="C577"/>
  <c r="H593" i="53"/>
  <c r="DV20" i="55"/>
  <c r="V588" i="1"/>
  <c r="S588"/>
  <c r="P588"/>
  <c r="AA588"/>
  <c r="E595" i="53" s="1"/>
  <c r="BK588" i="1" l="1"/>
  <c r="BO588"/>
  <c r="B589" i="52"/>
  <c r="I589" s="1"/>
  <c r="AT587" i="1"/>
  <c r="AS587"/>
  <c r="X587"/>
  <c r="AB587" s="1"/>
  <c r="AE587" s="1"/>
  <c r="D588" i="52"/>
  <c r="AU586" i="1"/>
  <c r="AR588"/>
  <c r="AQ588"/>
  <c r="W588"/>
  <c r="R588"/>
  <c r="B579" i="48"/>
  <c r="E578"/>
  <c r="X578" s="1"/>
  <c r="C578"/>
  <c r="D578"/>
  <c r="W578" s="1"/>
  <c r="CF21" i="55"/>
  <c r="I594" i="53"/>
  <c r="D594"/>
  <c r="U21" i="55" s="1"/>
  <c r="U588" i="1"/>
  <c r="EQ20" i="55"/>
  <c r="J593" i="53"/>
  <c r="FL20" i="55" s="1"/>
  <c r="E572" i="38"/>
  <c r="D572"/>
  <c r="Z572"/>
  <c r="AA572" s="1"/>
  <c r="F572"/>
  <c r="AM572" s="1"/>
  <c r="F592" i="52"/>
  <c r="A574" i="26"/>
  <c r="B574" s="1"/>
  <c r="E590" i="1"/>
  <c r="K590"/>
  <c r="N590" s="1"/>
  <c r="A597" i="53"/>
  <c r="B598" s="1"/>
  <c r="C590" i="1"/>
  <c r="D590" s="1"/>
  <c r="A590"/>
  <c r="B573" i="38"/>
  <c r="B591" i="1"/>
  <c r="L590"/>
  <c r="M589" s="1"/>
  <c r="AN571" i="38"/>
  <c r="AO571"/>
  <c r="AP571" s="1"/>
  <c r="AQ571" s="1"/>
  <c r="DA20" i="55"/>
  <c r="DV21"/>
  <c r="H594" i="53"/>
  <c r="Z589" i="1"/>
  <c r="AL589"/>
  <c r="BC589"/>
  <c r="BA589" s="1"/>
  <c r="AM589"/>
  <c r="AO589"/>
  <c r="AP589" s="1"/>
  <c r="AH589"/>
  <c r="AC589"/>
  <c r="AI589"/>
  <c r="AJ589"/>
  <c r="AK589"/>
  <c r="BD589"/>
  <c r="BE589" s="1"/>
  <c r="T589" s="1"/>
  <c r="S589"/>
  <c r="P589"/>
  <c r="AA589"/>
  <c r="E596" i="53" s="1"/>
  <c r="V589" i="1"/>
  <c r="BK569" i="38"/>
  <c r="AS569"/>
  <c r="AU569" s="1"/>
  <c r="AV569" s="1"/>
  <c r="BA569" s="1"/>
  <c r="BB569" s="1"/>
  <c r="BH569" s="1"/>
  <c r="BJ569" s="1"/>
  <c r="P569" s="1"/>
  <c r="O569" s="1"/>
  <c r="BK22" i="55"/>
  <c r="G595" i="53"/>
  <c r="F595"/>
  <c r="F577" i="48"/>
  <c r="Y577" s="1"/>
  <c r="V577"/>
  <c r="U20" i="55"/>
  <c r="E591" i="52"/>
  <c r="AD589" i="1"/>
  <c r="AF589" s="1"/>
  <c r="AS570" i="38"/>
  <c r="AU570" s="1"/>
  <c r="AV570" s="1"/>
  <c r="BA570" s="1"/>
  <c r="BB570" s="1"/>
  <c r="BH570" s="1"/>
  <c r="BJ570" s="1"/>
  <c r="P570" s="1"/>
  <c r="O570" s="1"/>
  <c r="BK570"/>
  <c r="BK589" i="1" l="1"/>
  <c r="BO589"/>
  <c r="B590" i="52"/>
  <c r="I590" s="1"/>
  <c r="AT588" i="1"/>
  <c r="AS588"/>
  <c r="D589" i="52"/>
  <c r="AU587" i="1"/>
  <c r="AR589"/>
  <c r="AQ589"/>
  <c r="BK23" i="55"/>
  <c r="F596" i="53"/>
  <c r="G596"/>
  <c r="AR571" i="38"/>
  <c r="E591" i="1"/>
  <c r="B574" i="38"/>
  <c r="A575" i="26"/>
  <c r="B575" s="1"/>
  <c r="A598" i="53"/>
  <c r="B599" s="1"/>
  <c r="L591" i="1"/>
  <c r="M590" s="1"/>
  <c r="A591"/>
  <c r="B592"/>
  <c r="F593" i="52"/>
  <c r="K591" i="1"/>
  <c r="N591" s="1"/>
  <c r="C591"/>
  <c r="D591" s="1"/>
  <c r="R589"/>
  <c r="W589"/>
  <c r="E573" i="38"/>
  <c r="D573"/>
  <c r="F573"/>
  <c r="AM573" s="1"/>
  <c r="Z573"/>
  <c r="AA573" s="1"/>
  <c r="S590" i="1"/>
  <c r="V590"/>
  <c r="P590"/>
  <c r="AA590"/>
  <c r="E597" i="53" s="1"/>
  <c r="AN572" i="38"/>
  <c r="AO572"/>
  <c r="AP572" s="1"/>
  <c r="AQ572" s="1"/>
  <c r="DA21" i="55"/>
  <c r="F578" i="48"/>
  <c r="Y578" s="1"/>
  <c r="V578"/>
  <c r="X588" i="1"/>
  <c r="AB588" s="1"/>
  <c r="AE588" s="1"/>
  <c r="DV22" i="55"/>
  <c r="H595" i="53"/>
  <c r="AO590" i="1"/>
  <c r="AP590" s="1"/>
  <c r="AK590"/>
  <c r="BC590"/>
  <c r="BA590" s="1"/>
  <c r="AI590"/>
  <c r="AJ590"/>
  <c r="Z590"/>
  <c r="AM590"/>
  <c r="AL590"/>
  <c r="AH590"/>
  <c r="AC590"/>
  <c r="BD590"/>
  <c r="BE590" s="1"/>
  <c r="T590" s="1"/>
  <c r="U590" s="1"/>
  <c r="AD590"/>
  <c r="AF590" s="1"/>
  <c r="E592" i="52"/>
  <c r="D595" i="53"/>
  <c r="I595"/>
  <c r="CF22" i="55"/>
  <c r="U589" i="1"/>
  <c r="J594" i="53"/>
  <c r="FL21" i="55" s="1"/>
  <c r="EQ21"/>
  <c r="D579" i="48"/>
  <c r="W579" s="1"/>
  <c r="E579"/>
  <c r="X579" s="1"/>
  <c r="B580"/>
  <c r="C579"/>
  <c r="BO590" i="1" l="1"/>
  <c r="BK590"/>
  <c r="AU588"/>
  <c r="D590" i="52"/>
  <c r="AR590" i="1"/>
  <c r="AQ590"/>
  <c r="B591" i="52"/>
  <c r="I591" s="1"/>
  <c r="AT589" i="1"/>
  <c r="AS589"/>
  <c r="V579" i="48"/>
  <c r="F579"/>
  <c r="Y579" s="1"/>
  <c r="AR572" i="38"/>
  <c r="S591" i="1"/>
  <c r="V591"/>
  <c r="P591"/>
  <c r="AA591"/>
  <c r="E598" i="53" s="1"/>
  <c r="E593" i="52"/>
  <c r="AD591" i="1"/>
  <c r="AF591" s="1"/>
  <c r="DV23" i="55"/>
  <c r="H596" i="53"/>
  <c r="E580" i="48"/>
  <c r="X580" s="1"/>
  <c r="B581"/>
  <c r="C580"/>
  <c r="D580"/>
  <c r="W580" s="1"/>
  <c r="DA22" i="55"/>
  <c r="J595" i="53"/>
  <c r="FL22" i="55" s="1"/>
  <c r="EQ22"/>
  <c r="G597" i="53"/>
  <c r="F597"/>
  <c r="BK24" i="55"/>
  <c r="U22"/>
  <c r="R590" i="1"/>
  <c r="X590" s="1"/>
  <c r="AB590" s="1"/>
  <c r="AE590" s="1"/>
  <c r="W590"/>
  <c r="AO573" i="38"/>
  <c r="AP573" s="1"/>
  <c r="AQ573" s="1"/>
  <c r="AN573"/>
  <c r="X589" i="1"/>
  <c r="AB589" s="1"/>
  <c r="AE589" s="1"/>
  <c r="A592"/>
  <c r="B575" i="38"/>
  <c r="A599" i="53"/>
  <c r="B600" s="1"/>
  <c r="K592" i="1"/>
  <c r="N592" s="1"/>
  <c r="B593"/>
  <c r="C592"/>
  <c r="D592" s="1"/>
  <c r="F594" i="52"/>
  <c r="A576" i="26"/>
  <c r="B576" s="1"/>
  <c r="E592" i="1"/>
  <c r="L592"/>
  <c r="M591" s="1"/>
  <c r="AC591"/>
  <c r="AI591"/>
  <c r="AH591"/>
  <c r="Z591"/>
  <c r="AM591"/>
  <c r="AJ591"/>
  <c r="AK591"/>
  <c r="BC591"/>
  <c r="BA591" s="1"/>
  <c r="AO591"/>
  <c r="AP591" s="1"/>
  <c r="AL591"/>
  <c r="BD591"/>
  <c r="BE591" s="1"/>
  <c r="T591" s="1"/>
  <c r="U591" s="1"/>
  <c r="E574" i="38"/>
  <c r="Z574"/>
  <c r="AA574" s="1"/>
  <c r="D574"/>
  <c r="F574"/>
  <c r="AM574" s="1"/>
  <c r="AS571"/>
  <c r="AU571" s="1"/>
  <c r="AV571" s="1"/>
  <c r="BA571" s="1"/>
  <c r="BB571" s="1"/>
  <c r="BH571" s="1"/>
  <c r="BJ571" s="1"/>
  <c r="P571" s="1"/>
  <c r="O571" s="1"/>
  <c r="BK571"/>
  <c r="CF23" i="55"/>
  <c r="I596" i="53"/>
  <c r="D596"/>
  <c r="U23" i="55" s="1"/>
  <c r="AR573" i="38" l="1"/>
  <c r="BO591" i="1"/>
  <c r="BK591"/>
  <c r="AT590"/>
  <c r="B592" i="52"/>
  <c r="I592" s="1"/>
  <c r="AS590" i="1"/>
  <c r="D591" i="52"/>
  <c r="AU589" i="1"/>
  <c r="AR591"/>
  <c r="AQ591"/>
  <c r="DA23" i="55"/>
  <c r="E594" i="52"/>
  <c r="AD592" i="1"/>
  <c r="AF592" s="1"/>
  <c r="C593"/>
  <c r="D593" s="1"/>
  <c r="F595" i="52"/>
  <c r="L593" i="1"/>
  <c r="M592" s="1"/>
  <c r="E593"/>
  <c r="A593"/>
  <c r="K593"/>
  <c r="N593" s="1"/>
  <c r="B594"/>
  <c r="A600" i="53"/>
  <c r="B601" s="1"/>
  <c r="B576" i="38"/>
  <c r="A577" i="26"/>
  <c r="B577" s="1"/>
  <c r="AI592" i="1"/>
  <c r="AL592"/>
  <c r="AK592"/>
  <c r="AC592"/>
  <c r="BC592"/>
  <c r="BA592" s="1"/>
  <c r="AM592"/>
  <c r="BD592"/>
  <c r="BE592" s="1"/>
  <c r="T592" s="1"/>
  <c r="Z592"/>
  <c r="AH592"/>
  <c r="AJ592"/>
  <c r="AO592"/>
  <c r="AP592" s="1"/>
  <c r="R591"/>
  <c r="X591" s="1"/>
  <c r="AB591" s="1"/>
  <c r="AE591" s="1"/>
  <c r="W591"/>
  <c r="BK572" i="38"/>
  <c r="AS572"/>
  <c r="AU572" s="1"/>
  <c r="AV572" s="1"/>
  <c r="BA572" s="1"/>
  <c r="BB572" s="1"/>
  <c r="BH572" s="1"/>
  <c r="BJ572" s="1"/>
  <c r="P572" s="1"/>
  <c r="O572" s="1"/>
  <c r="V592" i="1"/>
  <c r="P592"/>
  <c r="S592"/>
  <c r="AA592"/>
  <c r="E599" i="53" s="1"/>
  <c r="DV24" i="55"/>
  <c r="H597" i="53"/>
  <c r="EQ23" i="55"/>
  <c r="J596" i="53"/>
  <c r="FL23" i="55" s="1"/>
  <c r="AN574" i="38"/>
  <c r="AO574"/>
  <c r="AP574" s="1"/>
  <c r="AQ574" s="1"/>
  <c r="CF24" i="55"/>
  <c r="D597" i="53"/>
  <c r="U24" i="55" s="1"/>
  <c r="I597" i="53"/>
  <c r="DA24" i="55" s="1"/>
  <c r="V580" i="48"/>
  <c r="F580"/>
  <c r="Y580" s="1"/>
  <c r="E575" i="38"/>
  <c r="Z575"/>
  <c r="AA575" s="1"/>
  <c r="D575"/>
  <c r="F575"/>
  <c r="AM575" s="1"/>
  <c r="BK573"/>
  <c r="AS573"/>
  <c r="AU573" s="1"/>
  <c r="AV573" s="1"/>
  <c r="BA573" s="1"/>
  <c r="BB573" s="1"/>
  <c r="BH573" s="1"/>
  <c r="BJ573" s="1"/>
  <c r="P573" s="1"/>
  <c r="O573" s="1"/>
  <c r="D581" i="48"/>
  <c r="W581" s="1"/>
  <c r="E581"/>
  <c r="X581" s="1"/>
  <c r="B582"/>
  <c r="C581"/>
  <c r="F598" i="53"/>
  <c r="G598"/>
  <c r="BK25" i="55"/>
  <c r="BK592" i="1" l="1"/>
  <c r="BO592"/>
  <c r="D592" i="52"/>
  <c r="AU590" i="1"/>
  <c r="B593" i="52"/>
  <c r="I593" s="1"/>
  <c r="AT591" i="1"/>
  <c r="AS591"/>
  <c r="AR592"/>
  <c r="AQ592"/>
  <c r="D598" i="53"/>
  <c r="CF25" i="55"/>
  <c r="I598" i="53"/>
  <c r="U592" i="1"/>
  <c r="D576" i="38"/>
  <c r="Z576"/>
  <c r="AA576" s="1"/>
  <c r="E576"/>
  <c r="F576"/>
  <c r="AM576" s="1"/>
  <c r="AK593" i="1"/>
  <c r="AM593"/>
  <c r="BC593"/>
  <c r="BA593" s="1"/>
  <c r="AO593"/>
  <c r="AP593" s="1"/>
  <c r="AJ593"/>
  <c r="AI593"/>
  <c r="AH593"/>
  <c r="AC593"/>
  <c r="Z593"/>
  <c r="AL593"/>
  <c r="BD593"/>
  <c r="BE593" s="1"/>
  <c r="T593" s="1"/>
  <c r="DV25" i="55"/>
  <c r="H598" i="53"/>
  <c r="AR574" i="38"/>
  <c r="J597" i="53"/>
  <c r="FL24" i="55" s="1"/>
  <c r="EQ24"/>
  <c r="BK26"/>
  <c r="G599" i="53"/>
  <c r="F599"/>
  <c r="E595" i="52"/>
  <c r="AD593" i="1"/>
  <c r="AF593" s="1"/>
  <c r="F581" i="48"/>
  <c r="Y581" s="1"/>
  <c r="V581"/>
  <c r="L594" i="1"/>
  <c r="M593" s="1"/>
  <c r="A601" i="53"/>
  <c r="B602" s="1"/>
  <c r="F596" i="52"/>
  <c r="A578" i="26"/>
  <c r="B578" s="1"/>
  <c r="K594" i="1"/>
  <c r="N594" s="1"/>
  <c r="C594"/>
  <c r="D594" s="1"/>
  <c r="B577" i="38"/>
  <c r="A594" i="1"/>
  <c r="B595"/>
  <c r="E594"/>
  <c r="C582" i="48"/>
  <c r="E582"/>
  <c r="X582" s="1"/>
  <c r="D582"/>
  <c r="W582" s="1"/>
  <c r="B583"/>
  <c r="AN575" i="38"/>
  <c r="AO575"/>
  <c r="AP575" s="1"/>
  <c r="AQ575" s="1"/>
  <c r="R592" i="1"/>
  <c r="X592" s="1"/>
  <c r="AB592" s="1"/>
  <c r="AE592" s="1"/>
  <c r="W592"/>
  <c r="V593"/>
  <c r="AA593"/>
  <c r="E600" i="53" s="1"/>
  <c r="S593" i="1"/>
  <c r="P593"/>
  <c r="BK593" l="1"/>
  <c r="BO593"/>
  <c r="AT592"/>
  <c r="B594" i="52"/>
  <c r="I594" s="1"/>
  <c r="AS592" i="1"/>
  <c r="AR593"/>
  <c r="AQ593"/>
  <c r="D593" i="52"/>
  <c r="AU591" i="1"/>
  <c r="W593"/>
  <c r="R593"/>
  <c r="F597" i="52"/>
  <c r="A579" i="26"/>
  <c r="B579" s="1"/>
  <c r="B578" i="38"/>
  <c r="C595" i="1"/>
  <c r="D595" s="1"/>
  <c r="L595"/>
  <c r="M594" s="1"/>
  <c r="E595"/>
  <c r="A595"/>
  <c r="B596"/>
  <c r="A602" i="53"/>
  <c r="B603" s="1"/>
  <c r="K595" i="1"/>
  <c r="N595" s="1"/>
  <c r="V594"/>
  <c r="P594"/>
  <c r="S594"/>
  <c r="AA594"/>
  <c r="E601" i="53" s="1"/>
  <c r="AS574" i="38"/>
  <c r="AU574" s="1"/>
  <c r="AV574" s="1"/>
  <c r="BA574" s="1"/>
  <c r="BB574" s="1"/>
  <c r="BH574" s="1"/>
  <c r="BJ574" s="1"/>
  <c r="P574" s="1"/>
  <c r="O574" s="1"/>
  <c r="BK574"/>
  <c r="U593" i="1"/>
  <c r="BK27" i="55"/>
  <c r="F600" i="53"/>
  <c r="G600"/>
  <c r="AR575" i="38"/>
  <c r="V582" i="48"/>
  <c r="F582"/>
  <c r="Y582" s="1"/>
  <c r="AH594" i="1"/>
  <c r="AC594"/>
  <c r="BC594"/>
  <c r="BA594" s="1"/>
  <c r="AL594"/>
  <c r="Z594"/>
  <c r="AK594"/>
  <c r="AJ594"/>
  <c r="AI594"/>
  <c r="AO594"/>
  <c r="AP594" s="1"/>
  <c r="AM594"/>
  <c r="BD594"/>
  <c r="BE594" s="1"/>
  <c r="T594" s="1"/>
  <c r="U594" s="1"/>
  <c r="DV26" i="55"/>
  <c r="H599" i="53"/>
  <c r="J598"/>
  <c r="FL25" i="55" s="1"/>
  <c r="EQ25"/>
  <c r="U25"/>
  <c r="B584" i="48"/>
  <c r="C583"/>
  <c r="D583"/>
  <c r="W583" s="1"/>
  <c r="E583"/>
  <c r="X583" s="1"/>
  <c r="Z577" i="38"/>
  <c r="AA577" s="1"/>
  <c r="E577"/>
  <c r="F577"/>
  <c r="AM577" s="1"/>
  <c r="D577"/>
  <c r="D599" i="53"/>
  <c r="CF26" i="55"/>
  <c r="I599" i="53"/>
  <c r="E596" i="52"/>
  <c r="AD594" i="1"/>
  <c r="AF594" s="1"/>
  <c r="AN576" i="38"/>
  <c r="AO576"/>
  <c r="AP576" s="1"/>
  <c r="AQ576" s="1"/>
  <c r="DA25" i="55"/>
  <c r="BK594" i="1" l="1"/>
  <c r="BO594"/>
  <c r="AR576" i="38"/>
  <c r="AR594" i="1"/>
  <c r="AQ594"/>
  <c r="AU592"/>
  <c r="D594" i="52"/>
  <c r="B595"/>
  <c r="I595" s="1"/>
  <c r="AT593" i="1"/>
  <c r="AS593"/>
  <c r="U26" i="55"/>
  <c r="V583" i="48"/>
  <c r="F583"/>
  <c r="Y583" s="1"/>
  <c r="EQ26" i="55"/>
  <c r="J599" i="53"/>
  <c r="FL26" i="55" s="1"/>
  <c r="AS575" i="38"/>
  <c r="AU575" s="1"/>
  <c r="AV575" s="1"/>
  <c r="BA575" s="1"/>
  <c r="BB575" s="1"/>
  <c r="BH575" s="1"/>
  <c r="BJ575" s="1"/>
  <c r="P575" s="1"/>
  <c r="O575" s="1"/>
  <c r="BK575"/>
  <c r="DV27" i="55"/>
  <c r="H600" i="53"/>
  <c r="C584" i="48"/>
  <c r="B585"/>
  <c r="E584"/>
  <c r="X584" s="1"/>
  <c r="D584"/>
  <c r="W584" s="1"/>
  <c r="R594" i="1"/>
  <c r="X594" s="1"/>
  <c r="AB594" s="1"/>
  <c r="AE594" s="1"/>
  <c r="W594"/>
  <c r="A580" i="26"/>
  <c r="B580" s="1"/>
  <c r="C596" i="1"/>
  <c r="D596" s="1"/>
  <c r="B579" i="38"/>
  <c r="L596" i="1"/>
  <c r="M595" s="1"/>
  <c r="K596"/>
  <c r="N596" s="1"/>
  <c r="B597"/>
  <c r="A603" i="53"/>
  <c r="B604" s="1"/>
  <c r="F598" i="52"/>
  <c r="A596" i="1"/>
  <c r="E596"/>
  <c r="X593"/>
  <c r="AB593" s="1"/>
  <c r="AE593" s="1"/>
  <c r="BK576" i="38"/>
  <c r="AS576"/>
  <c r="AU576" s="1"/>
  <c r="AV576" s="1"/>
  <c r="BA576" s="1"/>
  <c r="BB576" s="1"/>
  <c r="BH576" s="1"/>
  <c r="BJ576" s="1"/>
  <c r="P576" s="1"/>
  <c r="O576" s="1"/>
  <c r="DA26" i="55"/>
  <c r="AH595" i="1"/>
  <c r="AM595"/>
  <c r="AO595"/>
  <c r="AP595" s="1"/>
  <c r="AJ595"/>
  <c r="AL595"/>
  <c r="AI595"/>
  <c r="AK595"/>
  <c r="BC595"/>
  <c r="BA595" s="1"/>
  <c r="AC595"/>
  <c r="Z595"/>
  <c r="BD595"/>
  <c r="BE595" s="1"/>
  <c r="T595" s="1"/>
  <c r="D578" i="38"/>
  <c r="E578"/>
  <c r="F578"/>
  <c r="AM578" s="1"/>
  <c r="Z578"/>
  <c r="AA578" s="1"/>
  <c r="AO577"/>
  <c r="AP577" s="1"/>
  <c r="AQ577" s="1"/>
  <c r="AN577"/>
  <c r="AR577" s="1"/>
  <c r="CF27" i="55"/>
  <c r="I600" i="53"/>
  <c r="D600"/>
  <c r="U27" i="55" s="1"/>
  <c r="BK28"/>
  <c r="G601" i="53"/>
  <c r="F601"/>
  <c r="V595" i="1"/>
  <c r="S595"/>
  <c r="AA595"/>
  <c r="E602" i="53" s="1"/>
  <c r="P595" i="1"/>
  <c r="AD595"/>
  <c r="AF595" s="1"/>
  <c r="E597" i="52"/>
  <c r="BK595" i="1" l="1"/>
  <c r="BO595"/>
  <c r="AR595"/>
  <c r="AQ595"/>
  <c r="D595" i="52"/>
  <c r="AU593" i="1"/>
  <c r="AT594"/>
  <c r="B596" i="52"/>
  <c r="I596" s="1"/>
  <c r="AS594" i="1"/>
  <c r="W595"/>
  <c r="R595"/>
  <c r="DV28" i="55"/>
  <c r="H601" i="53"/>
  <c r="BK29" i="55"/>
  <c r="G602" i="53"/>
  <c r="F602"/>
  <c r="CF28" i="55"/>
  <c r="D601" i="53"/>
  <c r="I601"/>
  <c r="DA28" i="55" s="1"/>
  <c r="DA27"/>
  <c r="AN578" i="38"/>
  <c r="AO578"/>
  <c r="AP578" s="1"/>
  <c r="AQ578" s="1"/>
  <c r="E579"/>
  <c r="Z579"/>
  <c r="AA579" s="1"/>
  <c r="F579"/>
  <c r="AM579" s="1"/>
  <c r="D579"/>
  <c r="V584" i="48"/>
  <c r="F584"/>
  <c r="Y584" s="1"/>
  <c r="E598" i="52"/>
  <c r="AD596" i="1"/>
  <c r="AF596" s="1"/>
  <c r="L597"/>
  <c r="M596" s="1"/>
  <c r="E597"/>
  <c r="K597"/>
  <c r="N597" s="1"/>
  <c r="A597"/>
  <c r="B598"/>
  <c r="A581" i="26"/>
  <c r="B581" s="1"/>
  <c r="B580" i="38"/>
  <c r="F599" i="52"/>
  <c r="A604" i="53"/>
  <c r="B605" s="1"/>
  <c r="C597" i="1"/>
  <c r="D597" s="1"/>
  <c r="AK596"/>
  <c r="Z596"/>
  <c r="AO596"/>
  <c r="AP596" s="1"/>
  <c r="AH596"/>
  <c r="AC596"/>
  <c r="AL596"/>
  <c r="AJ596"/>
  <c r="BC596"/>
  <c r="BA596" s="1"/>
  <c r="AI596"/>
  <c r="AM596"/>
  <c r="BD596"/>
  <c r="BE596" s="1"/>
  <c r="T596" s="1"/>
  <c r="AA596"/>
  <c r="E603" i="53" s="1"/>
  <c r="V596" i="1"/>
  <c r="P596"/>
  <c r="S596"/>
  <c r="J600" i="53"/>
  <c r="FL27" i="55" s="1"/>
  <c r="EQ27"/>
  <c r="BK577" i="38"/>
  <c r="AS577"/>
  <c r="AU577" s="1"/>
  <c r="AV577" s="1"/>
  <c r="BA577" s="1"/>
  <c r="BB577" s="1"/>
  <c r="BH577" s="1"/>
  <c r="BJ577" s="1"/>
  <c r="P577" s="1"/>
  <c r="O577" s="1"/>
  <c r="U595" i="1"/>
  <c r="B586" i="48"/>
  <c r="E585"/>
  <c r="X585" s="1"/>
  <c r="C585"/>
  <c r="D585"/>
  <c r="W585" s="1"/>
  <c r="BK596" i="1" l="1"/>
  <c r="BO596"/>
  <c r="D596" i="52"/>
  <c r="AU594" i="1"/>
  <c r="U596"/>
  <c r="AR596"/>
  <c r="AQ596"/>
  <c r="B597" i="52"/>
  <c r="I597" s="1"/>
  <c r="AT595" i="1"/>
  <c r="AS595"/>
  <c r="V585" i="48"/>
  <c r="F585"/>
  <c r="Y585" s="1"/>
  <c r="E598" i="1"/>
  <c r="F600" i="52"/>
  <c r="O22" s="1"/>
  <c r="C598" i="1"/>
  <c r="D598" s="1"/>
  <c r="L598"/>
  <c r="M597" s="1"/>
  <c r="B581" i="38"/>
  <c r="A598" i="1"/>
  <c r="K598"/>
  <c r="N598" s="1"/>
  <c r="B599"/>
  <c r="A582" i="26"/>
  <c r="B582" s="1"/>
  <c r="A605" i="53"/>
  <c r="B606" s="1"/>
  <c r="N44" a="1"/>
  <c r="N44" s="1"/>
  <c r="D22" i="54" s="1"/>
  <c r="N33" i="53" a="1"/>
  <c r="N33" s="1"/>
  <c r="D11" i="54" s="1"/>
  <c r="N77" i="53" a="1"/>
  <c r="N77" s="1"/>
  <c r="D55" i="54" s="1"/>
  <c r="N82" i="53" a="1"/>
  <c r="N82" s="1"/>
  <c r="D60" i="54" s="1"/>
  <c r="N62" i="53" a="1"/>
  <c r="N62" s="1"/>
  <c r="D40" i="54" s="1"/>
  <c r="N36" i="53" a="1"/>
  <c r="N36" s="1"/>
  <c r="D14" i="54" s="1"/>
  <c r="N66" i="53" a="1"/>
  <c r="N66" s="1"/>
  <c r="D44" i="54" s="1"/>
  <c r="N95" i="53" a="1"/>
  <c r="N95" s="1"/>
  <c r="D73" i="54" s="1"/>
  <c r="N55" i="53" a="1"/>
  <c r="N55" s="1"/>
  <c r="D33" i="54" s="1"/>
  <c r="N69" i="53" a="1"/>
  <c r="N69" s="1"/>
  <c r="D47" i="54" s="1"/>
  <c r="N41" i="53" a="1"/>
  <c r="N41" s="1"/>
  <c r="D19" i="54" s="1"/>
  <c r="N32" i="53" a="1"/>
  <c r="N32" s="1"/>
  <c r="D10" i="54" s="1"/>
  <c r="N84" i="53" a="1"/>
  <c r="N84" s="1"/>
  <c r="D62" i="54" s="1"/>
  <c r="N56" i="53" a="1"/>
  <c r="N56" s="1"/>
  <c r="D34" i="54" s="1"/>
  <c r="N59" i="53" a="1"/>
  <c r="N59" s="1"/>
  <c r="D37" i="54" s="1"/>
  <c r="N86" i="53" a="1"/>
  <c r="N86" s="1"/>
  <c r="D64" i="54" s="1"/>
  <c r="N109" i="53" a="1"/>
  <c r="N109" s="1"/>
  <c r="D87" i="54" s="1"/>
  <c r="N51" i="53" a="1"/>
  <c r="N51" s="1"/>
  <c r="D29" i="54" s="1"/>
  <c r="N42" i="53" a="1"/>
  <c r="N42" s="1"/>
  <c r="D20" i="54" s="1"/>
  <c r="N61" i="53" a="1"/>
  <c r="N61" s="1"/>
  <c r="D39" i="54" s="1"/>
  <c r="N72" i="53" a="1"/>
  <c r="N72" s="1"/>
  <c r="D50" i="54" s="1"/>
  <c r="AR578" i="38"/>
  <c r="EQ28" i="55"/>
  <c r="J601" i="53"/>
  <c r="FL28" i="55" s="1"/>
  <c r="BK30"/>
  <c r="G603" i="53"/>
  <c r="F603"/>
  <c r="AC597" i="1"/>
  <c r="AJ597"/>
  <c r="BC597"/>
  <c r="BA597" s="1"/>
  <c r="Z597"/>
  <c r="AK597"/>
  <c r="AM597"/>
  <c r="AH597"/>
  <c r="AI597"/>
  <c r="AL597"/>
  <c r="AO597"/>
  <c r="AP597" s="1"/>
  <c r="BD597"/>
  <c r="BE597" s="1"/>
  <c r="T597" s="1"/>
  <c r="AN579" i="38"/>
  <c r="AR579" s="1"/>
  <c r="AO579"/>
  <c r="AP579" s="1"/>
  <c r="AQ579" s="1"/>
  <c r="N111" i="53" a="1"/>
  <c r="N111" s="1"/>
  <c r="N98" a="1"/>
  <c r="N98" s="1"/>
  <c r="D76" i="54" s="1"/>
  <c r="N52" i="53" a="1"/>
  <c r="N52" s="1"/>
  <c r="D30" i="54" s="1"/>
  <c r="N50" i="53" a="1"/>
  <c r="N50" s="1"/>
  <c r="D28" i="54" s="1"/>
  <c r="N105" i="53" a="1"/>
  <c r="N105" s="1"/>
  <c r="D83" i="54" s="1"/>
  <c r="N38" i="53" a="1"/>
  <c r="N38" s="1"/>
  <c r="D16" i="54" s="1"/>
  <c r="N57" i="53" a="1"/>
  <c r="N57" s="1"/>
  <c r="D35" i="54" s="1"/>
  <c r="N89" i="53" a="1"/>
  <c r="N89" s="1"/>
  <c r="D67" i="54" s="1"/>
  <c r="N71" i="53" a="1"/>
  <c r="N71" s="1"/>
  <c r="D49" i="54" s="1"/>
  <c r="N88" i="53" a="1"/>
  <c r="N88" s="1"/>
  <c r="D66" i="54" s="1"/>
  <c r="N67" i="53" a="1"/>
  <c r="N67" s="1"/>
  <c r="D45" i="54" s="1"/>
  <c r="N79" i="53" a="1"/>
  <c r="N79" s="1"/>
  <c r="D57" i="54" s="1"/>
  <c r="N102" i="53" a="1"/>
  <c r="N102" s="1"/>
  <c r="D80" i="54" s="1"/>
  <c r="N45" i="53" a="1"/>
  <c r="N45" s="1"/>
  <c r="D23" i="54" s="1"/>
  <c r="N40" i="53" a="1"/>
  <c r="N40" s="1"/>
  <c r="D18" i="54" s="1"/>
  <c r="N76" i="53" a="1"/>
  <c r="N76" s="1"/>
  <c r="D54" i="54" s="1"/>
  <c r="N78" i="53" a="1"/>
  <c r="N78" s="1"/>
  <c r="D56" i="54" s="1"/>
  <c r="N64" i="53" a="1"/>
  <c r="N64" s="1"/>
  <c r="D42" i="54" s="1"/>
  <c r="N58" i="53" a="1"/>
  <c r="N58" s="1"/>
  <c r="D36" i="54" s="1"/>
  <c r="N80" i="53" a="1"/>
  <c r="N80" s="1"/>
  <c r="D58" i="54" s="1"/>
  <c r="E586" i="48"/>
  <c r="X586" s="1"/>
  <c r="B587"/>
  <c r="D586"/>
  <c r="W586" s="1"/>
  <c r="C586"/>
  <c r="E580" i="38"/>
  <c r="D580"/>
  <c r="F580"/>
  <c r="AM580" s="1"/>
  <c r="Z580"/>
  <c r="AA580" s="1"/>
  <c r="V597" i="1"/>
  <c r="AA597"/>
  <c r="E604" i="53" s="1"/>
  <c r="P597" i="1"/>
  <c r="S597"/>
  <c r="N43" i="53" a="1"/>
  <c r="N43" s="1"/>
  <c r="D21" i="54" s="1"/>
  <c r="N96" i="53" a="1"/>
  <c r="N96" s="1"/>
  <c r="D74" i="54" s="1"/>
  <c r="N83" i="53" a="1"/>
  <c r="N83" s="1"/>
  <c r="D61" i="54" s="1"/>
  <c r="N70" i="53" a="1"/>
  <c r="N70" s="1"/>
  <c r="D48" i="54" s="1"/>
  <c r="N49" i="53" a="1"/>
  <c r="N49" s="1"/>
  <c r="D27" i="54" s="1"/>
  <c r="N37" i="53" a="1"/>
  <c r="N37" s="1"/>
  <c r="D15" i="54" s="1"/>
  <c r="N54" i="53" a="1"/>
  <c r="N54" s="1"/>
  <c r="D32" i="54" s="1"/>
  <c r="N81" i="53" a="1"/>
  <c r="N81" s="1"/>
  <c r="D59" i="54" s="1"/>
  <c r="N74" i="53" a="1"/>
  <c r="N74" s="1"/>
  <c r="D52" i="54" s="1"/>
  <c r="N93" i="53" a="1"/>
  <c r="N93" s="1"/>
  <c r="D71" i="54" s="1"/>
  <c r="N110" i="53" a="1"/>
  <c r="N110" s="1"/>
  <c r="D88" i="54" s="1"/>
  <c r="N34" i="53" a="1"/>
  <c r="N34" s="1"/>
  <c r="D12" i="54" s="1"/>
  <c r="N60" i="53" a="1"/>
  <c r="N60" s="1"/>
  <c r="D38" i="54" s="1"/>
  <c r="N87" i="53" a="1"/>
  <c r="N87" s="1"/>
  <c r="D65" i="54" s="1"/>
  <c r="N75" i="53" a="1"/>
  <c r="N75" s="1"/>
  <c r="D53" i="54" s="1"/>
  <c r="N31" i="53" a="1"/>
  <c r="N31" s="1"/>
  <c r="D9" i="54" s="1"/>
  <c r="N73" i="53" a="1"/>
  <c r="N73" s="1"/>
  <c r="D51" i="54" s="1"/>
  <c r="N39" i="53" a="1"/>
  <c r="N39" s="1"/>
  <c r="D17" i="54" s="1"/>
  <c r="N30" i="53" a="1"/>
  <c r="N30" s="1"/>
  <c r="D8" i="54" s="1"/>
  <c r="N97" i="53" a="1"/>
  <c r="N97" s="1"/>
  <c r="D75" i="54" s="1"/>
  <c r="U28" i="55"/>
  <c r="H602" i="53"/>
  <c r="DV29" i="55"/>
  <c r="X595" i="1"/>
  <c r="AB595" s="1"/>
  <c r="AE595" s="1"/>
  <c r="W596"/>
  <c r="R596"/>
  <c r="AD597"/>
  <c r="AF597" s="1"/>
  <c r="E599" i="52"/>
  <c r="N53" i="53" a="1"/>
  <c r="N53" s="1"/>
  <c r="D31" i="54" s="1"/>
  <c r="N101" i="53" a="1"/>
  <c r="N101" s="1"/>
  <c r="D79" i="54" s="1"/>
  <c r="N47" i="53" a="1"/>
  <c r="N47" s="1"/>
  <c r="D25" i="54" s="1"/>
  <c r="N91" i="53" a="1"/>
  <c r="N91" s="1"/>
  <c r="D69" i="54" s="1"/>
  <c r="N99" i="53" a="1"/>
  <c r="N99" s="1"/>
  <c r="D77" i="54" s="1"/>
  <c r="N103" i="53" a="1"/>
  <c r="N103" s="1"/>
  <c r="D81" i="54" s="1"/>
  <c r="N63" i="53" a="1"/>
  <c r="N63" s="1"/>
  <c r="D41" i="54" s="1"/>
  <c r="N35" i="53" a="1"/>
  <c r="N35" s="1"/>
  <c r="D13" i="54" s="1"/>
  <c r="N94" i="53" a="1"/>
  <c r="N94" s="1"/>
  <c r="D72" i="54" s="1"/>
  <c r="N85" i="53" a="1"/>
  <c r="N85" s="1"/>
  <c r="D63" i="54" s="1"/>
  <c r="N107" i="53" a="1"/>
  <c r="N107" s="1"/>
  <c r="D85" i="54" s="1"/>
  <c r="N46" i="53" a="1"/>
  <c r="N46" s="1"/>
  <c r="D24" i="54" s="1"/>
  <c r="N68" i="53" a="1"/>
  <c r="N68" s="1"/>
  <c r="D46" i="54" s="1"/>
  <c r="N48" i="53" a="1"/>
  <c r="N48" s="1"/>
  <c r="D26" i="54" s="1"/>
  <c r="N104" i="53" a="1"/>
  <c r="N104" s="1"/>
  <c r="D82" i="54" s="1"/>
  <c r="N90" i="53" a="1"/>
  <c r="N90" s="1"/>
  <c r="D68" i="54" s="1"/>
  <c r="N100" i="53" a="1"/>
  <c r="N100" s="1"/>
  <c r="D78" i="54" s="1"/>
  <c r="N29" i="53" a="1"/>
  <c r="N29" s="1"/>
  <c r="D7" i="54" s="1"/>
  <c r="N92" i="53" a="1"/>
  <c r="N92" s="1"/>
  <c r="D70" i="54" s="1"/>
  <c r="CF29" i="55"/>
  <c r="I602" i="53"/>
  <c r="D602"/>
  <c r="BK597" i="1" l="1"/>
  <c r="BO597"/>
  <c r="X596"/>
  <c r="AB596" s="1"/>
  <c r="AE596" s="1"/>
  <c r="AT596"/>
  <c r="B598" i="52"/>
  <c r="I598" s="1"/>
  <c r="AS596" i="1"/>
  <c r="AU595"/>
  <c r="D597" i="52"/>
  <c r="AR597" i="1"/>
  <c r="AQ597"/>
  <c r="J602" i="53"/>
  <c r="FL29" i="55" s="1"/>
  <c r="EQ29"/>
  <c r="V586" i="48"/>
  <c r="F586"/>
  <c r="Y586" s="1"/>
  <c r="DV30" i="55"/>
  <c r="H603" i="53"/>
  <c r="N65" a="1"/>
  <c r="N65" s="1"/>
  <c r="D43" i="54" s="1"/>
  <c r="N108" i="53" a="1"/>
  <c r="N108" s="1"/>
  <c r="D86" i="54" s="1"/>
  <c r="AO598" i="1"/>
  <c r="AP598" s="1"/>
  <c r="AJ598"/>
  <c r="Z598"/>
  <c r="AC598"/>
  <c r="AK598"/>
  <c r="AH598"/>
  <c r="AI598"/>
  <c r="BC598"/>
  <c r="BA598" s="1"/>
  <c r="AL598"/>
  <c r="AM598"/>
  <c r="BD598"/>
  <c r="BE598" s="1"/>
  <c r="T598" s="1"/>
  <c r="U29" i="55"/>
  <c r="R597" i="1"/>
  <c r="W597"/>
  <c r="AN580" i="38"/>
  <c r="AO580"/>
  <c r="AP580" s="1"/>
  <c r="AQ580" s="1"/>
  <c r="U597" i="1"/>
  <c r="I603" i="53"/>
  <c r="DA30" i="55" s="1"/>
  <c r="CF30"/>
  <c r="D603" i="53"/>
  <c r="U30" i="55" s="1"/>
  <c r="BK578" i="38"/>
  <c r="AS578"/>
  <c r="AU578" s="1"/>
  <c r="AV578" s="1"/>
  <c r="BA578" s="1"/>
  <c r="BB578" s="1"/>
  <c r="BH578" s="1"/>
  <c r="BJ578" s="1"/>
  <c r="P578" s="1"/>
  <c r="O578" s="1"/>
  <c r="Z581"/>
  <c r="AA581" s="1"/>
  <c r="D581"/>
  <c r="E581"/>
  <c r="F581"/>
  <c r="AM581" s="1"/>
  <c r="E600" i="52"/>
  <c r="AD598" i="1"/>
  <c r="AF598" s="1"/>
  <c r="F604" i="53"/>
  <c r="G604"/>
  <c r="BK31" i="55"/>
  <c r="C587" i="48"/>
  <c r="D587"/>
  <c r="W587" s="1"/>
  <c r="E587"/>
  <c r="X587" s="1"/>
  <c r="B588"/>
  <c r="AS579" i="38"/>
  <c r="AU579" s="1"/>
  <c r="AV579" s="1"/>
  <c r="BA579" s="1"/>
  <c r="BB579" s="1"/>
  <c r="BH579" s="1"/>
  <c r="BJ579" s="1"/>
  <c r="P579" s="1"/>
  <c r="O579" s="1"/>
  <c r="BK579"/>
  <c r="C599" i="1"/>
  <c r="D599" s="1"/>
  <c r="A606" i="53"/>
  <c r="L599" i="1"/>
  <c r="M598" s="1"/>
  <c r="B582" i="38"/>
  <c r="K599" i="1"/>
  <c r="N599" s="1"/>
  <c r="A599"/>
  <c r="A583" i="26"/>
  <c r="B583" s="1"/>
  <c r="F601" i="52"/>
  <c r="E599" i="1"/>
  <c r="DA29" i="55"/>
  <c r="S598" i="1"/>
  <c r="V598"/>
  <c r="AA598"/>
  <c r="E605" i="53" s="1"/>
  <c r="P598" i="1"/>
  <c r="N106" i="53" a="1"/>
  <c r="N106" s="1"/>
  <c r="D84" i="54" s="1"/>
  <c r="BO598" i="1" l="1"/>
  <c r="BK598"/>
  <c r="AU596"/>
  <c r="D598" i="52"/>
  <c r="AR598" i="1"/>
  <c r="AQ598"/>
  <c r="B599" i="52"/>
  <c r="I599" s="1"/>
  <c r="AT597" i="1"/>
  <c r="AS597"/>
  <c r="W598"/>
  <c r="R598"/>
  <c r="E582" i="38"/>
  <c r="D582"/>
  <c r="F582"/>
  <c r="AM582" s="1"/>
  <c r="Z582"/>
  <c r="AA582" s="1"/>
  <c r="BK32" i="55"/>
  <c r="F605" i="53"/>
  <c r="G605"/>
  <c r="X597" i="1"/>
  <c r="AB597" s="1"/>
  <c r="AE597" s="1"/>
  <c r="AC599"/>
  <c r="AD15" s="1"/>
  <c r="AH599"/>
  <c r="AH17" s="1"/>
  <c r="AJ599"/>
  <c r="AJ17" s="1"/>
  <c r="AK599"/>
  <c r="AK17" s="1"/>
  <c r="AL599"/>
  <c r="AL17" s="1"/>
  <c r="Z599"/>
  <c r="Z15" s="1"/>
  <c r="AO599"/>
  <c r="AP599" s="1"/>
  <c r="BC599"/>
  <c r="BA599" s="1"/>
  <c r="AI599"/>
  <c r="AI17" s="1"/>
  <c r="AM599"/>
  <c r="AM17" s="1"/>
  <c r="BD599"/>
  <c r="BE599" s="1"/>
  <c r="T599" s="1"/>
  <c r="V587" i="48"/>
  <c r="F587"/>
  <c r="Y587" s="1"/>
  <c r="CF31" i="55"/>
  <c r="D604" i="53"/>
  <c r="I604"/>
  <c r="E601" i="52"/>
  <c r="AD599" i="1"/>
  <c r="AF599" s="1"/>
  <c r="S599"/>
  <c r="AA599"/>
  <c r="E606" i="53" s="1"/>
  <c r="V109" s="1" a="1"/>
  <c r="V109" s="1"/>
  <c r="L87" i="54" s="1"/>
  <c r="V599" i="1"/>
  <c r="P599"/>
  <c r="V37" i="53" a="1"/>
  <c r="V37" s="1"/>
  <c r="L15" i="54" s="1"/>
  <c r="C588" i="48"/>
  <c r="D588"/>
  <c r="W588" s="1"/>
  <c r="B589"/>
  <c r="E588"/>
  <c r="X588" s="1"/>
  <c r="DV31" i="55"/>
  <c r="H604" i="53"/>
  <c r="AN581" i="38"/>
  <c r="AO581"/>
  <c r="AP581" s="1"/>
  <c r="AQ581" s="1"/>
  <c r="P97" i="53" a="1"/>
  <c r="P97" s="1"/>
  <c r="F75" i="54" s="1"/>
  <c r="AR580" i="38"/>
  <c r="U598" i="1"/>
  <c r="EQ30" i="55"/>
  <c r="J603" i="53"/>
  <c r="FL30" i="55" s="1"/>
  <c r="V96" i="53" a="1"/>
  <c r="V96" s="1"/>
  <c r="L74" i="54" s="1"/>
  <c r="V91" i="53" a="1"/>
  <c r="V91" s="1"/>
  <c r="L69" i="54" s="1"/>
  <c r="BO599" i="1" l="1"/>
  <c r="BK599"/>
  <c r="AU597"/>
  <c r="D599" i="52"/>
  <c r="AT598" i="1"/>
  <c r="B600" i="52"/>
  <c r="I600" s="1"/>
  <c r="AS598" i="1"/>
  <c r="AK15"/>
  <c r="AR599"/>
  <c r="AQ599"/>
  <c r="V42" i="53" a="1"/>
  <c r="V42" s="1"/>
  <c r="L20" i="54" s="1"/>
  <c r="V46" i="53" a="1"/>
  <c r="V46" s="1"/>
  <c r="L24" i="54" s="1"/>
  <c r="V35" i="53" a="1"/>
  <c r="V35" s="1"/>
  <c r="L13" i="54" s="1"/>
  <c r="V56" i="53" a="1"/>
  <c r="V56" s="1"/>
  <c r="L34" i="54" s="1"/>
  <c r="V86" i="53" a="1"/>
  <c r="V86" s="1"/>
  <c r="L64" i="54" s="1"/>
  <c r="V89" i="53" a="1"/>
  <c r="V89" s="1"/>
  <c r="L67" i="54" s="1"/>
  <c r="P45" i="53" a="1"/>
  <c r="P45" s="1"/>
  <c r="F23" i="54" s="1"/>
  <c r="V62" i="53" a="1"/>
  <c r="V62" s="1"/>
  <c r="L40" i="54" s="1"/>
  <c r="V103" i="53" a="1"/>
  <c r="V103" s="1"/>
  <c r="L81" i="54" s="1"/>
  <c r="P35" i="53" a="1"/>
  <c r="P35" s="1"/>
  <c r="F13" i="54" s="1"/>
  <c r="P100" i="53" a="1"/>
  <c r="P100" s="1"/>
  <c r="F78" i="54" s="1"/>
  <c r="AR581" i="38"/>
  <c r="J604" i="53"/>
  <c r="FL31" i="55" s="1"/>
  <c r="EQ31"/>
  <c r="E589" i="48"/>
  <c r="X589" s="1"/>
  <c r="C589"/>
  <c r="D589"/>
  <c r="W589" s="1"/>
  <c r="P46" i="53" a="1"/>
  <c r="P46" s="1"/>
  <c r="F24" i="54" s="1"/>
  <c r="P51" i="53" a="1"/>
  <c r="P51" s="1"/>
  <c r="F29" i="54" s="1"/>
  <c r="U599" i="1"/>
  <c r="P52" i="53" a="1"/>
  <c r="P52" s="1"/>
  <c r="F30" i="54" s="1"/>
  <c r="P108" i="53" a="1"/>
  <c r="P108" s="1"/>
  <c r="F86" i="54" s="1"/>
  <c r="V70" i="53" a="1"/>
  <c r="V70" s="1"/>
  <c r="L48" i="54" s="1"/>
  <c r="P68" i="53" a="1"/>
  <c r="P68" s="1"/>
  <c r="F46" i="54" s="1"/>
  <c r="V87" i="53" a="1"/>
  <c r="V87" s="1"/>
  <c r="L65" i="54" s="1"/>
  <c r="P82" i="53" a="1"/>
  <c r="P82" s="1"/>
  <c r="F60" i="54" s="1"/>
  <c r="P110" i="53" a="1"/>
  <c r="P110" s="1"/>
  <c r="F88" i="54" s="1"/>
  <c r="P53" i="53" a="1"/>
  <c r="P53" s="1"/>
  <c r="F31" i="54" s="1"/>
  <c r="P80" i="53" a="1"/>
  <c r="P80" s="1"/>
  <c r="F58" i="54" s="1"/>
  <c r="V93" i="53" a="1"/>
  <c r="V93" s="1"/>
  <c r="L71" i="54" s="1"/>
  <c r="V104" i="53" a="1"/>
  <c r="V104" s="1"/>
  <c r="L82" i="54" s="1"/>
  <c r="P36" i="53" a="1"/>
  <c r="P36" s="1"/>
  <c r="F14" i="54" s="1"/>
  <c r="V53" i="53" a="1"/>
  <c r="V53" s="1"/>
  <c r="L31" i="54" s="1"/>
  <c r="V67" i="53" a="1"/>
  <c r="V67" s="1"/>
  <c r="L45" i="54" s="1"/>
  <c r="V33" i="53" a="1"/>
  <c r="V33" s="1"/>
  <c r="L11" i="54" s="1"/>
  <c r="P111" i="53" a="1"/>
  <c r="P111" s="1"/>
  <c r="P83" a="1"/>
  <c r="P83" s="1"/>
  <c r="F61" i="54" s="1"/>
  <c r="V57" i="53" a="1"/>
  <c r="V57" s="1"/>
  <c r="L35" i="54" s="1"/>
  <c r="V41" i="53" a="1"/>
  <c r="V41" s="1"/>
  <c r="L19" i="54" s="1"/>
  <c r="P54" i="53" a="1"/>
  <c r="P54" s="1"/>
  <c r="F32" i="54" s="1"/>
  <c r="P49" i="53" a="1"/>
  <c r="P49" s="1"/>
  <c r="F27" i="54" s="1"/>
  <c r="V74" i="53" a="1"/>
  <c r="V74" s="1"/>
  <c r="L52" i="54" s="1"/>
  <c r="P73" i="53" a="1"/>
  <c r="P73" s="1"/>
  <c r="F51" i="54" s="1"/>
  <c r="V84" i="53" a="1"/>
  <c r="V84" s="1"/>
  <c r="L62" i="54" s="1"/>
  <c r="V99" i="53" a="1"/>
  <c r="V99" s="1"/>
  <c r="L77" i="54" s="1"/>
  <c r="V68" i="53" a="1"/>
  <c r="V68" s="1"/>
  <c r="L46" i="54" s="1"/>
  <c r="P65" i="53" a="1"/>
  <c r="P65" s="1"/>
  <c r="F43" i="54" s="1"/>
  <c r="CF32" i="55"/>
  <c r="I605" i="53"/>
  <c r="DA32" i="55" s="1"/>
  <c r="D605" i="53"/>
  <c r="P90" a="1"/>
  <c r="P90" s="1"/>
  <c r="F68" i="54" s="1"/>
  <c r="P62" i="53" a="1"/>
  <c r="P62" s="1"/>
  <c r="F40" i="54" s="1"/>
  <c r="V92" i="53" a="1"/>
  <c r="V92" s="1"/>
  <c r="L70" i="54" s="1"/>
  <c r="V94" i="53" a="1"/>
  <c r="V94" s="1"/>
  <c r="L72" i="54" s="1"/>
  <c r="P95" i="53" a="1"/>
  <c r="P95" s="1"/>
  <c r="F73" i="54" s="1"/>
  <c r="P84" i="53" a="1"/>
  <c r="P84" s="1"/>
  <c r="F62" i="54" s="1"/>
  <c r="P59" i="53" a="1"/>
  <c r="P59" s="1"/>
  <c r="F37" i="54" s="1"/>
  <c r="G606" i="53"/>
  <c r="R66" s="1" a="1"/>
  <c r="R66" s="1"/>
  <c r="H44" i="54" s="1"/>
  <c r="BK33" i="55"/>
  <c r="BK35" s="1"/>
  <c r="F606" i="53"/>
  <c r="P56" a="1"/>
  <c r="P56" s="1"/>
  <c r="F34" i="54" s="1"/>
  <c r="P109" i="53" a="1"/>
  <c r="P109" s="1"/>
  <c r="F87" i="54" s="1"/>
  <c r="P76" i="53" a="1"/>
  <c r="P76" s="1"/>
  <c r="F54" i="54" s="1"/>
  <c r="V105" i="53" a="1"/>
  <c r="V105" s="1"/>
  <c r="L83" i="54" s="1"/>
  <c r="V90" i="53" a="1"/>
  <c r="V90" s="1"/>
  <c r="L68" i="54" s="1"/>
  <c r="P77" i="53" a="1"/>
  <c r="P77" s="1"/>
  <c r="F55" i="54" s="1"/>
  <c r="V110" i="53" a="1"/>
  <c r="V110" s="1"/>
  <c r="L88" i="54" s="1"/>
  <c r="V102" i="53" a="1"/>
  <c r="V102" s="1"/>
  <c r="L80" i="54" s="1"/>
  <c r="V107" i="53" a="1"/>
  <c r="V107" s="1"/>
  <c r="L85" i="54" s="1"/>
  <c r="P105" i="53" a="1"/>
  <c r="P105" s="1"/>
  <c r="F83" i="54" s="1"/>
  <c r="P96" i="53" a="1"/>
  <c r="P96" s="1"/>
  <c r="F74" i="54" s="1"/>
  <c r="V97" i="53" a="1"/>
  <c r="V97" s="1"/>
  <c r="L75" i="54" s="1"/>
  <c r="AM15" i="1"/>
  <c r="P40" i="53" a="1"/>
  <c r="P40" s="1"/>
  <c r="F18" i="54" s="1"/>
  <c r="P39" i="53" a="1"/>
  <c r="P39" s="1"/>
  <c r="F17" i="54" s="1"/>
  <c r="V30" i="53" a="1"/>
  <c r="V30" s="1"/>
  <c r="L8" i="54" s="1"/>
  <c r="P55" i="53" a="1"/>
  <c r="P55" s="1"/>
  <c r="F33" i="54" s="1"/>
  <c r="V54" i="53" a="1"/>
  <c r="V54" s="1"/>
  <c r="L32" i="54" s="1"/>
  <c r="V66" i="53" a="1"/>
  <c r="V66" s="1"/>
  <c r="L44" i="54" s="1"/>
  <c r="P101" i="53" a="1"/>
  <c r="P101" s="1"/>
  <c r="F79" i="54" s="1"/>
  <c r="V31" i="53" a="1"/>
  <c r="V31" s="1"/>
  <c r="L9" i="54" s="1"/>
  <c r="P92" i="53" a="1"/>
  <c r="P92" s="1"/>
  <c r="F70" i="54" s="1"/>
  <c r="V36" i="53" a="1"/>
  <c r="V36" s="1"/>
  <c r="L14" i="54" s="1"/>
  <c r="P38" i="53" a="1"/>
  <c r="P38" s="1"/>
  <c r="F16" i="54" s="1"/>
  <c r="P37" i="53" a="1"/>
  <c r="P37" s="1"/>
  <c r="F15" i="54" s="1"/>
  <c r="V71" i="53" a="1"/>
  <c r="V71" s="1"/>
  <c r="L49" i="54" s="1"/>
  <c r="V75" i="53" a="1"/>
  <c r="V75" s="1"/>
  <c r="L53" i="54" s="1"/>
  <c r="P86" i="53" a="1"/>
  <c r="P86" s="1"/>
  <c r="F64" i="54" s="1"/>
  <c r="P99" i="53" a="1"/>
  <c r="P99" s="1"/>
  <c r="F77" i="54" s="1"/>
  <c r="V40" i="53" a="1"/>
  <c r="V40" s="1"/>
  <c r="L18" i="54" s="1"/>
  <c r="P50" i="53" a="1"/>
  <c r="P50" s="1"/>
  <c r="F28" i="54" s="1"/>
  <c r="V79" i="53" a="1"/>
  <c r="V79" s="1"/>
  <c r="L57" i="54" s="1"/>
  <c r="V55" i="53" a="1"/>
  <c r="V55" s="1"/>
  <c r="L33" i="54" s="1"/>
  <c r="V47" i="53" a="1"/>
  <c r="V47" s="1"/>
  <c r="L25" i="54" s="1"/>
  <c r="V72" i="53" a="1"/>
  <c r="V72" s="1"/>
  <c r="L50" i="54" s="1"/>
  <c r="P66" i="53" a="1"/>
  <c r="P66" s="1"/>
  <c r="F44" i="54" s="1"/>
  <c r="P60" i="53" a="1"/>
  <c r="P60" s="1"/>
  <c r="F38" i="54" s="1"/>
  <c r="P87" i="53" a="1"/>
  <c r="P87" s="1"/>
  <c r="F65" i="54" s="1"/>
  <c r="DV32" i="55"/>
  <c r="H605" i="53"/>
  <c r="V48" a="1"/>
  <c r="V48" s="1"/>
  <c r="L26" i="54" s="1"/>
  <c r="P72" i="53" a="1"/>
  <c r="P72" s="1"/>
  <c r="F50" i="54" s="1"/>
  <c r="P102" i="53" a="1"/>
  <c r="P102" s="1"/>
  <c r="F80" i="54" s="1"/>
  <c r="R87" i="53" a="1"/>
  <c r="R87" s="1"/>
  <c r="H65" i="54" s="1"/>
  <c r="R106" i="53" a="1"/>
  <c r="R106" s="1"/>
  <c r="H84" i="54" s="1"/>
  <c r="P61" i="53" a="1"/>
  <c r="P61" s="1"/>
  <c r="F39" i="54" s="1"/>
  <c r="P63" i="53" a="1"/>
  <c r="P63" s="1"/>
  <c r="F41" i="54" s="1"/>
  <c r="X598" i="1"/>
  <c r="AB598" s="1"/>
  <c r="AE598" s="1"/>
  <c r="BK580" i="38"/>
  <c r="AS580"/>
  <c r="AU580" s="1"/>
  <c r="AV580" s="1"/>
  <c r="BA580" s="1"/>
  <c r="BB580" s="1"/>
  <c r="BH580" s="1"/>
  <c r="BJ580" s="1"/>
  <c r="P580" s="1"/>
  <c r="O580" s="1"/>
  <c r="F588" i="48"/>
  <c r="Y588" s="1"/>
  <c r="V588"/>
  <c r="P93" i="53" a="1"/>
  <c r="P93" s="1"/>
  <c r="F71" i="54" s="1"/>
  <c r="V38" i="53" a="1"/>
  <c r="V38" s="1"/>
  <c r="L16" i="54" s="1"/>
  <c r="P44" i="53" a="1"/>
  <c r="P44" s="1"/>
  <c r="F22" i="54" s="1"/>
  <c r="V65" i="53" a="1"/>
  <c r="V65" s="1"/>
  <c r="L43" i="54" s="1"/>
  <c r="P71" i="53" a="1"/>
  <c r="P71" s="1"/>
  <c r="F49" i="54" s="1"/>
  <c r="DA31" i="55"/>
  <c r="P48" i="53" a="1"/>
  <c r="P48" s="1"/>
  <c r="F26" i="54" s="1"/>
  <c r="AL15" i="1"/>
  <c r="V83" i="53" a="1"/>
  <c r="V83" s="1"/>
  <c r="L61" i="54" s="1"/>
  <c r="P41" i="53" a="1"/>
  <c r="P41" s="1"/>
  <c r="F19" i="54" s="1"/>
  <c r="P103" i="53" a="1"/>
  <c r="P103" s="1"/>
  <c r="F81" i="54" s="1"/>
  <c r="P104" i="53" a="1"/>
  <c r="P104" s="1"/>
  <c r="F82" i="54" s="1"/>
  <c r="V108" i="53" a="1"/>
  <c r="V108" s="1"/>
  <c r="L86" i="54" s="1"/>
  <c r="V44" i="53" a="1"/>
  <c r="V44" s="1"/>
  <c r="L22" i="54" s="1"/>
  <c r="V29" i="53" a="1"/>
  <c r="V29" s="1"/>
  <c r="L7" i="54" s="1"/>
  <c r="V51" i="53" a="1"/>
  <c r="V51" s="1"/>
  <c r="L29" i="54" s="1"/>
  <c r="P79" i="53" a="1"/>
  <c r="P79" s="1"/>
  <c r="F57" i="54" s="1"/>
  <c r="P98" i="53" a="1"/>
  <c r="P98" s="1"/>
  <c r="F76" i="54" s="1"/>
  <c r="V52" i="53" a="1"/>
  <c r="V52" s="1"/>
  <c r="L30" i="54" s="1"/>
  <c r="P75" i="53" a="1"/>
  <c r="P75" s="1"/>
  <c r="F53" i="54" s="1"/>
  <c r="V78" i="53" a="1"/>
  <c r="V78" s="1"/>
  <c r="L56" i="54" s="1"/>
  <c r="P85" i="53" a="1"/>
  <c r="P85" s="1"/>
  <c r="F63" i="54" s="1"/>
  <c r="P31" i="53" a="1"/>
  <c r="P31" s="1"/>
  <c r="F9" i="54" s="1"/>
  <c r="V76" i="53" a="1"/>
  <c r="V76" s="1"/>
  <c r="L54" i="54" s="1"/>
  <c r="V95" i="53" a="1"/>
  <c r="V95" s="1"/>
  <c r="L73" i="54" s="1"/>
  <c r="V101" i="53" a="1"/>
  <c r="V101" s="1"/>
  <c r="L79" i="54" s="1"/>
  <c r="P58" i="53" a="1"/>
  <c r="P58" s="1"/>
  <c r="F36" i="54" s="1"/>
  <c r="P88" i="53" a="1"/>
  <c r="P88" s="1"/>
  <c r="F66" i="54" s="1"/>
  <c r="V69" i="53" a="1"/>
  <c r="V69" s="1"/>
  <c r="L47" i="54" s="1"/>
  <c r="V60" i="53" a="1"/>
  <c r="V60" s="1"/>
  <c r="L38" i="54" s="1"/>
  <c r="P106" i="53" a="1"/>
  <c r="P106" s="1"/>
  <c r="F84" i="54" s="1"/>
  <c r="P57" i="53" a="1"/>
  <c r="P57" s="1"/>
  <c r="F35" i="54" s="1"/>
  <c r="V106" i="53" a="1"/>
  <c r="V106" s="1"/>
  <c r="L84" i="54" s="1"/>
  <c r="V63" i="53" a="1"/>
  <c r="V63" s="1"/>
  <c r="L41" i="54" s="1"/>
  <c r="R50" i="53" a="1"/>
  <c r="R50" s="1"/>
  <c r="H28" i="54" s="1"/>
  <c r="R93" i="53" a="1"/>
  <c r="R93" s="1"/>
  <c r="H71" i="54" s="1"/>
  <c r="R41" i="53" a="1"/>
  <c r="R41" s="1"/>
  <c r="H19" i="54" s="1"/>
  <c r="V61" i="53" a="1"/>
  <c r="V61" s="1"/>
  <c r="L39" i="54" s="1"/>
  <c r="P89" i="53" a="1"/>
  <c r="P89" s="1"/>
  <c r="F67" i="54" s="1"/>
  <c r="P30" i="53" a="1"/>
  <c r="P30" s="1"/>
  <c r="F8" i="54" s="1"/>
  <c r="W599" i="1"/>
  <c r="R599"/>
  <c r="V58" i="53" a="1"/>
  <c r="V58" s="1"/>
  <c r="L36" i="54" s="1"/>
  <c r="P32" i="53" a="1"/>
  <c r="P32" s="1"/>
  <c r="F10" i="54" s="1"/>
  <c r="U31" i="55"/>
  <c r="V73" i="53" a="1"/>
  <c r="V73" s="1"/>
  <c r="L51" i="54" s="1"/>
  <c r="V45" i="53" a="1"/>
  <c r="V45" s="1"/>
  <c r="L23" i="54" s="1"/>
  <c r="AC8" i="1"/>
  <c r="P107" i="53" a="1"/>
  <c r="P107" s="1"/>
  <c r="F85" i="54" s="1"/>
  <c r="V49" i="53" a="1"/>
  <c r="V49" s="1"/>
  <c r="L27" i="54" s="1"/>
  <c r="P78" i="53" a="1"/>
  <c r="P78" s="1"/>
  <c r="F56" i="54" s="1"/>
  <c r="V32" i="53" a="1"/>
  <c r="V32" s="1"/>
  <c r="L10" i="54" s="1"/>
  <c r="P47" i="53" a="1"/>
  <c r="P47" s="1"/>
  <c r="F25" i="54" s="1"/>
  <c r="V43" i="53" a="1"/>
  <c r="V43" s="1"/>
  <c r="L21" i="54" s="1"/>
  <c r="P42" i="53" a="1"/>
  <c r="P42" s="1"/>
  <c r="F20" i="54" s="1"/>
  <c r="V50" i="53" a="1"/>
  <c r="V50" s="1"/>
  <c r="L28" i="54" s="1"/>
  <c r="V82" i="53" a="1"/>
  <c r="V82" s="1"/>
  <c r="L60" i="54" s="1"/>
  <c r="P74" i="53" a="1"/>
  <c r="P74" s="1"/>
  <c r="F52" i="54" s="1"/>
  <c r="V39" i="53" a="1"/>
  <c r="V39" s="1"/>
  <c r="L17" i="54" s="1"/>
  <c r="V64" i="53" a="1"/>
  <c r="V64" s="1"/>
  <c r="L42" i="54" s="1"/>
  <c r="P33" i="53" a="1"/>
  <c r="P33" s="1"/>
  <c r="F11" i="54" s="1"/>
  <c r="P34" i="53" a="1"/>
  <c r="P34" s="1"/>
  <c r="F12" i="54" s="1"/>
  <c r="V81" i="53" a="1"/>
  <c r="V81" s="1"/>
  <c r="L59" i="54" s="1"/>
  <c r="V59" i="53" a="1"/>
  <c r="V59" s="1"/>
  <c r="L37" i="54" s="1"/>
  <c r="V80" i="53" a="1"/>
  <c r="V80" s="1"/>
  <c r="L58" i="54" s="1"/>
  <c r="P94" i="53" a="1"/>
  <c r="P94" s="1"/>
  <c r="F72" i="54" s="1"/>
  <c r="V77" i="53" a="1"/>
  <c r="V77" s="1"/>
  <c r="L55" i="54" s="1"/>
  <c r="V100" i="53" a="1"/>
  <c r="V100" s="1"/>
  <c r="L78" i="54" s="1"/>
  <c r="V85" i="53" a="1"/>
  <c r="V85" s="1"/>
  <c r="L63" i="54" s="1"/>
  <c r="P64" i="53" a="1"/>
  <c r="P64" s="1"/>
  <c r="F42" i="54" s="1"/>
  <c r="P29" i="53" a="1"/>
  <c r="P29" s="1"/>
  <c r="F7" i="54" s="1"/>
  <c r="P81" i="53" a="1"/>
  <c r="P81" s="1"/>
  <c r="F59" i="54" s="1"/>
  <c r="P69" i="53" a="1"/>
  <c r="P69" s="1"/>
  <c r="F47" i="54" s="1"/>
  <c r="P70" i="53" a="1"/>
  <c r="P70" s="1"/>
  <c r="F48" i="54" s="1"/>
  <c r="V98" i="53" a="1"/>
  <c r="V98" s="1"/>
  <c r="L76" i="54" s="1"/>
  <c r="P43" i="53" a="1"/>
  <c r="P43" s="1"/>
  <c r="F21" i="54" s="1"/>
  <c r="P91" i="53" a="1"/>
  <c r="P91" s="1"/>
  <c r="F69" i="54" s="1"/>
  <c r="R48" i="53" a="1"/>
  <c r="R48" s="1"/>
  <c r="H26" i="54" s="1"/>
  <c r="R36" i="53" a="1"/>
  <c r="R36" s="1"/>
  <c r="H14" i="54" s="1"/>
  <c r="V34" i="53" a="1"/>
  <c r="V34" s="1"/>
  <c r="L12" i="54" s="1"/>
  <c r="P67" i="53" a="1"/>
  <c r="P67" s="1"/>
  <c r="F45" i="54" s="1"/>
  <c r="AO582" i="38"/>
  <c r="AP582" s="1"/>
  <c r="AQ582" s="1"/>
  <c r="AN582"/>
  <c r="V88" i="53" a="1"/>
  <c r="V88" s="1"/>
  <c r="L66" i="54" s="1"/>
  <c r="R89" i="53" l="1" a="1"/>
  <c r="R89" s="1"/>
  <c r="H67" i="54" s="1"/>
  <c r="R59" i="53" a="1"/>
  <c r="R59" s="1"/>
  <c r="H37" i="54" s="1"/>
  <c r="R32" i="53" a="1"/>
  <c r="R32" s="1"/>
  <c r="H10" i="54" s="1"/>
  <c r="R39" i="53" a="1"/>
  <c r="R39" s="1"/>
  <c r="H17" i="54" s="1"/>
  <c r="R71" i="53" a="1"/>
  <c r="R71" s="1"/>
  <c r="H49" i="54" s="1"/>
  <c r="R84" i="53" a="1"/>
  <c r="R84" s="1"/>
  <c r="H62" i="54" s="1"/>
  <c r="AR582" i="38"/>
  <c r="R47" i="53" a="1"/>
  <c r="R47" s="1"/>
  <c r="H25" i="54" s="1"/>
  <c r="R108" i="53" a="1"/>
  <c r="R108" s="1"/>
  <c r="H86" i="54" s="1"/>
  <c r="B601" i="52"/>
  <c r="I601" s="1"/>
  <c r="AT599" i="1"/>
  <c r="AS599"/>
  <c r="X599"/>
  <c r="AB599" s="1"/>
  <c r="AE599" s="1"/>
  <c r="D600" i="52"/>
  <c r="AU598" i="1"/>
  <c r="R43" i="53" a="1"/>
  <c r="R43" s="1"/>
  <c r="H21" i="54" s="1"/>
  <c r="R63" i="53" a="1"/>
  <c r="R63" s="1"/>
  <c r="H41" i="54" s="1"/>
  <c r="R95" i="53" a="1"/>
  <c r="R95" s="1"/>
  <c r="H73" i="54" s="1"/>
  <c r="U32" i="55"/>
  <c r="V589" i="48"/>
  <c r="F589"/>
  <c r="Y589" s="1"/>
  <c r="AC10" i="1"/>
  <c r="AC11"/>
  <c r="DV33" i="55"/>
  <c r="DV35" s="1"/>
  <c r="H606" i="53"/>
  <c r="BK581" i="38"/>
  <c r="AS581"/>
  <c r="AU581" s="1"/>
  <c r="AV581" s="1"/>
  <c r="BA581" s="1"/>
  <c r="BB581" s="1"/>
  <c r="BH581" s="1"/>
  <c r="BJ581" s="1"/>
  <c r="P581" s="1"/>
  <c r="O581" s="1"/>
  <c r="EQ32" i="55"/>
  <c r="J605" i="53"/>
  <c r="FL32" i="55" s="1"/>
  <c r="BK582" i="38"/>
  <c r="AS582"/>
  <c r="AU582" s="1"/>
  <c r="AV582" s="1"/>
  <c r="BA582" s="1"/>
  <c r="BB582" s="1"/>
  <c r="BH582" s="1"/>
  <c r="BJ582" s="1"/>
  <c r="P582" s="1"/>
  <c r="O582" s="1"/>
  <c r="AO24" i="1"/>
  <c r="AP24" s="1"/>
  <c r="AO25"/>
  <c r="AP25" s="1"/>
  <c r="AO22"/>
  <c r="AP22" s="1"/>
  <c r="AO23"/>
  <c r="AP23" s="1"/>
  <c r="AO26"/>
  <c r="AP26" s="1"/>
  <c r="AO27"/>
  <c r="AP27" s="1"/>
  <c r="AO28"/>
  <c r="AP28" s="1"/>
  <c r="AO29"/>
  <c r="AP29" s="1"/>
  <c r="AO30"/>
  <c r="AP30" s="1"/>
  <c r="AO31"/>
  <c r="AP31" s="1"/>
  <c r="AO32"/>
  <c r="AP32" s="1"/>
  <c r="AO33"/>
  <c r="AP33" s="1"/>
  <c r="AO34"/>
  <c r="AP34" s="1"/>
  <c r="AO35"/>
  <c r="AP35" s="1"/>
  <c r="AO36"/>
  <c r="AP36" s="1"/>
  <c r="AO37"/>
  <c r="AP37" s="1"/>
  <c r="AO38"/>
  <c r="AP38" s="1"/>
  <c r="AO39"/>
  <c r="AP39" s="1"/>
  <c r="AO40"/>
  <c r="AP40" s="1"/>
  <c r="AO41"/>
  <c r="AP41" s="1"/>
  <c r="AO42"/>
  <c r="AP42" s="1"/>
  <c r="AO43"/>
  <c r="AP43" s="1"/>
  <c r="AO44"/>
  <c r="AP44" s="1"/>
  <c r="AO45"/>
  <c r="AP45" s="1"/>
  <c r="AO46"/>
  <c r="AP46" s="1"/>
  <c r="AO47"/>
  <c r="AP47" s="1"/>
  <c r="AO48"/>
  <c r="AP48" s="1"/>
  <c r="AO49"/>
  <c r="AP49" s="1"/>
  <c r="AO50"/>
  <c r="AP50" s="1"/>
  <c r="AO51"/>
  <c r="AP51" s="1"/>
  <c r="AO52"/>
  <c r="AP52" s="1"/>
  <c r="AO53"/>
  <c r="AP53" s="1"/>
  <c r="AO54"/>
  <c r="AP54" s="1"/>
  <c r="AO55"/>
  <c r="AP55" s="1"/>
  <c r="AO56"/>
  <c r="AP56" s="1"/>
  <c r="AO57"/>
  <c r="AP57" s="1"/>
  <c r="AO58"/>
  <c r="AP58" s="1"/>
  <c r="AO59"/>
  <c r="AP59" s="1"/>
  <c r="AO60"/>
  <c r="AP60" s="1"/>
  <c r="AO61"/>
  <c r="AP61" s="1"/>
  <c r="AO62"/>
  <c r="AP62" s="1"/>
  <c r="AO63"/>
  <c r="AP63" s="1"/>
  <c r="AO64"/>
  <c r="AP64" s="1"/>
  <c r="AO65"/>
  <c r="AP65" s="1"/>
  <c r="AO66"/>
  <c r="AP66" s="1"/>
  <c r="AO67"/>
  <c r="AP67" s="1"/>
  <c r="AO68"/>
  <c r="AP68" s="1"/>
  <c r="AO69"/>
  <c r="AP69" s="1"/>
  <c r="AO70"/>
  <c r="AP70" s="1"/>
  <c r="AO71"/>
  <c r="AP71" s="1"/>
  <c r="AO72"/>
  <c r="AP72" s="1"/>
  <c r="AO73"/>
  <c r="AP73" s="1"/>
  <c r="AO74"/>
  <c r="AP74" s="1"/>
  <c r="AO75"/>
  <c r="AP75" s="1"/>
  <c r="AO76"/>
  <c r="AP76" s="1"/>
  <c r="AO77"/>
  <c r="AP77" s="1"/>
  <c r="AO78"/>
  <c r="AP78" s="1"/>
  <c r="AO79"/>
  <c r="AP79" s="1"/>
  <c r="AO80"/>
  <c r="AP80" s="1"/>
  <c r="AO81"/>
  <c r="AP81" s="1"/>
  <c r="AO82"/>
  <c r="AP82" s="1"/>
  <c r="AO83"/>
  <c r="AP83" s="1"/>
  <c r="AO84"/>
  <c r="AP84" s="1"/>
  <c r="AO85"/>
  <c r="AP85" s="1"/>
  <c r="AO86"/>
  <c r="AP86" s="1"/>
  <c r="AO87"/>
  <c r="AP87" s="1"/>
  <c r="AO88"/>
  <c r="AP88" s="1"/>
  <c r="AO89"/>
  <c r="AP89" s="1"/>
  <c r="AO90"/>
  <c r="AP90" s="1"/>
  <c r="AO91"/>
  <c r="AP91" s="1"/>
  <c r="AO92"/>
  <c r="AP92" s="1"/>
  <c r="AO93"/>
  <c r="AP93" s="1"/>
  <c r="AO94"/>
  <c r="AP94" s="1"/>
  <c r="AO95"/>
  <c r="AP95" s="1"/>
  <c r="AO96"/>
  <c r="AP96" s="1"/>
  <c r="AO97"/>
  <c r="AP97" s="1"/>
  <c r="AO98"/>
  <c r="AP98" s="1"/>
  <c r="AO99"/>
  <c r="AP99" s="1"/>
  <c r="AO100"/>
  <c r="AP100" s="1"/>
  <c r="AO101"/>
  <c r="AP101" s="1"/>
  <c r="AO102"/>
  <c r="AP102" s="1"/>
  <c r="AO103"/>
  <c r="AP103" s="1"/>
  <c r="AO104"/>
  <c r="AP104" s="1"/>
  <c r="AO105"/>
  <c r="AP105" s="1"/>
  <c r="AO106"/>
  <c r="AP106" s="1"/>
  <c r="AO107"/>
  <c r="AP107" s="1"/>
  <c r="AO108"/>
  <c r="AP108" s="1"/>
  <c r="AO109"/>
  <c r="AP109" s="1"/>
  <c r="AO110"/>
  <c r="AP110" s="1"/>
  <c r="AO111"/>
  <c r="AP111" s="1"/>
  <c r="AO112"/>
  <c r="AP112" s="1"/>
  <c r="I606" i="53"/>
  <c r="CF33" i="55"/>
  <c r="CF35" s="1"/>
  <c r="D606" i="53"/>
  <c r="O87" s="1" a="1"/>
  <c r="O87" s="1"/>
  <c r="E65" i="54" s="1"/>
  <c r="R30" i="53" a="1"/>
  <c r="R30" s="1"/>
  <c r="H8" i="54" s="1"/>
  <c r="R69" i="53" a="1"/>
  <c r="R69" s="1"/>
  <c r="H47" i="54" s="1"/>
  <c r="R79" i="53" a="1"/>
  <c r="R79" s="1"/>
  <c r="H57" i="54" s="1"/>
  <c r="R80" i="53" a="1"/>
  <c r="R80" s="1"/>
  <c r="H58" i="54" s="1"/>
  <c r="R76" i="53" a="1"/>
  <c r="R76" s="1"/>
  <c r="H54" i="54" s="1"/>
  <c r="R110" i="53" a="1"/>
  <c r="R110" s="1"/>
  <c r="H88" i="54" s="1"/>
  <c r="R105" i="53" a="1"/>
  <c r="R105" s="1"/>
  <c r="H83" i="54" s="1"/>
  <c r="R58" i="53" a="1"/>
  <c r="R58" s="1"/>
  <c r="H36" i="54" s="1"/>
  <c r="R90" i="53" a="1"/>
  <c r="R90" s="1"/>
  <c r="H68" i="54" s="1"/>
  <c r="R61" i="53" a="1"/>
  <c r="R61" s="1"/>
  <c r="H39" i="54" s="1"/>
  <c r="R45" i="53" a="1"/>
  <c r="R45" s="1"/>
  <c r="H23" i="54" s="1"/>
  <c r="R55" i="53" a="1"/>
  <c r="R55" s="1"/>
  <c r="H33" i="54" s="1"/>
  <c r="R91" i="53" a="1"/>
  <c r="R91" s="1"/>
  <c r="H69" i="54" s="1"/>
  <c r="R102" i="53" a="1"/>
  <c r="R102" s="1"/>
  <c r="H80" i="54" s="1"/>
  <c r="R31" i="53" a="1"/>
  <c r="R31" s="1"/>
  <c r="H9" i="54" s="1"/>
  <c r="R64" i="53" a="1"/>
  <c r="R64" s="1"/>
  <c r="H42" i="54" s="1"/>
  <c r="R65" i="53" a="1"/>
  <c r="R65" s="1"/>
  <c r="H43" i="54" s="1"/>
  <c r="R42" i="53" a="1"/>
  <c r="R42" s="1"/>
  <c r="H20" i="54" s="1"/>
  <c r="R44" i="53" a="1"/>
  <c r="R44" s="1"/>
  <c r="H22" i="54" s="1"/>
  <c r="R82" i="53" a="1"/>
  <c r="R82" s="1"/>
  <c r="H60" i="54" s="1"/>
  <c r="R96" i="53" a="1"/>
  <c r="R96" s="1"/>
  <c r="H74" i="54" s="1"/>
  <c r="R99" i="53" a="1"/>
  <c r="R99" s="1"/>
  <c r="H77" i="54" s="1"/>
  <c r="R78" i="53" a="1"/>
  <c r="R78" s="1"/>
  <c r="H56" i="54" s="1"/>
  <c r="R104" i="53" a="1"/>
  <c r="R104" s="1"/>
  <c r="H82" i="54" s="1"/>
  <c r="R35" i="53" a="1"/>
  <c r="R35" s="1"/>
  <c r="H13" i="54" s="1"/>
  <c r="R100" i="53" a="1"/>
  <c r="R100" s="1"/>
  <c r="H78" i="54" s="1"/>
  <c r="R60" i="53" a="1"/>
  <c r="R60" s="1"/>
  <c r="H38" i="54" s="1"/>
  <c r="R49" i="53" a="1"/>
  <c r="R49" s="1"/>
  <c r="H27" i="54" s="1"/>
  <c r="R83" i="53" a="1"/>
  <c r="R83" s="1"/>
  <c r="H61" i="54" s="1"/>
  <c r="R75" i="53" a="1"/>
  <c r="R75" s="1"/>
  <c r="H53" i="54" s="1"/>
  <c r="R54" i="53" a="1"/>
  <c r="R54" s="1"/>
  <c r="H32" i="54" s="1"/>
  <c r="R70" i="53" a="1"/>
  <c r="R70" s="1"/>
  <c r="H48" i="54" s="1"/>
  <c r="R34" i="53" a="1"/>
  <c r="R34" s="1"/>
  <c r="H12" i="54" s="1"/>
  <c r="R111" i="53" a="1"/>
  <c r="R111" s="1"/>
  <c r="R98" a="1"/>
  <c r="R98" s="1"/>
  <c r="H76" i="54" s="1"/>
  <c r="R56" i="53" a="1"/>
  <c r="R56" s="1"/>
  <c r="H34" i="54" s="1"/>
  <c r="R92" i="53" a="1"/>
  <c r="R92" s="1"/>
  <c r="H70" i="54" s="1"/>
  <c r="R57" i="53" a="1"/>
  <c r="R57" s="1"/>
  <c r="H35" i="54" s="1"/>
  <c r="R88" i="53" a="1"/>
  <c r="R88" s="1"/>
  <c r="H66" i="54" s="1"/>
  <c r="R46" i="53" a="1"/>
  <c r="R46" s="1"/>
  <c r="H24" i="54" s="1"/>
  <c r="R67" i="53" a="1"/>
  <c r="R67" s="1"/>
  <c r="H45" i="54" s="1"/>
  <c r="R51" i="53" a="1"/>
  <c r="R51" s="1"/>
  <c r="H29" i="54" s="1"/>
  <c r="R97" i="53" a="1"/>
  <c r="R97" s="1"/>
  <c r="H75" i="54" s="1"/>
  <c r="R40" i="53" a="1"/>
  <c r="R40" s="1"/>
  <c r="H18" i="54" s="1"/>
  <c r="R103" i="53" a="1"/>
  <c r="R103" s="1"/>
  <c r="H81" i="54" s="1"/>
  <c r="R53" i="53" a="1"/>
  <c r="R53" s="1"/>
  <c r="H31" i="54" s="1"/>
  <c r="R107" i="53" a="1"/>
  <c r="R107" s="1"/>
  <c r="H85" i="54" s="1"/>
  <c r="R52" i="53" a="1"/>
  <c r="R52" s="1"/>
  <c r="H30" i="54" s="1"/>
  <c r="R37" i="53" a="1"/>
  <c r="R37" s="1"/>
  <c r="H15" i="54" s="1"/>
  <c r="R29" i="53" a="1"/>
  <c r="R29" s="1"/>
  <c r="H7" i="54" s="1"/>
  <c r="R68" i="53" a="1"/>
  <c r="R68" s="1"/>
  <c r="H46" i="54" s="1"/>
  <c r="R85" i="53" a="1"/>
  <c r="R85" s="1"/>
  <c r="H63" i="54" s="1"/>
  <c r="R101" i="53" a="1"/>
  <c r="R101" s="1"/>
  <c r="H79" i="54" s="1"/>
  <c r="R73" i="53" a="1"/>
  <c r="R73" s="1"/>
  <c r="H51" i="54" s="1"/>
  <c r="R77" i="53" a="1"/>
  <c r="R77" s="1"/>
  <c r="H55" i="54" s="1"/>
  <c r="R38" i="53" a="1"/>
  <c r="R38" s="1"/>
  <c r="H16" i="54" s="1"/>
  <c r="R74" i="53" a="1"/>
  <c r="R74" s="1"/>
  <c r="H52" i="54" s="1"/>
  <c r="R33" i="53" a="1"/>
  <c r="R33" s="1"/>
  <c r="H11" i="54" s="1"/>
  <c r="R86" i="53" a="1"/>
  <c r="R86" s="1"/>
  <c r="H64" i="54" s="1"/>
  <c r="R72" i="53" a="1"/>
  <c r="R72" s="1"/>
  <c r="H50" i="54" s="1"/>
  <c r="R109" i="53" a="1"/>
  <c r="R109" s="1"/>
  <c r="H87" i="54" s="1"/>
  <c r="R81" i="53" a="1"/>
  <c r="R81" s="1"/>
  <c r="H59" i="54" s="1"/>
  <c r="R62" i="53" a="1"/>
  <c r="R62" s="1"/>
  <c r="H40" i="54" s="1"/>
  <c r="R94" i="53" a="1"/>
  <c r="R94" s="1"/>
  <c r="H72" i="54" s="1"/>
  <c r="O41" i="53" a="1"/>
  <c r="O41" s="1"/>
  <c r="E19" i="54" s="1"/>
  <c r="BK111" i="1" l="1"/>
  <c r="BO111"/>
  <c r="BO103"/>
  <c r="BK103"/>
  <c r="BK95"/>
  <c r="BO95"/>
  <c r="BO87"/>
  <c r="BK87"/>
  <c r="BO79"/>
  <c r="BK79"/>
  <c r="BO71"/>
  <c r="BK71"/>
  <c r="BO63"/>
  <c r="BK63"/>
  <c r="BO55"/>
  <c r="BK55"/>
  <c r="BO47"/>
  <c r="BK47"/>
  <c r="BO39"/>
  <c r="BK39"/>
  <c r="BO31"/>
  <c r="BK31"/>
  <c r="BK25"/>
  <c r="BO25"/>
  <c r="BO107"/>
  <c r="BK107"/>
  <c r="BO99"/>
  <c r="BK99"/>
  <c r="BO91"/>
  <c r="BK91"/>
  <c r="BO83"/>
  <c r="BK83"/>
  <c r="BO75"/>
  <c r="BK75"/>
  <c r="BO67"/>
  <c r="BK67"/>
  <c r="BO59"/>
  <c r="BK59"/>
  <c r="BO51"/>
  <c r="BK51"/>
  <c r="BO43"/>
  <c r="BK43"/>
  <c r="BO35"/>
  <c r="BK35"/>
  <c r="BO27"/>
  <c r="BK27"/>
  <c r="BK104"/>
  <c r="BO104"/>
  <c r="BK88"/>
  <c r="BO88"/>
  <c r="BK72"/>
  <c r="BO72"/>
  <c r="BK64"/>
  <c r="BO64"/>
  <c r="BK48"/>
  <c r="BO48"/>
  <c r="BK40"/>
  <c r="BO40"/>
  <c r="BK32"/>
  <c r="BO32"/>
  <c r="BK22"/>
  <c r="BO22"/>
  <c r="BK106"/>
  <c r="BO106"/>
  <c r="BK98"/>
  <c r="BO98"/>
  <c r="BK82"/>
  <c r="BO82"/>
  <c r="BK74"/>
  <c r="BO74"/>
  <c r="BK66"/>
  <c r="BO66"/>
  <c r="BK58"/>
  <c r="BO58"/>
  <c r="BK50"/>
  <c r="BO50"/>
  <c r="BK42"/>
  <c r="BO42"/>
  <c r="BK34"/>
  <c r="BO34"/>
  <c r="BK26"/>
  <c r="BO26"/>
  <c r="BO108"/>
  <c r="BK108"/>
  <c r="BO100"/>
  <c r="BK100"/>
  <c r="BO92"/>
  <c r="BK92"/>
  <c r="BO84"/>
  <c r="BK84"/>
  <c r="BO76"/>
  <c r="BK76"/>
  <c r="BO68"/>
  <c r="BK68"/>
  <c r="BO60"/>
  <c r="BK60"/>
  <c r="BO52"/>
  <c r="BK52"/>
  <c r="BO44"/>
  <c r="BK44"/>
  <c r="BO36"/>
  <c r="BK36"/>
  <c r="BO28"/>
  <c r="BK28"/>
  <c r="BK112"/>
  <c r="BO112"/>
  <c r="BK96"/>
  <c r="BO96"/>
  <c r="BK80"/>
  <c r="BO80"/>
  <c r="BK56"/>
  <c r="BO56"/>
  <c r="BK90"/>
  <c r="BO90"/>
  <c r="BO109"/>
  <c r="BK109"/>
  <c r="BO101"/>
  <c r="BK101"/>
  <c r="BO93"/>
  <c r="BK93"/>
  <c r="BO85"/>
  <c r="BK85"/>
  <c r="BO77"/>
  <c r="BK77"/>
  <c r="BO69"/>
  <c r="BK69"/>
  <c r="BO61"/>
  <c r="BK61"/>
  <c r="BO53"/>
  <c r="BK53"/>
  <c r="BO45"/>
  <c r="BK45"/>
  <c r="BO37"/>
  <c r="BK37"/>
  <c r="BO29"/>
  <c r="BK29"/>
  <c r="BK105"/>
  <c r="BO105"/>
  <c r="BK97"/>
  <c r="BO97"/>
  <c r="BK89"/>
  <c r="BO89"/>
  <c r="BK81"/>
  <c r="BO81"/>
  <c r="BK73"/>
  <c r="BO73"/>
  <c r="BK65"/>
  <c r="BO65"/>
  <c r="BK57"/>
  <c r="BO57"/>
  <c r="BK49"/>
  <c r="BO49"/>
  <c r="BK41"/>
  <c r="BO41"/>
  <c r="BK33"/>
  <c r="BO33"/>
  <c r="BK23"/>
  <c r="BO23"/>
  <c r="BO110"/>
  <c r="BK110"/>
  <c r="BO102"/>
  <c r="BK102"/>
  <c r="BO94"/>
  <c r="BK94"/>
  <c r="BO86"/>
  <c r="BK86"/>
  <c r="BO78"/>
  <c r="BK78"/>
  <c r="BO70"/>
  <c r="BK70"/>
  <c r="BO62"/>
  <c r="BK62"/>
  <c r="BO54"/>
  <c r="BK54"/>
  <c r="BO46"/>
  <c r="BK46"/>
  <c r="BO38"/>
  <c r="BK38"/>
  <c r="BO30"/>
  <c r="BK30"/>
  <c r="BK24"/>
  <c r="BO24"/>
  <c r="AO421"/>
  <c r="AP421" s="1"/>
  <c r="AO422"/>
  <c r="AP422" s="1"/>
  <c r="AO423"/>
  <c r="AP423" s="1"/>
  <c r="AO424"/>
  <c r="AP424" s="1"/>
  <c r="AO425"/>
  <c r="AP425" s="1"/>
  <c r="AO426"/>
  <c r="AP426" s="1"/>
  <c r="AO427"/>
  <c r="AP427" s="1"/>
  <c r="AO428"/>
  <c r="AP428" s="1"/>
  <c r="AO429"/>
  <c r="AP429" s="1"/>
  <c r="AO430"/>
  <c r="AP430" s="1"/>
  <c r="AO431"/>
  <c r="AP431" s="1"/>
  <c r="AO432"/>
  <c r="AP432" s="1"/>
  <c r="AO433"/>
  <c r="AP433" s="1"/>
  <c r="AO434"/>
  <c r="AP434" s="1"/>
  <c r="AO435"/>
  <c r="AP435" s="1"/>
  <c r="AO436"/>
  <c r="AP436" s="1"/>
  <c r="AO437"/>
  <c r="AP437" s="1"/>
  <c r="AO438"/>
  <c r="AP438" s="1"/>
  <c r="AO439"/>
  <c r="AP439" s="1"/>
  <c r="AO440"/>
  <c r="AP440" s="1"/>
  <c r="AO441"/>
  <c r="AP441" s="1"/>
  <c r="AO442"/>
  <c r="AP442" s="1"/>
  <c r="AO443"/>
  <c r="AP443" s="1"/>
  <c r="AO444"/>
  <c r="AP444" s="1"/>
  <c r="AO445"/>
  <c r="AP445" s="1"/>
  <c r="AO446"/>
  <c r="AP446" s="1"/>
  <c r="AO447"/>
  <c r="AP447" s="1"/>
  <c r="AO448"/>
  <c r="AP448" s="1"/>
  <c r="AO449"/>
  <c r="AP449" s="1"/>
  <c r="AO450"/>
  <c r="AP450" s="1"/>
  <c r="AO451"/>
  <c r="AP451" s="1"/>
  <c r="AO452"/>
  <c r="AP452" s="1"/>
  <c r="AO453"/>
  <c r="AP453" s="1"/>
  <c r="AO454"/>
  <c r="AP454" s="1"/>
  <c r="AO455"/>
  <c r="AP455" s="1"/>
  <c r="AO456"/>
  <c r="AP456" s="1"/>
  <c r="AO457"/>
  <c r="AP457" s="1"/>
  <c r="AO458"/>
  <c r="AP458" s="1"/>
  <c r="AO459"/>
  <c r="AP459" s="1"/>
  <c r="AO460"/>
  <c r="AP460" s="1"/>
  <c r="AO461"/>
  <c r="AP461" s="1"/>
  <c r="AO462"/>
  <c r="AP462" s="1"/>
  <c r="AO463"/>
  <c r="AP463" s="1"/>
  <c r="AO464"/>
  <c r="AP464" s="1"/>
  <c r="AO465"/>
  <c r="AP465" s="1"/>
  <c r="AO466"/>
  <c r="AP466" s="1"/>
  <c r="AO467"/>
  <c r="AP467" s="1"/>
  <c r="AO468"/>
  <c r="AP468" s="1"/>
  <c r="AO469"/>
  <c r="AP469" s="1"/>
  <c r="AO470"/>
  <c r="AP470" s="1"/>
  <c r="AO471"/>
  <c r="AP471" s="1"/>
  <c r="AO472"/>
  <c r="AP472" s="1"/>
  <c r="AO473"/>
  <c r="AP473" s="1"/>
  <c r="AO474"/>
  <c r="AP474" s="1"/>
  <c r="AO475"/>
  <c r="AP475" s="1"/>
  <c r="AO476"/>
  <c r="AP476" s="1"/>
  <c r="AO477"/>
  <c r="AP477" s="1"/>
  <c r="AO478"/>
  <c r="AP478" s="1"/>
  <c r="AO479"/>
  <c r="AP479" s="1"/>
  <c r="AO480"/>
  <c r="AP480" s="1"/>
  <c r="AO481"/>
  <c r="AP481" s="1"/>
  <c r="AO482"/>
  <c r="AP482" s="1"/>
  <c r="AO483"/>
  <c r="AP483" s="1"/>
  <c r="AO484"/>
  <c r="AP484" s="1"/>
  <c r="AO485"/>
  <c r="AP485" s="1"/>
  <c r="AR112"/>
  <c r="AQ112"/>
  <c r="F119" i="53" s="1"/>
  <c r="AQ108" i="1"/>
  <c r="F115" i="53" s="1"/>
  <c r="AR108" i="1"/>
  <c r="AR104"/>
  <c r="AQ104"/>
  <c r="F111" i="53" s="1"/>
  <c r="AQ100" i="1"/>
  <c r="F107" i="53" s="1"/>
  <c r="AR100" i="1"/>
  <c r="AQ96"/>
  <c r="F103" i="53" s="1"/>
  <c r="AR96" i="1"/>
  <c r="AQ92"/>
  <c r="F99" i="53" s="1"/>
  <c r="AR92" i="1"/>
  <c r="AR88"/>
  <c r="AQ88"/>
  <c r="F95" i="53" s="1"/>
  <c r="AQ84" i="1"/>
  <c r="F91" i="53" s="1"/>
  <c r="AR84" i="1"/>
  <c r="AQ80"/>
  <c r="F87" i="53" s="1"/>
  <c r="AR80" i="1"/>
  <c r="AR76"/>
  <c r="AQ76"/>
  <c r="F83" i="53" s="1"/>
  <c r="AR72" i="1"/>
  <c r="AQ72"/>
  <c r="F79" i="53" s="1"/>
  <c r="AQ68" i="1"/>
  <c r="F75" i="53" s="1"/>
  <c r="AR68" i="1"/>
  <c r="AR64"/>
  <c r="AQ64"/>
  <c r="F71" i="53" s="1"/>
  <c r="AQ60" i="1"/>
  <c r="F67" i="53" s="1"/>
  <c r="AR60" i="1"/>
  <c r="AQ56"/>
  <c r="F63" i="53" s="1"/>
  <c r="AR56" i="1"/>
  <c r="AQ52"/>
  <c r="F59" i="53" s="1"/>
  <c r="AR52" i="1"/>
  <c r="AR48"/>
  <c r="AQ48"/>
  <c r="F55" i="53" s="1"/>
  <c r="AR44" i="1"/>
  <c r="AQ44"/>
  <c r="F51" i="53" s="1"/>
  <c r="AQ40" i="1"/>
  <c r="F47" i="53" s="1"/>
  <c r="AR40" i="1"/>
  <c r="AR36"/>
  <c r="AQ36"/>
  <c r="F43" i="53" s="1"/>
  <c r="AQ32" i="1"/>
  <c r="F39" i="53" s="1"/>
  <c r="AR32" i="1"/>
  <c r="AQ28"/>
  <c r="F35" i="53" s="1"/>
  <c r="AR28" i="1"/>
  <c r="AR22"/>
  <c r="AQ22"/>
  <c r="F29" i="53" s="1"/>
  <c r="AU599" i="1"/>
  <c r="D601" i="52"/>
  <c r="AR109" i="1"/>
  <c r="AQ109"/>
  <c r="F116" i="53" s="1"/>
  <c r="AR105" i="1"/>
  <c r="AQ105"/>
  <c r="F112" i="53" s="1"/>
  <c r="AQ101" i="1"/>
  <c r="F108" i="53" s="1"/>
  <c r="AR101" i="1"/>
  <c r="AQ97"/>
  <c r="F104" i="53" s="1"/>
  <c r="AR97" i="1"/>
  <c r="AQ93"/>
  <c r="F100" i="53" s="1"/>
  <c r="AR93" i="1"/>
  <c r="AR89"/>
  <c r="AQ89"/>
  <c r="F96" i="53" s="1"/>
  <c r="AQ85" i="1"/>
  <c r="F92" i="53" s="1"/>
  <c r="AR85" i="1"/>
  <c r="AR81"/>
  <c r="AQ81"/>
  <c r="F88" i="53" s="1"/>
  <c r="AR77" i="1"/>
  <c r="AQ77"/>
  <c r="F84" i="53" s="1"/>
  <c r="AQ73" i="1"/>
  <c r="F80" i="53" s="1"/>
  <c r="AR73" i="1"/>
  <c r="AQ69"/>
  <c r="F76" i="53" s="1"/>
  <c r="AR69" i="1"/>
  <c r="AR65"/>
  <c r="AQ65"/>
  <c r="F72" i="53" s="1"/>
  <c r="AR61" i="1"/>
  <c r="AQ61"/>
  <c r="F68" i="53" s="1"/>
  <c r="AQ57" i="1"/>
  <c r="F64" i="53" s="1"/>
  <c r="AR57" i="1"/>
  <c r="AQ53"/>
  <c r="F60" i="53" s="1"/>
  <c r="AR53" i="1"/>
  <c r="AR49"/>
  <c r="AQ49"/>
  <c r="F56" i="53" s="1"/>
  <c r="AQ45" i="1"/>
  <c r="F52" i="53" s="1"/>
  <c r="AR45" i="1"/>
  <c r="AR41"/>
  <c r="AQ41"/>
  <c r="F48" i="53" s="1"/>
  <c r="AQ37" i="1"/>
  <c r="F44" i="53" s="1"/>
  <c r="AR37" i="1"/>
  <c r="AQ33"/>
  <c r="F40" i="53" s="1"/>
  <c r="AR33" i="1"/>
  <c r="AQ29"/>
  <c r="F36" i="53" s="1"/>
  <c r="AR29" i="1"/>
  <c r="AR23"/>
  <c r="AQ23"/>
  <c r="F30" i="53" s="1"/>
  <c r="AR111" i="1"/>
  <c r="AQ111"/>
  <c r="F118" i="53" s="1"/>
  <c r="AR107" i="1"/>
  <c r="AQ107"/>
  <c r="F114" i="53" s="1"/>
  <c r="AQ103" i="1"/>
  <c r="F110" i="53" s="1"/>
  <c r="AR103" i="1"/>
  <c r="AR99"/>
  <c r="AQ99"/>
  <c r="F106" i="53" s="1"/>
  <c r="AQ95" i="1"/>
  <c r="F102" i="53" s="1"/>
  <c r="AR95" i="1"/>
  <c r="AQ91"/>
  <c r="F98" i="53" s="1"/>
  <c r="AR91" i="1"/>
  <c r="AR87"/>
  <c r="AQ87"/>
  <c r="F94" i="53" s="1"/>
  <c r="AQ83" i="1"/>
  <c r="F90" i="53" s="1"/>
  <c r="AR83" i="1"/>
  <c r="AR79"/>
  <c r="AQ79"/>
  <c r="F86" i="53" s="1"/>
  <c r="AQ75" i="1"/>
  <c r="F82" i="53" s="1"/>
  <c r="AR75" i="1"/>
  <c r="AQ71"/>
  <c r="F78" i="53" s="1"/>
  <c r="AR71" i="1"/>
  <c r="AQ67"/>
  <c r="F74" i="53" s="1"/>
  <c r="AR67" i="1"/>
  <c r="AQ63"/>
  <c r="F70" i="53" s="1"/>
  <c r="AR63" i="1"/>
  <c r="AR59"/>
  <c r="AQ59"/>
  <c r="F66" i="53" s="1"/>
  <c r="AQ55" i="1"/>
  <c r="F62" i="53" s="1"/>
  <c r="AR55" i="1"/>
  <c r="AR51"/>
  <c r="AQ51"/>
  <c r="F58" i="53" s="1"/>
  <c r="AQ47" i="1"/>
  <c r="F54" i="53" s="1"/>
  <c r="AR47" i="1"/>
  <c r="AQ43"/>
  <c r="F50" i="53" s="1"/>
  <c r="AR43" i="1"/>
  <c r="AR39"/>
  <c r="AQ39"/>
  <c r="F46" i="53" s="1"/>
  <c r="AR35" i="1"/>
  <c r="AQ35"/>
  <c r="F42" i="53" s="1"/>
  <c r="AR31" i="1"/>
  <c r="AQ31"/>
  <c r="F38" i="53" s="1"/>
  <c r="AR27" i="1"/>
  <c r="AQ27"/>
  <c r="F34" i="53" s="1"/>
  <c r="AQ25" i="1"/>
  <c r="F32" i="53" s="1"/>
  <c r="AR25" i="1"/>
  <c r="AQ110"/>
  <c r="F117" i="53" s="1"/>
  <c r="AR110" i="1"/>
  <c r="AR106"/>
  <c r="AQ106"/>
  <c r="F113" i="53" s="1"/>
  <c r="AQ102" i="1"/>
  <c r="F109" i="53" s="1"/>
  <c r="AR102" i="1"/>
  <c r="AQ98"/>
  <c r="F105" i="53" s="1"/>
  <c r="AR98" i="1"/>
  <c r="AR94"/>
  <c r="AQ94"/>
  <c r="F101" i="53" s="1"/>
  <c r="AQ90" i="1"/>
  <c r="F97" i="53" s="1"/>
  <c r="AR90" i="1"/>
  <c r="AR86"/>
  <c r="AQ86"/>
  <c r="F93" i="53" s="1"/>
  <c r="AQ82" i="1"/>
  <c r="F89" i="53" s="1"/>
  <c r="AR82" i="1"/>
  <c r="AQ78"/>
  <c r="F85" i="53" s="1"/>
  <c r="AR78" i="1"/>
  <c r="AR74"/>
  <c r="AQ74"/>
  <c r="F81" i="53" s="1"/>
  <c r="AR70" i="1"/>
  <c r="AQ70"/>
  <c r="F77" i="53" s="1"/>
  <c r="AR66" i="1"/>
  <c r="AQ66"/>
  <c r="F73" i="53" s="1"/>
  <c r="AR62" i="1"/>
  <c r="AQ62"/>
  <c r="F69" i="53" s="1"/>
  <c r="AQ58" i="1"/>
  <c r="F65" i="53" s="1"/>
  <c r="AR58" i="1"/>
  <c r="AQ54"/>
  <c r="F61" i="53" s="1"/>
  <c r="AR54" i="1"/>
  <c r="AQ50"/>
  <c r="F57" i="53" s="1"/>
  <c r="AR50" i="1"/>
  <c r="AQ46"/>
  <c r="F53" i="53" s="1"/>
  <c r="AR46" i="1"/>
  <c r="AQ42"/>
  <c r="F49" i="53" s="1"/>
  <c r="AR42" i="1"/>
  <c r="AQ38"/>
  <c r="F45" i="53" s="1"/>
  <c r="AR38" i="1"/>
  <c r="AR34"/>
  <c r="AQ34"/>
  <c r="F41" i="53" s="1"/>
  <c r="AQ30" i="1"/>
  <c r="F37" i="53" s="1"/>
  <c r="AR30" i="1"/>
  <c r="AQ26"/>
  <c r="F33" i="53" s="1"/>
  <c r="AR26" i="1"/>
  <c r="AR24"/>
  <c r="AQ24"/>
  <c r="F31" i="53" s="1"/>
  <c r="O96" a="1"/>
  <c r="O96" s="1"/>
  <c r="E74" i="54" s="1"/>
  <c r="DA33" i="55"/>
  <c r="T94" i="53" a="1"/>
  <c r="T94" s="1"/>
  <c r="J72" i="54" s="1"/>
  <c r="T73" i="53" a="1"/>
  <c r="T73" s="1"/>
  <c r="J51" i="54" s="1"/>
  <c r="T91" i="53" a="1"/>
  <c r="T91" s="1"/>
  <c r="J69" i="54" s="1"/>
  <c r="T93" i="53" a="1"/>
  <c r="T93" s="1"/>
  <c r="J71" i="54" s="1"/>
  <c r="T110" i="53" a="1"/>
  <c r="T110" s="1"/>
  <c r="J88" i="54" s="1"/>
  <c r="T54" i="53" a="1"/>
  <c r="T54" s="1"/>
  <c r="J32" i="54" s="1"/>
  <c r="T48" i="53" a="1"/>
  <c r="T48" s="1"/>
  <c r="J26" i="54" s="1"/>
  <c r="T31" i="53" a="1"/>
  <c r="T31" s="1"/>
  <c r="J9" i="54" s="1"/>
  <c r="T64" i="53" a="1"/>
  <c r="T64" s="1"/>
  <c r="J42" i="54" s="1"/>
  <c r="T88" i="53" a="1"/>
  <c r="T88" s="1"/>
  <c r="J66" i="54" s="1"/>
  <c r="T49" i="53" a="1"/>
  <c r="T49" s="1"/>
  <c r="J27" i="54" s="1"/>
  <c r="T99" i="53" a="1"/>
  <c r="T99" s="1"/>
  <c r="J77" i="54" s="1"/>
  <c r="T29" i="53" a="1"/>
  <c r="T29" s="1"/>
  <c r="J7" i="54" s="1"/>
  <c r="T36" i="53" a="1"/>
  <c r="T36" s="1"/>
  <c r="J14" i="54" s="1"/>
  <c r="T35" i="53" a="1"/>
  <c r="T35" s="1"/>
  <c r="J13" i="54" s="1"/>
  <c r="T68" i="53" a="1"/>
  <c r="T68" s="1"/>
  <c r="J46" i="54" s="1"/>
  <c r="T92" i="53" a="1"/>
  <c r="T92" s="1"/>
  <c r="J70" i="54" s="1"/>
  <c r="T107" i="53" a="1"/>
  <c r="T107" s="1"/>
  <c r="J85" i="54" s="1"/>
  <c r="T84" i="53" a="1"/>
  <c r="T84" s="1"/>
  <c r="J62" i="54" s="1"/>
  <c r="T43" i="53" a="1"/>
  <c r="T43" s="1"/>
  <c r="J21" i="54" s="1"/>
  <c r="T105" i="53" a="1"/>
  <c r="T105" s="1"/>
  <c r="J83" i="54" s="1"/>
  <c r="T52" i="53" a="1"/>
  <c r="T52" s="1"/>
  <c r="J30" i="54" s="1"/>
  <c r="T32" i="53" a="1"/>
  <c r="T32" s="1"/>
  <c r="J10" i="54" s="1"/>
  <c r="T72" i="53" a="1"/>
  <c r="T72" s="1"/>
  <c r="J50" i="54" s="1"/>
  <c r="T63" i="53" a="1"/>
  <c r="T63" s="1"/>
  <c r="J41" i="54" s="1"/>
  <c r="T109" i="53" a="1"/>
  <c r="T109" s="1"/>
  <c r="J87" i="54" s="1"/>
  <c r="T34" i="53" a="1"/>
  <c r="T34" s="1"/>
  <c r="J12" i="54" s="1"/>
  <c r="T106" i="53" a="1"/>
  <c r="T106" s="1"/>
  <c r="J84" i="54" s="1"/>
  <c r="T74" i="53" a="1"/>
  <c r="T74" s="1"/>
  <c r="J52" i="54" s="1"/>
  <c r="T57" i="53" a="1"/>
  <c r="T57" s="1"/>
  <c r="J35" i="54" s="1"/>
  <c r="T83" i="53" a="1"/>
  <c r="T83" s="1"/>
  <c r="J61" i="54" s="1"/>
  <c r="T87" i="53" a="1"/>
  <c r="T87" s="1"/>
  <c r="J65" i="54" s="1"/>
  <c r="T75" i="53" a="1"/>
  <c r="T75" s="1"/>
  <c r="J53" i="54" s="1"/>
  <c r="T62" i="53" a="1"/>
  <c r="T62" s="1"/>
  <c r="J40" i="54" s="1"/>
  <c r="T56" i="53" a="1"/>
  <c r="T56" s="1"/>
  <c r="J34" i="54" s="1"/>
  <c r="T46" i="53" a="1"/>
  <c r="T46" s="1"/>
  <c r="J24" i="54" s="1"/>
  <c r="T95" i="53" a="1"/>
  <c r="T95" s="1"/>
  <c r="J73" i="54" s="1"/>
  <c r="T60" i="53" a="1"/>
  <c r="T60" s="1"/>
  <c r="J38" i="54" s="1"/>
  <c r="T47" i="53" a="1"/>
  <c r="T47" s="1"/>
  <c r="J25" i="54" s="1"/>
  <c r="T59" i="53" a="1"/>
  <c r="T59" s="1"/>
  <c r="J37" i="54" s="1"/>
  <c r="T103" i="53" a="1"/>
  <c r="T103" s="1"/>
  <c r="J81" i="54" s="1"/>
  <c r="T76" i="53" a="1"/>
  <c r="T76" s="1"/>
  <c r="J54" i="54" s="1"/>
  <c r="T65" i="53" a="1"/>
  <c r="T65" s="1"/>
  <c r="J43" i="54" s="1"/>
  <c r="T45" i="53" a="1"/>
  <c r="T45" s="1"/>
  <c r="J23" i="54" s="1"/>
  <c r="T79" i="53" a="1"/>
  <c r="T79" s="1"/>
  <c r="J57" i="54" s="1"/>
  <c r="T33" i="53" a="1"/>
  <c r="T33" s="1"/>
  <c r="J11" i="54" s="1"/>
  <c r="T51" i="53" a="1"/>
  <c r="T51" s="1"/>
  <c r="J29" i="54" s="1"/>
  <c r="T96" i="53" a="1"/>
  <c r="T96" s="1"/>
  <c r="J74" i="54" s="1"/>
  <c r="T101" i="53" a="1"/>
  <c r="T101" s="1"/>
  <c r="J79" i="54" s="1"/>
  <c r="T81" i="53" a="1"/>
  <c r="T81" s="1"/>
  <c r="J59" i="54" s="1"/>
  <c r="T66" i="53" a="1"/>
  <c r="T66" s="1"/>
  <c r="J44" i="54" s="1"/>
  <c r="T41" i="53" a="1"/>
  <c r="T41" s="1"/>
  <c r="J19" i="54" s="1"/>
  <c r="T61" i="53" a="1"/>
  <c r="T61" s="1"/>
  <c r="J39" i="54" s="1"/>
  <c r="T42" i="53" a="1"/>
  <c r="T42" s="1"/>
  <c r="J20" i="54" s="1"/>
  <c r="T71" i="53" a="1"/>
  <c r="T71" s="1"/>
  <c r="J49" i="54" s="1"/>
  <c r="T82" i="53" a="1"/>
  <c r="T82" s="1"/>
  <c r="J60" i="54" s="1"/>
  <c r="T44" i="53" a="1"/>
  <c r="T44" s="1"/>
  <c r="J22" i="54" s="1"/>
  <c r="T90" i="53" a="1"/>
  <c r="T90" s="1"/>
  <c r="J68" i="54" s="1"/>
  <c r="T80" i="53" a="1"/>
  <c r="T80" s="1"/>
  <c r="J58" i="54" s="1"/>
  <c r="T89" i="53" a="1"/>
  <c r="T89" s="1"/>
  <c r="J67" i="54" s="1"/>
  <c r="T78" i="53" a="1"/>
  <c r="T78" s="1"/>
  <c r="J56" i="54" s="1"/>
  <c r="T40" i="53" a="1"/>
  <c r="T40" s="1"/>
  <c r="J18" i="54" s="1"/>
  <c r="T58" i="53" a="1"/>
  <c r="T58" s="1"/>
  <c r="J36" i="54" s="1"/>
  <c r="T67" i="53" a="1"/>
  <c r="T67" s="1"/>
  <c r="J45" i="54" s="1"/>
  <c r="T30" i="53" a="1"/>
  <c r="T30" s="1"/>
  <c r="J8" i="54" s="1"/>
  <c r="T102" i="53" a="1"/>
  <c r="T102" s="1"/>
  <c r="J80" i="54" s="1"/>
  <c r="T104" i="53" a="1"/>
  <c r="T104" s="1"/>
  <c r="J82" i="54" s="1"/>
  <c r="T70" i="53" a="1"/>
  <c r="T70" s="1"/>
  <c r="J48" i="54" s="1"/>
  <c r="T77" i="53" a="1"/>
  <c r="T77" s="1"/>
  <c r="J55" i="54" s="1"/>
  <c r="T108" i="53" a="1"/>
  <c r="T108" s="1"/>
  <c r="J86" i="54" s="1"/>
  <c r="T97" i="53" a="1"/>
  <c r="T97" s="1"/>
  <c r="J75" i="54" s="1"/>
  <c r="T86" i="53" a="1"/>
  <c r="T86" s="1"/>
  <c r="J64" i="54" s="1"/>
  <c r="T53" i="53" a="1"/>
  <c r="T53" s="1"/>
  <c r="J31" i="54" s="1"/>
  <c r="T38" i="53" a="1"/>
  <c r="T38" s="1"/>
  <c r="J16" i="54" s="1"/>
  <c r="T50" i="53" a="1"/>
  <c r="T50" s="1"/>
  <c r="J28" i="54" s="1"/>
  <c r="T55" i="53" a="1"/>
  <c r="T55" s="1"/>
  <c r="J33" i="54" s="1"/>
  <c r="T85" i="53" a="1"/>
  <c r="T85" s="1"/>
  <c r="J63" i="54" s="1"/>
  <c r="T69" i="53" a="1"/>
  <c r="T69" s="1"/>
  <c r="J47" i="54" s="1"/>
  <c r="T37" i="53" a="1"/>
  <c r="T37" s="1"/>
  <c r="J15" i="54" s="1"/>
  <c r="T98" i="53" a="1"/>
  <c r="T98" s="1"/>
  <c r="J76" i="54" s="1"/>
  <c r="T100" i="53" a="1"/>
  <c r="T100" s="1"/>
  <c r="J78" i="54" s="1"/>
  <c r="T39" i="53" a="1"/>
  <c r="T39" s="1"/>
  <c r="J17" i="54" s="1"/>
  <c r="Y15" i="1"/>
  <c r="AA15" s="1"/>
  <c r="AC9" s="1"/>
  <c r="AO113" s="1"/>
  <c r="AP113" s="1"/>
  <c r="AO227"/>
  <c r="AP227" s="1"/>
  <c r="AO228"/>
  <c r="AP228" s="1"/>
  <c r="AO229"/>
  <c r="AP229" s="1"/>
  <c r="AO230"/>
  <c r="AP230" s="1"/>
  <c r="AO231"/>
  <c r="AP231" s="1"/>
  <c r="AO232"/>
  <c r="AP232" s="1"/>
  <c r="AO233"/>
  <c r="AP233" s="1"/>
  <c r="AO234"/>
  <c r="AP234" s="1"/>
  <c r="O104" i="53" a="1"/>
  <c r="O104" s="1"/>
  <c r="E82" i="54" s="1"/>
  <c r="O100" i="53" a="1"/>
  <c r="O100" s="1"/>
  <c r="E78" i="54" s="1"/>
  <c r="O84" i="53" a="1"/>
  <c r="O84" s="1"/>
  <c r="E62" i="54" s="1"/>
  <c r="O65" i="53" a="1"/>
  <c r="O65" s="1"/>
  <c r="E43" i="54" s="1"/>
  <c r="O63" i="53" a="1"/>
  <c r="O63" s="1"/>
  <c r="E41" i="54" s="1"/>
  <c r="O44" i="53" a="1"/>
  <c r="O44" s="1"/>
  <c r="E22" i="54" s="1"/>
  <c r="O69" i="53" a="1"/>
  <c r="O69" s="1"/>
  <c r="E47" i="54" s="1"/>
  <c r="O62" i="53" a="1"/>
  <c r="O62" s="1"/>
  <c r="E40" i="54" s="1"/>
  <c r="O46" i="53" a="1"/>
  <c r="O46" s="1"/>
  <c r="E24" i="54" s="1"/>
  <c r="O45" i="53" a="1"/>
  <c r="O45" s="1"/>
  <c r="E23" i="54" s="1"/>
  <c r="J606" i="53"/>
  <c r="FL33" i="55" s="1"/>
  <c r="EQ33"/>
  <c r="EQ35" s="1"/>
  <c r="O48" i="53" a="1"/>
  <c r="O48" s="1"/>
  <c r="E26" i="54" s="1"/>
  <c r="O50" i="53" a="1"/>
  <c r="O50" s="1"/>
  <c r="E28" i="54" s="1"/>
  <c r="O86" i="53" a="1"/>
  <c r="O86" s="1"/>
  <c r="E64" i="54" s="1"/>
  <c r="O106" i="53" a="1"/>
  <c r="O106" s="1"/>
  <c r="E84" i="54" s="1"/>
  <c r="O71" i="53" a="1"/>
  <c r="O71" s="1"/>
  <c r="E49" i="54" s="1"/>
  <c r="O109" i="53" a="1"/>
  <c r="O109" s="1"/>
  <c r="E87" i="54" s="1"/>
  <c r="O99" i="53" a="1"/>
  <c r="O99" s="1"/>
  <c r="E77" i="54" s="1"/>
  <c r="O40" i="53" a="1"/>
  <c r="O40" s="1"/>
  <c r="E18" i="54" s="1"/>
  <c r="O57" i="53" a="1"/>
  <c r="O57" s="1"/>
  <c r="E35" i="54" s="1"/>
  <c r="O36" i="53" a="1"/>
  <c r="O36" s="1"/>
  <c r="E14" i="54" s="1"/>
  <c r="U33" i="55"/>
  <c r="U35" s="1"/>
  <c r="O39" i="53" a="1"/>
  <c r="O39" s="1"/>
  <c r="E17" i="54" s="1"/>
  <c r="O111" i="53" a="1"/>
  <c r="O111" s="1"/>
  <c r="O61" a="1"/>
  <c r="O61" s="1"/>
  <c r="E39" i="54" s="1"/>
  <c r="O110" i="53" a="1"/>
  <c r="O110" s="1"/>
  <c r="E88" i="54" s="1"/>
  <c r="O83" i="53" a="1"/>
  <c r="O83" s="1"/>
  <c r="E61" i="54" s="1"/>
  <c r="O49" i="53" a="1"/>
  <c r="O49" s="1"/>
  <c r="E27" i="54" s="1"/>
  <c r="O102" i="53" a="1"/>
  <c r="O102" s="1"/>
  <c r="E80" i="54" s="1"/>
  <c r="O37" i="53" a="1"/>
  <c r="O37" s="1"/>
  <c r="E15" i="54" s="1"/>
  <c r="O95" i="53" a="1"/>
  <c r="O95" s="1"/>
  <c r="E73" i="54" s="1"/>
  <c r="O98" i="53" a="1"/>
  <c r="O98" s="1"/>
  <c r="E76" i="54" s="1"/>
  <c r="O82" i="53" a="1"/>
  <c r="O82" s="1"/>
  <c r="E60" i="54" s="1"/>
  <c r="O54" i="53" a="1"/>
  <c r="O54" s="1"/>
  <c r="E32" i="54" s="1"/>
  <c r="O52" i="53" a="1"/>
  <c r="O52" s="1"/>
  <c r="E30" i="54" s="1"/>
  <c r="O31" i="53" a="1"/>
  <c r="O31" s="1"/>
  <c r="E9" i="54" s="1"/>
  <c r="O92" i="53" a="1"/>
  <c r="O92" s="1"/>
  <c r="E70" i="54" s="1"/>
  <c r="O105" i="53" a="1"/>
  <c r="O105" s="1"/>
  <c r="E83" i="54" s="1"/>
  <c r="O93" i="53" a="1"/>
  <c r="O93" s="1"/>
  <c r="E71" i="54" s="1"/>
  <c r="O51" i="53" a="1"/>
  <c r="O51" s="1"/>
  <c r="E29" i="54" s="1"/>
  <c r="O64" i="53" a="1"/>
  <c r="O64" s="1"/>
  <c r="E42" i="54" s="1"/>
  <c r="O59" i="53" a="1"/>
  <c r="O59" s="1"/>
  <c r="E37" i="54" s="1"/>
  <c r="O88" i="53" a="1"/>
  <c r="O88" s="1"/>
  <c r="E66" i="54" s="1"/>
  <c r="O34" i="53" a="1"/>
  <c r="O34" s="1"/>
  <c r="E12" i="54" s="1"/>
  <c r="O75" i="53" a="1"/>
  <c r="O75" s="1"/>
  <c r="E53" i="54" s="1"/>
  <c r="O33" i="53" a="1"/>
  <c r="O33" s="1"/>
  <c r="E11" i="54" s="1"/>
  <c r="O60" i="53" a="1"/>
  <c r="O60" s="1"/>
  <c r="E38" i="54" s="1"/>
  <c r="O90" i="53" a="1"/>
  <c r="O90" s="1"/>
  <c r="E68" i="54" s="1"/>
  <c r="O55" i="53" a="1"/>
  <c r="O55" s="1"/>
  <c r="E33" i="54" s="1"/>
  <c r="O103" i="53" a="1"/>
  <c r="O103" s="1"/>
  <c r="E81" i="54" s="1"/>
  <c r="O80" i="53" a="1"/>
  <c r="O80" s="1"/>
  <c r="E58" i="54" s="1"/>
  <c r="O107" i="53" a="1"/>
  <c r="O107" s="1"/>
  <c r="E85" i="54" s="1"/>
  <c r="O78" i="53" a="1"/>
  <c r="O78" s="1"/>
  <c r="E56" i="54" s="1"/>
  <c r="O32" i="53" a="1"/>
  <c r="O32" s="1"/>
  <c r="E10" i="54" s="1"/>
  <c r="O42" i="53" a="1"/>
  <c r="O42" s="1"/>
  <c r="E20" i="54" s="1"/>
  <c r="O94" i="53" a="1"/>
  <c r="O94" s="1"/>
  <c r="E72" i="54" s="1"/>
  <c r="O81" i="53" a="1"/>
  <c r="O81" s="1"/>
  <c r="E59" i="54" s="1"/>
  <c r="O58" i="53" a="1"/>
  <c r="O58" s="1"/>
  <c r="E36" i="54" s="1"/>
  <c r="O67" i="53" a="1"/>
  <c r="O67" s="1"/>
  <c r="E45" i="54" s="1"/>
  <c r="O43" i="53" a="1"/>
  <c r="O43" s="1"/>
  <c r="E21" i="54" s="1"/>
  <c r="O89" i="53" a="1"/>
  <c r="O89" s="1"/>
  <c r="E67" i="54" s="1"/>
  <c r="O97" i="53" a="1"/>
  <c r="O97" s="1"/>
  <c r="E75" i="54" s="1"/>
  <c r="O73" i="53" a="1"/>
  <c r="O73" s="1"/>
  <c r="E51" i="54" s="1"/>
  <c r="O38" i="53" a="1"/>
  <c r="O38" s="1"/>
  <c r="E16" i="54" s="1"/>
  <c r="O79" i="53" a="1"/>
  <c r="O79" s="1"/>
  <c r="E57" i="54" s="1"/>
  <c r="O76" i="53" a="1"/>
  <c r="O76" s="1"/>
  <c r="E54" i="54" s="1"/>
  <c r="O85" i="53" a="1"/>
  <c r="O85" s="1"/>
  <c r="E63" i="54" s="1"/>
  <c r="O56" i="53" a="1"/>
  <c r="O56" s="1"/>
  <c r="E34" i="54" s="1"/>
  <c r="O91" i="53" a="1"/>
  <c r="O91" s="1"/>
  <c r="E69" i="54" s="1"/>
  <c r="O35" i="53" a="1"/>
  <c r="O35" s="1"/>
  <c r="E13" i="54" s="1"/>
  <c r="O66" i="53" a="1"/>
  <c r="O66" s="1"/>
  <c r="E44" i="54" s="1"/>
  <c r="AD10" i="1"/>
  <c r="AC15"/>
  <c r="AE15" s="1"/>
  <c r="AC12" s="1"/>
  <c r="AD11" s="1"/>
  <c r="AO235" s="1"/>
  <c r="AP235" s="1"/>
  <c r="AO236" s="1"/>
  <c r="AP236" s="1"/>
  <c r="AO237" s="1"/>
  <c r="AP237" s="1"/>
  <c r="AO238" s="1"/>
  <c r="AP238" s="1"/>
  <c r="AO239" s="1"/>
  <c r="AP239" s="1"/>
  <c r="AO240" s="1"/>
  <c r="AP240" s="1"/>
  <c r="AO241" s="1"/>
  <c r="AP241" s="1"/>
  <c r="AO242" s="1"/>
  <c r="AP242" s="1"/>
  <c r="AO243" s="1"/>
  <c r="AP243" s="1"/>
  <c r="AO244" s="1"/>
  <c r="AP244" s="1"/>
  <c r="AO245" s="1"/>
  <c r="AP245" s="1"/>
  <c r="AO246" s="1"/>
  <c r="AP246" s="1"/>
  <c r="AO247" s="1"/>
  <c r="AP247" s="1"/>
  <c r="AO248" s="1"/>
  <c r="AP248" s="1"/>
  <c r="AO249" s="1"/>
  <c r="AP249" s="1"/>
  <c r="AO250" s="1"/>
  <c r="AP250" s="1"/>
  <c r="AO251" s="1"/>
  <c r="AP251" s="1"/>
  <c r="AO252" s="1"/>
  <c r="AP252" s="1"/>
  <c r="AO253" s="1"/>
  <c r="AP253" s="1"/>
  <c r="O29" i="53" a="1"/>
  <c r="O29" s="1"/>
  <c r="E7" i="54" s="1"/>
  <c r="O108" i="53" a="1"/>
  <c r="O108" s="1"/>
  <c r="E86" i="54" s="1"/>
  <c r="O53" i="53" a="1"/>
  <c r="O53" s="1"/>
  <c r="E31" i="54" s="1"/>
  <c r="O47" i="53" a="1"/>
  <c r="O47" s="1"/>
  <c r="E25" i="54" s="1"/>
  <c r="O30" i="53" a="1"/>
  <c r="O30" s="1"/>
  <c r="E8" i="54" s="1"/>
  <c r="O77" i="53" a="1"/>
  <c r="O77" s="1"/>
  <c r="E55" i="54" s="1"/>
  <c r="O101" i="53" a="1"/>
  <c r="O101" s="1"/>
  <c r="E79" i="54" s="1"/>
  <c r="O74" i="53" a="1"/>
  <c r="O74" s="1"/>
  <c r="E52" i="54" s="1"/>
  <c r="O70" i="53" a="1"/>
  <c r="O70" s="1"/>
  <c r="E48" i="54" s="1"/>
  <c r="O72" i="53" a="1"/>
  <c r="O72" s="1"/>
  <c r="E50" i="54" s="1"/>
  <c r="O68" i="53" a="1"/>
  <c r="O68" s="1"/>
  <c r="E46" i="54" s="1"/>
  <c r="BK480" i="1" l="1"/>
  <c r="BO480"/>
  <c r="BO472"/>
  <c r="BK472"/>
  <c r="BK464"/>
  <c r="BO464"/>
  <c r="BO456"/>
  <c r="BK456"/>
  <c r="BK448"/>
  <c r="BO448"/>
  <c r="BO440"/>
  <c r="BK440"/>
  <c r="BK432"/>
  <c r="BO432"/>
  <c r="BO424"/>
  <c r="BK424"/>
  <c r="BK481"/>
  <c r="BO481"/>
  <c r="BK473"/>
  <c r="BO473"/>
  <c r="BK465"/>
  <c r="BO465"/>
  <c r="BK457"/>
  <c r="BO457"/>
  <c r="BK449"/>
  <c r="BO449"/>
  <c r="BO441"/>
  <c r="BK441"/>
  <c r="BK433"/>
  <c r="BO433"/>
  <c r="BO425"/>
  <c r="BK425"/>
  <c r="AQ113"/>
  <c r="F120" i="53" s="1"/>
  <c r="H120" s="1"/>
  <c r="BK113" i="1"/>
  <c r="BO113"/>
  <c r="BK483"/>
  <c r="BO483"/>
  <c r="BK475"/>
  <c r="BO475"/>
  <c r="BK467"/>
  <c r="BO467"/>
  <c r="BK459"/>
  <c r="BO459"/>
  <c r="BK451"/>
  <c r="BO451"/>
  <c r="BK443"/>
  <c r="BO443"/>
  <c r="BK435"/>
  <c r="BO435"/>
  <c r="BK427"/>
  <c r="BO427"/>
  <c r="BO479"/>
  <c r="BK479"/>
  <c r="BO471"/>
  <c r="BK471"/>
  <c r="BO463"/>
  <c r="BK463"/>
  <c r="BO455"/>
  <c r="BK455"/>
  <c r="BO447"/>
  <c r="BK447"/>
  <c r="BO439"/>
  <c r="BK439"/>
  <c r="BO431"/>
  <c r="BK431"/>
  <c r="BO423"/>
  <c r="BK423"/>
  <c r="BK482"/>
  <c r="BO482"/>
  <c r="BO474"/>
  <c r="BK474"/>
  <c r="BK466"/>
  <c r="BO466"/>
  <c r="BO458"/>
  <c r="BK458"/>
  <c r="BK450"/>
  <c r="BO450"/>
  <c r="BK442"/>
  <c r="BO442"/>
  <c r="BK434"/>
  <c r="BO434"/>
  <c r="BO426"/>
  <c r="BK426"/>
  <c r="BK484"/>
  <c r="BO484"/>
  <c r="BK476"/>
  <c r="BO476"/>
  <c r="BK468"/>
  <c r="BO468"/>
  <c r="BK460"/>
  <c r="BO460"/>
  <c r="BK452"/>
  <c r="BO452"/>
  <c r="BK444"/>
  <c r="BO444"/>
  <c r="BK436"/>
  <c r="BO436"/>
  <c r="BK428"/>
  <c r="BO428"/>
  <c r="BK485"/>
  <c r="BO485"/>
  <c r="BK477"/>
  <c r="BO477"/>
  <c r="BK469"/>
  <c r="BO469"/>
  <c r="BK461"/>
  <c r="BO461"/>
  <c r="BK453"/>
  <c r="BO453"/>
  <c r="BK445"/>
  <c r="BO445"/>
  <c r="BK437"/>
  <c r="BO437"/>
  <c r="BK429"/>
  <c r="BO429"/>
  <c r="BK421"/>
  <c r="BO421"/>
  <c r="BO478"/>
  <c r="BK478"/>
  <c r="BO470"/>
  <c r="BK470"/>
  <c r="BO462"/>
  <c r="BK462"/>
  <c r="BO454"/>
  <c r="BK454"/>
  <c r="BO446"/>
  <c r="BK446"/>
  <c r="BO438"/>
  <c r="BK438"/>
  <c r="BO430"/>
  <c r="BK430"/>
  <c r="BO422"/>
  <c r="BK422"/>
  <c r="AD9"/>
  <c r="AR113"/>
  <c r="AD14"/>
  <c r="AE14" s="1"/>
  <c r="AO254"/>
  <c r="AP254" s="1"/>
  <c r="AO255" s="1"/>
  <c r="AP255" s="1"/>
  <c r="AO256" s="1"/>
  <c r="AP256" s="1"/>
  <c r="AO257" s="1"/>
  <c r="AP257" s="1"/>
  <c r="AO258" s="1"/>
  <c r="AP258" s="1"/>
  <c r="AO259" s="1"/>
  <c r="AP259" s="1"/>
  <c r="AO260" s="1"/>
  <c r="AP260" s="1"/>
  <c r="AO261" s="1"/>
  <c r="AP261" s="1"/>
  <c r="AO262" s="1"/>
  <c r="AP262" s="1"/>
  <c r="AO263" s="1"/>
  <c r="AP263" s="1"/>
  <c r="AO264" s="1"/>
  <c r="AP264" s="1"/>
  <c r="AO265" s="1"/>
  <c r="AP265" s="1"/>
  <c r="AO266" s="1"/>
  <c r="AP266" s="1"/>
  <c r="AO267" s="1"/>
  <c r="AP267" s="1"/>
  <c r="AO268" s="1"/>
  <c r="AP268" s="1"/>
  <c r="AO269" s="1"/>
  <c r="AP269" s="1"/>
  <c r="AO270" s="1"/>
  <c r="AP270" s="1"/>
  <c r="AO271" s="1"/>
  <c r="AP271" s="1"/>
  <c r="AO272" s="1"/>
  <c r="AP272" s="1"/>
  <c r="AO273" s="1"/>
  <c r="AP273" s="1"/>
  <c r="AO274" s="1"/>
  <c r="AP274" s="1"/>
  <c r="AO275" s="1"/>
  <c r="AP275" s="1"/>
  <c r="AO276" s="1"/>
  <c r="AP276" s="1"/>
  <c r="AO277" s="1"/>
  <c r="AP277" s="1"/>
  <c r="AO278" s="1"/>
  <c r="AP278" s="1"/>
  <c r="AO279" s="1"/>
  <c r="AP279" s="1"/>
  <c r="AO280" s="1"/>
  <c r="AP280" s="1"/>
  <c r="AO281" s="1"/>
  <c r="AP281" s="1"/>
  <c r="AO282" s="1"/>
  <c r="AP282" s="1"/>
  <c r="AO283" s="1"/>
  <c r="AP283" s="1"/>
  <c r="AO284" s="1"/>
  <c r="AP284" s="1"/>
  <c r="AO285" s="1"/>
  <c r="AP285" s="1"/>
  <c r="AO286" s="1"/>
  <c r="AP286" s="1"/>
  <c r="AO287" s="1"/>
  <c r="AP287" s="1"/>
  <c r="AR287" s="1"/>
  <c r="AR483"/>
  <c r="AQ483"/>
  <c r="F490" i="53" s="1"/>
  <c r="AR479" i="1"/>
  <c r="AQ479"/>
  <c r="F486" i="53" s="1"/>
  <c r="AR475" i="1"/>
  <c r="AQ475"/>
  <c r="F482" i="53" s="1"/>
  <c r="AR471" i="1"/>
  <c r="AQ471"/>
  <c r="F478" i="53" s="1"/>
  <c r="AR467" i="1"/>
  <c r="AQ467"/>
  <c r="F474" i="53" s="1"/>
  <c r="AR463" i="1"/>
  <c r="AQ463"/>
  <c r="F470" i="53" s="1"/>
  <c r="AQ459" i="1"/>
  <c r="F466" i="53" s="1"/>
  <c r="AR459" i="1"/>
  <c r="AQ455"/>
  <c r="F462" i="53" s="1"/>
  <c r="AR455" i="1"/>
  <c r="AQ451"/>
  <c r="F458" i="53" s="1"/>
  <c r="AR451" i="1"/>
  <c r="AR447"/>
  <c r="AQ447"/>
  <c r="F454" i="53" s="1"/>
  <c r="AR443" i="1"/>
  <c r="AQ443"/>
  <c r="F450" i="53" s="1"/>
  <c r="AR439" i="1"/>
  <c r="AQ439"/>
  <c r="F446" i="53" s="1"/>
  <c r="AQ435" i="1"/>
  <c r="F442" i="53" s="1"/>
  <c r="AR435" i="1"/>
  <c r="AR431"/>
  <c r="AQ431"/>
  <c r="F438" i="53" s="1"/>
  <c r="AR427" i="1"/>
  <c r="AQ427"/>
  <c r="F434" i="53" s="1"/>
  <c r="AR423" i="1"/>
  <c r="AQ423"/>
  <c r="F430" i="53" s="1"/>
  <c r="AR482" i="1"/>
  <c r="AQ482"/>
  <c r="F489" i="53" s="1"/>
  <c r="AR478" i="1"/>
  <c r="AQ478"/>
  <c r="F485" i="53" s="1"/>
  <c r="AR474" i="1"/>
  <c r="AQ474"/>
  <c r="F481" i="53" s="1"/>
  <c r="AR470" i="1"/>
  <c r="AQ470"/>
  <c r="F477" i="53" s="1"/>
  <c r="AR466" i="1"/>
  <c r="AQ466"/>
  <c r="F473" i="53" s="1"/>
  <c r="AQ462" i="1"/>
  <c r="F469" i="53" s="1"/>
  <c r="AR462" i="1"/>
  <c r="AQ458"/>
  <c r="F465" i="53" s="1"/>
  <c r="AR458" i="1"/>
  <c r="AR454"/>
  <c r="AQ454"/>
  <c r="F461" i="53" s="1"/>
  <c r="AR450" i="1"/>
  <c r="AQ450"/>
  <c r="F457" i="53" s="1"/>
  <c r="AQ446" i="1"/>
  <c r="F453" i="53" s="1"/>
  <c r="AR446" i="1"/>
  <c r="AR442"/>
  <c r="AQ442"/>
  <c r="F449" i="53" s="1"/>
  <c r="AR438" i="1"/>
  <c r="AQ438"/>
  <c r="F445" i="53" s="1"/>
  <c r="AR434" i="1"/>
  <c r="AQ434"/>
  <c r="F441" i="53" s="1"/>
  <c r="AR430" i="1"/>
  <c r="AQ430"/>
  <c r="F437" i="53" s="1"/>
  <c r="AQ426" i="1"/>
  <c r="F433" i="53" s="1"/>
  <c r="AR426" i="1"/>
  <c r="AR422"/>
  <c r="AQ422"/>
  <c r="F429" i="53" s="1"/>
  <c r="AR485" i="1"/>
  <c r="AQ485"/>
  <c r="F492" i="53" s="1"/>
  <c r="AO486" i="1"/>
  <c r="AP486" s="1"/>
  <c r="AR481"/>
  <c r="AQ481"/>
  <c r="F488" i="53" s="1"/>
  <c r="AR477" i="1"/>
  <c r="AQ477"/>
  <c r="F484" i="53" s="1"/>
  <c r="AR473" i="1"/>
  <c r="AQ473"/>
  <c r="F480" i="53" s="1"/>
  <c r="AQ469" i="1"/>
  <c r="F476" i="53" s="1"/>
  <c r="AR469" i="1"/>
  <c r="AR465"/>
  <c r="AQ465"/>
  <c r="F472" i="53" s="1"/>
  <c r="AR461" i="1"/>
  <c r="AQ461"/>
  <c r="F468" i="53" s="1"/>
  <c r="AR457" i="1"/>
  <c r="AQ457"/>
  <c r="F464" i="53" s="1"/>
  <c r="AR453" i="1"/>
  <c r="AQ453"/>
  <c r="F460" i="53" s="1"/>
  <c r="AQ449" i="1"/>
  <c r="F456" i="53" s="1"/>
  <c r="AR449" i="1"/>
  <c r="AR445"/>
  <c r="AQ445"/>
  <c r="F452" i="53" s="1"/>
  <c r="AQ441" i="1"/>
  <c r="F448" i="53" s="1"/>
  <c r="AR441" i="1"/>
  <c r="AR437"/>
  <c r="AQ437"/>
  <c r="F444" i="53" s="1"/>
  <c r="AQ433" i="1"/>
  <c r="F440" i="53" s="1"/>
  <c r="AR433" i="1"/>
  <c r="AQ429"/>
  <c r="F436" i="53" s="1"/>
  <c r="AR429" i="1"/>
  <c r="AR425"/>
  <c r="AQ425"/>
  <c r="F432" i="53" s="1"/>
  <c r="AR421" i="1"/>
  <c r="AQ421"/>
  <c r="F428" i="53" s="1"/>
  <c r="AQ484" i="1"/>
  <c r="F491" i="53" s="1"/>
  <c r="AR484" i="1"/>
  <c r="AR480"/>
  <c r="AQ480"/>
  <c r="F487" i="53" s="1"/>
  <c r="AQ476" i="1"/>
  <c r="F483" i="53" s="1"/>
  <c r="AR476" i="1"/>
  <c r="AQ472"/>
  <c r="F479" i="53" s="1"/>
  <c r="AR472" i="1"/>
  <c r="AQ468"/>
  <c r="F475" i="53" s="1"/>
  <c r="AR468" i="1"/>
  <c r="AQ464"/>
  <c r="F471" i="53" s="1"/>
  <c r="AR464" i="1"/>
  <c r="AR460"/>
  <c r="AQ460"/>
  <c r="F467" i="53" s="1"/>
  <c r="AR456" i="1"/>
  <c r="AQ456"/>
  <c r="F463" i="53" s="1"/>
  <c r="AR452" i="1"/>
  <c r="AQ452"/>
  <c r="F459" i="53" s="1"/>
  <c r="AQ448" i="1"/>
  <c r="F455" i="53" s="1"/>
  <c r="H455" s="1"/>
  <c r="AR448" i="1"/>
  <c r="AR444"/>
  <c r="AQ444"/>
  <c r="F451" i="53" s="1"/>
  <c r="AR440" i="1"/>
  <c r="AQ440"/>
  <c r="F447" i="53" s="1"/>
  <c r="AR436" i="1"/>
  <c r="AQ436"/>
  <c r="F443" i="53" s="1"/>
  <c r="AR432" i="1"/>
  <c r="AQ432"/>
  <c r="F439" i="53" s="1"/>
  <c r="AQ428" i="1"/>
  <c r="F435" i="53" s="1"/>
  <c r="AR428" i="1"/>
  <c r="AR424"/>
  <c r="AQ424"/>
  <c r="F431" i="53" s="1"/>
  <c r="AQ252" i="1"/>
  <c r="F259" i="53" s="1"/>
  <c r="AR252" i="1"/>
  <c r="AR248"/>
  <c r="AQ248"/>
  <c r="F255" i="53" s="1"/>
  <c r="AQ244" i="1"/>
  <c r="F251" i="53" s="1"/>
  <c r="AR244" i="1"/>
  <c r="AQ240"/>
  <c r="F247" i="53" s="1"/>
  <c r="AR240" i="1"/>
  <c r="AR236"/>
  <c r="AQ236"/>
  <c r="F243" i="53" s="1"/>
  <c r="AR232" i="1"/>
  <c r="AQ232"/>
  <c r="F239" i="53" s="1"/>
  <c r="AQ228" i="1"/>
  <c r="F235" i="53" s="1"/>
  <c r="AR228" i="1"/>
  <c r="DD5" i="55"/>
  <c r="H31" i="53"/>
  <c r="AT30" i="1"/>
  <c r="B32" i="52"/>
  <c r="I32" s="1"/>
  <c r="AS30" i="1"/>
  <c r="AT38"/>
  <c r="B40" i="52"/>
  <c r="I40" s="1"/>
  <c r="AS38" i="1"/>
  <c r="AT46"/>
  <c r="B48" i="52"/>
  <c r="I48" s="1"/>
  <c r="AS46" i="1"/>
  <c r="B56" i="52"/>
  <c r="I56" s="1"/>
  <c r="AT54" i="1"/>
  <c r="AS54"/>
  <c r="DE12" i="55"/>
  <c r="H69" i="53"/>
  <c r="H77"/>
  <c r="DE20" i="55"/>
  <c r="AT78" i="1"/>
  <c r="B80" i="52"/>
  <c r="I80" s="1"/>
  <c r="AS78" i="1"/>
  <c r="DF7" i="55"/>
  <c r="H93" i="53"/>
  <c r="DF15" i="55"/>
  <c r="H101" i="53"/>
  <c r="B104" i="52"/>
  <c r="I104" s="1"/>
  <c r="AT102" i="1"/>
  <c r="AS102"/>
  <c r="AT110"/>
  <c r="B112" i="52"/>
  <c r="I112" s="1"/>
  <c r="AS110" i="1"/>
  <c r="H34" i="53"/>
  <c r="DD8" i="55"/>
  <c r="DD16"/>
  <c r="H42" i="53"/>
  <c r="AT43" i="1"/>
  <c r="B45" i="52"/>
  <c r="I45" s="1"/>
  <c r="AS43" i="1"/>
  <c r="DD32" i="55"/>
  <c r="H58" i="53"/>
  <c r="H66"/>
  <c r="DE9" i="55"/>
  <c r="AT67" i="1"/>
  <c r="B69" i="52"/>
  <c r="I69" s="1"/>
  <c r="AS67" i="1"/>
  <c r="AT75"/>
  <c r="B77" i="52"/>
  <c r="I77" s="1"/>
  <c r="AS75" i="1"/>
  <c r="B85" i="52"/>
  <c r="I85" s="1"/>
  <c r="AT83" i="1"/>
  <c r="AS83"/>
  <c r="AT91"/>
  <c r="B93" i="52"/>
  <c r="I93" s="1"/>
  <c r="AS91" i="1"/>
  <c r="H106" i="53"/>
  <c r="DF20" i="55"/>
  <c r="DF28"/>
  <c r="H114" i="53"/>
  <c r="H30"/>
  <c r="DD4" i="55"/>
  <c r="B35" i="52"/>
  <c r="I35" s="1"/>
  <c r="AT33" i="1"/>
  <c r="AS33"/>
  <c r="H48" i="53"/>
  <c r="DD22" i="55"/>
  <c r="DD30"/>
  <c r="H56" i="53"/>
  <c r="AT57" i="1"/>
  <c r="B59" i="52"/>
  <c r="I59" s="1"/>
  <c r="AS57" i="1"/>
  <c r="H72" i="53"/>
  <c r="DE15" i="55"/>
  <c r="B75" i="52"/>
  <c r="I75" s="1"/>
  <c r="AT73" i="1"/>
  <c r="AS73"/>
  <c r="H88" i="53"/>
  <c r="DE31" i="55"/>
  <c r="H96" i="53"/>
  <c r="DF10" i="55"/>
  <c r="B99" i="52"/>
  <c r="I99" s="1"/>
  <c r="AT97" i="1"/>
  <c r="AS97"/>
  <c r="DF26" i="55"/>
  <c r="H112" i="53"/>
  <c r="B115" i="52"/>
  <c r="AT113" i="1"/>
  <c r="H35" i="53"/>
  <c r="DD9" i="55"/>
  <c r="B38" i="52"/>
  <c r="I38" s="1"/>
  <c r="AT36" i="1"/>
  <c r="AS36"/>
  <c r="AT44"/>
  <c r="B46" i="52"/>
  <c r="I46" s="1"/>
  <c r="AS44" i="1"/>
  <c r="DD33" i="55"/>
  <c r="H59" i="53"/>
  <c r="H67"/>
  <c r="DE10" i="55"/>
  <c r="DE18"/>
  <c r="H75" i="53"/>
  <c r="B78" i="52"/>
  <c r="I78" s="1"/>
  <c r="AT76" i="1"/>
  <c r="AS76"/>
  <c r="H91" i="53"/>
  <c r="DF5" i="55"/>
  <c r="H99" i="53"/>
  <c r="DF13" i="55"/>
  <c r="H107" i="53"/>
  <c r="DF21" i="55"/>
  <c r="DF29"/>
  <c r="H115" i="53"/>
  <c r="AQ265" i="1"/>
  <c r="F272" i="53" s="1"/>
  <c r="AQ249" i="1"/>
  <c r="F256" i="53" s="1"/>
  <c r="AR249" i="1"/>
  <c r="AR241"/>
  <c r="AQ241"/>
  <c r="F248" i="53" s="1"/>
  <c r="AR229" i="1"/>
  <c r="AQ229"/>
  <c r="F236" i="53" s="1"/>
  <c r="DD7" i="55"/>
  <c r="H33" i="53"/>
  <c r="B36" i="52"/>
  <c r="I36" s="1"/>
  <c r="AT34" i="1"/>
  <c r="AS34"/>
  <c r="H49" i="53"/>
  <c r="DD23" i="55"/>
  <c r="DD31"/>
  <c r="H57" i="53"/>
  <c r="DE8" i="55"/>
  <c r="H65" i="53"/>
  <c r="AT66" i="1"/>
  <c r="B68" i="52"/>
  <c r="I68" s="1"/>
  <c r="AS66" i="1"/>
  <c r="AT74"/>
  <c r="B76" i="52"/>
  <c r="I76" s="1"/>
  <c r="AS74" i="1"/>
  <c r="DF3" i="55"/>
  <c r="H89" i="53"/>
  <c r="DF11" i="55"/>
  <c r="H97" i="53"/>
  <c r="H105"/>
  <c r="DF19" i="55"/>
  <c r="B108" i="52"/>
  <c r="I108" s="1"/>
  <c r="AT106" i="1"/>
  <c r="AS106"/>
  <c r="DD6" i="55"/>
  <c r="H32" i="53"/>
  <c r="AT31" i="1"/>
  <c r="B33" i="52"/>
  <c r="I33" s="1"/>
  <c r="AS31" i="1"/>
  <c r="AT39"/>
  <c r="B41" i="52"/>
  <c r="I41" s="1"/>
  <c r="AS39" i="1"/>
  <c r="H54" i="53"/>
  <c r="DD28" i="55"/>
  <c r="H62" i="53"/>
  <c r="DE5" i="55"/>
  <c r="DE13"/>
  <c r="H70" i="53"/>
  <c r="H78"/>
  <c r="DE21" i="55"/>
  <c r="AT79" i="1"/>
  <c r="B81" i="52"/>
  <c r="I81" s="1"/>
  <c r="AS79" i="1"/>
  <c r="B89" i="52"/>
  <c r="I89" s="1"/>
  <c r="AT87" i="1"/>
  <c r="AS87"/>
  <c r="H102" i="53"/>
  <c r="DF16" i="55"/>
  <c r="DF24"/>
  <c r="H110" i="53"/>
  <c r="B113" i="52"/>
  <c r="I113" s="1"/>
  <c r="AT111" i="1"/>
  <c r="AS111"/>
  <c r="DD10" i="55"/>
  <c r="H36" i="53"/>
  <c r="H44"/>
  <c r="DD18" i="55"/>
  <c r="DD26"/>
  <c r="H52" i="53"/>
  <c r="H60"/>
  <c r="DE3" i="55"/>
  <c r="B63" i="52"/>
  <c r="I63" s="1"/>
  <c r="AT61" i="1"/>
  <c r="AS61"/>
  <c r="H76" i="53"/>
  <c r="DE19" i="55"/>
  <c r="AT77" i="1"/>
  <c r="B79" i="52"/>
  <c r="I79" s="1"/>
  <c r="AS77" i="1"/>
  <c r="H92" i="53"/>
  <c r="DF6" i="55"/>
  <c r="H100" i="53"/>
  <c r="DF14" i="55"/>
  <c r="DF22"/>
  <c r="H108" i="53"/>
  <c r="B111" i="52"/>
  <c r="I111" s="1"/>
  <c r="AT109" i="1"/>
  <c r="AS109"/>
  <c r="AT28"/>
  <c r="B30" i="52"/>
  <c r="I30" s="1"/>
  <c r="AS28" i="1"/>
  <c r="DD17" i="55"/>
  <c r="H43" i="53"/>
  <c r="H51"/>
  <c r="DD25" i="55"/>
  <c r="B54" i="52"/>
  <c r="I54" s="1"/>
  <c r="AT52" i="1"/>
  <c r="AS52"/>
  <c r="B62" i="52"/>
  <c r="I62" s="1"/>
  <c r="AT60" i="1"/>
  <c r="AS60"/>
  <c r="B70" i="52"/>
  <c r="I70" s="1"/>
  <c r="AT68" i="1"/>
  <c r="AS68"/>
  <c r="DE26" i="55"/>
  <c r="H83" i="53"/>
  <c r="B86" i="52"/>
  <c r="I86" s="1"/>
  <c r="AT84" i="1"/>
  <c r="AS84"/>
  <c r="B94" i="52"/>
  <c r="I94" s="1"/>
  <c r="AT92" i="1"/>
  <c r="AS92"/>
  <c r="B102" i="52"/>
  <c r="I102" s="1"/>
  <c r="AT100" i="1"/>
  <c r="AS100"/>
  <c r="B110" i="52"/>
  <c r="I110" s="1"/>
  <c r="AT108" i="1"/>
  <c r="AS108"/>
  <c r="AQ287"/>
  <c r="F294" i="53" s="1"/>
  <c r="AR271" i="1"/>
  <c r="AR263"/>
  <c r="AR259"/>
  <c r="AR255"/>
  <c r="AQ251"/>
  <c r="F258" i="53" s="1"/>
  <c r="AR251" i="1"/>
  <c r="AR247"/>
  <c r="AQ247"/>
  <c r="F254" i="53" s="1"/>
  <c r="AR243" i="1"/>
  <c r="AQ243"/>
  <c r="F250" i="53" s="1"/>
  <c r="AQ239" i="1"/>
  <c r="F246" i="53" s="1"/>
  <c r="AR239" i="1"/>
  <c r="AQ235"/>
  <c r="F242" i="53" s="1"/>
  <c r="AR235" i="1"/>
  <c r="AR231"/>
  <c r="AQ231"/>
  <c r="F238" i="53" s="1"/>
  <c r="AR227" i="1"/>
  <c r="AQ227"/>
  <c r="F234" i="53" s="1"/>
  <c r="AT24" i="1"/>
  <c r="AS24"/>
  <c r="B26" i="52"/>
  <c r="H37" i="53"/>
  <c r="DD11" i="55"/>
  <c r="DD19"/>
  <c r="H45" i="53"/>
  <c r="H53"/>
  <c r="DD27" i="55"/>
  <c r="DE4"/>
  <c r="H61" i="53"/>
  <c r="AT62" i="1"/>
  <c r="B64" i="52"/>
  <c r="I64" s="1"/>
  <c r="AS62" i="1"/>
  <c r="B72" i="52"/>
  <c r="I72" s="1"/>
  <c r="AT70" i="1"/>
  <c r="AS70"/>
  <c r="DE28" i="55"/>
  <c r="H85" i="53"/>
  <c r="B88" i="52"/>
  <c r="I88" s="1"/>
  <c r="AT86" i="1"/>
  <c r="AS86"/>
  <c r="AT94"/>
  <c r="B96" i="52"/>
  <c r="I96" s="1"/>
  <c r="AS94" i="1"/>
  <c r="DF23" i="55"/>
  <c r="H109" i="53"/>
  <c r="H117"/>
  <c r="DF31" i="55"/>
  <c r="B29" i="52"/>
  <c r="I29" s="1"/>
  <c r="AT27" i="1"/>
  <c r="AS27"/>
  <c r="AT35"/>
  <c r="B37" i="52"/>
  <c r="I37" s="1"/>
  <c r="AS35" i="1"/>
  <c r="DD24" i="55"/>
  <c r="H50" i="53"/>
  <c r="AT51" i="1"/>
  <c r="B53" i="52"/>
  <c r="I53" s="1"/>
  <c r="AS51" i="1"/>
  <c r="AT59"/>
  <c r="B61" i="52"/>
  <c r="I61" s="1"/>
  <c r="AS59" i="1"/>
  <c r="DE17" i="55"/>
  <c r="H74" i="53"/>
  <c r="H82"/>
  <c r="DE25" i="55"/>
  <c r="DF4"/>
  <c r="H90" i="53"/>
  <c r="DF12" i="55"/>
  <c r="H98" i="53"/>
  <c r="AT99" i="1"/>
  <c r="B101" i="52"/>
  <c r="I101" s="1"/>
  <c r="AS99" i="1"/>
  <c r="B109" i="52"/>
  <c r="I109" s="1"/>
  <c r="AT107" i="1"/>
  <c r="AS107"/>
  <c r="AS23"/>
  <c r="AT23"/>
  <c r="B25" i="52"/>
  <c r="H40" i="53"/>
  <c r="DD14" i="55"/>
  <c r="AT41" i="1"/>
  <c r="B43" i="52"/>
  <c r="I43" s="1"/>
  <c r="AS41" i="1"/>
  <c r="B51" i="52"/>
  <c r="I51" s="1"/>
  <c r="AT49" i="1"/>
  <c r="AS49"/>
  <c r="DE7" i="55"/>
  <c r="H64" i="53"/>
  <c r="B67" i="52"/>
  <c r="I67" s="1"/>
  <c r="AT65" i="1"/>
  <c r="AS65"/>
  <c r="DE23" i="55"/>
  <c r="H80" i="53"/>
  <c r="B83" i="52"/>
  <c r="I83" s="1"/>
  <c r="AT81" i="1"/>
  <c r="AS81"/>
  <c r="B91" i="52"/>
  <c r="I91" s="1"/>
  <c r="AT89" i="1"/>
  <c r="AS89"/>
  <c r="H104" i="53"/>
  <c r="DF18" i="55"/>
  <c r="B107" i="52"/>
  <c r="I107" s="1"/>
  <c r="AT105" i="1"/>
  <c r="AS105"/>
  <c r="DG3" i="55"/>
  <c r="H29" i="53"/>
  <c r="DD3" i="55"/>
  <c r="AT32" i="1"/>
  <c r="B34" i="52"/>
  <c r="I34" s="1"/>
  <c r="AS32" i="1"/>
  <c r="B42" i="52"/>
  <c r="I42" s="1"/>
  <c r="AT40" i="1"/>
  <c r="AS40"/>
  <c r="DD29" i="55"/>
  <c r="H55" i="53"/>
  <c r="AT56" i="1"/>
  <c r="B58" i="52"/>
  <c r="I58" s="1"/>
  <c r="AS56" i="1"/>
  <c r="DE14" i="55"/>
  <c r="H71" i="53"/>
  <c r="H79"/>
  <c r="DE22" i="55"/>
  <c r="AT80" i="1"/>
  <c r="B82" i="52"/>
  <c r="I82" s="1"/>
  <c r="AS80" i="1"/>
  <c r="DF9" i="55"/>
  <c r="H95" i="53"/>
  <c r="AT96" i="1"/>
  <c r="B98" i="52"/>
  <c r="I98" s="1"/>
  <c r="AS96" i="1"/>
  <c r="DF25" i="55"/>
  <c r="H111" i="53"/>
  <c r="H119"/>
  <c r="DF33" i="55"/>
  <c r="AQ269" i="1"/>
  <c r="F276" i="53" s="1"/>
  <c r="AR261" i="1"/>
  <c r="AQ253"/>
  <c r="F260" i="53" s="1"/>
  <c r="AR253" i="1"/>
  <c r="AQ245"/>
  <c r="F252" i="53" s="1"/>
  <c r="AR245" i="1"/>
  <c r="AR237"/>
  <c r="AQ237"/>
  <c r="F244" i="53" s="1"/>
  <c r="AQ233" i="1"/>
  <c r="F240" i="53" s="1"/>
  <c r="AR233" i="1"/>
  <c r="AR278"/>
  <c r="AR274"/>
  <c r="AR270"/>
  <c r="AQ262"/>
  <c r="F269" i="53" s="1"/>
  <c r="AR258" i="1"/>
  <c r="AR254"/>
  <c r="AQ250"/>
  <c r="F257" i="53" s="1"/>
  <c r="AR250" i="1"/>
  <c r="AR246"/>
  <c r="AQ246"/>
  <c r="F253" i="53" s="1"/>
  <c r="AR242" i="1"/>
  <c r="AQ242"/>
  <c r="F249" i="53" s="1"/>
  <c r="AQ238" i="1"/>
  <c r="F245" i="53" s="1"/>
  <c r="AR238" i="1"/>
  <c r="AR234"/>
  <c r="AQ234"/>
  <c r="F241" i="53" s="1"/>
  <c r="AR230" i="1"/>
  <c r="AQ230"/>
  <c r="F237" i="53" s="1"/>
  <c r="B28" i="52"/>
  <c r="I28" s="1"/>
  <c r="AT26" i="1"/>
  <c r="AS26"/>
  <c r="H41" i="53"/>
  <c r="DD15" i="55"/>
  <c r="AT42" i="1"/>
  <c r="B44" i="52"/>
  <c r="I44" s="1"/>
  <c r="AS42" i="1"/>
  <c r="AT50"/>
  <c r="B52" i="52"/>
  <c r="I52" s="1"/>
  <c r="AS50" i="1"/>
  <c r="B60" i="52"/>
  <c r="I60" s="1"/>
  <c r="AT58" i="1"/>
  <c r="AS58"/>
  <c r="H73" i="53"/>
  <c r="DE16" i="55"/>
  <c r="DE24"/>
  <c r="H81" i="53"/>
  <c r="B84" i="52"/>
  <c r="I84" s="1"/>
  <c r="AT82" i="1"/>
  <c r="AS82"/>
  <c r="AT90"/>
  <c r="B92" i="52"/>
  <c r="I92" s="1"/>
  <c r="AS90" i="1"/>
  <c r="AT98"/>
  <c r="B100" i="52"/>
  <c r="I100" s="1"/>
  <c r="AS98" i="1"/>
  <c r="H113" i="53"/>
  <c r="DF27" i="55"/>
  <c r="B27" i="52"/>
  <c r="AT25" i="1"/>
  <c r="AS25"/>
  <c r="DD12" i="55"/>
  <c r="H38" i="53"/>
  <c r="DD20" i="55"/>
  <c r="H46" i="53"/>
  <c r="AT47" i="1"/>
  <c r="B49" i="52"/>
  <c r="I49" s="1"/>
  <c r="AS47" i="1"/>
  <c r="AT55"/>
  <c r="B57" i="52"/>
  <c r="I57" s="1"/>
  <c r="AS55" i="1"/>
  <c r="B65" i="52"/>
  <c r="I65" s="1"/>
  <c r="AT63" i="1"/>
  <c r="AS63"/>
  <c r="B73" i="52"/>
  <c r="I73" s="1"/>
  <c r="AT71" i="1"/>
  <c r="AS71"/>
  <c r="H86" i="53"/>
  <c r="DE29" i="55"/>
  <c r="DF8"/>
  <c r="H94" i="53"/>
  <c r="B97" i="52"/>
  <c r="I97" s="1"/>
  <c r="AT95" i="1"/>
  <c r="AS95"/>
  <c r="B105" i="52"/>
  <c r="I105" s="1"/>
  <c r="AT103" i="1"/>
  <c r="AS103"/>
  <c r="DF32" i="55"/>
  <c r="H118" i="53"/>
  <c r="B31" i="52"/>
  <c r="I31" s="1"/>
  <c r="AT29" i="1"/>
  <c r="AS29"/>
  <c r="B39" i="52"/>
  <c r="I39" s="1"/>
  <c r="AT37" i="1"/>
  <c r="AS37"/>
  <c r="B47" i="52"/>
  <c r="I47" s="1"/>
  <c r="AT45" i="1"/>
  <c r="AS45"/>
  <c r="B55" i="52"/>
  <c r="I55" s="1"/>
  <c r="AT53" i="1"/>
  <c r="AS53"/>
  <c r="H68" i="53"/>
  <c r="DE11" i="55"/>
  <c r="AT69" i="1"/>
  <c r="B71" i="52"/>
  <c r="I71" s="1"/>
  <c r="AS69" i="1"/>
  <c r="DE27" i="55"/>
  <c r="H84" i="53"/>
  <c r="AT85" i="1"/>
  <c r="B87" i="52"/>
  <c r="I87" s="1"/>
  <c r="AS85" i="1"/>
  <c r="AT93"/>
  <c r="B95" i="52"/>
  <c r="I95" s="1"/>
  <c r="AS93" i="1"/>
  <c r="AT101"/>
  <c r="B103" i="52"/>
  <c r="I103" s="1"/>
  <c r="AS101" i="1"/>
  <c r="H116" i="53"/>
  <c r="DF30" i="55"/>
  <c r="AT22" i="1"/>
  <c r="B24" i="52"/>
  <c r="AS22" i="1"/>
  <c r="DD13" i="55"/>
  <c r="H39" i="53"/>
  <c r="DD21" i="55"/>
  <c r="H47" i="53"/>
  <c r="AT48" i="1"/>
  <c r="B50" i="52"/>
  <c r="I50" s="1"/>
  <c r="AS48" i="1"/>
  <c r="DE6" i="55"/>
  <c r="H63" i="53"/>
  <c r="B66" i="52"/>
  <c r="I66" s="1"/>
  <c r="AT64" i="1"/>
  <c r="AS64"/>
  <c r="AT72"/>
  <c r="B74" i="52"/>
  <c r="I74" s="1"/>
  <c r="AS72" i="1"/>
  <c r="H87" i="53"/>
  <c r="DE30" i="55"/>
  <c r="AT88" i="1"/>
  <c r="B90" i="52"/>
  <c r="I90" s="1"/>
  <c r="AS88" i="1"/>
  <c r="DF17" i="55"/>
  <c r="H103" i="53"/>
  <c r="B106" i="52"/>
  <c r="I106" s="1"/>
  <c r="AT104" i="1"/>
  <c r="AS104"/>
  <c r="AT112"/>
  <c r="B114" i="52"/>
  <c r="I114" s="1"/>
  <c r="AS112" i="1"/>
  <c r="AS113" s="1"/>
  <c r="AO114"/>
  <c r="AP114" s="1"/>
  <c r="AO342"/>
  <c r="AP342" s="1"/>
  <c r="AO356"/>
  <c r="AP356" s="1"/>
  <c r="AO361"/>
  <c r="AP361" s="1"/>
  <c r="AO349"/>
  <c r="AP349" s="1"/>
  <c r="AO353"/>
  <c r="AP353" s="1"/>
  <c r="AO347"/>
  <c r="AP347" s="1"/>
  <c r="AO358"/>
  <c r="AP358" s="1"/>
  <c r="AO350"/>
  <c r="AP350" s="1"/>
  <c r="AO365"/>
  <c r="AP365" s="1"/>
  <c r="AO370"/>
  <c r="AP370" s="1"/>
  <c r="AO367"/>
  <c r="AP367" s="1"/>
  <c r="AO357"/>
  <c r="AP357" s="1"/>
  <c r="AO363"/>
  <c r="AP363" s="1"/>
  <c r="AO352"/>
  <c r="AP352" s="1"/>
  <c r="AO355"/>
  <c r="AP355" s="1"/>
  <c r="AO364"/>
  <c r="AP364" s="1"/>
  <c r="AO343"/>
  <c r="AP343" s="1"/>
  <c r="AO345"/>
  <c r="AP345" s="1"/>
  <c r="AO360"/>
  <c r="AP360" s="1"/>
  <c r="AO344"/>
  <c r="AP344" s="1"/>
  <c r="AO366"/>
  <c r="AP366" s="1"/>
  <c r="AO351"/>
  <c r="AP351" s="1"/>
  <c r="AO348"/>
  <c r="AP348" s="1"/>
  <c r="AO354"/>
  <c r="AP354" s="1"/>
  <c r="AO346"/>
  <c r="AP346" s="1"/>
  <c r="AO368"/>
  <c r="AP368" s="1"/>
  <c r="AO369"/>
  <c r="AP369" s="1"/>
  <c r="AO362"/>
  <c r="AP362" s="1"/>
  <c r="AO359"/>
  <c r="AP359" s="1"/>
  <c r="AO371"/>
  <c r="AP371" s="1"/>
  <c r="BK352" l="1"/>
  <c r="BO352"/>
  <c r="AR262"/>
  <c r="AQ278"/>
  <c r="F285" i="53" s="1"/>
  <c r="DL15" i="55" s="1"/>
  <c r="AQ267" i="1"/>
  <c r="F274" i="53" s="1"/>
  <c r="H274" s="1"/>
  <c r="EG4" i="55" s="1"/>
  <c r="AR283" i="1"/>
  <c r="AQ257"/>
  <c r="F264" i="53" s="1"/>
  <c r="BO359" i="1"/>
  <c r="BK359"/>
  <c r="AO372"/>
  <c r="AP372" s="1"/>
  <c r="BK371"/>
  <c r="BO371"/>
  <c r="BO351"/>
  <c r="BK351"/>
  <c r="BK347"/>
  <c r="BO347"/>
  <c r="BK348"/>
  <c r="BO348"/>
  <c r="BK355"/>
  <c r="BO355"/>
  <c r="BO358"/>
  <c r="BK358"/>
  <c r="AR269"/>
  <c r="AQ258"/>
  <c r="F265" i="53" s="1"/>
  <c r="AQ274" i="1"/>
  <c r="F281" i="53" s="1"/>
  <c r="DL11" i="55" s="1"/>
  <c r="AQ261" i="1"/>
  <c r="F268" i="53" s="1"/>
  <c r="AR267" i="1"/>
  <c r="AQ283"/>
  <c r="F290" i="53" s="1"/>
  <c r="H290" s="1"/>
  <c r="EG20" i="55" s="1"/>
  <c r="AR257" i="1"/>
  <c r="B259" i="52" s="1"/>
  <c r="BK363" i="1"/>
  <c r="BO363"/>
  <c r="BK354"/>
  <c r="BO354"/>
  <c r="AO115"/>
  <c r="AP115" s="1"/>
  <c r="BK114"/>
  <c r="BO114"/>
  <c r="BO486"/>
  <c r="BK486"/>
  <c r="BO346"/>
  <c r="BK346"/>
  <c r="BO343"/>
  <c r="BK343"/>
  <c r="BK365"/>
  <c r="BO365"/>
  <c r="BO342"/>
  <c r="BK342"/>
  <c r="AR279"/>
  <c r="AQ254"/>
  <c r="F261" i="53" s="1"/>
  <c r="AQ270" i="1"/>
  <c r="F277" i="53" s="1"/>
  <c r="H277" s="1"/>
  <c r="EG7" i="55" s="1"/>
  <c r="AQ286" i="1"/>
  <c r="F293" i="53" s="1"/>
  <c r="AR285" i="1"/>
  <c r="AQ263"/>
  <c r="F270" i="53" s="1"/>
  <c r="DK31" i="55" s="1"/>
  <c r="AQ279" i="1"/>
  <c r="F286" i="53" s="1"/>
  <c r="DL16" i="55" s="1"/>
  <c r="AR281" i="1"/>
  <c r="AO288"/>
  <c r="AP288" s="1"/>
  <c r="AR288" s="1"/>
  <c r="BO366"/>
  <c r="BK366"/>
  <c r="BO350"/>
  <c r="BK350"/>
  <c r="BK368"/>
  <c r="BO368"/>
  <c r="BK370"/>
  <c r="BO370"/>
  <c r="BO367"/>
  <c r="BK367"/>
  <c r="AR286"/>
  <c r="AQ273"/>
  <c r="F280" i="53" s="1"/>
  <c r="AR266" i="1"/>
  <c r="AT266" s="1"/>
  <c r="AR282"/>
  <c r="AT282" s="1"/>
  <c r="AQ277"/>
  <c r="F284" i="53" s="1"/>
  <c r="AQ259" i="1"/>
  <c r="F266" i="53" s="1"/>
  <c r="AQ275" i="1"/>
  <c r="F282" i="53" s="1"/>
  <c r="AR273" i="1"/>
  <c r="B275" i="52" s="1"/>
  <c r="AR256" i="1"/>
  <c r="BK353"/>
  <c r="BO353"/>
  <c r="BK364"/>
  <c r="BO364"/>
  <c r="BO345"/>
  <c r="BK345"/>
  <c r="BK356"/>
  <c r="BO356"/>
  <c r="BK369"/>
  <c r="BO369"/>
  <c r="BO360"/>
  <c r="BK360"/>
  <c r="BK361"/>
  <c r="BO361"/>
  <c r="BK362"/>
  <c r="BO362"/>
  <c r="BO344"/>
  <c r="BK344"/>
  <c r="BK357"/>
  <c r="BO357"/>
  <c r="BK349"/>
  <c r="BO349"/>
  <c r="AQ285"/>
  <c r="F292" i="53" s="1"/>
  <c r="DL22" i="55" s="1"/>
  <c r="AR275" i="1"/>
  <c r="AQ260"/>
  <c r="F267" i="53" s="1"/>
  <c r="AQ266" i="1"/>
  <c r="F273" i="53" s="1"/>
  <c r="H273" s="1"/>
  <c r="EG3" i="55" s="1"/>
  <c r="AQ282" i="1"/>
  <c r="F289" i="53" s="1"/>
  <c r="DL19" i="55" s="1"/>
  <c r="AR277" i="1"/>
  <c r="AQ255"/>
  <c r="F262" i="53" s="1"/>
  <c r="AQ271" i="1"/>
  <c r="F278" i="53" s="1"/>
  <c r="AR265" i="1"/>
  <c r="AT265" s="1"/>
  <c r="AQ281"/>
  <c r="F288" i="53" s="1"/>
  <c r="AR260" i="1"/>
  <c r="AQ268"/>
  <c r="F275" i="53" s="1"/>
  <c r="H275" s="1"/>
  <c r="EG5" i="55" s="1"/>
  <c r="AQ264" i="1"/>
  <c r="F271" i="53" s="1"/>
  <c r="AR280" i="1"/>
  <c r="AR268"/>
  <c r="AQ272"/>
  <c r="F279" i="53" s="1"/>
  <c r="H279" s="1"/>
  <c r="EG9" i="55" s="1"/>
  <c r="AQ256" i="1"/>
  <c r="F263" i="53" s="1"/>
  <c r="H263" s="1"/>
  <c r="EF24" i="55" s="1"/>
  <c r="AR264" i="1"/>
  <c r="AR272"/>
  <c r="AQ280"/>
  <c r="F287" i="53" s="1"/>
  <c r="DL17" i="55" s="1"/>
  <c r="AR276" i="1"/>
  <c r="AR284"/>
  <c r="AQ276"/>
  <c r="F283" i="53" s="1"/>
  <c r="AQ284" i="1"/>
  <c r="F291" i="53" s="1"/>
  <c r="DL21" i="55" s="1"/>
  <c r="AO389" i="1"/>
  <c r="AP389" s="1"/>
  <c r="DQ12" i="55"/>
  <c r="H435" i="53"/>
  <c r="AT436" i="1"/>
  <c r="B438" i="52"/>
  <c r="B446"/>
  <c r="AT444" i="1"/>
  <c r="AT452"/>
  <c r="B454" i="52"/>
  <c r="AT460" i="1"/>
  <c r="B462" i="52"/>
  <c r="DR23" i="55"/>
  <c r="H475" i="53"/>
  <c r="H483"/>
  <c r="DR31" i="55"/>
  <c r="DS9"/>
  <c r="H491" i="53"/>
  <c r="AT425" i="1"/>
  <c r="B427" i="52"/>
  <c r="H440" i="53"/>
  <c r="DQ17" i="55"/>
  <c r="H448" i="53"/>
  <c r="DQ25" i="55"/>
  <c r="H456" i="53"/>
  <c r="DR4" i="55"/>
  <c r="AT457" i="1"/>
  <c r="B459" i="52"/>
  <c r="B467"/>
  <c r="AT465" i="1"/>
  <c r="B475" i="52"/>
  <c r="AT473" i="1"/>
  <c r="AT481"/>
  <c r="B483" i="52"/>
  <c r="DQ6" i="55"/>
  <c r="H429" i="53"/>
  <c r="H437"/>
  <c r="DQ14" i="55"/>
  <c r="DQ22"/>
  <c r="H445" i="53"/>
  <c r="B448" i="52"/>
  <c r="AT446" i="1"/>
  <c r="H461" i="53"/>
  <c r="DR9" i="55"/>
  <c r="AT462" i="1"/>
  <c r="B464" i="52"/>
  <c r="DR25" i="55"/>
  <c r="H477" i="53"/>
  <c r="DS3" i="55"/>
  <c r="DR33"/>
  <c r="H485" i="53"/>
  <c r="DQ7" i="55"/>
  <c r="H430" i="53"/>
  <c r="H438"/>
  <c r="DQ15" i="55"/>
  <c r="H446" i="53"/>
  <c r="DQ23" i="55"/>
  <c r="DQ31"/>
  <c r="DR3"/>
  <c r="H454" i="53"/>
  <c r="AT455" i="1"/>
  <c r="B457" i="52"/>
  <c r="DR18" i="55"/>
  <c r="H470" i="53"/>
  <c r="DR26" i="55"/>
  <c r="H478" i="53"/>
  <c r="H486"/>
  <c r="DS4" i="55"/>
  <c r="DQ8"/>
  <c r="H431" i="53"/>
  <c r="DQ16" i="55"/>
  <c r="H439" i="53"/>
  <c r="DQ24" i="55"/>
  <c r="H447" i="53"/>
  <c r="B450" i="52"/>
  <c r="AT448" i="1"/>
  <c r="DR11" i="55"/>
  <c r="H463" i="53"/>
  <c r="B466" i="52"/>
  <c r="AT464" i="1"/>
  <c r="B474" i="52"/>
  <c r="AT472" i="1"/>
  <c r="DS5" i="55"/>
  <c r="H487" i="53"/>
  <c r="H428"/>
  <c r="DQ5" i="55"/>
  <c r="B431" i="52"/>
  <c r="AT429" i="1"/>
  <c r="H444" i="53"/>
  <c r="DQ21" i="55"/>
  <c r="DQ29"/>
  <c r="H452" i="53"/>
  <c r="DR8" i="55"/>
  <c r="H460" i="53"/>
  <c r="H468"/>
  <c r="DR16" i="55"/>
  <c r="B471" i="52"/>
  <c r="AT469" i="1"/>
  <c r="H484" i="53"/>
  <c r="DR32" i="55"/>
  <c r="AR486" i="1"/>
  <c r="AQ486"/>
  <c r="F493" i="53" s="1"/>
  <c r="AO487" i="1"/>
  <c r="AP487" s="1"/>
  <c r="AT422"/>
  <c r="B424" i="52"/>
  <c r="B432"/>
  <c r="AT430" i="1"/>
  <c r="B440" i="52"/>
  <c r="AT438" i="1"/>
  <c r="DQ30" i="55"/>
  <c r="H453" i="53"/>
  <c r="B456" i="52"/>
  <c r="AT454" i="1"/>
  <c r="H469" i="53"/>
  <c r="DR17" i="55"/>
  <c r="B472" i="52"/>
  <c r="AT470" i="1"/>
  <c r="AT478"/>
  <c r="B480" i="52"/>
  <c r="AT423" i="1"/>
  <c r="B425" i="52"/>
  <c r="B433"/>
  <c r="AT431" i="1"/>
  <c r="B441" i="52"/>
  <c r="AT439" i="1"/>
  <c r="B449" i="52"/>
  <c r="AT447" i="1"/>
  <c r="H462" i="53"/>
  <c r="DR10" i="55"/>
  <c r="AT463" i="1"/>
  <c r="B465" i="52"/>
  <c r="B473"/>
  <c r="AT471" i="1"/>
  <c r="AT479"/>
  <c r="B481" i="52"/>
  <c r="B426"/>
  <c r="AT424" i="1"/>
  <c r="AT432"/>
  <c r="B434" i="52"/>
  <c r="B442"/>
  <c r="AT440" i="1"/>
  <c r="EM4" i="55"/>
  <c r="AT456" i="1"/>
  <c r="B458" i="52"/>
  <c r="DR19" i="55"/>
  <c r="H471" i="53"/>
  <c r="DR27" i="55"/>
  <c r="H479" i="53"/>
  <c r="AT480" i="1"/>
  <c r="B482" i="52"/>
  <c r="B423"/>
  <c r="AT421" i="1"/>
  <c r="DQ13" i="55"/>
  <c r="H436" i="53"/>
  <c r="B439" i="52"/>
  <c r="AT437" i="1"/>
  <c r="B447" i="52"/>
  <c r="AT445" i="1"/>
  <c r="B455" i="52"/>
  <c r="AT453" i="1"/>
  <c r="AT461"/>
  <c r="B463" i="52"/>
  <c r="DR24" i="55"/>
  <c r="H476" i="53"/>
  <c r="AT477" i="1"/>
  <c r="B479" i="52"/>
  <c r="H492" i="53"/>
  <c r="DS10" i="55"/>
  <c r="B428" i="52"/>
  <c r="AT426" i="1"/>
  <c r="DQ18" i="55"/>
  <c r="H441" i="53"/>
  <c r="DQ26" i="55"/>
  <c r="H449" i="53"/>
  <c r="DR5" i="55"/>
  <c r="H457" i="53"/>
  <c r="B460" i="52"/>
  <c r="AT458" i="1"/>
  <c r="DR21" i="55"/>
  <c r="H473" i="53"/>
  <c r="DR29" i="55"/>
  <c r="H481" i="53"/>
  <c r="H489"/>
  <c r="DS7" i="55"/>
  <c r="DQ11"/>
  <c r="H434" i="53"/>
  <c r="AT435" i="1"/>
  <c r="B437" i="52"/>
  <c r="DQ27" i="55"/>
  <c r="H450" i="53"/>
  <c r="B453" i="52"/>
  <c r="AT451" i="1"/>
  <c r="AT459"/>
  <c r="B461" i="52"/>
  <c r="DR22" i="55"/>
  <c r="H474" i="53"/>
  <c r="H482"/>
  <c r="DR30" i="55"/>
  <c r="H490" i="53"/>
  <c r="DS8" i="55"/>
  <c r="B430" i="52"/>
  <c r="AT428" i="1"/>
  <c r="DQ20" i="55"/>
  <c r="H443" i="53"/>
  <c r="H451"/>
  <c r="DQ28" i="55"/>
  <c r="DR7"/>
  <c r="H459" i="53"/>
  <c r="DR15" i="55"/>
  <c r="H467" i="53"/>
  <c r="B470" i="52"/>
  <c r="AT468" i="1"/>
  <c r="AT476"/>
  <c r="B478" i="52"/>
  <c r="B486"/>
  <c r="AT484" i="1"/>
  <c r="H432" i="53"/>
  <c r="DQ9" i="55"/>
  <c r="B435" i="52"/>
  <c r="AT433" i="1"/>
  <c r="B443" i="52"/>
  <c r="AT441" i="1"/>
  <c r="AT449"/>
  <c r="B451" i="52"/>
  <c r="DR12" i="55"/>
  <c r="H464" i="53"/>
  <c r="DR20" i="55"/>
  <c r="H472" i="53"/>
  <c r="DR28" i="55"/>
  <c r="H480" i="53"/>
  <c r="DS6" i="55"/>
  <c r="H488" i="53"/>
  <c r="B487" i="52"/>
  <c r="AT485" i="1"/>
  <c r="H433" i="53"/>
  <c r="DQ10" i="55"/>
  <c r="AT434" i="1"/>
  <c r="B436" i="52"/>
  <c r="AT442" i="1"/>
  <c r="B444" i="52"/>
  <c r="B452"/>
  <c r="AT450" i="1"/>
  <c r="DR13" i="55"/>
  <c r="H465" i="53"/>
  <c r="AT466" i="1"/>
  <c r="B468" i="52"/>
  <c r="B476"/>
  <c r="AT474" i="1"/>
  <c r="AT482"/>
  <c r="B484" i="52"/>
  <c r="B429"/>
  <c r="AT427" i="1"/>
  <c r="DQ19" i="55"/>
  <c r="H442" i="53"/>
  <c r="B445" i="52"/>
  <c r="AT443" i="1"/>
  <c r="DR6" i="55"/>
  <c r="H458" i="53"/>
  <c r="DR14" i="55"/>
  <c r="H466" i="53"/>
  <c r="AT467" i="1"/>
  <c r="B469" i="52"/>
  <c r="B477"/>
  <c r="AT475" i="1"/>
  <c r="B485" i="52"/>
  <c r="AT483" i="1"/>
  <c r="AO289"/>
  <c r="AP289" s="1"/>
  <c r="AO290" s="1"/>
  <c r="AP290" s="1"/>
  <c r="AQ288"/>
  <c r="F295" i="53" s="1"/>
  <c r="H295" s="1"/>
  <c r="EG25" i="55" s="1"/>
  <c r="G27" i="52"/>
  <c r="G28" s="1"/>
  <c r="G29" s="1"/>
  <c r="G30" s="1"/>
  <c r="I27"/>
  <c r="G25"/>
  <c r="I25"/>
  <c r="G24"/>
  <c r="I24"/>
  <c r="G26"/>
  <c r="I26"/>
  <c r="G31"/>
  <c r="G32" s="1"/>
  <c r="G33" s="1"/>
  <c r="G34" s="1"/>
  <c r="G35" s="1"/>
  <c r="G36" s="1"/>
  <c r="G37" s="1"/>
  <c r="G38" s="1"/>
  <c r="G39" s="1"/>
  <c r="G40" s="1"/>
  <c r="G41" s="1"/>
  <c r="G42" s="1"/>
  <c r="G43" s="1"/>
  <c r="G44" s="1"/>
  <c r="G45" s="1"/>
  <c r="G46" s="1"/>
  <c r="G47" s="1"/>
  <c r="G48" s="1"/>
  <c r="G49" s="1"/>
  <c r="G50" s="1"/>
  <c r="G51" s="1"/>
  <c r="G52" s="1"/>
  <c r="G53" s="1"/>
  <c r="G54" s="1"/>
  <c r="AQ344" i="1"/>
  <c r="F351" i="53" s="1"/>
  <c r="AR344" i="1"/>
  <c r="AR342"/>
  <c r="AQ342"/>
  <c r="F349" i="53" s="1"/>
  <c r="AR359" i="1"/>
  <c r="AQ359"/>
  <c r="F366" i="53" s="1"/>
  <c r="AR346" i="1"/>
  <c r="AQ346"/>
  <c r="F353" i="53" s="1"/>
  <c r="AR366" i="1"/>
  <c r="AQ366"/>
  <c r="F373" i="53" s="1"/>
  <c r="AQ343" i="1"/>
  <c r="F350" i="53" s="1"/>
  <c r="AR343" i="1"/>
  <c r="AR363"/>
  <c r="AQ363"/>
  <c r="F370" i="53" s="1"/>
  <c r="AQ365" i="1"/>
  <c r="F372" i="53" s="1"/>
  <c r="AR365" i="1"/>
  <c r="AQ353"/>
  <c r="F360" i="53" s="1"/>
  <c r="AR353" i="1"/>
  <c r="AQ356"/>
  <c r="F363" i="53" s="1"/>
  <c r="AR356" i="1"/>
  <c r="EA17" i="55"/>
  <c r="J103" i="53"/>
  <c r="EV17" i="55" s="1"/>
  <c r="DY13"/>
  <c r="J39" i="53"/>
  <c r="ET13" i="55" s="1"/>
  <c r="DZ27"/>
  <c r="J84" i="53"/>
  <c r="EU27" i="55" s="1"/>
  <c r="AU29" i="1"/>
  <c r="D31" i="52"/>
  <c r="D97"/>
  <c r="AU95" i="1"/>
  <c r="AU47"/>
  <c r="D49" i="52"/>
  <c r="D100"/>
  <c r="AU98" i="1"/>
  <c r="DZ16" i="55"/>
  <c r="J73" i="53"/>
  <c r="EU16" i="55" s="1"/>
  <c r="D52" i="52"/>
  <c r="AU50" i="1"/>
  <c r="AU26"/>
  <c r="D28" i="52"/>
  <c r="B232"/>
  <c r="AT230" i="1"/>
  <c r="H245" i="53"/>
  <c r="EF6" i="55" s="1"/>
  <c r="DK6"/>
  <c r="B248" i="52"/>
  <c r="AT246" i="1"/>
  <c r="DK22" i="55"/>
  <c r="H261" i="53"/>
  <c r="EF22" i="55" s="1"/>
  <c r="DK30"/>
  <c r="H269" i="53"/>
  <c r="EF30" i="55" s="1"/>
  <c r="DL7"/>
  <c r="B280" i="52"/>
  <c r="AT278" i="1"/>
  <c r="DL23" i="55"/>
  <c r="H293" i="53"/>
  <c r="EG23" i="55" s="1"/>
  <c r="AT237" i="1"/>
  <c r="B239" i="52"/>
  <c r="H260" i="53"/>
  <c r="EF21" i="55" s="1"/>
  <c r="DK21"/>
  <c r="DL6"/>
  <c r="H276" i="53"/>
  <c r="EG6" i="55" s="1"/>
  <c r="AT285" i="1"/>
  <c r="B287" i="52"/>
  <c r="EA9" i="55"/>
  <c r="J95" i="53"/>
  <c r="EV9" i="55" s="1"/>
  <c r="DY29"/>
  <c r="J55" i="53"/>
  <c r="ET29" i="55" s="1"/>
  <c r="DY3"/>
  <c r="J29" i="53"/>
  <c r="ET3" i="55" s="1"/>
  <c r="AU89" i="1"/>
  <c r="D91" i="52"/>
  <c r="D67"/>
  <c r="AU65" i="1"/>
  <c r="AU41"/>
  <c r="D43" i="52"/>
  <c r="DY14" i="55"/>
  <c r="J40" i="53"/>
  <c r="ET14" i="55" s="1"/>
  <c r="AU107" i="1"/>
  <c r="D109" i="52"/>
  <c r="EA4" i="55"/>
  <c r="J90" i="53"/>
  <c r="EV4" i="55" s="1"/>
  <c r="DZ17"/>
  <c r="J74" i="53"/>
  <c r="EU17" i="55" s="1"/>
  <c r="DY24"/>
  <c r="J50" i="53"/>
  <c r="ET24" i="55" s="1"/>
  <c r="AU94" i="1"/>
  <c r="D96" i="52"/>
  <c r="AU70" i="1"/>
  <c r="D72" i="52"/>
  <c r="B229"/>
  <c r="AT227" i="1"/>
  <c r="H242" i="53"/>
  <c r="EF3" i="55" s="1"/>
  <c r="DK3"/>
  <c r="AT243" i="1"/>
  <c r="B245" i="52"/>
  <c r="H258" i="53"/>
  <c r="EF19" i="55" s="1"/>
  <c r="DK19"/>
  <c r="AT259" i="1"/>
  <c r="B261" i="52"/>
  <c r="DL4" i="55"/>
  <c r="B277" i="52"/>
  <c r="AT275" i="1"/>
  <c r="B285" i="52"/>
  <c r="AT283" i="1"/>
  <c r="AU84"/>
  <c r="D86" i="52"/>
  <c r="D62"/>
  <c r="AU60" i="1"/>
  <c r="DY17" i="55"/>
  <c r="J43" i="53"/>
  <c r="ET17" i="55" s="1"/>
  <c r="EA22"/>
  <c r="J108" i="53"/>
  <c r="EV22" i="55" s="1"/>
  <c r="DY26"/>
  <c r="J52" i="53"/>
  <c r="ET26" i="55" s="1"/>
  <c r="DY10"/>
  <c r="J36" i="53"/>
  <c r="ET10" i="55" s="1"/>
  <c r="EA16"/>
  <c r="J102" i="53"/>
  <c r="EV16" i="55" s="1"/>
  <c r="AU79" i="1"/>
  <c r="D81" i="52"/>
  <c r="DZ21" i="55"/>
  <c r="J78" i="53"/>
  <c r="EU21" i="55" s="1"/>
  <c r="DZ5"/>
  <c r="J62" i="53"/>
  <c r="EU5" i="55" s="1"/>
  <c r="EA11"/>
  <c r="J97" i="53"/>
  <c r="EV11" i="55" s="1"/>
  <c r="AU74" i="1"/>
  <c r="D76" i="52"/>
  <c r="DY31" i="55"/>
  <c r="J57" i="53"/>
  <c r="ET31" i="55" s="1"/>
  <c r="D36" i="52"/>
  <c r="AU34" i="1"/>
  <c r="AT241"/>
  <c r="B243" i="52"/>
  <c r="H264" i="53"/>
  <c r="EF25" i="55" s="1"/>
  <c r="DK25"/>
  <c r="H280" i="53"/>
  <c r="EG10" i="55" s="1"/>
  <c r="DL10"/>
  <c r="EA13"/>
  <c r="J99" i="53"/>
  <c r="EV13" i="55" s="1"/>
  <c r="AU44" i="1"/>
  <c r="D46" i="52"/>
  <c r="AU113" i="1"/>
  <c r="D115" i="52"/>
  <c r="D75"/>
  <c r="AU73" i="1"/>
  <c r="DZ15" i="55"/>
  <c r="J72" i="53"/>
  <c r="EU15" i="55" s="1"/>
  <c r="DY30"/>
  <c r="J56" i="53"/>
  <c r="ET30" i="55" s="1"/>
  <c r="D35" i="52"/>
  <c r="AU33" i="1"/>
  <c r="DY4" i="55"/>
  <c r="J30" i="53"/>
  <c r="ET4" i="55" s="1"/>
  <c r="EA20"/>
  <c r="J106" i="53"/>
  <c r="EV20" i="55" s="1"/>
  <c r="AU83" i="1"/>
  <c r="D85" i="52"/>
  <c r="DY16" i="55"/>
  <c r="J42" i="53"/>
  <c r="ET16" i="55" s="1"/>
  <c r="AU110" i="1"/>
  <c r="D112" i="52"/>
  <c r="EA7" i="55"/>
  <c r="J93" i="53"/>
  <c r="EV7" i="55" s="1"/>
  <c r="AU46" i="1"/>
  <c r="D48" i="52"/>
  <c r="DJ27" i="55"/>
  <c r="H235" i="53"/>
  <c r="EE27" i="55" s="1"/>
  <c r="B238" i="52"/>
  <c r="AT236" i="1"/>
  <c r="H251" i="53"/>
  <c r="EF12" i="55" s="1"/>
  <c r="DK12"/>
  <c r="DK20"/>
  <c r="H259" i="53"/>
  <c r="EF20" i="55" s="1"/>
  <c r="B262" i="52"/>
  <c r="AT260" i="1"/>
  <c r="B270" i="52"/>
  <c r="AT268" i="1"/>
  <c r="DL13" i="55"/>
  <c r="H283" i="53"/>
  <c r="EG13" i="55" s="1"/>
  <c r="AR362" i="1"/>
  <c r="AQ362"/>
  <c r="F369" i="53" s="1"/>
  <c r="AR364" i="1"/>
  <c r="AQ364"/>
  <c r="F371" i="53" s="1"/>
  <c r="AR350" i="1"/>
  <c r="AQ350"/>
  <c r="F357" i="53" s="1"/>
  <c r="D106" i="52"/>
  <c r="AU104" i="1"/>
  <c r="DZ6" i="55"/>
  <c r="J63" i="53"/>
  <c r="EU6" i="55" s="1"/>
  <c r="G55" i="52"/>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D60"/>
  <c r="AU58" i="1"/>
  <c r="DJ33" i="55"/>
  <c r="H241" i="53"/>
  <c r="EE33" i="55" s="1"/>
  <c r="AT250" i="1"/>
  <c r="B252" i="52"/>
  <c r="B276"/>
  <c r="AT274" i="1"/>
  <c r="B235" i="52"/>
  <c r="AT233" i="1"/>
  <c r="B263" i="52"/>
  <c r="AT261" i="1"/>
  <c r="B279" i="52"/>
  <c r="AT277" i="1"/>
  <c r="AU56"/>
  <c r="D58" i="52"/>
  <c r="D34"/>
  <c r="AU32" i="1"/>
  <c r="AU51"/>
  <c r="D53" i="52"/>
  <c r="EA31" i="55"/>
  <c r="J117" i="53"/>
  <c r="EV31" i="55" s="1"/>
  <c r="DY11"/>
  <c r="J37" i="53"/>
  <c r="ET11" i="55" s="1"/>
  <c r="DJ30"/>
  <c r="H238" i="53"/>
  <c r="EE30" i="55" s="1"/>
  <c r="H254" i="53"/>
  <c r="EF15" i="55" s="1"/>
  <c r="DK15"/>
  <c r="H270" i="53"/>
  <c r="EF31" i="55" s="1"/>
  <c r="AU92" i="1"/>
  <c r="D94" i="52"/>
  <c r="D111"/>
  <c r="AU109" i="1"/>
  <c r="EA24" i="55"/>
  <c r="J110" i="53"/>
  <c r="EV24" i="55" s="1"/>
  <c r="DY6"/>
  <c r="J32" i="53"/>
  <c r="ET6" i="55" s="1"/>
  <c r="H272" i="53"/>
  <c r="EF33" i="55" s="1"/>
  <c r="DK33"/>
  <c r="AU97" i="1"/>
  <c r="D99" i="52"/>
  <c r="EA10" i="55"/>
  <c r="J96" i="53"/>
  <c r="EV10" i="55" s="1"/>
  <c r="EA28"/>
  <c r="J114" i="53"/>
  <c r="EV28" i="55" s="1"/>
  <c r="D45" i="52"/>
  <c r="AU43" i="1"/>
  <c r="DY5" i="55"/>
  <c r="J31" i="53"/>
  <c r="ET5" i="55" s="1"/>
  <c r="DJ31"/>
  <c r="H239" i="53"/>
  <c r="EE31" i="55" s="1"/>
  <c r="DK16"/>
  <c r="H255" i="53"/>
  <c r="EF16" i="55" s="1"/>
  <c r="H271" i="53"/>
  <c r="EF32" i="55" s="1"/>
  <c r="DK32"/>
  <c r="DL9"/>
  <c r="B282" i="52"/>
  <c r="AT280" i="1"/>
  <c r="AR369"/>
  <c r="AQ369"/>
  <c r="F376" i="53" s="1"/>
  <c r="AR360" i="1"/>
  <c r="AQ360"/>
  <c r="F367" i="53" s="1"/>
  <c r="AQ367" i="1"/>
  <c r="F374" i="53" s="1"/>
  <c r="AR367" i="1"/>
  <c r="AQ114"/>
  <c r="F121" i="53" s="1"/>
  <c r="AR114" i="1"/>
  <c r="D90" i="52"/>
  <c r="AU88" i="1"/>
  <c r="D66" i="52"/>
  <c r="AU64" i="1"/>
  <c r="DY21" i="55"/>
  <c r="J47" i="53"/>
  <c r="ET21" i="55" s="1"/>
  <c r="AU22" i="1"/>
  <c r="D24" i="52"/>
  <c r="EA30" i="55"/>
  <c r="J116" i="53"/>
  <c r="EV30" i="55" s="1"/>
  <c r="AU93" i="1"/>
  <c r="D95" i="52"/>
  <c r="AU69" i="1"/>
  <c r="D71" i="52"/>
  <c r="DZ11" i="55"/>
  <c r="J68" i="53"/>
  <c r="EU11" i="55" s="1"/>
  <c r="AU45" i="1"/>
  <c r="D47" i="52"/>
  <c r="DZ29" i="55"/>
  <c r="J86" i="53"/>
  <c r="EU29" i="55" s="1"/>
  <c r="AU63" i="1"/>
  <c r="D65" i="52"/>
  <c r="AU82" i="1"/>
  <c r="D84" i="52"/>
  <c r="B236"/>
  <c r="AT234" i="1"/>
  <c r="B244" i="52"/>
  <c r="AT242" i="1"/>
  <c r="H257" i="53"/>
  <c r="EF18" i="55" s="1"/>
  <c r="DK18"/>
  <c r="DK26"/>
  <c r="H265" i="53"/>
  <c r="EF26" i="55" s="1"/>
  <c r="B268" i="52"/>
  <c r="H281" i="53"/>
  <c r="EG11" i="55" s="1"/>
  <c r="B284" i="52"/>
  <c r="DJ32" i="55"/>
  <c r="H240" i="53"/>
  <c r="EE32" i="55" s="1"/>
  <c r="DK13"/>
  <c r="H252" i="53"/>
  <c r="EF13" i="55" s="1"/>
  <c r="DK29"/>
  <c r="H268" i="53"/>
  <c r="EF29" i="55" s="1"/>
  <c r="DL14"/>
  <c r="H284" i="53"/>
  <c r="EG14" i="55" s="1"/>
  <c r="EA33"/>
  <c r="J119" i="53"/>
  <c r="EV33" i="55" s="1"/>
  <c r="AU80" i="1"/>
  <c r="D82" i="52"/>
  <c r="DZ22" i="55"/>
  <c r="J79" i="53"/>
  <c r="EU22" i="55" s="1"/>
  <c r="D42" i="52"/>
  <c r="AU40" i="1"/>
  <c r="DZ23" i="55"/>
  <c r="J80" i="53"/>
  <c r="EU23" i="55" s="1"/>
  <c r="EA12"/>
  <c r="J98" i="53"/>
  <c r="EV12" i="55" s="1"/>
  <c r="AU59" i="1"/>
  <c r="D61" i="52"/>
  <c r="AU35" i="1"/>
  <c r="D37" i="52"/>
  <c r="EA23" i="55"/>
  <c r="J109" i="53"/>
  <c r="EV23" i="55" s="1"/>
  <c r="DZ28"/>
  <c r="J85" i="53"/>
  <c r="EU28" i="55" s="1"/>
  <c r="DZ4"/>
  <c r="J61" i="53"/>
  <c r="EU4" i="55" s="1"/>
  <c r="DY19"/>
  <c r="J45" i="53"/>
  <c r="ET19" i="55" s="1"/>
  <c r="B233" i="52"/>
  <c r="AT231" i="1"/>
  <c r="DK7" i="55"/>
  <c r="H246" i="53"/>
  <c r="EF7" i="55" s="1"/>
  <c r="B249" i="52"/>
  <c r="AT247" i="1"/>
  <c r="DK23" i="55"/>
  <c r="H262" i="53"/>
  <c r="EF23" i="55" s="1"/>
  <c r="B265" i="52"/>
  <c r="AT263" i="1"/>
  <c r="H278" i="53"/>
  <c r="EG8" i="55" s="1"/>
  <c r="DL8"/>
  <c r="AT279" i="1"/>
  <c r="B281" i="52"/>
  <c r="AT287" i="1"/>
  <c r="B289" i="52"/>
  <c r="AU100" i="1"/>
  <c r="D102" i="52"/>
  <c r="AU28" i="1"/>
  <c r="D30" i="52"/>
  <c r="AU77" i="1"/>
  <c r="D79" i="52"/>
  <c r="DZ19" i="55"/>
  <c r="J76" i="53"/>
  <c r="EU19" i="55" s="1"/>
  <c r="DE35"/>
  <c r="D113" i="52"/>
  <c r="AU111" i="1"/>
  <c r="DY28" i="55"/>
  <c r="J54" i="53"/>
  <c r="ET28" i="55" s="1"/>
  <c r="AU31" i="1"/>
  <c r="D33" i="52"/>
  <c r="DD35" i="55"/>
  <c r="EA3"/>
  <c r="J89" i="53"/>
  <c r="EV3" i="55" s="1"/>
  <c r="DZ8"/>
  <c r="J65" i="53"/>
  <c r="EU8" i="55" s="1"/>
  <c r="B231" i="52"/>
  <c r="AT229" i="1"/>
  <c r="DK17" i="55"/>
  <c r="H256" i="53"/>
  <c r="EF17" i="55" s="1"/>
  <c r="H288" i="53"/>
  <c r="EG18" i="55" s="1"/>
  <c r="DL18"/>
  <c r="EA21"/>
  <c r="J107" i="53"/>
  <c r="EV21" i="55" s="1"/>
  <c r="EA5"/>
  <c r="J91" i="53"/>
  <c r="EV5" i="55" s="1"/>
  <c r="DZ18"/>
  <c r="J75" i="53"/>
  <c r="EU18" i="55" s="1"/>
  <c r="DY33"/>
  <c r="J59" i="53"/>
  <c r="ET33" i="55" s="1"/>
  <c r="D69" i="52"/>
  <c r="AU67" i="1"/>
  <c r="DZ9" i="55"/>
  <c r="J66" i="53"/>
  <c r="EU9" i="55" s="1"/>
  <c r="EA15"/>
  <c r="J101" i="53"/>
  <c r="EV15" i="55" s="1"/>
  <c r="AU78" i="1"/>
  <c r="D80" i="52"/>
  <c r="DZ20" i="55"/>
  <c r="J77" i="53"/>
  <c r="EU20" i="55" s="1"/>
  <c r="AU30" i="1"/>
  <c r="D32" i="52"/>
  <c r="AT232" i="1"/>
  <c r="B234" i="52"/>
  <c r="DK8" i="55"/>
  <c r="H247" i="53"/>
  <c r="EF8" i="55" s="1"/>
  <c r="B250" i="52"/>
  <c r="AT248" i="1"/>
  <c r="DK24" i="55"/>
  <c r="AT264" i="1"/>
  <c r="B266" i="52"/>
  <c r="B274"/>
  <c r="AT272" i="1"/>
  <c r="DL25" i="55"/>
  <c r="AR354" i="1"/>
  <c r="AQ354"/>
  <c r="F361" i="53" s="1"/>
  <c r="AQ357" i="1"/>
  <c r="F364" i="53" s="1"/>
  <c r="AR357" i="1"/>
  <c r="AQ349"/>
  <c r="F356" i="53" s="1"/>
  <c r="AR349" i="1"/>
  <c r="AU85"/>
  <c r="D87" i="52"/>
  <c r="AU37" i="1"/>
  <c r="D39" i="52"/>
  <c r="AU103" i="1"/>
  <c r="D105" i="52"/>
  <c r="D57"/>
  <c r="AU55" i="1"/>
  <c r="DY12" i="55"/>
  <c r="J38" i="53"/>
  <c r="ET12" i="55" s="1"/>
  <c r="DZ24"/>
  <c r="J81" i="53"/>
  <c r="EU24" i="55" s="1"/>
  <c r="H249" i="53"/>
  <c r="EF10" i="55" s="1"/>
  <c r="DK10"/>
  <c r="AT258" i="1"/>
  <c r="B260" i="52"/>
  <c r="H289" i="53"/>
  <c r="EG19" i="55" s="1"/>
  <c r="B247" i="52"/>
  <c r="AT245" i="1"/>
  <c r="AU96"/>
  <c r="D98" i="52"/>
  <c r="EB3" i="55"/>
  <c r="J120" i="53"/>
  <c r="EW3" i="55" s="1"/>
  <c r="AU49" i="1"/>
  <c r="D51" i="52"/>
  <c r="AU27" i="1"/>
  <c r="D29" i="52"/>
  <c r="DY27" i="55"/>
  <c r="J53" i="53"/>
  <c r="ET27" i="55" s="1"/>
  <c r="B241" i="52"/>
  <c r="AT239" i="1"/>
  <c r="B257" i="52"/>
  <c r="AT255" i="1"/>
  <c r="B273" i="52"/>
  <c r="AT271" i="1"/>
  <c r="H294" i="53"/>
  <c r="EG24" i="55" s="1"/>
  <c r="DL24"/>
  <c r="AU68" i="1"/>
  <c r="D70" i="52"/>
  <c r="EA6" i="55"/>
  <c r="J92" i="53"/>
  <c r="EV6" i="55" s="1"/>
  <c r="D89" i="52"/>
  <c r="AU87" i="1"/>
  <c r="DZ13" i="55"/>
  <c r="J70" i="53"/>
  <c r="EU13" i="55" s="1"/>
  <c r="H236" i="53"/>
  <c r="EE28" i="55" s="1"/>
  <c r="DJ28"/>
  <c r="B251" i="52"/>
  <c r="AT249" i="1"/>
  <c r="B283" i="52"/>
  <c r="AT281" i="1"/>
  <c r="DZ10" i="55"/>
  <c r="J67" i="53"/>
  <c r="EU10" i="55" s="1"/>
  <c r="D59" i="52"/>
  <c r="AU57" i="1"/>
  <c r="D93" i="52"/>
  <c r="AU91" i="1"/>
  <c r="AU54"/>
  <c r="D56" i="52"/>
  <c r="AT240" i="1"/>
  <c r="B242" i="52"/>
  <c r="AT256" i="1"/>
  <c r="B258" i="52"/>
  <c r="AQ348" i="1"/>
  <c r="F355" i="53" s="1"/>
  <c r="AR348" i="1"/>
  <c r="AQ355"/>
  <c r="F362" i="53" s="1"/>
  <c r="AR355" i="1"/>
  <c r="AQ358"/>
  <c r="F365" i="53" s="1"/>
  <c r="AR358" i="1"/>
  <c r="AR372"/>
  <c r="AQ372"/>
  <c r="F379" i="53" s="1"/>
  <c r="AQ115" i="1"/>
  <c r="F122" i="53" s="1"/>
  <c r="AR115" i="1"/>
  <c r="D114" i="52"/>
  <c r="AU112" i="1"/>
  <c r="DZ30" i="55"/>
  <c r="J87" i="53"/>
  <c r="EU30" i="55" s="1"/>
  <c r="AR371" i="1"/>
  <c r="AQ371"/>
  <c r="F378" i="53" s="1"/>
  <c r="AR368" i="1"/>
  <c r="AQ368"/>
  <c r="F375" i="53" s="1"/>
  <c r="AQ351" i="1"/>
  <c r="F358" i="53" s="1"/>
  <c r="AR351" i="1"/>
  <c r="AQ345"/>
  <c r="F352" i="53" s="1"/>
  <c r="AR345" i="1"/>
  <c r="AQ352"/>
  <c r="F359" i="53" s="1"/>
  <c r="AR352" i="1"/>
  <c r="AR370"/>
  <c r="AQ370"/>
  <c r="F377" i="53" s="1"/>
  <c r="AR347" i="1"/>
  <c r="AQ347"/>
  <c r="F354" i="53" s="1"/>
  <c r="AQ361" i="1"/>
  <c r="F368" i="53" s="1"/>
  <c r="AR361" i="1"/>
  <c r="AU72"/>
  <c r="D74" i="52"/>
  <c r="D50"/>
  <c r="AU48" i="1"/>
  <c r="D103" i="52"/>
  <c r="AU101" i="1"/>
  <c r="AU53"/>
  <c r="D55" i="52"/>
  <c r="EA32" i="55"/>
  <c r="J118" i="53"/>
  <c r="EV32" i="55" s="1"/>
  <c r="EA8"/>
  <c r="J94" i="53"/>
  <c r="EV8" i="55" s="1"/>
  <c r="AU71" i="1"/>
  <c r="D73" i="52"/>
  <c r="DY20" i="55"/>
  <c r="J46" i="53"/>
  <c r="ET20" i="55" s="1"/>
  <c r="AU25" i="1"/>
  <c r="D27" i="52"/>
  <c r="EA27" i="55"/>
  <c r="J113" i="53"/>
  <c r="EV27" i="55" s="1"/>
  <c r="AU90" i="1"/>
  <c r="D92" i="52"/>
  <c r="AU42" i="1"/>
  <c r="D44" i="52"/>
  <c r="DY15" i="55"/>
  <c r="J41" i="53"/>
  <c r="ET15" i="55" s="1"/>
  <c r="H237" i="53"/>
  <c r="EE29" i="55" s="1"/>
  <c r="DJ29"/>
  <c r="B240" i="52"/>
  <c r="AT238" i="1"/>
  <c r="H253" i="53"/>
  <c r="EF14" i="55" s="1"/>
  <c r="DK14"/>
  <c r="AT254" i="1"/>
  <c r="B256" i="52"/>
  <c r="AT262" i="1"/>
  <c r="B264" i="52"/>
  <c r="B272"/>
  <c r="AT270" i="1"/>
  <c r="AT286"/>
  <c r="B288" i="52"/>
  <c r="DK5" i="55"/>
  <c r="H244" i="53"/>
  <c r="EF5" i="55" s="1"/>
  <c r="AT253" i="1"/>
  <c r="B255" i="52"/>
  <c r="B271"/>
  <c r="AT269" i="1"/>
  <c r="EA25" i="55"/>
  <c r="J111" i="53"/>
  <c r="EV25" i="55" s="1"/>
  <c r="DZ14"/>
  <c r="J71" i="53"/>
  <c r="EU14" i="55" s="1"/>
  <c r="D107" i="52"/>
  <c r="AU105" i="1"/>
  <c r="EA18" i="55"/>
  <c r="J104" i="53"/>
  <c r="EV18" i="55" s="1"/>
  <c r="D83" i="52"/>
  <c r="AU81" i="1"/>
  <c r="DZ7" i="55"/>
  <c r="J64" i="53"/>
  <c r="EU7" i="55" s="1"/>
  <c r="AU23" i="1"/>
  <c r="D25" i="52"/>
  <c r="D101"/>
  <c r="AU99" i="1"/>
  <c r="DZ25" i="55"/>
  <c r="J82" i="53"/>
  <c r="EU25" i="55" s="1"/>
  <c r="D88" i="52"/>
  <c r="AU86" i="1"/>
  <c r="AU62"/>
  <c r="D64" i="52"/>
  <c r="AU24" i="1"/>
  <c r="D26" i="52"/>
  <c r="DJ26" i="55"/>
  <c r="H234" i="53"/>
  <c r="EE26" i="55" s="1"/>
  <c r="B237" i="52"/>
  <c r="AT235" i="1"/>
  <c r="DK11" i="55"/>
  <c r="H250" i="53"/>
  <c r="EF11" i="55" s="1"/>
  <c r="B253" i="52"/>
  <c r="AT251" i="1"/>
  <c r="DK27" i="55"/>
  <c r="H266" i="53"/>
  <c r="EF27" i="55" s="1"/>
  <c r="B269" i="52"/>
  <c r="AT267" i="1"/>
  <c r="H282" i="53"/>
  <c r="EG12" i="55" s="1"/>
  <c r="DL12"/>
  <c r="D110" i="52"/>
  <c r="AU108" i="1"/>
  <c r="DZ26" i="55"/>
  <c r="J83" i="53"/>
  <c r="EU26" i="55" s="1"/>
  <c r="AU52" i="1"/>
  <c r="D54" i="52"/>
  <c r="DY25" i="55"/>
  <c r="J51" i="53"/>
  <c r="ET25" i="55" s="1"/>
  <c r="EA14"/>
  <c r="J100" i="53"/>
  <c r="EV14" i="55" s="1"/>
  <c r="AU61" i="1"/>
  <c r="D63" i="52"/>
  <c r="DZ3" i="55"/>
  <c r="J60" i="53"/>
  <c r="EU3" i="55" s="1"/>
  <c r="DY18"/>
  <c r="J44" i="53"/>
  <c r="ET18" i="55" s="1"/>
  <c r="AU39" i="1"/>
  <c r="D41" i="52"/>
  <c r="D108"/>
  <c r="AU106" i="1"/>
  <c r="EA19" i="55"/>
  <c r="J105" i="53"/>
  <c r="EV19" i="55" s="1"/>
  <c r="DF35"/>
  <c r="D68" i="52"/>
  <c r="AU66" i="1"/>
  <c r="DY23" i="55"/>
  <c r="J49" i="53"/>
  <c r="ET23" i="55" s="1"/>
  <c r="DY7"/>
  <c r="J33" i="53"/>
  <c r="ET7" i="55" s="1"/>
  <c r="H248" i="53"/>
  <c r="EF9" i="55" s="1"/>
  <c r="DK9"/>
  <c r="AT257" i="1"/>
  <c r="EA29" i="55"/>
  <c r="J115" i="53"/>
  <c r="EV29" i="55" s="1"/>
  <c r="AU76" i="1"/>
  <c r="D78" i="52"/>
  <c r="D38"/>
  <c r="AU36" i="1"/>
  <c r="DY9" i="55"/>
  <c r="J35" i="53"/>
  <c r="ET9" i="55" s="1"/>
  <c r="EA26"/>
  <c r="J112" i="53"/>
  <c r="EV26" i="55" s="1"/>
  <c r="DZ31"/>
  <c r="J88" i="53"/>
  <c r="EU31" i="55" s="1"/>
  <c r="DY22"/>
  <c r="J48" i="53"/>
  <c r="ET22" i="55" s="1"/>
  <c r="D77" i="52"/>
  <c r="AU75" i="1"/>
  <c r="DY32" i="55"/>
  <c r="J58" i="53"/>
  <c r="ET32" i="55" s="1"/>
  <c r="DY8"/>
  <c r="J34" i="53"/>
  <c r="ET8" i="55" s="1"/>
  <c r="AU102" i="1"/>
  <c r="D104" i="52"/>
  <c r="DZ12" i="55"/>
  <c r="J69" i="53"/>
  <c r="EU12" i="55" s="1"/>
  <c r="AU38" i="1"/>
  <c r="D40" i="52"/>
  <c r="B230"/>
  <c r="AT228" i="1"/>
  <c r="DK4" i="55"/>
  <c r="H243" i="53"/>
  <c r="EF4" i="55" s="1"/>
  <c r="AT244" i="1"/>
  <c r="B246" i="52"/>
  <c r="B254"/>
  <c r="AT252" i="1"/>
  <c r="H267" i="53"/>
  <c r="EF28" i="55" s="1"/>
  <c r="DK28"/>
  <c r="B278" i="52"/>
  <c r="AT276" i="1"/>
  <c r="AT284"/>
  <c r="B286" i="52"/>
  <c r="AT288" i="1"/>
  <c r="B290" i="52"/>
  <c r="AO116" i="1" l="1"/>
  <c r="AP116" s="1"/>
  <c r="BO115"/>
  <c r="BK115"/>
  <c r="AO373"/>
  <c r="AP373" s="1"/>
  <c r="BK372"/>
  <c r="BO372"/>
  <c r="DL3" i="55"/>
  <c r="H286" i="53"/>
  <c r="EG16" i="55" s="1"/>
  <c r="BK389" i="1"/>
  <c r="BO389"/>
  <c r="AT273"/>
  <c r="AQ289"/>
  <c r="F296" i="53" s="1"/>
  <c r="DL26" i="55" s="1"/>
  <c r="DL20"/>
  <c r="H292" i="53"/>
  <c r="EG22" i="55" s="1"/>
  <c r="B267" i="52"/>
  <c r="BO487" i="1"/>
  <c r="BK487"/>
  <c r="H285" i="53"/>
  <c r="EG15" i="55" s="1"/>
  <c r="DL5"/>
  <c r="AR289" i="1"/>
  <c r="AT289" s="1"/>
  <c r="H291" i="53"/>
  <c r="EG21" i="55" s="1"/>
  <c r="H287" i="53"/>
  <c r="EG17" i="55" s="1"/>
  <c r="I115" i="52"/>
  <c r="EM15" i="55"/>
  <c r="EM23"/>
  <c r="EL27"/>
  <c r="EN7"/>
  <c r="EM6"/>
  <c r="EL18"/>
  <c r="EL13"/>
  <c r="EM28"/>
  <c r="EM11"/>
  <c r="EM18"/>
  <c r="EL30"/>
  <c r="H493" i="53"/>
  <c r="DS11" i="55"/>
  <c r="EM17"/>
  <c r="EN5"/>
  <c r="EM12"/>
  <c r="EN4"/>
  <c r="EM3"/>
  <c r="EL31"/>
  <c r="EL23"/>
  <c r="EM26"/>
  <c r="EM32"/>
  <c r="EM14"/>
  <c r="EL10"/>
  <c r="EN6"/>
  <c r="EM21"/>
  <c r="EM16"/>
  <c r="EN8"/>
  <c r="EL11"/>
  <c r="EM30"/>
  <c r="B488" i="52"/>
  <c r="AT486" i="1"/>
  <c r="EM9" i="55"/>
  <c r="EL24"/>
  <c r="EL8"/>
  <c r="EM27"/>
  <c r="EN3"/>
  <c r="EL14"/>
  <c r="EM5"/>
  <c r="EL17"/>
  <c r="EN9"/>
  <c r="EM24"/>
  <c r="AR389" i="1"/>
  <c r="AQ389"/>
  <c r="F396" i="53" s="1"/>
  <c r="AO390" i="1"/>
  <c r="AP390" s="1"/>
  <c r="EM7" i="55"/>
  <c r="EL28"/>
  <c r="EL26"/>
  <c r="EN10"/>
  <c r="EM25"/>
  <c r="EM20"/>
  <c r="EL21"/>
  <c r="EL15"/>
  <c r="DR35"/>
  <c r="EM10"/>
  <c r="EL22"/>
  <c r="EL6"/>
  <c r="EL19"/>
  <c r="EM29"/>
  <c r="EM13"/>
  <c r="EL9"/>
  <c r="EM8"/>
  <c r="EL20"/>
  <c r="EM31"/>
  <c r="EM22"/>
  <c r="AQ487" i="1"/>
  <c r="F494" i="53" s="1"/>
  <c r="AR487" i="1"/>
  <c r="AO488"/>
  <c r="AP488" s="1"/>
  <c r="EM33" i="55"/>
  <c r="EL29"/>
  <c r="EL5"/>
  <c r="EL16"/>
  <c r="EM19"/>
  <c r="EL7"/>
  <c r="EL25"/>
  <c r="EL12"/>
  <c r="H358" i="53"/>
  <c r="EI27" i="55" s="1"/>
  <c r="DN27"/>
  <c r="AT372" i="1"/>
  <c r="B374" i="52"/>
  <c r="AT353" i="1"/>
  <c r="B355" i="52"/>
  <c r="H366" i="53"/>
  <c r="EJ5" i="55" s="1"/>
  <c r="DO5"/>
  <c r="AT361" i="1"/>
  <c r="B363" i="52"/>
  <c r="DO16" i="55"/>
  <c r="H377" i="53"/>
  <c r="EJ16" i="55" s="1"/>
  <c r="B347" i="52"/>
  <c r="AT345" i="1"/>
  <c r="H375" i="53"/>
  <c r="EJ14" i="55" s="1"/>
  <c r="DO14"/>
  <c r="B360" i="52"/>
  <c r="AT358" i="1"/>
  <c r="B350" i="52"/>
  <c r="AT348" i="1"/>
  <c r="H296" i="53"/>
  <c r="EG26" i="55" s="1"/>
  <c r="AT349" i="1"/>
  <c r="B351" i="52"/>
  <c r="H361" i="53"/>
  <c r="EI30" i="55" s="1"/>
  <c r="DN30"/>
  <c r="B362" i="52"/>
  <c r="AT360" i="1"/>
  <c r="H371" i="53"/>
  <c r="EJ10" i="55" s="1"/>
  <c r="DO10"/>
  <c r="EF35"/>
  <c r="DN29"/>
  <c r="H360" i="53"/>
  <c r="EI29" i="55" s="1"/>
  <c r="AT363" i="1"/>
  <c r="B365" i="52"/>
  <c r="B368"/>
  <c r="AT366" i="1"/>
  <c r="B361" i="52"/>
  <c r="AT359" i="1"/>
  <c r="B344" i="52"/>
  <c r="AT342" i="1"/>
  <c r="AT347"/>
  <c r="B349" i="52"/>
  <c r="B373"/>
  <c r="AT371" i="1"/>
  <c r="H122" i="53"/>
  <c r="DG5" i="55"/>
  <c r="AT350" i="1"/>
  <c r="B352" i="52"/>
  <c r="H373" i="53"/>
  <c r="EJ12" i="55" s="1"/>
  <c r="DO12"/>
  <c r="DN18"/>
  <c r="H349" i="53"/>
  <c r="EI18" i="55" s="1"/>
  <c r="DZ35"/>
  <c r="H368" i="53"/>
  <c r="EJ7" i="55" s="1"/>
  <c r="DO7"/>
  <c r="AT370" i="1"/>
  <c r="B372" i="52"/>
  <c r="AT368" i="1"/>
  <c r="B370" i="52"/>
  <c r="H365" i="53"/>
  <c r="EJ4" i="55" s="1"/>
  <c r="DO4"/>
  <c r="B356" i="52"/>
  <c r="AT354" i="1"/>
  <c r="B358" i="52"/>
  <c r="AT356" i="1"/>
  <c r="B367" i="52"/>
  <c r="AT365" i="1"/>
  <c r="B345" i="52"/>
  <c r="AT343" i="1"/>
  <c r="DN22" i="55"/>
  <c r="H353" i="53"/>
  <c r="EI22" i="55" s="1"/>
  <c r="AT344" i="1"/>
  <c r="B346" i="52"/>
  <c r="DN28" i="55"/>
  <c r="H359" i="53"/>
  <c r="EI28" i="55" s="1"/>
  <c r="DN31"/>
  <c r="H362" i="53"/>
  <c r="EI31" i="55" s="1"/>
  <c r="H364" i="53"/>
  <c r="EJ3" i="55" s="1"/>
  <c r="DO3"/>
  <c r="H367" i="53"/>
  <c r="EJ6" i="55" s="1"/>
  <c r="DO6"/>
  <c r="B364" i="52"/>
  <c r="AT362" i="1"/>
  <c r="DK35" i="55"/>
  <c r="H370" i="53"/>
  <c r="EJ9" i="55" s="1"/>
  <c r="DO9"/>
  <c r="H352" i="53"/>
  <c r="EI21" i="55" s="1"/>
  <c r="DN21"/>
  <c r="H355" i="53"/>
  <c r="EI24" i="55" s="1"/>
  <c r="DN24"/>
  <c r="DN25"/>
  <c r="H356" i="53"/>
  <c r="EI25" i="55" s="1"/>
  <c r="EA35"/>
  <c r="B116" i="52"/>
  <c r="AT114" i="1"/>
  <c r="AS114"/>
  <c r="B369" i="52"/>
  <c r="AT367" i="1"/>
  <c r="DO15" i="55"/>
  <c r="H376" i="53"/>
  <c r="EJ15" i="55" s="1"/>
  <c r="B366" i="52"/>
  <c r="AT364" i="1"/>
  <c r="DN23" i="55"/>
  <c r="H354" i="53"/>
  <c r="EI23" i="55" s="1"/>
  <c r="AT352" i="1"/>
  <c r="B354" i="52"/>
  <c r="AT351" i="1"/>
  <c r="B353" i="52"/>
  <c r="H378" i="53"/>
  <c r="EJ17" i="55" s="1"/>
  <c r="DO17"/>
  <c r="AT115" i="1"/>
  <c r="B117" i="52"/>
  <c r="AS115" i="1"/>
  <c r="H379" i="53"/>
  <c r="EJ18" i="55" s="1"/>
  <c r="DO18"/>
  <c r="B357" i="52"/>
  <c r="AT355" i="1"/>
  <c r="AR290"/>
  <c r="AQ290"/>
  <c r="F297" i="53" s="1"/>
  <c r="AO291" i="1"/>
  <c r="AP291" s="1"/>
  <c r="B359" i="52"/>
  <c r="AT357" i="1"/>
  <c r="DG4" i="55"/>
  <c r="H121" i="53"/>
  <c r="H374"/>
  <c r="EJ13" i="55" s="1"/>
  <c r="DO13"/>
  <c r="B371" i="52"/>
  <c r="AT369" i="1"/>
  <c r="DY35" i="55"/>
  <c r="H357" i="53"/>
  <c r="EI26" i="55" s="1"/>
  <c r="DN26"/>
  <c r="DO8"/>
  <c r="H369" i="53"/>
  <c r="EJ8" i="55" s="1"/>
  <c r="DN32"/>
  <c r="H363" i="53"/>
  <c r="EI32" i="55" s="1"/>
  <c r="H372" i="53"/>
  <c r="EJ11" i="55" s="1"/>
  <c r="DO11"/>
  <c r="DN19"/>
  <c r="H350" i="53"/>
  <c r="EI19" i="55" s="1"/>
  <c r="AT346" i="1"/>
  <c r="B348" i="52"/>
  <c r="DN20" i="55"/>
  <c r="H351" i="53"/>
  <c r="EI20" i="55" s="1"/>
  <c r="AO117" i="1" l="1"/>
  <c r="AP117" s="1"/>
  <c r="BO116"/>
  <c r="BK116"/>
  <c r="AQ116"/>
  <c r="F123" i="53" s="1"/>
  <c r="AR116" i="1"/>
  <c r="AO374"/>
  <c r="AP374" s="1"/>
  <c r="BK373"/>
  <c r="BO373"/>
  <c r="AQ373"/>
  <c r="F380" i="53" s="1"/>
  <c r="AR373" i="1"/>
  <c r="BO488"/>
  <c r="BK488"/>
  <c r="BO390"/>
  <c r="BK390"/>
  <c r="B291" i="52"/>
  <c r="EM35" i="55"/>
  <c r="AR488" i="1"/>
  <c r="AQ488"/>
  <c r="F495" i="53" s="1"/>
  <c r="AO489" i="1"/>
  <c r="AP489" s="1"/>
  <c r="AR390"/>
  <c r="AQ390"/>
  <c r="F397" i="53" s="1"/>
  <c r="AO391" i="1"/>
  <c r="AP391" s="1"/>
  <c r="AT487"/>
  <c r="B489" i="52"/>
  <c r="DP4" i="55"/>
  <c r="H396" i="53"/>
  <c r="H494"/>
  <c r="DS12" i="55"/>
  <c r="B391" i="52"/>
  <c r="AT389" i="1"/>
  <c r="EN11" i="55"/>
  <c r="G116" i="52"/>
  <c r="G117" s="1"/>
  <c r="AT290" i="1"/>
  <c r="B292" i="52"/>
  <c r="EB4" i="55"/>
  <c r="J121" i="53"/>
  <c r="EW4" i="55" s="1"/>
  <c r="AQ291" i="1"/>
  <c r="F298" i="53" s="1"/>
  <c r="AR291" i="1"/>
  <c r="AO292"/>
  <c r="AP292" s="1"/>
  <c r="AU114"/>
  <c r="D116" i="52"/>
  <c r="I116" s="1"/>
  <c r="EB5" i="55"/>
  <c r="J122" i="53"/>
  <c r="EW5" i="55" s="1"/>
  <c r="H297" i="53"/>
  <c r="EG27" i="55" s="1"/>
  <c r="DL27"/>
  <c r="AU115" i="1"/>
  <c r="D117" i="52"/>
  <c r="I117" s="1"/>
  <c r="H380" i="53" l="1"/>
  <c r="EJ19" i="55" s="1"/>
  <c r="DO19"/>
  <c r="AO118" i="1"/>
  <c r="AP118" s="1"/>
  <c r="BO117"/>
  <c r="BK117"/>
  <c r="AR117"/>
  <c r="AQ117"/>
  <c r="F124" i="53" s="1"/>
  <c r="AT116" i="1"/>
  <c r="B118" i="52"/>
  <c r="G118" s="1"/>
  <c r="BO489" i="1"/>
  <c r="BK489"/>
  <c r="AO375"/>
  <c r="AP375" s="1"/>
  <c r="BO374"/>
  <c r="BK374"/>
  <c r="AQ374"/>
  <c r="F381" i="53" s="1"/>
  <c r="AR374" i="1"/>
  <c r="AT373"/>
  <c r="B375" i="52"/>
  <c r="DG6" i="55"/>
  <c r="H123" i="53"/>
  <c r="EB6" i="55" s="1"/>
  <c r="BO391" i="1"/>
  <c r="BK391"/>
  <c r="AS116"/>
  <c r="J123" i="53"/>
  <c r="B392" i="52"/>
  <c r="AT390" i="1"/>
  <c r="DS13" i="55"/>
  <c r="H495" i="53"/>
  <c r="EK4" i="55"/>
  <c r="B490" i="52"/>
  <c r="AT488" i="1"/>
  <c r="AQ391"/>
  <c r="F398" i="53" s="1"/>
  <c r="AO392" i="1"/>
  <c r="AP392" s="1"/>
  <c r="AR391"/>
  <c r="EN12" i="55"/>
  <c r="DP5"/>
  <c r="H397" i="53"/>
  <c r="AR489" i="1"/>
  <c r="AQ489"/>
  <c r="F496" i="53" s="1"/>
  <c r="AO490" i="1"/>
  <c r="AP490" s="1"/>
  <c r="DL28" i="55"/>
  <c r="H298" i="53"/>
  <c r="EG28" i="55" s="1"/>
  <c r="AR292" i="1"/>
  <c r="AQ292"/>
  <c r="F299" i="53" s="1"/>
  <c r="AO293" i="1"/>
  <c r="AP293" s="1"/>
  <c r="AT291"/>
  <c r="B293" i="52"/>
  <c r="BO490" i="1" l="1"/>
  <c r="BK490"/>
  <c r="AO119"/>
  <c r="AP119" s="1"/>
  <c r="BO118"/>
  <c r="BK118"/>
  <c r="AQ118"/>
  <c r="F125" i="53" s="1"/>
  <c r="AR118" i="1"/>
  <c r="AO376"/>
  <c r="AP376" s="1"/>
  <c r="BO375"/>
  <c r="BK375"/>
  <c r="AR375"/>
  <c r="AQ375"/>
  <c r="F382" i="53" s="1"/>
  <c r="AT117" i="1"/>
  <c r="B119" i="52"/>
  <c r="I119" s="1"/>
  <c r="BO392" i="1"/>
  <c r="BK392"/>
  <c r="H124" i="53"/>
  <c r="EB7" i="55" s="1"/>
  <c r="DG7"/>
  <c r="B376" i="52"/>
  <c r="AT374" i="1"/>
  <c r="AS117"/>
  <c r="AU116"/>
  <c r="D118" i="52"/>
  <c r="I118" s="1"/>
  <c r="H381" i="53"/>
  <c r="EJ20" i="55" s="1"/>
  <c r="DO20"/>
  <c r="EW6"/>
  <c r="B491" i="52"/>
  <c r="AT489" i="1"/>
  <c r="H398" i="53"/>
  <c r="DP6" i="55"/>
  <c r="EK5"/>
  <c r="AO491" i="1"/>
  <c r="AP491" s="1"/>
  <c r="AR490"/>
  <c r="AQ490"/>
  <c r="F497" i="53" s="1"/>
  <c r="B393" i="52"/>
  <c r="AT391" i="1"/>
  <c r="EN13" i="55"/>
  <c r="H496" i="53"/>
  <c r="DS14" i="55"/>
  <c r="AR392" i="1"/>
  <c r="AQ392"/>
  <c r="F399" i="53" s="1"/>
  <c r="AO393" i="1"/>
  <c r="AP393" s="1"/>
  <c r="AT292"/>
  <c r="B294" i="52"/>
  <c r="AR293" i="1"/>
  <c r="AQ293"/>
  <c r="F300" i="53" s="1"/>
  <c r="AO294" i="1"/>
  <c r="AP294" s="1"/>
  <c r="H299" i="53"/>
  <c r="EG29" i="55" s="1"/>
  <c r="DL29"/>
  <c r="AO377" i="1" l="1"/>
  <c r="AP377" s="1"/>
  <c r="BO376"/>
  <c r="BK376"/>
  <c r="AR376"/>
  <c r="AQ376"/>
  <c r="F383" i="53" s="1"/>
  <c r="AO120" i="1"/>
  <c r="AP120" s="1"/>
  <c r="BO119"/>
  <c r="BK119"/>
  <c r="AR119"/>
  <c r="AQ119"/>
  <c r="F126" i="53" s="1"/>
  <c r="AT118" i="1"/>
  <c r="B120" i="52"/>
  <c r="I120" s="1"/>
  <c r="BK491" i="1"/>
  <c r="BO491"/>
  <c r="B377" i="52"/>
  <c r="AT375" i="1"/>
  <c r="AS118"/>
  <c r="AU117"/>
  <c r="D119" i="52"/>
  <c r="DO21" i="55"/>
  <c r="H382" i="53"/>
  <c r="EJ21" i="55" s="1"/>
  <c r="BK393" i="1"/>
  <c r="BO393"/>
  <c r="H125" i="53"/>
  <c r="EB8" i="55" s="1"/>
  <c r="DG8"/>
  <c r="G119" i="52"/>
  <c r="G120" s="1"/>
  <c r="J124" i="53"/>
  <c r="EW7" i="55" s="1"/>
  <c r="B394" i="52"/>
  <c r="AT392" i="1"/>
  <c r="DS15" i="55"/>
  <c r="H497" i="53"/>
  <c r="AO394" i="1"/>
  <c r="AP394" s="1"/>
  <c r="AR393"/>
  <c r="AQ393"/>
  <c r="F400" i="53" s="1"/>
  <c r="EN14" i="55"/>
  <c r="B492" i="52"/>
  <c r="AT490" i="1"/>
  <c r="DP7" i="55"/>
  <c r="H399" i="53"/>
  <c r="AQ491" i="1"/>
  <c r="F498" i="53" s="1"/>
  <c r="AO492" i="1"/>
  <c r="AP492" s="1"/>
  <c r="AR491"/>
  <c r="EK6" i="55"/>
  <c r="H300" i="53"/>
  <c r="EG30" i="55" s="1"/>
  <c r="DL30"/>
  <c r="B295" i="52"/>
  <c r="AT293" i="1"/>
  <c r="AR294"/>
  <c r="AQ294"/>
  <c r="F301" i="53" s="1"/>
  <c r="AO295" i="1"/>
  <c r="AP295" s="1"/>
  <c r="BO394" l="1"/>
  <c r="BK394"/>
  <c r="H126" i="53"/>
  <c r="EB9" i="55" s="1"/>
  <c r="DG9"/>
  <c r="AS119" i="1"/>
  <c r="AU118"/>
  <c r="D120" i="52"/>
  <c r="B378"/>
  <c r="AT376" i="1"/>
  <c r="AO378"/>
  <c r="AP378" s="1"/>
  <c r="BO377"/>
  <c r="BK377"/>
  <c r="AR377"/>
  <c r="AQ377"/>
  <c r="F384" i="53" s="1"/>
  <c r="DO22" i="55"/>
  <c r="H383" i="53"/>
  <c r="EJ22" i="55" s="1"/>
  <c r="J125" i="53"/>
  <c r="EW8" i="55" s="1"/>
  <c r="BK492" i="1"/>
  <c r="BO492"/>
  <c r="AO121"/>
  <c r="AP121" s="1"/>
  <c r="BK120"/>
  <c r="BO120"/>
  <c r="AQ120"/>
  <c r="F127" i="53" s="1"/>
  <c r="AR120" i="1"/>
  <c r="AT119"/>
  <c r="B121" i="52"/>
  <c r="G121" s="1"/>
  <c r="AR492" i="1"/>
  <c r="AQ492"/>
  <c r="F499" i="53" s="1"/>
  <c r="AO493" i="1"/>
  <c r="AP493" s="1"/>
  <c r="AQ394"/>
  <c r="F401" i="53" s="1"/>
  <c r="AO395" i="1"/>
  <c r="AP395" s="1"/>
  <c r="AR394"/>
  <c r="H498" i="53"/>
  <c r="DS16" i="55"/>
  <c r="EN15"/>
  <c r="EK7"/>
  <c r="DP8"/>
  <c r="H400" i="53"/>
  <c r="B493" i="52"/>
  <c r="AT491" i="1"/>
  <c r="B395" i="52"/>
  <c r="AT393" i="1"/>
  <c r="AQ295"/>
  <c r="F302" i="53" s="1"/>
  <c r="AR295" i="1"/>
  <c r="AO296"/>
  <c r="AP296" s="1"/>
  <c r="H301" i="53"/>
  <c r="EG31" i="55" s="1"/>
  <c r="DL31"/>
  <c r="B296" i="52"/>
  <c r="AT294" i="1"/>
  <c r="DO23" i="55" l="1"/>
  <c r="H384" i="53"/>
  <c r="EJ23" i="55" s="1"/>
  <c r="AO122" i="1"/>
  <c r="AP122" s="1"/>
  <c r="BK121"/>
  <c r="BO121"/>
  <c r="AR121"/>
  <c r="AQ121"/>
  <c r="F128" i="53" s="1"/>
  <c r="AT377" i="1"/>
  <c r="B379" i="52"/>
  <c r="J126" i="53"/>
  <c r="DG10" i="55"/>
  <c r="H127" i="53"/>
  <c r="EB10" i="55" s="1"/>
  <c r="B122" i="52"/>
  <c r="G122" s="1"/>
  <c r="AT120" i="1"/>
  <c r="I121" i="52"/>
  <c r="I122" s="1"/>
  <c r="BK395" i="1"/>
  <c r="BO395"/>
  <c r="AO379"/>
  <c r="AP379" s="1"/>
  <c r="BO378"/>
  <c r="BK378"/>
  <c r="AQ378"/>
  <c r="F385" i="53" s="1"/>
  <c r="AR378" i="1"/>
  <c r="BK493"/>
  <c r="BO493"/>
  <c r="BO296"/>
  <c r="BK296"/>
  <c r="AS120"/>
  <c r="AU119"/>
  <c r="D121" i="52"/>
  <c r="EW9" i="55"/>
  <c r="J127" i="53"/>
  <c r="EN16" i="55"/>
  <c r="AR493" i="1"/>
  <c r="AQ493"/>
  <c r="F500" i="53" s="1"/>
  <c r="AO494" i="1"/>
  <c r="AP494" s="1"/>
  <c r="B396" i="52"/>
  <c r="AT394" i="1"/>
  <c r="H499" i="53"/>
  <c r="DS17" i="55"/>
  <c r="AR395" i="1"/>
  <c r="AQ395"/>
  <c r="F402" i="53" s="1"/>
  <c r="AO396" i="1"/>
  <c r="AP396" s="1"/>
  <c r="B494" i="52"/>
  <c r="AT492" i="1"/>
  <c r="H401" i="53"/>
  <c r="DP9" i="55"/>
  <c r="EK8"/>
  <c r="H302" i="53"/>
  <c r="EG32" i="55" s="1"/>
  <c r="EG35" s="1"/>
  <c r="DL32"/>
  <c r="DL35" s="1"/>
  <c r="AR296" i="1"/>
  <c r="AQ296"/>
  <c r="F303" i="53" s="1"/>
  <c r="AO297" i="1"/>
  <c r="AP297" s="1"/>
  <c r="B297" i="52"/>
  <c r="AT295" i="1"/>
  <c r="G123" i="52" l="1"/>
  <c r="DG11" i="55"/>
  <c r="H128" i="53"/>
  <c r="EB11" i="55" s="1"/>
  <c r="H385" i="53"/>
  <c r="EJ24" i="55" s="1"/>
  <c r="DO24"/>
  <c r="AT121" i="1"/>
  <c r="B123" i="52"/>
  <c r="I123" s="1"/>
  <c r="BK297" i="1"/>
  <c r="BO297"/>
  <c r="AO380"/>
  <c r="AP380" s="1"/>
  <c r="BK379"/>
  <c r="BO379"/>
  <c r="AR379"/>
  <c r="AQ379"/>
  <c r="F386" i="53" s="1"/>
  <c r="BK396" i="1"/>
  <c r="BO396"/>
  <c r="AS121"/>
  <c r="D122" i="52"/>
  <c r="AU120" i="1"/>
  <c r="AO123"/>
  <c r="AP123" s="1"/>
  <c r="BK122"/>
  <c r="BO122"/>
  <c r="AQ122"/>
  <c r="F129" i="53" s="1"/>
  <c r="AR122" i="1"/>
  <c r="AT378"/>
  <c r="B380" i="52"/>
  <c r="BO494" i="1"/>
  <c r="BK494"/>
  <c r="EW10" i="55"/>
  <c r="B397" i="52"/>
  <c r="AT395" i="1"/>
  <c r="DS18" i="55"/>
  <c r="H500" i="53"/>
  <c r="EK9" i="55"/>
  <c r="B495" i="52"/>
  <c r="AT493" i="1"/>
  <c r="AO397"/>
  <c r="AP397" s="1"/>
  <c r="AR396"/>
  <c r="AQ396"/>
  <c r="F403" i="53" s="1"/>
  <c r="DP10" i="55"/>
  <c r="H402" i="53"/>
  <c r="EN17" i="55"/>
  <c r="AO495" i="1"/>
  <c r="AP495" s="1"/>
  <c r="AR494"/>
  <c r="AQ494"/>
  <c r="F501" i="53" s="1"/>
  <c r="AR297" i="1"/>
  <c r="AQ297"/>
  <c r="F304" i="53" s="1"/>
  <c r="AO298" i="1"/>
  <c r="AP298" s="1"/>
  <c r="H303" i="53"/>
  <c r="EH3" i="55" s="1"/>
  <c r="DM3"/>
  <c r="AT296" i="1"/>
  <c r="B298" i="52"/>
  <c r="I124" l="1"/>
  <c r="AO381" i="1"/>
  <c r="AP381" s="1"/>
  <c r="BK380"/>
  <c r="BO380"/>
  <c r="AQ380"/>
  <c r="F387" i="53" s="1"/>
  <c r="AR380" i="1"/>
  <c r="AS122"/>
  <c r="AU121"/>
  <c r="D123" i="52"/>
  <c r="AO124" i="1"/>
  <c r="AP124" s="1"/>
  <c r="BO123"/>
  <c r="BK123"/>
  <c r="AR123"/>
  <c r="AQ123"/>
  <c r="F130" i="53" s="1"/>
  <c r="BO298" i="1"/>
  <c r="BK298"/>
  <c r="AT379"/>
  <c r="B381" i="52"/>
  <c r="BK397" i="1"/>
  <c r="BO397"/>
  <c r="DO25" i="55"/>
  <c r="H386" i="53"/>
  <c r="EJ25" i="55" s="1"/>
  <c r="J128" i="53"/>
  <c r="AT122" i="1"/>
  <c r="B124" i="52"/>
  <c r="G124" s="1"/>
  <c r="BO495" i="1"/>
  <c r="BK495"/>
  <c r="H129" i="53"/>
  <c r="EB12" i="55" s="1"/>
  <c r="DG12"/>
  <c r="EW11"/>
  <c r="AO496" i="1"/>
  <c r="AP496" s="1"/>
  <c r="AR495"/>
  <c r="AQ495"/>
  <c r="F502" i="53" s="1"/>
  <c r="AR397" i="1"/>
  <c r="AO398"/>
  <c r="AP398" s="1"/>
  <c r="AQ397"/>
  <c r="F404" i="53" s="1"/>
  <c r="H501"/>
  <c r="DS19" i="55"/>
  <c r="DP11"/>
  <c r="H403" i="53"/>
  <c r="B496" i="52"/>
  <c r="AT494" i="1"/>
  <c r="EK10" i="55"/>
  <c r="B398" i="52"/>
  <c r="AT396" i="1"/>
  <c r="EN18" i="55"/>
  <c r="AR298" i="1"/>
  <c r="AQ298"/>
  <c r="F305" i="53" s="1"/>
  <c r="AO299" i="1"/>
  <c r="AP299" s="1"/>
  <c r="DM4" i="55"/>
  <c r="H304" i="53"/>
  <c r="EH4" i="55" s="1"/>
  <c r="AT297" i="1"/>
  <c r="B299" i="52"/>
  <c r="G125" l="1"/>
  <c r="AO125" i="1"/>
  <c r="AP125" s="1"/>
  <c r="BO124"/>
  <c r="BK124"/>
  <c r="AQ124"/>
  <c r="F131" i="53" s="1"/>
  <c r="AR124" i="1"/>
  <c r="AO382"/>
  <c r="AP382" s="1"/>
  <c r="BK381"/>
  <c r="BO381"/>
  <c r="AR381"/>
  <c r="AQ381"/>
  <c r="F388" i="53" s="1"/>
  <c r="BK496" i="1"/>
  <c r="BO496"/>
  <c r="BO398"/>
  <c r="BK398"/>
  <c r="B125" i="52"/>
  <c r="AT123" i="1"/>
  <c r="DO26" i="55"/>
  <c r="H387" i="53"/>
  <c r="EJ26" i="55" s="1"/>
  <c r="H130" i="53"/>
  <c r="EB13" i="55" s="1"/>
  <c r="DG13"/>
  <c r="AT380" i="1"/>
  <c r="B382" i="52"/>
  <c r="BK299" i="1"/>
  <c r="BO299"/>
  <c r="AS123"/>
  <c r="AU122"/>
  <c r="D124" i="52"/>
  <c r="I125"/>
  <c r="J129" i="53"/>
  <c r="EW12" i="55"/>
  <c r="AR496" i="1"/>
  <c r="AO497"/>
  <c r="AP497" s="1"/>
  <c r="AQ496"/>
  <c r="F503" i="53" s="1"/>
  <c r="B399" i="52"/>
  <c r="AT397" i="1"/>
  <c r="AO399"/>
  <c r="AP399" s="1"/>
  <c r="AR398"/>
  <c r="AQ398"/>
  <c r="F405" i="53" s="1"/>
  <c r="EN19" i="55"/>
  <c r="H502" i="53"/>
  <c r="DS20" i="55"/>
  <c r="EK11"/>
  <c r="DP12"/>
  <c r="H404" i="53"/>
  <c r="B497" i="52"/>
  <c r="AT495" i="1"/>
  <c r="AQ299"/>
  <c r="F306" i="53" s="1"/>
  <c r="AR299" i="1"/>
  <c r="AO300"/>
  <c r="AP300" s="1"/>
  <c r="DM5" i="55"/>
  <c r="H305" i="53"/>
  <c r="EH5" i="55" s="1"/>
  <c r="B300" i="52"/>
  <c r="AT298" i="1"/>
  <c r="AS124" l="1"/>
  <c r="D125" i="52"/>
  <c r="AU123" i="1"/>
  <c r="H388" i="53"/>
  <c r="EJ27" i="55" s="1"/>
  <c r="DO27"/>
  <c r="BK300" i="1"/>
  <c r="BO300"/>
  <c r="DG14" i="55"/>
  <c r="H131" i="53"/>
  <c r="EB14" i="55" s="1"/>
  <c r="G126" i="52"/>
  <c r="AO126" i="1"/>
  <c r="AP126" s="1"/>
  <c r="BO125"/>
  <c r="BK125"/>
  <c r="AQ125"/>
  <c r="F132" i="53" s="1"/>
  <c r="AR125" i="1"/>
  <c r="BO399"/>
  <c r="BK399"/>
  <c r="AT124"/>
  <c r="B126" i="52"/>
  <c r="I126" s="1"/>
  <c r="BK497" i="1"/>
  <c r="BO497"/>
  <c r="AT381"/>
  <c r="B383" i="52"/>
  <c r="AO383" i="1"/>
  <c r="AP383" s="1"/>
  <c r="BO382"/>
  <c r="BK382"/>
  <c r="AR382"/>
  <c r="AQ382"/>
  <c r="F389" i="53" s="1"/>
  <c r="J130"/>
  <c r="EW13" i="55"/>
  <c r="AR399" i="1"/>
  <c r="AQ399"/>
  <c r="F406" i="53" s="1"/>
  <c r="AO400" i="1"/>
  <c r="AP400" s="1"/>
  <c r="DS21" i="55"/>
  <c r="H503" i="53"/>
  <c r="EK12" i="55"/>
  <c r="AO498" i="1"/>
  <c r="AP498" s="1"/>
  <c r="AR497"/>
  <c r="AQ497"/>
  <c r="F504" i="53" s="1"/>
  <c r="H405"/>
  <c r="DP13" i="55"/>
  <c r="B498" i="52"/>
  <c r="AT496" i="1"/>
  <c r="EN20" i="55"/>
  <c r="B400" i="52"/>
  <c r="AT398" i="1"/>
  <c r="AQ300"/>
  <c r="F307" i="53" s="1"/>
  <c r="AR300" i="1"/>
  <c r="AO301"/>
  <c r="AP301" s="1"/>
  <c r="B301" i="52"/>
  <c r="AT299" i="1"/>
  <c r="H306" i="53"/>
  <c r="EH6" i="55" s="1"/>
  <c r="DM6"/>
  <c r="I127" i="52" l="1"/>
  <c r="AO384" i="1"/>
  <c r="AP384" s="1"/>
  <c r="BO383"/>
  <c r="BK383"/>
  <c r="AR383"/>
  <c r="AQ383"/>
  <c r="F390" i="53" s="1"/>
  <c r="BK301" i="1"/>
  <c r="BO301"/>
  <c r="AO127"/>
  <c r="AP127" s="1"/>
  <c r="BO126"/>
  <c r="BK126"/>
  <c r="AQ126"/>
  <c r="F133" i="53" s="1"/>
  <c r="AR126" i="1"/>
  <c r="DO28" i="55"/>
  <c r="H389" i="53"/>
  <c r="EJ28" i="55" s="1"/>
  <c r="B384" i="52"/>
  <c r="AT382" i="1"/>
  <c r="J131" i="53"/>
  <c r="EW14" i="55" s="1"/>
  <c r="AS125" i="1"/>
  <c r="D126" i="52"/>
  <c r="AU124" i="1"/>
  <c r="BK400"/>
  <c r="BO400"/>
  <c r="H132" i="53"/>
  <c r="EB15" i="55" s="1"/>
  <c r="DG15"/>
  <c r="BK498" i="1"/>
  <c r="BO498"/>
  <c r="AT125"/>
  <c r="B127" i="52"/>
  <c r="G127" s="1"/>
  <c r="AR498" i="1"/>
  <c r="AO499"/>
  <c r="AP499" s="1"/>
  <c r="AQ498"/>
  <c r="F505" i="53" s="1"/>
  <c r="EK13" i="55"/>
  <c r="AR400" i="1"/>
  <c r="AO401"/>
  <c r="AP401" s="1"/>
  <c r="AQ400"/>
  <c r="F407" i="53" s="1"/>
  <c r="DS22" i="55"/>
  <c r="H504" i="53"/>
  <c r="H406"/>
  <c r="DP14" i="55"/>
  <c r="B499" i="52"/>
  <c r="AT497" i="1"/>
  <c r="EN21" i="55"/>
  <c r="AT399" i="1"/>
  <c r="B401" i="52"/>
  <c r="DM7" i="55"/>
  <c r="H307" i="53"/>
  <c r="EH7" i="55" s="1"/>
  <c r="AR301" i="1"/>
  <c r="AQ301"/>
  <c r="F308" i="53" s="1"/>
  <c r="AO302" i="1"/>
  <c r="AP302" s="1"/>
  <c r="AT300"/>
  <c r="B302" i="52"/>
  <c r="I128" l="1"/>
  <c r="AO385" i="1"/>
  <c r="AP385" s="1"/>
  <c r="BK384"/>
  <c r="BO384"/>
  <c r="AQ384"/>
  <c r="F391" i="53" s="1"/>
  <c r="AR384" i="1"/>
  <c r="DG16" i="55"/>
  <c r="H133" i="53"/>
  <c r="EB16" i="55" s="1"/>
  <c r="B385" i="52"/>
  <c r="AT383" i="1"/>
  <c r="AO128"/>
  <c r="AP128" s="1"/>
  <c r="AQ127"/>
  <c r="F134" i="53" s="1"/>
  <c r="AR127" i="1"/>
  <c r="AS126"/>
  <c r="AU125"/>
  <c r="D127" i="52"/>
  <c r="BK401" i="1"/>
  <c r="BO401"/>
  <c r="AT126"/>
  <c r="B128" i="52"/>
  <c r="G128" s="1"/>
  <c r="H390" i="53"/>
  <c r="EJ29" i="55" s="1"/>
  <c r="DO29"/>
  <c r="BO127" i="1"/>
  <c r="BK499"/>
  <c r="BO499"/>
  <c r="BO302"/>
  <c r="BK302"/>
  <c r="BK127"/>
  <c r="J132" i="53"/>
  <c r="EW15" i="55"/>
  <c r="EN22"/>
  <c r="AR401" i="1"/>
  <c r="AQ401"/>
  <c r="F408" i="53" s="1"/>
  <c r="AO402" i="1"/>
  <c r="AP402" s="1"/>
  <c r="DS23" i="55"/>
  <c r="H505" i="53"/>
  <c r="B402" i="52"/>
  <c r="AT400" i="1"/>
  <c r="AR499"/>
  <c r="AQ499"/>
  <c r="F506" i="53" s="1"/>
  <c r="AO500" i="1"/>
  <c r="AP500" s="1"/>
  <c r="B500" i="52"/>
  <c r="AT498" i="1"/>
  <c r="EK14" i="55"/>
  <c r="H407" i="53"/>
  <c r="DP15" i="55"/>
  <c r="DM8"/>
  <c r="H308" i="53"/>
  <c r="EH8" i="55" s="1"/>
  <c r="AT301" i="1"/>
  <c r="B303" i="52"/>
  <c r="AR302" i="1"/>
  <c r="AQ302"/>
  <c r="F309" i="53" s="1"/>
  <c r="AO303" i="1"/>
  <c r="AP303" s="1"/>
  <c r="G129" i="52" l="1"/>
  <c r="BO303" i="1"/>
  <c r="BK303"/>
  <c r="BK402"/>
  <c r="BO402"/>
  <c r="H134" i="53"/>
  <c r="EB17" i="55" s="1"/>
  <c r="DG17"/>
  <c r="BK128" i="1"/>
  <c r="BK129" s="1"/>
  <c r="BK500"/>
  <c r="BO500"/>
  <c r="AO129"/>
  <c r="AP129" s="1"/>
  <c r="AR128"/>
  <c r="AQ128"/>
  <c r="F135" i="53" s="1"/>
  <c r="B129" i="52"/>
  <c r="AT127" i="1"/>
  <c r="H391" i="53"/>
  <c r="EJ30" i="55" s="1"/>
  <c r="DO30"/>
  <c r="AO386" i="1"/>
  <c r="AP386" s="1"/>
  <c r="BK385"/>
  <c r="BO385"/>
  <c r="AR385"/>
  <c r="AQ385"/>
  <c r="F392" i="53" s="1"/>
  <c r="AS127" i="1"/>
  <c r="D128" i="52"/>
  <c r="AU126" i="1"/>
  <c r="AT384"/>
  <c r="B386" i="52"/>
  <c r="J133" i="53"/>
  <c r="EW16" i="55" s="1"/>
  <c r="BO128" i="1"/>
  <c r="J134" i="53"/>
  <c r="B501" i="52"/>
  <c r="AT499" i="1"/>
  <c r="EN23" i="55"/>
  <c r="B403" i="52"/>
  <c r="AT401" i="1"/>
  <c r="AO501"/>
  <c r="AP501" s="1"/>
  <c r="AR500"/>
  <c r="AQ500"/>
  <c r="F507" i="53" s="1"/>
  <c r="AO403" i="1"/>
  <c r="AP403" s="1"/>
  <c r="AR402"/>
  <c r="AQ402"/>
  <c r="F409" i="53" s="1"/>
  <c r="EK15" i="55"/>
  <c r="DS24"/>
  <c r="H506" i="53"/>
  <c r="DP16" i="55"/>
  <c r="H408" i="53"/>
  <c r="AR303" i="1"/>
  <c r="AQ303"/>
  <c r="F310" i="53" s="1"/>
  <c r="AO304" i="1"/>
  <c r="AP304" s="1"/>
  <c r="DM9" i="55"/>
  <c r="H309" i="53"/>
  <c r="EH9" i="55" s="1"/>
  <c r="AT302" i="1"/>
  <c r="B304" i="52"/>
  <c r="BK304" i="1" l="1"/>
  <c r="BO304"/>
  <c r="AO387"/>
  <c r="AP387" s="1"/>
  <c r="BK386"/>
  <c r="BO386"/>
  <c r="AQ386"/>
  <c r="F393" i="53" s="1"/>
  <c r="AR386" i="1"/>
  <c r="AO130"/>
  <c r="AP130" s="1"/>
  <c r="AQ129"/>
  <c r="F136" i="53" s="1"/>
  <c r="AR129" i="1"/>
  <c r="AT128"/>
  <c r="B130" i="52"/>
  <c r="BK501" i="1"/>
  <c r="BO501"/>
  <c r="AT385"/>
  <c r="B387" i="52"/>
  <c r="H135" i="53"/>
  <c r="EB18" i="55" s="1"/>
  <c r="DG18"/>
  <c r="BK130" i="1"/>
  <c r="BO129"/>
  <c r="BO130" s="1"/>
  <c r="BK403"/>
  <c r="BO403"/>
  <c r="DO31" i="55"/>
  <c r="H392" i="53"/>
  <c r="EJ31" i="55" s="1"/>
  <c r="AS128" i="1"/>
  <c r="D129" i="52"/>
  <c r="I129" s="1"/>
  <c r="AU127" i="1"/>
  <c r="G130" i="52"/>
  <c r="EW17" i="55"/>
  <c r="DS25"/>
  <c r="H507" i="53"/>
  <c r="EN24" i="55"/>
  <c r="DP17"/>
  <c r="H409" i="53"/>
  <c r="B502" i="52"/>
  <c r="AT500" i="1"/>
  <c r="EK16" i="55"/>
  <c r="AT402" i="1"/>
  <c r="B404" i="52"/>
  <c r="AR501" i="1"/>
  <c r="AO502"/>
  <c r="AP502" s="1"/>
  <c r="AQ501"/>
  <c r="F508" i="53" s="1"/>
  <c r="AR403" i="1"/>
  <c r="AQ403"/>
  <c r="F410" i="53" s="1"/>
  <c r="AO404" i="1"/>
  <c r="AP404" s="1"/>
  <c r="AR304"/>
  <c r="AQ304"/>
  <c r="F311" i="53" s="1"/>
  <c r="AO305" i="1"/>
  <c r="AP305" s="1"/>
  <c r="H310" i="53"/>
  <c r="EH10" i="55" s="1"/>
  <c r="DM10"/>
  <c r="B305" i="52"/>
  <c r="AT303" i="1"/>
  <c r="AS129" l="1"/>
  <c r="D130" i="52"/>
  <c r="I130" s="1"/>
  <c r="AU128" i="1"/>
  <c r="H136" i="53"/>
  <c r="EB19" i="55" s="1"/>
  <c r="DG19"/>
  <c r="BO502" i="1"/>
  <c r="BK502"/>
  <c r="B131" i="52"/>
  <c r="G131" s="1"/>
  <c r="AT129" i="1"/>
  <c r="BK305"/>
  <c r="BO305"/>
  <c r="BK404"/>
  <c r="BO404"/>
  <c r="H393" i="53"/>
  <c r="EJ32" i="55" s="1"/>
  <c r="DO32"/>
  <c r="J135" i="53"/>
  <c r="EW18" i="55" s="1"/>
  <c r="B388" i="52"/>
  <c r="AT386" i="1"/>
  <c r="AO388"/>
  <c r="AP388" s="1"/>
  <c r="BK387"/>
  <c r="BO387"/>
  <c r="AR387"/>
  <c r="AQ387"/>
  <c r="F394" i="53" s="1"/>
  <c r="AO131" i="1"/>
  <c r="AP131" s="1"/>
  <c r="BO131" s="1"/>
  <c r="AR130"/>
  <c r="AQ130"/>
  <c r="F137" i="53" s="1"/>
  <c r="AT403" i="1"/>
  <c r="B405" i="52"/>
  <c r="B503"/>
  <c r="AT501" i="1"/>
  <c r="AO405"/>
  <c r="AP405" s="1"/>
  <c r="AR404"/>
  <c r="AQ404"/>
  <c r="F411" i="53" s="1"/>
  <c r="H508"/>
  <c r="DS26" i="55"/>
  <c r="EK17"/>
  <c r="EN25"/>
  <c r="H410" i="53"/>
  <c r="DP18" i="55"/>
  <c r="AR502" i="1"/>
  <c r="AQ502"/>
  <c r="F509" i="53" s="1"/>
  <c r="AO503" i="1"/>
  <c r="AP503" s="1"/>
  <c r="B306" i="52"/>
  <c r="AT304" i="1"/>
  <c r="AQ305"/>
  <c r="F312" i="53" s="1"/>
  <c r="AR305" i="1"/>
  <c r="AO306"/>
  <c r="AP306" s="1"/>
  <c r="H311" i="53"/>
  <c r="EH11" i="55" s="1"/>
  <c r="DM11"/>
  <c r="I131" i="52" l="1"/>
  <c r="BO132" i="1"/>
  <c r="G132" i="52"/>
  <c r="B389"/>
  <c r="AT387" i="1"/>
  <c r="AS130"/>
  <c r="D131" i="52"/>
  <c r="AU129" i="1"/>
  <c r="BK405"/>
  <c r="BO405"/>
  <c r="DG20" i="55"/>
  <c r="H137" i="53"/>
  <c r="EB20" i="55" s="1"/>
  <c r="B132" i="52"/>
  <c r="AT130" i="1"/>
  <c r="BK388"/>
  <c r="BO388"/>
  <c r="AR388"/>
  <c r="AQ388"/>
  <c r="F395" i="53" s="1"/>
  <c r="BK306" i="1"/>
  <c r="BO306"/>
  <c r="J136" i="53"/>
  <c r="DO33" i="55"/>
  <c r="DO35" s="1"/>
  <c r="H394" i="53"/>
  <c r="EJ33" i="55" s="1"/>
  <c r="EJ35" s="1"/>
  <c r="AO132" i="1"/>
  <c r="AP132" s="1"/>
  <c r="AR131"/>
  <c r="AQ131"/>
  <c r="F138" i="53" s="1"/>
  <c r="BO503" i="1"/>
  <c r="BK503"/>
  <c r="BK131"/>
  <c r="BK132" s="1"/>
  <c r="EW19" i="55"/>
  <c r="B504" i="52"/>
  <c r="AT502" i="1"/>
  <c r="EN26" i="55"/>
  <c r="DP19"/>
  <c r="H411" i="53"/>
  <c r="AO504" i="1"/>
  <c r="AP504" s="1"/>
  <c r="AR503"/>
  <c r="AQ503"/>
  <c r="F510" i="53" s="1"/>
  <c r="EK18" i="55"/>
  <c r="B406" i="52"/>
  <c r="AT404" i="1"/>
  <c r="H509" i="53"/>
  <c r="DS27" i="55"/>
  <c r="AO406" i="1"/>
  <c r="AP406" s="1"/>
  <c r="AR405"/>
  <c r="AQ405"/>
  <c r="F412" i="53" s="1"/>
  <c r="AR306" i="1"/>
  <c r="AQ306"/>
  <c r="F313" i="53" s="1"/>
  <c r="AO307" i="1"/>
  <c r="AP307" s="1"/>
  <c r="B307" i="52"/>
  <c r="AT305" i="1"/>
  <c r="DM12" i="55"/>
  <c r="H312" i="53"/>
  <c r="H395" l="1"/>
  <c r="EK3" i="55" s="1"/>
  <c r="DP3"/>
  <c r="BO133" i="1"/>
  <c r="G133" i="52"/>
  <c r="AT131" i="1"/>
  <c r="B133" i="52"/>
  <c r="DG21" i="55"/>
  <c r="H138" i="53"/>
  <c r="EB21" i="55" s="1"/>
  <c r="BO406" i="1"/>
  <c r="BK406"/>
  <c r="BO504"/>
  <c r="BK504"/>
  <c r="BK307"/>
  <c r="BO307"/>
  <c r="AS131"/>
  <c r="AU130"/>
  <c r="D132" i="52"/>
  <c r="I132" s="1"/>
  <c r="J137" i="53"/>
  <c r="J138" s="1"/>
  <c r="AT388" i="1"/>
  <c r="B390" i="52"/>
  <c r="AO133" i="1"/>
  <c r="AP133" s="1"/>
  <c r="BK133" s="1"/>
  <c r="AR132"/>
  <c r="AQ132"/>
  <c r="F139" i="53" s="1"/>
  <c r="EW20" i="55"/>
  <c r="B407" i="52"/>
  <c r="AT405" i="1"/>
  <c r="AO407"/>
  <c r="AP407" s="1"/>
  <c r="AR406"/>
  <c r="AQ406"/>
  <c r="F413" i="53" s="1"/>
  <c r="DS28" i="55"/>
  <c r="H510" i="53"/>
  <c r="EK19" i="55"/>
  <c r="B505" i="52"/>
  <c r="AT503" i="1"/>
  <c r="DP20" i="55"/>
  <c r="H412" i="53"/>
  <c r="EN27" i="55"/>
  <c r="AR504" i="1"/>
  <c r="AO505"/>
  <c r="AP505" s="1"/>
  <c r="AQ504"/>
  <c r="F511" i="53" s="1"/>
  <c r="EH12" i="55"/>
  <c r="DM13"/>
  <c r="H313" i="53"/>
  <c r="B308" i="52"/>
  <c r="AT306" i="1"/>
  <c r="AQ307"/>
  <c r="F314" i="53" s="1"/>
  <c r="AR307" i="1"/>
  <c r="AO308"/>
  <c r="AP308" s="1"/>
  <c r="I133" i="52" l="1"/>
  <c r="BK134" i="1"/>
  <c r="H139" i="53"/>
  <c r="EB22" i="55" s="1"/>
  <c r="DG22"/>
  <c r="BK308" i="1"/>
  <c r="BO308"/>
  <c r="BO505"/>
  <c r="BK505"/>
  <c r="BO407"/>
  <c r="BK407"/>
  <c r="AO134"/>
  <c r="AP134" s="1"/>
  <c r="AQ133"/>
  <c r="F140" i="53" s="1"/>
  <c r="AR133" i="1"/>
  <c r="B134" i="52"/>
  <c r="G134" s="1"/>
  <c r="AT132" i="1"/>
  <c r="AS132"/>
  <c r="D133" i="52"/>
  <c r="AU131" i="1"/>
  <c r="EW21" i="55"/>
  <c r="B506" i="52"/>
  <c r="AT504" i="1"/>
  <c r="EN28" i="55"/>
  <c r="AR407" i="1"/>
  <c r="AQ407"/>
  <c r="F414" i="53" s="1"/>
  <c r="AO408" i="1"/>
  <c r="AP408" s="1"/>
  <c r="H511" i="53"/>
  <c r="DS29" i="55"/>
  <c r="H413" i="53"/>
  <c r="DP21" i="55"/>
  <c r="AR505" i="1"/>
  <c r="AQ505"/>
  <c r="F512" i="53" s="1"/>
  <c r="AO506" i="1"/>
  <c r="AP506" s="1"/>
  <c r="EK20" i="55"/>
  <c r="AT406" i="1"/>
  <c r="B408" i="52"/>
  <c r="H314" i="53"/>
  <c r="DM14" i="55"/>
  <c r="EH13"/>
  <c r="AQ308" i="1"/>
  <c r="F315" i="53" s="1"/>
  <c r="AR308" i="1"/>
  <c r="AO309"/>
  <c r="AP309" s="1"/>
  <c r="B309" i="52"/>
  <c r="AT307" i="1"/>
  <c r="G135" i="52" l="1"/>
  <c r="AS133" i="1"/>
  <c r="D134" i="52"/>
  <c r="I134" s="1"/>
  <c r="AU132" i="1"/>
  <c r="BO506"/>
  <c r="BK506"/>
  <c r="DG23" i="55"/>
  <c r="H140" i="53"/>
  <c r="EB23" i="55" s="1"/>
  <c r="BK309" i="1"/>
  <c r="BO309"/>
  <c r="AO135"/>
  <c r="AP135" s="1"/>
  <c r="AQ134"/>
  <c r="F141" i="53" s="1"/>
  <c r="AR134" i="1"/>
  <c r="B135" i="52"/>
  <c r="AT133" i="1"/>
  <c r="J139" i="53"/>
  <c r="J140" s="1"/>
  <c r="BO408" i="1"/>
  <c r="BK408"/>
  <c r="BO134"/>
  <c r="BO135" s="1"/>
  <c r="H512" i="53"/>
  <c r="DS30" i="55"/>
  <c r="EK21"/>
  <c r="H414" i="53"/>
  <c r="DP22" i="55"/>
  <c r="B507" i="52"/>
  <c r="AT505" i="1"/>
  <c r="B409" i="52"/>
  <c r="AT407" i="1"/>
  <c r="EN29" i="55"/>
  <c r="AQ506" i="1"/>
  <c r="F513" i="53" s="1"/>
  <c r="AR506" i="1"/>
  <c r="AO507"/>
  <c r="AP507" s="1"/>
  <c r="AQ408"/>
  <c r="F415" i="53" s="1"/>
  <c r="AR408" i="1"/>
  <c r="AO409"/>
  <c r="AP409" s="1"/>
  <c r="B310" i="52"/>
  <c r="AT308" i="1"/>
  <c r="AR309"/>
  <c r="AQ309"/>
  <c r="F316" i="53" s="1"/>
  <c r="AO310" i="1"/>
  <c r="AP310" s="1"/>
  <c r="H315" i="53"/>
  <c r="DM15" i="55"/>
  <c r="EH14"/>
  <c r="I135" i="52" l="1"/>
  <c r="AO136" i="1"/>
  <c r="AP136" s="1"/>
  <c r="AR135"/>
  <c r="AQ135"/>
  <c r="F142" i="53" s="1"/>
  <c r="AT134" i="1"/>
  <c r="B136" i="52"/>
  <c r="BK135" i="1"/>
  <c r="AO311"/>
  <c r="AP311" s="1"/>
  <c r="AQ311" s="1"/>
  <c r="F318" i="53" s="1"/>
  <c r="BO310" i="1"/>
  <c r="BK310"/>
  <c r="EW22" i="55"/>
  <c r="BK507" i="1"/>
  <c r="BO507"/>
  <c r="DG24" i="55"/>
  <c r="H141" i="53"/>
  <c r="EB24" i="55" s="1"/>
  <c r="BK409" i="1"/>
  <c r="BO409"/>
  <c r="G136" i="52"/>
  <c r="AS134" i="1"/>
  <c r="D135" i="52"/>
  <c r="AU133" i="1"/>
  <c r="AO203"/>
  <c r="AP203" s="1"/>
  <c r="EW23" i="55"/>
  <c r="J141" i="53"/>
  <c r="AO312" i="1"/>
  <c r="AP312" s="1"/>
  <c r="AR311"/>
  <c r="B410" i="52"/>
  <c r="AT408" i="1"/>
  <c r="DS31" i="55"/>
  <c r="H513" i="53"/>
  <c r="DP23" i="55"/>
  <c r="H415" i="53"/>
  <c r="AQ507" i="1"/>
  <c r="F514" i="53" s="1"/>
  <c r="AO508" i="1"/>
  <c r="AP508" s="1"/>
  <c r="AR507"/>
  <c r="AR409"/>
  <c r="AQ409"/>
  <c r="F416" i="53" s="1"/>
  <c r="AO410" i="1"/>
  <c r="AP410" s="1"/>
  <c r="B508" i="52"/>
  <c r="AT506" i="1"/>
  <c r="EK22" i="55"/>
  <c r="EN30"/>
  <c r="B311" i="52"/>
  <c r="AT309" i="1"/>
  <c r="EH15" i="55"/>
  <c r="DM16"/>
  <c r="H316" i="53"/>
  <c r="AR310" i="1"/>
  <c r="AQ310"/>
  <c r="F317" i="53" s="1"/>
  <c r="AO137" i="1" l="1"/>
  <c r="AP137" s="1"/>
  <c r="AQ136"/>
  <c r="F143" i="53" s="1"/>
  <c r="AR136" i="1"/>
  <c r="B137" i="52"/>
  <c r="G137" s="1"/>
  <c r="AT135" i="1"/>
  <c r="BO136"/>
  <c r="BO410"/>
  <c r="BK410"/>
  <c r="AS135"/>
  <c r="D136" i="52"/>
  <c r="AU134" i="1"/>
  <c r="BK508"/>
  <c r="BO508"/>
  <c r="BO312"/>
  <c r="BK312"/>
  <c r="DG25" i="55"/>
  <c r="H142" i="53"/>
  <c r="EB25" i="55" s="1"/>
  <c r="I136" i="52"/>
  <c r="BK136" i="1"/>
  <c r="BO311"/>
  <c r="BK311"/>
  <c r="H318" i="53"/>
  <c r="EH18" i="55" s="1"/>
  <c r="DM18"/>
  <c r="B313" i="52"/>
  <c r="AT311" i="1"/>
  <c r="AO313"/>
  <c r="AP313" s="1"/>
  <c r="AQ312"/>
  <c r="F319" i="53" s="1"/>
  <c r="AR312" i="1"/>
  <c r="J142" i="53"/>
  <c r="EW24" i="55"/>
  <c r="AO204" i="1"/>
  <c r="AP204" s="1"/>
  <c r="AR203"/>
  <c r="AQ203"/>
  <c r="F210" i="53" s="1"/>
  <c r="AR410" i="1"/>
  <c r="AO411"/>
  <c r="AP411" s="1"/>
  <c r="AQ410"/>
  <c r="F417" i="53" s="1"/>
  <c r="B509" i="52"/>
  <c r="AT507" i="1"/>
  <c r="EK23" i="55"/>
  <c r="DP24"/>
  <c r="H416" i="53"/>
  <c r="AR508" i="1"/>
  <c r="AO509"/>
  <c r="AP509" s="1"/>
  <c r="AQ508"/>
  <c r="F515" i="53" s="1"/>
  <c r="B411" i="52"/>
  <c r="AT409" i="1"/>
  <c r="DS32" i="55"/>
  <c r="DS35" s="1"/>
  <c r="H514" i="53"/>
  <c r="EN31" i="55"/>
  <c r="AT310" i="1"/>
  <c r="B312" i="52"/>
  <c r="DM17" i="55"/>
  <c r="H317" i="53"/>
  <c r="EH16" i="55"/>
  <c r="G138" i="52" l="1"/>
  <c r="AS136" i="1"/>
  <c r="D137" i="52"/>
  <c r="AU135" i="1"/>
  <c r="DG26" i="55"/>
  <c r="H143" i="53"/>
  <c r="EB26" i="55" s="1"/>
  <c r="AT136" i="1"/>
  <c r="B138" i="52"/>
  <c r="I137"/>
  <c r="BK313" i="1"/>
  <c r="BO313"/>
  <c r="BK137"/>
  <c r="BK138" s="1"/>
  <c r="BO137"/>
  <c r="BO138" s="1"/>
  <c r="AO138"/>
  <c r="AP138" s="1"/>
  <c r="AQ137"/>
  <c r="F144" i="53" s="1"/>
  <c r="AR137" i="1"/>
  <c r="BK509"/>
  <c r="BO509"/>
  <c r="BK411"/>
  <c r="BO411"/>
  <c r="DI32" i="55"/>
  <c r="H210" i="53"/>
  <c r="ED32" i="55" s="1"/>
  <c r="EW25"/>
  <c r="J143" i="53"/>
  <c r="H319"/>
  <c r="EH19" i="55" s="1"/>
  <c r="DM19"/>
  <c r="AT203" i="1"/>
  <c r="B205" i="52"/>
  <c r="AO314" i="1"/>
  <c r="AP314" s="1"/>
  <c r="AQ313"/>
  <c r="F320" i="53" s="1"/>
  <c r="AR313" i="1"/>
  <c r="AO205"/>
  <c r="AP205" s="1"/>
  <c r="AQ204"/>
  <c r="F211" i="53" s="1"/>
  <c r="AR204" i="1"/>
  <c r="B314" i="52"/>
  <c r="AT312" i="1"/>
  <c r="EN32" i="55"/>
  <c r="EN35" s="1"/>
  <c r="B510" i="52"/>
  <c r="AT508" i="1"/>
  <c r="DP25" i="55"/>
  <c r="H417" i="53"/>
  <c r="EK24" i="55"/>
  <c r="AR411" i="1"/>
  <c r="AQ411"/>
  <c r="F418" i="53" s="1"/>
  <c r="AO412" i="1"/>
  <c r="AP412" s="1"/>
  <c r="DT3" i="55"/>
  <c r="H515" i="53"/>
  <c r="B412" i="52"/>
  <c r="AT410" i="1"/>
  <c r="AO510"/>
  <c r="AP510" s="1"/>
  <c r="AR509"/>
  <c r="AQ509"/>
  <c r="F516" i="53" s="1"/>
  <c r="EH17" i="55"/>
  <c r="AS137" i="1" l="1"/>
  <c r="D138" i="52"/>
  <c r="I138" s="1"/>
  <c r="AU136" i="1"/>
  <c r="BO510"/>
  <c r="BK510"/>
  <c r="BK314"/>
  <c r="BO314"/>
  <c r="BO139"/>
  <c r="AO139"/>
  <c r="AP139" s="1"/>
  <c r="AQ138"/>
  <c r="F145" i="53" s="1"/>
  <c r="AR138" i="1"/>
  <c r="BK412"/>
  <c r="BO412"/>
  <c r="DG27" i="55"/>
  <c r="H144" i="53"/>
  <c r="EB27" i="55" s="1"/>
  <c r="B139" i="52"/>
  <c r="G139" s="1"/>
  <c r="AT137" i="1"/>
  <c r="AO206"/>
  <c r="AP206" s="1"/>
  <c r="AQ205"/>
  <c r="F212" i="53" s="1"/>
  <c r="AR205" i="1"/>
  <c r="AO315"/>
  <c r="AP315" s="1"/>
  <c r="AQ314"/>
  <c r="F321" i="53" s="1"/>
  <c r="AR314" i="1"/>
  <c r="AT204"/>
  <c r="B206" i="52"/>
  <c r="AT313" i="1"/>
  <c r="B315" i="52"/>
  <c r="EW26" i="55"/>
  <c r="J144" i="53"/>
  <c r="DJ3" i="55"/>
  <c r="H211" i="53"/>
  <c r="EE3" i="55" s="1"/>
  <c r="H320" i="53"/>
  <c r="EH20" i="55" s="1"/>
  <c r="DM20"/>
  <c r="AR510" i="1"/>
  <c r="AQ510"/>
  <c r="F517" i="53" s="1"/>
  <c r="AO511" i="1"/>
  <c r="AP511" s="1"/>
  <c r="AR412"/>
  <c r="AQ412"/>
  <c r="F419" i="53" s="1"/>
  <c r="AO413" i="1"/>
  <c r="AP413" s="1"/>
  <c r="EK25" i="55"/>
  <c r="G412" i="52"/>
  <c r="EO3" i="55"/>
  <c r="H418" i="53"/>
  <c r="DP26" i="55"/>
  <c r="DT4"/>
  <c r="H516" i="53"/>
  <c r="B413" i="52"/>
  <c r="AT411" i="1"/>
  <c r="B511" i="52"/>
  <c r="AT509" i="1"/>
  <c r="I139" i="52" l="1"/>
  <c r="G140"/>
  <c r="BK315" i="1"/>
  <c r="BO315"/>
  <c r="AO140"/>
  <c r="AP140" s="1"/>
  <c r="AQ139"/>
  <c r="F146" i="53" s="1"/>
  <c r="AR139" i="1"/>
  <c r="BO511"/>
  <c r="BK511"/>
  <c r="BK413"/>
  <c r="BO413"/>
  <c r="B140" i="52"/>
  <c r="AT138" i="1"/>
  <c r="AS138"/>
  <c r="D139" i="52"/>
  <c r="AU137" i="1"/>
  <c r="H145" i="53"/>
  <c r="EB28" i="55" s="1"/>
  <c r="DG28"/>
  <c r="BK139" i="1"/>
  <c r="BK140" s="1"/>
  <c r="BO140"/>
  <c r="EW27" i="55"/>
  <c r="DM21"/>
  <c r="H321" i="53"/>
  <c r="EH21" i="55" s="1"/>
  <c r="AO207" i="1"/>
  <c r="AP207" s="1"/>
  <c r="AR206"/>
  <c r="AQ206"/>
  <c r="F213" i="53" s="1"/>
  <c r="AO316" i="1"/>
  <c r="AP316" s="1"/>
  <c r="AR315"/>
  <c r="AQ315"/>
  <c r="F322" i="53" s="1"/>
  <c r="B207" i="52"/>
  <c r="AT205" i="1"/>
  <c r="AT314"/>
  <c r="B316" i="52"/>
  <c r="H212" i="53"/>
  <c r="EE4" i="55" s="1"/>
  <c r="DJ4"/>
  <c r="EO4"/>
  <c r="B414" i="52"/>
  <c r="AT412" i="1"/>
  <c r="G413" i="52"/>
  <c r="AR511" i="1"/>
  <c r="AQ511"/>
  <c r="F518" i="53" s="1"/>
  <c r="AO512" i="1"/>
  <c r="AP512" s="1"/>
  <c r="EK26" i="55"/>
  <c r="AR413" i="1"/>
  <c r="AQ413"/>
  <c r="F420" i="53" s="1"/>
  <c r="AO414" i="1"/>
  <c r="AP414" s="1"/>
  <c r="H517" i="53"/>
  <c r="DT5" i="55"/>
  <c r="H419" i="53"/>
  <c r="DP27" i="55"/>
  <c r="B512" i="52"/>
  <c r="AT510" i="1"/>
  <c r="G141" i="52" l="1"/>
  <c r="BK316" i="1"/>
  <c r="BO316"/>
  <c r="AO141"/>
  <c r="AP141" s="1"/>
  <c r="AR140"/>
  <c r="AQ140"/>
  <c r="F147" i="53" s="1"/>
  <c r="AS139" i="1"/>
  <c r="AU138"/>
  <c r="D140" i="52"/>
  <c r="I140" s="1"/>
  <c r="DG29" i="55"/>
  <c r="H146" i="53"/>
  <c r="EB29" i="55" s="1"/>
  <c r="BK512" i="1"/>
  <c r="BO512"/>
  <c r="AT139"/>
  <c r="B141" i="52"/>
  <c r="BK141" i="1"/>
  <c r="J145" i="53"/>
  <c r="EW28" i="55" s="1"/>
  <c r="BO414" i="1"/>
  <c r="BK414"/>
  <c r="B317" i="52"/>
  <c r="AT315" i="1"/>
  <c r="AO208"/>
  <c r="AP208" s="1"/>
  <c r="AR207"/>
  <c r="AQ207"/>
  <c r="F214" i="53" s="1"/>
  <c r="AO317" i="1"/>
  <c r="AP317" s="1"/>
  <c r="AQ316"/>
  <c r="F323" i="53" s="1"/>
  <c r="AR316" i="1"/>
  <c r="G414" i="52"/>
  <c r="H213" i="53"/>
  <c r="EE5" i="55" s="1"/>
  <c r="DJ5"/>
  <c r="H322" i="53"/>
  <c r="EH22" i="55" s="1"/>
  <c r="DM22"/>
  <c r="AT206" i="1"/>
  <c r="B208" i="52"/>
  <c r="DP28" i="55"/>
  <c r="H420" i="53"/>
  <c r="H518"/>
  <c r="DT6" i="55"/>
  <c r="B415" i="52"/>
  <c r="AT413" i="1"/>
  <c r="B513" i="52"/>
  <c r="AT511" i="1"/>
  <c r="EO5" i="55"/>
  <c r="G415" i="52"/>
  <c r="EK27" i="55"/>
  <c r="AR414" i="1"/>
  <c r="AQ414"/>
  <c r="F421" i="53" s="1"/>
  <c r="AO415" i="1"/>
  <c r="AP415" s="1"/>
  <c r="AR512"/>
  <c r="AQ512"/>
  <c r="F519" i="53" s="1"/>
  <c r="AO513" i="1"/>
  <c r="AP513" s="1"/>
  <c r="AS140" l="1"/>
  <c r="D141" i="52"/>
  <c r="I141" s="1"/>
  <c r="AU139" i="1"/>
  <c r="AO142"/>
  <c r="AP142" s="1"/>
  <c r="AR141"/>
  <c r="AQ141"/>
  <c r="F148" i="53" s="1"/>
  <c r="B142" i="52"/>
  <c r="G142" s="1"/>
  <c r="AT140" i="1"/>
  <c r="BO415"/>
  <c r="BK415"/>
  <c r="DG30" i="55"/>
  <c r="H147" i="53"/>
  <c r="EB30" i="55" s="1"/>
  <c r="J146" i="53"/>
  <c r="J147" s="1"/>
  <c r="BK317" i="1"/>
  <c r="BO317"/>
  <c r="BK513"/>
  <c r="BO513"/>
  <c r="BO141"/>
  <c r="H323" i="53"/>
  <c r="EH23" i="55" s="1"/>
  <c r="DM23"/>
  <c r="AO209" i="1"/>
  <c r="AP209" s="1"/>
  <c r="AR208"/>
  <c r="AQ208"/>
  <c r="F215" i="53" s="1"/>
  <c r="AO318" i="1"/>
  <c r="AP318" s="1"/>
  <c r="AQ317"/>
  <c r="F324" i="53" s="1"/>
  <c r="AR317" i="1"/>
  <c r="H214" i="53"/>
  <c r="EE6" i="55" s="1"/>
  <c r="DJ6"/>
  <c r="AT316" i="1"/>
  <c r="B318" i="52"/>
  <c r="B209"/>
  <c r="AT207" i="1"/>
  <c r="DT7" i="55"/>
  <c r="H519" i="53"/>
  <c r="AO416" i="1"/>
  <c r="AP416" s="1"/>
  <c r="AR415"/>
  <c r="AQ415"/>
  <c r="F422" i="53" s="1"/>
  <c r="EO6" i="55"/>
  <c r="AR513" i="1"/>
  <c r="AQ513"/>
  <c r="F520" i="53" s="1"/>
  <c r="AO514" i="1"/>
  <c r="AP514" s="1"/>
  <c r="B514" i="52"/>
  <c r="AT512" i="1"/>
  <c r="DP29" i="55"/>
  <c r="H421" i="53"/>
  <c r="AT414" i="1"/>
  <c r="B416" i="52"/>
  <c r="G416" s="1"/>
  <c r="EK28" i="55"/>
  <c r="G143" i="52" l="1"/>
  <c r="BK416" i="1"/>
  <c r="BO416"/>
  <c r="AO143"/>
  <c r="AP143" s="1"/>
  <c r="AQ142"/>
  <c r="F149" i="53" s="1"/>
  <c r="AR142" i="1"/>
  <c r="AS141"/>
  <c r="D142" i="52"/>
  <c r="I142" s="1"/>
  <c r="AU140" i="1"/>
  <c r="BO318"/>
  <c r="BK318"/>
  <c r="AT141"/>
  <c r="B143" i="52"/>
  <c r="BO142" i="1"/>
  <c r="BK514"/>
  <c r="BO514"/>
  <c r="DG31" i="55"/>
  <c r="H148" i="53"/>
  <c r="EB31" i="55" s="1"/>
  <c r="EW29"/>
  <c r="BK142" i="1"/>
  <c r="DJ7" i="55"/>
  <c r="H215" i="53"/>
  <c r="EE7" i="55" s="1"/>
  <c r="AT317" i="1"/>
  <c r="B319" i="52"/>
  <c r="AT208" i="1"/>
  <c r="B210" i="52"/>
  <c r="DM24" i="55"/>
  <c r="H324" i="53"/>
  <c r="EH24" i="55" s="1"/>
  <c r="AO210" i="1"/>
  <c r="AP210" s="1"/>
  <c r="AR209"/>
  <c r="AQ209"/>
  <c r="F216" i="53" s="1"/>
  <c r="EW30" i="55"/>
  <c r="J148" i="53"/>
  <c r="AO319" i="1"/>
  <c r="AP319" s="1"/>
  <c r="AQ318"/>
  <c r="F325" i="53" s="1"/>
  <c r="AR318" i="1"/>
  <c r="AQ514"/>
  <c r="F521" i="53" s="1"/>
  <c r="AO515" i="1"/>
  <c r="AP515" s="1"/>
  <c r="AR514"/>
  <c r="AR416"/>
  <c r="AO417"/>
  <c r="AP417" s="1"/>
  <c r="AQ416"/>
  <c r="F423" i="53" s="1"/>
  <c r="H520"/>
  <c r="DT8" i="55"/>
  <c r="EO7"/>
  <c r="AT513" i="1"/>
  <c r="B515" i="52"/>
  <c r="H422" i="53"/>
  <c r="DP30" i="55"/>
  <c r="EK29"/>
  <c r="B417" i="52"/>
  <c r="AT415" i="1"/>
  <c r="BK417" l="1"/>
  <c r="BO417"/>
  <c r="BO319"/>
  <c r="BK319"/>
  <c r="AO144"/>
  <c r="AP144" s="1"/>
  <c r="AR143"/>
  <c r="AQ143"/>
  <c r="F150" i="53" s="1"/>
  <c r="DG32" i="55"/>
  <c r="DG35" s="1"/>
  <c r="H149" i="53"/>
  <c r="EB32" i="55" s="1"/>
  <c r="EB35" s="1"/>
  <c r="G144" i="52"/>
  <c r="BK143" i="1"/>
  <c r="BK144" s="1"/>
  <c r="B144" i="52"/>
  <c r="AT142" i="1"/>
  <c r="BO143"/>
  <c r="BK515"/>
  <c r="BO515"/>
  <c r="AS142"/>
  <c r="D143" i="52"/>
  <c r="I143" s="1"/>
  <c r="AU141" i="1"/>
  <c r="AO320"/>
  <c r="AP320" s="1"/>
  <c r="AR319"/>
  <c r="AQ319"/>
  <c r="F326" i="53" s="1"/>
  <c r="AT209" i="1"/>
  <c r="B211" i="52"/>
  <c r="EW31" i="55"/>
  <c r="AO211" i="1"/>
  <c r="AP211" s="1"/>
  <c r="AR210"/>
  <c r="AQ210"/>
  <c r="F217" i="53" s="1"/>
  <c r="AT318" i="1"/>
  <c r="B320" i="52"/>
  <c r="H325" i="53"/>
  <c r="EH25" i="55" s="1"/>
  <c r="DM25"/>
  <c r="H216" i="53"/>
  <c r="EE8" i="55" s="1"/>
  <c r="DJ8"/>
  <c r="EO8"/>
  <c r="B516" i="52"/>
  <c r="AT514" i="1"/>
  <c r="DP31" i="55"/>
  <c r="H423" i="53"/>
  <c r="AR515" i="1"/>
  <c r="AQ515"/>
  <c r="F522" i="53" s="1"/>
  <c r="AO516" i="1"/>
  <c r="AP516" s="1"/>
  <c r="AR417"/>
  <c r="AO418"/>
  <c r="AP418" s="1"/>
  <c r="AQ417"/>
  <c r="F424" i="53" s="1"/>
  <c r="H521"/>
  <c r="DT9" i="55"/>
  <c r="EK30"/>
  <c r="B418" i="52"/>
  <c r="AT416" i="1"/>
  <c r="G417" i="52"/>
  <c r="I144" l="1"/>
  <c r="BK516" i="1"/>
  <c r="BO516"/>
  <c r="AS143"/>
  <c r="D144" i="52"/>
  <c r="AU142" i="1"/>
  <c r="BK320"/>
  <c r="BO320"/>
  <c r="AO145"/>
  <c r="AP145" s="1"/>
  <c r="BK145" s="1"/>
  <c r="AR144"/>
  <c r="AQ144"/>
  <c r="F151" i="53" s="1"/>
  <c r="J149"/>
  <c r="EW32" i="55" s="1"/>
  <c r="BK418" i="1"/>
  <c r="BO418"/>
  <c r="B145" i="52"/>
  <c r="AT143" i="1"/>
  <c r="G145" i="52"/>
  <c r="H150" i="53"/>
  <c r="EC3" i="55" s="1"/>
  <c r="DH3"/>
  <c r="BO144" i="1"/>
  <c r="H326" i="53"/>
  <c r="EH26" i="55" s="1"/>
  <c r="DM26"/>
  <c r="DJ9"/>
  <c r="H217" i="53"/>
  <c r="EE9" i="55" s="1"/>
  <c r="AT319" i="1"/>
  <c r="B321" i="52"/>
  <c r="AT210" i="1"/>
  <c r="B212" i="52"/>
  <c r="AO321" i="1"/>
  <c r="AP321" s="1"/>
  <c r="AR320"/>
  <c r="AQ320"/>
  <c r="F327" i="53" s="1"/>
  <c r="AO212" i="1"/>
  <c r="AP212" s="1"/>
  <c r="AR211"/>
  <c r="AQ211"/>
  <c r="F218" i="53" s="1"/>
  <c r="DP32" i="55"/>
  <c r="H424" i="53"/>
  <c r="AR516" i="1"/>
  <c r="AO517"/>
  <c r="AP517" s="1"/>
  <c r="AQ516"/>
  <c r="F523" i="53" s="1"/>
  <c r="G418" i="52"/>
  <c r="B419"/>
  <c r="AT417" i="1"/>
  <c r="B517" i="52"/>
  <c r="AT515" i="1"/>
  <c r="EK31" i="55"/>
  <c r="EO9"/>
  <c r="AR418" i="1"/>
  <c r="AO419"/>
  <c r="AP419" s="1"/>
  <c r="AQ418"/>
  <c r="F425" i="53" s="1"/>
  <c r="DT10" i="55"/>
  <c r="H522" i="53"/>
  <c r="BK146" i="1" l="1"/>
  <c r="BK517"/>
  <c r="BO517"/>
  <c r="AT144"/>
  <c r="B146" i="52"/>
  <c r="AS144" i="1"/>
  <c r="AU143"/>
  <c r="D145" i="52"/>
  <c r="I145" s="1"/>
  <c r="G146"/>
  <c r="BO145" i="1"/>
  <c r="BO146" s="1"/>
  <c r="BK321"/>
  <c r="BO321"/>
  <c r="AO146"/>
  <c r="AP146" s="1"/>
  <c r="AR145"/>
  <c r="AQ145"/>
  <c r="F152" i="53" s="1"/>
  <c r="BK419" i="1"/>
  <c r="BO419"/>
  <c r="H151" i="53"/>
  <c r="EC4" i="55" s="1"/>
  <c r="DH4"/>
  <c r="J150" i="53"/>
  <c r="AO213" i="1"/>
  <c r="AP213" s="1"/>
  <c r="AQ212"/>
  <c r="F219" i="53" s="1"/>
  <c r="AR212" i="1"/>
  <c r="AO322"/>
  <c r="AP322" s="1"/>
  <c r="AQ321"/>
  <c r="F328" i="53" s="1"/>
  <c r="AR321" i="1"/>
  <c r="EX3" i="55"/>
  <c r="DJ10"/>
  <c r="H218" i="53"/>
  <c r="EE10" i="55" s="1"/>
  <c r="H327" i="53"/>
  <c r="EH27" i="55" s="1"/>
  <c r="DM27"/>
  <c r="B213" i="52"/>
  <c r="AT211" i="1"/>
  <c r="AT320"/>
  <c r="B322" i="52"/>
  <c r="G419"/>
  <c r="AR419" i="1"/>
  <c r="AO420"/>
  <c r="AP420" s="1"/>
  <c r="AQ419"/>
  <c r="F426" i="53" s="1"/>
  <c r="B518" i="52"/>
  <c r="AT516" i="1"/>
  <c r="EO10" i="55"/>
  <c r="B420" i="52"/>
  <c r="G420" s="1"/>
  <c r="AT418" i="1"/>
  <c r="EK32" i="55"/>
  <c r="DT11"/>
  <c r="H523" i="53"/>
  <c r="DP33" i="55"/>
  <c r="DP35" s="1"/>
  <c r="H425" i="53"/>
  <c r="AR517" i="1"/>
  <c r="AO518"/>
  <c r="AP518" s="1"/>
  <c r="AQ517"/>
  <c r="F524" i="53" s="1"/>
  <c r="I146" i="52" l="1"/>
  <c r="AT145" i="1"/>
  <c r="B147" i="52"/>
  <c r="G147" s="1"/>
  <c r="BK420" i="1"/>
  <c r="BO420"/>
  <c r="BO147"/>
  <c r="DH5" i="55"/>
  <c r="H152" i="53"/>
  <c r="EC5" i="55" s="1"/>
  <c r="BK322" i="1"/>
  <c r="BO322"/>
  <c r="AS145"/>
  <c r="AU144"/>
  <c r="D146" i="52"/>
  <c r="BO518" i="1"/>
  <c r="BK518"/>
  <c r="AO147"/>
  <c r="AP147" s="1"/>
  <c r="AR146"/>
  <c r="AQ146"/>
  <c r="F153" i="53" s="1"/>
  <c r="J151"/>
  <c r="B214" i="52"/>
  <c r="AT212" i="1"/>
  <c r="B323" i="52"/>
  <c r="AT321" i="1"/>
  <c r="DJ11" i="55"/>
  <c r="H219" i="53"/>
  <c r="EE11" i="55" s="1"/>
  <c r="DM28"/>
  <c r="H328" i="53"/>
  <c r="EH28" i="55" s="1"/>
  <c r="AO214" i="1"/>
  <c r="AP214" s="1"/>
  <c r="AR213"/>
  <c r="AQ213"/>
  <c r="F220" i="53" s="1"/>
  <c r="J152"/>
  <c r="EX4" i="55"/>
  <c r="AO323" i="1"/>
  <c r="AP323" s="1"/>
  <c r="AR322"/>
  <c r="AQ322"/>
  <c r="F329" i="53" s="1"/>
  <c r="AO519" i="1"/>
  <c r="AP519" s="1"/>
  <c r="AR518"/>
  <c r="AQ518"/>
  <c r="F525" i="53" s="1"/>
  <c r="B519" i="52"/>
  <c r="AT517" i="1"/>
  <c r="DQ3" i="55"/>
  <c r="H426" i="53"/>
  <c r="H524"/>
  <c r="DT12" i="55"/>
  <c r="EK33"/>
  <c r="EK35" s="1"/>
  <c r="AR420" i="1"/>
  <c r="AQ420"/>
  <c r="F427" i="53" s="1"/>
  <c r="B421" i="52"/>
  <c r="G421" s="1"/>
  <c r="AT419" i="1"/>
  <c r="EO11" i="55"/>
  <c r="G148" i="52" l="1"/>
  <c r="AO148" i="1"/>
  <c r="AP148" s="1"/>
  <c r="AQ147"/>
  <c r="F154" i="53" s="1"/>
  <c r="AR147" i="1"/>
  <c r="BK323"/>
  <c r="BO323"/>
  <c r="DH6" i="55"/>
  <c r="H153" i="53"/>
  <c r="EC6" i="55" s="1"/>
  <c r="AT146" i="1"/>
  <c r="B148" i="52"/>
  <c r="AS146" i="1"/>
  <c r="D147" i="52"/>
  <c r="I147" s="1"/>
  <c r="AU145" i="1"/>
  <c r="BK147"/>
  <c r="BO148"/>
  <c r="BO519"/>
  <c r="BK519"/>
  <c r="AO324"/>
  <c r="AP324" s="1"/>
  <c r="AQ323"/>
  <c r="F330" i="53" s="1"/>
  <c r="AR323" i="1"/>
  <c r="H220" i="53"/>
  <c r="EE12" i="55" s="1"/>
  <c r="DJ12"/>
  <c r="B215" i="52"/>
  <c r="AT213" i="1"/>
  <c r="H329" i="53"/>
  <c r="EH29" i="55" s="1"/>
  <c r="DM29"/>
  <c r="EX5"/>
  <c r="J153" i="53"/>
  <c r="AO215" i="1"/>
  <c r="AP215" s="1"/>
  <c r="AR214"/>
  <c r="AQ214"/>
  <c r="F221" i="53" s="1"/>
  <c r="B324" i="52"/>
  <c r="AT322" i="1"/>
  <c r="DT13" i="55"/>
  <c r="H525" i="53"/>
  <c r="DQ4" i="55"/>
  <c r="DQ35" s="1"/>
  <c r="H427" i="53"/>
  <c r="B520" i="52"/>
  <c r="AT518" i="1"/>
  <c r="B422" i="52"/>
  <c r="AT420" i="1"/>
  <c r="EL3" i="55"/>
  <c r="AR519" i="1"/>
  <c r="AQ519"/>
  <c r="F526" i="53" s="1"/>
  <c r="AO520" i="1"/>
  <c r="AP520" s="1"/>
  <c r="EO12" i="55"/>
  <c r="I148" i="52" l="1"/>
  <c r="AO149" i="1"/>
  <c r="AP149" s="1"/>
  <c r="AQ148"/>
  <c r="F155" i="53" s="1"/>
  <c r="AR148" i="1"/>
  <c r="H154" i="53"/>
  <c r="EC7" i="55" s="1"/>
  <c r="DH7"/>
  <c r="BK324" i="1"/>
  <c r="BO324"/>
  <c r="G149" i="52"/>
  <c r="AS147" i="1"/>
  <c r="D148" i="52"/>
  <c r="AU146" i="1"/>
  <c r="B149" i="52"/>
  <c r="AT147" i="1"/>
  <c r="BO520"/>
  <c r="BK520"/>
  <c r="BK148"/>
  <c r="H221" i="53"/>
  <c r="EE13" i="55" s="1"/>
  <c r="DJ13"/>
  <c r="B325" i="52"/>
  <c r="AT323" i="1"/>
  <c r="B216" i="52"/>
  <c r="AT214" i="1"/>
  <c r="H330" i="53"/>
  <c r="EH30" i="55" s="1"/>
  <c r="DM30"/>
  <c r="AO216" i="1"/>
  <c r="AP216" s="1"/>
  <c r="AQ215"/>
  <c r="F222" i="53" s="1"/>
  <c r="AR215" i="1"/>
  <c r="AO325"/>
  <c r="AP325" s="1"/>
  <c r="AQ324"/>
  <c r="F331" i="53" s="1"/>
  <c r="AR324" i="1"/>
  <c r="EX6" i="55"/>
  <c r="J154" i="53"/>
  <c r="B521" i="52"/>
  <c r="AT519" i="1"/>
  <c r="AR520"/>
  <c r="AQ520"/>
  <c r="F527" i="53" s="1"/>
  <c r="AO521" i="1"/>
  <c r="AP521" s="1"/>
  <c r="EL4" i="55"/>
  <c r="EL35" s="1"/>
  <c r="H526" i="53"/>
  <c r="DT14" i="55"/>
  <c r="G422" i="52"/>
  <c r="G423" s="1"/>
  <c r="G424" s="1"/>
  <c r="G425" s="1"/>
  <c r="G426" s="1"/>
  <c r="G427" s="1"/>
  <c r="G428" s="1"/>
  <c r="G429" s="1"/>
  <c r="G430" s="1"/>
  <c r="G431" s="1"/>
  <c r="G432" s="1"/>
  <c r="G433" s="1"/>
  <c r="G434" s="1"/>
  <c r="G435" s="1"/>
  <c r="G436" s="1"/>
  <c r="G437" s="1"/>
  <c r="G438" s="1"/>
  <c r="G439" s="1"/>
  <c r="G440" s="1"/>
  <c r="G441" s="1"/>
  <c r="G442" s="1"/>
  <c r="G443" s="1"/>
  <c r="G444" s="1"/>
  <c r="G445" s="1"/>
  <c r="G446" s="1"/>
  <c r="G447" s="1"/>
  <c r="G448" s="1"/>
  <c r="G449" s="1"/>
  <c r="G450" s="1"/>
  <c r="G451" s="1"/>
  <c r="G452" s="1"/>
  <c r="G453" s="1"/>
  <c r="G454" s="1"/>
  <c r="G455" s="1"/>
  <c r="G456" s="1"/>
  <c r="G457" s="1"/>
  <c r="G458" s="1"/>
  <c r="G459" s="1"/>
  <c r="G460" s="1"/>
  <c r="G461" s="1"/>
  <c r="G462" s="1"/>
  <c r="G463" s="1"/>
  <c r="G464" s="1"/>
  <c r="G465" s="1"/>
  <c r="G466" s="1"/>
  <c r="G467" s="1"/>
  <c r="G468" s="1"/>
  <c r="G469" s="1"/>
  <c r="G470" s="1"/>
  <c r="G471" s="1"/>
  <c r="G472" s="1"/>
  <c r="G473" s="1"/>
  <c r="G474" s="1"/>
  <c r="G475" s="1"/>
  <c r="G476" s="1"/>
  <c r="G477" s="1"/>
  <c r="G478" s="1"/>
  <c r="G479" s="1"/>
  <c r="G480" s="1"/>
  <c r="G481" s="1"/>
  <c r="G482" s="1"/>
  <c r="G483" s="1"/>
  <c r="G484" s="1"/>
  <c r="G485" s="1"/>
  <c r="G486" s="1"/>
  <c r="G487" s="1"/>
  <c r="G488" s="1"/>
  <c r="G489" s="1"/>
  <c r="G490" s="1"/>
  <c r="G491" s="1"/>
  <c r="G492" s="1"/>
  <c r="G493" s="1"/>
  <c r="G494" s="1"/>
  <c r="G495" s="1"/>
  <c r="G496" s="1"/>
  <c r="G497" s="1"/>
  <c r="G498" s="1"/>
  <c r="G499" s="1"/>
  <c r="G500" s="1"/>
  <c r="G501" s="1"/>
  <c r="G502" s="1"/>
  <c r="G503" s="1"/>
  <c r="G504" s="1"/>
  <c r="G505" s="1"/>
  <c r="G506" s="1"/>
  <c r="G507" s="1"/>
  <c r="G508" s="1"/>
  <c r="G509" s="1"/>
  <c r="G510" s="1"/>
  <c r="G511" s="1"/>
  <c r="G512" s="1"/>
  <c r="G513" s="1"/>
  <c r="G514" s="1"/>
  <c r="G515" s="1"/>
  <c r="G516" s="1"/>
  <c r="G517" s="1"/>
  <c r="G518" s="1"/>
  <c r="G519" s="1"/>
  <c r="G520" s="1"/>
  <c r="G521" s="1"/>
  <c r="EO13" i="55"/>
  <c r="AS148" i="1" l="1"/>
  <c r="D149" i="52"/>
  <c r="I149" s="1"/>
  <c r="AU147" i="1"/>
  <c r="DH8" i="55"/>
  <c r="H155" i="53"/>
  <c r="EC8" i="55" s="1"/>
  <c r="BK149" i="1"/>
  <c r="AO150"/>
  <c r="AP150" s="1"/>
  <c r="AR149"/>
  <c r="AQ149"/>
  <c r="F156" i="53" s="1"/>
  <c r="BK521" i="1"/>
  <c r="BO521"/>
  <c r="B150" i="52"/>
  <c r="AT148" i="1"/>
  <c r="BK325"/>
  <c r="BO325"/>
  <c r="G150" i="52"/>
  <c r="BO149" i="1"/>
  <c r="BO150" s="1"/>
  <c r="B217" i="52"/>
  <c r="AT215" i="1"/>
  <c r="B326" i="52"/>
  <c r="AT324" i="1"/>
  <c r="DJ14" i="55"/>
  <c r="H222" i="53"/>
  <c r="EE14" i="55" s="1"/>
  <c r="EX7"/>
  <c r="J155" i="53"/>
  <c r="DM31" i="55"/>
  <c r="H331" i="53"/>
  <c r="EH31" i="55" s="1"/>
  <c r="AO217" i="1"/>
  <c r="AP217" s="1"/>
  <c r="AQ216"/>
  <c r="F223" i="53" s="1"/>
  <c r="AR216" i="1"/>
  <c r="AO326"/>
  <c r="AP326" s="1"/>
  <c r="AR325"/>
  <c r="AQ325"/>
  <c r="F332" i="53" s="1"/>
  <c r="B522" i="52"/>
  <c r="AT520" i="1"/>
  <c r="EO14" i="55"/>
  <c r="AR521" i="1"/>
  <c r="AO522"/>
  <c r="AP522" s="1"/>
  <c r="AQ521"/>
  <c r="F528" i="53" s="1"/>
  <c r="G522" i="52"/>
  <c r="DT15" i="55"/>
  <c r="H527" i="53"/>
  <c r="I150" i="52" l="1"/>
  <c r="G151"/>
  <c r="BO326" i="1"/>
  <c r="BK326"/>
  <c r="BK522"/>
  <c r="BO522"/>
  <c r="DH9" i="55"/>
  <c r="H156" i="53"/>
  <c r="EC9" i="55" s="1"/>
  <c r="B151" i="52"/>
  <c r="AT149" i="1"/>
  <c r="BK150"/>
  <c r="AS149"/>
  <c r="D150" i="52"/>
  <c r="AU148" i="1"/>
  <c r="AO151"/>
  <c r="AP151" s="1"/>
  <c r="AR150"/>
  <c r="AQ150"/>
  <c r="F157" i="53" s="1"/>
  <c r="AO327" i="1"/>
  <c r="AP327" s="1"/>
  <c r="AR326"/>
  <c r="AQ326"/>
  <c r="F333" i="53" s="1"/>
  <c r="AT216" i="1"/>
  <c r="B218" i="52"/>
  <c r="H332" i="53"/>
  <c r="EH32" i="55" s="1"/>
  <c r="DM32"/>
  <c r="DJ15"/>
  <c r="H223" i="53"/>
  <c r="EE15" i="55" s="1"/>
  <c r="EX8"/>
  <c r="AT325" i="1"/>
  <c r="B327" i="52"/>
  <c r="AO218" i="1"/>
  <c r="AP218" s="1"/>
  <c r="AR217"/>
  <c r="AQ217"/>
  <c r="F224" i="53" s="1"/>
  <c r="B523" i="52"/>
  <c r="G523" s="1"/>
  <c r="AT521" i="1"/>
  <c r="EO15" i="55"/>
  <c r="H528" i="53"/>
  <c r="DT16" i="55"/>
  <c r="AQ522" i="1"/>
  <c r="F529" i="53" s="1"/>
  <c r="AR522" i="1"/>
  <c r="AO523"/>
  <c r="AP523" s="1"/>
  <c r="AO152" l="1"/>
  <c r="AP152" s="1"/>
  <c r="AQ151"/>
  <c r="F158" i="53" s="1"/>
  <c r="AR151" i="1"/>
  <c r="I151" i="52"/>
  <c r="H157" i="53"/>
  <c r="EC10" i="55" s="1"/>
  <c r="DH10"/>
  <c r="BK151" i="1"/>
  <c r="BK523"/>
  <c r="BO523"/>
  <c r="AS150"/>
  <c r="AU149"/>
  <c r="D151" i="52"/>
  <c r="BO151" i="1"/>
  <c r="B152" i="52"/>
  <c r="AT150" i="1"/>
  <c r="J156" i="53"/>
  <c r="BO327" i="1"/>
  <c r="BK327"/>
  <c r="G152" i="52"/>
  <c r="AT217" i="1"/>
  <c r="B219" i="52"/>
  <c r="EX9" i="55"/>
  <c r="H333" i="53"/>
  <c r="EH33" i="55" s="1"/>
  <c r="EH35" s="1"/>
  <c r="DM33"/>
  <c r="DM35" s="1"/>
  <c r="AO219" i="1"/>
  <c r="AP219" s="1"/>
  <c r="AQ218"/>
  <c r="F225" i="53" s="1"/>
  <c r="AR218" i="1"/>
  <c r="B328" i="52"/>
  <c r="AT326" i="1"/>
  <c r="AO328"/>
  <c r="AP328" s="1"/>
  <c r="AR327"/>
  <c r="AQ327"/>
  <c r="F334" i="53" s="1"/>
  <c r="H224"/>
  <c r="EE16" i="55" s="1"/>
  <c r="DJ16"/>
  <c r="DT17"/>
  <c r="H529" i="53"/>
  <c r="AQ523" i="1"/>
  <c r="F530" i="53" s="1"/>
  <c r="AO524" i="1"/>
  <c r="AP524" s="1"/>
  <c r="AR523"/>
  <c r="B524" i="52"/>
  <c r="AT522" i="1"/>
  <c r="EO16" i="55"/>
  <c r="AO153" i="1" l="1"/>
  <c r="AP153" s="1"/>
  <c r="AQ152"/>
  <c r="F159" i="53" s="1"/>
  <c r="AR152" i="1"/>
  <c r="AS151"/>
  <c r="D152" i="52"/>
  <c r="AU150" i="1"/>
  <c r="BO152"/>
  <c r="H158" i="53"/>
  <c r="EC11" i="55" s="1"/>
  <c r="DH11"/>
  <c r="AT151" i="1"/>
  <c r="B153" i="52"/>
  <c r="BK152" i="1"/>
  <c r="BK524"/>
  <c r="BO524"/>
  <c r="BO328"/>
  <c r="BK328"/>
  <c r="G153" i="52"/>
  <c r="I152"/>
  <c r="J157" i="53"/>
  <c r="H334"/>
  <c r="EI3" i="55" s="1"/>
  <c r="DN3"/>
  <c r="AO220" i="1"/>
  <c r="AP220" s="1"/>
  <c r="AR219"/>
  <c r="AQ219"/>
  <c r="F226" i="53" s="1"/>
  <c r="AT327" i="1"/>
  <c r="B329" i="52"/>
  <c r="AO329" i="1"/>
  <c r="AP329" s="1"/>
  <c r="AR328"/>
  <c r="AQ328"/>
  <c r="F335" i="53" s="1"/>
  <c r="B220" i="52"/>
  <c r="AT218" i="1"/>
  <c r="H225" i="53"/>
  <c r="EE17" i="55" s="1"/>
  <c r="DJ17"/>
  <c r="J158" i="53"/>
  <c r="EX10" i="55"/>
  <c r="G524" i="52"/>
  <c r="B525"/>
  <c r="AT523" i="1"/>
  <c r="EO17" i="55"/>
  <c r="AR524" i="1"/>
  <c r="AO525"/>
  <c r="AP525" s="1"/>
  <c r="AQ524"/>
  <c r="F531" i="53" s="1"/>
  <c r="DT18" i="55"/>
  <c r="H530" i="53"/>
  <c r="BK525" i="1" l="1"/>
  <c r="BO525"/>
  <c r="AT152"/>
  <c r="B154" i="52"/>
  <c r="G154" s="1"/>
  <c r="AO154" i="1"/>
  <c r="AP154" s="1"/>
  <c r="AR153"/>
  <c r="AQ153"/>
  <c r="F160" i="53" s="1"/>
  <c r="BK153" i="1"/>
  <c r="BK154" s="1"/>
  <c r="AS152"/>
  <c r="AU151"/>
  <c r="D153" i="52"/>
  <c r="I153" s="1"/>
  <c r="BO329" i="1"/>
  <c r="BK329"/>
  <c r="BO153"/>
  <c r="BO154" s="1"/>
  <c r="H159" i="53"/>
  <c r="EC12" i="55" s="1"/>
  <c r="DH12"/>
  <c r="H335" i="53"/>
  <c r="EI4" i="55" s="1"/>
  <c r="DN4"/>
  <c r="AO221" i="1"/>
  <c r="AP221" s="1"/>
  <c r="AQ220"/>
  <c r="F227" i="53" s="1"/>
  <c r="AR220" i="1"/>
  <c r="AT328"/>
  <c r="B330" i="52"/>
  <c r="AO330" i="1"/>
  <c r="AP330" s="1"/>
  <c r="AQ329"/>
  <c r="F336" i="53" s="1"/>
  <c r="AR329" i="1"/>
  <c r="H226" i="53"/>
  <c r="EE18" i="55" s="1"/>
  <c r="DJ18"/>
  <c r="EX11"/>
  <c r="AT219" i="1"/>
  <c r="B221" i="52"/>
  <c r="B526"/>
  <c r="AT524" i="1"/>
  <c r="G525" i="52"/>
  <c r="H531" i="53"/>
  <c r="DT19" i="55"/>
  <c r="EO18"/>
  <c r="AR525" i="1"/>
  <c r="AO526"/>
  <c r="AP526" s="1"/>
  <c r="AQ525"/>
  <c r="F532" i="53" s="1"/>
  <c r="G155" i="52" l="1"/>
  <c r="I154"/>
  <c r="J159" i="53"/>
  <c r="AS153" i="1"/>
  <c r="D154" i="52"/>
  <c r="AU152" i="1"/>
  <c r="AO155"/>
  <c r="AP155" s="1"/>
  <c r="BK155" s="1"/>
  <c r="AR154"/>
  <c r="AQ154"/>
  <c r="F161" i="53" s="1"/>
  <c r="BO330" i="1"/>
  <c r="BK330"/>
  <c r="B155" i="52"/>
  <c r="AT153" i="1"/>
  <c r="BO526"/>
  <c r="BK526"/>
  <c r="H160" i="53"/>
  <c r="EC13" i="55" s="1"/>
  <c r="DH13"/>
  <c r="AT329" i="1"/>
  <c r="B331" i="52"/>
  <c r="AO222" i="1"/>
  <c r="AP222" s="1"/>
  <c r="AQ221"/>
  <c r="F228" i="53" s="1"/>
  <c r="AR221" i="1"/>
  <c r="H336" i="53"/>
  <c r="EI5" i="55" s="1"/>
  <c r="DN5"/>
  <c r="G526" i="52"/>
  <c r="AO331" i="1"/>
  <c r="AP331" s="1"/>
  <c r="AQ330"/>
  <c r="F337" i="53" s="1"/>
  <c r="AR330" i="1"/>
  <c r="AT220"/>
  <c r="B222" i="52"/>
  <c r="EX12" i="55"/>
  <c r="J160" i="53"/>
  <c r="H227"/>
  <c r="EE19" i="55" s="1"/>
  <c r="DJ19"/>
  <c r="B527" i="52"/>
  <c r="G527" s="1"/>
  <c r="AT525" i="1"/>
  <c r="DT20" i="55"/>
  <c r="H532" i="53"/>
  <c r="EO19" i="55"/>
  <c r="AR526" i="1"/>
  <c r="AQ526"/>
  <c r="F533" i="53" s="1"/>
  <c r="AO527" i="1"/>
  <c r="AP527" s="1"/>
  <c r="BK156" l="1"/>
  <c r="G156" i="52"/>
  <c r="BK331" i="1"/>
  <c r="BO331"/>
  <c r="AO156"/>
  <c r="AP156" s="1"/>
  <c r="AQ155"/>
  <c r="F162" i="53" s="1"/>
  <c r="AR155" i="1"/>
  <c r="AS154"/>
  <c r="D155" i="52"/>
  <c r="I155" s="1"/>
  <c r="AU153" i="1"/>
  <c r="BO155"/>
  <c r="BO156" s="1"/>
  <c r="BO527"/>
  <c r="BK527"/>
  <c r="B156" i="52"/>
  <c r="AT154" i="1"/>
  <c r="DH14" i="55"/>
  <c r="H161" i="53"/>
  <c r="EC14" i="55" s="1"/>
  <c r="H337" i="53"/>
  <c r="EI6" i="55" s="1"/>
  <c r="DN6"/>
  <c r="AO332" i="1"/>
  <c r="AP332" s="1"/>
  <c r="AQ331"/>
  <c r="F338" i="53" s="1"/>
  <c r="AR331" i="1"/>
  <c r="AT221"/>
  <c r="B223" i="52"/>
  <c r="DJ20" i="55"/>
  <c r="H228" i="53"/>
  <c r="EE20" i="55" s="1"/>
  <c r="J161" i="53"/>
  <c r="EX13" i="55"/>
  <c r="AT330" i="1"/>
  <c r="B332" i="52"/>
  <c r="AO223" i="1"/>
  <c r="AP223" s="1"/>
  <c r="AR222"/>
  <c r="AQ222"/>
  <c r="F229" i="53" s="1"/>
  <c r="EO20" i="55"/>
  <c r="AR527" i="1"/>
  <c r="AO528"/>
  <c r="AP528" s="1"/>
  <c r="AQ527"/>
  <c r="F534" i="53" s="1"/>
  <c r="DT21" i="55"/>
  <c r="H533" i="53"/>
  <c r="B528" i="52"/>
  <c r="AT526" i="1"/>
  <c r="I156" i="52" l="1"/>
  <c r="G157"/>
  <c r="BO157" i="1"/>
  <c r="AT155"/>
  <c r="B157" i="52"/>
  <c r="BK528" i="1"/>
  <c r="BO528"/>
  <c r="BK332"/>
  <c r="BO332"/>
  <c r="AO157"/>
  <c r="AP157" s="1"/>
  <c r="AQ156"/>
  <c r="F163" i="53" s="1"/>
  <c r="AR156" i="1"/>
  <c r="AS155"/>
  <c r="D156" i="52"/>
  <c r="AU154" i="1"/>
  <c r="H162" i="53"/>
  <c r="EC15" i="55" s="1"/>
  <c r="DH15"/>
  <c r="AT331" i="1"/>
  <c r="B333" i="52"/>
  <c r="H229" i="53"/>
  <c r="EE21" i="55" s="1"/>
  <c r="DJ21"/>
  <c r="H338" i="53"/>
  <c r="EI7" i="55" s="1"/>
  <c r="DN7"/>
  <c r="AT222" i="1"/>
  <c r="B224" i="52"/>
  <c r="AO333" i="1"/>
  <c r="AP333" s="1"/>
  <c r="AQ332"/>
  <c r="F339" i="53" s="1"/>
  <c r="AR332" i="1"/>
  <c r="AO224"/>
  <c r="AP224" s="1"/>
  <c r="AR223"/>
  <c r="AQ223"/>
  <c r="F230" i="53" s="1"/>
  <c r="J162"/>
  <c r="EX14" i="55"/>
  <c r="G528" i="52"/>
  <c r="H534" i="53"/>
  <c r="DT22" i="55"/>
  <c r="AO529" i="1"/>
  <c r="AP529" s="1"/>
  <c r="AR528"/>
  <c r="AQ528"/>
  <c r="F535" i="53" s="1"/>
  <c r="EO21" i="55"/>
  <c r="B529" i="52"/>
  <c r="AT527" i="1"/>
  <c r="AO158" l="1"/>
  <c r="AP158" s="1"/>
  <c r="AQ157"/>
  <c r="F164" i="53" s="1"/>
  <c r="AR157" i="1"/>
  <c r="G158" i="52"/>
  <c r="B158"/>
  <c r="AT156" i="1"/>
  <c r="BO158"/>
  <c r="H163" i="53"/>
  <c r="EC16" i="55" s="1"/>
  <c r="DH16"/>
  <c r="BK157" i="1"/>
  <c r="BK333"/>
  <c r="BO333"/>
  <c r="BK529"/>
  <c r="BO529"/>
  <c r="AS156"/>
  <c r="D157" i="52"/>
  <c r="I157" s="1"/>
  <c r="AU155" i="1"/>
  <c r="H230" i="53"/>
  <c r="EE22" i="55" s="1"/>
  <c r="DJ22"/>
  <c r="H339" i="53"/>
  <c r="EI8" i="55" s="1"/>
  <c r="DN8"/>
  <c r="B225" i="52"/>
  <c r="AT223" i="1"/>
  <c r="AO334"/>
  <c r="AP334" s="1"/>
  <c r="AQ333"/>
  <c r="F340" i="53" s="1"/>
  <c r="AR333" i="1"/>
  <c r="AO225"/>
  <c r="AP225" s="1"/>
  <c r="AR224"/>
  <c r="AQ224"/>
  <c r="F231" i="53" s="1"/>
  <c r="EX15" i="55"/>
  <c r="AT332" i="1"/>
  <c r="B334" i="52"/>
  <c r="DT23" i="55"/>
  <c r="H535" i="53"/>
  <c r="EO22" i="55"/>
  <c r="B530" i="52"/>
  <c r="AT528" i="1"/>
  <c r="G529" i="52"/>
  <c r="AO530" i="1"/>
  <c r="AP530" s="1"/>
  <c r="AR529"/>
  <c r="AQ529"/>
  <c r="F536" i="53" s="1"/>
  <c r="I158" i="52" l="1"/>
  <c r="AS157" i="1"/>
  <c r="AU156"/>
  <c r="D158" i="52"/>
  <c r="AO159" i="1"/>
  <c r="AP159" s="1"/>
  <c r="AR158"/>
  <c r="AQ158"/>
  <c r="F165" i="53" s="1"/>
  <c r="DH17" i="55"/>
  <c r="H164" i="53"/>
  <c r="EC17" i="55" s="1"/>
  <c r="BO334" i="1"/>
  <c r="BK334"/>
  <c r="BK158"/>
  <c r="BK530"/>
  <c r="BO530"/>
  <c r="AT157"/>
  <c r="B159" i="52"/>
  <c r="G159" s="1"/>
  <c r="J163" i="53"/>
  <c r="AT224" i="1"/>
  <c r="B226" i="52"/>
  <c r="AO335" i="1"/>
  <c r="AP335" s="1"/>
  <c r="AQ334"/>
  <c r="F341" i="53" s="1"/>
  <c r="AR334" i="1"/>
  <c r="AO226"/>
  <c r="AP226" s="1"/>
  <c r="AQ225"/>
  <c r="F232" i="53" s="1"/>
  <c r="AR225" i="1"/>
  <c r="EX16" i="55"/>
  <c r="AT333" i="1"/>
  <c r="B335" i="52"/>
  <c r="H231" i="53"/>
  <c r="EE23" i="55" s="1"/>
  <c r="DJ23"/>
  <c r="H340" i="53"/>
  <c r="EI9" i="55" s="1"/>
  <c r="DN9"/>
  <c r="G530" i="52"/>
  <c r="B531"/>
  <c r="G531" s="1"/>
  <c r="AT529" i="1"/>
  <c r="EO23" i="55"/>
  <c r="AQ530" i="1"/>
  <c r="F537" i="53" s="1"/>
  <c r="AO531" i="1"/>
  <c r="AP531" s="1"/>
  <c r="AR530"/>
  <c r="DT24" i="55"/>
  <c r="H536" i="53"/>
  <c r="G160" i="52" l="1"/>
  <c r="AT158" i="1"/>
  <c r="B160" i="52"/>
  <c r="J164" i="53"/>
  <c r="BK159" i="1"/>
  <c r="BK531"/>
  <c r="BO531"/>
  <c r="AO160"/>
  <c r="AP160" s="1"/>
  <c r="AR159"/>
  <c r="AQ159"/>
  <c r="F166" i="53" s="1"/>
  <c r="BO335" i="1"/>
  <c r="BK335"/>
  <c r="DH18" i="55"/>
  <c r="H165" i="53"/>
  <c r="EC18" i="55" s="1"/>
  <c r="AS158" i="1"/>
  <c r="D159" i="52"/>
  <c r="I159" s="1"/>
  <c r="AU157" i="1"/>
  <c r="BO159"/>
  <c r="H232" i="53"/>
  <c r="EE24" i="55" s="1"/>
  <c r="DJ24"/>
  <c r="AO336" i="1"/>
  <c r="AP336" s="1"/>
  <c r="AQ335"/>
  <c r="F342" i="53" s="1"/>
  <c r="AR335" i="1"/>
  <c r="EX17" i="55"/>
  <c r="J165" i="53"/>
  <c r="AQ226" i="1"/>
  <c r="F233" i="53" s="1"/>
  <c r="AR226" i="1"/>
  <c r="B336" i="52"/>
  <c r="AT334" i="1"/>
  <c r="B227" i="52"/>
  <c r="AT225" i="1"/>
  <c r="H341" i="53"/>
  <c r="EI10" i="55" s="1"/>
  <c r="DN10"/>
  <c r="EO24"/>
  <c r="DT25"/>
  <c r="H537" i="53"/>
  <c r="B532" i="52"/>
  <c r="G532" s="1"/>
  <c r="AT530" i="1"/>
  <c r="AQ531"/>
  <c r="F538" i="53" s="1"/>
  <c r="AR531" i="1"/>
  <c r="AO532"/>
  <c r="AP532" s="1"/>
  <c r="I160" i="52" l="1"/>
  <c r="DH19" i="55"/>
  <c r="H166" i="53"/>
  <c r="EC19" i="55" s="1"/>
  <c r="BK532" i="1"/>
  <c r="BO532"/>
  <c r="AU158"/>
  <c r="D160" i="52"/>
  <c r="AT159" i="1"/>
  <c r="B161" i="52"/>
  <c r="AS159" i="1"/>
  <c r="BK336"/>
  <c r="BO336"/>
  <c r="BO160"/>
  <c r="BO161" s="1"/>
  <c r="BK160"/>
  <c r="BK161" s="1"/>
  <c r="AO161"/>
  <c r="AP161" s="1"/>
  <c r="AR160"/>
  <c r="AQ160"/>
  <c r="F167" i="53" s="1"/>
  <c r="G161" i="52"/>
  <c r="EX18" i="55"/>
  <c r="AO337" i="1"/>
  <c r="AP337" s="1"/>
  <c r="AR336"/>
  <c r="AQ336"/>
  <c r="F343" i="53" s="1"/>
  <c r="B228" i="52"/>
  <c r="AT226" i="1"/>
  <c r="AT335"/>
  <c r="B337" i="52"/>
  <c r="H233" i="53"/>
  <c r="EE25" i="55" s="1"/>
  <c r="EE35" s="1"/>
  <c r="DJ25"/>
  <c r="DJ35" s="1"/>
  <c r="DN11"/>
  <c r="H342" i="53"/>
  <c r="EI11" i="55" s="1"/>
  <c r="DT26"/>
  <c r="H538" i="53"/>
  <c r="AR532" i="1"/>
  <c r="AO533"/>
  <c r="AP533" s="1"/>
  <c r="AQ532"/>
  <c r="F539" i="53" s="1"/>
  <c r="EO25" i="55"/>
  <c r="B533" i="52"/>
  <c r="AT531" i="1"/>
  <c r="DH20" i="55" l="1"/>
  <c r="H167" i="53"/>
  <c r="EC20" i="55" s="1"/>
  <c r="I161" i="52"/>
  <c r="J166" i="53"/>
  <c r="EX19" i="55" s="1"/>
  <c r="BK337" i="1"/>
  <c r="BO337"/>
  <c r="BK162"/>
  <c r="BK533"/>
  <c r="BO533"/>
  <c r="AO162"/>
  <c r="AP162" s="1"/>
  <c r="AQ161"/>
  <c r="F168" i="53" s="1"/>
  <c r="AR161" i="1"/>
  <c r="D161" i="52"/>
  <c r="AU159" i="1"/>
  <c r="B162" i="52"/>
  <c r="G162" s="1"/>
  <c r="AT160" i="1"/>
  <c r="AS160"/>
  <c r="AO338"/>
  <c r="AP338" s="1"/>
  <c r="AQ337"/>
  <c r="F344" i="53" s="1"/>
  <c r="AR337" i="1"/>
  <c r="J167" i="53"/>
  <c r="H343"/>
  <c r="EI12" i="55" s="1"/>
  <c r="DN12"/>
  <c r="B338" i="52"/>
  <c r="G338" s="1"/>
  <c r="AT336" i="1"/>
  <c r="B534" i="52"/>
  <c r="AT532" i="1"/>
  <c r="G533" i="52"/>
  <c r="EO26" i="55"/>
  <c r="DT27"/>
  <c r="H539" i="53"/>
  <c r="AR533" i="1"/>
  <c r="AO534"/>
  <c r="AP534" s="1"/>
  <c r="AQ533"/>
  <c r="F540" i="53" s="1"/>
  <c r="G163" i="52" l="1"/>
  <c r="BK163" i="1"/>
  <c r="BO534"/>
  <c r="BK534"/>
  <c r="AO163"/>
  <c r="AP163" s="1"/>
  <c r="AQ162"/>
  <c r="F169" i="53" s="1"/>
  <c r="AR162" i="1"/>
  <c r="D162" i="52"/>
  <c r="AU160" i="1"/>
  <c r="H168" i="53"/>
  <c r="EC21" i="55" s="1"/>
  <c r="DH21"/>
  <c r="BK338" i="1"/>
  <c r="BO338"/>
  <c r="AT161"/>
  <c r="B163" i="52"/>
  <c r="AS161" i="1"/>
  <c r="I162" i="52"/>
  <c r="BO162" i="1"/>
  <c r="BO163" s="1"/>
  <c r="AT337"/>
  <c r="B339" i="52"/>
  <c r="G339" s="1"/>
  <c r="H344" i="53"/>
  <c r="EI13" i="55" s="1"/>
  <c r="DN13"/>
  <c r="EX20"/>
  <c r="AO339" i="1"/>
  <c r="AP339" s="1"/>
  <c r="AR338"/>
  <c r="AQ338"/>
  <c r="F345" i="53" s="1"/>
  <c r="G534" i="52"/>
  <c r="DT28" i="55"/>
  <c r="H540" i="53"/>
  <c r="EO27" i="55"/>
  <c r="AR534" i="1"/>
  <c r="AQ534"/>
  <c r="F541" i="53" s="1"/>
  <c r="AO535" i="1"/>
  <c r="AP535" s="1"/>
  <c r="B535" i="52"/>
  <c r="G535" s="1"/>
  <c r="AT533" i="1"/>
  <c r="BO164" l="1"/>
  <c r="BO535"/>
  <c r="BK535"/>
  <c r="AO164"/>
  <c r="AP164" s="1"/>
  <c r="AQ163"/>
  <c r="F170" i="53" s="1"/>
  <c r="AR163" i="1"/>
  <c r="BK339"/>
  <c r="BO339"/>
  <c r="H169" i="53"/>
  <c r="EC22" i="55" s="1"/>
  <c r="DH22"/>
  <c r="AT162" i="1"/>
  <c r="B164" i="52"/>
  <c r="AS162" i="1"/>
  <c r="J168" i="53"/>
  <c r="AU161" i="1"/>
  <c r="D163" i="52"/>
  <c r="I163" s="1"/>
  <c r="G164"/>
  <c r="BK164" i="1"/>
  <c r="AO340"/>
  <c r="AP340" s="1"/>
  <c r="AR339"/>
  <c r="AQ339"/>
  <c r="F346" i="53" s="1"/>
  <c r="DN14" i="55"/>
  <c r="H345" i="53"/>
  <c r="EI14" i="55" s="1"/>
  <c r="EX21"/>
  <c r="B340" i="52"/>
  <c r="G340" s="1"/>
  <c r="AT338" i="1"/>
  <c r="AR535"/>
  <c r="AO536"/>
  <c r="AP536" s="1"/>
  <c r="AQ535"/>
  <c r="F542" i="53" s="1"/>
  <c r="DT29" i="55"/>
  <c r="H541" i="53"/>
  <c r="EO28" i="55"/>
  <c r="B536" i="52"/>
  <c r="AT534" i="1"/>
  <c r="AO165" l="1"/>
  <c r="AP165" s="1"/>
  <c r="BO165" s="1"/>
  <c r="AQ164"/>
  <c r="F171" i="53" s="1"/>
  <c r="AR164" i="1"/>
  <c r="D164" i="52"/>
  <c r="AU162" i="1"/>
  <c r="DH23" i="55"/>
  <c r="H170" i="53"/>
  <c r="EC23" i="55" s="1"/>
  <c r="J169" i="53"/>
  <c r="BK340" i="1"/>
  <c r="BO340"/>
  <c r="BO536"/>
  <c r="BK536"/>
  <c r="AT163"/>
  <c r="B165" i="52"/>
  <c r="AS163" i="1"/>
  <c r="I164" i="52"/>
  <c r="J170" i="53"/>
  <c r="EX22" i="55"/>
  <c r="DN15"/>
  <c r="H346" i="53"/>
  <c r="EI15" i="55" s="1"/>
  <c r="AT339" i="1"/>
  <c r="B341" i="52"/>
  <c r="G341" s="1"/>
  <c r="AO341" i="1"/>
  <c r="AP341" s="1"/>
  <c r="AR340"/>
  <c r="AQ340"/>
  <c r="F347" i="53" s="1"/>
  <c r="EO29" i="55"/>
  <c r="DT30"/>
  <c r="H542" i="53"/>
  <c r="AR536" i="1"/>
  <c r="AQ536"/>
  <c r="F543" i="53" s="1"/>
  <c r="AO537" i="1"/>
  <c r="AP537" s="1"/>
  <c r="AT535"/>
  <c r="B537" i="52"/>
  <c r="G536"/>
  <c r="BO166" i="1" l="1"/>
  <c r="B166" i="52"/>
  <c r="AT164" i="1"/>
  <c r="AS164"/>
  <c r="DH24" i="55"/>
  <c r="H171" i="53"/>
  <c r="EC24" i="55" s="1"/>
  <c r="AO166" i="1"/>
  <c r="AP166" s="1"/>
  <c r="AR165"/>
  <c r="AQ165"/>
  <c r="F172" i="53" s="1"/>
  <c r="I165" i="52"/>
  <c r="BK537" i="1"/>
  <c r="BO537"/>
  <c r="D165" i="52"/>
  <c r="AU163" i="1"/>
  <c r="BK165"/>
  <c r="BK166" s="1"/>
  <c r="BK341"/>
  <c r="BO341"/>
  <c r="G165" i="52"/>
  <c r="G166" s="1"/>
  <c r="AR341" i="1"/>
  <c r="AQ341"/>
  <c r="F348" i="53" s="1"/>
  <c r="H347"/>
  <c r="EI16" i="55" s="1"/>
  <c r="DN16"/>
  <c r="EX23"/>
  <c r="B342" i="52"/>
  <c r="G342" s="1"/>
  <c r="AT340" i="1"/>
  <c r="G537" i="52"/>
  <c r="EO30" i="55"/>
  <c r="AR537" i="1"/>
  <c r="AQ537"/>
  <c r="F544" i="53" s="1"/>
  <c r="AO538" i="1"/>
  <c r="AP538" s="1"/>
  <c r="DT31" i="55"/>
  <c r="H543" i="53"/>
  <c r="B538" i="52"/>
  <c r="AT536" i="1"/>
  <c r="DH25" i="55" l="1"/>
  <c r="H172" i="53"/>
  <c r="EC25" i="55" s="1"/>
  <c r="BO167" i="1"/>
  <c r="G167" i="52"/>
  <c r="BO538" i="1"/>
  <c r="BK538"/>
  <c r="AO167"/>
  <c r="AP167" s="1"/>
  <c r="AQ166"/>
  <c r="F173" i="53" s="1"/>
  <c r="AR166" i="1"/>
  <c r="BK167"/>
  <c r="D166" i="52"/>
  <c r="I166" s="1"/>
  <c r="AU164" i="1"/>
  <c r="AT165"/>
  <c r="B167" i="52"/>
  <c r="AS165" i="1"/>
  <c r="J171" i="53"/>
  <c r="J172"/>
  <c r="EX24" i="55"/>
  <c r="DN17"/>
  <c r="DN35" s="1"/>
  <c r="H348" i="53"/>
  <c r="EI17" i="55" s="1"/>
  <c r="EI35" s="1"/>
  <c r="AT341" i="1"/>
  <c r="B343" i="52"/>
  <c r="G343" s="1"/>
  <c r="G344" s="1"/>
  <c r="G345" s="1"/>
  <c r="G346" s="1"/>
  <c r="G347" s="1"/>
  <c r="G348" s="1"/>
  <c r="G349" s="1"/>
  <c r="G350" s="1"/>
  <c r="G351" s="1"/>
  <c r="G352" s="1"/>
  <c r="G353" s="1"/>
  <c r="G354" s="1"/>
  <c r="G355" s="1"/>
  <c r="G356" s="1"/>
  <c r="G357" s="1"/>
  <c r="G358" s="1"/>
  <c r="G359" s="1"/>
  <c r="G360" s="1"/>
  <c r="G361" s="1"/>
  <c r="G362" s="1"/>
  <c r="G363" s="1"/>
  <c r="G364" s="1"/>
  <c r="G365" s="1"/>
  <c r="G366" s="1"/>
  <c r="G367" s="1"/>
  <c r="G368" s="1"/>
  <c r="G369" s="1"/>
  <c r="G370" s="1"/>
  <c r="G371" s="1"/>
  <c r="G372" s="1"/>
  <c r="G373" s="1"/>
  <c r="G374" s="1"/>
  <c r="G375" s="1"/>
  <c r="G376" s="1"/>
  <c r="G377" s="1"/>
  <c r="G378" s="1"/>
  <c r="G379" s="1"/>
  <c r="G380" s="1"/>
  <c r="G381" s="1"/>
  <c r="G382" s="1"/>
  <c r="G383" s="1"/>
  <c r="G384" s="1"/>
  <c r="G385" s="1"/>
  <c r="G386" s="1"/>
  <c r="G387" s="1"/>
  <c r="G388" s="1"/>
  <c r="G389" s="1"/>
  <c r="G390" s="1"/>
  <c r="G391" s="1"/>
  <c r="G392" s="1"/>
  <c r="G393" s="1"/>
  <c r="G394" s="1"/>
  <c r="G395" s="1"/>
  <c r="G396" s="1"/>
  <c r="G397" s="1"/>
  <c r="G398" s="1"/>
  <c r="G399" s="1"/>
  <c r="G400" s="1"/>
  <c r="G401" s="1"/>
  <c r="G402" s="1"/>
  <c r="G403" s="1"/>
  <c r="G404" s="1"/>
  <c r="G405" s="1"/>
  <c r="G406" s="1"/>
  <c r="G407" s="1"/>
  <c r="G408" s="1"/>
  <c r="G409" s="1"/>
  <c r="G410" s="1"/>
  <c r="G411" s="1"/>
  <c r="EO31" i="55"/>
  <c r="AR538" i="1"/>
  <c r="AQ538"/>
  <c r="F545" i="53" s="1"/>
  <c r="DT32" i="55"/>
  <c r="H544" i="53"/>
  <c r="G538" i="52"/>
  <c r="B539"/>
  <c r="AT537" i="1"/>
  <c r="AT166" l="1"/>
  <c r="B168" i="52"/>
  <c r="AS166" i="1"/>
  <c r="I167" i="52"/>
  <c r="D167"/>
  <c r="AU165" i="1"/>
  <c r="AO168"/>
  <c r="AP168" s="1"/>
  <c r="BK168" s="1"/>
  <c r="AQ167"/>
  <c r="F174" i="53" s="1"/>
  <c r="AR167" i="1"/>
  <c r="DH26" i="55"/>
  <c r="H173" i="53"/>
  <c r="EC26" i="55" s="1"/>
  <c r="EX25"/>
  <c r="EO32"/>
  <c r="DT33"/>
  <c r="DT35" s="1"/>
  <c r="H545" i="53"/>
  <c r="G539" i="52"/>
  <c r="AT538" i="1"/>
  <c r="B540" i="52"/>
  <c r="BK169" i="1" l="1"/>
  <c r="AT167"/>
  <c r="B169" i="52"/>
  <c r="AS167" i="1"/>
  <c r="AU166"/>
  <c r="D168" i="52"/>
  <c r="G540"/>
  <c r="G541" s="1"/>
  <c r="G542" s="1"/>
  <c r="G543" s="1"/>
  <c r="G544" s="1"/>
  <c r="G545" s="1"/>
  <c r="G546" s="1"/>
  <c r="G547" s="1"/>
  <c r="G548" s="1"/>
  <c r="G549" s="1"/>
  <c r="G550" s="1"/>
  <c r="G551" s="1"/>
  <c r="G552" s="1"/>
  <c r="G553" s="1"/>
  <c r="G554" s="1"/>
  <c r="G555" s="1"/>
  <c r="G556" s="1"/>
  <c r="G557" s="1"/>
  <c r="G558" s="1"/>
  <c r="G559" s="1"/>
  <c r="G560" s="1"/>
  <c r="G561" s="1"/>
  <c r="G562" s="1"/>
  <c r="G563" s="1"/>
  <c r="G564" s="1"/>
  <c r="G565" s="1"/>
  <c r="G566" s="1"/>
  <c r="G567" s="1"/>
  <c r="G568" s="1"/>
  <c r="G569" s="1"/>
  <c r="G570" s="1"/>
  <c r="G571" s="1"/>
  <c r="G572" s="1"/>
  <c r="G573" s="1"/>
  <c r="G574" s="1"/>
  <c r="G575" s="1"/>
  <c r="G576" s="1"/>
  <c r="G577" s="1"/>
  <c r="G578" s="1"/>
  <c r="G579" s="1"/>
  <c r="G580" s="1"/>
  <c r="G581" s="1"/>
  <c r="G582" s="1"/>
  <c r="G583" s="1"/>
  <c r="G584" s="1"/>
  <c r="G585" s="1"/>
  <c r="G586" s="1"/>
  <c r="G587" s="1"/>
  <c r="G588" s="1"/>
  <c r="G589" s="1"/>
  <c r="G590" s="1"/>
  <c r="G591" s="1"/>
  <c r="G592" s="1"/>
  <c r="G593" s="1"/>
  <c r="G594" s="1"/>
  <c r="G595" s="1"/>
  <c r="G596" s="1"/>
  <c r="G597" s="1"/>
  <c r="G598" s="1"/>
  <c r="G599" s="1"/>
  <c r="G600" s="1"/>
  <c r="G601" s="1"/>
  <c r="AO169" i="1"/>
  <c r="AP169" s="1"/>
  <c r="AQ168"/>
  <c r="F175" i="53" s="1"/>
  <c r="AR168" i="1"/>
  <c r="H174" i="53"/>
  <c r="DH27" i="55"/>
  <c r="I168" i="52"/>
  <c r="G168"/>
  <c r="G169" s="1"/>
  <c r="BO168" i="1"/>
  <c r="BO169" s="1"/>
  <c r="J173" i="53"/>
  <c r="J174"/>
  <c r="EX26" i="55"/>
  <c r="EO33"/>
  <c r="EO35" s="1"/>
  <c r="AO170" i="1" l="1"/>
  <c r="AP170" s="1"/>
  <c r="AR169"/>
  <c r="AQ169"/>
  <c r="F176" i="53" s="1"/>
  <c r="H175"/>
  <c r="DH28" i="55"/>
  <c r="D169" i="52"/>
  <c r="I169" s="1"/>
  <c r="AU167" i="1"/>
  <c r="B170" i="52"/>
  <c r="AT168" i="1"/>
  <c r="AS168"/>
  <c r="EC27" i="55"/>
  <c r="G170" i="52"/>
  <c r="EX27" i="55"/>
  <c r="J175" i="53"/>
  <c r="AO171" i="1" l="1"/>
  <c r="AP171" s="1"/>
  <c r="AR170"/>
  <c r="AQ170"/>
  <c r="F177" i="53" s="1"/>
  <c r="EC28" i="55"/>
  <c r="H176" i="53"/>
  <c r="DH29" i="55"/>
  <c r="AT169" i="1"/>
  <c r="B171" i="52"/>
  <c r="G171" s="1"/>
  <c r="AS169" i="1"/>
  <c r="AU168"/>
  <c r="D170" i="52"/>
  <c r="I170" s="1"/>
  <c r="BK170" i="1"/>
  <c r="BK171" s="1"/>
  <c r="BO170"/>
  <c r="BO171" s="1"/>
  <c r="J176" i="53"/>
  <c r="EX28" i="55"/>
  <c r="G172" i="52" l="1"/>
  <c r="EC29" i="55"/>
  <c r="D171" i="52"/>
  <c r="I171" s="1"/>
  <c r="AU169" i="1"/>
  <c r="AO172"/>
  <c r="AP172" s="1"/>
  <c r="BO172" s="1"/>
  <c r="AR171"/>
  <c r="AQ171"/>
  <c r="F178" i="53" s="1"/>
  <c r="B172" i="52"/>
  <c r="AT170" i="1"/>
  <c r="AS170"/>
  <c r="H177" i="53"/>
  <c r="DH30" i="55"/>
  <c r="J177" i="53"/>
  <c r="EX29" i="55"/>
  <c r="BO173" i="1" l="1"/>
  <c r="AU170"/>
  <c r="D172" i="52"/>
  <c r="I172" s="1"/>
  <c r="B173"/>
  <c r="AT171" i="1"/>
  <c r="AS171"/>
  <c r="DH31" i="55"/>
  <c r="H178" i="53"/>
  <c r="AO173" i="1"/>
  <c r="AP173" s="1"/>
  <c r="AQ172"/>
  <c r="F179" i="53" s="1"/>
  <c r="AR172" i="1"/>
  <c r="EC30" i="55"/>
  <c r="G173" i="52"/>
  <c r="BK172" i="1"/>
  <c r="BK173" s="1"/>
  <c r="EX30" i="55"/>
  <c r="D173" i="52" l="1"/>
  <c r="I173" s="1"/>
  <c r="AU171" i="1"/>
  <c r="AO174"/>
  <c r="AP174" s="1"/>
  <c r="AR173"/>
  <c r="AQ173"/>
  <c r="F180" i="53" s="1"/>
  <c r="J178"/>
  <c r="EX31" i="55" s="1"/>
  <c r="DH32"/>
  <c r="H179" i="53"/>
  <c r="EC31" i="55"/>
  <c r="AT172" i="1"/>
  <c r="B174" i="52"/>
  <c r="G174" s="1"/>
  <c r="AS172" i="1"/>
  <c r="AT173" l="1"/>
  <c r="B175" i="52"/>
  <c r="G175" s="1"/>
  <c r="AS173" i="1"/>
  <c r="EC32" i="55"/>
  <c r="AO175" i="1"/>
  <c r="AP175" s="1"/>
  <c r="AR174"/>
  <c r="AQ174"/>
  <c r="F181" i="53" s="1"/>
  <c r="AU172" i="1"/>
  <c r="D174" i="52"/>
  <c r="I174" s="1"/>
  <c r="DH33" i="55"/>
  <c r="DH35" s="1"/>
  <c r="H180" i="53"/>
  <c r="J179"/>
  <c r="EX32" i="55" s="1"/>
  <c r="BK174" i="1"/>
  <c r="BK175" s="1"/>
  <c r="BO174"/>
  <c r="BO175" s="1"/>
  <c r="D175" i="52" l="1"/>
  <c r="I175" s="1"/>
  <c r="AU173" i="1"/>
  <c r="EC33" i="55"/>
  <c r="EC35" s="1"/>
  <c r="AO176" i="1"/>
  <c r="AP176" s="1"/>
  <c r="AQ175"/>
  <c r="F182" i="53" s="1"/>
  <c r="AR175" i="1"/>
  <c r="B176" i="52"/>
  <c r="G176" s="1"/>
  <c r="AT174" i="1"/>
  <c r="AS174"/>
  <c r="J180" i="53"/>
  <c r="H181"/>
  <c r="DI3" i="55"/>
  <c r="EX33"/>
  <c r="G177" i="52" l="1"/>
  <c r="AO177" i="1"/>
  <c r="AP177" s="1"/>
  <c r="AR176"/>
  <c r="AQ176"/>
  <c r="F183" i="53" s="1"/>
  <c r="H182"/>
  <c r="DI4" i="55"/>
  <c r="D176" i="52"/>
  <c r="I176" s="1"/>
  <c r="AU174" i="1"/>
  <c r="B177" i="52"/>
  <c r="AT175" i="1"/>
  <c r="AS175"/>
  <c r="BO176"/>
  <c r="ED3" i="55"/>
  <c r="BK176" i="1"/>
  <c r="J181" i="53"/>
  <c r="J182" s="1"/>
  <c r="AO178" i="1" l="1"/>
  <c r="AP178" s="1"/>
  <c r="AQ177"/>
  <c r="F184" i="53" s="1"/>
  <c r="AR177" i="1"/>
  <c r="DI5" i="55"/>
  <c r="H183" i="53"/>
  <c r="ED5" i="55" s="1"/>
  <c r="BO177" i="1"/>
  <c r="D177" i="52"/>
  <c r="I177" s="1"/>
  <c r="AU175" i="1"/>
  <c r="ED4" i="55"/>
  <c r="EY3"/>
  <c r="BK177" i="1"/>
  <c r="B178" i="52"/>
  <c r="G178" s="1"/>
  <c r="AT176" i="1"/>
  <c r="AS176"/>
  <c r="EY4" i="55"/>
  <c r="J183" i="53"/>
  <c r="G179" i="52" l="1"/>
  <c r="AU176" i="1"/>
  <c r="D178" i="52"/>
  <c r="I178" s="1"/>
  <c r="B179"/>
  <c r="AT177" i="1"/>
  <c r="AS177"/>
  <c r="AO179"/>
  <c r="AP179" s="1"/>
  <c r="AR178"/>
  <c r="AQ178"/>
  <c r="F185" i="53" s="1"/>
  <c r="BO178" i="1"/>
  <c r="BO179" s="1"/>
  <c r="DI6" i="55"/>
  <c r="H184" i="53"/>
  <c r="ED6" i="55" s="1"/>
  <c r="BK178" i="1"/>
  <c r="BK179" s="1"/>
  <c r="EY5" i="55"/>
  <c r="DI7" l="1"/>
  <c r="H185" i="53"/>
  <c r="ED7" i="55" s="1"/>
  <c r="AU177" i="1"/>
  <c r="D179" i="52"/>
  <c r="I179" s="1"/>
  <c r="AO180" i="1"/>
  <c r="AP180" s="1"/>
  <c r="AR179"/>
  <c r="AQ179"/>
  <c r="F186" i="53" s="1"/>
  <c r="BO180" i="1"/>
  <c r="BK180"/>
  <c r="B180" i="52"/>
  <c r="G180" s="1"/>
  <c r="AT178" i="1"/>
  <c r="AS178"/>
  <c r="J184" i="53"/>
  <c r="EY6" i="55" s="1"/>
  <c r="J185" i="53"/>
  <c r="G181" i="52" l="1"/>
  <c r="H186" i="53"/>
  <c r="ED8" i="55" s="1"/>
  <c r="DI8"/>
  <c r="AU178" i="1"/>
  <c r="D180" i="52"/>
  <c r="I180" s="1"/>
  <c r="AO181" i="1"/>
  <c r="AP181" s="1"/>
  <c r="BK181" s="1"/>
  <c r="AQ180"/>
  <c r="F187" i="53" s="1"/>
  <c r="AR180" i="1"/>
  <c r="BO181"/>
  <c r="AT179"/>
  <c r="B181" i="52"/>
  <c r="AS179" i="1"/>
  <c r="EY7" i="55"/>
  <c r="BK182" i="1" l="1"/>
  <c r="B182" i="52"/>
  <c r="G182" s="1"/>
  <c r="AT180" i="1"/>
  <c r="AS180"/>
  <c r="D181" i="52"/>
  <c r="I181" s="1"/>
  <c r="AU179" i="1"/>
  <c r="AR181"/>
  <c r="AO182"/>
  <c r="AP182" s="1"/>
  <c r="AQ181"/>
  <c r="F188" i="53" s="1"/>
  <c r="BO182" i="1"/>
  <c r="J186" i="53"/>
  <c r="EY8" i="55" s="1"/>
  <c r="H187" i="53"/>
  <c r="ED9" i="55" s="1"/>
  <c r="DI9"/>
  <c r="AU180" i="1" l="1"/>
  <c r="D182" i="52"/>
  <c r="I182" s="1"/>
  <c r="H188" i="53"/>
  <c r="ED10" i="55" s="1"/>
  <c r="DI10"/>
  <c r="AT181" i="1"/>
  <c r="B183" i="52"/>
  <c r="G183" s="1"/>
  <c r="AS181" i="1"/>
  <c r="BO183"/>
  <c r="J187" i="53"/>
  <c r="EY9" i="55" s="1"/>
  <c r="AO183" i="1"/>
  <c r="AP183" s="1"/>
  <c r="AR182"/>
  <c r="AQ182"/>
  <c r="F189" i="53" s="1"/>
  <c r="BO184" i="1" l="1"/>
  <c r="AR183"/>
  <c r="AQ183"/>
  <c r="F190" i="53" s="1"/>
  <c r="AO184" i="1"/>
  <c r="AP184" s="1"/>
  <c r="BK183"/>
  <c r="AT182"/>
  <c r="B184" i="52"/>
  <c r="G184" s="1"/>
  <c r="AS182" i="1"/>
  <c r="J188" i="53"/>
  <c r="EY10" i="55" s="1"/>
  <c r="H189" i="53"/>
  <c r="ED11" i="55" s="1"/>
  <c r="DI11"/>
  <c r="D183" i="52"/>
  <c r="I183" s="1"/>
  <c r="AU181" i="1"/>
  <c r="BK184" l="1"/>
  <c r="BK185" s="1"/>
  <c r="DI12" i="55"/>
  <c r="H190" i="53"/>
  <c r="ED12" i="55" s="1"/>
  <c r="AQ184" i="1"/>
  <c r="F191" i="53" s="1"/>
  <c r="AO185" i="1"/>
  <c r="AP185" s="1"/>
  <c r="AR184"/>
  <c r="J189" i="53"/>
  <c r="B185" i="52"/>
  <c r="G185" s="1"/>
  <c r="AT183" i="1"/>
  <c r="AS183"/>
  <c r="D184" i="52"/>
  <c r="I184" s="1"/>
  <c r="AU182" i="1"/>
  <c r="EY11" i="55"/>
  <c r="AO186" i="1" l="1"/>
  <c r="AP186" s="1"/>
  <c r="AQ185"/>
  <c r="F192" i="53" s="1"/>
  <c r="AR185" i="1"/>
  <c r="AT184"/>
  <c r="B186" i="52"/>
  <c r="G186" s="1"/>
  <c r="AS184" i="1"/>
  <c r="D185" i="52"/>
  <c r="I185" s="1"/>
  <c r="AU183" i="1"/>
  <c r="H191" i="53"/>
  <c r="ED13" i="55" s="1"/>
  <c r="DI13"/>
  <c r="BO185" i="1"/>
  <c r="J190" i="53"/>
  <c r="EY12" i="55" s="1"/>
  <c r="D186" i="52" l="1"/>
  <c r="I186" s="1"/>
  <c r="AU184" i="1"/>
  <c r="AQ186"/>
  <c r="F193" i="53" s="1"/>
  <c r="AR186" i="1"/>
  <c r="AO187"/>
  <c r="AP187" s="1"/>
  <c r="AT185"/>
  <c r="B187" i="52"/>
  <c r="G187" s="1"/>
  <c r="AS185" i="1"/>
  <c r="BO186"/>
  <c r="BO187" s="1"/>
  <c r="H192" i="53"/>
  <c r="ED14" i="55" s="1"/>
  <c r="DI14"/>
  <c r="BK186" i="1"/>
  <c r="J191" i="53"/>
  <c r="EY13" i="55" s="1"/>
  <c r="AQ187" i="1" l="1"/>
  <c r="F194" i="53" s="1"/>
  <c r="AO188" i="1"/>
  <c r="AP188" s="1"/>
  <c r="AR187"/>
  <c r="DI15" i="55"/>
  <c r="H193" i="53"/>
  <c r="ED15" i="55" s="1"/>
  <c r="B188" i="52"/>
  <c r="G188" s="1"/>
  <c r="AT186" i="1"/>
  <c r="AS186"/>
  <c r="J192" i="53"/>
  <c r="EY14" i="55" s="1"/>
  <c r="BK187" i="1"/>
  <c r="D187" i="52"/>
  <c r="I187" s="1"/>
  <c r="AU185" i="1"/>
  <c r="AR188" l="1"/>
  <c r="AO189"/>
  <c r="AP189" s="1"/>
  <c r="AQ188"/>
  <c r="F195" i="53" s="1"/>
  <c r="B189" i="52"/>
  <c r="G189" s="1"/>
  <c r="AT187" i="1"/>
  <c r="AS187"/>
  <c r="BK188"/>
  <c r="BO188"/>
  <c r="J193" i="53"/>
  <c r="EY15" i="55" s="1"/>
  <c r="H194" i="53"/>
  <c r="ED16" i="55" s="1"/>
  <c r="DI16"/>
  <c r="AU186" i="1"/>
  <c r="D188" i="52"/>
  <c r="I188" s="1"/>
  <c r="AT188" i="1" l="1"/>
  <c r="B190" i="52"/>
  <c r="G190" s="1"/>
  <c r="AS188" i="1"/>
  <c r="AR189"/>
  <c r="AO190"/>
  <c r="AP190" s="1"/>
  <c r="AQ189"/>
  <c r="F196" i="53" s="1"/>
  <c r="AU187" i="1"/>
  <c r="D189" i="52"/>
  <c r="I189" s="1"/>
  <c r="DI17" i="55"/>
  <c r="H195" i="53"/>
  <c r="ED17" i="55" s="1"/>
  <c r="J194" i="53"/>
  <c r="EY16" i="55" s="1"/>
  <c r="BK189" i="1"/>
  <c r="BO189"/>
  <c r="BO190" l="1"/>
  <c r="BO191" s="1"/>
  <c r="D190" i="52"/>
  <c r="I190" s="1"/>
  <c r="AU188" i="1"/>
  <c r="DI18" i="55"/>
  <c r="H196" i="53"/>
  <c r="ED18" i="55" s="1"/>
  <c r="AT189" i="1"/>
  <c r="B191" i="52"/>
  <c r="G191" s="1"/>
  <c r="AS189" i="1"/>
  <c r="BK190"/>
  <c r="BK191" s="1"/>
  <c r="J195" i="53"/>
  <c r="EY17" i="55" s="1"/>
  <c r="AQ190" i="1"/>
  <c r="F197" i="53" s="1"/>
  <c r="AO191" i="1"/>
  <c r="AP191" s="1"/>
  <c r="AR190"/>
  <c r="H197" i="53" l="1"/>
  <c r="ED19" i="55" s="1"/>
  <c r="DI19"/>
  <c r="AO192" i="1"/>
  <c r="AP192" s="1"/>
  <c r="BO192" s="1"/>
  <c r="AQ191"/>
  <c r="F198" i="53" s="1"/>
  <c r="AR191" i="1"/>
  <c r="J196" i="53"/>
  <c r="AT190" i="1"/>
  <c r="B192" i="52"/>
  <c r="G192" s="1"/>
  <c r="AS190" i="1"/>
  <c r="AU189"/>
  <c r="D191" i="52"/>
  <c r="I191" s="1"/>
  <c r="EY18" i="55"/>
  <c r="BO193" i="1" l="1"/>
  <c r="AU190"/>
  <c r="D192" i="52"/>
  <c r="I192" s="1"/>
  <c r="BK192" i="1"/>
  <c r="H198" i="53"/>
  <c r="ED20" i="55" s="1"/>
  <c r="DI20"/>
  <c r="AT191" i="1"/>
  <c r="B193" i="52"/>
  <c r="G193" s="1"/>
  <c r="AS191" i="1"/>
  <c r="AR192"/>
  <c r="AO193"/>
  <c r="AP193" s="1"/>
  <c r="AQ192"/>
  <c r="F199" i="53" s="1"/>
  <c r="J197"/>
  <c r="EY19" i="55" s="1"/>
  <c r="AO194" i="1" l="1"/>
  <c r="AP194" s="1"/>
  <c r="BO194" s="1"/>
  <c r="AQ193"/>
  <c r="F200" i="53" s="1"/>
  <c r="AR193" i="1"/>
  <c r="BK193"/>
  <c r="J198" i="53"/>
  <c r="D193" i="52"/>
  <c r="I193" s="1"/>
  <c r="AU191" i="1"/>
  <c r="B194" i="52"/>
  <c r="G194" s="1"/>
  <c r="AT192" i="1"/>
  <c r="AS192"/>
  <c r="DI21" i="55"/>
  <c r="H199" i="53"/>
  <c r="ED21" i="55" s="1"/>
  <c r="EY20"/>
  <c r="BO195" i="1" l="1"/>
  <c r="BK194"/>
  <c r="BK195" s="1"/>
  <c r="H200" i="53"/>
  <c r="ED22" i="55" s="1"/>
  <c r="DI22"/>
  <c r="AO195" i="1"/>
  <c r="AP195" s="1"/>
  <c r="AQ194"/>
  <c r="F201" i="53" s="1"/>
  <c r="AR194" i="1"/>
  <c r="B195" i="52"/>
  <c r="G195" s="1"/>
  <c r="AT193" i="1"/>
  <c r="AS193"/>
  <c r="D194" i="52"/>
  <c r="I194" s="1"/>
  <c r="AU192" i="1"/>
  <c r="J199" i="53"/>
  <c r="EY21" i="55" s="1"/>
  <c r="H201" i="53" l="1"/>
  <c r="ED23" i="55" s="1"/>
  <c r="DI23"/>
  <c r="AR195" i="1"/>
  <c r="AO196"/>
  <c r="AP196" s="1"/>
  <c r="BO196" s="1"/>
  <c r="AQ195"/>
  <c r="F202" i="53" s="1"/>
  <c r="B196" i="52"/>
  <c r="G196" s="1"/>
  <c r="AT194" i="1"/>
  <c r="AS194"/>
  <c r="J200" i="53"/>
  <c r="EY22" i="55" s="1"/>
  <c r="AU193" i="1"/>
  <c r="D195" i="52"/>
  <c r="I195" s="1"/>
  <c r="DI24" i="55" l="1"/>
  <c r="H202" i="53"/>
  <c r="ED24" i="55" s="1"/>
  <c r="BK196" i="1"/>
  <c r="D196" i="52"/>
  <c r="I196" s="1"/>
  <c r="AU194" i="1"/>
  <c r="AT195"/>
  <c r="B197" i="52"/>
  <c r="G197" s="1"/>
  <c r="AS195" i="1"/>
  <c r="AO197"/>
  <c r="AP197" s="1"/>
  <c r="AQ196"/>
  <c r="F203" i="53" s="1"/>
  <c r="AR196" i="1"/>
  <c r="J201" i="53"/>
  <c r="EY23" i="55" s="1"/>
  <c r="AR197" i="1" l="1"/>
  <c r="AQ197"/>
  <c r="F204" i="53" s="1"/>
  <c r="AO198" i="1"/>
  <c r="AP198" s="1"/>
  <c r="BK197"/>
  <c r="DI25" i="55"/>
  <c r="H203" i="53"/>
  <c r="ED25" i="55" s="1"/>
  <c r="B198" i="52"/>
  <c r="G198" s="1"/>
  <c r="AT196" i="1"/>
  <c r="AS196"/>
  <c r="BO197"/>
  <c r="J202" i="53"/>
  <c r="EY24" i="55" s="1"/>
  <c r="AU195" i="1"/>
  <c r="D197" i="52"/>
  <c r="I197" s="1"/>
  <c r="AT197" i="1" l="1"/>
  <c r="B199" i="52"/>
  <c r="G199" s="1"/>
  <c r="AS197" i="1"/>
  <c r="BO198"/>
  <c r="H204" i="53"/>
  <c r="ED26" i="55" s="1"/>
  <c r="DI26"/>
  <c r="BK198" i="1"/>
  <c r="D198" i="52"/>
  <c r="I198" s="1"/>
  <c r="AU196" i="1"/>
  <c r="AQ198"/>
  <c r="F205" i="53" s="1"/>
  <c r="AO199" i="1"/>
  <c r="AP199" s="1"/>
  <c r="AR198"/>
  <c r="J203" i="53"/>
  <c r="EY25" i="55" s="1"/>
  <c r="DI27" l="1"/>
  <c r="H205" i="53"/>
  <c r="ED27" i="55" s="1"/>
  <c r="AR199" i="1"/>
  <c r="AQ199"/>
  <c r="F206" i="53" s="1"/>
  <c r="AO200" i="1"/>
  <c r="AP200" s="1"/>
  <c r="B200" i="52"/>
  <c r="G200" s="1"/>
  <c r="AT198" i="1"/>
  <c r="AS198"/>
  <c r="AU197"/>
  <c r="D199" i="52"/>
  <c r="I199" s="1"/>
  <c r="BO199" i="1"/>
  <c r="BO200" s="1"/>
  <c r="J204" i="53"/>
  <c r="EY26" i="55" s="1"/>
  <c r="BK199" i="1"/>
  <c r="BK200" s="1"/>
  <c r="BK201" l="1"/>
  <c r="AT199"/>
  <c r="B201" i="52"/>
  <c r="G201" s="1"/>
  <c r="AS199" i="1"/>
  <c r="AO201"/>
  <c r="AP201" s="1"/>
  <c r="AR200"/>
  <c r="AQ200"/>
  <c r="F207" i="53" s="1"/>
  <c r="J205"/>
  <c r="EY27" i="55" s="1"/>
  <c r="DI28"/>
  <c r="H206" i="53"/>
  <c r="ED28" i="55" s="1"/>
  <c r="D200" i="52"/>
  <c r="I200" s="1"/>
  <c r="AU198" i="1"/>
  <c r="AU199" l="1"/>
  <c r="D201" i="52"/>
  <c r="I201" s="1"/>
  <c r="AT200" i="1"/>
  <c r="B202" i="52"/>
  <c r="G202" s="1"/>
  <c r="AS200" i="1"/>
  <c r="H207" i="53"/>
  <c r="ED29" i="55" s="1"/>
  <c r="DI29"/>
  <c r="AO202" i="1"/>
  <c r="AP202" s="1"/>
  <c r="AR201"/>
  <c r="AQ201"/>
  <c r="F208" i="53" s="1"/>
  <c r="J206"/>
  <c r="EY28" i="55" s="1"/>
  <c r="BO201" i="1"/>
  <c r="AR202" l="1"/>
  <c r="AQ202"/>
  <c r="F209" i="53" s="1"/>
  <c r="AT201" i="1"/>
  <c r="B203" i="52"/>
  <c r="G203" s="1"/>
  <c r="AS201" i="1"/>
  <c r="H208" i="53"/>
  <c r="ED30" i="55" s="1"/>
  <c r="DI30"/>
  <c r="BO202" i="1"/>
  <c r="BO203" s="1"/>
  <c r="BO204" s="1"/>
  <c r="BO205" s="1"/>
  <c r="BO206" s="1"/>
  <c r="BO207" s="1"/>
  <c r="BO208" s="1"/>
  <c r="BO209" s="1"/>
  <c r="BO210" s="1"/>
  <c r="BO211" s="1"/>
  <c r="BO212" s="1"/>
  <c r="BO213" s="1"/>
  <c r="BO214" s="1"/>
  <c r="BO215" s="1"/>
  <c r="BO216" s="1"/>
  <c r="BO217" s="1"/>
  <c r="BO218" s="1"/>
  <c r="BO219" s="1"/>
  <c r="BO220" s="1"/>
  <c r="BO221" s="1"/>
  <c r="BO222" s="1"/>
  <c r="BO223" s="1"/>
  <c r="BO224" s="1"/>
  <c r="BO225" s="1"/>
  <c r="BO226" s="1"/>
  <c r="BO227" s="1"/>
  <c r="BO228" s="1"/>
  <c r="BO229" s="1"/>
  <c r="BO230" s="1"/>
  <c r="BO231" s="1"/>
  <c r="BO232" s="1"/>
  <c r="BO233" s="1"/>
  <c r="BO234" s="1"/>
  <c r="BO235" s="1"/>
  <c r="BO236" s="1"/>
  <c r="BO237" s="1"/>
  <c r="BO238" s="1"/>
  <c r="BO239" s="1"/>
  <c r="BO240" s="1"/>
  <c r="BO241" s="1"/>
  <c r="BO242" s="1"/>
  <c r="BO243" s="1"/>
  <c r="BO244" s="1"/>
  <c r="BO245" s="1"/>
  <c r="BO246" s="1"/>
  <c r="BO247" s="1"/>
  <c r="BO248" s="1"/>
  <c r="BO249" s="1"/>
  <c r="BO250" s="1"/>
  <c r="BO251" s="1"/>
  <c r="BO252" s="1"/>
  <c r="BO253" s="1"/>
  <c r="BO254" s="1"/>
  <c r="BO255" s="1"/>
  <c r="BO256" s="1"/>
  <c r="BO257" s="1"/>
  <c r="BO258" s="1"/>
  <c r="BO259" s="1"/>
  <c r="BO260" s="1"/>
  <c r="BO261" s="1"/>
  <c r="BO262" s="1"/>
  <c r="BO263" s="1"/>
  <c r="BO264" s="1"/>
  <c r="BO265" s="1"/>
  <c r="BO266" s="1"/>
  <c r="BO267" s="1"/>
  <c r="BO268" s="1"/>
  <c r="BO269" s="1"/>
  <c r="BO270" s="1"/>
  <c r="BO271" s="1"/>
  <c r="BO272" s="1"/>
  <c r="BO273" s="1"/>
  <c r="BO274" s="1"/>
  <c r="BO275" s="1"/>
  <c r="BO276" s="1"/>
  <c r="BO277" s="1"/>
  <c r="BO278" s="1"/>
  <c r="BO279" s="1"/>
  <c r="BO280" s="1"/>
  <c r="BO281" s="1"/>
  <c r="BO282" s="1"/>
  <c r="BO283" s="1"/>
  <c r="BO284" s="1"/>
  <c r="BO285" s="1"/>
  <c r="BO286" s="1"/>
  <c r="BO287" s="1"/>
  <c r="BO288" s="1"/>
  <c r="BO289" s="1"/>
  <c r="BO290" s="1"/>
  <c r="BO291" s="1"/>
  <c r="BO292" s="1"/>
  <c r="BO293" s="1"/>
  <c r="BO294" s="1"/>
  <c r="BO295" s="1"/>
  <c r="AU200"/>
  <c r="D202" i="52"/>
  <c r="I202" s="1"/>
  <c r="J207" i="53"/>
  <c r="J208" s="1"/>
  <c r="BK202" i="1"/>
  <c r="BK203" s="1"/>
  <c r="BK204" s="1"/>
  <c r="BK205" s="1"/>
  <c r="BK206" s="1"/>
  <c r="BK207" s="1"/>
  <c r="BK208" s="1"/>
  <c r="BK209" s="1"/>
  <c r="BK210" s="1"/>
  <c r="BK211" s="1"/>
  <c r="BK212" s="1"/>
  <c r="BK213" s="1"/>
  <c r="BK214" s="1"/>
  <c r="BK215" s="1"/>
  <c r="BK216" s="1"/>
  <c r="BK217" s="1"/>
  <c r="BK218" s="1"/>
  <c r="BK219" s="1"/>
  <c r="BK220" s="1"/>
  <c r="BK221" s="1"/>
  <c r="BK222" s="1"/>
  <c r="BK223" s="1"/>
  <c r="BK224" s="1"/>
  <c r="BK225" s="1"/>
  <c r="BK226" s="1"/>
  <c r="BK227" s="1"/>
  <c r="BK228" s="1"/>
  <c r="BK229" s="1"/>
  <c r="BK230" s="1"/>
  <c r="BK231" s="1"/>
  <c r="BK232" s="1"/>
  <c r="BK233" s="1"/>
  <c r="BK234" s="1"/>
  <c r="BK235" s="1"/>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K264" s="1"/>
  <c r="BK265" s="1"/>
  <c r="BK266" s="1"/>
  <c r="BK267" s="1"/>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204" i="52" l="1"/>
  <c r="G204" s="1"/>
  <c r="G205" s="1"/>
  <c r="G206" s="1"/>
  <c r="G207" s="1"/>
  <c r="G208" s="1"/>
  <c r="G209" s="1"/>
  <c r="G210" s="1"/>
  <c r="G211" s="1"/>
  <c r="G212" s="1"/>
  <c r="G213" s="1"/>
  <c r="G214" s="1"/>
  <c r="G215" s="1"/>
  <c r="G216" s="1"/>
  <c r="G217" s="1"/>
  <c r="G218" s="1"/>
  <c r="G219" s="1"/>
  <c r="G220" s="1"/>
  <c r="G221" s="1"/>
  <c r="G222" s="1"/>
  <c r="G223" s="1"/>
  <c r="G224" s="1"/>
  <c r="G225" s="1"/>
  <c r="G226" s="1"/>
  <c r="G227" s="1"/>
  <c r="G228" s="1"/>
  <c r="G229" s="1"/>
  <c r="G230" s="1"/>
  <c r="G231" s="1"/>
  <c r="G232" s="1"/>
  <c r="G233" s="1"/>
  <c r="G234" s="1"/>
  <c r="G235" s="1"/>
  <c r="G236" s="1"/>
  <c r="G237" s="1"/>
  <c r="G238" s="1"/>
  <c r="G239" s="1"/>
  <c r="G240" s="1"/>
  <c r="G241" s="1"/>
  <c r="G242" s="1"/>
  <c r="G243" s="1"/>
  <c r="G244" s="1"/>
  <c r="G245" s="1"/>
  <c r="G246" s="1"/>
  <c r="G247" s="1"/>
  <c r="G248" s="1"/>
  <c r="G249" s="1"/>
  <c r="G250" s="1"/>
  <c r="G251" s="1"/>
  <c r="G252" s="1"/>
  <c r="G253" s="1"/>
  <c r="G254" s="1"/>
  <c r="G255" s="1"/>
  <c r="G256" s="1"/>
  <c r="G257" s="1"/>
  <c r="G258" s="1"/>
  <c r="G259" s="1"/>
  <c r="G260" s="1"/>
  <c r="G261" s="1"/>
  <c r="G262" s="1"/>
  <c r="G263" s="1"/>
  <c r="G264" s="1"/>
  <c r="G265" s="1"/>
  <c r="G266" s="1"/>
  <c r="G267" s="1"/>
  <c r="G268" s="1"/>
  <c r="G269" s="1"/>
  <c r="G270" s="1"/>
  <c r="G271" s="1"/>
  <c r="G272" s="1"/>
  <c r="G273" s="1"/>
  <c r="G274" s="1"/>
  <c r="G275" s="1"/>
  <c r="G276" s="1"/>
  <c r="G277" s="1"/>
  <c r="G278" s="1"/>
  <c r="G279" s="1"/>
  <c r="G280" s="1"/>
  <c r="G281" s="1"/>
  <c r="G282" s="1"/>
  <c r="G283" s="1"/>
  <c r="G284" s="1"/>
  <c r="G285" s="1"/>
  <c r="G286" s="1"/>
  <c r="G287" s="1"/>
  <c r="G288" s="1"/>
  <c r="G289" s="1"/>
  <c r="G290" s="1"/>
  <c r="G291" s="1"/>
  <c r="G292" s="1"/>
  <c r="G293" s="1"/>
  <c r="G294" s="1"/>
  <c r="G295" s="1"/>
  <c r="G296" s="1"/>
  <c r="G297" s="1"/>
  <c r="G298" s="1"/>
  <c r="G299" s="1"/>
  <c r="G300" s="1"/>
  <c r="G301" s="1"/>
  <c r="G302" s="1"/>
  <c r="G303" s="1"/>
  <c r="G304" s="1"/>
  <c r="G305" s="1"/>
  <c r="G306" s="1"/>
  <c r="G307" s="1"/>
  <c r="G308" s="1"/>
  <c r="G309" s="1"/>
  <c r="G310" s="1"/>
  <c r="G311" s="1"/>
  <c r="G312" s="1"/>
  <c r="G313" s="1"/>
  <c r="G314" s="1"/>
  <c r="G315" s="1"/>
  <c r="G316" s="1"/>
  <c r="G317" s="1"/>
  <c r="G318" s="1"/>
  <c r="G319" s="1"/>
  <c r="G320" s="1"/>
  <c r="G321" s="1"/>
  <c r="G322" s="1"/>
  <c r="G323" s="1"/>
  <c r="G324" s="1"/>
  <c r="G325" s="1"/>
  <c r="G326" s="1"/>
  <c r="G327" s="1"/>
  <c r="G328" s="1"/>
  <c r="G329" s="1"/>
  <c r="G330" s="1"/>
  <c r="G331" s="1"/>
  <c r="G332" s="1"/>
  <c r="G333" s="1"/>
  <c r="G334" s="1"/>
  <c r="G335" s="1"/>
  <c r="G336" s="1"/>
  <c r="G337" s="1"/>
  <c r="AT202" i="1"/>
  <c r="AS202"/>
  <c r="D203" i="52"/>
  <c r="I203" s="1"/>
  <c r="AU201" i="1"/>
  <c r="EY29" i="55"/>
  <c r="DI31"/>
  <c r="DI35" s="1"/>
  <c r="H209" i="53"/>
  <c r="Q106" a="1"/>
  <c r="Q106" s="1"/>
  <c r="G84" i="54" s="1"/>
  <c r="Q74" i="53" a="1"/>
  <c r="Q74" s="1"/>
  <c r="G52" i="54" s="1"/>
  <c r="Q60" i="53" a="1"/>
  <c r="Q60" s="1"/>
  <c r="G38" i="54" s="1"/>
  <c r="Q89" i="53" a="1"/>
  <c r="Q89" s="1"/>
  <c r="G67" i="54" s="1"/>
  <c r="Q32" i="53" a="1"/>
  <c r="Q32" s="1"/>
  <c r="G10" i="54" s="1"/>
  <c r="Q31" i="53" a="1"/>
  <c r="Q31" s="1"/>
  <c r="G9" i="54" s="1"/>
  <c r="Q76" i="53" a="1"/>
  <c r="Q76" s="1"/>
  <c r="G54" i="54" s="1"/>
  <c r="Q52" i="53" a="1"/>
  <c r="Q52" s="1"/>
  <c r="G30" i="54" s="1"/>
  <c r="Q87" i="53" a="1"/>
  <c r="Q87" s="1"/>
  <c r="G65" i="54" s="1"/>
  <c r="Q92" i="53" a="1"/>
  <c r="Q92" s="1"/>
  <c r="G70" i="54" s="1"/>
  <c r="Q72" i="53" a="1"/>
  <c r="Q72" s="1"/>
  <c r="G50" i="54" s="1"/>
  <c r="Q69" i="53" a="1"/>
  <c r="Q69" s="1"/>
  <c r="G47" i="54" s="1"/>
  <c r="Q98" i="53" a="1"/>
  <c r="Q98" s="1"/>
  <c r="G76" i="54" s="1"/>
  <c r="Q39" i="53" a="1"/>
  <c r="Q39" s="1"/>
  <c r="G17" i="54" s="1"/>
  <c r="Q70" i="53" a="1"/>
  <c r="Q70" s="1"/>
  <c r="G48" i="54" s="1"/>
  <c r="Q43" i="53" a="1"/>
  <c r="Q43" s="1"/>
  <c r="G21" i="54" s="1"/>
  <c r="Q38" i="53" a="1"/>
  <c r="Q38" s="1"/>
  <c r="G16" i="54" s="1"/>
  <c r="Q53" i="53" a="1"/>
  <c r="Q53" s="1"/>
  <c r="G31" i="54" s="1"/>
  <c r="Q93" i="53" a="1"/>
  <c r="Q93" s="1"/>
  <c r="G71" i="54" s="1"/>
  <c r="Q56" i="53" a="1"/>
  <c r="Q56" s="1"/>
  <c r="G34" i="54" s="1"/>
  <c r="Q73" i="53" a="1"/>
  <c r="Q73" s="1"/>
  <c r="G51" i="54" s="1"/>
  <c r="Q81" i="53" a="1"/>
  <c r="Q81" s="1"/>
  <c r="G59" i="54" s="1"/>
  <c r="Q67" i="53" a="1"/>
  <c r="Q67" s="1"/>
  <c r="G45" i="54" s="1"/>
  <c r="Q77" i="53" a="1"/>
  <c r="Q77" s="1"/>
  <c r="G55" i="54" s="1"/>
  <c r="Q51" i="53" a="1"/>
  <c r="Q51" s="1"/>
  <c r="G29" i="54" s="1"/>
  <c r="Q59" i="53" a="1"/>
  <c r="Q59" s="1"/>
  <c r="G37" i="54" s="1"/>
  <c r="Q71" i="53" a="1"/>
  <c r="Q71" s="1"/>
  <c r="G49" i="54" s="1"/>
  <c r="Q62" i="53" a="1"/>
  <c r="Q62" s="1"/>
  <c r="G40" i="54" s="1"/>
  <c r="Q95" i="53" a="1"/>
  <c r="Q95" s="1"/>
  <c r="G73" i="54" s="1"/>
  <c r="Q104" i="53" a="1"/>
  <c r="Q104" s="1"/>
  <c r="G82" i="54" s="1"/>
  <c r="Q48" i="53" a="1"/>
  <c r="Q48" s="1"/>
  <c r="G26" i="54" s="1"/>
  <c r="Q85" i="53" a="1"/>
  <c r="Q85" s="1"/>
  <c r="G63" i="54" s="1"/>
  <c r="Q42" i="53" a="1"/>
  <c r="Q42" s="1"/>
  <c r="G20" i="54" s="1"/>
  <c r="Q110" i="53" a="1"/>
  <c r="Q110" s="1"/>
  <c r="G88" i="54" s="1"/>
  <c r="Q83" i="53" a="1"/>
  <c r="Q83" s="1"/>
  <c r="G61" i="54" s="1"/>
  <c r="Q107" i="53" a="1"/>
  <c r="Q107" s="1"/>
  <c r="G85" i="54" s="1"/>
  <c r="Q84" i="53" a="1"/>
  <c r="Q84" s="1"/>
  <c r="G62" i="54" s="1"/>
  <c r="Q103" i="53" a="1"/>
  <c r="Q103" s="1"/>
  <c r="G81" i="54" s="1"/>
  <c r="Q109" i="53" a="1"/>
  <c r="Q109" s="1"/>
  <c r="G87" i="54" s="1"/>
  <c r="Q111" i="53" a="1"/>
  <c r="Q111" s="1"/>
  <c r="Q101" a="1"/>
  <c r="Q101" s="1"/>
  <c r="G79" i="54" s="1"/>
  <c r="Q54" i="53" a="1"/>
  <c r="Q54" s="1"/>
  <c r="G32" i="54" s="1"/>
  <c r="Q55" i="53" a="1"/>
  <c r="Q55" s="1"/>
  <c r="G33" i="54" s="1"/>
  <c r="Q96" i="53" a="1"/>
  <c r="Q96" s="1"/>
  <c r="G74" i="54" s="1"/>
  <c r="Q86" i="53" a="1"/>
  <c r="Q86" s="1"/>
  <c r="G64" i="54" s="1"/>
  <c r="Q58" i="53" a="1"/>
  <c r="Q58" s="1"/>
  <c r="G36" i="54" s="1"/>
  <c r="Q33" i="53" a="1"/>
  <c r="Q33" s="1"/>
  <c r="G11" i="54" s="1"/>
  <c r="Q49" i="53" a="1"/>
  <c r="Q49" s="1"/>
  <c r="G27" i="54" s="1"/>
  <c r="Q108" i="53" a="1"/>
  <c r="Q108" s="1"/>
  <c r="G86" i="54" s="1"/>
  <c r="Q50" i="53" a="1"/>
  <c r="Q50" s="1"/>
  <c r="G28" i="54" s="1"/>
  <c r="Q30" i="53" a="1"/>
  <c r="Q30" s="1"/>
  <c r="G8" i="54" s="1"/>
  <c r="Q35" i="53" a="1"/>
  <c r="Q35" s="1"/>
  <c r="G13" i="54" s="1"/>
  <c r="Q47" i="53" a="1"/>
  <c r="Q47" s="1"/>
  <c r="G25" i="54" s="1"/>
  <c r="Q57" i="53" a="1"/>
  <c r="Q57" s="1"/>
  <c r="G35" i="54" s="1"/>
  <c r="Q45" i="53" a="1"/>
  <c r="Q45" s="1"/>
  <c r="G23" i="54" s="1"/>
  <c r="Q105" i="53" a="1"/>
  <c r="Q105" s="1"/>
  <c r="G83" i="54" s="1"/>
  <c r="Q44" i="53" a="1"/>
  <c r="Q44" s="1"/>
  <c r="G22" i="54" s="1"/>
  <c r="Q41" i="53" a="1"/>
  <c r="Q41" s="1"/>
  <c r="G19" i="54" s="1"/>
  <c r="Q91" i="53" a="1"/>
  <c r="Q91" s="1"/>
  <c r="G69" i="54" s="1"/>
  <c r="Q97" i="53" a="1"/>
  <c r="Q97" s="1"/>
  <c r="G75" i="54" s="1"/>
  <c r="Q34" i="53" a="1"/>
  <c r="Q34" s="1"/>
  <c r="G12" i="54" s="1"/>
  <c r="Q100" i="53" a="1"/>
  <c r="Q100" s="1"/>
  <c r="G78" i="54" s="1"/>
  <c r="Q37" i="53" a="1"/>
  <c r="Q37" s="1"/>
  <c r="G15" i="54" s="1"/>
  <c r="Q102" i="53" a="1"/>
  <c r="Q102" s="1"/>
  <c r="G80" i="54" s="1"/>
  <c r="Q40" i="53" a="1"/>
  <c r="Q40" s="1"/>
  <c r="G18" i="54" s="1"/>
  <c r="Q46" i="53" a="1"/>
  <c r="Q46" s="1"/>
  <c r="G24" i="54" s="1"/>
  <c r="Q68" i="53" a="1"/>
  <c r="Q68" s="1"/>
  <c r="G46" i="54" s="1"/>
  <c r="Q61" i="53" a="1"/>
  <c r="Q61" s="1"/>
  <c r="G39" i="54" s="1"/>
  <c r="Q63" i="53" a="1"/>
  <c r="Q63" s="1"/>
  <c r="G41" i="54" s="1"/>
  <c r="Q78" i="53" a="1"/>
  <c r="Q78" s="1"/>
  <c r="G56" i="54" s="1"/>
  <c r="Q88" i="53" a="1"/>
  <c r="Q88" s="1"/>
  <c r="G66" i="54" s="1"/>
  <c r="Q79" i="53" a="1"/>
  <c r="Q79" s="1"/>
  <c r="G57" i="54" s="1"/>
  <c r="Q82" i="53" a="1"/>
  <c r="Q82" s="1"/>
  <c r="G60" i="54" s="1"/>
  <c r="Q64" i="53" a="1"/>
  <c r="Q64" s="1"/>
  <c r="G42" i="54" s="1"/>
  <c r="Q65" i="53" a="1"/>
  <c r="Q65" s="1"/>
  <c r="G43" i="54" s="1"/>
  <c r="Q29" i="53" a="1"/>
  <c r="Q29" s="1"/>
  <c r="G7" i="54" s="1"/>
  <c r="Q99" i="53" a="1"/>
  <c r="Q99" s="1"/>
  <c r="G77" i="54" s="1"/>
  <c r="Q66" i="53" a="1"/>
  <c r="Q66" s="1"/>
  <c r="G44" i="54" s="1"/>
  <c r="Q94" i="53" a="1"/>
  <c r="Q94" s="1"/>
  <c r="G72" i="54" s="1"/>
  <c r="Q90" i="53" a="1"/>
  <c r="Q90" s="1"/>
  <c r="G68" i="54" s="1"/>
  <c r="Q80" i="53" a="1"/>
  <c r="Q80" s="1"/>
  <c r="G58" i="54" s="1"/>
  <c r="Q75" i="53" a="1"/>
  <c r="Q75" s="1"/>
  <c r="G53" i="54" s="1"/>
  <c r="Q36" i="53" a="1"/>
  <c r="Q36" s="1"/>
  <c r="G14" i="54" s="1"/>
  <c r="EY30" i="55"/>
  <c r="J209" i="53"/>
  <c r="AS203" i="1" l="1"/>
  <c r="D204" i="52"/>
  <c r="I204" s="1"/>
  <c r="AU202" i="1"/>
  <c r="ED31" i="55"/>
  <c r="ED35" s="1"/>
  <c r="S79" i="53" a="1"/>
  <c r="S79" s="1"/>
  <c r="I57" i="54" s="1"/>
  <c r="S99" i="53" a="1"/>
  <c r="S99" s="1"/>
  <c r="I77" i="54" s="1"/>
  <c r="S98" i="53" a="1"/>
  <c r="S98" s="1"/>
  <c r="I76" i="54" s="1"/>
  <c r="S45" i="53" a="1"/>
  <c r="S45" s="1"/>
  <c r="I23" i="54" s="1"/>
  <c r="S40" i="53" a="1"/>
  <c r="S40" s="1"/>
  <c r="I18" i="54" s="1"/>
  <c r="S107" i="53" a="1"/>
  <c r="S107" s="1"/>
  <c r="I85" i="54" s="1"/>
  <c r="S100" i="53" a="1"/>
  <c r="S100" s="1"/>
  <c r="I78" i="54" s="1"/>
  <c r="S108" i="53" a="1"/>
  <c r="S108" s="1"/>
  <c r="I86" i="54" s="1"/>
  <c r="S42" i="53" a="1"/>
  <c r="S42" s="1"/>
  <c r="I20" i="54" s="1"/>
  <c r="S106" i="53" a="1"/>
  <c r="S106" s="1"/>
  <c r="I84" i="54" s="1"/>
  <c r="S62" i="53" a="1"/>
  <c r="S62" s="1"/>
  <c r="I40" i="54" s="1"/>
  <c r="S83" i="53" a="1"/>
  <c r="S83" s="1"/>
  <c r="I61" i="54" s="1"/>
  <c r="S93" i="53" a="1"/>
  <c r="S93" s="1"/>
  <c r="I71" i="54" s="1"/>
  <c r="S35" i="53" a="1"/>
  <c r="S35" s="1"/>
  <c r="I13" i="54" s="1"/>
  <c r="S49" i="53" a="1"/>
  <c r="S49" s="1"/>
  <c r="I27" i="54" s="1"/>
  <c r="S97" i="53" a="1"/>
  <c r="S97" s="1"/>
  <c r="I75" i="54" s="1"/>
  <c r="S44" i="53" a="1"/>
  <c r="S44" s="1"/>
  <c r="I22" i="54" s="1"/>
  <c r="S47" i="53" a="1"/>
  <c r="S47" s="1"/>
  <c r="I25" i="54" s="1"/>
  <c r="S74" i="53" a="1"/>
  <c r="S74" s="1"/>
  <c r="I52" i="54" s="1"/>
  <c r="S78" i="53" a="1"/>
  <c r="S78" s="1"/>
  <c r="I56" i="54" s="1"/>
  <c r="S38" i="53" a="1"/>
  <c r="S38" s="1"/>
  <c r="I16" i="54" s="1"/>
  <c r="S50" i="53" a="1"/>
  <c r="S50" s="1"/>
  <c r="I28" i="54" s="1"/>
  <c r="S60" i="53" a="1"/>
  <c r="S60" s="1"/>
  <c r="I38" i="54" s="1"/>
  <c r="S52" i="53" a="1"/>
  <c r="S52" s="1"/>
  <c r="I30" i="54" s="1"/>
  <c r="S46" i="53" a="1"/>
  <c r="S46" s="1"/>
  <c r="I24" i="54" s="1"/>
  <c r="S77" i="53" a="1"/>
  <c r="S77" s="1"/>
  <c r="I55" i="54" s="1"/>
  <c r="S63" i="53" a="1"/>
  <c r="S63" s="1"/>
  <c r="I41" i="54" s="1"/>
  <c r="S103" i="53" a="1"/>
  <c r="S103" s="1"/>
  <c r="I81" i="54" s="1"/>
  <c r="S111" i="53" a="1"/>
  <c r="S111" s="1"/>
  <c r="S76" a="1"/>
  <c r="S76" s="1"/>
  <c r="I54" i="54" s="1"/>
  <c r="S39" i="53" a="1"/>
  <c r="S39" s="1"/>
  <c r="I17" i="54" s="1"/>
  <c r="S56" i="53" a="1"/>
  <c r="S56" s="1"/>
  <c r="I34" i="54" s="1"/>
  <c r="S59" i="53" a="1"/>
  <c r="S59" s="1"/>
  <c r="I37" i="54" s="1"/>
  <c r="S92" i="53" a="1"/>
  <c r="S92" s="1"/>
  <c r="I70" i="54" s="1"/>
  <c r="S81" i="53" a="1"/>
  <c r="S81" s="1"/>
  <c r="I59" i="54" s="1"/>
  <c r="S82" i="53" a="1"/>
  <c r="S82" s="1"/>
  <c r="I60" i="54" s="1"/>
  <c r="S88" i="53" a="1"/>
  <c r="S88" s="1"/>
  <c r="I66" i="54" s="1"/>
  <c r="S85" i="53" a="1"/>
  <c r="S85" s="1"/>
  <c r="I63" i="54" s="1"/>
  <c r="S51" i="53" a="1"/>
  <c r="S51" s="1"/>
  <c r="I29" i="54" s="1"/>
  <c r="S89" i="53" a="1"/>
  <c r="S89" s="1"/>
  <c r="I67" i="54" s="1"/>
  <c r="S101" i="53" a="1"/>
  <c r="S101" s="1"/>
  <c r="I79" i="54" s="1"/>
  <c r="S66" i="53" a="1"/>
  <c r="S66" s="1"/>
  <c r="I44" i="54" s="1"/>
  <c r="S70" i="53" a="1"/>
  <c r="S70" s="1"/>
  <c r="I48" i="54" s="1"/>
  <c r="S34" i="53" a="1"/>
  <c r="S34" s="1"/>
  <c r="I12" i="54" s="1"/>
  <c r="S104" i="53" a="1"/>
  <c r="S104" s="1"/>
  <c r="I82" i="54" s="1"/>
  <c r="S29" i="53" a="1"/>
  <c r="S29" s="1"/>
  <c r="I7" i="54" s="1"/>
  <c r="S94" i="53" a="1"/>
  <c r="S94" s="1"/>
  <c r="I72" i="54" s="1"/>
  <c r="S72" i="53" a="1"/>
  <c r="S72" s="1"/>
  <c r="I50" i="54" s="1"/>
  <c r="S80" i="53" a="1"/>
  <c r="S80" s="1"/>
  <c r="I58" i="54" s="1"/>
  <c r="S57" i="53" a="1"/>
  <c r="S57" s="1"/>
  <c r="I35" i="54" s="1"/>
  <c r="S67" i="53" a="1"/>
  <c r="S67" s="1"/>
  <c r="I45" i="54" s="1"/>
  <c r="S95" i="53" a="1"/>
  <c r="S95" s="1"/>
  <c r="I73" i="54" s="1"/>
  <c r="S110" i="53" a="1"/>
  <c r="S110" s="1"/>
  <c r="I88" i="54" s="1"/>
  <c r="S43" i="53" a="1"/>
  <c r="S43" s="1"/>
  <c r="I21" i="54" s="1"/>
  <c r="S102" i="53" a="1"/>
  <c r="S102" s="1"/>
  <c r="I80" i="54" s="1"/>
  <c r="S71" i="53" a="1"/>
  <c r="S71" s="1"/>
  <c r="I49" i="54" s="1"/>
  <c r="S30" i="53" a="1"/>
  <c r="S30" s="1"/>
  <c r="I8" i="54" s="1"/>
  <c r="S53" i="53" a="1"/>
  <c r="S53" s="1"/>
  <c r="I31" i="54" s="1"/>
  <c r="S61" i="53" a="1"/>
  <c r="S61" s="1"/>
  <c r="I39" i="54" s="1"/>
  <c r="S41" i="53" a="1"/>
  <c r="S41" s="1"/>
  <c r="I19" i="54" s="1"/>
  <c r="S36" i="53" a="1"/>
  <c r="S36" s="1"/>
  <c r="I14" i="54" s="1"/>
  <c r="S54" i="53" a="1"/>
  <c r="S54" s="1"/>
  <c r="I32" i="54" s="1"/>
  <c r="S37" i="53" a="1"/>
  <c r="S37" s="1"/>
  <c r="I15" i="54" s="1"/>
  <c r="S33" i="53" a="1"/>
  <c r="S33" s="1"/>
  <c r="I11" i="54" s="1"/>
  <c r="S86" i="53" a="1"/>
  <c r="S86" s="1"/>
  <c r="I64" i="54" s="1"/>
  <c r="S58" i="53" a="1"/>
  <c r="S58" s="1"/>
  <c r="I36" i="54" s="1"/>
  <c r="S73" i="53" a="1"/>
  <c r="S73" s="1"/>
  <c r="I51" i="54" s="1"/>
  <c r="S91" i="53" a="1"/>
  <c r="S91" s="1"/>
  <c r="I69" i="54" s="1"/>
  <c r="S65" i="53" a="1"/>
  <c r="S65" s="1"/>
  <c r="I43" i="54" s="1"/>
  <c r="S68" i="53" a="1"/>
  <c r="S68" s="1"/>
  <c r="I46" i="54" s="1"/>
  <c r="S64" i="53" a="1"/>
  <c r="S64" s="1"/>
  <c r="I42" i="54" s="1"/>
  <c r="S87" i="53" a="1"/>
  <c r="S87" s="1"/>
  <c r="I65" i="54" s="1"/>
  <c r="S69" i="53" a="1"/>
  <c r="S69" s="1"/>
  <c r="I47" i="54" s="1"/>
  <c r="S84" i="53" a="1"/>
  <c r="S84" s="1"/>
  <c r="I62" i="54" s="1"/>
  <c r="S75" i="53" a="1"/>
  <c r="S75" s="1"/>
  <c r="I53" i="54" s="1"/>
  <c r="S32" i="53" a="1"/>
  <c r="S32" s="1"/>
  <c r="I10" i="54" s="1"/>
  <c r="S55" i="53" a="1"/>
  <c r="S55" s="1"/>
  <c r="I33" i="54" s="1"/>
  <c r="S31" i="53" a="1"/>
  <c r="S31" s="1"/>
  <c r="I9" i="54" s="1"/>
  <c r="S105" i="53" a="1"/>
  <c r="S105" s="1"/>
  <c r="I83" i="54" s="1"/>
  <c r="S90" i="53" a="1"/>
  <c r="S90" s="1"/>
  <c r="I68" i="54" s="1"/>
  <c r="S48" i="53" a="1"/>
  <c r="S48" s="1"/>
  <c r="I26" i="54" s="1"/>
  <c r="S96" i="53" a="1"/>
  <c r="S96" s="1"/>
  <c r="I74" i="54" s="1"/>
  <c r="S109" i="53" a="1"/>
  <c r="S109" s="1"/>
  <c r="I87" i="54" s="1"/>
  <c r="EY31" i="55"/>
  <c r="J210" i="53"/>
  <c r="AU203" i="1" l="1"/>
  <c r="D205" i="52"/>
  <c r="I205" s="1"/>
  <c r="AS204" i="1"/>
  <c r="J211" i="53"/>
  <c r="EY32" i="55"/>
  <c r="AS205" i="1" l="1"/>
  <c r="D206" i="52"/>
  <c r="I206" s="1"/>
  <c r="AU204" i="1"/>
  <c r="EZ3" i="55"/>
  <c r="J212" i="53"/>
  <c r="D207" i="52" l="1"/>
  <c r="I207" s="1"/>
  <c r="AS206" i="1"/>
  <c r="AU205"/>
  <c r="EZ4" i="55"/>
  <c r="J213" i="53"/>
  <c r="AS207" i="1" l="1"/>
  <c r="AU206"/>
  <c r="D208" i="52"/>
  <c r="I208" s="1"/>
  <c r="J214" i="53"/>
  <c r="EZ5" i="55"/>
  <c r="AS208" i="1" l="1"/>
  <c r="D209" i="52"/>
  <c r="I209" s="1"/>
  <c r="AU207" i="1"/>
  <c r="EZ6" i="55"/>
  <c r="J215" i="53"/>
  <c r="AU208" i="1" l="1"/>
  <c r="AS209"/>
  <c r="D210" i="52"/>
  <c r="I210" s="1"/>
  <c r="EZ7" i="55"/>
  <c r="J216" i="53"/>
  <c r="AS210" i="1" l="1"/>
  <c r="D211" i="52"/>
  <c r="I211" s="1"/>
  <c r="AU209" i="1"/>
  <c r="EZ8" i="55"/>
  <c r="J217" i="53"/>
  <c r="AU210" i="1" l="1"/>
  <c r="AS211"/>
  <c r="D212" i="52"/>
  <c r="I212" s="1"/>
  <c r="EZ9" i="55"/>
  <c r="J218" i="53"/>
  <c r="AU211" i="1" l="1"/>
  <c r="D213" i="52"/>
  <c r="I213" s="1"/>
  <c r="AS212" i="1"/>
  <c r="J219" i="53"/>
  <c r="EZ10" i="55"/>
  <c r="AS213" i="1" l="1"/>
  <c r="AU212"/>
  <c r="D214" i="52"/>
  <c r="I214" s="1"/>
  <c r="EZ11" i="55"/>
  <c r="J220" i="53"/>
  <c r="AU213" i="1" l="1"/>
  <c r="AS214"/>
  <c r="D215" i="52"/>
  <c r="I215" s="1"/>
  <c r="J221" i="53"/>
  <c r="EZ12" i="55"/>
  <c r="AU214" i="1" l="1"/>
  <c r="AS215"/>
  <c r="D216" i="52"/>
  <c r="I216" s="1"/>
  <c r="J222" i="53"/>
  <c r="EZ13" i="55"/>
  <c r="AS216" i="1" l="1"/>
  <c r="D217" i="52"/>
  <c r="I217" s="1"/>
  <c r="AU215" i="1"/>
  <c r="EZ14" i="55"/>
  <c r="J223" i="53"/>
  <c r="D218" i="52" l="1"/>
  <c r="I218" s="1"/>
  <c r="AS217" i="1"/>
  <c r="AU216"/>
  <c r="EZ15" i="55"/>
  <c r="J224" i="53"/>
  <c r="AU217" i="1" l="1"/>
  <c r="AS218"/>
  <c r="D219" i="52"/>
  <c r="I219" s="1"/>
  <c r="EZ16" i="55"/>
  <c r="J225" i="53"/>
  <c r="AU218" i="1" l="1"/>
  <c r="AS219"/>
  <c r="D220" i="52"/>
  <c r="I220" s="1"/>
  <c r="EZ17" i="55"/>
  <c r="J226" i="53"/>
  <c r="AS220" i="1" l="1"/>
  <c r="AU219"/>
  <c r="D221" i="52"/>
  <c r="I221" s="1"/>
  <c r="EZ18" i="55"/>
  <c r="J227" i="53"/>
  <c r="D222" i="52" l="1"/>
  <c r="I222" s="1"/>
  <c r="AU220" i="1"/>
  <c r="AS221"/>
  <c r="J228" i="53"/>
  <c r="EZ19" i="55"/>
  <c r="AS222" i="1" l="1"/>
  <c r="D223" i="52"/>
  <c r="I223" s="1"/>
  <c r="AU221" i="1"/>
  <c r="EZ20" i="55"/>
  <c r="J229" i="53"/>
  <c r="AU222" i="1" l="1"/>
  <c r="D224" i="52"/>
  <c r="I224" s="1"/>
  <c r="AS223" i="1"/>
  <c r="J230" i="53"/>
  <c r="EZ21" i="55"/>
  <c r="AU223" i="1" l="1"/>
  <c r="D225" i="52"/>
  <c r="I225" s="1"/>
  <c r="AS224" i="1"/>
  <c r="EZ22" i="55"/>
  <c r="J231" i="53"/>
  <c r="AU224" i="1" l="1"/>
  <c r="AS225"/>
  <c r="D226" i="52"/>
  <c r="I226" s="1"/>
  <c r="J232" i="53"/>
  <c r="EZ23" i="55"/>
  <c r="AU225" i="1" l="1"/>
  <c r="AS226"/>
  <c r="D227" i="52"/>
  <c r="I227" s="1"/>
  <c r="EZ24" i="55"/>
  <c r="J233" i="53"/>
  <c r="AU226" i="1" l="1"/>
  <c r="D228" i="52"/>
  <c r="I228" s="1"/>
  <c r="AS227" i="1"/>
  <c r="J234" i="53"/>
  <c r="EZ25" i="55"/>
  <c r="D229" i="52" l="1"/>
  <c r="I229" s="1"/>
  <c r="AU227" i="1"/>
  <c r="AS228"/>
  <c r="J235" i="53"/>
  <c r="EZ26" i="55"/>
  <c r="D230" i="52" l="1"/>
  <c r="I230" s="1"/>
  <c r="AS229" i="1"/>
  <c r="AU228"/>
  <c r="EZ27" i="55"/>
  <c r="J236" i="53"/>
  <c r="AU229" i="1" l="1"/>
  <c r="D231" i="52"/>
  <c r="I231" s="1"/>
  <c r="AS230" i="1"/>
  <c r="EZ28" i="55"/>
  <c r="J237" i="53"/>
  <c r="D232" i="52" l="1"/>
  <c r="I232" s="1"/>
  <c r="AS231" i="1"/>
  <c r="AU230"/>
  <c r="EZ29" i="55"/>
  <c r="J238" i="53"/>
  <c r="AU231" i="1" l="1"/>
  <c r="D233" i="52"/>
  <c r="I233" s="1"/>
  <c r="AS232" i="1"/>
  <c r="EZ30" i="55"/>
  <c r="J239" i="53"/>
  <c r="AU232" i="1" l="1"/>
  <c r="AS233"/>
  <c r="D234" i="52"/>
  <c r="I234" s="1"/>
  <c r="J240" i="53"/>
  <c r="EZ31" i="55"/>
  <c r="AU233" i="1" l="1"/>
  <c r="D235" i="52"/>
  <c r="I235" s="1"/>
  <c r="AS234" i="1"/>
  <c r="EZ32" i="55"/>
  <c r="J241" i="53"/>
  <c r="D236" i="52" l="1"/>
  <c r="I236" s="1"/>
  <c r="AU234" i="1"/>
  <c r="AS235"/>
  <c r="J242" i="53"/>
  <c r="EZ33" i="55"/>
  <c r="D237" i="52" l="1"/>
  <c r="I237" s="1"/>
  <c r="AU235" i="1"/>
  <c r="AS236"/>
  <c r="FA3" i="55"/>
  <c r="J243" i="53"/>
  <c r="AS237" i="1" l="1"/>
  <c r="D238" i="52"/>
  <c r="I238" s="1"/>
  <c r="AU236" i="1"/>
  <c r="J244" i="53"/>
  <c r="FA4" i="55"/>
  <c r="AU237" i="1" l="1"/>
  <c r="AS238"/>
  <c r="D239" i="52"/>
  <c r="I239" s="1"/>
  <c r="FA5" i="55"/>
  <c r="J245" i="53"/>
  <c r="AS239" i="1" l="1"/>
  <c r="D240" i="52"/>
  <c r="I240" s="1"/>
  <c r="AU238" i="1"/>
  <c r="FA6" i="55"/>
  <c r="J246" i="53"/>
  <c r="AU239" i="1" l="1"/>
  <c r="AS240"/>
  <c r="D241" i="52"/>
  <c r="I241" s="1"/>
  <c r="FA7" i="55"/>
  <c r="J247" i="53"/>
  <c r="AU240" i="1" l="1"/>
  <c r="D242" i="52"/>
  <c r="I242" s="1"/>
  <c r="AS241" i="1"/>
  <c r="J248" i="53"/>
  <c r="FA8" i="55"/>
  <c r="AU241" i="1" l="1"/>
  <c r="D243" i="52"/>
  <c r="I243" s="1"/>
  <c r="AS242" i="1"/>
  <c r="FA9" i="55"/>
  <c r="J249" i="53"/>
  <c r="AS342" i="1"/>
  <c r="AU242" l="1"/>
  <c r="D244" i="52"/>
  <c r="I244" s="1"/>
  <c r="AS243" i="1"/>
  <c r="FA10" i="55"/>
  <c r="J250" i="53"/>
  <c r="D344" i="52"/>
  <c r="I344" s="1"/>
  <c r="AU342" i="1"/>
  <c r="AS343"/>
  <c r="J349" i="53"/>
  <c r="D245" i="52" l="1"/>
  <c r="I245" s="1"/>
  <c r="AU243" i="1"/>
  <c r="AS244"/>
  <c r="FA11" i="55"/>
  <c r="J251" i="53"/>
  <c r="AU343" i="1"/>
  <c r="D345" i="52"/>
  <c r="I345" s="1"/>
  <c r="AS344" i="1"/>
  <c r="FD18" i="55"/>
  <c r="J350" i="53"/>
  <c r="AU244" i="1" l="1"/>
  <c r="AS245"/>
  <c r="D246" i="52"/>
  <c r="I246" s="1"/>
  <c r="FA12" i="55"/>
  <c r="J252" i="53"/>
  <c r="AU344" i="1"/>
  <c r="D346" i="52"/>
  <c r="I346" s="1"/>
  <c r="AS345" i="1"/>
  <c r="FD19" i="55"/>
  <c r="J351" i="53"/>
  <c r="D247" i="52" l="1"/>
  <c r="I247" s="1"/>
  <c r="AS246" i="1"/>
  <c r="AU245"/>
  <c r="FA13" i="55"/>
  <c r="J253" i="53"/>
  <c r="AU345" i="1"/>
  <c r="D347" i="52"/>
  <c r="I347" s="1"/>
  <c r="AS346" i="1"/>
  <c r="FD20" i="55"/>
  <c r="J352" i="53"/>
  <c r="D248" i="52" l="1"/>
  <c r="I248" s="1"/>
  <c r="AS247" i="1"/>
  <c r="AU246"/>
  <c r="FA14" i="55"/>
  <c r="J254" i="53"/>
  <c r="AU346" i="1"/>
  <c r="D348" i="52"/>
  <c r="I348" s="1"/>
  <c r="AS347" i="1"/>
  <c r="FD21" i="55"/>
  <c r="J353" i="53"/>
  <c r="AS248" i="1" l="1"/>
  <c r="D249" i="52"/>
  <c r="I249" s="1"/>
  <c r="AU247" i="1"/>
  <c r="FA15" i="55"/>
  <c r="J255" i="53"/>
  <c r="D349" i="52"/>
  <c r="I349" s="1"/>
  <c r="AU347" i="1"/>
  <c r="AS348"/>
  <c r="FD22" i="55"/>
  <c r="J354" i="53"/>
  <c r="AS249" i="1" l="1"/>
  <c r="D250" i="52"/>
  <c r="I250" s="1"/>
  <c r="AU248" i="1"/>
  <c r="FA16" i="55"/>
  <c r="J256" i="53"/>
  <c r="D350" i="52"/>
  <c r="I350" s="1"/>
  <c r="AU348" i="1"/>
  <c r="AS349"/>
  <c r="FD23" i="55"/>
  <c r="J355" i="53"/>
  <c r="AU249" i="1" l="1"/>
  <c r="D251" i="52"/>
  <c r="I251" s="1"/>
  <c r="AS250" i="1"/>
  <c r="FA17" i="55"/>
  <c r="J257" i="53"/>
  <c r="D351" i="52"/>
  <c r="I351" s="1"/>
  <c r="AU349" i="1"/>
  <c r="AS350"/>
  <c r="FD24" i="55"/>
  <c r="J356" i="53"/>
  <c r="AU250" i="1" l="1"/>
  <c r="D252" i="52"/>
  <c r="I252" s="1"/>
  <c r="AS251" i="1"/>
  <c r="FA18" i="55"/>
  <c r="J258" i="53"/>
  <c r="D352" i="52"/>
  <c r="I352" s="1"/>
  <c r="AU350" i="1"/>
  <c r="AS351"/>
  <c r="FD25" i="55"/>
  <c r="J357" i="53"/>
  <c r="AS252" i="1" l="1"/>
  <c r="AU251"/>
  <c r="D253" i="52"/>
  <c r="I253" s="1"/>
  <c r="FA19" i="55"/>
  <c r="J259" i="53"/>
  <c r="AS296" i="1"/>
  <c r="D353" i="52"/>
  <c r="I353" s="1"/>
  <c r="AU351" i="1"/>
  <c r="AS352"/>
  <c r="FD26" i="55"/>
  <c r="J358" i="53"/>
  <c r="AS253" i="1" l="1"/>
  <c r="D254" i="52"/>
  <c r="I254" s="1"/>
  <c r="AU252" i="1"/>
  <c r="FA20" i="55"/>
  <c r="J260" i="53"/>
  <c r="AU296" i="1"/>
  <c r="AS297"/>
  <c r="D298" i="52"/>
  <c r="I298" s="1"/>
  <c r="AU352" i="1"/>
  <c r="D354" i="52"/>
  <c r="I354" s="1"/>
  <c r="AS353" i="1"/>
  <c r="FD27" i="55"/>
  <c r="J359" i="53"/>
  <c r="D255" i="52" l="1"/>
  <c r="I255" s="1"/>
  <c r="AS254" i="1"/>
  <c r="AU253"/>
  <c r="FA21" i="55"/>
  <c r="J261" i="53"/>
  <c r="AU297" i="1"/>
  <c r="AS298"/>
  <c r="D299" i="52"/>
  <c r="I299" s="1"/>
  <c r="D355"/>
  <c r="I355" s="1"/>
  <c r="AU353" i="1"/>
  <c r="AS354"/>
  <c r="FD28" i="55"/>
  <c r="J360" i="53"/>
  <c r="AS255" i="1" l="1"/>
  <c r="D256" i="52"/>
  <c r="I256" s="1"/>
  <c r="AU254" i="1"/>
  <c r="J262" i="53"/>
  <c r="FA22" i="55"/>
  <c r="AU298" i="1"/>
  <c r="AS299"/>
  <c r="D300" i="52"/>
  <c r="I300" s="1"/>
  <c r="AU354" i="1"/>
  <c r="D356" i="52"/>
  <c r="I356" s="1"/>
  <c r="AS355" i="1"/>
  <c r="FD29" i="55"/>
  <c r="J361" i="53"/>
  <c r="D257" i="52" l="1"/>
  <c r="I257" s="1"/>
  <c r="AU255" i="1"/>
  <c r="AS256"/>
  <c r="J263" i="53"/>
  <c r="FA23" i="55"/>
  <c r="AS300" i="1"/>
  <c r="AU299"/>
  <c r="D301" i="52"/>
  <c r="I301" s="1"/>
  <c r="AU355" i="1"/>
  <c r="D357" i="52"/>
  <c r="I357" s="1"/>
  <c r="AS356" i="1"/>
  <c r="FD30" i="55"/>
  <c r="J362" i="53"/>
  <c r="AS257" i="1" l="1"/>
  <c r="AU256"/>
  <c r="D258" i="52"/>
  <c r="I258" s="1"/>
  <c r="FA24" i="55"/>
  <c r="J264" i="53"/>
  <c r="AU300" i="1"/>
  <c r="AS301"/>
  <c r="D302" i="52"/>
  <c r="I302" s="1"/>
  <c r="D358"/>
  <c r="I358" s="1"/>
  <c r="AU356" i="1"/>
  <c r="AS357"/>
  <c r="FD31" i="55"/>
  <c r="J363" i="53"/>
  <c r="D259" i="52" l="1"/>
  <c r="I259" s="1"/>
  <c r="AS258" i="1"/>
  <c r="AU257"/>
  <c r="J265" i="53"/>
  <c r="FA25" i="55"/>
  <c r="D303" i="52"/>
  <c r="I303" s="1"/>
  <c r="AU301" i="1"/>
  <c r="AS302"/>
  <c r="AU357"/>
  <c r="D359" i="52"/>
  <c r="I359" s="1"/>
  <c r="AS358" i="1"/>
  <c r="FD32" i="55"/>
  <c r="J364" i="53"/>
  <c r="AS259" i="1" l="1"/>
  <c r="D260" i="52"/>
  <c r="I260" s="1"/>
  <c r="AU258" i="1"/>
  <c r="J266" i="53"/>
  <c r="FA26" i="55"/>
  <c r="D304" i="52"/>
  <c r="I304" s="1"/>
  <c r="AU302" i="1"/>
  <c r="AS303"/>
  <c r="AU358"/>
  <c r="D360" i="52"/>
  <c r="I360" s="1"/>
  <c r="AS359" i="1"/>
  <c r="FE3" i="55"/>
  <c r="J365" i="53"/>
  <c r="AU259" i="1" l="1"/>
  <c r="D261" i="52"/>
  <c r="I261" s="1"/>
  <c r="AS260" i="1"/>
  <c r="J267" i="53"/>
  <c r="FA27" i="55"/>
  <c r="D305" i="52"/>
  <c r="I305" s="1"/>
  <c r="AU303" i="1"/>
  <c r="AS304"/>
  <c r="D361" i="52"/>
  <c r="I361" s="1"/>
  <c r="AU359" i="1"/>
  <c r="AS360"/>
  <c r="FE4" i="55"/>
  <c r="J366" i="53"/>
  <c r="AS261" i="1" l="1"/>
  <c r="AU260"/>
  <c r="D262" i="52"/>
  <c r="I262" s="1"/>
  <c r="J268" i="53"/>
  <c r="FA28" i="55"/>
  <c r="AU304" i="1"/>
  <c r="D306" i="52"/>
  <c r="I306" s="1"/>
  <c r="AS305" i="1"/>
  <c r="AU360"/>
  <c r="D362" i="52"/>
  <c r="I362" s="1"/>
  <c r="AS361" i="1"/>
  <c r="FE5" i="55"/>
  <c r="J367" i="53"/>
  <c r="D263" i="52" l="1"/>
  <c r="I263" s="1"/>
  <c r="AU261" i="1"/>
  <c r="AS262"/>
  <c r="J269" i="53"/>
  <c r="FA29" i="55"/>
  <c r="AU305" i="1"/>
  <c r="AS306"/>
  <c r="D307" i="52"/>
  <c r="I307" s="1"/>
  <c r="D363"/>
  <c r="I363" s="1"/>
  <c r="AU361" i="1"/>
  <c r="AS362"/>
  <c r="FE6" i="55"/>
  <c r="J368" i="53"/>
  <c r="D264" i="52" l="1"/>
  <c r="I264" s="1"/>
  <c r="AU262" i="1"/>
  <c r="AS263"/>
  <c r="FA30" i="55"/>
  <c r="J270" i="53"/>
  <c r="AU306" i="1"/>
  <c r="D308" i="52"/>
  <c r="I308" s="1"/>
  <c r="AS307" i="1"/>
  <c r="AU362"/>
  <c r="D364" i="52"/>
  <c r="I364" s="1"/>
  <c r="AS363" i="1"/>
  <c r="FE7" i="55"/>
  <c r="J369" i="53"/>
  <c r="D265" i="52" l="1"/>
  <c r="I265" s="1"/>
  <c r="AU263" i="1"/>
  <c r="AS264"/>
  <c r="FA31" i="55"/>
  <c r="J271" i="53"/>
  <c r="AS308" i="1"/>
  <c r="AU307"/>
  <c r="D309" i="52"/>
  <c r="I309" s="1"/>
  <c r="AU363" i="1"/>
  <c r="D365" i="52"/>
  <c r="I365" s="1"/>
  <c r="AS364" i="1"/>
  <c r="FE8" i="55"/>
  <c r="J370" i="53"/>
  <c r="AS265" i="1" l="1"/>
  <c r="D266" i="52"/>
  <c r="I266" s="1"/>
  <c r="AU264" i="1"/>
  <c r="J272" i="53"/>
  <c r="FA32" i="55"/>
  <c r="AU308" i="1"/>
  <c r="AS309"/>
  <c r="D310" i="52"/>
  <c r="I310" s="1"/>
  <c r="AU364" i="1"/>
  <c r="D366" i="52"/>
  <c r="I366" s="1"/>
  <c r="AS365" i="1"/>
  <c r="FE9" i="55"/>
  <c r="J371" i="53"/>
  <c r="D267" i="52" l="1"/>
  <c r="I267" s="1"/>
  <c r="AU265" i="1"/>
  <c r="AS266"/>
  <c r="J273" i="53"/>
  <c r="FA33" i="55"/>
  <c r="AU309" i="1"/>
  <c r="D311" i="52"/>
  <c r="I311" s="1"/>
  <c r="AS310" i="1"/>
  <c r="AS311" s="1"/>
  <c r="AU365"/>
  <c r="D367" i="52"/>
  <c r="I367" s="1"/>
  <c r="AS366" i="1"/>
  <c r="FE10" i="55"/>
  <c r="J372" i="53"/>
  <c r="D268" i="52" l="1"/>
  <c r="I268" s="1"/>
  <c r="AS267" i="1"/>
  <c r="AU266"/>
  <c r="D313" i="52"/>
  <c r="AS312" i="1"/>
  <c r="AU311"/>
  <c r="FB3" i="55"/>
  <c r="J274" i="53"/>
  <c r="AU310" i="1"/>
  <c r="D312" i="52"/>
  <c r="I312" s="1"/>
  <c r="AU366" i="1"/>
  <c r="D368" i="52"/>
  <c r="I368" s="1"/>
  <c r="AS367" i="1"/>
  <c r="FE11" i="55"/>
  <c r="J373" i="53"/>
  <c r="D269" i="52" l="1"/>
  <c r="I269" s="1"/>
  <c r="AS268" i="1"/>
  <c r="AU267"/>
  <c r="D314" i="52"/>
  <c r="AS313" i="1"/>
  <c r="AU312"/>
  <c r="J275" i="53"/>
  <c r="FB4" i="55"/>
  <c r="I313" i="52"/>
  <c r="AU367" i="1"/>
  <c r="D369" i="52"/>
  <c r="I369" s="1"/>
  <c r="AS368" i="1"/>
  <c r="FE12" i="55"/>
  <c r="J374" i="53"/>
  <c r="D270" i="52" l="1"/>
  <c r="I270" s="1"/>
  <c r="AS269" i="1"/>
  <c r="AU268"/>
  <c r="FB5" i="55"/>
  <c r="J276" i="53"/>
  <c r="D315" i="52"/>
  <c r="AS314" i="1"/>
  <c r="AU313"/>
  <c r="I314" i="52"/>
  <c r="D370"/>
  <c r="I370" s="1"/>
  <c r="AU368" i="1"/>
  <c r="AS369"/>
  <c r="FE13" i="55"/>
  <c r="J375" i="53"/>
  <c r="D271" i="52" l="1"/>
  <c r="I271" s="1"/>
  <c r="AU269" i="1"/>
  <c r="AS270"/>
  <c r="D316" i="52"/>
  <c r="AS315" i="1"/>
  <c r="AU314"/>
  <c r="I315" i="52"/>
  <c r="FB6" i="55"/>
  <c r="J277" i="53"/>
  <c r="AU369" i="1"/>
  <c r="D371" i="52"/>
  <c r="I371" s="1"/>
  <c r="AS370" i="1"/>
  <c r="FE14" i="55"/>
  <c r="J376" i="53"/>
  <c r="AS271" i="1" l="1"/>
  <c r="D272" i="52"/>
  <c r="I272" s="1"/>
  <c r="AU270" i="1"/>
  <c r="D317" i="52"/>
  <c r="AS316" i="1"/>
  <c r="AU315"/>
  <c r="FB7" i="55"/>
  <c r="J278" i="53"/>
  <c r="I316" i="52"/>
  <c r="D372"/>
  <c r="I372" s="1"/>
  <c r="AU370" i="1"/>
  <c r="AS371"/>
  <c r="FE15" i="55"/>
  <c r="J377" i="53"/>
  <c r="AS272" i="1" l="1"/>
  <c r="D273" i="52"/>
  <c r="I273" s="1"/>
  <c r="AU271" i="1"/>
  <c r="D318" i="52"/>
  <c r="AS317" i="1"/>
  <c r="AU316"/>
  <c r="FB8" i="55"/>
  <c r="J279" i="53"/>
  <c r="I317" i="52"/>
  <c r="AU371" i="1"/>
  <c r="D373" i="52"/>
  <c r="I373" s="1"/>
  <c r="AS372" i="1"/>
  <c r="FE16" i="55"/>
  <c r="J378" i="53"/>
  <c r="AS273" i="1" l="1"/>
  <c r="AU272"/>
  <c r="D274" i="52"/>
  <c r="I274" s="1"/>
  <c r="AU317" i="1"/>
  <c r="AS318"/>
  <c r="D319" i="52"/>
  <c r="FB9" i="55"/>
  <c r="J280" i="53"/>
  <c r="I318" i="52"/>
  <c r="AU372" i="1"/>
  <c r="D374" i="52"/>
  <c r="I374" s="1"/>
  <c r="AS373" i="1"/>
  <c r="FE17" i="55"/>
  <c r="J379" i="53"/>
  <c r="AS274" i="1" l="1"/>
  <c r="D275" i="52"/>
  <c r="I275" s="1"/>
  <c r="AU273" i="1"/>
  <c r="I319" i="52"/>
  <c r="D320"/>
  <c r="I320" s="1"/>
  <c r="AS319" i="1"/>
  <c r="AU318"/>
  <c r="FB10" i="55"/>
  <c r="J281" i="53"/>
  <c r="D375" i="52"/>
  <c r="I375" s="1"/>
  <c r="AU373" i="1"/>
  <c r="AS374"/>
  <c r="FE18" i="55"/>
  <c r="J380" i="53"/>
  <c r="D276" i="52" l="1"/>
  <c r="I276" s="1"/>
  <c r="AU274" i="1"/>
  <c r="AS275"/>
  <c r="AU319"/>
  <c r="D321" i="52"/>
  <c r="I321" s="1"/>
  <c r="AS320" i="1"/>
  <c r="J282" i="53"/>
  <c r="FB11" i="55"/>
  <c r="AU374" i="1"/>
  <c r="D376" i="52"/>
  <c r="I376" s="1"/>
  <c r="AS375" i="1"/>
  <c r="FE19" i="55"/>
  <c r="J381" i="53"/>
  <c r="AS276" i="1" l="1"/>
  <c r="D277" i="52"/>
  <c r="I277" s="1"/>
  <c r="AU275" i="1"/>
  <c r="D322" i="52"/>
  <c r="I322" s="1"/>
  <c r="AS321" i="1"/>
  <c r="AU320"/>
  <c r="J283" i="53"/>
  <c r="FB12" i="55"/>
  <c r="AU375" i="1"/>
  <c r="D377" i="52"/>
  <c r="I377" s="1"/>
  <c r="AS376" i="1"/>
  <c r="FE20" i="55"/>
  <c r="J382" i="53"/>
  <c r="AS277" i="1" l="1"/>
  <c r="D278" i="52"/>
  <c r="I278" s="1"/>
  <c r="AU276" i="1"/>
  <c r="FB13" i="55"/>
  <c r="J284" i="53"/>
  <c r="D323" i="52"/>
  <c r="I323" s="1"/>
  <c r="AS322" i="1"/>
  <c r="AU321"/>
  <c r="D378" i="52"/>
  <c r="I378" s="1"/>
  <c r="AU376" i="1"/>
  <c r="AS377"/>
  <c r="FE21" i="55"/>
  <c r="J383" i="53"/>
  <c r="D279" i="52" l="1"/>
  <c r="I279" s="1"/>
  <c r="AU277" i="1"/>
  <c r="AS278"/>
  <c r="FB14" i="55"/>
  <c r="J285" i="53"/>
  <c r="D324" i="52"/>
  <c r="I324" s="1"/>
  <c r="AU322" i="1"/>
  <c r="AS323"/>
  <c r="AU377"/>
  <c r="D379" i="52"/>
  <c r="I379" s="1"/>
  <c r="AS378" i="1"/>
  <c r="FE22" i="55"/>
  <c r="J384" i="53"/>
  <c r="AS279" i="1" l="1"/>
  <c r="D280" i="52"/>
  <c r="I280" s="1"/>
  <c r="AU278" i="1"/>
  <c r="FB15" i="55"/>
  <c r="J286" i="53"/>
  <c r="D325" i="52"/>
  <c r="I325" s="1"/>
  <c r="AU323" i="1"/>
  <c r="AS324"/>
  <c r="D380" i="52"/>
  <c r="I380" s="1"/>
  <c r="AU378" i="1"/>
  <c r="AS379"/>
  <c r="FE23" i="55"/>
  <c r="J385" i="53"/>
  <c r="AS280" i="1" l="1"/>
  <c r="D281" i="52"/>
  <c r="I281" s="1"/>
  <c r="AU279" i="1"/>
  <c r="FB16" i="55"/>
  <c r="J287" i="53"/>
  <c r="D326" i="52"/>
  <c r="I326" s="1"/>
  <c r="AS325" i="1"/>
  <c r="AU324"/>
  <c r="AU379"/>
  <c r="D381" i="52"/>
  <c r="I381" s="1"/>
  <c r="AS380" i="1"/>
  <c r="FE24" i="55"/>
  <c r="J386" i="53"/>
  <c r="AS281" i="1" l="1"/>
  <c r="D282" i="52"/>
  <c r="I282" s="1"/>
  <c r="AU280" i="1"/>
  <c r="FB17" i="55"/>
  <c r="J288" i="53"/>
  <c r="D327" i="52"/>
  <c r="I327" s="1"/>
  <c r="AS326" i="1"/>
  <c r="AU325"/>
  <c r="AU380"/>
  <c r="D382" i="52"/>
  <c r="I382" s="1"/>
  <c r="AS381" i="1"/>
  <c r="FE25" i="55"/>
  <c r="J387" i="53"/>
  <c r="AU281" i="1" l="1"/>
  <c r="D283" i="52"/>
  <c r="I283" s="1"/>
  <c r="AS282" i="1"/>
  <c r="J289" i="53"/>
  <c r="FB18" i="55"/>
  <c r="D328" i="52"/>
  <c r="I328" s="1"/>
  <c r="AS327" i="1"/>
  <c r="AU326"/>
  <c r="AU381"/>
  <c r="D383" i="52"/>
  <c r="I383" s="1"/>
  <c r="AS382" i="1"/>
  <c r="FE26" i="55"/>
  <c r="J388" i="53"/>
  <c r="AS283" i="1" l="1"/>
  <c r="D284" i="52"/>
  <c r="I284" s="1"/>
  <c r="AU282" i="1"/>
  <c r="D329" i="52"/>
  <c r="I329" s="1"/>
  <c r="AS328" i="1"/>
  <c r="AU327"/>
  <c r="FB19" i="55"/>
  <c r="J290" i="53"/>
  <c r="D384" i="52"/>
  <c r="I384" s="1"/>
  <c r="AU382" i="1"/>
  <c r="AS383"/>
  <c r="FE27" i="55"/>
  <c r="J389" i="53"/>
  <c r="D285" i="52" l="1"/>
  <c r="I285" s="1"/>
  <c r="AS284" i="1"/>
  <c r="AU283"/>
  <c r="D330" i="52"/>
  <c r="I330" s="1"/>
  <c r="AS329" i="1"/>
  <c r="AU328"/>
  <c r="FB20" i="55"/>
  <c r="J291" i="53"/>
  <c r="AU383" i="1"/>
  <c r="D385" i="52"/>
  <c r="I385" s="1"/>
  <c r="AS384" i="1"/>
  <c r="FE28" i="55"/>
  <c r="J390" i="53"/>
  <c r="AS285" i="1" l="1"/>
  <c r="D286" i="52"/>
  <c r="I286" s="1"/>
  <c r="AU284" i="1"/>
  <c r="D331" i="52"/>
  <c r="I331" s="1"/>
  <c r="AS330" i="1"/>
  <c r="AU329"/>
  <c r="J292" i="53"/>
  <c r="FB21" i="55"/>
  <c r="D386" i="52"/>
  <c r="I386" s="1"/>
  <c r="AU384" i="1"/>
  <c r="AS385"/>
  <c r="FE29" i="55"/>
  <c r="J391" i="53"/>
  <c r="AS286" i="1" l="1"/>
  <c r="D287" i="52"/>
  <c r="I287" s="1"/>
  <c r="AU285" i="1"/>
  <c r="FB22" i="55"/>
  <c r="J293" i="53"/>
  <c r="AU330" i="1"/>
  <c r="AS331"/>
  <c r="D332" i="52"/>
  <c r="I332" s="1"/>
  <c r="AU385" i="1"/>
  <c r="D387" i="52"/>
  <c r="I387" s="1"/>
  <c r="AS386" i="1"/>
  <c r="FE30" i="55"/>
  <c r="J392" i="53"/>
  <c r="D288" i="52" l="1"/>
  <c r="I288" s="1"/>
  <c r="AU286" i="1"/>
  <c r="AS287"/>
  <c r="D333" i="52"/>
  <c r="I333" s="1"/>
  <c r="AS332" i="1"/>
  <c r="AU331"/>
  <c r="FB23" i="55"/>
  <c r="J294" i="53"/>
  <c r="D388" i="52"/>
  <c r="I388" s="1"/>
  <c r="AU386" i="1"/>
  <c r="AS387"/>
  <c r="AS388" s="1"/>
  <c r="FE31" i="55"/>
  <c r="J393" i="53"/>
  <c r="AU287" i="1" l="1"/>
  <c r="D289" i="52"/>
  <c r="I289" s="1"/>
  <c r="AS288" i="1"/>
  <c r="D334" i="52"/>
  <c r="I334" s="1"/>
  <c r="AS333" i="1"/>
  <c r="AU332"/>
  <c r="J295" i="53"/>
  <c r="FB24" i="55"/>
  <c r="AU388" i="1"/>
  <c r="D390" i="52"/>
  <c r="AS389" i="1"/>
  <c r="D389" i="52"/>
  <c r="I389" s="1"/>
  <c r="AU387" i="1"/>
  <c r="FE32" i="55"/>
  <c r="J394" i="53"/>
  <c r="J395" s="1"/>
  <c r="AS289" i="1" l="1"/>
  <c r="D290" i="52"/>
  <c r="I290" s="1"/>
  <c r="AU288" i="1"/>
  <c r="FB25" i="55"/>
  <c r="J296" i="53"/>
  <c r="D335" i="52"/>
  <c r="I335" s="1"/>
  <c r="AS334" i="1"/>
  <c r="AU333"/>
  <c r="AU389"/>
  <c r="D391" i="52"/>
  <c r="AS390" i="1"/>
  <c r="I390" i="52"/>
  <c r="FF3" i="55"/>
  <c r="J396" i="53"/>
  <c r="FE33" i="55"/>
  <c r="AS290" i="1" l="1"/>
  <c r="AU289"/>
  <c r="D291" i="52"/>
  <c r="I291" s="1"/>
  <c r="D336"/>
  <c r="I336" s="1"/>
  <c r="AS335" i="1"/>
  <c r="AU334"/>
  <c r="J297" i="53"/>
  <c r="FB26" i="55"/>
  <c r="AU390" i="1"/>
  <c r="D392" i="52"/>
  <c r="AS391" i="1"/>
  <c r="FF4" i="55"/>
  <c r="J397" i="53"/>
  <c r="I391" i="52"/>
  <c r="AS291" i="1" l="1"/>
  <c r="D292" i="52"/>
  <c r="I292" s="1"/>
  <c r="AU290" i="1"/>
  <c r="J298" i="53"/>
  <c r="FB27" i="55"/>
  <c r="D337" i="52"/>
  <c r="I337" s="1"/>
  <c r="AS336" i="1"/>
  <c r="AU335"/>
  <c r="D393" i="52"/>
  <c r="AU391" i="1"/>
  <c r="AS392"/>
  <c r="I392" i="52"/>
  <c r="FF5" i="55"/>
  <c r="J398" i="53"/>
  <c r="AS292" i="1" l="1"/>
  <c r="AU291"/>
  <c r="D293" i="52"/>
  <c r="I293" s="1"/>
  <c r="D338"/>
  <c r="I338" s="1"/>
  <c r="AS337" i="1"/>
  <c r="AU336"/>
  <c r="J299" i="53"/>
  <c r="FB28" i="55"/>
  <c r="FF6"/>
  <c r="J399" i="53"/>
  <c r="D394" i="52"/>
  <c r="AU392" i="1"/>
  <c r="AS393"/>
  <c r="I393" i="52"/>
  <c r="AS293" i="1" l="1"/>
  <c r="AU292"/>
  <c r="D294" i="52"/>
  <c r="I294" s="1"/>
  <c r="J300" i="53"/>
  <c r="FB29" i="55"/>
  <c r="AU337" i="1"/>
  <c r="AS338"/>
  <c r="D339" i="52"/>
  <c r="I339" s="1"/>
  <c r="I394"/>
  <c r="FF7" i="55"/>
  <c r="J400" i="53"/>
  <c r="AU393" i="1"/>
  <c r="D395" i="52"/>
  <c r="I395" s="1"/>
  <c r="AS394" i="1"/>
  <c r="AS294" l="1"/>
  <c r="AU293"/>
  <c r="D295" i="52"/>
  <c r="I295" s="1"/>
  <c r="AS339" i="1"/>
  <c r="D340" i="52"/>
  <c r="I340" s="1"/>
  <c r="AU338" i="1"/>
  <c r="FB30" i="55"/>
  <c r="J301" i="53"/>
  <c r="D396" i="52"/>
  <c r="AU394" i="1"/>
  <c r="AS395"/>
  <c r="FF8" i="55"/>
  <c r="J401" i="53"/>
  <c r="D296" i="52" l="1"/>
  <c r="I296" s="1"/>
  <c r="AU294" i="1"/>
  <c r="AS295"/>
  <c r="FB31" i="55"/>
  <c r="J302" i="53"/>
  <c r="AS340" i="1"/>
  <c r="D341" i="52"/>
  <c r="I341" s="1"/>
  <c r="AU339" i="1"/>
  <c r="D397" i="52"/>
  <c r="AU395" i="1"/>
  <c r="AS396"/>
  <c r="FF9" i="55"/>
  <c r="J402" i="53"/>
  <c r="I396" i="52"/>
  <c r="AU295" i="1" l="1"/>
  <c r="D297" i="52"/>
  <c r="I297" s="1"/>
  <c r="D342"/>
  <c r="I342" s="1"/>
  <c r="AU340" i="1"/>
  <c r="AS341"/>
  <c r="FB32" i="55"/>
  <c r="J303" i="53"/>
  <c r="AU396" i="1"/>
  <c r="D398" i="52"/>
  <c r="AS397" i="1"/>
  <c r="FF10" i="55"/>
  <c r="J403" i="53"/>
  <c r="I397" i="52"/>
  <c r="D343" l="1"/>
  <c r="I343" s="1"/>
  <c r="AU341" i="1"/>
  <c r="FC3" i="55"/>
  <c r="J304" i="53"/>
  <c r="I398" i="52"/>
  <c r="D399"/>
  <c r="I399" s="1"/>
  <c r="AU397" i="1"/>
  <c r="AS398"/>
  <c r="FF11" i="55"/>
  <c r="J404" i="53"/>
  <c r="FC4" i="55" l="1"/>
  <c r="J305" i="53"/>
  <c r="FF12" i="55"/>
  <c r="J405" i="53"/>
  <c r="D400" i="52"/>
  <c r="AU398" i="1"/>
  <c r="AS399"/>
  <c r="J306" i="53" l="1"/>
  <c r="FC5" i="55"/>
  <c r="I400" i="52"/>
  <c r="FF13" i="55"/>
  <c r="J406" i="53"/>
  <c r="D401" i="52"/>
  <c r="I401" s="1"/>
  <c r="AU399" i="1"/>
  <c r="AS400"/>
  <c r="J307" i="53" l="1"/>
  <c r="FC6" i="55"/>
  <c r="AU400" i="1"/>
  <c r="D402" i="52"/>
  <c r="I402" s="1"/>
  <c r="AS401" i="1"/>
  <c r="FF14" i="55"/>
  <c r="J407" i="53"/>
  <c r="FC7" i="55" l="1"/>
  <c r="J308" i="53"/>
  <c r="AU401" i="1"/>
  <c r="D403" i="52"/>
  <c r="I403" s="1"/>
  <c r="AS402" i="1"/>
  <c r="FF15" i="55"/>
  <c r="J408" i="53"/>
  <c r="FC8" i="55" l="1"/>
  <c r="J309" i="53"/>
  <c r="AU402" i="1"/>
  <c r="D404" i="52"/>
  <c r="I404" s="1"/>
  <c r="AS403" i="1"/>
  <c r="FF16" i="55"/>
  <c r="J409" i="53"/>
  <c r="J310" l="1"/>
  <c r="FC9" i="55"/>
  <c r="AU403" i="1"/>
  <c r="D405" i="52"/>
  <c r="I405" s="1"/>
  <c r="AS404" i="1"/>
  <c r="FF17" i="55"/>
  <c r="J410" i="53"/>
  <c r="FC10" i="55" l="1"/>
  <c r="J311" i="53"/>
  <c r="D406" i="52"/>
  <c r="I406" s="1"/>
  <c r="AU404" i="1"/>
  <c r="AS405"/>
  <c r="FF18" i="55"/>
  <c r="J411" i="53"/>
  <c r="J312" l="1"/>
  <c r="FC11" i="55"/>
  <c r="D407" i="52"/>
  <c r="I407" s="1"/>
  <c r="AU405" i="1"/>
  <c r="AS406"/>
  <c r="FF19" i="55"/>
  <c r="J412" i="53"/>
  <c r="FC12" i="55" l="1"/>
  <c r="J313" i="53"/>
  <c r="AU406" i="1"/>
  <c r="D408" i="52"/>
  <c r="I408" s="1"/>
  <c r="AS407" i="1"/>
  <c r="FF20" i="55"/>
  <c r="J413" i="53"/>
  <c r="FC13" i="55" l="1"/>
  <c r="J314" i="53"/>
  <c r="D409" i="52"/>
  <c r="I409" s="1"/>
  <c r="AU407" i="1"/>
  <c r="AS408"/>
  <c r="FF21" i="55"/>
  <c r="J414" i="53"/>
  <c r="J315" l="1"/>
  <c r="FC14" i="55"/>
  <c r="D410" i="52"/>
  <c r="I410" s="1"/>
  <c r="AU408" i="1"/>
  <c r="AS409"/>
  <c r="FF22" i="55"/>
  <c r="J415" i="53"/>
  <c r="J316" l="1"/>
  <c r="FC15" i="55"/>
  <c r="D411" i="52"/>
  <c r="I411" s="1"/>
  <c r="AU409" i="1"/>
  <c r="AS410"/>
  <c r="FF23" i="55"/>
  <c r="J416" i="53"/>
  <c r="FC16" i="55" l="1"/>
  <c r="J317" i="53"/>
  <c r="AU410" i="1"/>
  <c r="D412" i="52"/>
  <c r="I412" s="1"/>
  <c r="AS411" i="1"/>
  <c r="FF24" i="55"/>
  <c r="J417" i="53"/>
  <c r="J318" l="1"/>
  <c r="FC17" i="55"/>
  <c r="AU411" i="1"/>
  <c r="D413" i="52"/>
  <c r="I413" s="1"/>
  <c r="AS412" i="1"/>
  <c r="FF25" i="55"/>
  <c r="J418" i="53"/>
  <c r="FC18" i="55" l="1"/>
  <c r="J319" i="53"/>
  <c r="D414" i="52"/>
  <c r="I414" s="1"/>
  <c r="AU412" i="1"/>
  <c r="AS413"/>
  <c r="FF26" i="55"/>
  <c r="J419" i="53"/>
  <c r="FC19" i="55" l="1"/>
  <c r="J320" i="53"/>
  <c r="AU413" i="1"/>
  <c r="D415" i="52"/>
  <c r="I415" s="1"/>
  <c r="AS414" i="1"/>
  <c r="FF27" i="55"/>
  <c r="J420" i="53"/>
  <c r="J321" l="1"/>
  <c r="FC20" i="55"/>
  <c r="D416" i="52"/>
  <c r="I416" s="1"/>
  <c r="AU414" i="1"/>
  <c r="AS415"/>
  <c r="FF28" i="55"/>
  <c r="J421" i="53"/>
  <c r="FC21" i="55" l="1"/>
  <c r="J322" i="53"/>
  <c r="AU415" i="1"/>
  <c r="D417" i="52"/>
  <c r="I417" s="1"/>
  <c r="AS416" i="1"/>
  <c r="FF29" i="55"/>
  <c r="J422" i="53"/>
  <c r="FC22" i="55" l="1"/>
  <c r="J323" i="53"/>
  <c r="AU416" i="1"/>
  <c r="D418" i="52"/>
  <c r="I418" s="1"/>
  <c r="AS417" i="1"/>
  <c r="FF30" i="55"/>
  <c r="J423" i="53"/>
  <c r="J324" l="1"/>
  <c r="FC23" i="55"/>
  <c r="AU417" i="1"/>
  <c r="D419" i="52"/>
  <c r="I419" s="1"/>
  <c r="AS418" i="1"/>
  <c r="FF31" i="55"/>
  <c r="J424" i="53"/>
  <c r="FC24" i="55" l="1"/>
  <c r="J325" i="53"/>
  <c r="AU418" i="1"/>
  <c r="D420" i="52"/>
  <c r="I420" s="1"/>
  <c r="AS419" i="1"/>
  <c r="FF32" i="55"/>
  <c r="J425" i="53"/>
  <c r="FC25" i="55" l="1"/>
  <c r="J326" i="53"/>
  <c r="D421" i="52"/>
  <c r="I421" s="1"/>
  <c r="AU419" i="1"/>
  <c r="AS420"/>
  <c r="FF33" i="55"/>
  <c r="J426" i="53"/>
  <c r="FC26" i="55" l="1"/>
  <c r="J327" i="53"/>
  <c r="AU420" i="1"/>
  <c r="D422" i="52"/>
  <c r="I422" s="1"/>
  <c r="AS421" i="1"/>
  <c r="FG3" i="55"/>
  <c r="J427" i="53"/>
  <c r="FC27" i="55" l="1"/>
  <c r="J328" i="53"/>
  <c r="D423" i="52"/>
  <c r="I423" s="1"/>
  <c r="AU421" i="1"/>
  <c r="AS422"/>
  <c r="FG4" i="55"/>
  <c r="J428" i="53"/>
  <c r="FC28" i="55" l="1"/>
  <c r="J329" i="53"/>
  <c r="D424" i="52"/>
  <c r="I424" s="1"/>
  <c r="AU422" i="1"/>
  <c r="AS423"/>
  <c r="FG5" i="55"/>
  <c r="J429" i="53"/>
  <c r="FC29" i="55" l="1"/>
  <c r="J330" i="53"/>
  <c r="AU423" i="1"/>
  <c r="D425" i="52"/>
  <c r="I425" s="1"/>
  <c r="AS424" i="1"/>
  <c r="FG6" i="55"/>
  <c r="J430" i="53"/>
  <c r="FC30" i="55" l="1"/>
  <c r="J331" i="53"/>
  <c r="AU424" i="1"/>
  <c r="D426" i="52"/>
  <c r="I426" s="1"/>
  <c r="AS425" i="1"/>
  <c r="FG7" i="55"/>
  <c r="J431" i="53"/>
  <c r="FC31" i="55" l="1"/>
  <c r="J332" i="53"/>
  <c r="AU425" i="1"/>
  <c r="D427" i="52"/>
  <c r="I427" s="1"/>
  <c r="AS426" i="1"/>
  <c r="FG8" i="55"/>
  <c r="J432" i="53"/>
  <c r="J333" l="1"/>
  <c r="FC32" i="55"/>
  <c r="D428" i="52"/>
  <c r="I428" s="1"/>
  <c r="AU426" i="1"/>
  <c r="AS427"/>
  <c r="FG9" i="55"/>
  <c r="J433" i="53"/>
  <c r="J334" l="1"/>
  <c r="FC33" i="55"/>
  <c r="AU427" i="1"/>
  <c r="D429" i="52"/>
  <c r="I429" s="1"/>
  <c r="AS428" i="1"/>
  <c r="FG10" i="55"/>
  <c r="J434" i="53"/>
  <c r="FD3" i="55" l="1"/>
  <c r="J335" i="53"/>
  <c r="AU428" i="1"/>
  <c r="D430" i="52"/>
  <c r="I430" s="1"/>
  <c r="AS429" i="1"/>
  <c r="FG11" i="55"/>
  <c r="J435" i="53"/>
  <c r="J336" l="1"/>
  <c r="FD4" i="55"/>
  <c r="AU429" i="1"/>
  <c r="D431" i="52"/>
  <c r="I431" s="1"/>
  <c r="AS430" i="1"/>
  <c r="FG12" i="55"/>
  <c r="J436" i="53"/>
  <c r="FD5" i="55" l="1"/>
  <c r="J337" i="53"/>
  <c r="D432" i="52"/>
  <c r="I432" s="1"/>
  <c r="AU430" i="1"/>
  <c r="AS431"/>
  <c r="FG13" i="55"/>
  <c r="J437" i="53"/>
  <c r="FD6" i="55" l="1"/>
  <c r="J338" i="53"/>
  <c r="D433" i="52"/>
  <c r="I433" s="1"/>
  <c r="AU431" i="1"/>
  <c r="AS432"/>
  <c r="FG14" i="55"/>
  <c r="J438" i="53"/>
  <c r="J339" l="1"/>
  <c r="FD7" i="55"/>
  <c r="AU432" i="1"/>
  <c r="D434" i="52"/>
  <c r="I434" s="1"/>
  <c r="AS433" i="1"/>
  <c r="FG15" i="55"/>
  <c r="J439" i="53"/>
  <c r="FD8" i="55" l="1"/>
  <c r="J340" i="53"/>
  <c r="D435" i="52"/>
  <c r="I435" s="1"/>
  <c r="AU433" i="1"/>
  <c r="AS434"/>
  <c r="FG16" i="55"/>
  <c r="J440" i="53"/>
  <c r="FD9" i="55" l="1"/>
  <c r="J341" i="53"/>
  <c r="D436" i="52"/>
  <c r="I436" s="1"/>
  <c r="AU434" i="1"/>
  <c r="AS435"/>
  <c r="FG17" i="55"/>
  <c r="J441" i="53"/>
  <c r="FD10" i="55" l="1"/>
  <c r="J342" i="53"/>
  <c r="AU435" i="1"/>
  <c r="D437" i="52"/>
  <c r="I437" s="1"/>
  <c r="AS436" i="1"/>
  <c r="FG18" i="55"/>
  <c r="J442" i="53"/>
  <c r="J343" l="1"/>
  <c r="FD11" i="55"/>
  <c r="D438" i="52"/>
  <c r="I438" s="1"/>
  <c r="AU436" i="1"/>
  <c r="AS437"/>
  <c r="FG19" i="55"/>
  <c r="J443" i="53"/>
  <c r="J344" l="1"/>
  <c r="FD12" i="55"/>
  <c r="D439" i="52"/>
  <c r="I439" s="1"/>
  <c r="AU437" i="1"/>
  <c r="AS438"/>
  <c r="FG20" i="55"/>
  <c r="J444" i="53"/>
  <c r="FD13" i="55" l="1"/>
  <c r="J345" i="53"/>
  <c r="D440" i="52"/>
  <c r="I440" s="1"/>
  <c r="AU438" i="1"/>
  <c r="AS439"/>
  <c r="FG21" i="55"/>
  <c r="J445" i="53"/>
  <c r="FD14" i="55" l="1"/>
  <c r="J346" i="53"/>
  <c r="AU439" i="1"/>
  <c r="D441" i="52"/>
  <c r="I441" s="1"/>
  <c r="AS440" i="1"/>
  <c r="FG22" i="55"/>
  <c r="J446" i="53"/>
  <c r="FD15" i="55" l="1"/>
  <c r="J347" i="53"/>
  <c r="AU440" i="1"/>
  <c r="D442" i="52"/>
  <c r="I442" s="1"/>
  <c r="AS441" i="1"/>
  <c r="FG23" i="55"/>
  <c r="J447" i="53"/>
  <c r="FD16" i="55" l="1"/>
  <c r="J348" i="53"/>
  <c r="FD17" i="55" s="1"/>
  <c r="D443" i="52"/>
  <c r="I443" s="1"/>
  <c r="AU441" i="1"/>
  <c r="AS442"/>
  <c r="FG24" i="55"/>
  <c r="J448" i="53"/>
  <c r="AU442" i="1" l="1"/>
  <c r="D444" i="52"/>
  <c r="I444" s="1"/>
  <c r="AS443" i="1"/>
  <c r="FG25" i="55"/>
  <c r="J449" i="53"/>
  <c r="AU443" i="1" l="1"/>
  <c r="D445" i="52"/>
  <c r="I445" s="1"/>
  <c r="AS444" i="1"/>
  <c r="FG26" i="55"/>
  <c r="J450" i="53"/>
  <c r="D446" i="52" l="1"/>
  <c r="I446" s="1"/>
  <c r="AU444" i="1"/>
  <c r="AS445"/>
  <c r="FG27" i="55"/>
  <c r="J451" i="53"/>
  <c r="AU445" i="1" l="1"/>
  <c r="D447" i="52"/>
  <c r="I447" s="1"/>
  <c r="AS446" i="1"/>
  <c r="FG28" i="55"/>
  <c r="J452" i="53"/>
  <c r="D448" i="52" l="1"/>
  <c r="I448" s="1"/>
  <c r="AU446" i="1"/>
  <c r="AS447"/>
  <c r="FG29" i="55"/>
  <c r="J453" i="53"/>
  <c r="D449" i="52" l="1"/>
  <c r="I449" s="1"/>
  <c r="AU447" i="1"/>
  <c r="AS448"/>
  <c r="FG30" i="55"/>
  <c r="J454" i="53"/>
  <c r="D450" i="52" l="1"/>
  <c r="I450" s="1"/>
  <c r="AU448" i="1"/>
  <c r="AS449"/>
  <c r="FG31" i="55"/>
  <c r="FH3"/>
  <c r="J455" i="53"/>
  <c r="D451" i="52" l="1"/>
  <c r="I451" s="1"/>
  <c r="AU449" i="1"/>
  <c r="AS450"/>
  <c r="FH4" i="55"/>
  <c r="J456" i="53"/>
  <c r="AU450" i="1" l="1"/>
  <c r="D452" i="52"/>
  <c r="I452" s="1"/>
  <c r="AS451" i="1"/>
  <c r="FH5" i="55"/>
  <c r="J457" i="53"/>
  <c r="AU451" i="1" l="1"/>
  <c r="D453" i="52"/>
  <c r="I453" s="1"/>
  <c r="AS452" i="1"/>
  <c r="FH6" i="55"/>
  <c r="J458" i="53"/>
  <c r="AU452" i="1" l="1"/>
  <c r="D454" i="52"/>
  <c r="I454" s="1"/>
  <c r="AS453" i="1"/>
  <c r="FH7" i="55"/>
  <c r="J459" i="53"/>
  <c r="D455" i="52" l="1"/>
  <c r="I455" s="1"/>
  <c r="AU453" i="1"/>
  <c r="AS454"/>
  <c r="FH8" i="55"/>
  <c r="J460" i="53"/>
  <c r="D456" i="52" l="1"/>
  <c r="I456" s="1"/>
  <c r="AU454" i="1"/>
  <c r="AS455"/>
  <c r="FH9" i="55"/>
  <c r="J461" i="53"/>
  <c r="D457" i="52" l="1"/>
  <c r="I457" s="1"/>
  <c r="AU455" i="1"/>
  <c r="AS456"/>
  <c r="FH10" i="55"/>
  <c r="J462" i="53"/>
  <c r="D458" i="52" l="1"/>
  <c r="I458" s="1"/>
  <c r="AU456" i="1"/>
  <c r="AS457"/>
  <c r="FH11" i="55"/>
  <c r="J463" i="53"/>
  <c r="AU457" i="1" l="1"/>
  <c r="D459" i="52"/>
  <c r="I459" s="1"/>
  <c r="AS458" i="1"/>
  <c r="FH12" i="55"/>
  <c r="J464" i="53"/>
  <c r="D460" i="52" l="1"/>
  <c r="I460" s="1"/>
  <c r="AU458" i="1"/>
  <c r="AS459"/>
  <c r="FH13" i="55"/>
  <c r="J465" i="53"/>
  <c r="AU459" i="1" l="1"/>
  <c r="D461" i="52"/>
  <c r="I461" s="1"/>
  <c r="AS460" i="1"/>
  <c r="FH14" i="55"/>
  <c r="J466" i="53"/>
  <c r="D462" i="52" l="1"/>
  <c r="I462" s="1"/>
  <c r="AU460" i="1"/>
  <c r="AS461"/>
  <c r="FH15" i="55"/>
  <c r="J467" i="53"/>
  <c r="AU461" i="1" l="1"/>
  <c r="D463" i="52"/>
  <c r="I463" s="1"/>
  <c r="AS462" i="1"/>
  <c r="FH16" i="55"/>
  <c r="J468" i="53"/>
  <c r="D464" i="52" l="1"/>
  <c r="I464" s="1"/>
  <c r="AU462" i="1"/>
  <c r="AS463"/>
  <c r="FH17" i="55"/>
  <c r="J469" i="53"/>
  <c r="D465" i="52" l="1"/>
  <c r="I465" s="1"/>
  <c r="AU463" i="1"/>
  <c r="AS464"/>
  <c r="FH18" i="55"/>
  <c r="J470" i="53"/>
  <c r="D466" i="52" l="1"/>
  <c r="I466" s="1"/>
  <c r="AU464" i="1"/>
  <c r="AS465"/>
  <c r="FH19" i="55"/>
  <c r="J471" i="53"/>
  <c r="D467" i="52" l="1"/>
  <c r="I467" s="1"/>
  <c r="AU465" i="1"/>
  <c r="AS466"/>
  <c r="FH20" i="55"/>
  <c r="J472" i="53"/>
  <c r="AU466" i="1" l="1"/>
  <c r="D468" i="52"/>
  <c r="I468" s="1"/>
  <c r="AS467" i="1"/>
  <c r="FH21" i="55"/>
  <c r="J473" i="53"/>
  <c r="AU467" i="1" l="1"/>
  <c r="D469" i="52"/>
  <c r="I469" s="1"/>
  <c r="AS468" i="1"/>
  <c r="FH22" i="55"/>
  <c r="J474" i="53"/>
  <c r="D470" i="52" l="1"/>
  <c r="I470" s="1"/>
  <c r="AU468" i="1"/>
  <c r="AS469"/>
  <c r="FH23" i="55"/>
  <c r="J475" i="53"/>
  <c r="AU469" i="1" l="1"/>
  <c r="D471" i="52"/>
  <c r="I471" s="1"/>
  <c r="AS470" i="1"/>
  <c r="FH24" i="55"/>
  <c r="J476" i="53"/>
  <c r="AU470" i="1" l="1"/>
  <c r="D472" i="52"/>
  <c r="I472" s="1"/>
  <c r="AS471" i="1"/>
  <c r="FH25" i="55"/>
  <c r="J477" i="53"/>
  <c r="AU471" i="1" l="1"/>
  <c r="D473" i="52"/>
  <c r="I473" s="1"/>
  <c r="AS472" i="1"/>
  <c r="FH26" i="55"/>
  <c r="J478" i="53"/>
  <c r="AU472" i="1" l="1"/>
  <c r="D474" i="52"/>
  <c r="I474" s="1"/>
  <c r="AS473" i="1"/>
  <c r="FH27" i="55"/>
  <c r="J479" i="53"/>
  <c r="AU473" i="1" l="1"/>
  <c r="D475" i="52"/>
  <c r="I475" s="1"/>
  <c r="AS474" i="1"/>
  <c r="FH28" i="55"/>
  <c r="J480" i="53"/>
  <c r="D476" i="52" l="1"/>
  <c r="I476" s="1"/>
  <c r="AU474" i="1"/>
  <c r="AS475"/>
  <c r="FH29" i="55"/>
  <c r="J481" i="53"/>
  <c r="D477" i="52" l="1"/>
  <c r="I477" s="1"/>
  <c r="AU475" i="1"/>
  <c r="AS476"/>
  <c r="FH30" i="55"/>
  <c r="J482" i="53"/>
  <c r="D478" i="52" l="1"/>
  <c r="I478" s="1"/>
  <c r="AU476" i="1"/>
  <c r="AS477"/>
  <c r="FH31" i="55"/>
  <c r="J483" i="53"/>
  <c r="AU477" i="1" l="1"/>
  <c r="D479" i="52"/>
  <c r="I479" s="1"/>
  <c r="AS478" i="1"/>
  <c r="FH32" i="55"/>
  <c r="J484" i="53"/>
  <c r="D480" i="52" l="1"/>
  <c r="I480" s="1"/>
  <c r="AU478" i="1"/>
  <c r="AS479"/>
  <c r="FH33" i="55"/>
  <c r="J485" i="53"/>
  <c r="AU479" i="1" l="1"/>
  <c r="D481" i="52"/>
  <c r="I481" s="1"/>
  <c r="AS480" i="1"/>
  <c r="FI3" i="55"/>
  <c r="J486" i="53"/>
  <c r="D482" i="52" l="1"/>
  <c r="I482" s="1"/>
  <c r="AU480" i="1"/>
  <c r="AS481"/>
  <c r="FI4" i="55"/>
  <c r="J487" i="53"/>
  <c r="AU481" i="1" l="1"/>
  <c r="D483" i="52"/>
  <c r="I483" s="1"/>
  <c r="AS482" i="1"/>
  <c r="FI5" i="55"/>
  <c r="J488" i="53"/>
  <c r="D484" i="52" l="1"/>
  <c r="I484" s="1"/>
  <c r="AU482" i="1"/>
  <c r="AS483"/>
  <c r="FI6" i="55"/>
  <c r="J489" i="53"/>
  <c r="AU483" i="1" l="1"/>
  <c r="D485" i="52"/>
  <c r="I485" s="1"/>
  <c r="AS484" i="1"/>
  <c r="FI7" i="55"/>
  <c r="J490" i="53"/>
  <c r="D486" i="52" l="1"/>
  <c r="I486" s="1"/>
  <c r="AU484" i="1"/>
  <c r="AS485"/>
  <c r="FI8" i="55"/>
  <c r="J491" i="53"/>
  <c r="AU485" i="1" l="1"/>
  <c r="D487" i="52"/>
  <c r="I487" s="1"/>
  <c r="AS486" i="1"/>
  <c r="FI9" i="55"/>
  <c r="J492" i="53"/>
  <c r="D488" i="52" l="1"/>
  <c r="I488" s="1"/>
  <c r="AU486" i="1"/>
  <c r="AS487"/>
  <c r="FI10" i="55"/>
  <c r="J493" i="53"/>
  <c r="AU487" i="1" l="1"/>
  <c r="D489" i="52"/>
  <c r="I489" s="1"/>
  <c r="AS488" i="1"/>
  <c r="FI11" i="55"/>
  <c r="J494" i="53"/>
  <c r="AU488" i="1" l="1"/>
  <c r="D490" i="52"/>
  <c r="I490" s="1"/>
  <c r="AS489" i="1"/>
  <c r="FI12" i="55"/>
  <c r="J495" i="53"/>
  <c r="AU489" i="1" l="1"/>
  <c r="D491" i="52"/>
  <c r="I491" s="1"/>
  <c r="AS490" i="1"/>
  <c r="FI13" i="55"/>
  <c r="J496" i="53"/>
  <c r="AU490" i="1" l="1"/>
  <c r="D492" i="52"/>
  <c r="I492" s="1"/>
  <c r="AS491" i="1"/>
  <c r="FI14" i="55"/>
  <c r="J497" i="53"/>
  <c r="D493" i="52" l="1"/>
  <c r="I493" s="1"/>
  <c r="AU491" i="1"/>
  <c r="AS492"/>
  <c r="FI15" i="55"/>
  <c r="J498" i="53"/>
  <c r="D494" i="52" l="1"/>
  <c r="I494" s="1"/>
  <c r="AU492" i="1"/>
  <c r="AS493"/>
  <c r="FI16" i="55"/>
  <c r="J499" i="53"/>
  <c r="AU493" i="1" l="1"/>
  <c r="D495" i="52"/>
  <c r="I495" s="1"/>
  <c r="AS494" i="1"/>
  <c r="FI17" i="55"/>
  <c r="J500" i="53"/>
  <c r="D496" i="52" l="1"/>
  <c r="I496" s="1"/>
  <c r="AU494" i="1"/>
  <c r="AS495"/>
  <c r="FI18" i="55"/>
  <c r="J501" i="53"/>
  <c r="D497" i="52" l="1"/>
  <c r="I497" s="1"/>
  <c r="AU495" i="1"/>
  <c r="AS496"/>
  <c r="FI19" i="55"/>
  <c r="J502" i="53"/>
  <c r="D498" i="52" l="1"/>
  <c r="I498" s="1"/>
  <c r="AU496" i="1"/>
  <c r="AS497"/>
  <c r="FI20" i="55"/>
  <c r="J503" i="53"/>
  <c r="D499" i="52" l="1"/>
  <c r="I499" s="1"/>
  <c r="AU497" i="1"/>
  <c r="AS498"/>
  <c r="FI21" i="55"/>
  <c r="J504" i="53"/>
  <c r="AU498" i="1" l="1"/>
  <c r="D500" i="52"/>
  <c r="I500" s="1"/>
  <c r="AS499" i="1"/>
  <c r="FI22" i="55"/>
  <c r="J505" i="53"/>
  <c r="D501" i="52" l="1"/>
  <c r="I501" s="1"/>
  <c r="AU499" i="1"/>
  <c r="AS500"/>
  <c r="FI23" i="55"/>
  <c r="J506" i="53"/>
  <c r="D502" i="52" l="1"/>
  <c r="I502" s="1"/>
  <c r="AU500" i="1"/>
  <c r="AS501"/>
  <c r="FI24" i="55"/>
  <c r="J507" i="53"/>
  <c r="AU501" i="1" l="1"/>
  <c r="D503" i="52"/>
  <c r="I503" s="1"/>
  <c r="AS502" i="1"/>
  <c r="FI25" i="55"/>
  <c r="J508" i="53"/>
  <c r="AU502" i="1" l="1"/>
  <c r="D504" i="52"/>
  <c r="I504" s="1"/>
  <c r="AS503" i="1"/>
  <c r="FI26" i="55"/>
  <c r="J509" i="53"/>
  <c r="AU503" i="1" l="1"/>
  <c r="D505" i="52"/>
  <c r="I505" s="1"/>
  <c r="AS504" i="1"/>
  <c r="FI27" i="55"/>
  <c r="J510" i="53"/>
  <c r="D506" i="52" l="1"/>
  <c r="I506" s="1"/>
  <c r="AU504" i="1"/>
  <c r="AS505"/>
  <c r="FI28" i="55"/>
  <c r="J511" i="53"/>
  <c r="AU505" i="1" l="1"/>
  <c r="D507" i="52"/>
  <c r="I507" s="1"/>
  <c r="AS506" i="1"/>
  <c r="FI29" i="55"/>
  <c r="J512" i="53"/>
  <c r="D508" i="52" l="1"/>
  <c r="I508" s="1"/>
  <c r="AU506" i="1"/>
  <c r="AS507"/>
  <c r="FI30" i="55"/>
  <c r="J513" i="53"/>
  <c r="D509" i="52" l="1"/>
  <c r="I509" s="1"/>
  <c r="AU507" i="1"/>
  <c r="AS508"/>
  <c r="FI31" i="55"/>
  <c r="J514" i="53"/>
  <c r="D510" i="52" l="1"/>
  <c r="I510" s="1"/>
  <c r="AU508" i="1"/>
  <c r="AS509"/>
  <c r="FI32" i="55"/>
  <c r="J515" i="53"/>
  <c r="D511" i="52" l="1"/>
  <c r="I511" s="1"/>
  <c r="AU509" i="1"/>
  <c r="AS510"/>
  <c r="FJ3" i="55"/>
  <c r="J516" i="53"/>
  <c r="D512" i="52" l="1"/>
  <c r="I512" s="1"/>
  <c r="AU510" i="1"/>
  <c r="AS511"/>
  <c r="FJ4" i="55"/>
  <c r="J517" i="53"/>
  <c r="D513" i="52" l="1"/>
  <c r="I513" s="1"/>
  <c r="AU511" i="1"/>
  <c r="AS512"/>
  <c r="FJ5" i="55"/>
  <c r="J518" i="53"/>
  <c r="AU512" i="1" l="1"/>
  <c r="D514" i="52"/>
  <c r="I514" s="1"/>
  <c r="AS513" i="1"/>
  <c r="FJ6" i="55"/>
  <c r="J519" i="53"/>
  <c r="D515" i="52" l="1"/>
  <c r="I515" s="1"/>
  <c r="AU513" i="1"/>
  <c r="AS514"/>
  <c r="FJ7" i="55"/>
  <c r="J520" i="53"/>
  <c r="AU514" i="1" l="1"/>
  <c r="D516" i="52"/>
  <c r="I516" s="1"/>
  <c r="AS515" i="1"/>
  <c r="FJ8" i="55"/>
  <c r="J521" i="53"/>
  <c r="AU515" i="1" l="1"/>
  <c r="D517" i="52"/>
  <c r="I517" s="1"/>
  <c r="AS516" i="1"/>
  <c r="FJ9" i="55"/>
  <c r="J522" i="53"/>
  <c r="AU516" i="1" l="1"/>
  <c r="D518" i="52"/>
  <c r="I518" s="1"/>
  <c r="AS517" i="1"/>
  <c r="FJ10" i="55"/>
  <c r="J523" i="53"/>
  <c r="D519" i="52" l="1"/>
  <c r="I519" s="1"/>
  <c r="AU517" i="1"/>
  <c r="AS518"/>
  <c r="FJ11" i="55"/>
  <c r="J524" i="53"/>
  <c r="D520" i="52" l="1"/>
  <c r="I520" s="1"/>
  <c r="AU518" i="1"/>
  <c r="AS519"/>
  <c r="FJ12" i="55"/>
  <c r="J525" i="53"/>
  <c r="AU519" i="1" l="1"/>
  <c r="D521" i="52"/>
  <c r="I521" s="1"/>
  <c r="AS520" i="1"/>
  <c r="FJ13" i="55"/>
  <c r="J526" i="53"/>
  <c r="D522" i="52" l="1"/>
  <c r="I522" s="1"/>
  <c r="AU520" i="1"/>
  <c r="AS521"/>
  <c r="FJ14" i="55"/>
  <c r="J527" i="53"/>
  <c r="AU521" i="1" l="1"/>
  <c r="D523" i="52"/>
  <c r="I523" s="1"/>
  <c r="AS522" i="1"/>
  <c r="FJ15" i="55"/>
  <c r="J528" i="53"/>
  <c r="AU522" i="1" l="1"/>
  <c r="D524" i="52"/>
  <c r="I524" s="1"/>
  <c r="AS523" i="1"/>
  <c r="FJ16" i="55"/>
  <c r="J529" i="53"/>
  <c r="D525" i="52" l="1"/>
  <c r="I525" s="1"/>
  <c r="AU523" i="1"/>
  <c r="AS524"/>
  <c r="FJ17" i="55"/>
  <c r="J530" i="53"/>
  <c r="D526" i="52" l="1"/>
  <c r="I526" s="1"/>
  <c r="AU524" i="1"/>
  <c r="AS525"/>
  <c r="FJ18" i="55"/>
  <c r="J531" i="53"/>
  <c r="D527" i="52" l="1"/>
  <c r="I527" s="1"/>
  <c r="AU525" i="1"/>
  <c r="AS526"/>
  <c r="FJ19" i="55"/>
  <c r="J532" i="53"/>
  <c r="AU526" i="1" l="1"/>
  <c r="D528" i="52"/>
  <c r="I528" s="1"/>
  <c r="AS527" i="1"/>
  <c r="FJ20" i="55"/>
  <c r="J533" i="53"/>
  <c r="D529" i="52" l="1"/>
  <c r="I529" s="1"/>
  <c r="AU527" i="1"/>
  <c r="AS528"/>
  <c r="FJ21" i="55"/>
  <c r="J534" i="53"/>
  <c r="D530" i="52" l="1"/>
  <c r="I530" s="1"/>
  <c r="AU528" i="1"/>
  <c r="AS529"/>
  <c r="FJ22" i="55"/>
  <c r="J535" i="53"/>
  <c r="AU529" i="1" l="1"/>
  <c r="D531" i="52"/>
  <c r="I531" s="1"/>
  <c r="AS530" i="1"/>
  <c r="FJ23" i="55"/>
  <c r="J536" i="53"/>
  <c r="AU530" i="1" l="1"/>
  <c r="D532" i="52"/>
  <c r="I532" s="1"/>
  <c r="AS531" i="1"/>
  <c r="FJ24" i="55"/>
  <c r="J537" i="53"/>
  <c r="AU531" i="1" l="1"/>
  <c r="D533" i="52"/>
  <c r="I533" s="1"/>
  <c r="AS532" i="1"/>
  <c r="FJ25" i="55"/>
  <c r="J538" i="53"/>
  <c r="D534" i="52" l="1"/>
  <c r="I534" s="1"/>
  <c r="AU532" i="1"/>
  <c r="AS533"/>
  <c r="FJ26" i="55"/>
  <c r="J539" i="53"/>
  <c r="D535" i="52" l="1"/>
  <c r="I535" s="1"/>
  <c r="AU533" i="1"/>
  <c r="AS534"/>
  <c r="FJ27" i="55"/>
  <c r="J540" i="53"/>
  <c r="D536" i="52" l="1"/>
  <c r="I536" s="1"/>
  <c r="AU534" i="1"/>
  <c r="AS535"/>
  <c r="FJ28" i="55"/>
  <c r="J541" i="53"/>
  <c r="D537" i="52" l="1"/>
  <c r="I537" s="1"/>
  <c r="AU535" i="1"/>
  <c r="AS536"/>
  <c r="FJ29" i="55"/>
  <c r="J542" i="53"/>
  <c r="D538" i="52" l="1"/>
  <c r="I538" s="1"/>
  <c r="AU536" i="1"/>
  <c r="AS537"/>
  <c r="FJ30" i="55"/>
  <c r="J543" i="53"/>
  <c r="AU537" i="1" l="1"/>
  <c r="D539" i="52"/>
  <c r="I539" s="1"/>
  <c r="AS538" i="1"/>
  <c r="FJ31" i="55"/>
  <c r="J544" i="53"/>
  <c r="AU538" i="1" l="1"/>
  <c r="D540" i="52"/>
  <c r="FJ32" i="55"/>
  <c r="J545" i="53"/>
  <c r="U32" a="1"/>
  <c r="U32" s="1"/>
  <c r="K10" i="54" s="1"/>
  <c r="FJ33" i="55" l="1"/>
  <c r="U82" i="53" a="1"/>
  <c r="U82" s="1"/>
  <c r="K60" i="54" s="1"/>
  <c r="U44" i="53" a="1"/>
  <c r="U44" s="1"/>
  <c r="K22" i="54" s="1"/>
  <c r="U105" i="53" a="1"/>
  <c r="U105" s="1"/>
  <c r="K83" i="54" s="1"/>
  <c r="U71" i="53" a="1"/>
  <c r="U71" s="1"/>
  <c r="K49" i="54" s="1"/>
  <c r="U77" i="53" a="1"/>
  <c r="U77" s="1"/>
  <c r="K55" i="54" s="1"/>
  <c r="U74" i="53" a="1"/>
  <c r="U74" s="1"/>
  <c r="K52" i="54" s="1"/>
  <c r="U98" i="53" a="1"/>
  <c r="U98" s="1"/>
  <c r="K76" i="54" s="1"/>
  <c r="U102" i="53" a="1"/>
  <c r="U102" s="1"/>
  <c r="K80" i="54" s="1"/>
  <c r="U53" i="53" a="1"/>
  <c r="U53" s="1"/>
  <c r="K31" i="54" s="1"/>
  <c r="U68" i="53" a="1"/>
  <c r="U68" s="1"/>
  <c r="K46" i="54" s="1"/>
  <c r="U95" i="53" a="1"/>
  <c r="U95" s="1"/>
  <c r="K73" i="54" s="1"/>
  <c r="U46" i="53" a="1"/>
  <c r="U46" s="1"/>
  <c r="K24" i="54" s="1"/>
  <c r="U42" i="53" a="1"/>
  <c r="U42" s="1"/>
  <c r="K20" i="54" s="1"/>
  <c r="U55" i="53" a="1"/>
  <c r="U55" s="1"/>
  <c r="K33" i="54" s="1"/>
  <c r="U47" i="53" a="1"/>
  <c r="U47" s="1"/>
  <c r="K25" i="54" s="1"/>
  <c r="U52" i="53" a="1"/>
  <c r="U52" s="1"/>
  <c r="K30" i="54" s="1"/>
  <c r="U110" i="53" a="1"/>
  <c r="U110" s="1"/>
  <c r="K88" i="54" s="1"/>
  <c r="U48" i="53" a="1"/>
  <c r="U48" s="1"/>
  <c r="K26" i="54" s="1"/>
  <c r="U73" i="53" a="1"/>
  <c r="U73" s="1"/>
  <c r="K51" i="54" s="1"/>
  <c r="U104" i="53" a="1"/>
  <c r="U104" s="1"/>
  <c r="K82" i="54" s="1"/>
  <c r="U89" i="53" a="1"/>
  <c r="U89" s="1"/>
  <c r="K67" i="54" s="1"/>
  <c r="U72" i="53" a="1"/>
  <c r="U72" s="1"/>
  <c r="K50" i="54" s="1"/>
  <c r="U96" i="53" a="1"/>
  <c r="U96" s="1"/>
  <c r="K74" i="54" s="1"/>
  <c r="U85" i="53" a="1"/>
  <c r="U85" s="1"/>
  <c r="K63" i="54" s="1"/>
  <c r="U84" i="53" a="1"/>
  <c r="U84" s="1"/>
  <c r="K62" i="54" s="1"/>
  <c r="U31" i="53" a="1"/>
  <c r="U31" s="1"/>
  <c r="K9" i="54" s="1"/>
  <c r="U40" i="53" a="1"/>
  <c r="U40" s="1"/>
  <c r="K18" i="54" s="1"/>
  <c r="U106" i="53" a="1"/>
  <c r="U106" s="1"/>
  <c r="K84" i="54" s="1"/>
  <c r="U50" i="53" a="1"/>
  <c r="U50" s="1"/>
  <c r="K28" i="54" s="1"/>
  <c r="U100" i="53" a="1"/>
  <c r="U100" s="1"/>
  <c r="K78" i="54" s="1"/>
  <c r="U54" i="53" a="1"/>
  <c r="U54" s="1"/>
  <c r="K32" i="54" s="1"/>
  <c r="U59" i="53" a="1"/>
  <c r="U59" s="1"/>
  <c r="K37" i="54" s="1"/>
  <c r="U62" i="53" a="1"/>
  <c r="U62" s="1"/>
  <c r="K40" i="54" s="1"/>
  <c r="U45" i="53" a="1"/>
  <c r="U45" s="1"/>
  <c r="K23" i="54" s="1"/>
  <c r="U87" i="53" a="1"/>
  <c r="U87" s="1"/>
  <c r="K65" i="54" s="1"/>
  <c r="U76" i="53" a="1"/>
  <c r="U76" s="1"/>
  <c r="K54" i="54" s="1"/>
  <c r="U78" i="53" a="1"/>
  <c r="U78" s="1"/>
  <c r="K56" i="54" s="1"/>
  <c r="U93" i="53" a="1"/>
  <c r="U93" s="1"/>
  <c r="K71" i="54" s="1"/>
  <c r="U56" i="53" a="1"/>
  <c r="U56" s="1"/>
  <c r="K34" i="54" s="1"/>
  <c r="U37" i="53" a="1"/>
  <c r="U37" s="1"/>
  <c r="K15" i="54" s="1"/>
  <c r="U61" i="53" a="1"/>
  <c r="U61" s="1"/>
  <c r="K39" i="54" s="1"/>
  <c r="U67" i="53" a="1"/>
  <c r="U67" s="1"/>
  <c r="K45" i="54" s="1"/>
  <c r="U30" i="53" a="1"/>
  <c r="U30" s="1"/>
  <c r="K8" i="54" s="1"/>
  <c r="U69" i="53" a="1"/>
  <c r="U69" s="1"/>
  <c r="K47" i="54" s="1"/>
  <c r="U36" i="53" a="1"/>
  <c r="U36" s="1"/>
  <c r="K14" i="54" s="1"/>
  <c r="U58" i="53" a="1"/>
  <c r="U58" s="1"/>
  <c r="K36" i="54" s="1"/>
  <c r="U79" i="53" a="1"/>
  <c r="U79" s="1"/>
  <c r="K57" i="54" s="1"/>
  <c r="U60" i="53" a="1"/>
  <c r="U60" s="1"/>
  <c r="K38" i="54" s="1"/>
  <c r="U108" i="53" a="1"/>
  <c r="U108" s="1"/>
  <c r="K86" i="54" s="1"/>
  <c r="U63" i="53" a="1"/>
  <c r="U63" s="1"/>
  <c r="K41" i="54" s="1"/>
  <c r="U57" i="53" a="1"/>
  <c r="U57" s="1"/>
  <c r="K35" i="54" s="1"/>
  <c r="U92" i="53" a="1"/>
  <c r="U92" s="1"/>
  <c r="K70" i="54" s="1"/>
  <c r="U35" i="53" a="1"/>
  <c r="U35" s="1"/>
  <c r="K13" i="54" s="1"/>
  <c r="U94" i="53" a="1"/>
  <c r="U94" s="1"/>
  <c r="K72" i="54" s="1"/>
  <c r="U38" i="53" a="1"/>
  <c r="U38" s="1"/>
  <c r="K16" i="54" s="1"/>
  <c r="U49" i="53" a="1"/>
  <c r="U49" s="1"/>
  <c r="K27" i="54" s="1"/>
  <c r="U97" i="53" a="1"/>
  <c r="U97" s="1"/>
  <c r="K75" i="54" s="1"/>
  <c r="U91" i="53" a="1"/>
  <c r="U91" s="1"/>
  <c r="K69" i="54" s="1"/>
  <c r="U51" i="53" a="1"/>
  <c r="U51" s="1"/>
  <c r="K29" i="54" s="1"/>
  <c r="U41" i="53" a="1"/>
  <c r="U41" s="1"/>
  <c r="K19" i="54" s="1"/>
  <c r="U64" i="53" a="1"/>
  <c r="U64" s="1"/>
  <c r="K42" i="54" s="1"/>
  <c r="U99" i="53" a="1"/>
  <c r="U99" s="1"/>
  <c r="K77" i="54" s="1"/>
  <c r="U107" i="53" a="1"/>
  <c r="U107" s="1"/>
  <c r="K85" i="54" s="1"/>
  <c r="U70" i="53" a="1"/>
  <c r="U70" s="1"/>
  <c r="K48" i="54" s="1"/>
  <c r="U39" i="53" a="1"/>
  <c r="U39" s="1"/>
  <c r="K17" i="54" s="1"/>
  <c r="U88" i="53" a="1"/>
  <c r="U88" s="1"/>
  <c r="K66" i="54" s="1"/>
  <c r="U80" i="53" a="1"/>
  <c r="U80" s="1"/>
  <c r="K58" i="54" s="1"/>
  <c r="U103" i="53" a="1"/>
  <c r="U103" s="1"/>
  <c r="K81" i="54" s="1"/>
  <c r="U81" i="53" a="1"/>
  <c r="U81" s="1"/>
  <c r="K59" i="54" s="1"/>
  <c r="U75" i="53" a="1"/>
  <c r="U75" s="1"/>
  <c r="K53" i="54" s="1"/>
  <c r="U34" i="53" a="1"/>
  <c r="U34" s="1"/>
  <c r="K12" i="54" s="1"/>
  <c r="U65" i="53" a="1"/>
  <c r="U65" s="1"/>
  <c r="K43" i="54" s="1"/>
  <c r="U66" i="53" a="1"/>
  <c r="U66" s="1"/>
  <c r="K44" i="54" s="1"/>
  <c r="U33" i="53" a="1"/>
  <c r="U33" s="1"/>
  <c r="K11" i="54" s="1"/>
  <c r="U86" i="53" a="1"/>
  <c r="U86" s="1"/>
  <c r="K64" i="54" s="1"/>
  <c r="U43" i="53" a="1"/>
  <c r="U43" s="1"/>
  <c r="K21" i="54" s="1"/>
  <c r="U109" i="53" a="1"/>
  <c r="U109" s="1"/>
  <c r="K87" i="54" s="1"/>
  <c r="U83" i="53" a="1"/>
  <c r="U83" s="1"/>
  <c r="K61" i="54" s="1"/>
  <c r="U90" i="53" a="1"/>
  <c r="U90" s="1"/>
  <c r="K68" i="54" s="1"/>
  <c r="U29" i="53" a="1"/>
  <c r="U29" s="1"/>
  <c r="K7" i="54" s="1"/>
  <c r="U101" i="53" a="1"/>
  <c r="U101" s="1"/>
  <c r="K79" i="54" s="1"/>
  <c r="I540" i="52"/>
  <c r="Q21"/>
  <c r="Q22" s="1"/>
  <c r="P21"/>
  <c r="P22" s="1"/>
</calcChain>
</file>

<file path=xl/comments1.xml><?xml version="1.0" encoding="utf-8"?>
<comments xmlns="http://schemas.openxmlformats.org/spreadsheetml/2006/main">
  <authors>
    <author>Richard L Snyder</author>
  </authors>
  <commentList>
    <comment ref="L2" authorId="0">
      <text>
        <r>
          <rPr>
            <b/>
            <sz val="9"/>
            <color indexed="81"/>
            <rFont val="Tahoma"/>
            <family val="2"/>
          </rPr>
          <t>1= leap year
0= non-leap year</t>
        </r>
      </text>
    </comment>
    <comment ref="Q2" authorId="0">
      <text>
        <r>
          <rPr>
            <b/>
            <sz val="9"/>
            <color indexed="81"/>
            <rFont val="Tahoma"/>
            <family val="2"/>
          </rPr>
          <t>Default value is 0.35</t>
        </r>
        <r>
          <rPr>
            <sz val="9"/>
            <color indexed="81"/>
            <rFont val="Tahoma"/>
            <family val="2"/>
          </rPr>
          <t xml:space="preserve">
</t>
        </r>
      </text>
    </comment>
    <comment ref="L3" authorId="0">
      <text>
        <r>
          <rPr>
            <sz val="9"/>
            <color indexed="81"/>
            <rFont val="Tahoma"/>
            <family val="2"/>
          </rPr>
          <t xml:space="preserve">1=field &amp; row
2=field-fixed Kc
3=deciduous orchard &amp; vines
4=subtropical orchard
</t>
        </r>
      </text>
    </comment>
    <comment ref="Q3" authorId="0">
      <text>
        <r>
          <rPr>
            <b/>
            <sz val="9"/>
            <color indexed="81"/>
            <rFont val="Tahoma"/>
            <family val="2"/>
          </rPr>
          <t>Ex. 27-Jun-12</t>
        </r>
        <r>
          <rPr>
            <sz val="9"/>
            <color indexed="81"/>
            <rFont val="Tahoma"/>
            <family val="2"/>
          </rPr>
          <t xml:space="preserve">
</t>
        </r>
      </text>
    </comment>
    <comment ref="J7" authorId="0">
      <text>
        <r>
          <rPr>
            <b/>
            <sz val="9"/>
            <color indexed="81"/>
            <rFont val="Tahoma"/>
            <family val="2"/>
          </rPr>
          <t>Leave blank to use default table dates
Input dates A &amp; E for automatic calculation of dates B, C, and D
Input dates A, B, C, D, and E</t>
        </r>
      </text>
    </comment>
    <comment ref="Q7" authorId="0">
      <text>
        <r>
          <rPr>
            <b/>
            <sz val="9"/>
            <color indexed="81"/>
            <rFont val="Tahoma"/>
            <family val="2"/>
          </rPr>
          <t>Full sprinkler  100%
Furrow  85-100%
Basin  100%
Microsprinkler 30-70%
Drip 5-30%
Buried Drip 0%</t>
        </r>
      </text>
    </comment>
  </commentList>
</comments>
</file>

<file path=xl/sharedStrings.xml><?xml version="1.0" encoding="utf-8"?>
<sst xmlns="http://schemas.openxmlformats.org/spreadsheetml/2006/main" count="1293" uniqueCount="545">
  <si>
    <t>Artichokes</t>
  </si>
  <si>
    <t>Asparagus</t>
  </si>
  <si>
    <t>Barley</t>
  </si>
  <si>
    <t>Beans (pinto)</t>
  </si>
  <si>
    <t>Beans (dry)</t>
  </si>
  <si>
    <t>Beans (green)</t>
  </si>
  <si>
    <t>Beets (table)</t>
  </si>
  <si>
    <t>Broccoli</t>
  </si>
  <si>
    <t>Cabbage</t>
  </si>
  <si>
    <t>Carrots</t>
  </si>
  <si>
    <t>Celery</t>
  </si>
  <si>
    <t>Corn (grain)</t>
  </si>
  <si>
    <t>Corn (silage)</t>
  </si>
  <si>
    <t>Cotton</t>
  </si>
  <si>
    <t xml:space="preserve">Cucumber </t>
  </si>
  <si>
    <t>Eggplant</t>
  </si>
  <si>
    <t>Flax</t>
  </si>
  <si>
    <t>Grains (small)</t>
  </si>
  <si>
    <t>Grains (winter)</t>
  </si>
  <si>
    <t>Lentil</t>
  </si>
  <si>
    <t>Lettuce</t>
  </si>
  <si>
    <t>Melon</t>
  </si>
  <si>
    <t>Millet</t>
  </si>
  <si>
    <t>Mustard</t>
  </si>
  <si>
    <t>Oats</t>
  </si>
  <si>
    <t>Onion (dry)</t>
  </si>
  <si>
    <t>Onion (green)</t>
  </si>
  <si>
    <t>Peas</t>
  </si>
  <si>
    <t>Peppers</t>
  </si>
  <si>
    <t>Potato</t>
  </si>
  <si>
    <t>Radishes</t>
  </si>
  <si>
    <t>Rice</t>
  </si>
  <si>
    <t>Safflower</t>
  </si>
  <si>
    <t>Sisal</t>
  </si>
  <si>
    <t>Sorghum</t>
  </si>
  <si>
    <t>Spinach</t>
  </si>
  <si>
    <t>Squash</t>
  </si>
  <si>
    <t>Strawberries w/mulch</t>
  </si>
  <si>
    <t>Sugarbeet</t>
  </si>
  <si>
    <t>Sunflower</t>
  </si>
  <si>
    <t>Sweet Potatoes</t>
  </si>
  <si>
    <t>Tomato</t>
  </si>
  <si>
    <t>Vegetables</t>
  </si>
  <si>
    <t>Wheat</t>
  </si>
  <si>
    <t>Watermelon</t>
  </si>
  <si>
    <t>Improved Pasture</t>
  </si>
  <si>
    <t>Almonds</t>
  </si>
  <si>
    <t>Kiwifruit</t>
  </si>
  <si>
    <t>Stone fruits</t>
  </si>
  <si>
    <t>Walnuts</t>
  </si>
  <si>
    <t>Avocado</t>
  </si>
  <si>
    <t xml:space="preserve">Citrus </t>
  </si>
  <si>
    <t>Citrus (desert)</t>
  </si>
  <si>
    <t>Date Palm</t>
  </si>
  <si>
    <t>Evergreen</t>
  </si>
  <si>
    <t>Olives</t>
  </si>
  <si>
    <t>B</t>
  </si>
  <si>
    <t>C</t>
  </si>
  <si>
    <t>D</t>
  </si>
  <si>
    <t>Month</t>
  </si>
  <si>
    <t>Day</t>
  </si>
  <si>
    <t>YP1=</t>
  </si>
  <si>
    <t>YPN=</t>
  </si>
  <si>
    <t>month</t>
  </si>
  <si>
    <t>I%</t>
  </si>
  <si>
    <t>ETo</t>
  </si>
  <si>
    <t>midmonth</t>
  </si>
  <si>
    <t>X(I%)</t>
  </si>
  <si>
    <t>Y(I%)</t>
  </si>
  <si>
    <t>sig</t>
  </si>
  <si>
    <t>p</t>
  </si>
  <si>
    <t>U()</t>
  </si>
  <si>
    <t>Y2()</t>
  </si>
  <si>
    <t>Y2(K)</t>
  </si>
  <si>
    <t>note: day 47=January 1</t>
  </si>
  <si>
    <t>note day 411=December 31</t>
  </si>
  <si>
    <t>linear</t>
  </si>
  <si>
    <t>cubic</t>
  </si>
  <si>
    <t>X</t>
  </si>
  <si>
    <t>H</t>
  </si>
  <si>
    <t>X(Klo)</t>
  </si>
  <si>
    <t>X(Khi)</t>
  </si>
  <si>
    <t>Y(Klo)</t>
  </si>
  <si>
    <t>Y(Khi)</t>
  </si>
  <si>
    <t>Y2(Klo)</t>
  </si>
  <si>
    <t>Y2(Khi)</t>
  </si>
  <si>
    <t>A</t>
  </si>
  <si>
    <t>DOY</t>
  </si>
  <si>
    <t>CETo</t>
  </si>
  <si>
    <t>DPM</t>
  </si>
  <si>
    <t>NRD</t>
  </si>
  <si>
    <t>DBR</t>
  </si>
  <si>
    <t>Station Name:</t>
  </si>
  <si>
    <t>Station Number:</t>
  </si>
  <si>
    <t>albedo =</t>
  </si>
  <si>
    <r>
      <t>f</t>
    </r>
    <r>
      <rPr>
        <sz val="10"/>
        <rFont val="Arial"/>
        <family val="2"/>
      </rPr>
      <t xml:space="preserve"> =</t>
    </r>
  </si>
  <si>
    <t>Latitude (deg):</t>
  </si>
  <si>
    <r>
      <t>s</t>
    </r>
    <r>
      <rPr>
        <sz val="10"/>
        <rFont val="Arial"/>
        <family val="2"/>
      </rPr>
      <t xml:space="preserve"> =</t>
    </r>
  </si>
  <si>
    <r>
      <t xml:space="preserve">l </t>
    </r>
    <r>
      <rPr>
        <sz val="10"/>
        <rFont val="Arial"/>
        <family val="2"/>
      </rPr>
      <t>=</t>
    </r>
  </si>
  <si>
    <t>Elevation (m):</t>
  </si>
  <si>
    <t>BPress =</t>
  </si>
  <si>
    <t>kPa</t>
  </si>
  <si>
    <t>angle above</t>
  </si>
  <si>
    <t>g =</t>
  </si>
  <si>
    <t>EToEpan</t>
  </si>
  <si>
    <t xml:space="preserve">End </t>
  </si>
  <si>
    <t>Days per</t>
  </si>
  <si>
    <t>Mid-</t>
  </si>
  <si>
    <t>Earth-Sun</t>
  </si>
  <si>
    <t>celestial</t>
  </si>
  <si>
    <t xml:space="preserve">sunrise </t>
  </si>
  <si>
    <t>Potential</t>
  </si>
  <si>
    <t>extra-</t>
  </si>
  <si>
    <t>maximum</t>
  </si>
  <si>
    <t xml:space="preserve">net </t>
  </si>
  <si>
    <t xml:space="preserve">cloud </t>
  </si>
  <si>
    <t>Sat. VP</t>
  </si>
  <si>
    <t>Sat VP</t>
  </si>
  <si>
    <t xml:space="preserve">Actual </t>
  </si>
  <si>
    <t>clear sky</t>
  </si>
  <si>
    <t>net long</t>
  </si>
  <si>
    <t>net</t>
  </si>
  <si>
    <t>Soil heat</t>
  </si>
  <si>
    <t>Mean</t>
  </si>
  <si>
    <t xml:space="preserve">Slope of </t>
  </si>
  <si>
    <t>Radiation</t>
  </si>
  <si>
    <t>Aerodynamic</t>
  </si>
  <si>
    <t>Pcp</t>
  </si>
  <si>
    <t>Input ETo</t>
  </si>
  <si>
    <t>PM ETo</t>
  </si>
  <si>
    <t>HS ETo</t>
  </si>
  <si>
    <t>F&gt;=100</t>
  </si>
  <si>
    <t>distance</t>
  </si>
  <si>
    <t>plane</t>
  </si>
  <si>
    <t>angle</t>
  </si>
  <si>
    <t>Sunshine hrs</t>
  </si>
  <si>
    <t>terrestrial</t>
  </si>
  <si>
    <t>solar</t>
  </si>
  <si>
    <t>cover</t>
  </si>
  <si>
    <t>Tmax</t>
  </si>
  <si>
    <t>Tmin</t>
  </si>
  <si>
    <t>VP</t>
  </si>
  <si>
    <t>emissivity</t>
  </si>
  <si>
    <t>wave Rad</t>
  </si>
  <si>
    <t>Tmean</t>
  </si>
  <si>
    <t>Flux</t>
  </si>
  <si>
    <t>VPD</t>
  </si>
  <si>
    <t>at Tm</t>
  </si>
  <si>
    <t>SVP curve</t>
  </si>
  <si>
    <t>Term of PM</t>
  </si>
  <si>
    <t>Trange</t>
  </si>
  <si>
    <t>#</t>
  </si>
  <si>
    <t>mm</t>
  </si>
  <si>
    <t>Di</t>
  </si>
  <si>
    <t>Mi</t>
  </si>
  <si>
    <t xml:space="preserve">d </t>
  </si>
  <si>
    <t>N</t>
  </si>
  <si>
    <t>f</t>
  </si>
  <si>
    <t>G</t>
  </si>
  <si>
    <t>R</t>
  </si>
  <si>
    <t>Tr</t>
  </si>
  <si>
    <t>Jan</t>
  </si>
  <si>
    <t>Feb</t>
  </si>
  <si>
    <t>Mar</t>
  </si>
  <si>
    <t>Apr</t>
  </si>
  <si>
    <t>May</t>
  </si>
  <si>
    <t>Jun</t>
  </si>
  <si>
    <t>Jul</t>
  </si>
  <si>
    <t>Aug</t>
  </si>
  <si>
    <t>Sep</t>
  </si>
  <si>
    <t>Oct</t>
  </si>
  <si>
    <t>Nov</t>
  </si>
  <si>
    <t>Dec</t>
  </si>
  <si>
    <r>
      <t>G</t>
    </r>
    <r>
      <rPr>
        <vertAlign val="subscript"/>
        <sz val="10"/>
        <rFont val="Arial"/>
        <family val="2"/>
      </rPr>
      <t xml:space="preserve">SC </t>
    </r>
    <r>
      <rPr>
        <sz val="10"/>
        <rFont val="Arial"/>
        <family val="2"/>
      </rPr>
      <t>=</t>
    </r>
  </si>
  <si>
    <r>
      <t>N=</t>
    </r>
    <r>
      <rPr>
        <sz val="10"/>
        <rFont val="Symbol"/>
        <family val="1"/>
        <charset val="2"/>
      </rPr>
      <t>w</t>
    </r>
    <r>
      <rPr>
        <vertAlign val="subscript"/>
        <sz val="10"/>
        <rFont val="Arial"/>
        <family val="2"/>
      </rPr>
      <t>s</t>
    </r>
    <r>
      <rPr>
        <sz val="10"/>
        <rFont val="Arial"/>
        <family val="2"/>
      </rPr>
      <t>*24/</t>
    </r>
    <r>
      <rPr>
        <sz val="10"/>
        <rFont val="Symbol"/>
        <family val="1"/>
        <charset val="2"/>
      </rPr>
      <t>p</t>
    </r>
  </si>
  <si>
    <r>
      <t>R</t>
    </r>
    <r>
      <rPr>
        <b/>
        <vertAlign val="subscript"/>
        <sz val="10"/>
        <color indexed="13"/>
        <rFont val="Arial"/>
        <family val="2"/>
      </rPr>
      <t>s</t>
    </r>
  </si>
  <si>
    <r>
      <t>T</t>
    </r>
    <r>
      <rPr>
        <b/>
        <vertAlign val="subscript"/>
        <sz val="10"/>
        <color indexed="13"/>
        <rFont val="Arial"/>
        <family val="2"/>
      </rPr>
      <t>x</t>
    </r>
  </si>
  <si>
    <r>
      <t>T</t>
    </r>
    <r>
      <rPr>
        <b/>
        <vertAlign val="subscript"/>
        <sz val="10"/>
        <color indexed="13"/>
        <rFont val="Arial"/>
        <family val="2"/>
      </rPr>
      <t>n</t>
    </r>
  </si>
  <si>
    <r>
      <t>U</t>
    </r>
    <r>
      <rPr>
        <b/>
        <vertAlign val="subscript"/>
        <sz val="10"/>
        <color indexed="13"/>
        <rFont val="Arial"/>
        <family val="2"/>
      </rPr>
      <t>2</t>
    </r>
  </si>
  <si>
    <r>
      <t>T</t>
    </r>
    <r>
      <rPr>
        <b/>
        <vertAlign val="subscript"/>
        <sz val="10"/>
        <color indexed="13"/>
        <rFont val="Arial"/>
        <family val="2"/>
      </rPr>
      <t>d</t>
    </r>
  </si>
  <si>
    <r>
      <t>MJ m</t>
    </r>
    <r>
      <rPr>
        <b/>
        <vertAlign val="superscript"/>
        <sz val="8"/>
        <color indexed="13"/>
        <rFont val="Arial"/>
        <family val="2"/>
      </rPr>
      <t>-2</t>
    </r>
    <r>
      <rPr>
        <b/>
        <sz val="8"/>
        <color indexed="13"/>
        <rFont val="Arial"/>
        <family val="2"/>
      </rPr>
      <t>d</t>
    </r>
    <r>
      <rPr>
        <b/>
        <vertAlign val="superscript"/>
        <sz val="8"/>
        <color indexed="13"/>
        <rFont val="Arial"/>
        <family val="2"/>
      </rPr>
      <t>-1</t>
    </r>
  </si>
  <si>
    <r>
      <t>o</t>
    </r>
    <r>
      <rPr>
        <b/>
        <sz val="8"/>
        <color indexed="13"/>
        <rFont val="Arial"/>
        <family val="2"/>
      </rPr>
      <t>C</t>
    </r>
  </si>
  <si>
    <r>
      <t>m s</t>
    </r>
    <r>
      <rPr>
        <b/>
        <vertAlign val="superscript"/>
        <sz val="8"/>
        <color indexed="13"/>
        <rFont val="Arial"/>
        <family val="2"/>
      </rPr>
      <t>-1</t>
    </r>
  </si>
  <si>
    <r>
      <t>d</t>
    </r>
    <r>
      <rPr>
        <vertAlign val="subscript"/>
        <sz val="10"/>
        <rFont val="Arial"/>
        <family val="2"/>
      </rPr>
      <t>r</t>
    </r>
  </si>
  <si>
    <r>
      <t>w</t>
    </r>
    <r>
      <rPr>
        <vertAlign val="subscript"/>
        <sz val="10"/>
        <rFont val="Arial"/>
        <family val="2"/>
      </rPr>
      <t>s</t>
    </r>
  </si>
  <si>
    <r>
      <t>R</t>
    </r>
    <r>
      <rPr>
        <vertAlign val="subscript"/>
        <sz val="10"/>
        <rFont val="Arial"/>
        <family val="2"/>
      </rPr>
      <t>a</t>
    </r>
  </si>
  <si>
    <r>
      <t>R</t>
    </r>
    <r>
      <rPr>
        <vertAlign val="subscript"/>
        <sz val="10"/>
        <rFont val="Arial"/>
        <family val="2"/>
      </rPr>
      <t>so</t>
    </r>
  </si>
  <si>
    <r>
      <t>R</t>
    </r>
    <r>
      <rPr>
        <vertAlign val="subscript"/>
        <sz val="10"/>
        <rFont val="Arial"/>
        <family val="2"/>
      </rPr>
      <t>ns</t>
    </r>
  </si>
  <si>
    <r>
      <t>e</t>
    </r>
    <r>
      <rPr>
        <vertAlign val="subscript"/>
        <sz val="10"/>
        <rFont val="Arial"/>
        <family val="2"/>
      </rPr>
      <t>s</t>
    </r>
    <r>
      <rPr>
        <sz val="10"/>
        <rFont val="Arial"/>
        <family val="2"/>
      </rPr>
      <t>(T</t>
    </r>
    <r>
      <rPr>
        <vertAlign val="subscript"/>
        <sz val="10"/>
        <rFont val="Arial"/>
        <family val="2"/>
      </rPr>
      <t>x</t>
    </r>
    <r>
      <rPr>
        <sz val="10"/>
        <rFont val="Arial"/>
        <family val="2"/>
      </rPr>
      <t>)</t>
    </r>
  </si>
  <si>
    <r>
      <t>e</t>
    </r>
    <r>
      <rPr>
        <vertAlign val="subscript"/>
        <sz val="10"/>
        <rFont val="Arial"/>
        <family val="2"/>
      </rPr>
      <t>s</t>
    </r>
    <r>
      <rPr>
        <sz val="10"/>
        <rFont val="Arial"/>
        <family val="2"/>
      </rPr>
      <t>(T</t>
    </r>
    <r>
      <rPr>
        <vertAlign val="subscript"/>
        <sz val="10"/>
        <rFont val="Arial"/>
        <family val="2"/>
      </rPr>
      <t>n</t>
    </r>
    <r>
      <rPr>
        <sz val="10"/>
        <rFont val="Arial"/>
        <family val="2"/>
      </rPr>
      <t>)</t>
    </r>
  </si>
  <si>
    <r>
      <t>e</t>
    </r>
    <r>
      <rPr>
        <vertAlign val="subscript"/>
        <sz val="10"/>
        <rFont val="Arial"/>
        <family val="2"/>
      </rPr>
      <t>d</t>
    </r>
  </si>
  <si>
    <r>
      <t>e</t>
    </r>
    <r>
      <rPr>
        <sz val="10"/>
        <rFont val="Arial"/>
        <family val="2"/>
      </rPr>
      <t>'</t>
    </r>
  </si>
  <si>
    <r>
      <t>R</t>
    </r>
    <r>
      <rPr>
        <vertAlign val="subscript"/>
        <sz val="10"/>
        <rFont val="Arial"/>
        <family val="2"/>
      </rPr>
      <t>nl</t>
    </r>
  </si>
  <si>
    <r>
      <t>R</t>
    </r>
    <r>
      <rPr>
        <vertAlign val="subscript"/>
        <sz val="10"/>
        <rFont val="Arial"/>
        <family val="2"/>
      </rPr>
      <t>n</t>
    </r>
  </si>
  <si>
    <r>
      <t>T</t>
    </r>
    <r>
      <rPr>
        <vertAlign val="subscript"/>
        <sz val="10"/>
        <rFont val="Arial"/>
        <family val="2"/>
      </rPr>
      <t>m</t>
    </r>
  </si>
  <si>
    <r>
      <t>e</t>
    </r>
    <r>
      <rPr>
        <vertAlign val="subscript"/>
        <sz val="10"/>
        <rFont val="Arial"/>
        <family val="2"/>
      </rPr>
      <t>a</t>
    </r>
  </si>
  <si>
    <r>
      <t>e</t>
    </r>
    <r>
      <rPr>
        <vertAlign val="subscript"/>
        <sz val="10"/>
        <rFont val="Arial"/>
        <family val="2"/>
      </rPr>
      <t>a-</t>
    </r>
    <r>
      <rPr>
        <sz val="10"/>
        <rFont val="Arial"/>
        <family val="2"/>
      </rPr>
      <t>e</t>
    </r>
    <r>
      <rPr>
        <vertAlign val="subscript"/>
        <sz val="10"/>
        <rFont val="Arial"/>
        <family val="2"/>
      </rPr>
      <t>d</t>
    </r>
  </si>
  <si>
    <r>
      <t>e</t>
    </r>
    <r>
      <rPr>
        <vertAlign val="superscript"/>
        <sz val="10"/>
        <rFont val="Arial"/>
        <family val="2"/>
      </rPr>
      <t>o</t>
    </r>
  </si>
  <si>
    <t>Date</t>
  </si>
  <si>
    <t>end</t>
  </si>
  <si>
    <t>E</t>
  </si>
  <si>
    <t>ETc</t>
  </si>
  <si>
    <t>CETc</t>
  </si>
  <si>
    <t>B-C</t>
  </si>
  <si>
    <t>D-E</t>
  </si>
  <si>
    <t>C-D</t>
  </si>
  <si>
    <t>Turfgrass warm-season</t>
  </si>
  <si>
    <t>Turfgrass cool-season</t>
  </si>
  <si>
    <t>Enter the % of the season from date A to the growth date</t>
  </si>
  <si>
    <t>Slope of Kc lines versus date between the growth dates</t>
  </si>
  <si>
    <t>Tx</t>
  </si>
  <si>
    <t>Tn</t>
  </si>
  <si>
    <t>Corrected</t>
  </si>
  <si>
    <t>Agronomic</t>
  </si>
  <si>
    <t>Triangle</t>
  </si>
  <si>
    <t>Crop</t>
  </si>
  <si>
    <t>Growth</t>
  </si>
  <si>
    <t>Historical</t>
  </si>
  <si>
    <t>Current</t>
  </si>
  <si>
    <t>Analysis</t>
  </si>
  <si>
    <t>Fraction of Mature</t>
  </si>
  <si>
    <t>Actual Kc</t>
  </si>
  <si>
    <t>Mature Kc =</t>
  </si>
  <si>
    <t>Corrections for Immature Trees and Vines</t>
  </si>
  <si>
    <t>PMmon</t>
  </si>
  <si>
    <t>Copyright © 2003 The Regents of the University of California. All rights reserved.</t>
  </si>
  <si>
    <t xml:space="preserve">The Regents of the University of California assumes no responsibility for the use or </t>
  </si>
  <si>
    <t>misuse of this program.</t>
  </si>
  <si>
    <t>mean</t>
  </si>
  <si>
    <t>KcMod</t>
  </si>
  <si>
    <t>Crop Coefficient Model</t>
  </si>
  <si>
    <t>Kcc</t>
  </si>
  <si>
    <t>Ke</t>
  </si>
  <si>
    <r>
      <t>Richard L. Snyder</t>
    </r>
    <r>
      <rPr>
        <b/>
        <vertAlign val="superscript"/>
        <sz val="16"/>
        <rFont val="Arial"/>
        <family val="2"/>
      </rPr>
      <t>1</t>
    </r>
    <r>
      <rPr>
        <b/>
        <sz val="16"/>
        <rFont val="Arial"/>
        <family val="2"/>
      </rPr>
      <t>, Elisa Guerra</t>
    </r>
    <r>
      <rPr>
        <b/>
        <vertAlign val="superscript"/>
        <sz val="16"/>
        <rFont val="Arial"/>
        <family val="2"/>
      </rPr>
      <t>2</t>
    </r>
    <r>
      <rPr>
        <b/>
        <sz val="16"/>
        <rFont val="Arial"/>
        <family val="2"/>
      </rPr>
      <t>, Atef Swelam</t>
    </r>
    <r>
      <rPr>
        <b/>
        <vertAlign val="superscript"/>
        <sz val="16"/>
        <rFont val="Arial"/>
        <family val="2"/>
      </rPr>
      <t>3</t>
    </r>
  </si>
  <si>
    <r>
      <rPr>
        <b/>
        <vertAlign val="superscript"/>
        <sz val="16"/>
        <rFont val="Arial"/>
        <family val="2"/>
      </rPr>
      <t>1</t>
    </r>
    <r>
      <rPr>
        <b/>
        <sz val="16"/>
        <rFont val="Arial"/>
        <family val="2"/>
      </rPr>
      <t>Dept. of Land, Air and Water Resources, University of California, Davis, CA</t>
    </r>
  </si>
  <si>
    <t xml:space="preserve"> Technology, University of Bologna, Bologna, Italy</t>
  </si>
  <si>
    <r>
      <rPr>
        <b/>
        <vertAlign val="superscript"/>
        <sz val="16"/>
        <rFont val="Arial"/>
        <family val="2"/>
      </rPr>
      <t>3</t>
    </r>
    <r>
      <rPr>
        <b/>
        <sz val="16"/>
        <rFont val="Arial"/>
        <family val="2"/>
      </rPr>
      <t>IRCARDA, Cairo, Egypt</t>
    </r>
  </si>
  <si>
    <r>
      <rPr>
        <b/>
        <vertAlign val="superscript"/>
        <sz val="16"/>
        <rFont val="Arial"/>
        <family val="2"/>
      </rPr>
      <t>2</t>
    </r>
    <r>
      <rPr>
        <b/>
        <sz val="16"/>
        <rFont val="Arial"/>
        <family val="2"/>
      </rPr>
      <t xml:space="preserve">Dept. Of Environmental and Agricultural Science and </t>
    </r>
  </si>
  <si>
    <t>CROP</t>
  </si>
  <si>
    <t xml:space="preserve"> Kc factors corresponding to the indicated growth date</t>
  </si>
  <si>
    <t xml:space="preserve">Enter the starting date:  month and day </t>
  </si>
  <si>
    <t xml:space="preserve">Enter the ending date:    month and day </t>
  </si>
  <si>
    <t>Number</t>
  </si>
  <si>
    <t>Name</t>
  </si>
  <si>
    <t>Day of the year corresponding to the growth dates A, B, C, D, and E.</t>
  </si>
  <si>
    <t>Input the Crop Number:</t>
  </si>
  <si>
    <t>Crop Name:</t>
  </si>
  <si>
    <t>Percent of the season from date A to the growth date</t>
  </si>
  <si>
    <t>Maximum Kc:</t>
  </si>
  <si>
    <t>bare</t>
  </si>
  <si>
    <t>soil</t>
  </si>
  <si>
    <t>max</t>
  </si>
  <si>
    <t>Day of the year corresponding to growth dates</t>
  </si>
  <si>
    <t>TKc</t>
  </si>
  <si>
    <t>Cover Crop Contribution:</t>
  </si>
  <si>
    <t>Type</t>
  </si>
  <si>
    <t xml:space="preserve">      Ke  -   Soil Evap Coefficient</t>
  </si>
  <si>
    <t>Imm Kc</t>
  </si>
  <si>
    <t>Grapevines (wine)</t>
  </si>
  <si>
    <t>Grapevines (table, raisin)</t>
  </si>
  <si>
    <t>Shade</t>
  </si>
  <si>
    <t>%</t>
  </si>
  <si>
    <t>Shading Correction</t>
  </si>
  <si>
    <t>mm/day</t>
  </si>
  <si>
    <r>
      <t>o</t>
    </r>
    <r>
      <rPr>
        <b/>
        <sz val="10"/>
        <rFont val="Arial"/>
        <family val="2"/>
      </rPr>
      <t>C</t>
    </r>
  </si>
  <si>
    <t>Tx (C)</t>
  </si>
  <si>
    <t>Tn (C)</t>
  </si>
  <si>
    <t xml:space="preserve">  Year</t>
  </si>
  <si>
    <t xml:space="preserve">  Mon</t>
  </si>
  <si>
    <t xml:space="preserve"> Day</t>
  </si>
  <si>
    <t xml:space="preserve"> DOY</t>
  </si>
  <si>
    <t xml:space="preserve">   Solar</t>
  </si>
  <si>
    <t xml:space="preserve">    TMax</t>
  </si>
  <si>
    <t xml:space="preserve">    TMin</t>
  </si>
  <si>
    <t xml:space="preserve">    Wind</t>
  </si>
  <si>
    <t xml:space="preserve">      Td</t>
  </si>
  <si>
    <t xml:space="preserve">     Pcp</t>
  </si>
  <si>
    <t xml:space="preserve">     ETo</t>
  </si>
  <si>
    <t xml:space="preserve">     #</t>
  </si>
  <si>
    <t xml:space="preserve">    #</t>
  </si>
  <si>
    <t xml:space="preserve">   #</t>
  </si>
  <si>
    <t xml:space="preserve">  MJ/m^2</t>
  </si>
  <si>
    <t xml:space="preserve">      oC</t>
  </si>
  <si>
    <t xml:space="preserve">     m/s</t>
  </si>
  <si>
    <t xml:space="preserve">      mm</t>
  </si>
  <si>
    <t>Kc</t>
  </si>
  <si>
    <t xml:space="preserve">Single </t>
  </si>
  <si>
    <t>Method</t>
  </si>
  <si>
    <t>Irrigation Correction</t>
  </si>
  <si>
    <t>Ki</t>
  </si>
  <si>
    <t>DCTe</t>
  </si>
  <si>
    <t>DCTi</t>
  </si>
  <si>
    <t>Irrig</t>
  </si>
  <si>
    <t xml:space="preserve">Table </t>
  </si>
  <si>
    <t>(mm)</t>
  </si>
  <si>
    <t>CIrrig</t>
  </si>
  <si>
    <t>Dual Kc</t>
  </si>
  <si>
    <t xml:space="preserve">    Rainfall Correction</t>
  </si>
  <si>
    <t>Dual</t>
  </si>
  <si>
    <t>Depl.</t>
  </si>
  <si>
    <t>Basal</t>
  </si>
  <si>
    <t xml:space="preserve">           Cover Crop</t>
  </si>
  <si>
    <t xml:space="preserve">w/o Cover </t>
  </si>
  <si>
    <t xml:space="preserve">          Irrigation Correction</t>
  </si>
  <si>
    <t>Single</t>
  </si>
  <si>
    <t xml:space="preserve"> Single Kc</t>
  </si>
  <si>
    <t>A-B</t>
  </si>
  <si>
    <t>Linear</t>
  </si>
  <si>
    <t>Rain</t>
  </si>
  <si>
    <t>Adjusted</t>
  </si>
  <si>
    <t># days</t>
  </si>
  <si>
    <t xml:space="preserve">   Crop Coefficient  (from Single Kc)</t>
  </si>
  <si>
    <t>Worksheets</t>
  </si>
  <si>
    <t>Kc Info</t>
  </si>
  <si>
    <t>Climate</t>
  </si>
  <si>
    <t>Weather</t>
  </si>
  <si>
    <t>DailyMet</t>
  </si>
  <si>
    <t>CropList</t>
  </si>
  <si>
    <t>Input</t>
  </si>
  <si>
    <t>Monthly</t>
  </si>
  <si>
    <t>Immature</t>
  </si>
  <si>
    <t>Kc_A_DD</t>
  </si>
  <si>
    <t>Kc_T_DD</t>
  </si>
  <si>
    <t>STvsAM_oD</t>
  </si>
  <si>
    <t>Instructions:</t>
  </si>
  <si>
    <t xml:space="preserve"> for several different field crops and trees.</t>
  </si>
  <si>
    <t>This program helps to determine crop coefficient values</t>
  </si>
  <si>
    <t>The model includes precipitations and irrigation corrections.</t>
  </si>
  <si>
    <t>The worksheet allows you to compute the basal Kc, the dual Kc, the single Kc and to make to proper adjustment for irrigation and rainfall.</t>
  </si>
  <si>
    <t>date C:</t>
  </si>
  <si>
    <t>date D:</t>
  </si>
  <si>
    <t>Hgt (m):</t>
  </si>
  <si>
    <t>Kcmid:</t>
  </si>
  <si>
    <t>Kcmid</t>
  </si>
  <si>
    <t>Lat.</t>
  </si>
  <si>
    <t>Elev</t>
  </si>
  <si>
    <t>Station</t>
  </si>
  <si>
    <t>Periods</t>
  </si>
  <si>
    <t>then</t>
  </si>
  <si>
    <t>Sub</t>
  </si>
  <si>
    <t>= rc</t>
  </si>
  <si>
    <t>= ra*U2</t>
  </si>
  <si>
    <t>= rc/(ra*U2)</t>
  </si>
  <si>
    <r>
      <t>s m</t>
    </r>
    <r>
      <rPr>
        <vertAlign val="superscript"/>
        <sz val="10"/>
        <rFont val="Arial"/>
        <family val="2"/>
      </rPr>
      <t>-1</t>
    </r>
  </si>
  <si>
    <r>
      <t>Canopy Resistance (r</t>
    </r>
    <r>
      <rPr>
        <vertAlign val="subscript"/>
        <sz val="10"/>
        <rFont val="Arial"/>
        <family val="2"/>
      </rPr>
      <t>c</t>
    </r>
    <r>
      <rPr>
        <sz val="10"/>
        <rFont val="Arial"/>
        <family val="2"/>
      </rPr>
      <t xml:space="preserve">) =    </t>
    </r>
  </si>
  <si>
    <r>
      <t>Default r</t>
    </r>
    <r>
      <rPr>
        <vertAlign val="subscript"/>
        <sz val="10"/>
        <rFont val="Arial"/>
        <family val="2"/>
      </rPr>
      <t>c</t>
    </r>
    <r>
      <rPr>
        <sz val="10"/>
        <rFont val="Arial"/>
        <family val="2"/>
      </rPr>
      <t xml:space="preserve"> = </t>
    </r>
  </si>
  <si>
    <t>soil evaporation on the same date.  The smaller of the two values is selected for the basal Kc on date B.  This approach will lower the basal Kc on date B from the</t>
  </si>
  <si>
    <t>table value in locations where precipitation is likely lower than at the site where the table value was originally determined. Thus, we can adjust the basal Kc on date B</t>
  </si>
  <si>
    <t xml:space="preserve">downward, but we do not increase the basal Kc to adjust for locations with higher rainfall.  We have no information to justify the magnitude for an increase in the basal </t>
  </si>
  <si>
    <t xml:space="preserve">Kc on date B due to precipitation.  This is acceptable, because the model will adjust the dual Kc upward to adust for rainfall during the season. </t>
  </si>
  <si>
    <t>A linear interpolation is used to estimate the basal Kc between the selected Kc on date B and the climate adusted date C.  The same procedure used to determine</t>
  </si>
  <si>
    <t xml:space="preserve">the Kc on date B is used to adjust for soil evaporation on date E.  That is, the table Kc on date E is used if the value is less than the bare soil Kc on that date. It is </t>
  </si>
  <si>
    <t xml:space="preserve">lowered to the bare soil Kc if that value is less than the table Kc value.  Thus, the Kc at the end of the season is lowered for locations having </t>
  </si>
  <si>
    <t xml:space="preserve">less precipitation at the end of the season.  Thebasal Kc on date E is not increased above the table value because of lack of information and the fact that </t>
  </si>
  <si>
    <t>the dual Kc will adjust for higher precipitation at the end of the season.</t>
  </si>
  <si>
    <t xml:space="preserve">To estimate bare soil Kc values (Ke) that depend on rainfall, we calculate the square root of cumulative ETo on each day of the year until precipitation is recorded.   </t>
  </si>
  <si>
    <t xml:space="preserve">To estimate bare soil Kc values (Ki) that depend on irrigation, we calculate the square root of cumulative ETo on each day of the year until an irrigation is recorded.   </t>
  </si>
  <si>
    <r>
      <t>K</t>
    </r>
    <r>
      <rPr>
        <i/>
        <vertAlign val="subscript"/>
        <sz val="12"/>
        <rFont val="Times New Roman"/>
        <family val="1"/>
      </rPr>
      <t>e</t>
    </r>
    <r>
      <rPr>
        <sz val="12"/>
        <rFont val="Times New Roman"/>
        <family val="1"/>
      </rPr>
      <t xml:space="preserve"> = 2.725(</t>
    </r>
    <r>
      <rPr>
        <sz val="12"/>
        <rFont val="Symbol"/>
        <family val="1"/>
        <charset val="2"/>
      </rPr>
      <t>å</t>
    </r>
    <r>
      <rPr>
        <i/>
        <sz val="12"/>
        <rFont val="Times New Roman"/>
        <family val="1"/>
      </rPr>
      <t>ET</t>
    </r>
    <r>
      <rPr>
        <i/>
        <vertAlign val="subscript"/>
        <sz val="12"/>
        <rFont val="Times New Roman"/>
        <family val="1"/>
      </rPr>
      <t>o</t>
    </r>
    <r>
      <rPr>
        <sz val="12"/>
        <rFont val="Times New Roman"/>
        <family val="1"/>
      </rPr>
      <t>)</t>
    </r>
    <r>
      <rPr>
        <vertAlign val="superscript"/>
        <sz val="12"/>
        <rFont val="Times New Roman"/>
        <family val="1"/>
      </rPr>
      <t>-0.516</t>
    </r>
  </si>
  <si>
    <t>The Ke value is not permitted to exceed 1.20.</t>
  </si>
  <si>
    <t xml:space="preserve">The program tests to see if the irrigation depth is greater than two times ETo on that day.  If so,the Ki value is calculated as: </t>
  </si>
  <si>
    <t>The Ki value is not permitted to exceed 1.20.</t>
  </si>
  <si>
    <r>
      <t>K</t>
    </r>
    <r>
      <rPr>
        <i/>
        <vertAlign val="subscript"/>
        <sz val="12"/>
        <rFont val="Times New Roman"/>
        <family val="1"/>
      </rPr>
      <t>i</t>
    </r>
    <r>
      <rPr>
        <sz val="12"/>
        <rFont val="Times New Roman"/>
        <family val="1"/>
      </rPr>
      <t xml:space="preserve"> = 2.725(</t>
    </r>
    <r>
      <rPr>
        <sz val="12"/>
        <rFont val="Symbol"/>
        <family val="1"/>
        <charset val="2"/>
      </rPr>
      <t>å</t>
    </r>
    <r>
      <rPr>
        <i/>
        <sz val="12"/>
        <rFont val="Times New Roman"/>
        <family val="1"/>
      </rPr>
      <t>ET</t>
    </r>
    <r>
      <rPr>
        <i/>
        <vertAlign val="subscript"/>
        <sz val="12"/>
        <rFont val="Times New Roman"/>
        <family val="1"/>
      </rPr>
      <t>o</t>
    </r>
    <r>
      <rPr>
        <sz val="12"/>
        <rFont val="Times New Roman"/>
        <family val="1"/>
      </rPr>
      <t>)</t>
    </r>
    <r>
      <rPr>
        <vertAlign val="superscript"/>
        <sz val="12"/>
        <rFont val="Times New Roman"/>
        <family val="1"/>
      </rPr>
      <t>-0.516</t>
    </r>
  </si>
  <si>
    <t>adjusted basal Kc in the model.  Next we determine the basal Kc on date B at the onset of the rapid growth period by comparing the table Kc on date B with estimated bare</t>
  </si>
  <si>
    <t xml:space="preserve">In the input worksheet, we start with our best guess at the basal Kc values for the crop based on the Kc estimate for a climate having a midseason ETo rate of about 7.3 mm/day. </t>
  </si>
  <si>
    <t xml:space="preserve">Using the July mean daily ETo rate, we  calculate the climate correction for basal Kc values during midseason using the equation: </t>
  </si>
  <si>
    <r>
      <t>Thus, for a K</t>
    </r>
    <r>
      <rPr>
        <vertAlign val="subscript"/>
        <sz val="10"/>
        <rFont val="Arial"/>
        <family val="2"/>
      </rPr>
      <t>cmid</t>
    </r>
    <r>
      <rPr>
        <sz val="10"/>
        <rFont val="Arial"/>
        <family val="2"/>
      </rPr>
      <t xml:space="preserve"> &gt; 1.0 in a climate with ETo=7.3, the Kcmid value will be higher in a climate with ETo&gt;7.3 and it will be lower in a climate with ETo&lt;7.3 The Kcmid value is used as the</t>
    </r>
  </si>
  <si>
    <r>
      <t>The K</t>
    </r>
    <r>
      <rPr>
        <vertAlign val="subscript"/>
        <sz val="10"/>
        <rFont val="Arial"/>
        <family val="2"/>
      </rPr>
      <t>ctab</t>
    </r>
    <r>
      <rPr>
        <sz val="10"/>
        <rFont val="Arial"/>
        <family val="2"/>
      </rPr>
      <t xml:space="preserve"> value is the crop coefficient extracted from a table of Kc values for a climate having a midseason daily mean ETo rate of 7.3 mm, which Is the July ETo rate for Davis, California </t>
    </r>
  </si>
  <si>
    <t>Kb</t>
  </si>
  <si>
    <t>Kb or</t>
  </si>
  <si>
    <t>Kb' or</t>
  </si>
  <si>
    <t>Midseason Crop Height (m):</t>
  </si>
  <si>
    <t xml:space="preserve">Irrigation Surface Area Wetted (%): </t>
  </si>
  <si>
    <t>Start Gnd Cover #2 Date:</t>
  </si>
  <si>
    <t>End Gnd Cover #2 Date:</t>
  </si>
  <si>
    <t>End Gnd Cover #1 Date:</t>
  </si>
  <si>
    <t>Start Gnd Cover #1 Date:</t>
  </si>
  <si>
    <t xml:space="preserve"> Ground shading on date B (%): </t>
  </si>
  <si>
    <t xml:space="preserve"> Ground shading on date C (%): </t>
  </si>
  <si>
    <t xml:space="preserve"> Ground shading on date D (%): </t>
  </si>
  <si>
    <t xml:space="preserve"> Ground shading on date E (%): </t>
  </si>
  <si>
    <t>Clim.Adj.Kc</t>
  </si>
  <si>
    <t>Type 3</t>
  </si>
  <si>
    <t>Type 4</t>
  </si>
  <si>
    <t xml:space="preserve"> Ground shading on date A (%): </t>
  </si>
  <si>
    <t>RainDay</t>
  </si>
  <si>
    <t>Total</t>
  </si>
  <si>
    <t>Available</t>
  </si>
  <si>
    <t>Cum</t>
  </si>
  <si>
    <t>Plant</t>
  </si>
  <si>
    <t>Yield</t>
  </si>
  <si>
    <t>Water</t>
  </si>
  <si>
    <t>Field</t>
  </si>
  <si>
    <t xml:space="preserve">Available </t>
  </si>
  <si>
    <t>Threshold</t>
  </si>
  <si>
    <t>Rooting</t>
  </si>
  <si>
    <t>Holding</t>
  </si>
  <si>
    <t>Capacity</t>
  </si>
  <si>
    <t>Allowable</t>
  </si>
  <si>
    <t>Depletion</t>
  </si>
  <si>
    <t xml:space="preserve">wetted </t>
  </si>
  <si>
    <t>adjusted</t>
  </si>
  <si>
    <t>Depth</t>
  </si>
  <si>
    <t>CFC</t>
  </si>
  <si>
    <t>PAW</t>
  </si>
  <si>
    <t>YTD</t>
  </si>
  <si>
    <t>volume</t>
  </si>
  <si>
    <t>ytd</t>
  </si>
  <si>
    <t>PWP</t>
  </si>
  <si>
    <t>m</t>
  </si>
  <si>
    <t>m/m</t>
  </si>
  <si>
    <t>YT</t>
  </si>
  <si>
    <t>Maximum YTD</t>
  </si>
  <si>
    <t>Maximum PAW</t>
  </si>
  <si>
    <t>Table</t>
  </si>
  <si>
    <t>Selected</t>
  </si>
  <si>
    <t>Calculated</t>
  </si>
  <si>
    <t>RHx</t>
  </si>
  <si>
    <t>RHn</t>
  </si>
  <si>
    <t>eTx</t>
  </si>
  <si>
    <t>eTn</t>
  </si>
  <si>
    <t>e</t>
  </si>
  <si>
    <t>b</t>
  </si>
  <si>
    <t>Td</t>
  </si>
  <si>
    <t>T'd</t>
  </si>
  <si>
    <t>esTx</t>
  </si>
  <si>
    <t>esTn</t>
  </si>
  <si>
    <r>
      <t>mm d</t>
    </r>
    <r>
      <rPr>
        <b/>
        <vertAlign val="superscript"/>
        <sz val="14"/>
        <rFont val="Arial"/>
        <family val="2"/>
      </rPr>
      <t>-1</t>
    </r>
  </si>
  <si>
    <t>Slope B-C&amp;D-E</t>
  </si>
  <si>
    <t>Period</t>
  </si>
  <si>
    <r>
      <rPr>
        <vertAlign val="superscript"/>
        <sz val="11"/>
        <rFont val="Arial"/>
        <family val="2"/>
      </rPr>
      <t>o</t>
    </r>
    <r>
      <rPr>
        <sz val="11"/>
        <rFont val="Arial"/>
        <family val="2"/>
      </rPr>
      <t>D upper threshold (</t>
    </r>
    <r>
      <rPr>
        <vertAlign val="superscript"/>
        <sz val="11"/>
        <rFont val="Arial"/>
        <family val="2"/>
      </rPr>
      <t>o</t>
    </r>
    <r>
      <rPr>
        <sz val="11"/>
        <rFont val="Arial"/>
        <family val="2"/>
      </rPr>
      <t>C):</t>
    </r>
  </si>
  <si>
    <r>
      <rPr>
        <vertAlign val="superscript"/>
        <sz val="11"/>
        <rFont val="Arial"/>
        <family val="2"/>
      </rPr>
      <t>o</t>
    </r>
    <r>
      <rPr>
        <sz val="11"/>
        <rFont val="Arial"/>
        <family val="2"/>
      </rPr>
      <t>D lower threshold (</t>
    </r>
    <r>
      <rPr>
        <vertAlign val="superscript"/>
        <sz val="11"/>
        <rFont val="Arial"/>
        <family val="2"/>
      </rPr>
      <t>o</t>
    </r>
    <r>
      <rPr>
        <sz val="11"/>
        <rFont val="Arial"/>
        <family val="2"/>
      </rPr>
      <t>C):</t>
    </r>
  </si>
  <si>
    <t>oD</t>
  </si>
  <si>
    <r>
      <t>C</t>
    </r>
    <r>
      <rPr>
        <vertAlign val="superscript"/>
        <sz val="11"/>
        <rFont val="Arial"/>
        <family val="2"/>
      </rPr>
      <t>o</t>
    </r>
    <r>
      <rPr>
        <sz val="11"/>
        <rFont val="Arial"/>
        <family val="2"/>
      </rPr>
      <t>D</t>
    </r>
  </si>
  <si>
    <r>
      <t>o</t>
    </r>
    <r>
      <rPr>
        <sz val="11"/>
        <rFont val="Arial"/>
        <family val="2"/>
      </rPr>
      <t>D</t>
    </r>
    <r>
      <rPr>
        <vertAlign val="subscript"/>
        <sz val="11"/>
        <rFont val="Arial"/>
        <family val="2"/>
      </rPr>
      <t>U</t>
    </r>
  </si>
  <si>
    <r>
      <t>o</t>
    </r>
    <r>
      <rPr>
        <sz val="11"/>
        <rFont val="Arial"/>
        <family val="2"/>
      </rPr>
      <t>D</t>
    </r>
    <r>
      <rPr>
        <vertAlign val="subscript"/>
        <sz val="11"/>
        <rFont val="Arial"/>
        <family val="2"/>
      </rPr>
      <t>L</t>
    </r>
  </si>
  <si>
    <r>
      <t>o</t>
    </r>
    <r>
      <rPr>
        <sz val="11"/>
        <rFont val="Arial"/>
        <family val="2"/>
      </rPr>
      <t>D</t>
    </r>
  </si>
  <si>
    <r>
      <t>Ke = 2.725(</t>
    </r>
    <r>
      <rPr>
        <sz val="11"/>
        <rFont val="Symbol"/>
        <family val="1"/>
        <charset val="2"/>
      </rPr>
      <t>å</t>
    </r>
    <r>
      <rPr>
        <sz val="11"/>
        <rFont val="Arial"/>
        <family val="2"/>
      </rPr>
      <t>ETo)</t>
    </r>
    <r>
      <rPr>
        <vertAlign val="superscript"/>
        <sz val="11"/>
        <rFont val="Arial"/>
        <family val="2"/>
      </rPr>
      <t>-0.517</t>
    </r>
    <r>
      <rPr>
        <sz val="11"/>
        <color indexed="8"/>
        <rFont val="Calibri"/>
        <family val="2"/>
      </rPr>
      <t/>
    </r>
  </si>
  <si>
    <r>
      <t>Ki = 2.725(</t>
    </r>
    <r>
      <rPr>
        <sz val="11"/>
        <rFont val="Symbol"/>
        <family val="1"/>
        <charset val="2"/>
      </rPr>
      <t>å</t>
    </r>
    <r>
      <rPr>
        <sz val="11"/>
        <rFont val="Arial"/>
        <family val="2"/>
      </rPr>
      <t>ETo)</t>
    </r>
    <r>
      <rPr>
        <vertAlign val="superscript"/>
        <sz val="11"/>
        <rFont val="Arial"/>
        <family val="2"/>
      </rPr>
      <t>-0.517</t>
    </r>
    <r>
      <rPr>
        <sz val="11"/>
        <color indexed="8"/>
        <rFont val="Calibri"/>
        <family val="2"/>
      </rPr>
      <t/>
    </r>
  </si>
  <si>
    <r>
      <t>If T</t>
    </r>
    <r>
      <rPr>
        <b/>
        <vertAlign val="subscript"/>
        <sz val="11"/>
        <rFont val="Arial"/>
        <family val="2"/>
      </rPr>
      <t>x</t>
    </r>
    <r>
      <rPr>
        <b/>
        <sz val="11"/>
        <rFont val="Arial"/>
        <family val="2"/>
      </rPr>
      <t>=T</t>
    </r>
    <r>
      <rPr>
        <b/>
        <vertAlign val="subscript"/>
        <sz val="11"/>
        <rFont val="Arial"/>
        <family val="2"/>
      </rPr>
      <t>u</t>
    </r>
  </si>
  <si>
    <r>
      <t>If T</t>
    </r>
    <r>
      <rPr>
        <b/>
        <vertAlign val="subscript"/>
        <sz val="11"/>
        <rFont val="Arial"/>
        <family val="2"/>
      </rPr>
      <t>n</t>
    </r>
    <r>
      <rPr>
        <b/>
        <sz val="11"/>
        <rFont val="Arial"/>
        <family val="2"/>
      </rPr>
      <t>&lt;T</t>
    </r>
    <r>
      <rPr>
        <b/>
        <vertAlign val="subscript"/>
        <sz val="11"/>
        <rFont val="Arial"/>
        <family val="2"/>
      </rPr>
      <t>L</t>
    </r>
  </si>
  <si>
    <r>
      <rPr>
        <b/>
        <vertAlign val="superscript"/>
        <sz val="11"/>
        <rFont val="Arial"/>
        <family val="2"/>
      </rPr>
      <t>o</t>
    </r>
    <r>
      <rPr>
        <b/>
        <sz val="11"/>
        <rFont val="Arial"/>
        <family val="2"/>
      </rPr>
      <t>D=T</t>
    </r>
    <r>
      <rPr>
        <b/>
        <vertAlign val="subscript"/>
        <sz val="11"/>
        <rFont val="Arial"/>
        <family val="2"/>
      </rPr>
      <t>n</t>
    </r>
    <r>
      <rPr>
        <b/>
        <sz val="11"/>
        <rFont val="Arial"/>
        <family val="2"/>
      </rPr>
      <t>-T</t>
    </r>
    <r>
      <rPr>
        <b/>
        <vertAlign val="subscript"/>
        <sz val="11"/>
        <rFont val="Arial"/>
        <family val="2"/>
      </rPr>
      <t>L</t>
    </r>
  </si>
  <si>
    <r>
      <rPr>
        <b/>
        <sz val="11"/>
        <rFont val="Symbol"/>
        <family val="1"/>
        <charset val="2"/>
      </rPr>
      <t>å</t>
    </r>
    <r>
      <rPr>
        <b/>
        <sz val="11"/>
        <rFont val="Arial"/>
        <family val="2"/>
      </rPr>
      <t>ETo</t>
    </r>
  </si>
  <si>
    <r>
      <t>T</t>
    </r>
    <r>
      <rPr>
        <b/>
        <vertAlign val="subscript"/>
        <sz val="11"/>
        <rFont val="Arial"/>
        <family val="2"/>
      </rPr>
      <t>x</t>
    </r>
    <r>
      <rPr>
        <b/>
        <sz val="11"/>
        <rFont val="Arial"/>
        <family val="2"/>
      </rPr>
      <t>=T</t>
    </r>
    <r>
      <rPr>
        <b/>
        <vertAlign val="subscript"/>
        <sz val="11"/>
        <rFont val="Arial"/>
        <family val="2"/>
      </rPr>
      <t>u</t>
    </r>
  </si>
  <si>
    <r>
      <t>T</t>
    </r>
    <r>
      <rPr>
        <b/>
        <vertAlign val="subscript"/>
        <sz val="11"/>
        <rFont val="Arial"/>
        <family val="2"/>
      </rPr>
      <t>n</t>
    </r>
    <r>
      <rPr>
        <b/>
        <sz val="11"/>
        <rFont val="Arial"/>
        <family val="2"/>
      </rPr>
      <t>=T</t>
    </r>
    <r>
      <rPr>
        <b/>
        <vertAlign val="subscript"/>
        <sz val="11"/>
        <rFont val="Arial"/>
        <family val="2"/>
      </rPr>
      <t>L</t>
    </r>
  </si>
  <si>
    <r>
      <t>(mm d</t>
    </r>
    <r>
      <rPr>
        <b/>
        <vertAlign val="superscript"/>
        <sz val="11"/>
        <rFont val="Arial"/>
        <family val="2"/>
      </rPr>
      <t>-1</t>
    </r>
    <r>
      <rPr>
        <b/>
        <sz val="11"/>
        <rFont val="Arial"/>
        <family val="2"/>
      </rPr>
      <t>)</t>
    </r>
  </si>
  <si>
    <r>
      <t>mm d</t>
    </r>
    <r>
      <rPr>
        <b/>
        <vertAlign val="superscript"/>
        <sz val="11"/>
        <rFont val="Arial"/>
        <family val="2"/>
      </rPr>
      <t>-1</t>
    </r>
  </si>
  <si>
    <t>Kc =</t>
  </si>
  <si>
    <t>Dual CETc</t>
  </si>
  <si>
    <t xml:space="preserve">Kc </t>
  </si>
  <si>
    <t>SKc</t>
  </si>
  <si>
    <t>DKc</t>
  </si>
  <si>
    <t>DKc+Kcc</t>
  </si>
  <si>
    <t>Ref</t>
  </si>
  <si>
    <t xml:space="preserve">        Rainfall Correction</t>
  </si>
  <si>
    <t>Syst cor</t>
  </si>
  <si>
    <t>Historic</t>
  </si>
  <si>
    <t>Cu.Spline</t>
  </si>
  <si>
    <t xml:space="preserve">   Crop Coefficient from Dual Kc</t>
  </si>
  <si>
    <t>Crop Evapotranspiration from Dual Kc (mm/day)</t>
  </si>
  <si>
    <t>Cumulative ETc  from Dual Kc (mm)</t>
  </si>
  <si>
    <t>Crop Evapotranspiration from Single Kc (mm/day)</t>
  </si>
  <si>
    <t>Cumulative ETc  from Single Kc (mm)</t>
  </si>
  <si>
    <t xml:space="preserve">       ETo - Reference Evapotranspiration   (mm/day)</t>
  </si>
  <si>
    <t>FC-YTD</t>
  </si>
  <si>
    <t>FC-PWP</t>
  </si>
  <si>
    <t>The last irrigation should occur when</t>
  </si>
  <si>
    <t>the CIrr falls between FC-YTD and FC-PWP</t>
  </si>
  <si>
    <t xml:space="preserve"> Starting Year:</t>
  </si>
  <si>
    <t>Week</t>
  </si>
  <si>
    <t>Ending</t>
  </si>
  <si>
    <t>Count</t>
  </si>
  <si>
    <t>date</t>
  </si>
  <si>
    <t>Num</t>
  </si>
  <si>
    <t>days</t>
  </si>
  <si>
    <t>mm/d</t>
  </si>
  <si>
    <t xml:space="preserve">Using the maximum YTD, compare with </t>
  </si>
  <si>
    <t>the Depl. values and enter an</t>
  </si>
  <si>
    <t xml:space="preserve">irrigation equal to the Max PAW </t>
  </si>
  <si>
    <t>when the Depl. exceeds the Max PAW</t>
  </si>
  <si>
    <t>Enter the soil and crop root information</t>
  </si>
  <si>
    <t>in the YTD worksheet. The Max YTD and</t>
  </si>
  <si>
    <t>Max PAW will automatically appear below.</t>
  </si>
  <si>
    <t>Use the to find the last irrigation.</t>
  </si>
  <si>
    <t xml:space="preserve">Rapid </t>
  </si>
  <si>
    <t>Table Rapid</t>
  </si>
  <si>
    <t>Dual Rapid</t>
  </si>
  <si>
    <t>Late</t>
  </si>
  <si>
    <t>Table Late</t>
  </si>
  <si>
    <t>Dual Late</t>
  </si>
  <si>
    <t>Cesena</t>
  </si>
  <si>
    <t>The program tests to see if the precipitation is greater than two times ETo on that day.  If so, the Ke value is calculated as: cumulative</t>
  </si>
  <si>
    <t>Written July 2009</t>
  </si>
  <si>
    <r>
      <t>1</t>
    </r>
    <r>
      <rPr>
        <b/>
        <vertAlign val="superscript"/>
        <sz val="16"/>
        <rFont val="Arial"/>
        <family val="2"/>
      </rPr>
      <t>st</t>
    </r>
    <r>
      <rPr>
        <b/>
        <sz val="16"/>
        <rFont val="Arial"/>
        <family val="2"/>
      </rPr>
      <t xml:space="preserve"> Revision July 2010</t>
    </r>
  </si>
  <si>
    <r>
      <t>2</t>
    </r>
    <r>
      <rPr>
        <b/>
        <vertAlign val="superscript"/>
        <sz val="16"/>
        <rFont val="Arial"/>
        <family val="2"/>
      </rPr>
      <t>nd</t>
    </r>
    <r>
      <rPr>
        <b/>
        <sz val="16"/>
        <rFont val="Arial"/>
        <family val="2"/>
      </rPr>
      <t xml:space="preserve"> Revision July 2018</t>
    </r>
  </si>
  <si>
    <t>The ETo trend is graphically presented in this worksheet</t>
  </si>
  <si>
    <t>The single, and dual ETc trend is graphically presented in this worksheet</t>
  </si>
  <si>
    <t>Daily</t>
  </si>
  <si>
    <t>Weekly</t>
  </si>
  <si>
    <t>The statistical correlation between the Kc values calculated with the two methods (aronomic and triangle) is shown in the STvsAM_oD worksheet</t>
  </si>
  <si>
    <t xml:space="preserve">The crops are divided into four main categories as described in column C: </t>
  </si>
  <si>
    <t>1) seasonal field crops: their leaves and canopies change during the season;</t>
  </si>
  <si>
    <t>2) annual field crops: their leaves and canopies change during the season;</t>
  </si>
  <si>
    <t>3) deciduous tree and vine crops that lose their leaves in the off-season;</t>
  </si>
  <si>
    <t>4) subtropical and other orchards that do not lose their leaves.</t>
  </si>
  <si>
    <t>For every crop, the program provides you with the percentage of growing season from date A to B, A to C, and A to D periods in spreadsheet columns D, E, and F:</t>
  </si>
  <si>
    <t>A-B=initial growth, B-C=rapid growth, C-D=midseason, and D-E late-season.</t>
  </si>
  <si>
    <t>Crop coefficients values (Kc) are listed in columns G,H,I, and J, and they correspond to the Kc values on dates A-B, C, D, and E, respectively:</t>
  </si>
  <si>
    <t>Kc initial growth, Kc beginning of midseason, Kc end of midseason, Kc end-season.</t>
  </si>
  <si>
    <t xml:space="preserve">The season starting date (columns K, L) and ending date (columns M, N) are specified for each crop (Month, Day). </t>
  </si>
  <si>
    <t>The end dates of each growing stage (A, B, C, D, and E) are shown in (columns O, P, Q, R, S) in the form: da-mon-yr.</t>
  </si>
  <si>
    <t>The slopes of Kc lines versus date are provided for rapid growth (B-C), midseason (C-D), and late-season (D-E) are provided in columns T,U, and V, respectively.</t>
  </si>
  <si>
    <t>To select a crop for analysis, write the number from column A corresponding to the crop of interest into the "CropList" worksheet (column A).</t>
  </si>
  <si>
    <t>Enter daily current ETo data if desired.   When unavailable, the model automatically uses historical data calculated from the climate data. Temperature (min. and max.) and precipitation can be input but not directly used.</t>
  </si>
  <si>
    <r>
      <t xml:space="preserve">      </t>
    </r>
    <r>
      <rPr>
        <vertAlign val="superscript"/>
        <sz val="11"/>
        <color theme="1"/>
        <rFont val="Calibri"/>
        <family val="2"/>
        <scheme val="minor"/>
      </rPr>
      <t>o</t>
    </r>
    <r>
      <rPr>
        <sz val="11"/>
        <color theme="1"/>
        <rFont val="Calibri"/>
        <family val="2"/>
        <scheme val="minor"/>
      </rPr>
      <t>C</t>
    </r>
  </si>
  <si>
    <t>Daily data entered into the DailyMet worksheet are used in the Climate worksheet to calculate the monthly averages, including ETo</t>
  </si>
  <si>
    <t>Write the number of the crop of interest from the "Kc Info" worksheet into column A of the "Crop List" worksheet to determine the Kc curve for that crop.</t>
  </si>
  <si>
    <t>This is the first step to compile the "Input"worksheet, which presents all of the crop informations;</t>
  </si>
  <si>
    <t>This graph shows the crop growth during the season (blue line) and the irrigation applied (red line).</t>
  </si>
  <si>
    <t xml:space="preserve">To simulate the irrigation contribution, input the irrigation amount in mm (column G) in the row corresponding to the assumed water depletion (column F). </t>
  </si>
  <si>
    <t>Select the interested crop by writing the corresponding number into cell G3: the crop name appears in G4 and the crop type number appears in cell H1.</t>
  </si>
  <si>
    <t>You can choose the the year of interest (G2) and the program shows  if it is a leap year or not in H2 (0= no leap year; 1= leap year).</t>
  </si>
  <si>
    <t>The beta factor input into cell G5 is a soil characterization factor that describes the hydraulic soil properties.</t>
  </si>
  <si>
    <t>The single and dual cumulative ETc trend is graphically presented in this worksheet</t>
  </si>
  <si>
    <t>The bare soil Ke, tabular basal Kc, single Kc, and dual Kc trends are graphically presented in this worksheet</t>
  </si>
  <si>
    <t>The Daily values for ETo, bare soil (Ke), single and dual Kc, single and dual ETc, single and dual CETc are summerized in this table</t>
  </si>
  <si>
    <t>The Weekly values for ETo, bare soil (Ke), single and dual Kc, single and dual ETc, single and dual CETc are summerized in this table</t>
  </si>
  <si>
    <t>The Monthly values for ETo, bare soil (Ke), single and dual Kc, single and dual ETc, single and dual CETc are summerized in this table</t>
  </si>
  <si>
    <t>The worksheet reports corrections for immature orchards. These values can be modified in the Input worksheet in column Q (cells 8-12), relative to the ground shading (%), for each growth phase</t>
  </si>
  <si>
    <t>The calculations for Kc related to the agronomic degree days method is made in the INPUT work-sheet (BH-BK) and reported in this worksheet</t>
  </si>
  <si>
    <t>The calculations for Kc related to the triangle degree days method is made in the INPUT work-sheet (BL-BO) and reported in this worksheet</t>
  </si>
  <si>
    <t>The worksheet provides you an alphabetical list of several crops in column B.</t>
  </si>
  <si>
    <r>
      <t>(mm d</t>
    </r>
    <r>
      <rPr>
        <vertAlign val="superscript"/>
        <sz val="10"/>
        <rFont val="Arial"/>
        <family val="2"/>
      </rPr>
      <t>-1</t>
    </r>
    <r>
      <rPr>
        <sz val="10"/>
        <rFont val="Arial"/>
        <family val="2"/>
      </rPr>
      <t>)</t>
    </r>
  </si>
  <si>
    <r>
      <t>d</t>
    </r>
    <r>
      <rPr>
        <vertAlign val="subscript"/>
        <sz val="10"/>
        <rFont val="Arial"/>
        <family val="2"/>
      </rPr>
      <t>f</t>
    </r>
  </si>
  <si>
    <t>Rs/Rso</t>
  </si>
  <si>
    <t>RAD</t>
  </si>
  <si>
    <t>AERO</t>
  </si>
  <si>
    <r>
      <t>ET</t>
    </r>
    <r>
      <rPr>
        <vertAlign val="subscript"/>
        <sz val="10"/>
        <rFont val="Arial"/>
        <family val="2"/>
      </rPr>
      <t>o</t>
    </r>
  </si>
  <si>
    <t>Hargreaves</t>
  </si>
  <si>
    <t>Samani</t>
  </si>
  <si>
    <t>KcTab</t>
  </si>
  <si>
    <r>
      <rPr>
        <sz val="10"/>
        <rFont val="Symbol"/>
        <family val="1"/>
        <charset val="2"/>
      </rPr>
      <t>D</t>
    </r>
    <r>
      <rPr>
        <sz val="10"/>
        <rFont val="Arial"/>
        <family val="2"/>
      </rPr>
      <t xml:space="preserve"> = slope at T</t>
    </r>
    <r>
      <rPr>
        <vertAlign val="subscript"/>
        <sz val="10"/>
        <rFont val="Arial"/>
        <family val="2"/>
      </rPr>
      <t>m</t>
    </r>
  </si>
  <si>
    <t>Lon.</t>
  </si>
  <si>
    <r>
      <t>July ET</t>
    </r>
    <r>
      <rPr>
        <vertAlign val="subscript"/>
        <sz val="10"/>
        <rFont val="Arial"/>
        <family val="2"/>
      </rPr>
      <t>o</t>
    </r>
  </si>
  <si>
    <t>Apple &amp; Pear</t>
  </si>
  <si>
    <r>
      <t>To simulate the effect of atmospheric CO</t>
    </r>
    <r>
      <rPr>
        <vertAlign val="subscript"/>
        <sz val="10"/>
        <rFont val="Arial"/>
        <family val="2"/>
      </rPr>
      <t>2</t>
    </r>
    <r>
      <rPr>
        <sz val="10"/>
        <rFont val="Arial"/>
        <family val="2"/>
      </rPr>
      <t xml:space="preserve"> increase on ETo due, increase the value for canopy resistance in cell N3.   The relationship between canopy resistance and CO</t>
    </r>
    <r>
      <rPr>
        <vertAlign val="subscript"/>
        <sz val="10"/>
        <rFont val="Arial"/>
        <family val="2"/>
      </rPr>
      <t>2</t>
    </r>
    <r>
      <rPr>
        <sz val="10"/>
        <rFont val="Arial"/>
        <family val="2"/>
      </rPr>
      <t xml:space="preserve"> is discussed in the book. </t>
    </r>
  </si>
</sst>
</file>

<file path=xl/styles.xml><?xml version="1.0" encoding="utf-8"?>
<styleSheet xmlns="http://schemas.openxmlformats.org/spreadsheetml/2006/main">
  <numFmts count="5">
    <numFmt numFmtId="164" formatCode="0.000"/>
    <numFmt numFmtId="165" formatCode="0.0"/>
    <numFmt numFmtId="166" formatCode="0.00000"/>
    <numFmt numFmtId="167" formatCode="[$-409]dd\-mmm\-yy;@"/>
    <numFmt numFmtId="168" formatCode="[$-409]d\-mmm\-yy;@"/>
  </numFmts>
  <fonts count="67">
    <font>
      <sz val="10"/>
      <name val="Arial"/>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sz val="10"/>
      <name val="Arial"/>
      <family val="2"/>
    </font>
    <font>
      <b/>
      <sz val="10"/>
      <color indexed="13"/>
      <name val="Arial"/>
      <family val="2"/>
    </font>
    <font>
      <vertAlign val="subscript"/>
      <sz val="10"/>
      <name val="Arial"/>
      <family val="2"/>
    </font>
    <font>
      <sz val="10"/>
      <name val="Arial"/>
      <family val="2"/>
    </font>
    <font>
      <sz val="10"/>
      <color indexed="55"/>
      <name val="Arial"/>
      <family val="2"/>
    </font>
    <font>
      <sz val="10"/>
      <name val="Symbol"/>
      <family val="1"/>
      <charset val="2"/>
    </font>
    <font>
      <b/>
      <sz val="10"/>
      <color indexed="9"/>
      <name val="Arial"/>
      <family val="2"/>
    </font>
    <font>
      <b/>
      <vertAlign val="subscript"/>
      <sz val="10"/>
      <color indexed="13"/>
      <name val="Arial"/>
      <family val="2"/>
    </font>
    <font>
      <b/>
      <sz val="8"/>
      <color indexed="13"/>
      <name val="Arial"/>
      <family val="2"/>
    </font>
    <font>
      <b/>
      <vertAlign val="superscript"/>
      <sz val="8"/>
      <color indexed="13"/>
      <name val="Arial"/>
      <family val="2"/>
    </font>
    <font>
      <vertAlign val="superscript"/>
      <sz val="10"/>
      <name val="Arial"/>
      <family val="2"/>
    </font>
    <font>
      <b/>
      <sz val="10"/>
      <color indexed="10"/>
      <name val="Arial"/>
      <family val="2"/>
    </font>
    <font>
      <sz val="10"/>
      <color indexed="8"/>
      <name val="Arial"/>
      <family val="2"/>
    </font>
    <font>
      <b/>
      <sz val="16"/>
      <name val="Arial"/>
      <family val="2"/>
    </font>
    <font>
      <b/>
      <sz val="12"/>
      <name val="Arial"/>
      <family val="2"/>
    </font>
    <font>
      <b/>
      <vertAlign val="superscript"/>
      <sz val="10"/>
      <name val="Arial"/>
      <family val="2"/>
    </font>
    <font>
      <sz val="16"/>
      <name val="Arial"/>
      <family val="2"/>
    </font>
    <font>
      <b/>
      <i/>
      <sz val="20"/>
      <name val="Arial"/>
      <family val="2"/>
    </font>
    <font>
      <b/>
      <i/>
      <sz val="26"/>
      <name val="Arial"/>
      <family val="2"/>
    </font>
    <font>
      <sz val="16"/>
      <name val="Arial"/>
      <family val="2"/>
    </font>
    <font>
      <b/>
      <sz val="14"/>
      <name val="Arial"/>
      <family val="2"/>
    </font>
    <font>
      <b/>
      <i/>
      <sz val="12"/>
      <name val="Arial"/>
      <family val="2"/>
    </font>
    <font>
      <b/>
      <i/>
      <sz val="10"/>
      <name val="Arial"/>
      <family val="2"/>
    </font>
    <font>
      <sz val="14"/>
      <name val="Arial"/>
      <family val="2"/>
    </font>
    <font>
      <b/>
      <sz val="14"/>
      <color indexed="12"/>
      <name val="Arial"/>
      <family val="2"/>
    </font>
    <font>
      <sz val="11"/>
      <name val="Arial"/>
      <family val="2"/>
    </font>
    <font>
      <b/>
      <vertAlign val="superscript"/>
      <sz val="16"/>
      <name val="Arial"/>
      <family val="2"/>
    </font>
    <font>
      <b/>
      <vertAlign val="superscript"/>
      <sz val="14"/>
      <name val="Arial"/>
      <family val="2"/>
    </font>
    <font>
      <b/>
      <sz val="14"/>
      <color indexed="40"/>
      <name val="Arial"/>
      <family val="2"/>
    </font>
    <font>
      <b/>
      <u/>
      <sz val="10"/>
      <name val="Arial"/>
      <family val="2"/>
    </font>
    <font>
      <sz val="10"/>
      <color indexed="55"/>
      <name val="Arial"/>
      <family val="2"/>
    </font>
    <font>
      <i/>
      <sz val="12"/>
      <name val="Times New Roman"/>
      <family val="1"/>
    </font>
    <font>
      <i/>
      <vertAlign val="subscript"/>
      <sz val="12"/>
      <name val="Times New Roman"/>
      <family val="1"/>
    </font>
    <font>
      <sz val="12"/>
      <name val="Times New Roman"/>
      <family val="1"/>
    </font>
    <font>
      <sz val="12"/>
      <name val="Symbol"/>
      <family val="1"/>
      <charset val="2"/>
    </font>
    <font>
      <vertAlign val="superscript"/>
      <sz val="12"/>
      <name val="Times New Roman"/>
      <family val="1"/>
    </font>
    <font>
      <b/>
      <sz val="10"/>
      <color indexed="55"/>
      <name val="Arial"/>
      <family val="2"/>
    </font>
    <font>
      <sz val="8"/>
      <name val="Arial"/>
      <family val="2"/>
    </font>
    <font>
      <b/>
      <sz val="9"/>
      <color indexed="81"/>
      <name val="Tahoma"/>
      <family val="2"/>
    </font>
    <font>
      <sz val="9"/>
      <color indexed="81"/>
      <name val="Tahoma"/>
      <family val="2"/>
    </font>
    <font>
      <b/>
      <sz val="11"/>
      <name val="Arial"/>
      <family val="2"/>
    </font>
    <font>
      <vertAlign val="superscript"/>
      <sz val="11"/>
      <name val="Arial"/>
      <family val="2"/>
    </font>
    <font>
      <b/>
      <sz val="11"/>
      <color indexed="22"/>
      <name val="Arial"/>
      <family val="2"/>
    </font>
    <font>
      <b/>
      <sz val="11"/>
      <color indexed="10"/>
      <name val="Arial"/>
      <family val="2"/>
    </font>
    <font>
      <vertAlign val="subscript"/>
      <sz val="11"/>
      <name val="Arial"/>
      <family val="2"/>
    </font>
    <font>
      <sz val="11"/>
      <name val="Symbol"/>
      <family val="1"/>
      <charset val="2"/>
    </font>
    <font>
      <b/>
      <vertAlign val="superscript"/>
      <sz val="11"/>
      <name val="Arial"/>
      <family val="2"/>
    </font>
    <font>
      <b/>
      <vertAlign val="subscript"/>
      <sz val="11"/>
      <name val="Arial"/>
      <family val="2"/>
    </font>
    <font>
      <b/>
      <sz val="11"/>
      <name val="Symbol"/>
      <family val="1"/>
      <charset val="2"/>
    </font>
    <font>
      <b/>
      <sz val="11"/>
      <color indexed="15"/>
      <name val="Arial"/>
      <family val="2"/>
    </font>
    <font>
      <b/>
      <sz val="11"/>
      <color indexed="8"/>
      <name val="Arial"/>
      <family val="2"/>
    </font>
    <font>
      <sz val="11"/>
      <color indexed="10"/>
      <name val="Arial"/>
      <family val="2"/>
    </font>
    <font>
      <sz val="10"/>
      <color indexed="23"/>
      <name val="Arial"/>
      <family val="2"/>
    </font>
    <font>
      <sz val="8"/>
      <name val="Arial"/>
      <family val="2"/>
    </font>
    <font>
      <sz val="11"/>
      <color theme="1"/>
      <name val="Calibri"/>
      <family val="2"/>
      <scheme val="minor"/>
    </font>
    <font>
      <sz val="11"/>
      <color rgb="FF3F3F76"/>
      <name val="Calibri"/>
      <family val="2"/>
      <scheme val="minor"/>
    </font>
    <font>
      <b/>
      <sz val="11"/>
      <color rgb="FF3F3F3F"/>
      <name val="Calibri"/>
      <family val="2"/>
      <scheme val="minor"/>
    </font>
    <font>
      <sz val="12"/>
      <color rgb="FFFF0000"/>
      <name val="Calibri"/>
      <family val="2"/>
      <scheme val="minor"/>
    </font>
    <font>
      <vertAlign val="superscript"/>
      <sz val="11"/>
      <color theme="1"/>
      <name val="Calibri"/>
      <family val="2"/>
      <scheme val="minor"/>
    </font>
  </fonts>
  <fills count="40">
    <fill>
      <patternFill patternType="none"/>
    </fill>
    <fill>
      <patternFill patternType="gray125"/>
    </fill>
    <fill>
      <patternFill patternType="solid">
        <fgColor indexed="41"/>
        <bgColor indexed="64"/>
      </patternFill>
    </fill>
    <fill>
      <patternFill patternType="solid">
        <fgColor indexed="15"/>
        <bgColor indexed="64"/>
      </patternFill>
    </fill>
    <fill>
      <patternFill patternType="solid">
        <fgColor indexed="11"/>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8"/>
        <bgColor indexed="64"/>
      </patternFill>
    </fill>
    <fill>
      <patternFill patternType="solid">
        <fgColor indexed="43"/>
        <bgColor indexed="64"/>
      </patternFill>
    </fill>
    <fill>
      <patternFill patternType="solid">
        <fgColor indexed="55"/>
        <bgColor indexed="64"/>
      </patternFill>
    </fill>
    <fill>
      <patternFill patternType="solid">
        <fgColor indexed="44"/>
        <bgColor indexed="64"/>
      </patternFill>
    </fill>
    <fill>
      <patternFill patternType="solid">
        <fgColor indexed="30"/>
        <bgColor indexed="64"/>
      </patternFill>
    </fill>
    <fill>
      <patternFill patternType="solid">
        <fgColor indexed="29"/>
        <bgColor indexed="64"/>
      </patternFill>
    </fill>
    <fill>
      <patternFill patternType="solid">
        <fgColor indexed="52"/>
        <bgColor indexed="64"/>
      </patternFill>
    </fill>
    <fill>
      <patternFill patternType="solid">
        <fgColor indexed="36"/>
        <bgColor indexed="64"/>
      </patternFill>
    </fill>
    <fill>
      <patternFill patternType="solid">
        <fgColor indexed="53"/>
        <bgColor indexed="64"/>
      </patternFill>
    </fill>
    <fill>
      <patternFill patternType="solid">
        <fgColor indexed="40"/>
        <bgColor indexed="64"/>
      </patternFill>
    </fill>
    <fill>
      <patternFill patternType="solid">
        <fgColor indexed="62"/>
        <bgColor indexed="64"/>
      </patternFill>
    </fill>
    <fill>
      <patternFill patternType="solid">
        <fgColor indexed="57"/>
        <bgColor indexed="64"/>
      </patternFill>
    </fill>
    <fill>
      <patternFill patternType="solid">
        <fgColor indexed="46"/>
        <bgColor indexed="64"/>
      </patternFill>
    </fill>
    <fill>
      <patternFill patternType="solid">
        <fgColor indexed="23"/>
        <bgColor indexed="64"/>
      </patternFill>
    </fill>
    <fill>
      <patternFill patternType="solid">
        <fgColor indexed="17"/>
        <bgColor indexed="64"/>
      </patternFill>
    </fill>
    <fill>
      <patternFill patternType="solid">
        <fgColor indexed="26"/>
        <bgColor indexed="64"/>
      </patternFill>
    </fill>
    <fill>
      <patternFill patternType="solid">
        <fgColor indexed="48"/>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66"/>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66CCFF"/>
        <bgColor indexed="64"/>
      </patternFill>
    </fill>
    <fill>
      <patternFill patternType="solid">
        <fgColor rgb="FF00FFFF"/>
        <bgColor indexed="64"/>
      </patternFill>
    </fill>
  </fills>
  <borders count="2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0" fontId="63" fillId="28" borderId="23" applyNumberFormat="0" applyAlignment="0" applyProtection="0"/>
    <xf numFmtId="0" fontId="62" fillId="0" borderId="0"/>
    <xf numFmtId="0" fontId="6" fillId="0" borderId="0"/>
    <xf numFmtId="0" fontId="5" fillId="29" borderId="24" applyNumberFormat="0" applyFont="0" applyAlignment="0" applyProtection="0"/>
    <xf numFmtId="0" fontId="64" fillId="27" borderId="25" applyNumberFormat="0" applyAlignment="0" applyProtection="0"/>
  </cellStyleXfs>
  <cellXfs count="540">
    <xf numFmtId="0" fontId="0" fillId="0" borderId="0" xfId="0"/>
    <xf numFmtId="0" fontId="0" fillId="2" borderId="0" xfId="0" applyFill="1"/>
    <xf numFmtId="164" fontId="0" fillId="0" borderId="0" xfId="0" applyNumberFormat="1"/>
    <xf numFmtId="166" fontId="0" fillId="0" borderId="0" xfId="0" applyNumberFormat="1" applyFill="1"/>
    <xf numFmtId="2" fontId="0" fillId="3" borderId="0" xfId="0" applyNumberFormat="1" applyFill="1"/>
    <xf numFmtId="166" fontId="0" fillId="0" borderId="0" xfId="0" applyNumberFormat="1"/>
    <xf numFmtId="2" fontId="0" fillId="0" borderId="0" xfId="0" applyNumberFormat="1"/>
    <xf numFmtId="165" fontId="0" fillId="0" borderId="0" xfId="0" applyNumberFormat="1"/>
    <xf numFmtId="0" fontId="0" fillId="0" borderId="0" xfId="0" applyFill="1"/>
    <xf numFmtId="0" fontId="0" fillId="4" borderId="0" xfId="0" applyFill="1"/>
    <xf numFmtId="0" fontId="0" fillId="5" borderId="0" xfId="0" applyFill="1"/>
    <xf numFmtId="2" fontId="0" fillId="5" borderId="0" xfId="0" applyNumberFormat="1" applyFill="1"/>
    <xf numFmtId="0" fontId="0" fillId="6" borderId="0" xfId="0" applyFill="1"/>
    <xf numFmtId="2" fontId="0" fillId="0" borderId="0" xfId="0" applyNumberFormat="1" applyFill="1"/>
    <xf numFmtId="2" fontId="0" fillId="6" borderId="0" xfId="0" applyNumberFormat="1" applyFill="1"/>
    <xf numFmtId="166" fontId="0" fillId="5" borderId="0" xfId="0" applyNumberFormat="1" applyFill="1"/>
    <xf numFmtId="2" fontId="0" fillId="7" borderId="0" xfId="0" applyNumberFormat="1" applyFill="1"/>
    <xf numFmtId="0" fontId="0" fillId="8" borderId="0" xfId="0" applyFill="1"/>
    <xf numFmtId="0" fontId="6" fillId="8" borderId="0" xfId="0" applyFont="1" applyFill="1" applyBorder="1"/>
    <xf numFmtId="0" fontId="6" fillId="8" borderId="0" xfId="0" applyFont="1" applyFill="1" applyBorder="1" applyAlignment="1">
      <alignment horizontal="right"/>
    </xf>
    <xf numFmtId="0" fontId="7" fillId="8" borderId="1" xfId="0" applyFont="1" applyFill="1" applyBorder="1" applyAlignment="1">
      <alignment horizontal="right"/>
    </xf>
    <xf numFmtId="0" fontId="0" fillId="8" borderId="0" xfId="0" applyFill="1" applyAlignment="1">
      <alignment horizontal="center"/>
    </xf>
    <xf numFmtId="0" fontId="0" fillId="8" borderId="0" xfId="0" applyFill="1" applyAlignment="1">
      <alignment horizontal="right"/>
    </xf>
    <xf numFmtId="1" fontId="8" fillId="9" borderId="2" xfId="0" applyNumberFormat="1" applyFont="1" applyFill="1" applyBorder="1" applyAlignment="1" applyProtection="1">
      <alignment horizontal="center"/>
      <protection locked="0"/>
    </xf>
    <xf numFmtId="0" fontId="12" fillId="8" borderId="0" xfId="0" applyFont="1" applyFill="1" applyAlignment="1">
      <alignment horizontal="right"/>
    </xf>
    <xf numFmtId="0" fontId="12" fillId="8" borderId="0" xfId="0" applyFont="1" applyFill="1" applyAlignment="1" applyProtection="1">
      <alignment horizontal="center"/>
    </xf>
    <xf numFmtId="0" fontId="0" fillId="8" borderId="0" xfId="0" applyFill="1" applyAlignment="1" applyProtection="1">
      <alignment horizontal="center"/>
    </xf>
    <xf numFmtId="0" fontId="13" fillId="8" borderId="0" xfId="0" applyFont="1" applyFill="1" applyAlignment="1">
      <alignment horizontal="right"/>
    </xf>
    <xf numFmtId="2" fontId="0" fillId="8" borderId="0" xfId="0" applyNumberFormat="1" applyFill="1"/>
    <xf numFmtId="0" fontId="12" fillId="8" borderId="0" xfId="0" applyFont="1" applyFill="1"/>
    <xf numFmtId="165" fontId="12" fillId="8" borderId="0" xfId="0" applyNumberFormat="1" applyFont="1" applyFill="1" applyAlignment="1">
      <alignment horizontal="center"/>
    </xf>
    <xf numFmtId="0" fontId="0" fillId="8" borderId="0" xfId="0" applyFill="1" applyBorder="1" applyAlignment="1">
      <alignment horizontal="center"/>
    </xf>
    <xf numFmtId="164" fontId="0" fillId="8" borderId="0" xfId="0" applyNumberFormat="1" applyFill="1"/>
    <xf numFmtId="0" fontId="0" fillId="10" borderId="0" xfId="0" applyFill="1"/>
    <xf numFmtId="0" fontId="0" fillId="10" borderId="0" xfId="0" applyFill="1" applyBorder="1" applyAlignment="1">
      <alignment horizontal="center"/>
    </xf>
    <xf numFmtId="0" fontId="14" fillId="10" borderId="0" xfId="0" applyFont="1" applyFill="1" applyAlignment="1">
      <alignment horizontal="right"/>
    </xf>
    <xf numFmtId="0" fontId="9" fillId="10" borderId="3" xfId="0" applyFont="1" applyFill="1" applyBorder="1" applyAlignment="1">
      <alignment horizontal="center"/>
    </xf>
    <xf numFmtId="0" fontId="16" fillId="10" borderId="3" xfId="0" applyFont="1" applyFill="1" applyBorder="1" applyAlignment="1">
      <alignment horizontal="center"/>
    </xf>
    <xf numFmtId="0" fontId="17" fillId="10" borderId="3" xfId="0" applyFont="1" applyFill="1" applyBorder="1" applyAlignment="1">
      <alignment horizontal="center"/>
    </xf>
    <xf numFmtId="0" fontId="16" fillId="10" borderId="4" xfId="0" applyFont="1" applyFill="1" applyBorder="1" applyAlignment="1">
      <alignment horizontal="center"/>
    </xf>
    <xf numFmtId="1" fontId="9" fillId="10" borderId="3" xfId="0" applyNumberFormat="1" applyFont="1" applyFill="1" applyBorder="1" applyAlignment="1">
      <alignment horizontal="center"/>
    </xf>
    <xf numFmtId="2" fontId="19" fillId="11" borderId="5" xfId="0" applyNumberFormat="1" applyFont="1" applyFill="1" applyBorder="1" applyAlignment="1">
      <alignment horizontal="center"/>
    </xf>
    <xf numFmtId="2" fontId="19" fillId="11" borderId="6" xfId="0" applyNumberFormat="1" applyFont="1" applyFill="1" applyBorder="1" applyAlignment="1">
      <alignment horizontal="center"/>
    </xf>
    <xf numFmtId="165" fontId="0" fillId="8" borderId="0" xfId="0" applyNumberFormat="1" applyFill="1"/>
    <xf numFmtId="1" fontId="0" fillId="11" borderId="0" xfId="0" applyNumberFormat="1" applyFill="1" applyProtection="1"/>
    <xf numFmtId="0" fontId="0" fillId="13" borderId="0" xfId="0" applyFill="1"/>
    <xf numFmtId="0" fontId="8" fillId="13" borderId="0" xfId="0" applyFont="1" applyFill="1" applyAlignment="1" applyProtection="1">
      <alignment horizontal="center"/>
    </xf>
    <xf numFmtId="2" fontId="8" fillId="13" borderId="0" xfId="0" applyNumberFormat="1" applyFont="1" applyFill="1" applyAlignment="1" applyProtection="1">
      <alignment horizontal="center"/>
    </xf>
    <xf numFmtId="15" fontId="8" fillId="13" borderId="0" xfId="0" applyNumberFormat="1" applyFont="1" applyFill="1" applyAlignment="1" applyProtection="1">
      <alignment horizontal="center"/>
    </xf>
    <xf numFmtId="0" fontId="0" fillId="13" borderId="0" xfId="0" applyFill="1" applyBorder="1"/>
    <xf numFmtId="0" fontId="22" fillId="2" borderId="0" xfId="0" applyFont="1" applyFill="1"/>
    <xf numFmtId="0" fontId="22" fillId="2" borderId="0" xfId="0" applyFont="1" applyFill="1" applyAlignment="1">
      <alignment horizontal="right"/>
    </xf>
    <xf numFmtId="0" fontId="22" fillId="0" borderId="0" xfId="0" applyFont="1" applyFill="1"/>
    <xf numFmtId="0" fontId="22" fillId="2" borderId="0" xfId="0" applyFont="1" applyFill="1" applyAlignment="1">
      <alignment horizontal="center"/>
    </xf>
    <xf numFmtId="2" fontId="22" fillId="11" borderId="7" xfId="0" applyNumberFormat="1" applyFont="1" applyFill="1" applyBorder="1" applyAlignment="1">
      <alignment horizontal="center"/>
    </xf>
    <xf numFmtId="0" fontId="22" fillId="11" borderId="8" xfId="0" applyFont="1" applyFill="1" applyBorder="1" applyAlignment="1">
      <alignment horizontal="center"/>
    </xf>
    <xf numFmtId="2" fontId="22" fillId="11" borderId="9" xfId="0" applyNumberFormat="1" applyFont="1" applyFill="1" applyBorder="1" applyAlignment="1">
      <alignment horizontal="center"/>
    </xf>
    <xf numFmtId="2" fontId="22" fillId="11" borderId="10" xfId="0" applyNumberFormat="1" applyFont="1" applyFill="1" applyBorder="1" applyAlignment="1">
      <alignment horizontal="center"/>
    </xf>
    <xf numFmtId="0" fontId="22" fillId="11" borderId="11" xfId="0" applyFont="1" applyFill="1" applyBorder="1" applyAlignment="1">
      <alignment horizontal="center"/>
    </xf>
    <xf numFmtId="2" fontId="22" fillId="11" borderId="2" xfId="0" applyNumberFormat="1" applyFont="1" applyFill="1" applyBorder="1" applyAlignment="1">
      <alignment horizontal="center"/>
    </xf>
    <xf numFmtId="0" fontId="22" fillId="11" borderId="12" xfId="0" applyFont="1" applyFill="1" applyBorder="1" applyAlignment="1">
      <alignment horizontal="center"/>
    </xf>
    <xf numFmtId="2" fontId="22" fillId="11" borderId="0" xfId="0" applyNumberFormat="1" applyFont="1" applyFill="1" applyBorder="1" applyAlignment="1">
      <alignment horizontal="center"/>
    </xf>
    <xf numFmtId="2" fontId="22" fillId="11" borderId="1" xfId="0" applyNumberFormat="1" applyFont="1" applyFill="1" applyBorder="1" applyAlignment="1">
      <alignment horizontal="center"/>
    </xf>
    <xf numFmtId="0" fontId="24" fillId="2" borderId="0" xfId="0" applyFont="1" applyFill="1"/>
    <xf numFmtId="0" fontId="25" fillId="8" borderId="0" xfId="0" applyFont="1" applyFill="1" applyAlignment="1">
      <alignment horizontal="center"/>
    </xf>
    <xf numFmtId="0" fontId="26" fillId="8" borderId="0" xfId="0" applyFont="1" applyFill="1" applyAlignment="1">
      <alignment horizontal="center"/>
    </xf>
    <xf numFmtId="0" fontId="21" fillId="8" borderId="0" xfId="0" applyFont="1" applyFill="1" applyAlignment="1">
      <alignment horizontal="center"/>
    </xf>
    <xf numFmtId="0" fontId="27" fillId="8" borderId="0" xfId="0" applyFont="1" applyFill="1"/>
    <xf numFmtId="15" fontId="21" fillId="8" borderId="0" xfId="0" quotePrefix="1" applyNumberFormat="1" applyFont="1" applyFill="1" applyAlignment="1">
      <alignment horizontal="center"/>
    </xf>
    <xf numFmtId="15" fontId="21" fillId="8" borderId="0" xfId="0" applyNumberFormat="1" applyFont="1" applyFill="1" applyAlignment="1">
      <alignment horizontal="center"/>
    </xf>
    <xf numFmtId="0" fontId="28" fillId="8" borderId="0" xfId="0" applyFont="1" applyFill="1"/>
    <xf numFmtId="0" fontId="29" fillId="8" borderId="0" xfId="0" applyFont="1" applyFill="1"/>
    <xf numFmtId="0" fontId="30" fillId="8" borderId="0" xfId="0" applyFont="1" applyFill="1"/>
    <xf numFmtId="0" fontId="27" fillId="8" borderId="0" xfId="0" applyFont="1" applyFill="1" applyAlignment="1">
      <alignment horizontal="center"/>
    </xf>
    <xf numFmtId="165" fontId="33" fillId="0" borderId="0" xfId="0" applyNumberFormat="1" applyFont="1" applyAlignment="1" applyProtection="1">
      <alignment vertical="center"/>
      <protection locked="0" hidden="1"/>
    </xf>
    <xf numFmtId="0" fontId="0" fillId="0" borderId="0" xfId="0" applyFill="1" applyBorder="1" applyProtection="1">
      <protection locked="0"/>
    </xf>
    <xf numFmtId="2" fontId="0" fillId="0" borderId="0" xfId="0" applyNumberFormat="1" applyFill="1" applyBorder="1" applyProtection="1">
      <protection locked="0"/>
    </xf>
    <xf numFmtId="0" fontId="0" fillId="0" borderId="0" xfId="0" applyFill="1" applyBorder="1"/>
    <xf numFmtId="0" fontId="8" fillId="0" borderId="0" xfId="0" applyFont="1" applyFill="1" applyBorder="1" applyAlignment="1" applyProtection="1">
      <alignment horizontal="center"/>
    </xf>
    <xf numFmtId="0" fontId="0" fillId="0" borderId="0" xfId="0" quotePrefix="1" applyFill="1" applyBorder="1" applyAlignment="1">
      <alignment horizontal="center"/>
    </xf>
    <xf numFmtId="164" fontId="0" fillId="0" borderId="0" xfId="0" applyNumberFormat="1" applyFill="1" applyBorder="1"/>
    <xf numFmtId="0" fontId="11" fillId="14" borderId="0" xfId="0" applyFont="1" applyFill="1" applyBorder="1" applyAlignment="1">
      <alignment horizontal="center" wrapText="1"/>
    </xf>
    <xf numFmtId="0" fontId="8" fillId="14" borderId="0" xfId="0" applyFont="1" applyFill="1" applyBorder="1" applyAlignment="1">
      <alignment horizontal="center" wrapText="1"/>
    </xf>
    <xf numFmtId="0" fontId="8" fillId="7" borderId="0" xfId="0" applyFont="1" applyFill="1" applyBorder="1" applyAlignment="1">
      <alignment horizontal="center"/>
    </xf>
    <xf numFmtId="0" fontId="8" fillId="4" borderId="0" xfId="0" applyFont="1" applyFill="1" applyBorder="1" applyAlignment="1">
      <alignment horizontal="right"/>
    </xf>
    <xf numFmtId="0" fontId="8" fillId="11" borderId="0" xfId="0" applyFont="1" applyFill="1" applyBorder="1" applyAlignment="1">
      <alignment horizontal="right"/>
    </xf>
    <xf numFmtId="0" fontId="8" fillId="15" borderId="0" xfId="0" applyFont="1" applyFill="1" applyBorder="1" applyAlignment="1">
      <alignment horizontal="right"/>
    </xf>
    <xf numFmtId="0" fontId="8" fillId="12" borderId="0" xfId="0" applyFont="1" applyFill="1" applyBorder="1" applyAlignment="1">
      <alignment horizontal="right"/>
    </xf>
    <xf numFmtId="0" fontId="8" fillId="16" borderId="0" xfId="0" applyFont="1" applyFill="1" applyBorder="1" applyAlignment="1">
      <alignment horizontal="right"/>
    </xf>
    <xf numFmtId="0" fontId="8" fillId="16" borderId="0" xfId="0" applyFont="1" applyFill="1" applyBorder="1" applyAlignment="1">
      <alignment horizontal="center"/>
    </xf>
    <xf numFmtId="0" fontId="8" fillId="17" borderId="0" xfId="0" quotePrefix="1" applyFont="1" applyFill="1" applyBorder="1" applyAlignment="1">
      <alignment horizontal="right"/>
    </xf>
    <xf numFmtId="0" fontId="8" fillId="17" borderId="0" xfId="0" applyFont="1" applyFill="1" applyBorder="1" applyAlignment="1">
      <alignment horizontal="right"/>
    </xf>
    <xf numFmtId="1" fontId="0" fillId="0" borderId="0" xfId="0" applyNumberFormat="1" applyFill="1" applyBorder="1" applyAlignment="1">
      <alignment horizontal="center"/>
    </xf>
    <xf numFmtId="0" fontId="0" fillId="8" borderId="0" xfId="0" applyFill="1" applyBorder="1" applyAlignment="1">
      <alignment horizontal="center" wrapText="1"/>
    </xf>
    <xf numFmtId="0" fontId="0" fillId="8" borderId="0" xfId="0" applyFill="1" applyBorder="1" applyAlignment="1">
      <alignment horizontal="right" wrapText="1"/>
    </xf>
    <xf numFmtId="0" fontId="8" fillId="18" borderId="0" xfId="0" applyFont="1" applyFill="1" applyAlignment="1">
      <alignment horizontal="right"/>
    </xf>
    <xf numFmtId="0" fontId="8" fillId="18" borderId="0" xfId="0" applyFont="1" applyFill="1" applyAlignment="1" applyProtection="1">
      <alignment horizontal="right"/>
    </xf>
    <xf numFmtId="0" fontId="7" fillId="18" borderId="0" xfId="0" applyFont="1" applyFill="1" applyAlignment="1" applyProtection="1">
      <alignment horizontal="right"/>
    </xf>
    <xf numFmtId="0" fontId="62" fillId="19" borderId="0" xfId="2" applyFill="1"/>
    <xf numFmtId="0" fontId="6" fillId="19" borderId="0" xfId="0" applyFont="1" applyFill="1" applyAlignment="1">
      <alignment horizontal="right"/>
    </xf>
    <xf numFmtId="167" fontId="0" fillId="8" borderId="0" xfId="0" applyNumberFormat="1" applyFill="1" applyBorder="1" applyAlignment="1">
      <alignment horizontal="right" wrapText="1"/>
    </xf>
    <xf numFmtId="2" fontId="0" fillId="8" borderId="0" xfId="0" applyNumberFormat="1" applyFill="1" applyBorder="1" applyAlignment="1">
      <alignment horizontal="right" wrapText="1"/>
    </xf>
    <xf numFmtId="0" fontId="6" fillId="0" borderId="0" xfId="0" applyFont="1"/>
    <xf numFmtId="0" fontId="6" fillId="4" borderId="4" xfId="0" applyFont="1" applyFill="1" applyBorder="1" applyAlignment="1">
      <alignment horizontal="center" vertical="center"/>
    </xf>
    <xf numFmtId="0" fontId="6" fillId="4" borderId="13" xfId="0" applyFont="1" applyFill="1" applyBorder="1" applyAlignment="1">
      <alignment horizontal="center" vertical="center"/>
    </xf>
    <xf numFmtId="0" fontId="6" fillId="16" borderId="4" xfId="0" applyFont="1" applyFill="1" applyBorder="1" applyAlignment="1">
      <alignment horizontal="center" vertical="center"/>
    </xf>
    <xf numFmtId="0" fontId="6" fillId="16" borderId="14" xfId="0" applyFont="1" applyFill="1" applyBorder="1" applyAlignment="1">
      <alignment horizontal="center" vertical="center"/>
    </xf>
    <xf numFmtId="0" fontId="6" fillId="12" borderId="4" xfId="0" applyFont="1" applyFill="1" applyBorder="1" applyAlignment="1">
      <alignment horizontal="center" vertical="center"/>
    </xf>
    <xf numFmtId="0" fontId="6" fillId="12" borderId="13" xfId="0" applyFont="1" applyFill="1" applyBorder="1" applyAlignment="1">
      <alignment horizontal="center" vertical="center"/>
    </xf>
    <xf numFmtId="0" fontId="6" fillId="12" borderId="14" xfId="0" applyFont="1" applyFill="1" applyBorder="1" applyAlignment="1">
      <alignment horizontal="center" vertical="center"/>
    </xf>
    <xf numFmtId="0" fontId="6" fillId="21" borderId="4" xfId="0" applyFont="1" applyFill="1" applyBorder="1" applyAlignment="1">
      <alignment horizontal="center" vertical="center"/>
    </xf>
    <xf numFmtId="0" fontId="6" fillId="21" borderId="13" xfId="0" applyFont="1" applyFill="1" applyBorder="1" applyAlignment="1">
      <alignment horizontal="center" vertical="center"/>
    </xf>
    <xf numFmtId="0" fontId="6" fillId="21" borderId="14" xfId="0" applyFont="1" applyFill="1" applyBorder="1" applyAlignment="1">
      <alignment horizontal="center" vertical="center"/>
    </xf>
    <xf numFmtId="0" fontId="6" fillId="22" borderId="4" xfId="0" applyFont="1" applyFill="1" applyBorder="1" applyAlignment="1">
      <alignment horizontal="center" vertical="center"/>
    </xf>
    <xf numFmtId="0" fontId="6" fillId="0" borderId="0" xfId="0" applyFont="1" applyFill="1" applyBorder="1"/>
    <xf numFmtId="0" fontId="6" fillId="22" borderId="13" xfId="0" applyFont="1" applyFill="1" applyBorder="1" applyAlignment="1">
      <alignment horizontal="center" vertical="center"/>
    </xf>
    <xf numFmtId="0" fontId="6" fillId="16" borderId="13" xfId="0" applyFont="1" applyFill="1" applyBorder="1" applyAlignment="1">
      <alignment horizontal="center" vertical="center"/>
    </xf>
    <xf numFmtId="0" fontId="62" fillId="19" borderId="0" xfId="2" applyFill="1" applyAlignment="1">
      <alignment horizontal="right"/>
    </xf>
    <xf numFmtId="167" fontId="62" fillId="3" borderId="0" xfId="2" applyNumberFormat="1" applyFill="1"/>
    <xf numFmtId="0" fontId="0" fillId="19" borderId="0" xfId="0" applyFill="1"/>
    <xf numFmtId="0" fontId="6" fillId="19" borderId="0" xfId="0" applyFont="1" applyFill="1"/>
    <xf numFmtId="0" fontId="4" fillId="19" borderId="0" xfId="2" applyFont="1" applyFill="1" applyAlignment="1">
      <alignment horizontal="right"/>
    </xf>
    <xf numFmtId="0" fontId="62" fillId="3" borderId="0" xfId="2" applyFill="1" applyAlignment="1">
      <alignment horizontal="center"/>
    </xf>
    <xf numFmtId="2" fontId="62" fillId="3" borderId="0" xfId="2" applyNumberFormat="1" applyFill="1" applyAlignment="1">
      <alignment horizontal="center"/>
    </xf>
    <xf numFmtId="0" fontId="6" fillId="8" borderId="0" xfId="0" applyFont="1" applyFill="1"/>
    <xf numFmtId="0" fontId="6" fillId="8" borderId="0" xfId="0" quotePrefix="1" applyFont="1" applyFill="1"/>
    <xf numFmtId="0" fontId="6" fillId="8" borderId="0" xfId="0" quotePrefix="1" applyFont="1" applyFill="1" applyAlignment="1">
      <alignment horizontal="left"/>
    </xf>
    <xf numFmtId="0" fontId="6" fillId="8" borderId="0" xfId="0" applyFont="1" applyFill="1" applyAlignment="1">
      <alignment horizontal="center"/>
    </xf>
    <xf numFmtId="0" fontId="6" fillId="8" borderId="0" xfId="0" applyFont="1" applyFill="1" applyAlignment="1" applyProtection="1">
      <alignment horizontal="right"/>
    </xf>
    <xf numFmtId="0" fontId="6" fillId="8" borderId="0" xfId="0" applyFont="1" applyFill="1" applyAlignment="1">
      <alignment horizontal="right"/>
    </xf>
    <xf numFmtId="0" fontId="0" fillId="8" borderId="3" xfId="0" applyFill="1" applyBorder="1" applyAlignment="1" applyProtection="1">
      <alignment horizontal="center"/>
    </xf>
    <xf numFmtId="0" fontId="38" fillId="8" borderId="0" xfId="0" applyFont="1" applyFill="1" applyAlignment="1">
      <alignment horizontal="center"/>
    </xf>
    <xf numFmtId="0" fontId="6" fillId="8" borderId="0" xfId="0" quotePrefix="1" applyFont="1" applyFill="1" applyAlignment="1">
      <alignment horizontal="center"/>
    </xf>
    <xf numFmtId="0" fontId="39" fillId="0" borderId="0" xfId="0" applyFont="1"/>
    <xf numFmtId="0" fontId="6" fillId="12" borderId="1" xfId="3" applyFill="1" applyBorder="1"/>
    <xf numFmtId="0" fontId="9" fillId="12" borderId="0" xfId="3" applyFont="1" applyFill="1"/>
    <xf numFmtId="0" fontId="9" fillId="12" borderId="0" xfId="3" applyFont="1" applyFill="1" applyAlignment="1">
      <alignment horizontal="center"/>
    </xf>
    <xf numFmtId="0" fontId="6" fillId="12" borderId="0" xfId="3" applyFill="1"/>
    <xf numFmtId="0" fontId="6" fillId="8" borderId="0" xfId="3" applyFill="1"/>
    <xf numFmtId="0" fontId="12" fillId="23" borderId="0" xfId="3" applyFont="1" applyFill="1" applyAlignment="1">
      <alignment horizontal="center"/>
    </xf>
    <xf numFmtId="0" fontId="12" fillId="23" borderId="0" xfId="3" applyFont="1" applyFill="1"/>
    <xf numFmtId="0" fontId="6" fillId="0" borderId="0" xfId="3"/>
    <xf numFmtId="0" fontId="9" fillId="12" borderId="0" xfId="3" applyFont="1" applyFill="1" applyBorder="1" applyAlignment="1">
      <alignment horizontal="center"/>
    </xf>
    <xf numFmtId="0" fontId="9" fillId="12" borderId="15" xfId="3" applyFont="1" applyFill="1" applyBorder="1" applyAlignment="1">
      <alignment horizontal="center"/>
    </xf>
    <xf numFmtId="0" fontId="12" fillId="23" borderId="15" xfId="3" applyFont="1" applyFill="1" applyBorder="1" applyAlignment="1">
      <alignment horizontal="center"/>
    </xf>
    <xf numFmtId="15" fontId="9" fillId="12" borderId="6" xfId="3" applyNumberFormat="1" applyFont="1" applyFill="1" applyBorder="1" applyAlignment="1">
      <alignment horizontal="center"/>
    </xf>
    <xf numFmtId="0" fontId="9" fillId="12" borderId="3" xfId="3" applyFont="1" applyFill="1" applyBorder="1" applyAlignment="1">
      <alignment horizontal="center"/>
    </xf>
    <xf numFmtId="0" fontId="19" fillId="5" borderId="3" xfId="3" applyFont="1" applyFill="1" applyBorder="1" applyAlignment="1">
      <alignment horizontal="center"/>
    </xf>
    <xf numFmtId="0" fontId="7" fillId="0" borderId="3" xfId="3" applyFont="1" applyFill="1" applyBorder="1" applyAlignment="1" applyProtection="1">
      <alignment horizontal="center"/>
      <protection locked="0"/>
    </xf>
    <xf numFmtId="0" fontId="19" fillId="11" borderId="3" xfId="3" applyFont="1" applyFill="1" applyBorder="1" applyAlignment="1">
      <alignment horizontal="center"/>
    </xf>
    <xf numFmtId="2" fontId="12" fillId="23" borderId="0" xfId="3" applyNumberFormat="1" applyFont="1" applyFill="1"/>
    <xf numFmtId="0" fontId="19" fillId="5" borderId="3" xfId="3" applyFont="1" applyFill="1" applyBorder="1" applyAlignment="1" applyProtection="1">
      <alignment horizontal="center"/>
      <protection locked="0"/>
    </xf>
    <xf numFmtId="0" fontId="6" fillId="12" borderId="0" xfId="3" applyFill="1" applyAlignment="1">
      <alignment horizontal="center"/>
    </xf>
    <xf numFmtId="1" fontId="6" fillId="12" borderId="0" xfId="3" applyNumberFormat="1" applyFill="1" applyAlignment="1">
      <alignment horizontal="center"/>
    </xf>
    <xf numFmtId="1" fontId="6" fillId="12" borderId="0" xfId="3" applyNumberFormat="1" applyFill="1" applyAlignment="1">
      <alignment horizontal="right"/>
    </xf>
    <xf numFmtId="1" fontId="9" fillId="12" borderId="15" xfId="3" applyNumberFormat="1" applyFont="1" applyFill="1" applyBorder="1" applyAlignment="1">
      <alignment horizontal="center"/>
    </xf>
    <xf numFmtId="0" fontId="6" fillId="12" borderId="15" xfId="3" applyFill="1" applyBorder="1" applyAlignment="1">
      <alignment horizontal="center"/>
    </xf>
    <xf numFmtId="1" fontId="44" fillId="23" borderId="15" xfId="3" applyNumberFormat="1" applyFont="1" applyFill="1" applyBorder="1" applyAlignment="1">
      <alignment horizontal="center"/>
    </xf>
    <xf numFmtId="15" fontId="6" fillId="8" borderId="0" xfId="3" applyNumberFormat="1" applyFill="1"/>
    <xf numFmtId="2" fontId="6" fillId="8" borderId="0" xfId="3" applyNumberFormat="1" applyFill="1" applyProtection="1">
      <protection locked="0"/>
    </xf>
    <xf numFmtId="165" fontId="6" fillId="12" borderId="0" xfId="3" applyNumberFormat="1" applyFill="1" applyBorder="1"/>
    <xf numFmtId="16" fontId="6" fillId="12" borderId="1" xfId="3" applyNumberFormat="1" applyFill="1" applyBorder="1" applyAlignment="1">
      <alignment horizontal="center"/>
    </xf>
    <xf numFmtId="16" fontId="6" fillId="12" borderId="0" xfId="3" applyNumberFormat="1" applyFill="1" applyAlignment="1">
      <alignment horizontal="center"/>
    </xf>
    <xf numFmtId="16" fontId="12" fillId="23" borderId="0" xfId="3" applyNumberFormat="1" applyFont="1" applyFill="1" applyAlignment="1">
      <alignment horizontal="center"/>
    </xf>
    <xf numFmtId="0" fontId="6" fillId="8" borderId="1" xfId="3" applyFill="1" applyBorder="1"/>
    <xf numFmtId="0" fontId="6" fillId="0" borderId="0" xfId="3" applyFill="1"/>
    <xf numFmtId="0" fontId="6" fillId="0" borderId="1" xfId="3" applyBorder="1"/>
    <xf numFmtId="0" fontId="6" fillId="7" borderId="3" xfId="3" applyFill="1" applyBorder="1"/>
    <xf numFmtId="0" fontId="6" fillId="12" borderId="0" xfId="3" applyFill="1" applyAlignment="1">
      <alignment horizontal="right"/>
    </xf>
    <xf numFmtId="164" fontId="0" fillId="19" borderId="0" xfId="0" applyNumberFormat="1" applyFill="1"/>
    <xf numFmtId="0" fontId="33" fillId="13" borderId="0" xfId="0" applyFont="1" applyFill="1"/>
    <xf numFmtId="0" fontId="33" fillId="13" borderId="0" xfId="0" applyFont="1" applyFill="1" applyBorder="1"/>
    <xf numFmtId="0" fontId="33" fillId="13" borderId="0" xfId="0" applyFont="1" applyFill="1" applyBorder="1" applyAlignment="1">
      <alignment horizontal="center" wrapText="1"/>
    </xf>
    <xf numFmtId="0" fontId="33" fillId="13" borderId="0" xfId="0" applyFont="1" applyFill="1" applyAlignment="1">
      <alignment horizontal="center"/>
    </xf>
    <xf numFmtId="0" fontId="33" fillId="0" borderId="0" xfId="0" applyFont="1"/>
    <xf numFmtId="0" fontId="33" fillId="13" borderId="0" xfId="0" applyFont="1" applyFill="1" applyAlignment="1">
      <alignment horizontal="right"/>
    </xf>
    <xf numFmtId="0" fontId="33" fillId="0" borderId="3" xfId="0" applyFont="1" applyFill="1" applyBorder="1" applyAlignment="1">
      <alignment horizontal="center"/>
    </xf>
    <xf numFmtId="0" fontId="33" fillId="13" borderId="3" xfId="0" applyFont="1" applyFill="1" applyBorder="1" applyAlignment="1">
      <alignment horizontal="center"/>
    </xf>
    <xf numFmtId="0" fontId="33" fillId="13" borderId="5" xfId="0" applyFont="1" applyFill="1" applyBorder="1"/>
    <xf numFmtId="0" fontId="33" fillId="13" borderId="6" xfId="0" applyFont="1" applyFill="1" applyBorder="1" applyAlignment="1">
      <alignment horizontal="right"/>
    </xf>
    <xf numFmtId="2" fontId="33" fillId="0" borderId="3" xfId="0" applyNumberFormat="1" applyFont="1" applyFill="1" applyBorder="1" applyAlignment="1">
      <alignment horizontal="center"/>
    </xf>
    <xf numFmtId="0" fontId="33" fillId="13" borderId="3" xfId="0" applyFont="1" applyFill="1" applyBorder="1"/>
    <xf numFmtId="0" fontId="48" fillId="13" borderId="0" xfId="0" applyFont="1" applyFill="1" applyAlignment="1">
      <alignment horizontal="right"/>
    </xf>
    <xf numFmtId="0" fontId="33" fillId="0" borderId="0" xfId="0" applyFont="1" applyFill="1"/>
    <xf numFmtId="0" fontId="33" fillId="0" borderId="4" xfId="0" applyFont="1" applyFill="1" applyBorder="1" applyAlignment="1">
      <alignment horizontal="center"/>
    </xf>
    <xf numFmtId="168" fontId="33" fillId="0" borderId="3" xfId="0" applyNumberFormat="1" applyFont="1" applyFill="1" applyBorder="1" applyAlignment="1">
      <alignment horizontal="center"/>
    </xf>
    <xf numFmtId="167" fontId="33" fillId="13" borderId="3" xfId="0" applyNumberFormat="1" applyFont="1" applyFill="1" applyBorder="1"/>
    <xf numFmtId="0" fontId="33" fillId="0" borderId="3" xfId="0" applyFont="1" applyFill="1" applyBorder="1" applyAlignment="1" applyProtection="1">
      <alignment horizontal="center"/>
      <protection locked="0"/>
    </xf>
    <xf numFmtId="0" fontId="33" fillId="13" borderId="11" xfId="0" applyFont="1" applyFill="1" applyBorder="1" applyAlignment="1" applyProtection="1">
      <alignment horizontal="left"/>
    </xf>
    <xf numFmtId="0" fontId="33" fillId="13" borderId="2" xfId="0" applyFont="1" applyFill="1" applyBorder="1" applyAlignment="1" applyProtection="1">
      <alignment horizontal="right"/>
    </xf>
    <xf numFmtId="2" fontId="33" fillId="13" borderId="0" xfId="0" applyNumberFormat="1" applyFont="1" applyFill="1" applyAlignment="1">
      <alignment horizontal="right"/>
    </xf>
    <xf numFmtId="2" fontId="33" fillId="0" borderId="14" xfId="0" applyNumberFormat="1" applyFont="1" applyFill="1" applyBorder="1" applyAlignment="1" applyProtection="1">
      <alignment horizontal="center"/>
      <protection locked="0"/>
    </xf>
    <xf numFmtId="168" fontId="33" fillId="0" borderId="4" xfId="0" applyNumberFormat="1" applyFont="1" applyFill="1" applyBorder="1" applyAlignment="1">
      <alignment horizontal="center"/>
    </xf>
    <xf numFmtId="0" fontId="33" fillId="6" borderId="0" xfId="0" applyFont="1" applyFill="1"/>
    <xf numFmtId="0" fontId="50" fillId="13" borderId="0" xfId="0" applyFont="1" applyFill="1" applyAlignment="1" applyProtection="1">
      <alignment horizontal="center"/>
    </xf>
    <xf numFmtId="0" fontId="33" fillId="13" borderId="7" xfId="0" applyFont="1" applyFill="1" applyBorder="1" applyAlignment="1" applyProtection="1">
      <alignment horizontal="right"/>
    </xf>
    <xf numFmtId="0" fontId="48" fillId="13" borderId="7" xfId="0" applyFont="1" applyFill="1" applyBorder="1" applyAlignment="1" applyProtection="1">
      <alignment horizontal="center"/>
    </xf>
    <xf numFmtId="0" fontId="48" fillId="13" borderId="0" xfId="0" applyFont="1" applyFill="1" applyAlignment="1">
      <alignment horizontal="center" wrapText="1"/>
    </xf>
    <xf numFmtId="0" fontId="48" fillId="3" borderId="0" xfId="0" applyFont="1" applyFill="1" applyAlignment="1">
      <alignment horizontal="left"/>
    </xf>
    <xf numFmtId="1" fontId="48" fillId="13" borderId="0" xfId="0" applyNumberFormat="1" applyFont="1" applyFill="1" applyAlignment="1">
      <alignment horizontal="right"/>
    </xf>
    <xf numFmtId="0" fontId="33" fillId="13" borderId="7" xfId="0" applyFont="1" applyFill="1" applyBorder="1" applyAlignment="1">
      <alignment horizontal="center"/>
    </xf>
    <xf numFmtId="0" fontId="33" fillId="2" borderId="3" xfId="0" applyFont="1" applyFill="1" applyBorder="1" applyAlignment="1" applyProtection="1">
      <alignment horizontal="center"/>
      <protection locked="0"/>
    </xf>
    <xf numFmtId="0" fontId="48" fillId="13" borderId="5" xfId="0" applyFont="1" applyFill="1" applyBorder="1" applyAlignment="1" applyProtection="1">
      <alignment horizontal="center"/>
    </xf>
    <xf numFmtId="0" fontId="33" fillId="13" borderId="16" xfId="0" applyFont="1" applyFill="1" applyBorder="1" applyAlignment="1" applyProtection="1">
      <alignment horizontal="center"/>
    </xf>
    <xf numFmtId="0" fontId="48" fillId="13" borderId="2" xfId="0" applyFont="1" applyFill="1" applyBorder="1" applyAlignment="1" applyProtection="1">
      <alignment horizontal="right"/>
    </xf>
    <xf numFmtId="1" fontId="33" fillId="0" borderId="14" xfId="0" quotePrefix="1" applyNumberFormat="1" applyFont="1" applyFill="1" applyBorder="1" applyAlignment="1">
      <alignment horizontal="center"/>
    </xf>
    <xf numFmtId="0" fontId="33" fillId="14" borderId="6" xfId="0" applyFont="1" applyFill="1" applyBorder="1" applyAlignment="1">
      <alignment horizontal="center"/>
    </xf>
    <xf numFmtId="0" fontId="33" fillId="14" borderId="3" xfId="0" applyFont="1" applyFill="1" applyBorder="1" applyAlignment="1">
      <alignment horizontal="center"/>
    </xf>
    <xf numFmtId="164" fontId="48" fillId="13" borderId="0" xfId="0" applyNumberFormat="1" applyFont="1" applyFill="1" applyAlignment="1">
      <alignment horizontal="right"/>
    </xf>
    <xf numFmtId="0" fontId="33" fillId="13" borderId="10" xfId="0" applyFont="1" applyFill="1" applyBorder="1" applyAlignment="1">
      <alignment horizontal="center"/>
    </xf>
    <xf numFmtId="167" fontId="33" fillId="2" borderId="3" xfId="0" applyNumberFormat="1" applyFont="1" applyFill="1" applyBorder="1" applyProtection="1">
      <protection locked="0"/>
    </xf>
    <xf numFmtId="167" fontId="33" fillId="0" borderId="3" xfId="0" applyNumberFormat="1" applyFont="1" applyFill="1" applyBorder="1" applyProtection="1">
      <protection locked="0"/>
    </xf>
    <xf numFmtId="168" fontId="33" fillId="13" borderId="3" xfId="0" applyNumberFormat="1" applyFont="1" applyFill="1" applyBorder="1" applyAlignment="1">
      <alignment horizontal="center"/>
    </xf>
    <xf numFmtId="0" fontId="48" fillId="13" borderId="3" xfId="0" applyFont="1" applyFill="1" applyBorder="1" applyAlignment="1" applyProtection="1">
      <alignment horizontal="center"/>
    </xf>
    <xf numFmtId="0" fontId="33" fillId="13" borderId="3" xfId="0" applyFont="1" applyFill="1" applyBorder="1" applyAlignment="1" applyProtection="1">
      <alignment horizontal="center"/>
    </xf>
    <xf numFmtId="0" fontId="33" fillId="13" borderId="3" xfId="0" applyFont="1" applyFill="1" applyBorder="1" applyAlignment="1">
      <alignment horizontal="right" vertical="top"/>
    </xf>
    <xf numFmtId="1" fontId="33" fillId="0" borderId="5" xfId="0" quotePrefix="1" applyNumberFormat="1" applyFont="1" applyFill="1" applyBorder="1" applyAlignment="1">
      <alignment horizontal="center"/>
    </xf>
    <xf numFmtId="2" fontId="33" fillId="3" borderId="3" xfId="0" applyNumberFormat="1" applyFont="1" applyFill="1" applyBorder="1" applyAlignment="1">
      <alignment horizontal="center"/>
    </xf>
    <xf numFmtId="2" fontId="33" fillId="13" borderId="3" xfId="0" applyNumberFormat="1" applyFont="1" applyFill="1" applyBorder="1" applyAlignment="1">
      <alignment horizontal="center"/>
    </xf>
    <xf numFmtId="0" fontId="48" fillId="13" borderId="3" xfId="0" applyFont="1" applyFill="1" applyBorder="1" applyAlignment="1">
      <alignment horizontal="center" wrapText="1"/>
    </xf>
    <xf numFmtId="2" fontId="33" fillId="19" borderId="0" xfId="0" applyNumberFormat="1" applyFont="1" applyFill="1" applyAlignment="1">
      <alignment horizontal="center"/>
    </xf>
    <xf numFmtId="0" fontId="51" fillId="13" borderId="3" xfId="0" applyFont="1" applyFill="1" applyBorder="1" applyAlignment="1">
      <alignment horizontal="center"/>
    </xf>
    <xf numFmtId="0" fontId="51" fillId="13" borderId="0" xfId="0" applyFont="1" applyFill="1" applyAlignment="1">
      <alignment horizontal="center"/>
    </xf>
    <xf numFmtId="0" fontId="33" fillId="13" borderId="1" xfId="0" applyFont="1" applyFill="1" applyBorder="1" applyAlignment="1">
      <alignment horizontal="center"/>
    </xf>
    <xf numFmtId="15" fontId="48" fillId="8" borderId="3" xfId="0" applyNumberFormat="1" applyFont="1" applyFill="1" applyBorder="1" applyAlignment="1">
      <alignment horizontal="center"/>
    </xf>
    <xf numFmtId="2" fontId="48" fillId="13" borderId="3" xfId="0" applyNumberFormat="1" applyFont="1" applyFill="1" applyBorder="1" applyAlignment="1">
      <alignment horizontal="center"/>
    </xf>
    <xf numFmtId="1" fontId="33" fillId="0" borderId="5" xfId="0" applyNumberFormat="1" applyFont="1" applyBorder="1" applyAlignment="1">
      <alignment horizontal="center"/>
    </xf>
    <xf numFmtId="0" fontId="48" fillId="13" borderId="3" xfId="0" applyFont="1" applyFill="1" applyBorder="1" applyAlignment="1">
      <alignment horizontal="center"/>
    </xf>
    <xf numFmtId="1" fontId="33" fillId="0" borderId="3" xfId="0" applyNumberFormat="1" applyFont="1" applyBorder="1" applyAlignment="1">
      <alignment horizontal="center"/>
    </xf>
    <xf numFmtId="0" fontId="33" fillId="0" borderId="0" xfId="0" applyFont="1" applyAlignment="1">
      <alignment horizontal="center" wrapText="1"/>
    </xf>
    <xf numFmtId="0" fontId="33" fillId="13" borderId="2" xfId="0" applyFont="1" applyFill="1" applyBorder="1" applyAlignment="1">
      <alignment horizontal="center"/>
    </xf>
    <xf numFmtId="2" fontId="33" fillId="19" borderId="7" xfId="0" applyNumberFormat="1" applyFont="1" applyFill="1" applyBorder="1" applyAlignment="1">
      <alignment horizontal="center"/>
    </xf>
    <xf numFmtId="0" fontId="33" fillId="13" borderId="10" xfId="0" quotePrefix="1" applyFont="1" applyFill="1" applyBorder="1" applyAlignment="1">
      <alignment horizontal="center"/>
    </xf>
    <xf numFmtId="166" fontId="33" fillId="2" borderId="4" xfId="0" applyNumberFormat="1" applyFont="1" applyFill="1" applyBorder="1" applyProtection="1">
      <protection locked="0"/>
    </xf>
    <xf numFmtId="0" fontId="33" fillId="13" borderId="8" xfId="0" applyFont="1" applyFill="1" applyBorder="1" applyAlignment="1">
      <alignment horizontal="left" vertical="top" wrapText="1"/>
    </xf>
    <xf numFmtId="0" fontId="33" fillId="2" borderId="3" xfId="0" applyFont="1" applyFill="1" applyBorder="1" applyProtection="1">
      <protection locked="0"/>
    </xf>
    <xf numFmtId="2" fontId="33" fillId="13" borderId="0" xfId="0" applyNumberFormat="1" applyFont="1" applyFill="1" applyBorder="1"/>
    <xf numFmtId="0" fontId="33" fillId="13" borderId="12" xfId="0" applyFont="1" applyFill="1" applyBorder="1" applyAlignment="1">
      <alignment horizontal="left" vertical="top" wrapText="1"/>
    </xf>
    <xf numFmtId="0" fontId="48" fillId="13" borderId="0" xfId="0" applyFont="1" applyFill="1" applyBorder="1" applyAlignment="1">
      <alignment horizontal="center" wrapText="1"/>
    </xf>
    <xf numFmtId="0" fontId="33" fillId="13" borderId="2" xfId="0" quotePrefix="1" applyFont="1" applyFill="1" applyBorder="1" applyAlignment="1">
      <alignment horizontal="center"/>
    </xf>
    <xf numFmtId="166" fontId="33" fillId="2" borderId="3" xfId="0" applyNumberFormat="1" applyFont="1" applyFill="1" applyBorder="1" applyProtection="1">
      <protection locked="0"/>
    </xf>
    <xf numFmtId="0" fontId="48" fillId="13" borderId="0" xfId="0" applyFont="1" applyFill="1" applyAlignment="1">
      <alignment horizontal="center"/>
    </xf>
    <xf numFmtId="0" fontId="33" fillId="13" borderId="11" xfId="0" applyFont="1" applyFill="1" applyBorder="1" applyAlignment="1">
      <alignment horizontal="left" vertical="top" wrapText="1"/>
    </xf>
    <xf numFmtId="1" fontId="33" fillId="2" borderId="3" xfId="0" applyNumberFormat="1" applyFont="1" applyFill="1" applyBorder="1" applyProtection="1">
      <protection locked="0"/>
    </xf>
    <xf numFmtId="0" fontId="48" fillId="13" borderId="0" xfId="0" applyFont="1" applyFill="1" applyBorder="1" applyAlignment="1" applyProtection="1">
      <alignment horizontal="center"/>
    </xf>
    <xf numFmtId="0" fontId="48" fillId="13" borderId="0" xfId="0" applyFont="1" applyFill="1" applyBorder="1" applyAlignment="1">
      <alignment horizontal="center"/>
    </xf>
    <xf numFmtId="0" fontId="33" fillId="13" borderId="0" xfId="0" quotePrefix="1" applyFont="1" applyFill="1" applyBorder="1" applyAlignment="1">
      <alignment horizontal="center"/>
    </xf>
    <xf numFmtId="164" fontId="33" fillId="13" borderId="0" xfId="0" applyNumberFormat="1" applyFont="1" applyFill="1" applyBorder="1"/>
    <xf numFmtId="0" fontId="48" fillId="13" borderId="17" xfId="0" applyFont="1" applyFill="1" applyBorder="1" applyAlignment="1">
      <alignment horizontal="center"/>
    </xf>
    <xf numFmtId="0" fontId="48" fillId="11" borderId="18" xfId="0" applyFont="1" applyFill="1" applyBorder="1" applyAlignment="1">
      <alignment horizontal="center"/>
    </xf>
    <xf numFmtId="0" fontId="48" fillId="11" borderId="19" xfId="0" applyFont="1" applyFill="1" applyBorder="1" applyAlignment="1">
      <alignment horizontal="center"/>
    </xf>
    <xf numFmtId="0" fontId="48" fillId="22" borderId="18" xfId="0" applyFont="1" applyFill="1" applyBorder="1" applyAlignment="1">
      <alignment horizontal="center"/>
    </xf>
    <xf numFmtId="0" fontId="48" fillId="22" borderId="20" xfId="0" applyFont="1" applyFill="1" applyBorder="1" applyAlignment="1">
      <alignment horizontal="center"/>
    </xf>
    <xf numFmtId="0" fontId="48" fillId="8" borderId="18" xfId="0" applyFont="1" applyFill="1" applyBorder="1" applyAlignment="1">
      <alignment horizontal="center"/>
    </xf>
    <xf numFmtId="0" fontId="48" fillId="8" borderId="20" xfId="0" applyFont="1" applyFill="1" applyBorder="1" applyAlignment="1">
      <alignment horizontal="center"/>
    </xf>
    <xf numFmtId="0" fontId="48" fillId="7" borderId="18" xfId="0" applyFont="1" applyFill="1" applyBorder="1" applyAlignment="1">
      <alignment horizontal="center"/>
    </xf>
    <xf numFmtId="0" fontId="48" fillId="7" borderId="20" xfId="0" applyFont="1" applyFill="1" applyBorder="1" applyAlignment="1">
      <alignment horizontal="center"/>
    </xf>
    <xf numFmtId="0" fontId="48" fillId="3" borderId="20" xfId="0" applyFont="1" applyFill="1" applyBorder="1" applyAlignment="1">
      <alignment horizontal="center"/>
    </xf>
    <xf numFmtId="0" fontId="48" fillId="3" borderId="19" xfId="0" applyFont="1" applyFill="1" applyBorder="1" applyAlignment="1">
      <alignment horizontal="center"/>
    </xf>
    <xf numFmtId="0" fontId="48" fillId="13" borderId="19" xfId="0" applyFont="1" applyFill="1" applyBorder="1" applyAlignment="1">
      <alignment horizontal="center"/>
    </xf>
    <xf numFmtId="0" fontId="48" fillId="20" borderId="18" xfId="0" applyFont="1" applyFill="1" applyBorder="1" applyAlignment="1">
      <alignment horizontal="left"/>
    </xf>
    <xf numFmtId="0" fontId="48" fillId="20" borderId="18" xfId="0" applyFont="1" applyFill="1" applyBorder="1" applyAlignment="1">
      <alignment horizontal="center"/>
    </xf>
    <xf numFmtId="0" fontId="48" fillId="20" borderId="20" xfId="0" applyFont="1" applyFill="1" applyBorder="1" applyAlignment="1">
      <alignment horizontal="center"/>
    </xf>
    <xf numFmtId="0" fontId="48" fillId="20" borderId="19" xfId="0" applyFont="1" applyFill="1" applyBorder="1" applyAlignment="1">
      <alignment horizontal="center"/>
    </xf>
    <xf numFmtId="0" fontId="33" fillId="13" borderId="12" xfId="0" applyFont="1" applyFill="1" applyBorder="1" applyAlignment="1">
      <alignment horizontal="center"/>
    </xf>
    <xf numFmtId="0" fontId="33" fillId="13" borderId="0" xfId="0" applyFont="1" applyFill="1" applyBorder="1" applyAlignment="1">
      <alignment horizontal="center"/>
    </xf>
    <xf numFmtId="0" fontId="33" fillId="13" borderId="12" xfId="0" applyFont="1" applyFill="1" applyBorder="1" applyAlignment="1">
      <alignment horizontal="right"/>
    </xf>
    <xf numFmtId="0" fontId="33" fillId="13" borderId="12" xfId="0" applyFont="1" applyFill="1" applyBorder="1"/>
    <xf numFmtId="0" fontId="48" fillId="13" borderId="12" xfId="0" applyFont="1" applyFill="1" applyBorder="1" applyAlignment="1">
      <alignment horizontal="center"/>
    </xf>
    <xf numFmtId="0" fontId="51" fillId="13" borderId="12" xfId="0" applyFont="1" applyFill="1" applyBorder="1" applyAlignment="1">
      <alignment horizontal="center"/>
    </xf>
    <xf numFmtId="0" fontId="49" fillId="13" borderId="12" xfId="0" applyFont="1" applyFill="1" applyBorder="1"/>
    <xf numFmtId="0" fontId="49" fillId="13" borderId="0" xfId="0" applyFont="1" applyFill="1"/>
    <xf numFmtId="164" fontId="48" fillId="13" borderId="0" xfId="0" applyNumberFormat="1" applyFont="1" applyFill="1" applyBorder="1" applyAlignment="1">
      <alignment horizontal="center"/>
    </xf>
    <xf numFmtId="0" fontId="33" fillId="13" borderId="13" xfId="0" applyFont="1" applyFill="1" applyBorder="1" applyAlignment="1">
      <alignment horizontal="center"/>
    </xf>
    <xf numFmtId="0" fontId="48" fillId="13" borderId="0" xfId="0" applyFont="1" applyFill="1" applyBorder="1" applyAlignment="1">
      <alignment horizontal="right"/>
    </xf>
    <xf numFmtId="0" fontId="51" fillId="13" borderId="0" xfId="0" applyFont="1" applyFill="1" applyBorder="1" applyAlignment="1">
      <alignment horizontal="right"/>
    </xf>
    <xf numFmtId="0" fontId="51" fillId="13" borderId="0" xfId="0" applyFont="1" applyFill="1" applyAlignment="1">
      <alignment horizontal="right"/>
    </xf>
    <xf numFmtId="1" fontId="33" fillId="13" borderId="0" xfId="0" applyNumberFormat="1" applyFont="1" applyFill="1" applyAlignment="1"/>
    <xf numFmtId="0" fontId="48" fillId="13" borderId="13" xfId="0" applyFont="1" applyFill="1" applyBorder="1" applyAlignment="1">
      <alignment horizontal="center"/>
    </xf>
    <xf numFmtId="0" fontId="48" fillId="13" borderId="12" xfId="0" applyFont="1" applyFill="1" applyBorder="1" applyAlignment="1">
      <alignment horizontal="right"/>
    </xf>
    <xf numFmtId="0" fontId="48" fillId="13" borderId="0" xfId="0" applyFont="1" applyFill="1" applyAlignment="1" applyProtection="1">
      <alignment horizontal="center"/>
    </xf>
    <xf numFmtId="0" fontId="48" fillId="13" borderId="0" xfId="0" applyFont="1" applyFill="1" applyAlignment="1" applyProtection="1">
      <alignment horizontal="right"/>
    </xf>
    <xf numFmtId="2" fontId="48" fillId="13" borderId="12" xfId="0" applyNumberFormat="1" applyFont="1" applyFill="1" applyBorder="1" applyAlignment="1">
      <alignment horizontal="right"/>
    </xf>
    <xf numFmtId="2" fontId="48" fillId="13" borderId="0" xfId="0" applyNumberFormat="1" applyFont="1" applyFill="1" applyAlignment="1">
      <alignment horizontal="center"/>
    </xf>
    <xf numFmtId="2" fontId="51" fillId="13" borderId="0" xfId="0" applyNumberFormat="1" applyFont="1" applyFill="1" applyAlignment="1">
      <alignment horizontal="center"/>
    </xf>
    <xf numFmtId="2" fontId="48" fillId="13" borderId="12" xfId="0" applyNumberFormat="1" applyFont="1" applyFill="1" applyBorder="1" applyAlignment="1">
      <alignment horizontal="center"/>
    </xf>
    <xf numFmtId="2" fontId="51" fillId="13" borderId="12" xfId="0" applyNumberFormat="1" applyFont="1" applyFill="1" applyBorder="1" applyAlignment="1">
      <alignment horizontal="center"/>
    </xf>
    <xf numFmtId="2" fontId="48" fillId="13" borderId="0" xfId="0" applyNumberFormat="1" applyFont="1" applyFill="1" applyBorder="1" applyAlignment="1">
      <alignment horizontal="center"/>
    </xf>
    <xf numFmtId="2" fontId="48" fillId="13" borderId="0" xfId="0" applyNumberFormat="1" applyFont="1" applyFill="1" applyAlignment="1">
      <alignment horizontal="right"/>
    </xf>
    <xf numFmtId="2" fontId="51" fillId="13" borderId="0" xfId="0" applyNumberFormat="1" applyFont="1" applyFill="1" applyAlignment="1">
      <alignment horizontal="right"/>
    </xf>
    <xf numFmtId="1" fontId="57" fillId="19" borderId="0" xfId="0" applyNumberFormat="1" applyFont="1" applyFill="1" applyAlignment="1" applyProtection="1">
      <alignment horizontal="right"/>
    </xf>
    <xf numFmtId="2" fontId="48" fillId="19" borderId="0" xfId="0" applyNumberFormat="1" applyFont="1" applyFill="1" applyAlignment="1" applyProtection="1">
      <alignment horizontal="center"/>
    </xf>
    <xf numFmtId="15" fontId="48" fillId="19" borderId="0" xfId="0" applyNumberFormat="1" applyFont="1" applyFill="1" applyAlignment="1" applyProtection="1">
      <alignment horizontal="center"/>
    </xf>
    <xf numFmtId="0" fontId="48" fillId="19" borderId="0" xfId="0" applyFont="1" applyFill="1" applyAlignment="1" applyProtection="1">
      <alignment horizontal="right"/>
    </xf>
    <xf numFmtId="0" fontId="58" fillId="19" borderId="0" xfId="0" applyFont="1" applyFill="1" applyAlignment="1" applyProtection="1">
      <alignment horizontal="right"/>
    </xf>
    <xf numFmtId="0" fontId="33" fillId="19" borderId="0" xfId="0" applyFont="1" applyFill="1" applyAlignment="1">
      <alignment horizontal="right"/>
    </xf>
    <xf numFmtId="0" fontId="48" fillId="19" borderId="0" xfId="0" applyFont="1" applyFill="1" applyAlignment="1">
      <alignment horizontal="center"/>
    </xf>
    <xf numFmtId="165" fontId="57" fillId="19" borderId="0" xfId="0" applyNumberFormat="1" applyFont="1" applyFill="1" applyAlignment="1">
      <alignment horizontal="right"/>
    </xf>
    <xf numFmtId="165" fontId="57" fillId="19" borderId="0" xfId="0" applyNumberFormat="1" applyFont="1" applyFill="1" applyAlignment="1">
      <alignment horizontal="center"/>
    </xf>
    <xf numFmtId="1" fontId="33" fillId="11" borderId="0" xfId="0" applyNumberFormat="1" applyFont="1" applyFill="1" applyProtection="1"/>
    <xf numFmtId="167" fontId="33" fillId="11" borderId="0" xfId="0" applyNumberFormat="1" applyFont="1" applyFill="1" applyProtection="1"/>
    <xf numFmtId="2" fontId="33" fillId="11" borderId="0" xfId="0" applyNumberFormat="1" applyFont="1" applyFill="1" applyProtection="1"/>
    <xf numFmtId="2" fontId="33" fillId="2" borderId="0" xfId="0" applyNumberFormat="1" applyFont="1" applyFill="1"/>
    <xf numFmtId="167" fontId="33" fillId="0" borderId="0" xfId="0" applyNumberFormat="1" applyFont="1"/>
    <xf numFmtId="2" fontId="33" fillId="0" borderId="0" xfId="0" applyNumberFormat="1" applyFont="1"/>
    <xf numFmtId="2" fontId="59" fillId="0" borderId="0" xfId="0" applyNumberFormat="1" applyFont="1"/>
    <xf numFmtId="165" fontId="33" fillId="0" borderId="0" xfId="0" applyNumberFormat="1" applyFont="1"/>
    <xf numFmtId="165" fontId="59" fillId="0" borderId="0" xfId="0" applyNumberFormat="1" applyFont="1"/>
    <xf numFmtId="165" fontId="59" fillId="0" borderId="0" xfId="0" applyNumberFormat="1" applyFont="1" applyAlignment="1">
      <alignment horizontal="center"/>
    </xf>
    <xf numFmtId="2" fontId="33" fillId="0" borderId="0" xfId="0" applyNumberFormat="1" applyFont="1" applyFill="1" applyBorder="1"/>
    <xf numFmtId="1" fontId="33" fillId="0" borderId="0" xfId="0" applyNumberFormat="1" applyFont="1" applyFill="1" applyBorder="1"/>
    <xf numFmtId="165" fontId="33" fillId="0" borderId="0" xfId="0" applyNumberFormat="1" applyFont="1" applyFill="1" applyBorder="1"/>
    <xf numFmtId="0" fontId="33" fillId="0" borderId="0" xfId="0" applyFont="1" applyAlignment="1">
      <alignment horizontal="center"/>
    </xf>
    <xf numFmtId="0" fontId="33" fillId="13" borderId="5" xfId="0" applyFont="1" applyFill="1" applyBorder="1" applyAlignment="1" applyProtection="1">
      <alignment horizontal="left"/>
    </xf>
    <xf numFmtId="0" fontId="33" fillId="13" borderId="6" xfId="0" applyFont="1" applyFill="1" applyBorder="1" applyAlignment="1" applyProtection="1">
      <alignment horizontal="right"/>
    </xf>
    <xf numFmtId="165" fontId="33" fillId="13" borderId="0" xfId="0" applyNumberFormat="1" applyFont="1" applyFill="1" applyAlignment="1">
      <alignment horizontal="center"/>
    </xf>
    <xf numFmtId="0" fontId="48" fillId="3" borderId="0" xfId="0" applyFont="1" applyFill="1" applyAlignment="1">
      <alignment horizontal="center" wrapText="1"/>
    </xf>
    <xf numFmtId="0" fontId="48" fillId="18" borderId="18" xfId="0" applyFont="1" applyFill="1" applyBorder="1" applyAlignment="1">
      <alignment horizontal="center"/>
    </xf>
    <xf numFmtId="0" fontId="48" fillId="18" borderId="20" xfId="0" applyFont="1" applyFill="1" applyBorder="1" applyAlignment="1">
      <alignment horizontal="center"/>
    </xf>
    <xf numFmtId="0" fontId="48" fillId="18" borderId="20" xfId="0" applyFont="1" applyFill="1" applyBorder="1" applyAlignment="1">
      <alignment horizontal="center" wrapText="1"/>
    </xf>
    <xf numFmtId="0" fontId="33" fillId="18" borderId="20" xfId="0" applyFont="1" applyFill="1" applyBorder="1"/>
    <xf numFmtId="0" fontId="33" fillId="18" borderId="19" xfId="0" applyFont="1" applyFill="1" applyBorder="1"/>
    <xf numFmtId="0" fontId="48" fillId="3" borderId="0" xfId="0" applyFont="1" applyFill="1" applyAlignment="1">
      <alignment horizontal="center"/>
    </xf>
    <xf numFmtId="2" fontId="33" fillId="3" borderId="3" xfId="0" applyNumberFormat="1" applyFont="1" applyFill="1" applyBorder="1" applyAlignment="1" applyProtection="1">
      <alignment horizontal="right"/>
      <protection locked="0"/>
    </xf>
    <xf numFmtId="2" fontId="33" fillId="3" borderId="3" xfId="0" applyNumberFormat="1" applyFont="1" applyFill="1" applyBorder="1" applyProtection="1">
      <protection locked="0"/>
    </xf>
    <xf numFmtId="0" fontId="48" fillId="3" borderId="18" xfId="0" applyFont="1" applyFill="1" applyBorder="1" applyAlignment="1">
      <alignment horizontal="center"/>
    </xf>
    <xf numFmtId="0" fontId="48" fillId="22" borderId="20" xfId="0" applyFont="1" applyFill="1" applyBorder="1" applyAlignment="1">
      <alignment horizontal="left"/>
    </xf>
    <xf numFmtId="0" fontId="48" fillId="3" borderId="20" xfId="0" applyFont="1" applyFill="1" applyBorder="1" applyAlignment="1">
      <alignment horizontal="right"/>
    </xf>
    <xf numFmtId="0" fontId="48" fillId="7" borderId="0" xfId="0" applyFont="1" applyFill="1" applyAlignment="1">
      <alignment horizontal="right"/>
    </xf>
    <xf numFmtId="0" fontId="33" fillId="7" borderId="0" xfId="0" applyFont="1" applyFill="1" applyAlignment="1">
      <alignment horizontal="right"/>
    </xf>
    <xf numFmtId="0" fontId="48" fillId="7" borderId="0" xfId="0" applyFont="1" applyFill="1" applyAlignment="1">
      <alignment horizontal="center" wrapText="1"/>
    </xf>
    <xf numFmtId="0" fontId="33" fillId="7" borderId="0" xfId="0" applyFont="1" applyFill="1" applyAlignment="1">
      <alignment horizontal="center"/>
    </xf>
    <xf numFmtId="2" fontId="48" fillId="7" borderId="0" xfId="0" applyNumberFormat="1" applyFont="1" applyFill="1" applyAlignment="1">
      <alignment horizontal="center" wrapText="1"/>
    </xf>
    <xf numFmtId="0" fontId="33" fillId="7" borderId="18" xfId="0" applyFont="1" applyFill="1" applyBorder="1"/>
    <xf numFmtId="0" fontId="33" fillId="7" borderId="20" xfId="0" applyFont="1" applyFill="1" applyBorder="1"/>
    <xf numFmtId="0" fontId="33" fillId="4" borderId="20" xfId="0" applyFont="1" applyFill="1" applyBorder="1" applyAlignment="1">
      <alignment horizontal="center" wrapText="1"/>
    </xf>
    <xf numFmtId="0" fontId="33" fillId="7" borderId="20" xfId="0" applyFont="1" applyFill="1" applyBorder="1" applyAlignment="1">
      <alignment horizontal="right"/>
    </xf>
    <xf numFmtId="0" fontId="33" fillId="7" borderId="19" xfId="0" applyFont="1" applyFill="1" applyBorder="1" applyAlignment="1">
      <alignment horizontal="right"/>
    </xf>
    <xf numFmtId="0" fontId="49" fillId="6" borderId="18" xfId="0" applyFont="1" applyFill="1" applyBorder="1" applyAlignment="1">
      <alignment horizontal="center" wrapText="1"/>
    </xf>
    <xf numFmtId="0" fontId="49" fillId="6" borderId="20" xfId="0" applyFont="1" applyFill="1" applyBorder="1" applyAlignment="1">
      <alignment horizontal="center" wrapText="1"/>
    </xf>
    <xf numFmtId="0" fontId="33" fillId="6" borderId="19" xfId="0" applyFont="1" applyFill="1" applyBorder="1" applyAlignment="1">
      <alignment horizontal="center" wrapText="1"/>
    </xf>
    <xf numFmtId="0" fontId="33" fillId="13" borderId="21" xfId="0" applyFont="1" applyFill="1" applyBorder="1"/>
    <xf numFmtId="0" fontId="33" fillId="13" borderId="1" xfId="0" applyFont="1" applyFill="1" applyBorder="1"/>
    <xf numFmtId="1" fontId="33" fillId="0" borderId="0" xfId="0" applyNumberFormat="1" applyFont="1" applyAlignment="1" applyProtection="1">
      <alignment horizontal="center" vertical="center"/>
      <protection locked="0" hidden="1"/>
    </xf>
    <xf numFmtId="0" fontId="33" fillId="0" borderId="0" xfId="0" applyFont="1" applyFill="1" applyAlignment="1" applyProtection="1">
      <alignment horizontal="center"/>
    </xf>
    <xf numFmtId="0" fontId="33" fillId="2" borderId="5" xfId="0" applyFont="1" applyFill="1" applyBorder="1" applyAlignment="1" applyProtection="1">
      <alignment horizontal="center"/>
      <protection locked="0"/>
    </xf>
    <xf numFmtId="1" fontId="33" fillId="0" borderId="0" xfId="0" applyNumberFormat="1" applyFont="1" applyAlignment="1">
      <alignment horizontal="center"/>
    </xf>
    <xf numFmtId="2" fontId="0" fillId="8" borderId="0" xfId="0" applyNumberFormat="1" applyFill="1" applyAlignment="1">
      <alignment horizontal="center"/>
    </xf>
    <xf numFmtId="0" fontId="6" fillId="13" borderId="0" xfId="0" applyFont="1" applyFill="1"/>
    <xf numFmtId="0" fontId="31" fillId="24" borderId="0" xfId="3" applyFont="1" applyFill="1" applyProtection="1"/>
    <xf numFmtId="0" fontId="28" fillId="0" borderId="0" xfId="3" applyFont="1" applyFill="1" applyAlignment="1" applyProtection="1">
      <alignment horizontal="left"/>
    </xf>
    <xf numFmtId="0" fontId="31" fillId="0" borderId="0" xfId="3" applyFont="1" applyFill="1" applyProtection="1"/>
    <xf numFmtId="0" fontId="28" fillId="0" borderId="0" xfId="3" applyFont="1" applyFill="1" applyAlignment="1" applyProtection="1">
      <alignment horizontal="center" vertical="center"/>
    </xf>
    <xf numFmtId="0" fontId="31" fillId="0" borderId="0" xfId="3" applyFont="1" applyFill="1" applyAlignment="1" applyProtection="1"/>
    <xf numFmtId="0" fontId="31" fillId="0" borderId="0" xfId="3" applyFont="1"/>
    <xf numFmtId="0" fontId="28" fillId="0" borderId="22" xfId="3" applyFont="1" applyFill="1" applyBorder="1" applyAlignment="1" applyProtection="1">
      <alignment horizontal="center"/>
    </xf>
    <xf numFmtId="0" fontId="28" fillId="0" borderId="0" xfId="3" applyFont="1" applyFill="1" applyAlignment="1" applyProtection="1">
      <alignment horizontal="center"/>
    </xf>
    <xf numFmtId="2" fontId="28" fillId="0" borderId="0" xfId="3" applyNumberFormat="1" applyFont="1" applyFill="1" applyAlignment="1" applyProtection="1">
      <alignment horizontal="center"/>
    </xf>
    <xf numFmtId="1" fontId="28" fillId="0" borderId="0" xfId="3" applyNumberFormat="1" applyFont="1" applyFill="1" applyAlignment="1" applyProtection="1">
      <alignment horizontal="center"/>
    </xf>
    <xf numFmtId="0" fontId="28" fillId="0" borderId="0" xfId="3" applyFont="1" applyFill="1" applyBorder="1" applyAlignment="1" applyProtection="1">
      <alignment horizontal="center"/>
    </xf>
    <xf numFmtId="2" fontId="28" fillId="0" borderId="0" xfId="3" applyNumberFormat="1" applyFont="1" applyFill="1" applyBorder="1" applyAlignment="1" applyProtection="1">
      <alignment horizontal="center"/>
    </xf>
    <xf numFmtId="1" fontId="28" fillId="0" borderId="0" xfId="3" applyNumberFormat="1" applyFont="1" applyFill="1" applyBorder="1" applyAlignment="1" applyProtection="1">
      <alignment horizontal="center"/>
    </xf>
    <xf numFmtId="1" fontId="31" fillId="0" borderId="0" xfId="3" applyNumberFormat="1" applyFont="1" applyFill="1" applyAlignment="1" applyProtection="1">
      <alignment horizontal="center"/>
    </xf>
    <xf numFmtId="0" fontId="32" fillId="0" borderId="0" xfId="3" applyFont="1" applyFill="1" applyProtection="1"/>
    <xf numFmtId="2" fontId="32" fillId="0" borderId="0" xfId="3" applyNumberFormat="1" applyFont="1" applyFill="1" applyProtection="1"/>
    <xf numFmtId="0" fontId="31" fillId="24" borderId="0" xfId="3" applyFont="1" applyFill="1"/>
    <xf numFmtId="0" fontId="31" fillId="0" borderId="0" xfId="3" applyFont="1" applyFill="1"/>
    <xf numFmtId="0" fontId="8" fillId="13" borderId="0" xfId="0" applyFont="1" applyFill="1" applyAlignment="1"/>
    <xf numFmtId="0" fontId="7" fillId="13" borderId="0" xfId="0" applyFont="1" applyFill="1" applyAlignment="1" applyProtection="1"/>
    <xf numFmtId="0" fontId="8" fillId="13" borderId="0" xfId="0" applyFont="1" applyFill="1" applyAlignment="1" applyProtection="1"/>
    <xf numFmtId="165" fontId="0" fillId="0" borderId="0" xfId="0" applyNumberFormat="1" applyAlignment="1" applyProtection="1">
      <protection locked="0"/>
    </xf>
    <xf numFmtId="0" fontId="0" fillId="0" borderId="0" xfId="0" applyAlignment="1"/>
    <xf numFmtId="0" fontId="8" fillId="13" borderId="0" xfId="0" applyFont="1" applyFill="1" applyBorder="1" applyAlignment="1"/>
    <xf numFmtId="0" fontId="8" fillId="7" borderId="0" xfId="0" applyFont="1" applyFill="1" applyBorder="1" applyAlignment="1"/>
    <xf numFmtId="0" fontId="8" fillId="7" borderId="0" xfId="0" applyFont="1" applyFill="1" applyAlignment="1"/>
    <xf numFmtId="0" fontId="8" fillId="18" borderId="0" xfId="0" applyFont="1" applyFill="1" applyAlignment="1"/>
    <xf numFmtId="0" fontId="23" fillId="7" borderId="0" xfId="0" applyFont="1" applyFill="1" applyAlignment="1" applyProtection="1"/>
    <xf numFmtId="0" fontId="7" fillId="18" borderId="0" xfId="0" applyFont="1" applyFill="1" applyAlignment="1" applyProtection="1"/>
    <xf numFmtId="0" fontId="8" fillId="7" borderId="0" xfId="0" applyFont="1" applyFill="1" applyAlignment="1" applyProtection="1"/>
    <xf numFmtId="0" fontId="8" fillId="18" borderId="0" xfId="0" applyFont="1" applyFill="1" applyAlignment="1" applyProtection="1"/>
    <xf numFmtId="165" fontId="0" fillId="8" borderId="0" xfId="0" applyNumberFormat="1" applyFill="1" applyAlignment="1" applyProtection="1"/>
    <xf numFmtId="165" fontId="0" fillId="5" borderId="0" xfId="0" applyNumberFormat="1" applyFill="1" applyAlignment="1"/>
    <xf numFmtId="165" fontId="0" fillId="8" borderId="0" xfId="0" applyNumberFormat="1" applyFill="1" applyAlignment="1"/>
    <xf numFmtId="1" fontId="0" fillId="8" borderId="0" xfId="0" applyNumberFormat="1" applyFill="1" applyAlignment="1"/>
    <xf numFmtId="1" fontId="0" fillId="5" borderId="0" xfId="0" applyNumberFormat="1" applyFill="1"/>
    <xf numFmtId="2" fontId="28" fillId="19" borderId="0" xfId="3" applyNumberFormat="1" applyFont="1" applyFill="1" applyAlignment="1" applyProtection="1">
      <alignment horizontal="center"/>
    </xf>
    <xf numFmtId="2" fontId="28" fillId="19" borderId="0" xfId="3" applyNumberFormat="1" applyFont="1" applyFill="1" applyAlignment="1" applyProtection="1">
      <alignment horizontal="right"/>
    </xf>
    <xf numFmtId="1" fontId="31" fillId="7" borderId="3" xfId="3" applyNumberFormat="1" applyFont="1" applyFill="1" applyBorder="1" applyProtection="1"/>
    <xf numFmtId="168" fontId="28" fillId="19" borderId="0" xfId="3" applyNumberFormat="1" applyFont="1" applyFill="1" applyAlignment="1" applyProtection="1">
      <alignment horizontal="center"/>
    </xf>
    <xf numFmtId="1" fontId="28" fillId="7" borderId="3" xfId="3" applyNumberFormat="1" applyFont="1" applyFill="1" applyBorder="1" applyAlignment="1" applyProtection="1">
      <alignment horizontal="center"/>
    </xf>
    <xf numFmtId="1" fontId="36" fillId="19" borderId="0" xfId="3" applyNumberFormat="1" applyFont="1" applyFill="1" applyAlignment="1" applyProtection="1">
      <alignment horizontal="right"/>
    </xf>
    <xf numFmtId="165" fontId="31" fillId="11" borderId="0" xfId="3" applyNumberFormat="1" applyFont="1" applyFill="1" applyAlignment="1" applyProtection="1">
      <alignment horizontal="right"/>
    </xf>
    <xf numFmtId="1" fontId="31" fillId="11" borderId="0" xfId="3" applyNumberFormat="1" applyFont="1" applyFill="1" applyProtection="1"/>
    <xf numFmtId="167" fontId="31" fillId="11" borderId="0" xfId="3" applyNumberFormat="1" applyFont="1" applyFill="1" applyProtection="1"/>
    <xf numFmtId="2" fontId="28" fillId="25" borderId="0" xfId="3" applyNumberFormat="1" applyFont="1" applyFill="1" applyAlignment="1" applyProtection="1">
      <alignment horizontal="left"/>
    </xf>
    <xf numFmtId="2" fontId="28" fillId="25" borderId="0" xfId="3" applyNumberFormat="1" applyFont="1" applyFill="1" applyAlignment="1" applyProtection="1">
      <alignment horizontal="center"/>
    </xf>
    <xf numFmtId="165" fontId="33" fillId="11" borderId="0" xfId="0" applyNumberFormat="1" applyFont="1" applyFill="1"/>
    <xf numFmtId="165" fontId="33" fillId="8" borderId="0" xfId="0" applyNumberFormat="1" applyFont="1" applyFill="1" applyProtection="1"/>
    <xf numFmtId="0" fontId="6" fillId="8" borderId="0" xfId="3" applyFill="1" applyProtection="1"/>
    <xf numFmtId="0" fontId="6" fillId="8" borderId="0" xfId="3" applyFont="1" applyFill="1" applyAlignment="1" applyProtection="1">
      <alignment horizontal="center"/>
    </xf>
    <xf numFmtId="0" fontId="6" fillId="12" borderId="0" xfId="3" applyFont="1" applyFill="1" applyAlignment="1" applyProtection="1">
      <alignment horizontal="center"/>
    </xf>
    <xf numFmtId="0" fontId="6" fillId="12" borderId="0" xfId="3" applyFont="1" applyFill="1" applyAlignment="1" applyProtection="1"/>
    <xf numFmtId="0" fontId="6" fillId="12" borderId="0" xfId="3" applyFill="1" applyAlignment="1"/>
    <xf numFmtId="0" fontId="20" fillId="12" borderId="0" xfId="3" applyFont="1" applyFill="1" applyAlignment="1" applyProtection="1">
      <alignment horizontal="right"/>
    </xf>
    <xf numFmtId="0" fontId="60" fillId="12" borderId="0" xfId="3" applyFont="1" applyFill="1" applyAlignment="1" applyProtection="1">
      <alignment horizontal="right"/>
    </xf>
    <xf numFmtId="0" fontId="6" fillId="12" borderId="0" xfId="3" applyFont="1" applyFill="1" applyAlignment="1">
      <alignment horizontal="center"/>
    </xf>
    <xf numFmtId="0" fontId="20" fillId="12" borderId="0" xfId="3" applyFont="1" applyFill="1" applyAlignment="1" applyProtection="1">
      <alignment horizontal="center"/>
    </xf>
    <xf numFmtId="167" fontId="20" fillId="12" borderId="0" xfId="3" applyNumberFormat="1" applyFont="1" applyFill="1" applyAlignment="1" applyProtection="1">
      <alignment horizontal="right"/>
    </xf>
    <xf numFmtId="0" fontId="6" fillId="12" borderId="0" xfId="3" applyFont="1" applyFill="1" applyAlignment="1" applyProtection="1">
      <alignment horizontal="right"/>
    </xf>
    <xf numFmtId="0" fontId="60" fillId="12" borderId="0" xfId="3" applyFont="1" applyFill="1" applyAlignment="1">
      <alignment horizontal="right"/>
    </xf>
    <xf numFmtId="1" fontId="6" fillId="8" borderId="0" xfId="3" applyNumberFormat="1" applyFill="1" applyProtection="1"/>
    <xf numFmtId="165" fontId="6" fillId="9" borderId="3" xfId="3" applyNumberFormat="1" applyFill="1" applyBorder="1" applyProtection="1"/>
    <xf numFmtId="2" fontId="6" fillId="9" borderId="3" xfId="3" applyNumberFormat="1" applyFill="1" applyBorder="1"/>
    <xf numFmtId="165" fontId="6" fillId="9" borderId="3" xfId="3" applyNumberFormat="1" applyFill="1" applyBorder="1"/>
    <xf numFmtId="1" fontId="6" fillId="9" borderId="3" xfId="3" applyNumberFormat="1" applyFill="1" applyBorder="1"/>
    <xf numFmtId="167" fontId="60" fillId="12" borderId="0" xfId="3" applyNumberFormat="1" applyFont="1" applyFill="1"/>
    <xf numFmtId="1" fontId="60" fillId="12" borderId="0" xfId="3" applyNumberFormat="1" applyFont="1" applyFill="1"/>
    <xf numFmtId="165" fontId="60" fillId="12" borderId="0" xfId="3" applyNumberFormat="1" applyFont="1" applyFill="1"/>
    <xf numFmtId="0" fontId="60" fillId="12" borderId="0" xfId="3" applyFont="1" applyFill="1"/>
    <xf numFmtId="1" fontId="6" fillId="12" borderId="0" xfId="3" applyNumberFormat="1" applyFill="1" applyProtection="1"/>
    <xf numFmtId="0" fontId="6" fillId="12" borderId="0" xfId="3" applyFont="1" applyFill="1" applyAlignment="1">
      <alignment horizontal="right"/>
    </xf>
    <xf numFmtId="167" fontId="6" fillId="9" borderId="3" xfId="3" applyNumberFormat="1" applyFill="1" applyBorder="1"/>
    <xf numFmtId="1" fontId="31" fillId="0" borderId="0" xfId="3" applyNumberFormat="1" applyFont="1" applyFill="1" applyProtection="1"/>
    <xf numFmtId="1" fontId="32" fillId="0" borderId="0" xfId="3" applyNumberFormat="1" applyFont="1" applyFill="1" applyProtection="1"/>
    <xf numFmtId="165" fontId="7" fillId="9" borderId="6" xfId="0" applyNumberFormat="1" applyFont="1" applyFill="1" applyBorder="1" applyAlignment="1" applyProtection="1">
      <alignment horizontal="center"/>
      <protection locked="0"/>
    </xf>
    <xf numFmtId="2" fontId="33" fillId="13" borderId="0" xfId="0" applyNumberFormat="1" applyFont="1" applyFill="1" applyAlignment="1">
      <alignment horizontal="center"/>
    </xf>
    <xf numFmtId="2" fontId="33" fillId="13" borderId="0" xfId="0" applyNumberFormat="1" applyFont="1" applyFill="1" applyAlignment="1">
      <alignment horizontal="center" wrapText="1"/>
    </xf>
    <xf numFmtId="2" fontId="48" fillId="26" borderId="3" xfId="0" applyNumberFormat="1" applyFont="1" applyFill="1" applyBorder="1" applyAlignment="1">
      <alignment horizontal="center"/>
    </xf>
    <xf numFmtId="2" fontId="48" fillId="26" borderId="0" xfId="0" applyNumberFormat="1" applyFont="1" applyFill="1" applyAlignment="1">
      <alignment horizontal="center" wrapText="1"/>
    </xf>
    <xf numFmtId="2" fontId="48" fillId="19" borderId="3" xfId="0" applyNumberFormat="1" applyFont="1" applyFill="1" applyBorder="1" applyAlignment="1">
      <alignment horizontal="center"/>
    </xf>
    <xf numFmtId="2" fontId="48" fillId="19" borderId="0" xfId="0" applyNumberFormat="1" applyFont="1" applyFill="1" applyAlignment="1">
      <alignment horizontal="center" wrapText="1"/>
    </xf>
    <xf numFmtId="2" fontId="0" fillId="0" borderId="0" xfId="0" applyNumberFormat="1" applyProtection="1">
      <protection locked="0"/>
    </xf>
    <xf numFmtId="2" fontId="0" fillId="7" borderId="0" xfId="0" applyNumberFormat="1" applyFill="1" applyProtection="1">
      <protection locked="0"/>
    </xf>
    <xf numFmtId="0" fontId="0" fillId="0" borderId="0" xfId="0" applyFill="1" applyProtection="1">
      <protection locked="0"/>
    </xf>
    <xf numFmtId="0" fontId="0" fillId="7" borderId="0" xfId="0" applyFill="1" applyProtection="1">
      <protection locked="0"/>
    </xf>
    <xf numFmtId="0" fontId="24" fillId="8" borderId="0" xfId="0" applyFont="1" applyFill="1" applyAlignment="1">
      <alignment horizontal="center"/>
    </xf>
    <xf numFmtId="0" fontId="8" fillId="32" borderId="0" xfId="0" quotePrefix="1" applyFont="1" applyFill="1" applyBorder="1" applyAlignment="1">
      <alignment horizontal="right"/>
    </xf>
    <xf numFmtId="0" fontId="8" fillId="32" borderId="0" xfId="0" applyFont="1" applyFill="1" applyBorder="1" applyAlignment="1">
      <alignment horizontal="right"/>
    </xf>
    <xf numFmtId="0" fontId="62" fillId="19" borderId="0" xfId="2" applyFill="1" applyAlignment="1">
      <alignment horizontal="center" vertical="center"/>
    </xf>
    <xf numFmtId="165" fontId="0" fillId="19" borderId="0" xfId="0" applyNumberFormat="1" applyFill="1"/>
    <xf numFmtId="0" fontId="6" fillId="19" borderId="0" xfId="0" applyFont="1" applyFill="1" applyAlignment="1">
      <alignment horizontal="center"/>
    </xf>
    <xf numFmtId="0" fontId="6" fillId="0" borderId="0" xfId="0" applyFont="1" applyFill="1"/>
    <xf numFmtId="0" fontId="6" fillId="30" borderId="13" xfId="0" applyFont="1" applyFill="1" applyBorder="1" applyAlignment="1">
      <alignment horizontal="center" vertical="center"/>
    </xf>
    <xf numFmtId="0" fontId="6" fillId="30" borderId="14" xfId="0" applyFont="1" applyFill="1" applyBorder="1" applyAlignment="1">
      <alignment horizontal="center" vertical="center"/>
    </xf>
    <xf numFmtId="15" fontId="6" fillId="33" borderId="0" xfId="3" applyNumberFormat="1" applyFill="1"/>
    <xf numFmtId="0" fontId="7" fillId="31" borderId="4" xfId="0" applyFont="1" applyFill="1" applyBorder="1"/>
    <xf numFmtId="0" fontId="0" fillId="31" borderId="8" xfId="0" applyFill="1" applyBorder="1"/>
    <xf numFmtId="0" fontId="0" fillId="31" borderId="9" xfId="0" applyFill="1" applyBorder="1"/>
    <xf numFmtId="0" fontId="37" fillId="31" borderId="9" xfId="0" applyFont="1" applyFill="1" applyBorder="1"/>
    <xf numFmtId="0" fontId="0" fillId="31" borderId="10" xfId="0" applyFill="1" applyBorder="1"/>
    <xf numFmtId="0" fontId="7" fillId="31" borderId="14" xfId="0" applyFont="1" applyFill="1" applyBorder="1"/>
    <xf numFmtId="0" fontId="6" fillId="31" borderId="11" xfId="0" applyFont="1" applyFill="1" applyBorder="1"/>
    <xf numFmtId="0" fontId="0" fillId="31" borderId="7" xfId="0" applyFill="1" applyBorder="1"/>
    <xf numFmtId="0" fontId="0" fillId="31" borderId="2" xfId="0" applyFill="1" applyBorder="1"/>
    <xf numFmtId="2" fontId="8" fillId="0" borderId="4" xfId="0" applyNumberFormat="1" applyFont="1" applyFill="1" applyBorder="1" applyAlignment="1" applyProtection="1">
      <alignment horizontal="center"/>
      <protection locked="0"/>
    </xf>
    <xf numFmtId="0" fontId="0" fillId="0" borderId="0" xfId="0" applyProtection="1">
      <protection locked="0"/>
    </xf>
    <xf numFmtId="2" fontId="6" fillId="12" borderId="0" xfId="0" applyNumberFormat="1" applyFont="1" applyFill="1" applyBorder="1" applyAlignment="1" applyProtection="1">
      <alignment horizontal="center"/>
    </xf>
    <xf numFmtId="164" fontId="6" fillId="12" borderId="0" xfId="0" applyNumberFormat="1" applyFont="1" applyFill="1" applyBorder="1" applyAlignment="1" applyProtection="1">
      <alignment horizontal="center"/>
    </xf>
    <xf numFmtId="0" fontId="0" fillId="12" borderId="14" xfId="0" applyFill="1" applyBorder="1" applyAlignment="1" applyProtection="1">
      <alignment horizontal="center"/>
    </xf>
    <xf numFmtId="165" fontId="0" fillId="8" borderId="0" xfId="0" applyNumberFormat="1" applyFill="1" applyAlignment="1">
      <alignment horizontal="center"/>
    </xf>
    <xf numFmtId="0" fontId="0" fillId="8" borderId="7" xfId="0" applyFill="1" applyBorder="1" applyAlignment="1">
      <alignment horizontal="center" vertical="center"/>
    </xf>
    <xf numFmtId="1" fontId="0" fillId="0" borderId="0" xfId="0" applyNumberFormat="1" applyFill="1" applyProtection="1">
      <protection locked="0"/>
    </xf>
    <xf numFmtId="1" fontId="0" fillId="8" borderId="0" xfId="0" applyNumberFormat="1" applyFill="1"/>
    <xf numFmtId="0" fontId="6" fillId="35" borderId="0" xfId="0" applyFont="1" applyFill="1"/>
    <xf numFmtId="0" fontId="0" fillId="35" borderId="0" xfId="0" applyFill="1"/>
    <xf numFmtId="0" fontId="62" fillId="35" borderId="0" xfId="2" applyFill="1" applyAlignment="1">
      <alignment horizontal="right"/>
    </xf>
    <xf numFmtId="0" fontId="0" fillId="36" borderId="0" xfId="0" applyFill="1"/>
    <xf numFmtId="2" fontId="0" fillId="37" borderId="0" xfId="0" applyNumberFormat="1" applyFill="1"/>
    <xf numFmtId="1" fontId="0" fillId="37" borderId="0" xfId="0" applyNumberFormat="1" applyFill="1"/>
    <xf numFmtId="0" fontId="0" fillId="35" borderId="0" xfId="0" applyFill="1" applyAlignment="1">
      <alignment horizontal="center"/>
    </xf>
    <xf numFmtId="0" fontId="62" fillId="35" borderId="0" xfId="2" applyFill="1" applyAlignment="1">
      <alignment horizontal="center"/>
    </xf>
    <xf numFmtId="0" fontId="0" fillId="36" borderId="0" xfId="0" applyFill="1" applyAlignment="1">
      <alignment horizontal="center"/>
    </xf>
    <xf numFmtId="0" fontId="3" fillId="19" borderId="0" xfId="2" applyFont="1" applyFill="1" applyAlignment="1">
      <alignment horizontal="right"/>
    </xf>
    <xf numFmtId="0" fontId="0" fillId="9" borderId="3" xfId="0" applyFill="1" applyBorder="1" applyAlignment="1" applyProtection="1">
      <alignment horizontal="center"/>
      <protection locked="0"/>
    </xf>
    <xf numFmtId="0" fontId="65" fillId="0" borderId="0" xfId="0" applyFont="1" applyProtection="1">
      <protection locked="0"/>
    </xf>
    <xf numFmtId="1" fontId="0" fillId="0" borderId="0" xfId="0" applyNumberFormat="1" applyAlignment="1" applyProtection="1">
      <protection locked="0"/>
    </xf>
    <xf numFmtId="0" fontId="3" fillId="0" borderId="5" xfId="2" applyFont="1" applyBorder="1" applyProtection="1">
      <protection locked="0"/>
    </xf>
    <xf numFmtId="164" fontId="0" fillId="0" borderId="6" xfId="0" applyNumberFormat="1" applyBorder="1" applyProtection="1">
      <protection locked="0"/>
    </xf>
    <xf numFmtId="164" fontId="62" fillId="0" borderId="3" xfId="2" applyNumberFormat="1" applyBorder="1" applyProtection="1">
      <protection locked="0"/>
    </xf>
    <xf numFmtId="0" fontId="62" fillId="0" borderId="3" xfId="2" applyBorder="1" applyProtection="1">
      <protection locked="0"/>
    </xf>
    <xf numFmtId="14" fontId="0" fillId="38" borderId="0" xfId="0" applyNumberFormat="1" applyFill="1"/>
    <xf numFmtId="1" fontId="0" fillId="19" borderId="0" xfId="0" applyNumberFormat="1" applyFill="1"/>
    <xf numFmtId="0" fontId="0" fillId="19" borderId="0" xfId="0" applyFill="1" applyAlignment="1"/>
    <xf numFmtId="2" fontId="0" fillId="3" borderId="0" xfId="0" applyNumberFormat="1" applyFill="1" applyAlignment="1">
      <alignment horizontal="center"/>
    </xf>
    <xf numFmtId="165" fontId="62" fillId="0" borderId="0" xfId="2" applyNumberFormat="1" applyProtection="1">
      <protection locked="0"/>
    </xf>
    <xf numFmtId="165" fontId="62" fillId="0" borderId="0" xfId="2" applyNumberFormat="1" applyFill="1" applyProtection="1">
      <protection locked="0"/>
    </xf>
    <xf numFmtId="0" fontId="0" fillId="19" borderId="0" xfId="0" applyFill="1" applyAlignment="1">
      <alignment horizontal="center"/>
    </xf>
    <xf numFmtId="0" fontId="3" fillId="19" borderId="0" xfId="2" applyFont="1" applyFill="1" applyAlignment="1">
      <alignment horizontal="center" vertical="center"/>
    </xf>
    <xf numFmtId="0" fontId="6" fillId="19" borderId="0" xfId="0" applyFont="1" applyFill="1" applyAlignment="1">
      <alignment horizontal="center" vertical="center"/>
    </xf>
    <xf numFmtId="0" fontId="2" fillId="19" borderId="0" xfId="2" applyFont="1" applyFill="1" applyAlignment="1">
      <alignment horizontal="center" vertical="center"/>
    </xf>
    <xf numFmtId="0" fontId="4" fillId="19" borderId="0" xfId="2" applyFont="1" applyFill="1" applyAlignment="1">
      <alignment horizontal="center" vertical="center"/>
    </xf>
    <xf numFmtId="0" fontId="0" fillId="19" borderId="0" xfId="0" applyFill="1" applyAlignment="1">
      <alignment horizontal="center" vertical="center"/>
    </xf>
    <xf numFmtId="167" fontId="0" fillId="34" borderId="0" xfId="0" applyNumberFormat="1" applyFill="1" applyBorder="1"/>
    <xf numFmtId="164" fontId="0" fillId="34" borderId="0" xfId="0" applyNumberFormat="1" applyFill="1" applyBorder="1"/>
    <xf numFmtId="0" fontId="0" fillId="34" borderId="0" xfId="0" applyFill="1" applyBorder="1"/>
    <xf numFmtId="0" fontId="0" fillId="34" borderId="0" xfId="0" applyFill="1" applyBorder="1" applyAlignment="1">
      <alignment horizontal="center" wrapText="1"/>
    </xf>
    <xf numFmtId="0" fontId="6" fillId="34" borderId="0" xfId="0" applyFont="1" applyFill="1" applyBorder="1" applyAlignment="1">
      <alignment horizontal="center" wrapText="1"/>
    </xf>
    <xf numFmtId="0" fontId="8" fillId="39" borderId="0" xfId="0" applyFont="1" applyFill="1" applyBorder="1" applyAlignment="1">
      <alignment horizontal="center" wrapText="1"/>
    </xf>
    <xf numFmtId="0" fontId="11" fillId="39" borderId="0" xfId="0" applyFont="1" applyFill="1" applyBorder="1" applyAlignment="1">
      <alignment horizontal="center" wrapText="1"/>
    </xf>
    <xf numFmtId="0" fontId="0" fillId="0" borderId="0" xfId="0" applyFill="1" applyBorder="1" applyAlignment="1" applyProtection="1">
      <alignment horizontal="center" wrapText="1"/>
      <protection locked="0"/>
    </xf>
    <xf numFmtId="2" fontId="0" fillId="0" borderId="0" xfId="0" applyNumberFormat="1" applyAlignment="1" applyProtection="1">
      <protection locked="0"/>
    </xf>
    <xf numFmtId="2" fontId="0" fillId="7" borderId="0" xfId="0" applyNumberFormat="1" applyFill="1" applyAlignment="1" applyProtection="1">
      <protection locked="0"/>
    </xf>
    <xf numFmtId="2" fontId="33" fillId="8" borderId="0" xfId="0" applyNumberFormat="1" applyFont="1" applyFill="1" applyProtection="1"/>
    <xf numFmtId="165" fontId="31" fillId="7" borderId="0" xfId="3" applyNumberFormat="1" applyFont="1" applyFill="1" applyProtection="1"/>
    <xf numFmtId="0" fontId="7" fillId="32" borderId="0" xfId="0" applyFont="1" applyFill="1" applyBorder="1" applyAlignment="1" applyProtection="1">
      <alignment horizontal="center" wrapText="1"/>
    </xf>
    <xf numFmtId="0" fontId="8" fillId="32" borderId="0" xfId="0" applyFont="1" applyFill="1" applyBorder="1" applyAlignment="1">
      <alignment horizontal="center" wrapText="1"/>
    </xf>
    <xf numFmtId="0" fontId="8" fillId="16" borderId="0" xfId="0" applyFont="1" applyFill="1" applyBorder="1" applyAlignment="1" applyProtection="1">
      <alignment horizontal="center" wrapText="1"/>
    </xf>
    <xf numFmtId="0" fontId="8" fillId="0" borderId="0" xfId="0" applyFont="1" applyAlignment="1">
      <alignment horizontal="center" wrapText="1"/>
    </xf>
    <xf numFmtId="0" fontId="8" fillId="4" borderId="0" xfId="0" applyFont="1" applyFill="1" applyBorder="1" applyAlignment="1">
      <alignment horizontal="center" vertical="top" wrapText="1"/>
    </xf>
    <xf numFmtId="0" fontId="8" fillId="11" borderId="0" xfId="0" applyFont="1" applyFill="1" applyBorder="1" applyAlignment="1">
      <alignment horizontal="center" vertical="top" wrapText="1"/>
    </xf>
    <xf numFmtId="0" fontId="8" fillId="11" borderId="0" xfId="0" applyFont="1" applyFill="1" applyBorder="1" applyAlignment="1">
      <alignment horizontal="center" wrapText="1"/>
    </xf>
    <xf numFmtId="0" fontId="8" fillId="15" borderId="0" xfId="0" applyFont="1" applyFill="1" applyBorder="1" applyAlignment="1" applyProtection="1">
      <alignment horizontal="center" wrapText="1"/>
    </xf>
    <xf numFmtId="0" fontId="8" fillId="15" borderId="0" xfId="0" applyFont="1" applyFill="1" applyBorder="1" applyAlignment="1">
      <alignment horizontal="center" wrapText="1"/>
    </xf>
    <xf numFmtId="0" fontId="8" fillId="12" borderId="0" xfId="0" applyFont="1" applyFill="1" applyBorder="1" applyAlignment="1" applyProtection="1">
      <alignment horizontal="center" wrapText="1"/>
    </xf>
    <xf numFmtId="0" fontId="8" fillId="12" borderId="0" xfId="0" applyFont="1" applyFill="1" applyBorder="1" applyAlignment="1">
      <alignment horizontal="center" wrapText="1"/>
    </xf>
    <xf numFmtId="0" fontId="7" fillId="9" borderId="3" xfId="0" applyFont="1" applyFill="1" applyBorder="1" applyAlignment="1" applyProtection="1">
      <alignment horizontal="center"/>
      <protection locked="0"/>
    </xf>
    <xf numFmtId="0" fontId="8" fillId="9" borderId="3" xfId="0" applyFont="1" applyFill="1" applyBorder="1" applyAlignment="1" applyProtection="1">
      <alignment horizontal="center"/>
      <protection locked="0"/>
    </xf>
    <xf numFmtId="0" fontId="8" fillId="17" borderId="0" xfId="0" applyFont="1" applyFill="1" applyBorder="1" applyAlignment="1" applyProtection="1">
      <alignment horizontal="center" wrapText="1"/>
    </xf>
    <xf numFmtId="0" fontId="8" fillId="17" borderId="0" xfId="0" applyFont="1" applyFill="1" applyBorder="1" applyAlignment="1">
      <alignment horizontal="center" wrapText="1"/>
    </xf>
    <xf numFmtId="0" fontId="33" fillId="13" borderId="9" xfId="0" applyFont="1" applyFill="1" applyBorder="1" applyAlignment="1">
      <alignment horizontal="left" vertical="top" wrapText="1"/>
    </xf>
    <xf numFmtId="0" fontId="33" fillId="0" borderId="10" xfId="0" applyFont="1" applyBorder="1" applyAlignment="1">
      <alignment wrapText="1"/>
    </xf>
    <xf numFmtId="0" fontId="33" fillId="0" borderId="0" xfId="0" applyFont="1" applyBorder="1" applyAlignment="1">
      <alignment wrapText="1"/>
    </xf>
    <xf numFmtId="0" fontId="33" fillId="0" borderId="1" xfId="0" applyFont="1" applyBorder="1" applyAlignment="1">
      <alignment wrapText="1"/>
    </xf>
    <xf numFmtId="0" fontId="33" fillId="0" borderId="7" xfId="0" applyFont="1" applyBorder="1" applyAlignment="1">
      <alignment wrapText="1"/>
    </xf>
    <xf numFmtId="0" fontId="33" fillId="0" borderId="2" xfId="0" applyFont="1" applyBorder="1" applyAlignment="1">
      <alignment wrapText="1"/>
    </xf>
    <xf numFmtId="0" fontId="33" fillId="13" borderId="0" xfId="0" applyFont="1" applyFill="1" applyBorder="1" applyAlignment="1" applyProtection="1">
      <alignment horizontal="left" wrapText="1"/>
    </xf>
    <xf numFmtId="0" fontId="33" fillId="0" borderId="0" xfId="0" applyFont="1" applyBorder="1" applyAlignment="1">
      <alignment horizontal="left" wrapText="1"/>
    </xf>
    <xf numFmtId="0" fontId="48" fillId="7" borderId="5" xfId="0" applyFont="1" applyFill="1" applyBorder="1" applyAlignment="1"/>
    <xf numFmtId="0" fontId="48" fillId="7" borderId="6" xfId="0" applyFont="1" applyFill="1" applyBorder="1" applyAlignment="1"/>
    <xf numFmtId="0" fontId="33" fillId="13" borderId="8" xfId="0" applyFont="1" applyFill="1"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2"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11" xfId="0"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33" fillId="13" borderId="8" xfId="0" applyFont="1" applyFill="1" applyBorder="1" applyAlignment="1" applyProtection="1">
      <alignment horizontal="left" vertical="center" wrapText="1"/>
    </xf>
    <xf numFmtId="0" fontId="22" fillId="2" borderId="7" xfId="0" applyFont="1" applyFill="1" applyBorder="1" applyAlignment="1">
      <alignment horizontal="center"/>
    </xf>
  </cellXfs>
  <cellStyles count="6">
    <cellStyle name="Input" xfId="1" builtinId="20" customBuiltin="1"/>
    <cellStyle name="Normal 2" xfId="2"/>
    <cellStyle name="Normal 3" xfId="3"/>
    <cellStyle name="Normale" xfId="0" builtinId="0"/>
    <cellStyle name="Note 2" xfId="4"/>
    <cellStyle name="Output" xfId="5" builtinId="21" customBuiltin="1"/>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00FF00"/>
      <color rgb="FF00FFFF"/>
      <color rgb="FF66CCFF"/>
      <color rgb="FF3399FF"/>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4.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hartsheet" Target="chartsheets/sheet3.xml"/><Relationship Id="rId32" Type="http://schemas.openxmlformats.org/officeDocument/2006/relationships/chartsheet" Target="chartsheets/sheet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hartsheet" Target="chartsheets/sheet2.xml"/><Relationship Id="rId28" Type="http://schemas.openxmlformats.org/officeDocument/2006/relationships/worksheet" Target="worksheets/sheet2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hartsheet" Target="chartsheets/sheet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1.xml"/><Relationship Id="rId27" Type="http://schemas.openxmlformats.org/officeDocument/2006/relationships/worksheet" Target="worksheets/sheet23.xml"/><Relationship Id="rId30" Type="http://schemas.openxmlformats.org/officeDocument/2006/relationships/chartsheet" Target="chartsheets/sheet5.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4076460709569541"/>
          <c:y val="9.7669706180344498E-2"/>
          <c:w val="0.83059911530515462"/>
          <c:h val="0.6555769890465819"/>
        </c:manualLayout>
      </c:layout>
      <c:scatterChart>
        <c:scatterStyle val="lineMarker"/>
        <c:ser>
          <c:idx val="2"/>
          <c:order val="0"/>
          <c:tx>
            <c:v>FC-YTD</c:v>
          </c:tx>
          <c:spPr>
            <a:ln w="44450">
              <a:solidFill>
                <a:srgbClr val="66FF33"/>
              </a:solidFill>
              <a:prstDash val="dash"/>
            </a:ln>
          </c:spPr>
          <c:marker>
            <c:symbol val="none"/>
          </c:marker>
          <c:xVal>
            <c:numRef>
              <c:f>Irrig!$O$21:$O$22</c:f>
              <c:numCache>
                <c:formatCode>[$-409]d\-mmm\-yy;@</c:formatCode>
                <c:ptCount val="2"/>
                <c:pt idx="0">
                  <c:v>37987</c:v>
                </c:pt>
                <c:pt idx="1">
                  <c:v>38563</c:v>
                </c:pt>
              </c:numCache>
            </c:numRef>
          </c:xVal>
          <c:yVal>
            <c:numRef>
              <c:f>Irrig!$P$21:$P$22</c:f>
              <c:numCache>
                <c:formatCode>0</c:formatCode>
                <c:ptCount val="2"/>
                <c:pt idx="0">
                  <c:v>410.03035205291292</c:v>
                </c:pt>
                <c:pt idx="1">
                  <c:v>410.03035205291292</c:v>
                </c:pt>
              </c:numCache>
            </c:numRef>
          </c:yVal>
        </c:ser>
        <c:ser>
          <c:idx val="3"/>
          <c:order val="1"/>
          <c:tx>
            <c:v>FC-PWP</c:v>
          </c:tx>
          <c:spPr>
            <a:ln w="44450">
              <a:solidFill>
                <a:srgbClr val="00FFFF"/>
              </a:solidFill>
              <a:prstDash val="sysDash"/>
            </a:ln>
          </c:spPr>
          <c:marker>
            <c:symbol val="none"/>
          </c:marker>
          <c:xVal>
            <c:numRef>
              <c:f>Irrig!$O$21:$O$22</c:f>
              <c:numCache>
                <c:formatCode>[$-409]d\-mmm\-yy;@</c:formatCode>
                <c:ptCount val="2"/>
                <c:pt idx="0">
                  <c:v>37987</c:v>
                </c:pt>
                <c:pt idx="1">
                  <c:v>38563</c:v>
                </c:pt>
              </c:numCache>
            </c:numRef>
          </c:xVal>
          <c:yVal>
            <c:numRef>
              <c:f>Irrig!$Q$21:$Q$22</c:f>
              <c:numCache>
                <c:formatCode>0</c:formatCode>
                <c:ptCount val="2"/>
                <c:pt idx="0">
                  <c:v>290.03035205291292</c:v>
                </c:pt>
                <c:pt idx="1">
                  <c:v>290.03035205291292</c:v>
                </c:pt>
              </c:numCache>
            </c:numRef>
          </c:yVal>
        </c:ser>
        <c:ser>
          <c:idx val="0"/>
          <c:order val="2"/>
          <c:tx>
            <c:v>CETc</c:v>
          </c:tx>
          <c:spPr>
            <a:ln w="38100"/>
          </c:spPr>
          <c:marker>
            <c:symbol val="none"/>
          </c:marker>
          <c:xVal>
            <c:numRef>
              <c:f>Irrig!$F$24:$F$600</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Irrig!$D$24:$D$600</c:f>
              <c:numCache>
                <c:formatCode>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1.3809350269609995</c:v>
                </c:pt>
                <c:pt idx="106">
                  <c:v>1.9923545230561273</c:v>
                </c:pt>
                <c:pt idx="107">
                  <c:v>3.3467373689338968</c:v>
                </c:pt>
                <c:pt idx="108">
                  <c:v>5.2506258827657906</c:v>
                </c:pt>
                <c:pt idx="109">
                  <c:v>6.9710843502907478</c:v>
                </c:pt>
                <c:pt idx="110">
                  <c:v>8.9041631003758503</c:v>
                </c:pt>
                <c:pt idx="111">
                  <c:v>10.985147469452002</c:v>
                </c:pt>
                <c:pt idx="112">
                  <c:v>13.14541571231357</c:v>
                </c:pt>
                <c:pt idx="113">
                  <c:v>15.00179722320579</c:v>
                </c:pt>
                <c:pt idx="114">
                  <c:v>16.413604524483727</c:v>
                </c:pt>
                <c:pt idx="115">
                  <c:v>16.661804071541642</c:v>
                </c:pt>
                <c:pt idx="116">
                  <c:v>16.832844130832974</c:v>
                </c:pt>
                <c:pt idx="117">
                  <c:v>16.958946104974714</c:v>
                </c:pt>
                <c:pt idx="118">
                  <c:v>17.120019812656533</c:v>
                </c:pt>
                <c:pt idx="119">
                  <c:v>17.269180258167612</c:v>
                </c:pt>
                <c:pt idx="120">
                  <c:v>17.374240777263154</c:v>
                </c:pt>
                <c:pt idx="121">
                  <c:v>17.493249849997042</c:v>
                </c:pt>
                <c:pt idx="122">
                  <c:v>19.695294103151099</c:v>
                </c:pt>
                <c:pt idx="123">
                  <c:v>22.361821193129366</c:v>
                </c:pt>
                <c:pt idx="124">
                  <c:v>23.971738832424862</c:v>
                </c:pt>
                <c:pt idx="125">
                  <c:v>26.356821979704723</c:v>
                </c:pt>
                <c:pt idx="126">
                  <c:v>29.08162242034166</c:v>
                </c:pt>
                <c:pt idx="127">
                  <c:v>30.574311384764105</c:v>
                </c:pt>
                <c:pt idx="128">
                  <c:v>31.910306354219237</c:v>
                </c:pt>
                <c:pt idx="129">
                  <c:v>34.300519445658615</c:v>
                </c:pt>
                <c:pt idx="130">
                  <c:v>37.42706756162935</c:v>
                </c:pt>
                <c:pt idx="131">
                  <c:v>40.402784078516255</c:v>
                </c:pt>
                <c:pt idx="132">
                  <c:v>43.618670202814243</c:v>
                </c:pt>
                <c:pt idx="133">
                  <c:v>45.866219195376303</c:v>
                </c:pt>
                <c:pt idx="134">
                  <c:v>47.901903492976075</c:v>
                </c:pt>
                <c:pt idx="135">
                  <c:v>50.079322830151298</c:v>
                </c:pt>
                <c:pt idx="136">
                  <c:v>52.233259542281594</c:v>
                </c:pt>
                <c:pt idx="137">
                  <c:v>53.98911073483287</c:v>
                </c:pt>
                <c:pt idx="138">
                  <c:v>56.546690102997609</c:v>
                </c:pt>
                <c:pt idx="139">
                  <c:v>58.400507984430178</c:v>
                </c:pt>
                <c:pt idx="140">
                  <c:v>60.30327746188722</c:v>
                </c:pt>
                <c:pt idx="141">
                  <c:v>62.510413473647809</c:v>
                </c:pt>
                <c:pt idx="142">
                  <c:v>64.184219628627375</c:v>
                </c:pt>
                <c:pt idx="143">
                  <c:v>66.984071025392012</c:v>
                </c:pt>
                <c:pt idx="144">
                  <c:v>70.099756661220255</c:v>
                </c:pt>
                <c:pt idx="145">
                  <c:v>72.899057232070092</c:v>
                </c:pt>
                <c:pt idx="146">
                  <c:v>75.660066799465667</c:v>
                </c:pt>
                <c:pt idx="147">
                  <c:v>78.114095260484419</c:v>
                </c:pt>
                <c:pt idx="148">
                  <c:v>80.985515598372515</c:v>
                </c:pt>
                <c:pt idx="149">
                  <c:v>84.516487556513553</c:v>
                </c:pt>
                <c:pt idx="150">
                  <c:v>87.691692519528289</c:v>
                </c:pt>
                <c:pt idx="151">
                  <c:v>91.204184791613216</c:v>
                </c:pt>
                <c:pt idx="152">
                  <c:v>95.077007898531946</c:v>
                </c:pt>
                <c:pt idx="153">
                  <c:v>98.642667850526024</c:v>
                </c:pt>
                <c:pt idx="154">
                  <c:v>102.93532070212494</c:v>
                </c:pt>
                <c:pt idx="155">
                  <c:v>106.50737409090708</c:v>
                </c:pt>
                <c:pt idx="156">
                  <c:v>109.82395636595501</c:v>
                </c:pt>
                <c:pt idx="157">
                  <c:v>113.62703237839479</c:v>
                </c:pt>
                <c:pt idx="158">
                  <c:v>117.74813853947762</c:v>
                </c:pt>
                <c:pt idx="159">
                  <c:v>121.81122653667637</c:v>
                </c:pt>
                <c:pt idx="160">
                  <c:v>125.70231564311437</c:v>
                </c:pt>
                <c:pt idx="161">
                  <c:v>129.86853964092202</c:v>
                </c:pt>
                <c:pt idx="162">
                  <c:v>134.03511392910349</c:v>
                </c:pt>
                <c:pt idx="163">
                  <c:v>137.67678600495523</c:v>
                </c:pt>
                <c:pt idx="164">
                  <c:v>141.61929534227966</c:v>
                </c:pt>
                <c:pt idx="165">
                  <c:v>145.66381165655071</c:v>
                </c:pt>
                <c:pt idx="166">
                  <c:v>148.6711582530958</c:v>
                </c:pt>
                <c:pt idx="167">
                  <c:v>152.20234254913933</c:v>
                </c:pt>
                <c:pt idx="168">
                  <c:v>155.86467402501341</c:v>
                </c:pt>
                <c:pt idx="169">
                  <c:v>160.09012928449405</c:v>
                </c:pt>
                <c:pt idx="170">
                  <c:v>164.42121174960579</c:v>
                </c:pt>
                <c:pt idx="171">
                  <c:v>168.6513557809179</c:v>
                </c:pt>
                <c:pt idx="172">
                  <c:v>173.50768948949502</c:v>
                </c:pt>
                <c:pt idx="173">
                  <c:v>178.79132485312954</c:v>
                </c:pt>
                <c:pt idx="174">
                  <c:v>183.10064214933215</c:v>
                </c:pt>
                <c:pt idx="175">
                  <c:v>186.87314413826897</c:v>
                </c:pt>
                <c:pt idx="176">
                  <c:v>191.96067354296162</c:v>
                </c:pt>
                <c:pt idx="177">
                  <c:v>196.56975602333813</c:v>
                </c:pt>
                <c:pt idx="178">
                  <c:v>200.74039341610035</c:v>
                </c:pt>
                <c:pt idx="179">
                  <c:v>204.57114707377389</c:v>
                </c:pt>
                <c:pt idx="180">
                  <c:v>209.92946109229746</c:v>
                </c:pt>
                <c:pt idx="181">
                  <c:v>215.37418252521974</c:v>
                </c:pt>
                <c:pt idx="182">
                  <c:v>221.03303242136559</c:v>
                </c:pt>
                <c:pt idx="183">
                  <c:v>226.8771949301705</c:v>
                </c:pt>
                <c:pt idx="184">
                  <c:v>232.20436765659565</c:v>
                </c:pt>
                <c:pt idx="185">
                  <c:v>237.67194260742826</c:v>
                </c:pt>
                <c:pt idx="186">
                  <c:v>241.34050656577688</c:v>
                </c:pt>
                <c:pt idx="187">
                  <c:v>244.86362810548331</c:v>
                </c:pt>
                <c:pt idx="188">
                  <c:v>249.55992379439053</c:v>
                </c:pt>
                <c:pt idx="189">
                  <c:v>254.2209915205417</c:v>
                </c:pt>
                <c:pt idx="190">
                  <c:v>259.24555826510135</c:v>
                </c:pt>
                <c:pt idx="191">
                  <c:v>264.34512459268046</c:v>
                </c:pt>
                <c:pt idx="192">
                  <c:v>269.77628384071471</c:v>
                </c:pt>
                <c:pt idx="193">
                  <c:v>274.46567741750937</c:v>
                </c:pt>
                <c:pt idx="194">
                  <c:v>278.84902252233877</c:v>
                </c:pt>
                <c:pt idx="195">
                  <c:v>283.4764101068377</c:v>
                </c:pt>
                <c:pt idx="196">
                  <c:v>288.09595920725354</c:v>
                </c:pt>
                <c:pt idx="197">
                  <c:v>292.96496197314747</c:v>
                </c:pt>
                <c:pt idx="198">
                  <c:v>297.66717955669941</c:v>
                </c:pt>
                <c:pt idx="199">
                  <c:v>302.29456357521866</c:v>
                </c:pt>
                <c:pt idx="200">
                  <c:v>307.1043163459625</c:v>
                </c:pt>
                <c:pt idx="201">
                  <c:v>312.3937481595006</c:v>
                </c:pt>
                <c:pt idx="202">
                  <c:v>316.93984330782638</c:v>
                </c:pt>
                <c:pt idx="203">
                  <c:v>321.13433160264384</c:v>
                </c:pt>
                <c:pt idx="204">
                  <c:v>325.40303637977848</c:v>
                </c:pt>
                <c:pt idx="205">
                  <c:v>329.71601868267567</c:v>
                </c:pt>
                <c:pt idx="206">
                  <c:v>333.66788943755313</c:v>
                </c:pt>
                <c:pt idx="207">
                  <c:v>338.40165056474001</c:v>
                </c:pt>
                <c:pt idx="208">
                  <c:v>342.28732649514262</c:v>
                </c:pt>
                <c:pt idx="209">
                  <c:v>347.08487003965303</c:v>
                </c:pt>
                <c:pt idx="210">
                  <c:v>351.78582716591194</c:v>
                </c:pt>
                <c:pt idx="211">
                  <c:v>355.85695500795157</c:v>
                </c:pt>
                <c:pt idx="212">
                  <c:v>359.75557088881857</c:v>
                </c:pt>
                <c:pt idx="213">
                  <c:v>364.42368435583666</c:v>
                </c:pt>
                <c:pt idx="214">
                  <c:v>367.71355998546522</c:v>
                </c:pt>
                <c:pt idx="215">
                  <c:v>372.49929792567201</c:v>
                </c:pt>
                <c:pt idx="216">
                  <c:v>376.93518075669215</c:v>
                </c:pt>
                <c:pt idx="217">
                  <c:v>381.14323291373535</c:v>
                </c:pt>
                <c:pt idx="218">
                  <c:v>385.88172769825633</c:v>
                </c:pt>
                <c:pt idx="219">
                  <c:v>390.90350723318716</c:v>
                </c:pt>
                <c:pt idx="220">
                  <c:v>394.68717813903339</c:v>
                </c:pt>
                <c:pt idx="221">
                  <c:v>399.05108636687851</c:v>
                </c:pt>
                <c:pt idx="222">
                  <c:v>403.14251311842838</c:v>
                </c:pt>
                <c:pt idx="223">
                  <c:v>406.7025143859409</c:v>
                </c:pt>
                <c:pt idx="224">
                  <c:v>410.20128533105463</c:v>
                </c:pt>
                <c:pt idx="225">
                  <c:v>414.39593431177531</c:v>
                </c:pt>
                <c:pt idx="226">
                  <c:v>418.40507682867405</c:v>
                </c:pt>
                <c:pt idx="227">
                  <c:v>419.96713288125778</c:v>
                </c:pt>
                <c:pt idx="228">
                  <c:v>422.44942337765787</c:v>
                </c:pt>
                <c:pt idx="229">
                  <c:v>426.85445394886619</c:v>
                </c:pt>
                <c:pt idx="230">
                  <c:v>430.05084370934503</c:v>
                </c:pt>
                <c:pt idx="231">
                  <c:v>434.34990968649748</c:v>
                </c:pt>
                <c:pt idx="232">
                  <c:v>438.81242813832046</c:v>
                </c:pt>
                <c:pt idx="233">
                  <c:v>443.3011337471462</c:v>
                </c:pt>
                <c:pt idx="234">
                  <c:v>447.33438497268185</c:v>
                </c:pt>
                <c:pt idx="235">
                  <c:v>450.57511653211844</c:v>
                </c:pt>
                <c:pt idx="236">
                  <c:v>454.46932105510211</c:v>
                </c:pt>
                <c:pt idx="237">
                  <c:v>458.30150922192701</c:v>
                </c:pt>
                <c:pt idx="238">
                  <c:v>461.58440901451951</c:v>
                </c:pt>
                <c:pt idx="239">
                  <c:v>463.96979142080028</c:v>
                </c:pt>
                <c:pt idx="240">
                  <c:v>467.21338041165694</c:v>
                </c:pt>
                <c:pt idx="241">
                  <c:v>470.80345150627329</c:v>
                </c:pt>
                <c:pt idx="242">
                  <c:v>474.45913424013702</c:v>
                </c:pt>
                <c:pt idx="243">
                  <c:v>477.47353663435325</c:v>
                </c:pt>
                <c:pt idx="244">
                  <c:v>479.87877433631434</c:v>
                </c:pt>
                <c:pt idx="245">
                  <c:v>482.43167107180261</c:v>
                </c:pt>
                <c:pt idx="246">
                  <c:v>485.1131049814764</c:v>
                </c:pt>
                <c:pt idx="247">
                  <c:v>487.73053336743112</c:v>
                </c:pt>
                <c:pt idx="248">
                  <c:v>490.18661293137484</c:v>
                </c:pt>
                <c:pt idx="249">
                  <c:v>492.56385177820175</c:v>
                </c:pt>
                <c:pt idx="250">
                  <c:v>494.47215946527513</c:v>
                </c:pt>
                <c:pt idx="251">
                  <c:v>497.11587969750576</c:v>
                </c:pt>
                <c:pt idx="252">
                  <c:v>499.74537333116825</c:v>
                </c:pt>
                <c:pt idx="253">
                  <c:v>502.09393073240267</c:v>
                </c:pt>
                <c:pt idx="254">
                  <c:v>504.69769151926931</c:v>
                </c:pt>
                <c:pt idx="255">
                  <c:v>506.8557683091164</c:v>
                </c:pt>
                <c:pt idx="256">
                  <c:v>507.38469882326865</c:v>
                </c:pt>
                <c:pt idx="257">
                  <c:v>508.80505049117437</c:v>
                </c:pt>
                <c:pt idx="258">
                  <c:v>510.29920641165114</c:v>
                </c:pt>
                <c:pt idx="259">
                  <c:v>511.77662867238689</c:v>
                </c:pt>
                <c:pt idx="260">
                  <c:v>513.04672861264919</c:v>
                </c:pt>
                <c:pt idx="261">
                  <c:v>514.79178104243226</c:v>
                </c:pt>
                <c:pt idx="262">
                  <c:v>516.48984289312295</c:v>
                </c:pt>
                <c:pt idx="263">
                  <c:v>517.93771467694876</c:v>
                </c:pt>
                <c:pt idx="264">
                  <c:v>519.36197472996605</c:v>
                </c:pt>
                <c:pt idx="265">
                  <c:v>520.58133145062232</c:v>
                </c:pt>
                <c:pt idx="266">
                  <c:v>522.0807207778472</c:v>
                </c:pt>
                <c:pt idx="267">
                  <c:v>522.49258293674666</c:v>
                </c:pt>
                <c:pt idx="268">
                  <c:v>523.63404215227217</c:v>
                </c:pt>
                <c:pt idx="269">
                  <c:v>525.3638618852525</c:v>
                </c:pt>
                <c:pt idx="270">
                  <c:v>526.96683100431233</c:v>
                </c:pt>
                <c:pt idx="271">
                  <c:v>528.30622786104902</c:v>
                </c:pt>
                <c:pt idx="272">
                  <c:v>529.46108585497154</c:v>
                </c:pt>
                <c:pt idx="273">
                  <c:v>530.03035205291292</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yVal>
        </c:ser>
        <c:ser>
          <c:idx val="1"/>
          <c:order val="3"/>
          <c:tx>
            <c:v>CIrrig</c:v>
          </c:tx>
          <c:marker>
            <c:symbol val="none"/>
          </c:marker>
          <c:xVal>
            <c:numRef>
              <c:f>Irrig!$F$24:$F$600</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Irrig!$I$24:$I$600</c:f>
              <c:numCache>
                <c:formatCode>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6</c:v>
                </c:pt>
                <c:pt idx="106">
                  <c:v>13.6</c:v>
                </c:pt>
                <c:pt idx="107">
                  <c:v>13.799999999999999</c:v>
                </c:pt>
                <c:pt idx="108">
                  <c:v>14.399999999999999</c:v>
                </c:pt>
                <c:pt idx="109">
                  <c:v>15.799999999999999</c:v>
                </c:pt>
                <c:pt idx="110">
                  <c:v>19</c:v>
                </c:pt>
                <c:pt idx="111">
                  <c:v>19</c:v>
                </c:pt>
                <c:pt idx="112">
                  <c:v>19</c:v>
                </c:pt>
                <c:pt idx="113">
                  <c:v>19</c:v>
                </c:pt>
                <c:pt idx="114">
                  <c:v>19.600000000000001</c:v>
                </c:pt>
                <c:pt idx="115">
                  <c:v>19.600000000000001</c:v>
                </c:pt>
                <c:pt idx="116">
                  <c:v>19.600000000000001</c:v>
                </c:pt>
                <c:pt idx="117">
                  <c:v>19.600000000000001</c:v>
                </c:pt>
                <c:pt idx="118">
                  <c:v>19.600000000000001</c:v>
                </c:pt>
                <c:pt idx="119">
                  <c:v>20.400000000000002</c:v>
                </c:pt>
                <c:pt idx="120">
                  <c:v>31.800000000000004</c:v>
                </c:pt>
                <c:pt idx="121">
                  <c:v>47.800000000000004</c:v>
                </c:pt>
                <c:pt idx="122">
                  <c:v>47.800000000000004</c:v>
                </c:pt>
                <c:pt idx="123">
                  <c:v>47.800000000000004</c:v>
                </c:pt>
                <c:pt idx="124">
                  <c:v>47.800000000000004</c:v>
                </c:pt>
                <c:pt idx="125">
                  <c:v>47.800000000000004</c:v>
                </c:pt>
                <c:pt idx="126">
                  <c:v>50.000000000000007</c:v>
                </c:pt>
                <c:pt idx="127">
                  <c:v>50.000000000000007</c:v>
                </c:pt>
                <c:pt idx="128">
                  <c:v>50.000000000000007</c:v>
                </c:pt>
                <c:pt idx="129">
                  <c:v>50.000000000000007</c:v>
                </c:pt>
                <c:pt idx="130">
                  <c:v>50.000000000000007</c:v>
                </c:pt>
                <c:pt idx="131">
                  <c:v>50.000000000000007</c:v>
                </c:pt>
                <c:pt idx="132">
                  <c:v>50.000000000000007</c:v>
                </c:pt>
                <c:pt idx="133">
                  <c:v>59.800000000000011</c:v>
                </c:pt>
                <c:pt idx="134">
                  <c:v>59.800000000000011</c:v>
                </c:pt>
                <c:pt idx="135">
                  <c:v>59.800000000000011</c:v>
                </c:pt>
                <c:pt idx="136">
                  <c:v>60.800000000000011</c:v>
                </c:pt>
                <c:pt idx="137">
                  <c:v>60.800000000000011</c:v>
                </c:pt>
                <c:pt idx="138">
                  <c:v>60.800000000000011</c:v>
                </c:pt>
                <c:pt idx="139">
                  <c:v>61.000000000000014</c:v>
                </c:pt>
                <c:pt idx="140">
                  <c:v>61.000000000000014</c:v>
                </c:pt>
                <c:pt idx="141">
                  <c:v>61.000000000000014</c:v>
                </c:pt>
                <c:pt idx="142">
                  <c:v>61.200000000000017</c:v>
                </c:pt>
                <c:pt idx="143">
                  <c:v>61.40000000000002</c:v>
                </c:pt>
                <c:pt idx="144">
                  <c:v>68.000000000000014</c:v>
                </c:pt>
                <c:pt idx="145">
                  <c:v>73.200000000000017</c:v>
                </c:pt>
                <c:pt idx="146">
                  <c:v>73.200000000000017</c:v>
                </c:pt>
                <c:pt idx="147">
                  <c:v>73.200000000000017</c:v>
                </c:pt>
                <c:pt idx="148">
                  <c:v>73.200000000000017</c:v>
                </c:pt>
                <c:pt idx="149">
                  <c:v>73.40000000000002</c:v>
                </c:pt>
                <c:pt idx="150">
                  <c:v>73.40000000000002</c:v>
                </c:pt>
                <c:pt idx="151">
                  <c:v>73.40000000000002</c:v>
                </c:pt>
                <c:pt idx="152">
                  <c:v>73.40000000000002</c:v>
                </c:pt>
                <c:pt idx="153">
                  <c:v>73.40000000000002</c:v>
                </c:pt>
                <c:pt idx="154">
                  <c:v>73.40000000000002</c:v>
                </c:pt>
                <c:pt idx="155">
                  <c:v>80.600000000000023</c:v>
                </c:pt>
                <c:pt idx="156">
                  <c:v>80.600000000000023</c:v>
                </c:pt>
                <c:pt idx="157">
                  <c:v>81.000000000000028</c:v>
                </c:pt>
                <c:pt idx="158">
                  <c:v>81.000000000000028</c:v>
                </c:pt>
                <c:pt idx="159">
                  <c:v>81.000000000000028</c:v>
                </c:pt>
                <c:pt idx="160">
                  <c:v>81.200000000000031</c:v>
                </c:pt>
                <c:pt idx="161">
                  <c:v>81.200000000000031</c:v>
                </c:pt>
                <c:pt idx="162">
                  <c:v>81.200000000000031</c:v>
                </c:pt>
                <c:pt idx="163">
                  <c:v>81.200000000000031</c:v>
                </c:pt>
                <c:pt idx="164">
                  <c:v>81.200000000000031</c:v>
                </c:pt>
                <c:pt idx="165">
                  <c:v>81.200000000000031</c:v>
                </c:pt>
                <c:pt idx="166">
                  <c:v>81.200000000000031</c:v>
                </c:pt>
                <c:pt idx="167">
                  <c:v>81.200000000000031</c:v>
                </c:pt>
                <c:pt idx="168">
                  <c:v>81.200000000000031</c:v>
                </c:pt>
                <c:pt idx="169">
                  <c:v>81.200000000000031</c:v>
                </c:pt>
                <c:pt idx="170">
                  <c:v>81.200000000000031</c:v>
                </c:pt>
                <c:pt idx="171">
                  <c:v>81.200000000000031</c:v>
                </c:pt>
                <c:pt idx="172">
                  <c:v>201.20000000000005</c:v>
                </c:pt>
                <c:pt idx="173">
                  <c:v>201.20000000000005</c:v>
                </c:pt>
                <c:pt idx="174">
                  <c:v>201.20000000000005</c:v>
                </c:pt>
                <c:pt idx="175">
                  <c:v>201.20000000000005</c:v>
                </c:pt>
                <c:pt idx="176">
                  <c:v>201.20000000000005</c:v>
                </c:pt>
                <c:pt idx="177">
                  <c:v>201.20000000000005</c:v>
                </c:pt>
                <c:pt idx="178">
                  <c:v>201.20000000000005</c:v>
                </c:pt>
                <c:pt idx="179">
                  <c:v>201.20000000000005</c:v>
                </c:pt>
                <c:pt idx="180">
                  <c:v>201.20000000000005</c:v>
                </c:pt>
                <c:pt idx="181">
                  <c:v>201.20000000000005</c:v>
                </c:pt>
                <c:pt idx="182">
                  <c:v>201.20000000000005</c:v>
                </c:pt>
                <c:pt idx="183">
                  <c:v>201.20000000000005</c:v>
                </c:pt>
                <c:pt idx="184">
                  <c:v>201.20000000000005</c:v>
                </c:pt>
                <c:pt idx="185">
                  <c:v>201.20000000000005</c:v>
                </c:pt>
                <c:pt idx="186">
                  <c:v>201.20000000000005</c:v>
                </c:pt>
                <c:pt idx="187">
                  <c:v>237.60000000000005</c:v>
                </c:pt>
                <c:pt idx="188">
                  <c:v>237.60000000000005</c:v>
                </c:pt>
                <c:pt idx="189">
                  <c:v>237.60000000000005</c:v>
                </c:pt>
                <c:pt idx="190">
                  <c:v>237.60000000000005</c:v>
                </c:pt>
                <c:pt idx="191">
                  <c:v>237.60000000000005</c:v>
                </c:pt>
                <c:pt idx="192">
                  <c:v>237.60000000000005</c:v>
                </c:pt>
                <c:pt idx="193">
                  <c:v>237.60000000000005</c:v>
                </c:pt>
                <c:pt idx="194">
                  <c:v>237.60000000000005</c:v>
                </c:pt>
                <c:pt idx="195">
                  <c:v>237.60000000000005</c:v>
                </c:pt>
                <c:pt idx="196">
                  <c:v>237.60000000000005</c:v>
                </c:pt>
                <c:pt idx="197">
                  <c:v>237.60000000000005</c:v>
                </c:pt>
                <c:pt idx="198">
                  <c:v>237.60000000000005</c:v>
                </c:pt>
                <c:pt idx="199">
                  <c:v>237.60000000000005</c:v>
                </c:pt>
                <c:pt idx="200">
                  <c:v>237.60000000000005</c:v>
                </c:pt>
                <c:pt idx="201">
                  <c:v>237.60000000000005</c:v>
                </c:pt>
                <c:pt idx="202">
                  <c:v>238.00000000000006</c:v>
                </c:pt>
                <c:pt idx="203">
                  <c:v>238.00000000000006</c:v>
                </c:pt>
                <c:pt idx="204">
                  <c:v>238.20000000000005</c:v>
                </c:pt>
                <c:pt idx="205">
                  <c:v>358.20000000000005</c:v>
                </c:pt>
                <c:pt idx="206">
                  <c:v>358.20000000000005</c:v>
                </c:pt>
                <c:pt idx="207">
                  <c:v>358.20000000000005</c:v>
                </c:pt>
                <c:pt idx="208">
                  <c:v>358.20000000000005</c:v>
                </c:pt>
                <c:pt idx="209">
                  <c:v>358.20000000000005</c:v>
                </c:pt>
                <c:pt idx="210">
                  <c:v>358.20000000000005</c:v>
                </c:pt>
                <c:pt idx="211">
                  <c:v>358.20000000000005</c:v>
                </c:pt>
                <c:pt idx="212">
                  <c:v>358.20000000000005</c:v>
                </c:pt>
                <c:pt idx="213">
                  <c:v>358.20000000000005</c:v>
                </c:pt>
                <c:pt idx="214">
                  <c:v>358.20000000000005</c:v>
                </c:pt>
                <c:pt idx="215">
                  <c:v>358.20000000000005</c:v>
                </c:pt>
                <c:pt idx="216">
                  <c:v>358.20000000000005</c:v>
                </c:pt>
                <c:pt idx="217">
                  <c:v>358.20000000000005</c:v>
                </c:pt>
                <c:pt idx="218">
                  <c:v>358.20000000000005</c:v>
                </c:pt>
                <c:pt idx="219">
                  <c:v>358.20000000000005</c:v>
                </c:pt>
                <c:pt idx="220">
                  <c:v>358.20000000000005</c:v>
                </c:pt>
                <c:pt idx="221">
                  <c:v>358.20000000000005</c:v>
                </c:pt>
                <c:pt idx="222">
                  <c:v>358.20000000000005</c:v>
                </c:pt>
                <c:pt idx="223">
                  <c:v>358.20000000000005</c:v>
                </c:pt>
                <c:pt idx="224">
                  <c:v>358.20000000000005</c:v>
                </c:pt>
                <c:pt idx="225">
                  <c:v>358.20000000000005</c:v>
                </c:pt>
                <c:pt idx="226">
                  <c:v>358.20000000000005</c:v>
                </c:pt>
                <c:pt idx="227">
                  <c:v>358.20000000000005</c:v>
                </c:pt>
                <c:pt idx="228">
                  <c:v>358.20000000000005</c:v>
                </c:pt>
                <c:pt idx="229">
                  <c:v>358.20000000000005</c:v>
                </c:pt>
                <c:pt idx="230">
                  <c:v>358.20000000000005</c:v>
                </c:pt>
                <c:pt idx="231">
                  <c:v>358.20000000000005</c:v>
                </c:pt>
                <c:pt idx="232">
                  <c:v>358.20000000000005</c:v>
                </c:pt>
                <c:pt idx="233">
                  <c:v>358.20000000000005</c:v>
                </c:pt>
                <c:pt idx="234">
                  <c:v>358.20000000000005</c:v>
                </c:pt>
                <c:pt idx="235">
                  <c:v>358.20000000000005</c:v>
                </c:pt>
                <c:pt idx="236">
                  <c:v>358.20000000000005</c:v>
                </c:pt>
                <c:pt idx="237">
                  <c:v>358.20000000000005</c:v>
                </c:pt>
                <c:pt idx="238">
                  <c:v>358.40000000000003</c:v>
                </c:pt>
                <c:pt idx="239">
                  <c:v>358.40000000000003</c:v>
                </c:pt>
                <c:pt idx="240">
                  <c:v>358.40000000000003</c:v>
                </c:pt>
                <c:pt idx="241">
                  <c:v>358.40000000000003</c:v>
                </c:pt>
                <c:pt idx="242">
                  <c:v>358.40000000000003</c:v>
                </c:pt>
                <c:pt idx="243">
                  <c:v>358.6</c:v>
                </c:pt>
                <c:pt idx="244">
                  <c:v>409.40000000000003</c:v>
                </c:pt>
                <c:pt idx="245">
                  <c:v>409.40000000000003</c:v>
                </c:pt>
                <c:pt idx="246">
                  <c:v>445.40000000000003</c:v>
                </c:pt>
                <c:pt idx="247">
                  <c:v>456.40000000000003</c:v>
                </c:pt>
                <c:pt idx="248">
                  <c:v>458.6</c:v>
                </c:pt>
                <c:pt idx="249">
                  <c:v>458.6</c:v>
                </c:pt>
                <c:pt idx="250">
                  <c:v>458.6</c:v>
                </c:pt>
                <c:pt idx="251">
                  <c:v>458.6</c:v>
                </c:pt>
                <c:pt idx="252">
                  <c:v>458.6</c:v>
                </c:pt>
                <c:pt idx="253">
                  <c:v>458.6</c:v>
                </c:pt>
                <c:pt idx="254">
                  <c:v>458.6</c:v>
                </c:pt>
                <c:pt idx="255">
                  <c:v>468</c:v>
                </c:pt>
                <c:pt idx="256">
                  <c:v>469.2</c:v>
                </c:pt>
                <c:pt idx="257">
                  <c:v>469.2</c:v>
                </c:pt>
                <c:pt idx="258">
                  <c:v>469.2</c:v>
                </c:pt>
                <c:pt idx="259">
                  <c:v>469.2</c:v>
                </c:pt>
                <c:pt idx="260">
                  <c:v>469.2</c:v>
                </c:pt>
                <c:pt idx="261">
                  <c:v>469.2</c:v>
                </c:pt>
                <c:pt idx="262">
                  <c:v>469.4</c:v>
                </c:pt>
                <c:pt idx="263">
                  <c:v>469.4</c:v>
                </c:pt>
                <c:pt idx="264">
                  <c:v>469.4</c:v>
                </c:pt>
                <c:pt idx="265">
                  <c:v>469.4</c:v>
                </c:pt>
                <c:pt idx="266">
                  <c:v>469.4</c:v>
                </c:pt>
                <c:pt idx="267">
                  <c:v>469.4</c:v>
                </c:pt>
                <c:pt idx="268">
                  <c:v>471.59999999999997</c:v>
                </c:pt>
                <c:pt idx="269">
                  <c:v>471.79999999999995</c:v>
                </c:pt>
                <c:pt idx="270">
                  <c:v>471.79999999999995</c:v>
                </c:pt>
                <c:pt idx="271">
                  <c:v>471.99999999999994</c:v>
                </c:pt>
                <c:pt idx="272">
                  <c:v>474.59999999999997</c:v>
                </c:pt>
                <c:pt idx="273">
                  <c:v>474.59999999999997</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yVal>
        </c:ser>
        <c:axId val="163531392"/>
        <c:axId val="163541376"/>
      </c:scatterChart>
      <c:valAx>
        <c:axId val="163531392"/>
        <c:scaling>
          <c:orientation val="minMax"/>
        </c:scaling>
        <c:axPos val="b"/>
        <c:numFmt formatCode="[$-409]dd\-mmm\-yy;@" sourceLinked="0"/>
        <c:tickLblPos val="nextTo"/>
        <c:txPr>
          <a:bodyPr rot="-5400000" vert="horz"/>
          <a:lstStyle/>
          <a:p>
            <a:pPr>
              <a:defRPr sz="1200" b="1" i="0" u="none" strike="noStrike" baseline="0">
                <a:solidFill>
                  <a:srgbClr val="000000"/>
                </a:solidFill>
                <a:latin typeface="Calibri"/>
                <a:ea typeface="Calibri"/>
                <a:cs typeface="Calibri"/>
              </a:defRPr>
            </a:pPr>
            <a:endParaRPr lang="it-IT"/>
          </a:p>
        </c:txPr>
        <c:crossAx val="163541376"/>
        <c:crosses val="autoZero"/>
        <c:crossBetween val="midCat"/>
        <c:majorUnit val="60"/>
        <c:minorUnit val="30"/>
      </c:valAx>
      <c:valAx>
        <c:axId val="163541376"/>
        <c:scaling>
          <c:orientation val="minMax"/>
          <c:min val="0"/>
        </c:scaling>
        <c:axPos val="l"/>
        <c:majorGridlines/>
        <c:title>
          <c:tx>
            <c:rich>
              <a:bodyPr/>
              <a:lstStyle/>
              <a:p>
                <a:pPr>
                  <a:defRPr sz="1600" b="1" i="0" u="none" strike="noStrike" baseline="0">
                    <a:solidFill>
                      <a:srgbClr val="000000"/>
                    </a:solidFill>
                    <a:latin typeface="Calibri"/>
                    <a:ea typeface="Calibri"/>
                    <a:cs typeface="Calibri"/>
                  </a:defRPr>
                </a:pPr>
                <a:r>
                  <a:rPr lang="it-IT"/>
                  <a:t>CETc &amp; CIrr  (mm)</a:t>
                </a:r>
              </a:p>
            </c:rich>
          </c:tx>
          <c:layout>
            <c:manualLayout>
              <c:xMode val="edge"/>
              <c:yMode val="edge"/>
              <c:x val="8.7250351984147698E-3"/>
              <c:y val="0.19127991354021925"/>
            </c:manualLayout>
          </c:layout>
          <c:spPr>
            <a:noFill/>
            <a:ln w="25400">
              <a:noFill/>
            </a:ln>
          </c:spPr>
        </c:title>
        <c:numFmt formatCode="0" sourceLinked="0"/>
        <c:tickLblPos val="nextTo"/>
        <c:txPr>
          <a:bodyPr rot="0" vert="horz"/>
          <a:lstStyle/>
          <a:p>
            <a:pPr>
              <a:defRPr sz="1400" b="1" i="0" u="none" strike="noStrike" baseline="0">
                <a:solidFill>
                  <a:srgbClr val="000000"/>
                </a:solidFill>
                <a:latin typeface="Calibri"/>
                <a:ea typeface="Calibri"/>
                <a:cs typeface="Calibri"/>
              </a:defRPr>
            </a:pPr>
            <a:endParaRPr lang="it-IT"/>
          </a:p>
        </c:txPr>
        <c:crossAx val="163531392"/>
        <c:crosses val="autoZero"/>
        <c:crossBetween val="midCat"/>
      </c:valAx>
      <c:spPr>
        <a:ln>
          <a:solidFill>
            <a:schemeClr val="tx1"/>
          </a:solidFill>
        </a:ln>
      </c:spPr>
    </c:plotArea>
    <c:legend>
      <c:legendPos val="r"/>
      <c:layout>
        <c:manualLayout>
          <c:xMode val="edge"/>
          <c:yMode val="edge"/>
          <c:x val="0.16954170794875789"/>
          <c:y val="1.4706499922803764E-2"/>
          <c:w val="0.72982385148876361"/>
          <c:h val="8.2355720240852248E-2"/>
        </c:manualLayout>
      </c:layout>
      <c:txPr>
        <a:bodyPr/>
        <a:lstStyle/>
        <a:p>
          <a:pPr>
            <a:defRPr sz="1285" b="1" i="0" u="none" strike="noStrike" baseline="0">
              <a:solidFill>
                <a:srgbClr val="000000"/>
              </a:solidFill>
              <a:latin typeface="Calibri"/>
              <a:ea typeface="Calibri"/>
              <a:cs typeface="Calibri"/>
            </a:defRPr>
          </a:pPr>
          <a:endParaRPr lang="it-IT"/>
        </a:p>
      </c:txPr>
    </c:legend>
    <c:plotVisOnly val="1"/>
    <c:dispBlanksAs val="gap"/>
  </c:chart>
  <c:spPr>
    <a:solidFill>
      <a:schemeClr val="bg1"/>
    </a:solidFill>
  </c:spPr>
  <c:txPr>
    <a:bodyPr/>
    <a:lstStyle/>
    <a:p>
      <a:pPr>
        <a:defRPr sz="1400" b="1" i="0" u="none" strike="noStrike" baseline="0">
          <a:solidFill>
            <a:srgbClr val="000000"/>
          </a:solidFill>
          <a:latin typeface="Calibri"/>
          <a:ea typeface="Calibri"/>
          <a:cs typeface="Calibri"/>
        </a:defRPr>
      </a:pPr>
      <a:endParaRPr lang="it-IT"/>
    </a:p>
  </c:txPr>
  <c:printSettings>
    <c:headerFooter/>
    <c:pageMargins b="0.750000000000003" l="0.70000000000000062" r="0.70000000000000062" t="0.75000000000000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3576612521720671"/>
          <c:y val="3.0466997977253885E-2"/>
          <c:w val="0.81378503864144591"/>
          <c:h val="0.87864825788726464"/>
        </c:manualLayout>
      </c:layout>
      <c:scatterChart>
        <c:scatterStyle val="lineMarker"/>
        <c:ser>
          <c:idx val="0"/>
          <c:order val="0"/>
          <c:tx>
            <c:v>Agronomic</c:v>
          </c:tx>
          <c:spPr>
            <a:ln w="25400"/>
          </c:spPr>
          <c:marker>
            <c:symbol val="none"/>
          </c:marker>
          <c:xVal>
            <c:numRef>
              <c:f>Input!$B$22:$B$480</c:f>
              <c:numCache>
                <c:formatCode>[$-409]dd\-mmm\-yy;@</c:formatCode>
                <c:ptCount val="459"/>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numCache>
            </c:numRef>
          </c:xVal>
          <c:yVal>
            <c:numRef>
              <c:f>Input!$BK$22:$BK$480</c:f>
              <c:numCache>
                <c:formatCode>0.0</c:formatCode>
                <c:ptCount val="4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0.65500000000000114</c:v>
                </c:pt>
                <c:pt idx="106">
                  <c:v>1.2650000000000006</c:v>
                </c:pt>
                <c:pt idx="107">
                  <c:v>2.4849999999999994</c:v>
                </c:pt>
                <c:pt idx="108">
                  <c:v>3.1849999999999987</c:v>
                </c:pt>
                <c:pt idx="109">
                  <c:v>3.8699999999999974</c:v>
                </c:pt>
                <c:pt idx="110">
                  <c:v>4.8549999999999969</c:v>
                </c:pt>
                <c:pt idx="111">
                  <c:v>6.5799999999999965</c:v>
                </c:pt>
                <c:pt idx="112">
                  <c:v>8.6549999999999958</c:v>
                </c:pt>
                <c:pt idx="113">
                  <c:v>9.6549999999999958</c:v>
                </c:pt>
                <c:pt idx="114">
                  <c:v>11.859999999999996</c:v>
                </c:pt>
                <c:pt idx="115">
                  <c:v>13.949999999999996</c:v>
                </c:pt>
                <c:pt idx="116">
                  <c:v>16.389999999999997</c:v>
                </c:pt>
                <c:pt idx="117">
                  <c:v>19.804999999999996</c:v>
                </c:pt>
                <c:pt idx="118">
                  <c:v>24.044999999999995</c:v>
                </c:pt>
                <c:pt idx="119">
                  <c:v>29.484999999999996</c:v>
                </c:pt>
                <c:pt idx="120">
                  <c:v>34.61</c:v>
                </c:pt>
                <c:pt idx="121">
                  <c:v>37.435000000000002</c:v>
                </c:pt>
                <c:pt idx="122">
                  <c:v>40.36</c:v>
                </c:pt>
                <c:pt idx="123">
                  <c:v>44.3</c:v>
                </c:pt>
                <c:pt idx="124">
                  <c:v>48.375</c:v>
                </c:pt>
                <c:pt idx="125">
                  <c:v>52.45</c:v>
                </c:pt>
                <c:pt idx="126">
                  <c:v>57.325000000000003</c:v>
                </c:pt>
                <c:pt idx="127">
                  <c:v>61.42</c:v>
                </c:pt>
                <c:pt idx="128">
                  <c:v>65.435000000000002</c:v>
                </c:pt>
                <c:pt idx="129">
                  <c:v>71.435000000000002</c:v>
                </c:pt>
                <c:pt idx="130">
                  <c:v>78.28</c:v>
                </c:pt>
                <c:pt idx="131">
                  <c:v>87.13</c:v>
                </c:pt>
                <c:pt idx="132">
                  <c:v>97.074999999999989</c:v>
                </c:pt>
                <c:pt idx="133">
                  <c:v>99.054999999999993</c:v>
                </c:pt>
                <c:pt idx="134">
                  <c:v>101.03999999999999</c:v>
                </c:pt>
                <c:pt idx="135">
                  <c:v>103.755</c:v>
                </c:pt>
                <c:pt idx="136">
                  <c:v>104.8</c:v>
                </c:pt>
                <c:pt idx="137">
                  <c:v>107.185</c:v>
                </c:pt>
                <c:pt idx="138">
                  <c:v>109.755</c:v>
                </c:pt>
                <c:pt idx="139">
                  <c:v>112.81</c:v>
                </c:pt>
                <c:pt idx="140">
                  <c:v>115.11</c:v>
                </c:pt>
                <c:pt idx="141">
                  <c:v>117.395</c:v>
                </c:pt>
                <c:pt idx="142">
                  <c:v>121.255</c:v>
                </c:pt>
                <c:pt idx="143">
                  <c:v>128.70499999999998</c:v>
                </c:pt>
                <c:pt idx="144">
                  <c:v>137.18499999999997</c:v>
                </c:pt>
                <c:pt idx="145">
                  <c:v>145.52499999999998</c:v>
                </c:pt>
                <c:pt idx="146">
                  <c:v>151.82499999999999</c:v>
                </c:pt>
                <c:pt idx="147">
                  <c:v>157.16</c:v>
                </c:pt>
                <c:pt idx="148">
                  <c:v>164.38499999999999</c:v>
                </c:pt>
                <c:pt idx="149">
                  <c:v>171.85999999999999</c:v>
                </c:pt>
                <c:pt idx="150">
                  <c:v>181.20499999999998</c:v>
                </c:pt>
                <c:pt idx="151">
                  <c:v>189.64499999999998</c:v>
                </c:pt>
                <c:pt idx="152">
                  <c:v>199.85499999999999</c:v>
                </c:pt>
                <c:pt idx="153">
                  <c:v>209.53</c:v>
                </c:pt>
                <c:pt idx="154">
                  <c:v>220.58500000000001</c:v>
                </c:pt>
                <c:pt idx="155">
                  <c:v>226.45000000000002</c:v>
                </c:pt>
                <c:pt idx="156">
                  <c:v>232.61500000000001</c:v>
                </c:pt>
                <c:pt idx="157">
                  <c:v>239.565</c:v>
                </c:pt>
                <c:pt idx="158">
                  <c:v>248.7</c:v>
                </c:pt>
                <c:pt idx="159">
                  <c:v>257.22499999999997</c:v>
                </c:pt>
                <c:pt idx="160">
                  <c:v>267.53999999999996</c:v>
                </c:pt>
                <c:pt idx="161">
                  <c:v>276.59499999999997</c:v>
                </c:pt>
                <c:pt idx="162">
                  <c:v>284.33999999999997</c:v>
                </c:pt>
                <c:pt idx="163">
                  <c:v>290.70999999999998</c:v>
                </c:pt>
                <c:pt idx="164">
                  <c:v>296.69499999999999</c:v>
                </c:pt>
                <c:pt idx="165">
                  <c:v>302.17500000000001</c:v>
                </c:pt>
                <c:pt idx="166">
                  <c:v>310.08500000000004</c:v>
                </c:pt>
                <c:pt idx="167">
                  <c:v>318.52500000000003</c:v>
                </c:pt>
                <c:pt idx="168">
                  <c:v>328.46500000000003</c:v>
                </c:pt>
                <c:pt idx="169">
                  <c:v>340.05500000000001</c:v>
                </c:pt>
                <c:pt idx="170">
                  <c:v>355.42</c:v>
                </c:pt>
                <c:pt idx="171">
                  <c:v>368.72</c:v>
                </c:pt>
                <c:pt idx="172">
                  <c:v>382.49</c:v>
                </c:pt>
                <c:pt idx="173">
                  <c:v>396.59500000000003</c:v>
                </c:pt>
                <c:pt idx="174">
                  <c:v>408.87</c:v>
                </c:pt>
                <c:pt idx="175">
                  <c:v>420.74</c:v>
                </c:pt>
                <c:pt idx="176">
                  <c:v>434.86500000000001</c:v>
                </c:pt>
                <c:pt idx="177">
                  <c:v>447.77</c:v>
                </c:pt>
                <c:pt idx="178">
                  <c:v>459.35499999999996</c:v>
                </c:pt>
                <c:pt idx="179">
                  <c:v>471.23999999999995</c:v>
                </c:pt>
                <c:pt idx="180">
                  <c:v>484.97999999999996</c:v>
                </c:pt>
                <c:pt idx="181">
                  <c:v>499.67999999999995</c:v>
                </c:pt>
                <c:pt idx="182">
                  <c:v>514.81999999999994</c:v>
                </c:pt>
                <c:pt idx="183">
                  <c:v>531.53499999999997</c:v>
                </c:pt>
                <c:pt idx="184">
                  <c:v>545.245</c:v>
                </c:pt>
                <c:pt idx="185">
                  <c:v>559.10500000000002</c:v>
                </c:pt>
                <c:pt idx="186">
                  <c:v>571.94500000000005</c:v>
                </c:pt>
                <c:pt idx="187">
                  <c:v>582.77500000000009</c:v>
                </c:pt>
                <c:pt idx="188">
                  <c:v>594.59000000000015</c:v>
                </c:pt>
                <c:pt idx="189">
                  <c:v>606.82500000000016</c:v>
                </c:pt>
                <c:pt idx="190">
                  <c:v>620.4000000000002</c:v>
                </c:pt>
                <c:pt idx="191">
                  <c:v>633.0350000000002</c:v>
                </c:pt>
                <c:pt idx="192">
                  <c:v>647.05000000000018</c:v>
                </c:pt>
                <c:pt idx="193">
                  <c:v>659.69000000000017</c:v>
                </c:pt>
                <c:pt idx="194">
                  <c:v>671.27000000000021</c:v>
                </c:pt>
                <c:pt idx="195">
                  <c:v>683.74000000000024</c:v>
                </c:pt>
                <c:pt idx="196">
                  <c:v>695.38000000000022</c:v>
                </c:pt>
                <c:pt idx="197">
                  <c:v>706.10500000000025</c:v>
                </c:pt>
                <c:pt idx="198">
                  <c:v>715.4000000000002</c:v>
                </c:pt>
                <c:pt idx="199">
                  <c:v>725.93000000000018</c:v>
                </c:pt>
                <c:pt idx="200">
                  <c:v>737.93000000000018</c:v>
                </c:pt>
                <c:pt idx="201">
                  <c:v>751.38500000000022</c:v>
                </c:pt>
                <c:pt idx="202">
                  <c:v>762.62000000000023</c:v>
                </c:pt>
                <c:pt idx="203">
                  <c:v>771.1500000000002</c:v>
                </c:pt>
                <c:pt idx="204">
                  <c:v>780.47500000000025</c:v>
                </c:pt>
                <c:pt idx="205">
                  <c:v>790.31000000000029</c:v>
                </c:pt>
                <c:pt idx="206">
                  <c:v>801.96000000000026</c:v>
                </c:pt>
                <c:pt idx="207">
                  <c:v>814.19000000000028</c:v>
                </c:pt>
                <c:pt idx="208">
                  <c:v>827.98000000000025</c:v>
                </c:pt>
                <c:pt idx="209">
                  <c:v>842.9250000000003</c:v>
                </c:pt>
                <c:pt idx="210">
                  <c:v>856.33000000000027</c:v>
                </c:pt>
                <c:pt idx="211">
                  <c:v>867.96000000000026</c:v>
                </c:pt>
                <c:pt idx="212">
                  <c:v>881.58500000000026</c:v>
                </c:pt>
                <c:pt idx="213">
                  <c:v>894.76500000000021</c:v>
                </c:pt>
                <c:pt idx="214">
                  <c:v>907.6600000000002</c:v>
                </c:pt>
                <c:pt idx="215">
                  <c:v>921.29500000000019</c:v>
                </c:pt>
                <c:pt idx="216">
                  <c:v>935.01000000000022</c:v>
                </c:pt>
                <c:pt idx="217">
                  <c:v>950.02000000000021</c:v>
                </c:pt>
                <c:pt idx="218">
                  <c:v>965.35500000000025</c:v>
                </c:pt>
                <c:pt idx="219">
                  <c:v>979.72500000000025</c:v>
                </c:pt>
                <c:pt idx="220">
                  <c:v>992.25500000000022</c:v>
                </c:pt>
                <c:pt idx="221">
                  <c:v>1004.6700000000002</c:v>
                </c:pt>
                <c:pt idx="222">
                  <c:v>1017.5450000000002</c:v>
                </c:pt>
                <c:pt idx="223">
                  <c:v>1028.7850000000001</c:v>
                </c:pt>
                <c:pt idx="224">
                  <c:v>1040.0900000000001</c:v>
                </c:pt>
                <c:pt idx="225">
                  <c:v>1051.3550000000002</c:v>
                </c:pt>
                <c:pt idx="226">
                  <c:v>1064.6950000000002</c:v>
                </c:pt>
                <c:pt idx="227">
                  <c:v>1078.6950000000002</c:v>
                </c:pt>
                <c:pt idx="228">
                  <c:v>1092.5450000000001</c:v>
                </c:pt>
                <c:pt idx="229">
                  <c:v>1106.615</c:v>
                </c:pt>
                <c:pt idx="230">
                  <c:v>1120.02</c:v>
                </c:pt>
                <c:pt idx="231">
                  <c:v>1133.4349999999999</c:v>
                </c:pt>
                <c:pt idx="232">
                  <c:v>1147.7849999999999</c:v>
                </c:pt>
                <c:pt idx="233">
                  <c:v>1162.54</c:v>
                </c:pt>
                <c:pt idx="234">
                  <c:v>1177.5049999999999</c:v>
                </c:pt>
                <c:pt idx="235">
                  <c:v>1193.4199999999998</c:v>
                </c:pt>
                <c:pt idx="236">
                  <c:v>1208.7199999999998</c:v>
                </c:pt>
                <c:pt idx="237">
                  <c:v>1222.9199999999998</c:v>
                </c:pt>
                <c:pt idx="238">
                  <c:v>1233.1449999999998</c:v>
                </c:pt>
                <c:pt idx="239">
                  <c:v>1241.0849999999998</c:v>
                </c:pt>
                <c:pt idx="240">
                  <c:v>1250.3799999999999</c:v>
                </c:pt>
                <c:pt idx="241">
                  <c:v>1260.155</c:v>
                </c:pt>
                <c:pt idx="242">
                  <c:v>1271.7049999999999</c:v>
                </c:pt>
                <c:pt idx="243">
                  <c:v>1280.31</c:v>
                </c:pt>
                <c:pt idx="244">
                  <c:v>1285.865</c:v>
                </c:pt>
                <c:pt idx="245">
                  <c:v>1293.4349999999999</c:v>
                </c:pt>
                <c:pt idx="246">
                  <c:v>1301.48</c:v>
                </c:pt>
                <c:pt idx="247">
                  <c:v>1310.02</c:v>
                </c:pt>
                <c:pt idx="248">
                  <c:v>1318.9749999999999</c:v>
                </c:pt>
                <c:pt idx="249">
                  <c:v>1329.0549999999998</c:v>
                </c:pt>
                <c:pt idx="250">
                  <c:v>1338.6949999999999</c:v>
                </c:pt>
                <c:pt idx="251">
                  <c:v>1348.0049999999999</c:v>
                </c:pt>
                <c:pt idx="252">
                  <c:v>1357.4549999999999</c:v>
                </c:pt>
                <c:pt idx="253">
                  <c:v>1366.28</c:v>
                </c:pt>
                <c:pt idx="254">
                  <c:v>1376.635</c:v>
                </c:pt>
                <c:pt idx="255">
                  <c:v>1385.43</c:v>
                </c:pt>
                <c:pt idx="256">
                  <c:v>1390.655</c:v>
                </c:pt>
                <c:pt idx="257">
                  <c:v>1396.885</c:v>
                </c:pt>
                <c:pt idx="258">
                  <c:v>1402.17</c:v>
                </c:pt>
                <c:pt idx="259">
                  <c:v>1407.25</c:v>
                </c:pt>
                <c:pt idx="260">
                  <c:v>1412.91</c:v>
                </c:pt>
                <c:pt idx="261">
                  <c:v>1418.8600000000001</c:v>
                </c:pt>
                <c:pt idx="262">
                  <c:v>1425.4650000000001</c:v>
                </c:pt>
                <c:pt idx="263">
                  <c:v>1429.4450000000002</c:v>
                </c:pt>
                <c:pt idx="264">
                  <c:v>1432.6350000000002</c:v>
                </c:pt>
                <c:pt idx="265">
                  <c:v>1436.6550000000002</c:v>
                </c:pt>
                <c:pt idx="266">
                  <c:v>1445.2700000000002</c:v>
                </c:pt>
                <c:pt idx="267">
                  <c:v>1453.4850000000001</c:v>
                </c:pt>
                <c:pt idx="268">
                  <c:v>1459.4050000000002</c:v>
                </c:pt>
                <c:pt idx="269">
                  <c:v>1468.5700000000002</c:v>
                </c:pt>
                <c:pt idx="270">
                  <c:v>1476.8700000000001</c:v>
                </c:pt>
                <c:pt idx="271">
                  <c:v>1483.0200000000002</c:v>
                </c:pt>
                <c:pt idx="272">
                  <c:v>1490.0850000000003</c:v>
                </c:pt>
                <c:pt idx="273">
                  <c:v>1497.6000000000004</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numCache>
            </c:numRef>
          </c:yVal>
        </c:ser>
        <c:ser>
          <c:idx val="1"/>
          <c:order val="1"/>
          <c:tx>
            <c:v>Triangle</c:v>
          </c:tx>
          <c:spPr>
            <a:ln w="22225"/>
          </c:spPr>
          <c:marker>
            <c:symbol val="none"/>
          </c:marker>
          <c:xVal>
            <c:numRef>
              <c:f>Input!$B$22:$B$480</c:f>
              <c:numCache>
                <c:formatCode>[$-409]dd\-mmm\-yy;@</c:formatCode>
                <c:ptCount val="459"/>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numCache>
            </c:numRef>
          </c:xVal>
          <c:yVal>
            <c:numRef>
              <c:f>Input!$BO$22:$BO$480</c:f>
              <c:numCache>
                <c:formatCode>0.0</c:formatCode>
                <c:ptCount val="4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0.19908352668213469</c:v>
                </c:pt>
                <c:pt idx="106">
                  <c:v>0.43760916770777591</c:v>
                </c:pt>
                <c:pt idx="107">
                  <c:v>1.0282440883426964</c:v>
                </c:pt>
                <c:pt idx="108">
                  <c:v>1.2561510650868826</c:v>
                </c:pt>
                <c:pt idx="109">
                  <c:v>1.4246340094315861</c:v>
                </c:pt>
                <c:pt idx="110">
                  <c:v>1.9533669794588344</c:v>
                </c:pt>
                <c:pt idx="111">
                  <c:v>2.7114879985671143</c:v>
                </c:pt>
                <c:pt idx="112">
                  <c:v>3.9686047868882826</c:v>
                </c:pt>
                <c:pt idx="113">
                  <c:v>4.2543190726025681</c:v>
                </c:pt>
                <c:pt idx="114">
                  <c:v>6.2347773210750734</c:v>
                </c:pt>
                <c:pt idx="115">
                  <c:v>7.4348047936025461</c:v>
                </c:pt>
                <c:pt idx="116">
                  <c:v>8.7461704323690661</c:v>
                </c:pt>
                <c:pt idx="117">
                  <c:v>11.480572542568362</c:v>
                </c:pt>
                <c:pt idx="118">
                  <c:v>15.119762825969172</c:v>
                </c:pt>
                <c:pt idx="119">
                  <c:v>20.559762825969173</c:v>
                </c:pt>
                <c:pt idx="120">
                  <c:v>25.684762825969173</c:v>
                </c:pt>
                <c:pt idx="121">
                  <c:v>28.413181629387978</c:v>
                </c:pt>
                <c:pt idx="122">
                  <c:v>31.025586209540648</c:v>
                </c:pt>
                <c:pt idx="123">
                  <c:v>34.965586209540646</c:v>
                </c:pt>
                <c:pt idx="124">
                  <c:v>39.040586209540649</c:v>
                </c:pt>
                <c:pt idx="125">
                  <c:v>43.115586209540652</c:v>
                </c:pt>
                <c:pt idx="126">
                  <c:v>47.990586209540652</c:v>
                </c:pt>
                <c:pt idx="127">
                  <c:v>52.085586209540651</c:v>
                </c:pt>
                <c:pt idx="128">
                  <c:v>55.865240371322599</c:v>
                </c:pt>
                <c:pt idx="129">
                  <c:v>61.865240371322599</c:v>
                </c:pt>
                <c:pt idx="130">
                  <c:v>68.710240371322598</c:v>
                </c:pt>
                <c:pt idx="131">
                  <c:v>77.560240371322607</c:v>
                </c:pt>
                <c:pt idx="132">
                  <c:v>87.5052403713226</c:v>
                </c:pt>
                <c:pt idx="133">
                  <c:v>89.485240371322604</c:v>
                </c:pt>
                <c:pt idx="134">
                  <c:v>90.703238825727553</c:v>
                </c:pt>
                <c:pt idx="135">
                  <c:v>92.391950165933736</c:v>
                </c:pt>
                <c:pt idx="136">
                  <c:v>92.750579065769529</c:v>
                </c:pt>
                <c:pt idx="137">
                  <c:v>94.078052811393803</c:v>
                </c:pt>
                <c:pt idx="138">
                  <c:v>95.355596331703282</c:v>
                </c:pt>
                <c:pt idx="139">
                  <c:v>97.339236076655453</c:v>
                </c:pt>
                <c:pt idx="140">
                  <c:v>99.63923607665545</c:v>
                </c:pt>
                <c:pt idx="141">
                  <c:v>101.92423607665545</c:v>
                </c:pt>
                <c:pt idx="142">
                  <c:v>105.78423607665545</c:v>
                </c:pt>
                <c:pt idx="143">
                  <c:v>113.23423607665545</c:v>
                </c:pt>
                <c:pt idx="144">
                  <c:v>121.71423607665545</c:v>
                </c:pt>
                <c:pt idx="145">
                  <c:v>130.05423607665546</c:v>
                </c:pt>
                <c:pt idx="146">
                  <c:v>136.35423607665547</c:v>
                </c:pt>
                <c:pt idx="147">
                  <c:v>141.68923607665548</c:v>
                </c:pt>
                <c:pt idx="148">
                  <c:v>148.91423607665547</c:v>
                </c:pt>
                <c:pt idx="149">
                  <c:v>156.38923607665546</c:v>
                </c:pt>
                <c:pt idx="150">
                  <c:v>165.73423607665546</c:v>
                </c:pt>
                <c:pt idx="151">
                  <c:v>174.17423607665546</c:v>
                </c:pt>
                <c:pt idx="152">
                  <c:v>184.38423607665547</c:v>
                </c:pt>
                <c:pt idx="153">
                  <c:v>194.05923607665548</c:v>
                </c:pt>
                <c:pt idx="154">
                  <c:v>205.11423607665549</c:v>
                </c:pt>
                <c:pt idx="155">
                  <c:v>210.9792360766555</c:v>
                </c:pt>
                <c:pt idx="156">
                  <c:v>217.14423607665549</c:v>
                </c:pt>
                <c:pt idx="157">
                  <c:v>224.09423607665548</c:v>
                </c:pt>
                <c:pt idx="158">
                  <c:v>233.22923607665547</c:v>
                </c:pt>
                <c:pt idx="159">
                  <c:v>241.75423607665547</c:v>
                </c:pt>
                <c:pt idx="160">
                  <c:v>252.06923607665547</c:v>
                </c:pt>
                <c:pt idx="161">
                  <c:v>261.12423607665545</c:v>
                </c:pt>
                <c:pt idx="162">
                  <c:v>268.86923607665545</c:v>
                </c:pt>
                <c:pt idx="163">
                  <c:v>275.23923607665546</c:v>
                </c:pt>
                <c:pt idx="164">
                  <c:v>281.22423607665547</c:v>
                </c:pt>
                <c:pt idx="165">
                  <c:v>286.70423607665549</c:v>
                </c:pt>
                <c:pt idx="166">
                  <c:v>294.61423607665552</c:v>
                </c:pt>
                <c:pt idx="167">
                  <c:v>303.05423607665551</c:v>
                </c:pt>
                <c:pt idx="168">
                  <c:v>312.99423607665551</c:v>
                </c:pt>
                <c:pt idx="169">
                  <c:v>324.58423607665549</c:v>
                </c:pt>
                <c:pt idx="170">
                  <c:v>339.9492360766555</c:v>
                </c:pt>
                <c:pt idx="171">
                  <c:v>353.24923607665551</c:v>
                </c:pt>
                <c:pt idx="172">
                  <c:v>367.01923607665549</c:v>
                </c:pt>
                <c:pt idx="173">
                  <c:v>381.12423607665551</c:v>
                </c:pt>
                <c:pt idx="174">
                  <c:v>393.39923607665548</c:v>
                </c:pt>
                <c:pt idx="175">
                  <c:v>405.26923607665549</c:v>
                </c:pt>
                <c:pt idx="176">
                  <c:v>419.39423607665549</c:v>
                </c:pt>
                <c:pt idx="177">
                  <c:v>432.29923607665546</c:v>
                </c:pt>
                <c:pt idx="178">
                  <c:v>443.88423607665544</c:v>
                </c:pt>
                <c:pt idx="179">
                  <c:v>455.76923607665543</c:v>
                </c:pt>
                <c:pt idx="180">
                  <c:v>469.50923607665544</c:v>
                </c:pt>
                <c:pt idx="181">
                  <c:v>484.20923607665543</c:v>
                </c:pt>
                <c:pt idx="182">
                  <c:v>499.34923607665542</c:v>
                </c:pt>
                <c:pt idx="183">
                  <c:v>516.06423607665545</c:v>
                </c:pt>
                <c:pt idx="184">
                  <c:v>529.77423607665548</c:v>
                </c:pt>
                <c:pt idx="185">
                  <c:v>543.6342360766555</c:v>
                </c:pt>
                <c:pt idx="186">
                  <c:v>556.47423607665553</c:v>
                </c:pt>
                <c:pt idx="187">
                  <c:v>567.30423607665557</c:v>
                </c:pt>
                <c:pt idx="188">
                  <c:v>579.11923607665562</c:v>
                </c:pt>
                <c:pt idx="189">
                  <c:v>591.35423607665564</c:v>
                </c:pt>
                <c:pt idx="190">
                  <c:v>604.92923607665568</c:v>
                </c:pt>
                <c:pt idx="191">
                  <c:v>617.56423607665567</c:v>
                </c:pt>
                <c:pt idx="192">
                  <c:v>631.57923607665566</c:v>
                </c:pt>
                <c:pt idx="193">
                  <c:v>644.21923607665565</c:v>
                </c:pt>
                <c:pt idx="194">
                  <c:v>655.79923607665569</c:v>
                </c:pt>
                <c:pt idx="195">
                  <c:v>668.26923607665572</c:v>
                </c:pt>
                <c:pt idx="196">
                  <c:v>679.9092360766557</c:v>
                </c:pt>
                <c:pt idx="197">
                  <c:v>690.63423607665572</c:v>
                </c:pt>
                <c:pt idx="198">
                  <c:v>699.92923607665568</c:v>
                </c:pt>
                <c:pt idx="199">
                  <c:v>710.45923607665566</c:v>
                </c:pt>
                <c:pt idx="200">
                  <c:v>722.45923607665566</c:v>
                </c:pt>
                <c:pt idx="201">
                  <c:v>735.9142360766557</c:v>
                </c:pt>
                <c:pt idx="202">
                  <c:v>747.14923607665571</c:v>
                </c:pt>
                <c:pt idx="203">
                  <c:v>755.67923607665568</c:v>
                </c:pt>
                <c:pt idx="204">
                  <c:v>765.00423607665573</c:v>
                </c:pt>
                <c:pt idx="205">
                  <c:v>774.83923607665577</c:v>
                </c:pt>
                <c:pt idx="206">
                  <c:v>786.48923607665574</c:v>
                </c:pt>
                <c:pt idx="207">
                  <c:v>798.71923607665576</c:v>
                </c:pt>
                <c:pt idx="208">
                  <c:v>812.50923607665572</c:v>
                </c:pt>
                <c:pt idx="209">
                  <c:v>827.45423607665577</c:v>
                </c:pt>
                <c:pt idx="210">
                  <c:v>840.85923607665575</c:v>
                </c:pt>
                <c:pt idx="211">
                  <c:v>852.48923607665574</c:v>
                </c:pt>
                <c:pt idx="212">
                  <c:v>866.11423607665574</c:v>
                </c:pt>
                <c:pt idx="213">
                  <c:v>879.29423607665569</c:v>
                </c:pt>
                <c:pt idx="214">
                  <c:v>892.18923607665567</c:v>
                </c:pt>
                <c:pt idx="215">
                  <c:v>905.82423607665567</c:v>
                </c:pt>
                <c:pt idx="216">
                  <c:v>919.5392360766557</c:v>
                </c:pt>
                <c:pt idx="217">
                  <c:v>934.54923607665569</c:v>
                </c:pt>
                <c:pt idx="218">
                  <c:v>949.88423607665572</c:v>
                </c:pt>
                <c:pt idx="219">
                  <c:v>964.25423607665573</c:v>
                </c:pt>
                <c:pt idx="220">
                  <c:v>976.7842360766557</c:v>
                </c:pt>
                <c:pt idx="221">
                  <c:v>989.19923607665567</c:v>
                </c:pt>
                <c:pt idx="222">
                  <c:v>1002.0742360766557</c:v>
                </c:pt>
                <c:pt idx="223">
                  <c:v>1013.3142360766557</c:v>
                </c:pt>
                <c:pt idx="224">
                  <c:v>1024.6192360766556</c:v>
                </c:pt>
                <c:pt idx="225">
                  <c:v>1035.8842360766557</c:v>
                </c:pt>
                <c:pt idx="226">
                  <c:v>1049.2242360766556</c:v>
                </c:pt>
                <c:pt idx="227">
                  <c:v>1063.2242360766556</c:v>
                </c:pt>
                <c:pt idx="228">
                  <c:v>1077.0742360766556</c:v>
                </c:pt>
                <c:pt idx="229">
                  <c:v>1091.1442360766555</c:v>
                </c:pt>
                <c:pt idx="230">
                  <c:v>1104.5492360766555</c:v>
                </c:pt>
                <c:pt idx="231">
                  <c:v>1117.9642360766554</c:v>
                </c:pt>
                <c:pt idx="232">
                  <c:v>1132.3142360766553</c:v>
                </c:pt>
                <c:pt idx="233">
                  <c:v>1147.0692360766554</c:v>
                </c:pt>
                <c:pt idx="234">
                  <c:v>1162.0342360766554</c:v>
                </c:pt>
                <c:pt idx="235">
                  <c:v>1177.9492360766553</c:v>
                </c:pt>
                <c:pt idx="236">
                  <c:v>1193.2492360766553</c:v>
                </c:pt>
                <c:pt idx="237">
                  <c:v>1207.4492360766553</c:v>
                </c:pt>
                <c:pt idx="238">
                  <c:v>1217.6742360766552</c:v>
                </c:pt>
                <c:pt idx="239">
                  <c:v>1225.6142360766553</c:v>
                </c:pt>
                <c:pt idx="240">
                  <c:v>1234.9092360766554</c:v>
                </c:pt>
                <c:pt idx="241">
                  <c:v>1244.6842360766555</c:v>
                </c:pt>
                <c:pt idx="242">
                  <c:v>1256.2342360766554</c:v>
                </c:pt>
                <c:pt idx="243">
                  <c:v>1264.8392360766554</c:v>
                </c:pt>
                <c:pt idx="244">
                  <c:v>1270.3942360766555</c:v>
                </c:pt>
                <c:pt idx="245">
                  <c:v>1277.9642360766554</c:v>
                </c:pt>
                <c:pt idx="246">
                  <c:v>1286.0092360766555</c:v>
                </c:pt>
                <c:pt idx="247">
                  <c:v>1294.5492360766555</c:v>
                </c:pt>
                <c:pt idx="248">
                  <c:v>1303.5042360766554</c:v>
                </c:pt>
                <c:pt idx="249">
                  <c:v>1313.5842360766553</c:v>
                </c:pt>
                <c:pt idx="250">
                  <c:v>1323.2242360766554</c:v>
                </c:pt>
                <c:pt idx="251">
                  <c:v>1332.5342360766554</c:v>
                </c:pt>
                <c:pt idx="252">
                  <c:v>1341.9842360766554</c:v>
                </c:pt>
                <c:pt idx="253">
                  <c:v>1350.8092360766555</c:v>
                </c:pt>
                <c:pt idx="254">
                  <c:v>1361.1642360766555</c:v>
                </c:pt>
                <c:pt idx="255">
                  <c:v>1369.9592360766555</c:v>
                </c:pt>
                <c:pt idx="256">
                  <c:v>1375.1842360766555</c:v>
                </c:pt>
                <c:pt idx="257">
                  <c:v>1381.4142360766555</c:v>
                </c:pt>
                <c:pt idx="258">
                  <c:v>1386.6992360766556</c:v>
                </c:pt>
                <c:pt idx="259">
                  <c:v>1391.7792360766555</c:v>
                </c:pt>
                <c:pt idx="260">
                  <c:v>1397.4392360766556</c:v>
                </c:pt>
                <c:pt idx="261">
                  <c:v>1403.3892360766556</c:v>
                </c:pt>
                <c:pt idx="262">
                  <c:v>1409.9942360766556</c:v>
                </c:pt>
                <c:pt idx="263">
                  <c:v>1413.9742360766556</c:v>
                </c:pt>
                <c:pt idx="264">
                  <c:v>1416.1912513272002</c:v>
                </c:pt>
                <c:pt idx="265">
                  <c:v>1419.8474504222229</c:v>
                </c:pt>
                <c:pt idx="266">
                  <c:v>1428.4624504222229</c:v>
                </c:pt>
                <c:pt idx="267">
                  <c:v>1436.6774504222228</c:v>
                </c:pt>
                <c:pt idx="268">
                  <c:v>1442.5974504222229</c:v>
                </c:pt>
                <c:pt idx="269">
                  <c:v>1451.7624504222229</c:v>
                </c:pt>
                <c:pt idx="270">
                  <c:v>1460.0624504222228</c:v>
                </c:pt>
                <c:pt idx="271">
                  <c:v>1466.2124504222229</c:v>
                </c:pt>
                <c:pt idx="272">
                  <c:v>1473.277450422223</c:v>
                </c:pt>
                <c:pt idx="273">
                  <c:v>1480.7924504222231</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numCache>
            </c:numRef>
          </c:yVal>
        </c:ser>
        <c:axId val="190506112"/>
        <c:axId val="190507648"/>
      </c:scatterChart>
      <c:valAx>
        <c:axId val="190506112"/>
        <c:scaling>
          <c:orientation val="minMax"/>
        </c:scaling>
        <c:axPos val="b"/>
        <c:numFmt formatCode="[$-409]dd\-mmm\-yy;@" sourceLinked="1"/>
        <c:tickLblPos val="nextTo"/>
        <c:crossAx val="190507648"/>
        <c:crosses val="autoZero"/>
        <c:crossBetween val="midCat"/>
      </c:valAx>
      <c:valAx>
        <c:axId val="190507648"/>
        <c:scaling>
          <c:orientation val="minMax"/>
        </c:scaling>
        <c:axPos val="l"/>
        <c:majorGridlines/>
        <c:title>
          <c:tx>
            <c:rich>
              <a:bodyPr rot="-5400000" vert="horz"/>
              <a:lstStyle/>
              <a:p>
                <a:pPr>
                  <a:defRPr/>
                </a:pPr>
                <a:r>
                  <a:rPr lang="en-US"/>
                  <a:t>Degree Days</a:t>
                </a:r>
              </a:p>
            </c:rich>
          </c:tx>
          <c:layout>
            <c:manualLayout>
              <c:xMode val="edge"/>
              <c:yMode val="edge"/>
              <c:x val="2.3145175992227866E-2"/>
              <c:y val="0.40127191242116073"/>
            </c:manualLayout>
          </c:layout>
        </c:title>
        <c:numFmt formatCode="0" sourceLinked="0"/>
        <c:tickLblPos val="nextTo"/>
        <c:crossAx val="190506112"/>
        <c:crosses val="autoZero"/>
        <c:crossBetween val="midCat"/>
      </c:valAx>
      <c:spPr>
        <a:ln>
          <a:solidFill>
            <a:schemeClr val="bg1">
              <a:lumMod val="65000"/>
            </a:schemeClr>
          </a:solidFill>
        </a:ln>
      </c:spPr>
    </c:plotArea>
    <c:legend>
      <c:legendPos val="r"/>
      <c:layout>
        <c:manualLayout>
          <c:xMode val="edge"/>
          <c:yMode val="edge"/>
          <c:x val="0.23611896350004499"/>
          <c:y val="0.15083198817168475"/>
          <c:w val="0.19825519276877671"/>
          <c:h val="9.5149761683209447E-2"/>
        </c:manualLayout>
      </c:layout>
    </c:legend>
    <c:plotVisOnly val="1"/>
    <c:dispBlanksAs val="gap"/>
  </c:chart>
  <c:txPr>
    <a:bodyPr/>
    <a:lstStyle/>
    <a:p>
      <a:pPr>
        <a:defRPr sz="1400" b="1"/>
      </a:pPr>
      <a:endParaRPr lang="it-IT"/>
    </a:p>
  </c:txPr>
</c:chartSpace>
</file>

<file path=xl/charts/chart2.xml><?xml version="1.0" encoding="utf-8"?>
<c:chartSpace xmlns:c="http://schemas.openxmlformats.org/drawingml/2006/chart" xmlns:a="http://schemas.openxmlformats.org/drawingml/2006/main" xmlns:r="http://schemas.openxmlformats.org/officeDocument/2006/relationships">
  <c:lang val="it-IT"/>
  <c:chart>
    <c:autoTitleDeleted val="1"/>
    <c:plotArea>
      <c:layout>
        <c:manualLayout>
          <c:layoutTarget val="inner"/>
          <c:xMode val="edge"/>
          <c:yMode val="edge"/>
          <c:x val="0.14154722541354928"/>
          <c:y val="4.9484341289799505E-2"/>
          <c:w val="0.82307536724947328"/>
          <c:h val="0.75122370174932307"/>
        </c:manualLayout>
      </c:layout>
      <c:scatterChart>
        <c:scatterStyle val="lineMarker"/>
        <c:ser>
          <c:idx val="2"/>
          <c:order val="0"/>
          <c:tx>
            <c:v>ETo</c:v>
          </c:tx>
          <c:spPr>
            <a:ln w="19050">
              <a:solidFill>
                <a:schemeClr val="tx1"/>
              </a:solidFill>
              <a:prstDash val="solid"/>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Input!$AV$22:$AV$598</c:f>
              <c:numCache>
                <c:formatCode>0.00</c:formatCode>
                <c:ptCount val="577"/>
                <c:pt idx="0">
                  <c:v>0.24825455305211253</c:v>
                </c:pt>
                <c:pt idx="1">
                  <c:v>0.26135759193647401</c:v>
                </c:pt>
                <c:pt idx="2">
                  <c:v>0.24892768940826782</c:v>
                </c:pt>
                <c:pt idx="3">
                  <c:v>0.15123086696486165</c:v>
                </c:pt>
                <c:pt idx="4">
                  <c:v>0.30270884965245604</c:v>
                </c:pt>
                <c:pt idx="5">
                  <c:v>0.34935131767173</c:v>
                </c:pt>
                <c:pt idx="6">
                  <c:v>0.74494176690550129</c:v>
                </c:pt>
                <c:pt idx="7">
                  <c:v>0.26305806961331835</c:v>
                </c:pt>
                <c:pt idx="8">
                  <c:v>0.33856750769321325</c:v>
                </c:pt>
                <c:pt idx="9">
                  <c:v>0.26807099555554398</c:v>
                </c:pt>
                <c:pt idx="10">
                  <c:v>0.16986159983607474</c:v>
                </c:pt>
                <c:pt idx="11">
                  <c:v>0.23636606815417283</c:v>
                </c:pt>
                <c:pt idx="12">
                  <c:v>0.19150336319124778</c:v>
                </c:pt>
                <c:pt idx="13">
                  <c:v>0.16723499167272959</c:v>
                </c:pt>
                <c:pt idx="14">
                  <c:v>0.18422309026983519</c:v>
                </c:pt>
                <c:pt idx="15">
                  <c:v>0.27350161522473587</c:v>
                </c:pt>
                <c:pt idx="16">
                  <c:v>0.20161528149186347</c:v>
                </c:pt>
                <c:pt idx="17">
                  <c:v>0.2290955615783985</c:v>
                </c:pt>
                <c:pt idx="18">
                  <c:v>0.22358121107988677</c:v>
                </c:pt>
                <c:pt idx="19">
                  <c:v>0.26804063791324378</c:v>
                </c:pt>
                <c:pt idx="20">
                  <c:v>0.28864348777884957</c:v>
                </c:pt>
                <c:pt idx="21">
                  <c:v>0.24714464880057616</c:v>
                </c:pt>
                <c:pt idx="22">
                  <c:v>0.26637772951772098</c:v>
                </c:pt>
                <c:pt idx="23">
                  <c:v>0.29309055308982468</c:v>
                </c:pt>
                <c:pt idx="24">
                  <c:v>0.31307647208209932</c:v>
                </c:pt>
                <c:pt idx="25">
                  <c:v>0.23124500724166852</c:v>
                </c:pt>
                <c:pt idx="26">
                  <c:v>0.2718053562480085</c:v>
                </c:pt>
                <c:pt idx="27">
                  <c:v>0.3157483417393101</c:v>
                </c:pt>
                <c:pt idx="28">
                  <c:v>0.7281902108347631</c:v>
                </c:pt>
                <c:pt idx="29">
                  <c:v>0.52118754722097038</c:v>
                </c:pt>
                <c:pt idx="30">
                  <c:v>0.4462916169068708</c:v>
                </c:pt>
                <c:pt idx="31">
                  <c:v>0.34063662232689529</c:v>
                </c:pt>
                <c:pt idx="32">
                  <c:v>0.58582927143330044</c:v>
                </c:pt>
                <c:pt idx="33">
                  <c:v>0.43557071163111061</c:v>
                </c:pt>
                <c:pt idx="34">
                  <c:v>0.29668482018556935</c:v>
                </c:pt>
                <c:pt idx="35">
                  <c:v>0.29163966521745566</c:v>
                </c:pt>
                <c:pt idx="36">
                  <c:v>0.28112812573389639</c:v>
                </c:pt>
                <c:pt idx="37">
                  <c:v>0.37718204673649641</c:v>
                </c:pt>
                <c:pt idx="38">
                  <c:v>0.40184909694054805</c:v>
                </c:pt>
                <c:pt idx="39">
                  <c:v>0.35697698080417573</c:v>
                </c:pt>
                <c:pt idx="40">
                  <c:v>0.40150119165400022</c:v>
                </c:pt>
                <c:pt idx="41">
                  <c:v>0.52184810169343809</c:v>
                </c:pt>
                <c:pt idx="42">
                  <c:v>0.36790181555226631</c:v>
                </c:pt>
                <c:pt idx="43">
                  <c:v>0.41322020685184946</c:v>
                </c:pt>
                <c:pt idx="44">
                  <c:v>0.39576125991328082</c:v>
                </c:pt>
                <c:pt idx="45">
                  <c:v>0.2110792416261621</c:v>
                </c:pt>
                <c:pt idx="46">
                  <c:v>0.16164582054947796</c:v>
                </c:pt>
                <c:pt idx="47">
                  <c:v>0.42844195262703466</c:v>
                </c:pt>
                <c:pt idx="48">
                  <c:v>0.27012829790668447</c:v>
                </c:pt>
                <c:pt idx="49">
                  <c:v>0.20151220317447621</c:v>
                </c:pt>
                <c:pt idx="50">
                  <c:v>0.40302323288783826</c:v>
                </c:pt>
                <c:pt idx="51">
                  <c:v>0.52880251796818045</c:v>
                </c:pt>
                <c:pt idx="52">
                  <c:v>0.35968353967974764</c:v>
                </c:pt>
                <c:pt idx="53">
                  <c:v>0.83176917696877539</c:v>
                </c:pt>
                <c:pt idx="54">
                  <c:v>0.65738291518508896</c:v>
                </c:pt>
                <c:pt idx="55">
                  <c:v>0.63911787151342603</c:v>
                </c:pt>
                <c:pt idx="56">
                  <c:v>0.79120631579769019</c:v>
                </c:pt>
                <c:pt idx="57">
                  <c:v>0.50865297494834683</c:v>
                </c:pt>
                <c:pt idx="58">
                  <c:v>0.83577336875360686</c:v>
                </c:pt>
                <c:pt idx="59">
                  <c:v>1.2856834746038537</c:v>
                </c:pt>
                <c:pt idx="60">
                  <c:v>0.92411704693883201</c:v>
                </c:pt>
                <c:pt idx="61">
                  <c:v>1.0608928706242404</c:v>
                </c:pt>
                <c:pt idx="62">
                  <c:v>0.96808272715190891</c:v>
                </c:pt>
                <c:pt idx="63">
                  <c:v>0.98359335507564682</c:v>
                </c:pt>
                <c:pt idx="64">
                  <c:v>1.2950054322307294</c:v>
                </c:pt>
                <c:pt idx="65">
                  <c:v>1.5724939236484043</c:v>
                </c:pt>
                <c:pt idx="66">
                  <c:v>1.0836619209021265</c:v>
                </c:pt>
                <c:pt idx="67">
                  <c:v>1.1424230304692966</c:v>
                </c:pt>
                <c:pt idx="68">
                  <c:v>1.3410329982487244</c:v>
                </c:pt>
                <c:pt idx="69">
                  <c:v>1.1150450964331124</c:v>
                </c:pt>
                <c:pt idx="70">
                  <c:v>1.6884894294026032</c:v>
                </c:pt>
                <c:pt idx="71">
                  <c:v>1.5557057936289045</c:v>
                </c:pt>
                <c:pt idx="72">
                  <c:v>1.3808451880317716</c:v>
                </c:pt>
                <c:pt idx="73">
                  <c:v>1.4003264529478212</c:v>
                </c:pt>
                <c:pt idx="74">
                  <c:v>0.98386499581817932</c:v>
                </c:pt>
                <c:pt idx="75">
                  <c:v>1.3348911220504578</c:v>
                </c:pt>
                <c:pt idx="76">
                  <c:v>1.3733747862333849</c:v>
                </c:pt>
                <c:pt idx="77">
                  <c:v>1.5527441502753514</c:v>
                </c:pt>
                <c:pt idx="78">
                  <c:v>1.2539160732494974</c:v>
                </c:pt>
                <c:pt idx="79">
                  <c:v>0.47253029285191905</c:v>
                </c:pt>
                <c:pt idx="80">
                  <c:v>1.4014913229730439</c:v>
                </c:pt>
                <c:pt idx="81">
                  <c:v>1.8243026445582893</c:v>
                </c:pt>
                <c:pt idx="82">
                  <c:v>0.49590084445667348</c:v>
                </c:pt>
                <c:pt idx="83">
                  <c:v>1.5357753584385381</c:v>
                </c:pt>
                <c:pt idx="84">
                  <c:v>1.8042864664435185</c:v>
                </c:pt>
                <c:pt idx="85">
                  <c:v>1.0646170170755511</c:v>
                </c:pt>
                <c:pt idx="86">
                  <c:v>0.68732022495647926</c:v>
                </c:pt>
                <c:pt idx="87">
                  <c:v>2.3931185072781882</c:v>
                </c:pt>
                <c:pt idx="88">
                  <c:v>2.1526092770776621</c:v>
                </c:pt>
                <c:pt idx="89">
                  <c:v>2.5106888403813876</c:v>
                </c:pt>
                <c:pt idx="90">
                  <c:v>0.93869359143232689</c:v>
                </c:pt>
                <c:pt idx="91">
                  <c:v>1.6167318103592816</c:v>
                </c:pt>
                <c:pt idx="92">
                  <c:v>1.8984918973670475</c:v>
                </c:pt>
                <c:pt idx="93">
                  <c:v>2.1128725013730758</c:v>
                </c:pt>
                <c:pt idx="94">
                  <c:v>0.44427184411836929</c:v>
                </c:pt>
                <c:pt idx="95">
                  <c:v>1.2870475400541517</c:v>
                </c:pt>
                <c:pt idx="96">
                  <c:v>1.8718532351116166</c:v>
                </c:pt>
                <c:pt idx="97">
                  <c:v>2.4478030510786795</c:v>
                </c:pt>
                <c:pt idx="98">
                  <c:v>0.46595535146604128</c:v>
                </c:pt>
                <c:pt idx="99">
                  <c:v>0.54789851191428862</c:v>
                </c:pt>
                <c:pt idx="100">
                  <c:v>1.5021347877701818</c:v>
                </c:pt>
                <c:pt idx="101">
                  <c:v>1.4775161847336267</c:v>
                </c:pt>
                <c:pt idx="102">
                  <c:v>2.3188094411304103</c:v>
                </c:pt>
                <c:pt idx="103">
                  <c:v>2.3817274499732548</c:v>
                </c:pt>
                <c:pt idx="104">
                  <c:v>1.2746820392788025</c:v>
                </c:pt>
                <c:pt idx="105">
                  <c:v>1.7042348255788369</c:v>
                </c:pt>
                <c:pt idx="106">
                  <c:v>0.75456294317937433</c:v>
                </c:pt>
                <c:pt idx="107">
                  <c:v>1.6714663384207553</c:v>
                </c:pt>
                <c:pt idx="108">
                  <c:v>2.3496203991815219</c:v>
                </c:pt>
                <c:pt idx="109">
                  <c:v>2.1232463360499847</c:v>
                </c:pt>
                <c:pt idx="110">
                  <c:v>2.3856445539884792</c:v>
                </c:pt>
                <c:pt idx="111">
                  <c:v>2.5681773320425307</c:v>
                </c:pt>
                <c:pt idx="112">
                  <c:v>2.6660228759485736</c:v>
                </c:pt>
                <c:pt idx="113">
                  <c:v>2.2909912187436534</c:v>
                </c:pt>
                <c:pt idx="114">
                  <c:v>1.7423348114641519</c:v>
                </c:pt>
                <c:pt idx="115">
                  <c:v>0.3063071784918493</c:v>
                </c:pt>
                <c:pt idx="116">
                  <c:v>0.21108337461382062</c:v>
                </c:pt>
                <c:pt idx="117">
                  <c:v>0.15562453823735539</c:v>
                </c:pt>
                <c:pt idx="118">
                  <c:v>0.19878373475728461</c:v>
                </c:pt>
                <c:pt idx="119">
                  <c:v>0.18408138027917034</c:v>
                </c:pt>
                <c:pt idx="120">
                  <c:v>0.12965692950090307</c:v>
                </c:pt>
                <c:pt idx="121">
                  <c:v>0.1468710709433419</c:v>
                </c:pt>
                <c:pt idx="122">
                  <c:v>2.7175793432871416</c:v>
                </c:pt>
                <c:pt idx="123">
                  <c:v>3.2908053176774832</c:v>
                </c:pt>
                <c:pt idx="124">
                  <c:v>1.9868260661321759</c:v>
                </c:pt>
                <c:pt idx="125">
                  <c:v>2.9434706790229859</c:v>
                </c:pt>
                <c:pt idx="126">
                  <c:v>3.3627214264420116</c:v>
                </c:pt>
                <c:pt idx="127">
                  <c:v>1.8421522137245261</c:v>
                </c:pt>
                <c:pt idx="128">
                  <c:v>1.6487735550847691</c:v>
                </c:pt>
                <c:pt idx="129">
                  <c:v>2.9498016282126498</c:v>
                </c:pt>
                <c:pt idx="130">
                  <c:v>3.8585248973018555</c:v>
                </c:pt>
                <c:pt idx="131">
                  <c:v>3.672381118675212</c:v>
                </c:pt>
                <c:pt idx="132">
                  <c:v>3.9687784154374723</c:v>
                </c:pt>
                <c:pt idx="133">
                  <c:v>2.7737374970843311</c:v>
                </c:pt>
                <c:pt idx="134">
                  <c:v>2.5122717623350574</c:v>
                </c:pt>
                <c:pt idx="135">
                  <c:v>2.6871893259664557</c:v>
                </c:pt>
                <c:pt idx="136">
                  <c:v>2.6582090288371689</c:v>
                </c:pt>
                <c:pt idx="137">
                  <c:v>2.1669250851470583</c:v>
                </c:pt>
                <c:pt idx="138">
                  <c:v>3.1563511268161637</c:v>
                </c:pt>
                <c:pt idx="139">
                  <c:v>2.2714870024934979</c:v>
                </c:pt>
                <c:pt idx="140">
                  <c:v>2.3149334984040815</c:v>
                </c:pt>
                <c:pt idx="141">
                  <c:v>2.6663210175425371</c:v>
                </c:pt>
                <c:pt idx="142">
                  <c:v>2.0078951527307867</c:v>
                </c:pt>
                <c:pt idx="143">
                  <c:v>3.3353746158162507</c:v>
                </c:pt>
                <c:pt idx="144">
                  <c:v>3.6860224665711194</c:v>
                </c:pt>
                <c:pt idx="145">
                  <c:v>3.28904064531531</c:v>
                </c:pt>
                <c:pt idx="146">
                  <c:v>3.2219838024285434</c:v>
                </c:pt>
                <c:pt idx="147">
                  <c:v>2.8444012802599774</c:v>
                </c:pt>
                <c:pt idx="148">
                  <c:v>3.3058542029797064</c:v>
                </c:pt>
                <c:pt idx="149">
                  <c:v>4.038093828748214</c:v>
                </c:pt>
                <c:pt idx="150">
                  <c:v>3.6071849907178821</c:v>
                </c:pt>
                <c:pt idx="151">
                  <c:v>3.9641089845261237</c:v>
                </c:pt>
                <c:pt idx="152">
                  <c:v>4.342203995140836</c:v>
                </c:pt>
                <c:pt idx="153">
                  <c:v>3.9718550288769805</c:v>
                </c:pt>
                <c:pt idx="154">
                  <c:v>4.7508185916955172</c:v>
                </c:pt>
                <c:pt idx="155">
                  <c:v>3.9279677078967485</c:v>
                </c:pt>
                <c:pt idx="156">
                  <c:v>3.6238138037089076</c:v>
                </c:pt>
                <c:pt idx="157">
                  <c:v>4.1290757913512</c:v>
                </c:pt>
                <c:pt idx="158">
                  <c:v>4.4462286753676405</c:v>
                </c:pt>
                <c:pt idx="159">
                  <c:v>4.3562374293007231</c:v>
                </c:pt>
                <c:pt idx="160">
                  <c:v>4.1459186279255205</c:v>
                </c:pt>
                <c:pt idx="161">
                  <c:v>4.411672347114922</c:v>
                </c:pt>
                <c:pt idx="162">
                  <c:v>4.3849772680391643</c:v>
                </c:pt>
                <c:pt idx="163">
                  <c:v>3.8091930190969734</c:v>
                </c:pt>
                <c:pt idx="164">
                  <c:v>4.0988775716802071</c:v>
                </c:pt>
                <c:pt idx="165">
                  <c:v>4.1796010570230111</c:v>
                </c:pt>
                <c:pt idx="166">
                  <c:v>3.089182056521572</c:v>
                </c:pt>
                <c:pt idx="167">
                  <c:v>3.6056847789219049</c:v>
                </c:pt>
                <c:pt idx="168">
                  <c:v>3.7174724563255186</c:v>
                </c:pt>
                <c:pt idx="169">
                  <c:v>4.2638464795477748</c:v>
                </c:pt>
                <c:pt idx="170">
                  <c:v>4.3448768618195519</c:v>
                </c:pt>
                <c:pt idx="171">
                  <c:v>4.2189462561948528</c:v>
                </c:pt>
                <c:pt idx="172">
                  <c:v>4.815483037784154</c:v>
                </c:pt>
                <c:pt idx="173">
                  <c:v>5.2090818304770883</c:v>
                </c:pt>
                <c:pt idx="174">
                  <c:v>4.2242359034504471</c:v>
                </c:pt>
                <c:pt idx="175">
                  <c:v>3.6770090379365259</c:v>
                </c:pt>
                <c:pt idx="176">
                  <c:v>4.9307354305868794</c:v>
                </c:pt>
                <c:pt idx="177">
                  <c:v>4.4419396786312708</c:v>
                </c:pt>
                <c:pt idx="178">
                  <c:v>3.9969408725133637</c:v>
                </c:pt>
                <c:pt idx="179">
                  <c:v>3.6508180022650345</c:v>
                </c:pt>
                <c:pt idx="180">
                  <c:v>5.0784150259928538</c:v>
                </c:pt>
                <c:pt idx="181">
                  <c:v>5.1603088288052135</c:v>
                </c:pt>
                <c:pt idx="182">
                  <c:v>5.3632519936455187</c:v>
                </c:pt>
                <c:pt idx="183">
                  <c:v>5.5388845439925944</c:v>
                </c:pt>
                <c:pt idx="184">
                  <c:v>5.0489004426417008</c:v>
                </c:pt>
                <c:pt idx="185">
                  <c:v>5.1819685613911384</c:v>
                </c:pt>
                <c:pt idx="186">
                  <c:v>3.4769314126585869</c:v>
                </c:pt>
                <c:pt idx="187">
                  <c:v>3.3390863812371721</c:v>
                </c:pt>
                <c:pt idx="188">
                  <c:v>4.4509781454770909</c:v>
                </c:pt>
                <c:pt idx="189">
                  <c:v>4.4175903643995147</c:v>
                </c:pt>
                <c:pt idx="190">
                  <c:v>4.7621015055229519</c:v>
                </c:pt>
                <c:pt idx="191">
                  <c:v>4.8331833809099534</c:v>
                </c:pt>
                <c:pt idx="192">
                  <c:v>5.1474550835259034</c:v>
                </c:pt>
                <c:pt idx="193">
                  <c:v>4.4444365747997825</c:v>
                </c:pt>
                <c:pt idx="194">
                  <c:v>4.154374970844211</c:v>
                </c:pt>
                <c:pt idx="195">
                  <c:v>4.3856695518355373</c:v>
                </c:pt>
                <c:pt idx="196">
                  <c:v>4.3782405218811054</c:v>
                </c:pt>
                <c:pt idx="197">
                  <c:v>4.6146636278569044</c:v>
                </c:pt>
                <c:pt idx="198">
                  <c:v>4.4565907017106809</c:v>
                </c:pt>
                <c:pt idx="199">
                  <c:v>4.3856661721297474</c:v>
                </c:pt>
                <c:pt idx="200">
                  <c:v>4.5585086386905456</c:v>
                </c:pt>
                <c:pt idx="201">
                  <c:v>5.0131309788816969</c:v>
                </c:pt>
                <c:pt idx="202">
                  <c:v>4.3086235392401058</c:v>
                </c:pt>
                <c:pt idx="203">
                  <c:v>3.9753833592271319</c:v>
                </c:pt>
                <c:pt idx="204">
                  <c:v>4.0457230402672915</c:v>
                </c:pt>
                <c:pt idx="205">
                  <c:v>4.087687667829055</c:v>
                </c:pt>
                <c:pt idx="206">
                  <c:v>3.7454392842547892</c:v>
                </c:pt>
                <c:pt idx="207">
                  <c:v>4.4864865244293437</c:v>
                </c:pt>
                <c:pt idx="208">
                  <c:v>3.6827022385919621</c:v>
                </c:pt>
                <c:pt idx="209">
                  <c:v>4.5469371783869423</c:v>
                </c:pt>
                <c:pt idx="210">
                  <c:v>4.4553960861591095</c:v>
                </c:pt>
                <c:pt idx="211">
                  <c:v>3.8584668114409286</c:v>
                </c:pt>
                <c:pt idx="212">
                  <c:v>3.6949662527290243</c:v>
                </c:pt>
                <c:pt idx="213">
                  <c:v>4.4242680611832448</c:v>
                </c:pt>
                <c:pt idx="214">
                  <c:v>3.118024395994059</c:v>
                </c:pt>
                <c:pt idx="215">
                  <c:v>4.5357482562597031</c:v>
                </c:pt>
                <c:pt idx="216">
                  <c:v>4.20416831576504</c:v>
                </c:pt>
                <c:pt idx="217">
                  <c:v>3.9882386942261037</c:v>
                </c:pt>
                <c:pt idx="218">
                  <c:v>4.4909729125824436</c:v>
                </c:pt>
                <c:pt idx="219">
                  <c:v>4.7594598896694214</c:v>
                </c:pt>
                <c:pt idx="220">
                  <c:v>3.5860255885033321</c:v>
                </c:pt>
                <c:pt idx="221">
                  <c:v>4.1359534061889187</c:v>
                </c:pt>
                <c:pt idx="222">
                  <c:v>3.8777053791530784</c:v>
                </c:pt>
                <c:pt idx="223">
                  <c:v>3.3740396451178154</c:v>
                </c:pt>
                <c:pt idx="224">
                  <c:v>3.3160077738536158</c:v>
                </c:pt>
                <c:pt idx="225">
                  <c:v>3.9755356514785003</c:v>
                </c:pt>
                <c:pt idx="226">
                  <c:v>3.7997193760539565</c:v>
                </c:pt>
                <c:pt idx="227">
                  <c:v>1.4804598800034643</c:v>
                </c:pt>
                <c:pt idx="228">
                  <c:v>2.3526245965089925</c:v>
                </c:pt>
                <c:pt idx="229">
                  <c:v>4.1749276666966058</c:v>
                </c:pt>
                <c:pt idx="230">
                  <c:v>3.0294218913691475</c:v>
                </c:pt>
                <c:pt idx="231">
                  <c:v>4.0744982807337342</c:v>
                </c:pt>
                <c:pt idx="232">
                  <c:v>4.259246672317726</c:v>
                </c:pt>
                <c:pt idx="233">
                  <c:v>4.3146765128124835</c:v>
                </c:pt>
                <c:pt idx="234">
                  <c:v>3.9046189691941287</c:v>
                </c:pt>
                <c:pt idx="235">
                  <c:v>3.1599844462605367</c:v>
                </c:pt>
                <c:pt idx="236">
                  <c:v>3.8247380758573639</c:v>
                </c:pt>
                <c:pt idx="237">
                  <c:v>3.7913485075397029</c:v>
                </c:pt>
                <c:pt idx="238">
                  <c:v>3.2718370581858034</c:v>
                </c:pt>
                <c:pt idx="239">
                  <c:v>2.394984867373108</c:v>
                </c:pt>
                <c:pt idx="240">
                  <c:v>3.2809923263348102</c:v>
                </c:pt>
                <c:pt idx="241">
                  <c:v>3.6588226044606817</c:v>
                </c:pt>
                <c:pt idx="242">
                  <c:v>3.7539661230494863</c:v>
                </c:pt>
                <c:pt idx="243">
                  <c:v>3.1191168130974036</c:v>
                </c:pt>
                <c:pt idx="244">
                  <c:v>2.5079702328575904</c:v>
                </c:pt>
                <c:pt idx="245">
                  <c:v>2.6826089915955298</c:v>
                </c:pt>
                <c:pt idx="246">
                  <c:v>2.8397308044820977</c:v>
                </c:pt>
                <c:pt idx="247">
                  <c:v>2.7938136612243123</c:v>
                </c:pt>
                <c:pt idx="248">
                  <c:v>2.6424369934627041</c:v>
                </c:pt>
                <c:pt idx="249">
                  <c:v>2.578113702697407</c:v>
                </c:pt>
                <c:pt idx="250">
                  <c:v>2.0862799704609447</c:v>
                </c:pt>
                <c:pt idx="251">
                  <c:v>2.9138217266599553</c:v>
                </c:pt>
                <c:pt idx="252">
                  <c:v>2.9219428494973703</c:v>
                </c:pt>
                <c:pt idx="253">
                  <c:v>2.6313715600740846</c:v>
                </c:pt>
                <c:pt idx="254">
                  <c:v>2.9416653353000819</c:v>
                </c:pt>
                <c:pt idx="255">
                  <c:v>2.4586716698177891</c:v>
                </c:pt>
                <c:pt idx="256">
                  <c:v>0.60772138538312692</c:v>
                </c:pt>
                <c:pt idx="257">
                  <c:v>1.6459072285947327</c:v>
                </c:pt>
                <c:pt idx="258">
                  <c:v>1.7463882963650035</c:v>
                </c:pt>
                <c:pt idx="259">
                  <c:v>1.7418765144277353</c:v>
                </c:pt>
                <c:pt idx="260">
                  <c:v>1.510606778004419</c:v>
                </c:pt>
                <c:pt idx="261">
                  <c:v>2.0939021302323595</c:v>
                </c:pt>
                <c:pt idx="262">
                  <c:v>2.0557482287284605</c:v>
                </c:pt>
                <c:pt idx="263">
                  <c:v>1.7686822371330457</c:v>
                </c:pt>
                <c:pt idx="264">
                  <c:v>1.7556894234257725</c:v>
                </c:pt>
                <c:pt idx="265">
                  <c:v>1.5169243163561759</c:v>
                </c:pt>
                <c:pt idx="266">
                  <c:v>1.8826041136831777</c:v>
                </c:pt>
                <c:pt idx="267">
                  <c:v>0.52196974349221081</c:v>
                </c:pt>
                <c:pt idx="268">
                  <c:v>1.4602956391032043</c:v>
                </c:pt>
                <c:pt idx="269">
                  <c:v>2.2341226653855277</c:v>
                </c:pt>
                <c:pt idx="270">
                  <c:v>2.090242492287</c:v>
                </c:pt>
                <c:pt idx="271">
                  <c:v>1.7635447241882989</c:v>
                </c:pt>
                <c:pt idx="272">
                  <c:v>1.5355098261541054</c:v>
                </c:pt>
                <c:pt idx="273">
                  <c:v>0.76441317371540662</c:v>
                </c:pt>
                <c:pt idx="274">
                  <c:v>1.2283871496208394</c:v>
                </c:pt>
                <c:pt idx="275">
                  <c:v>1.0207438910208613</c:v>
                </c:pt>
                <c:pt idx="276">
                  <c:v>1.6491328487668226</c:v>
                </c:pt>
                <c:pt idx="277">
                  <c:v>1.7470272988959599</c:v>
                </c:pt>
                <c:pt idx="278">
                  <c:v>1.686918001811976</c:v>
                </c:pt>
                <c:pt idx="279">
                  <c:v>1.1149775155232635</c:v>
                </c:pt>
                <c:pt idx="280">
                  <c:v>1.8464129891664798</c:v>
                </c:pt>
                <c:pt idx="281">
                  <c:v>1.5303036358472843</c:v>
                </c:pt>
                <c:pt idx="282">
                  <c:v>1.3902745849596458</c:v>
                </c:pt>
                <c:pt idx="283">
                  <c:v>1.3337837455308192</c:v>
                </c:pt>
                <c:pt idx="284">
                  <c:v>1.2083903019037199</c:v>
                </c:pt>
                <c:pt idx="285">
                  <c:v>1.1288149993848837</c:v>
                </c:pt>
                <c:pt idx="286">
                  <c:v>1.1134455470638116</c:v>
                </c:pt>
                <c:pt idx="287">
                  <c:v>1.1510967075143896</c:v>
                </c:pt>
                <c:pt idx="288">
                  <c:v>1.1727987746997555</c:v>
                </c:pt>
                <c:pt idx="289">
                  <c:v>1.0443698197165927</c:v>
                </c:pt>
                <c:pt idx="290">
                  <c:v>0.92688630504524805</c:v>
                </c:pt>
                <c:pt idx="291">
                  <c:v>0.40507062756410828</c:v>
                </c:pt>
                <c:pt idx="292">
                  <c:v>0.51944233409834339</c:v>
                </c:pt>
                <c:pt idx="293">
                  <c:v>0.60898906706801759</c:v>
                </c:pt>
                <c:pt idx="294">
                  <c:v>0.65869711822841781</c:v>
                </c:pt>
                <c:pt idx="295">
                  <c:v>0.17202542745231658</c:v>
                </c:pt>
                <c:pt idx="296">
                  <c:v>0.68359126446427765</c:v>
                </c:pt>
                <c:pt idx="297">
                  <c:v>0.85043660947984545</c:v>
                </c:pt>
                <c:pt idx="298">
                  <c:v>0.78548823208261953</c:v>
                </c:pt>
                <c:pt idx="299">
                  <c:v>0.78457355239869742</c:v>
                </c:pt>
                <c:pt idx="300">
                  <c:v>0.60504683058495901</c:v>
                </c:pt>
                <c:pt idx="301">
                  <c:v>0.63018231399244962</c:v>
                </c:pt>
                <c:pt idx="302">
                  <c:v>0.55971158953972311</c:v>
                </c:pt>
                <c:pt idx="303">
                  <c:v>0.53679968135500811</c:v>
                </c:pt>
                <c:pt idx="304">
                  <c:v>0.62115805906117094</c:v>
                </c:pt>
                <c:pt idx="305">
                  <c:v>1.1745537432415922</c:v>
                </c:pt>
                <c:pt idx="306">
                  <c:v>0.64569523710979271</c:v>
                </c:pt>
                <c:pt idx="307">
                  <c:v>0.5802325534970274</c:v>
                </c:pt>
                <c:pt idx="308">
                  <c:v>0.68650360193677984</c:v>
                </c:pt>
                <c:pt idx="309">
                  <c:v>0.64603852585092369</c:v>
                </c:pt>
                <c:pt idx="310">
                  <c:v>0.56075474160637206</c:v>
                </c:pt>
                <c:pt idx="311">
                  <c:v>0.41608921674286758</c:v>
                </c:pt>
                <c:pt idx="312">
                  <c:v>0.44859811428674301</c:v>
                </c:pt>
                <c:pt idx="313">
                  <c:v>0.49556397787198192</c:v>
                </c:pt>
                <c:pt idx="314">
                  <c:v>0.47134381160449357</c:v>
                </c:pt>
                <c:pt idx="315">
                  <c:v>0.59694829900351776</c:v>
                </c:pt>
                <c:pt idx="316">
                  <c:v>0.52054953591609565</c:v>
                </c:pt>
                <c:pt idx="317">
                  <c:v>0.52595066517111921</c:v>
                </c:pt>
                <c:pt idx="318">
                  <c:v>0.3836576772264001</c:v>
                </c:pt>
                <c:pt idx="319">
                  <c:v>0.21566560420843345</c:v>
                </c:pt>
                <c:pt idx="320">
                  <c:v>0.16215468248416967</c:v>
                </c:pt>
                <c:pt idx="321">
                  <c:v>0.28050565731507188</c:v>
                </c:pt>
                <c:pt idx="322">
                  <c:v>0.39071399091212361</c:v>
                </c:pt>
                <c:pt idx="323">
                  <c:v>0.47570645343186002</c:v>
                </c:pt>
                <c:pt idx="324">
                  <c:v>0.31239412896784557</c:v>
                </c:pt>
                <c:pt idx="325">
                  <c:v>0.35500467658846468</c:v>
                </c:pt>
                <c:pt idx="326">
                  <c:v>0.385946676829446</c:v>
                </c:pt>
                <c:pt idx="327">
                  <c:v>0.27860676970378567</c:v>
                </c:pt>
                <c:pt idx="328">
                  <c:v>0.13927441647758435</c:v>
                </c:pt>
                <c:pt idx="329">
                  <c:v>0.36328911509493322</c:v>
                </c:pt>
                <c:pt idx="330">
                  <c:v>0.21044688790550653</c:v>
                </c:pt>
                <c:pt idx="331">
                  <c:v>0.29495653341181693</c:v>
                </c:pt>
                <c:pt idx="332">
                  <c:v>0.42152958426195597</c:v>
                </c:pt>
                <c:pt idx="333">
                  <c:v>0.34954540815004342</c:v>
                </c:pt>
                <c:pt idx="334">
                  <c:v>0.4460251589614519</c:v>
                </c:pt>
                <c:pt idx="335">
                  <c:v>0.35825075999220179</c:v>
                </c:pt>
                <c:pt idx="336">
                  <c:v>0.26485704367748769</c:v>
                </c:pt>
                <c:pt idx="337">
                  <c:v>0.30545285076975481</c:v>
                </c:pt>
                <c:pt idx="338">
                  <c:v>0.23728039005273585</c:v>
                </c:pt>
                <c:pt idx="339">
                  <c:v>0.11819204647909157</c:v>
                </c:pt>
                <c:pt idx="340">
                  <c:v>0.27091712366785692</c:v>
                </c:pt>
                <c:pt idx="341">
                  <c:v>0.16740153746264114</c:v>
                </c:pt>
                <c:pt idx="342">
                  <c:v>0.22609620971568736</c:v>
                </c:pt>
                <c:pt idx="343">
                  <c:v>0.15022959251795459</c:v>
                </c:pt>
                <c:pt idx="344">
                  <c:v>0.15350220716630447</c:v>
                </c:pt>
                <c:pt idx="345">
                  <c:v>0.25571221462424665</c:v>
                </c:pt>
                <c:pt idx="346">
                  <c:v>0.14007117407982622</c:v>
                </c:pt>
                <c:pt idx="347">
                  <c:v>0.11457279942072622</c:v>
                </c:pt>
                <c:pt idx="348">
                  <c:v>0.19213352452024041</c:v>
                </c:pt>
                <c:pt idx="349">
                  <c:v>0.19704501125568424</c:v>
                </c:pt>
                <c:pt idx="350">
                  <c:v>0.20794462418624898</c:v>
                </c:pt>
                <c:pt idx="351">
                  <c:v>0.20734524609866151</c:v>
                </c:pt>
                <c:pt idx="352">
                  <c:v>0.28715428488928374</c:v>
                </c:pt>
                <c:pt idx="353">
                  <c:v>0.14919560090004816</c:v>
                </c:pt>
                <c:pt idx="354">
                  <c:v>6.9375106890258192E-2</c:v>
                </c:pt>
                <c:pt idx="355">
                  <c:v>0.10353647024992368</c:v>
                </c:pt>
                <c:pt idx="356">
                  <c:v>0.17521718328015756</c:v>
                </c:pt>
                <c:pt idx="357">
                  <c:v>0.11016604488914751</c:v>
                </c:pt>
                <c:pt idx="358">
                  <c:v>0.11973452107259031</c:v>
                </c:pt>
                <c:pt idx="359">
                  <c:v>0.19141620962706662</c:v>
                </c:pt>
                <c:pt idx="360">
                  <c:v>0.25983469090210043</c:v>
                </c:pt>
                <c:pt idx="361">
                  <c:v>0.31620608472521305</c:v>
                </c:pt>
                <c:pt idx="362">
                  <c:v>0.26095749933563839</c:v>
                </c:pt>
                <c:pt idx="363">
                  <c:v>0.22814842508288211</c:v>
                </c:pt>
                <c:pt idx="364">
                  <c:v>0.20739844704395816</c:v>
                </c:pt>
                <c:pt idx="365">
                  <c:v>0.21064171067586901</c:v>
                </c:pt>
                <c:pt idx="366">
                  <c:v>0.24825455305211253</c:v>
                </c:pt>
                <c:pt idx="367">
                  <c:v>0.26135759193647401</c:v>
                </c:pt>
                <c:pt idx="368">
                  <c:v>0.24892768940826782</c:v>
                </c:pt>
                <c:pt idx="369">
                  <c:v>0.15123086696486165</c:v>
                </c:pt>
                <c:pt idx="370">
                  <c:v>0.30270884965245604</c:v>
                </c:pt>
                <c:pt idx="371">
                  <c:v>0.34935131767173</c:v>
                </c:pt>
                <c:pt idx="372">
                  <c:v>0.74494176690550129</c:v>
                </c:pt>
                <c:pt idx="373">
                  <c:v>0.26305806961331835</c:v>
                </c:pt>
                <c:pt idx="374">
                  <c:v>0.33856750769321325</c:v>
                </c:pt>
                <c:pt idx="375">
                  <c:v>0.26807099555554398</c:v>
                </c:pt>
                <c:pt idx="376">
                  <c:v>0.16986159983607474</c:v>
                </c:pt>
                <c:pt idx="377">
                  <c:v>0.23636606815417283</c:v>
                </c:pt>
                <c:pt idx="378">
                  <c:v>0.19150336319124778</c:v>
                </c:pt>
                <c:pt idx="379">
                  <c:v>0.16723499167272959</c:v>
                </c:pt>
                <c:pt idx="380">
                  <c:v>0.18422309026983519</c:v>
                </c:pt>
                <c:pt idx="381">
                  <c:v>0.27350161522473587</c:v>
                </c:pt>
                <c:pt idx="382">
                  <c:v>0.20161528149186347</c:v>
                </c:pt>
                <c:pt idx="383">
                  <c:v>0.2290955615783985</c:v>
                </c:pt>
                <c:pt idx="384">
                  <c:v>0.22358121107988677</c:v>
                </c:pt>
                <c:pt idx="385">
                  <c:v>0.26804063791324378</c:v>
                </c:pt>
                <c:pt idx="386">
                  <c:v>0.28864348777884957</c:v>
                </c:pt>
                <c:pt idx="387">
                  <c:v>0.24714464880057616</c:v>
                </c:pt>
                <c:pt idx="388">
                  <c:v>0.26637772951772098</c:v>
                </c:pt>
                <c:pt idx="389">
                  <c:v>0.29309055308982468</c:v>
                </c:pt>
                <c:pt idx="390">
                  <c:v>0.31307647208209932</c:v>
                </c:pt>
                <c:pt idx="391">
                  <c:v>0.23124500724166852</c:v>
                </c:pt>
                <c:pt idx="392">
                  <c:v>0.2718053562480085</c:v>
                </c:pt>
                <c:pt idx="393">
                  <c:v>0.3157483417393101</c:v>
                </c:pt>
                <c:pt idx="394">
                  <c:v>0.7281902108347631</c:v>
                </c:pt>
                <c:pt idx="395">
                  <c:v>0.52118754722097038</c:v>
                </c:pt>
                <c:pt idx="396">
                  <c:v>0.4462916169068708</c:v>
                </c:pt>
                <c:pt idx="397">
                  <c:v>0.34063662232689529</c:v>
                </c:pt>
                <c:pt idx="398">
                  <c:v>0.58582927143330044</c:v>
                </c:pt>
                <c:pt idx="399">
                  <c:v>0.43557071163111061</c:v>
                </c:pt>
                <c:pt idx="400">
                  <c:v>0.29668482018556935</c:v>
                </c:pt>
                <c:pt idx="401">
                  <c:v>0.29163966521745566</c:v>
                </c:pt>
                <c:pt idx="402">
                  <c:v>0.28112812573389639</c:v>
                </c:pt>
                <c:pt idx="403">
                  <c:v>0.37718204673649641</c:v>
                </c:pt>
                <c:pt idx="404">
                  <c:v>0.40184909694054805</c:v>
                </c:pt>
                <c:pt idx="405">
                  <c:v>0.35697698080417573</c:v>
                </c:pt>
                <c:pt idx="406">
                  <c:v>0.40150119165400022</c:v>
                </c:pt>
                <c:pt idx="407">
                  <c:v>0.52184810169343809</c:v>
                </c:pt>
                <c:pt idx="408">
                  <c:v>0.36790181555226631</c:v>
                </c:pt>
                <c:pt idx="409">
                  <c:v>0.41322020685184946</c:v>
                </c:pt>
                <c:pt idx="410">
                  <c:v>0.39576125991328082</c:v>
                </c:pt>
                <c:pt idx="411">
                  <c:v>0.2110792416261621</c:v>
                </c:pt>
                <c:pt idx="412">
                  <c:v>0.16164582054947796</c:v>
                </c:pt>
                <c:pt idx="413">
                  <c:v>0.42844195262703466</c:v>
                </c:pt>
                <c:pt idx="414">
                  <c:v>0.27012829790668447</c:v>
                </c:pt>
                <c:pt idx="415">
                  <c:v>0.20151220317447621</c:v>
                </c:pt>
                <c:pt idx="416">
                  <c:v>0.40302323288783826</c:v>
                </c:pt>
                <c:pt idx="417">
                  <c:v>0.52880251796818045</c:v>
                </c:pt>
                <c:pt idx="418">
                  <c:v>0.35968353967974764</c:v>
                </c:pt>
                <c:pt idx="419">
                  <c:v>0.83176917696877539</c:v>
                </c:pt>
                <c:pt idx="420">
                  <c:v>0.65738291518508896</c:v>
                </c:pt>
                <c:pt idx="421">
                  <c:v>0.63911787151342603</c:v>
                </c:pt>
                <c:pt idx="422">
                  <c:v>0.79120631579769019</c:v>
                </c:pt>
                <c:pt idx="423">
                  <c:v>0.50865297494834683</c:v>
                </c:pt>
                <c:pt idx="424">
                  <c:v>0.83577336875360686</c:v>
                </c:pt>
                <c:pt idx="425">
                  <c:v>1.2856834746038537</c:v>
                </c:pt>
                <c:pt idx="426">
                  <c:v>0.92411704693883201</c:v>
                </c:pt>
                <c:pt idx="427">
                  <c:v>1.0608928706242404</c:v>
                </c:pt>
                <c:pt idx="428">
                  <c:v>0.96808272715190891</c:v>
                </c:pt>
                <c:pt idx="429">
                  <c:v>0.98359335507564682</c:v>
                </c:pt>
                <c:pt idx="430">
                  <c:v>1.2950054322307294</c:v>
                </c:pt>
                <c:pt idx="431">
                  <c:v>1.5724939236484043</c:v>
                </c:pt>
                <c:pt idx="432">
                  <c:v>1.0836619209021265</c:v>
                </c:pt>
                <c:pt idx="433">
                  <c:v>1.1424230304692966</c:v>
                </c:pt>
                <c:pt idx="434">
                  <c:v>1.3410329982487244</c:v>
                </c:pt>
                <c:pt idx="435">
                  <c:v>1.1150450964331124</c:v>
                </c:pt>
                <c:pt idx="436">
                  <c:v>1.6884894294026032</c:v>
                </c:pt>
                <c:pt idx="437">
                  <c:v>1.5557057936289045</c:v>
                </c:pt>
                <c:pt idx="438">
                  <c:v>1.3808451880317716</c:v>
                </c:pt>
                <c:pt idx="439">
                  <c:v>1.4003264529478212</c:v>
                </c:pt>
                <c:pt idx="440">
                  <c:v>0.98386499581817932</c:v>
                </c:pt>
                <c:pt idx="441">
                  <c:v>1.3348911220504578</c:v>
                </c:pt>
                <c:pt idx="442">
                  <c:v>1.3733747862333849</c:v>
                </c:pt>
                <c:pt idx="443">
                  <c:v>1.5527441502753514</c:v>
                </c:pt>
                <c:pt idx="444">
                  <c:v>1.2539160732494974</c:v>
                </c:pt>
                <c:pt idx="445">
                  <c:v>0.47253029285191905</c:v>
                </c:pt>
                <c:pt idx="446">
                  <c:v>1.4014913229730439</c:v>
                </c:pt>
                <c:pt idx="447">
                  <c:v>1.8243026445582893</c:v>
                </c:pt>
                <c:pt idx="448">
                  <c:v>0.49590084445667348</c:v>
                </c:pt>
                <c:pt idx="449">
                  <c:v>1.5357753584385381</c:v>
                </c:pt>
                <c:pt idx="450">
                  <c:v>1.8042864664435185</c:v>
                </c:pt>
                <c:pt idx="451">
                  <c:v>1.0646170170755511</c:v>
                </c:pt>
                <c:pt idx="452">
                  <c:v>0.68732022495647926</c:v>
                </c:pt>
                <c:pt idx="453">
                  <c:v>2.3931185072781882</c:v>
                </c:pt>
                <c:pt idx="454">
                  <c:v>2.1526092770776621</c:v>
                </c:pt>
                <c:pt idx="455">
                  <c:v>2.5106888403813876</c:v>
                </c:pt>
                <c:pt idx="456">
                  <c:v>0.93869359143232689</c:v>
                </c:pt>
                <c:pt idx="457">
                  <c:v>1.6167318103592816</c:v>
                </c:pt>
                <c:pt idx="458">
                  <c:v>1.8984918973670475</c:v>
                </c:pt>
                <c:pt idx="459">
                  <c:v>2.1128725013730758</c:v>
                </c:pt>
                <c:pt idx="460">
                  <c:v>0.44427184411836929</c:v>
                </c:pt>
                <c:pt idx="461">
                  <c:v>1.2870475400541517</c:v>
                </c:pt>
                <c:pt idx="462">
                  <c:v>1.8718532351116166</c:v>
                </c:pt>
                <c:pt idx="463">
                  <c:v>2.4478030510786795</c:v>
                </c:pt>
                <c:pt idx="464">
                  <c:v>0.46595535146604128</c:v>
                </c:pt>
                <c:pt idx="465">
                  <c:v>0.54789851191428862</c:v>
                </c:pt>
                <c:pt idx="466">
                  <c:v>1.5021347877701818</c:v>
                </c:pt>
                <c:pt idx="467">
                  <c:v>1.4775161847336267</c:v>
                </c:pt>
                <c:pt idx="468">
                  <c:v>2.3188094411304103</c:v>
                </c:pt>
                <c:pt idx="469">
                  <c:v>2.3817274499732548</c:v>
                </c:pt>
                <c:pt idx="470">
                  <c:v>1.2746820392788025</c:v>
                </c:pt>
                <c:pt idx="471">
                  <c:v>1.7042348255788369</c:v>
                </c:pt>
                <c:pt idx="472">
                  <c:v>0.75456294317937433</c:v>
                </c:pt>
                <c:pt idx="473">
                  <c:v>1.6714663384207553</c:v>
                </c:pt>
                <c:pt idx="474">
                  <c:v>2.3496203991815219</c:v>
                </c:pt>
                <c:pt idx="475">
                  <c:v>2.1232463360499847</c:v>
                </c:pt>
                <c:pt idx="476">
                  <c:v>2.3856445539884792</c:v>
                </c:pt>
                <c:pt idx="477">
                  <c:v>2.5681773320425307</c:v>
                </c:pt>
                <c:pt idx="478">
                  <c:v>2.6660228759485736</c:v>
                </c:pt>
                <c:pt idx="479">
                  <c:v>2.2909912187436534</c:v>
                </c:pt>
                <c:pt idx="480">
                  <c:v>1.7423348114641519</c:v>
                </c:pt>
                <c:pt idx="481">
                  <c:v>0.3063071784918493</c:v>
                </c:pt>
                <c:pt idx="482">
                  <c:v>0.21108337461382062</c:v>
                </c:pt>
                <c:pt idx="483">
                  <c:v>0.15562453823735539</c:v>
                </c:pt>
                <c:pt idx="484">
                  <c:v>0.19878373475728461</c:v>
                </c:pt>
                <c:pt idx="485">
                  <c:v>0.18408138027917034</c:v>
                </c:pt>
                <c:pt idx="486">
                  <c:v>0.12965692950090307</c:v>
                </c:pt>
                <c:pt idx="487">
                  <c:v>0.1468710709433419</c:v>
                </c:pt>
                <c:pt idx="488">
                  <c:v>2.7175793432871416</c:v>
                </c:pt>
                <c:pt idx="489">
                  <c:v>3.2908053176774832</c:v>
                </c:pt>
                <c:pt idx="490">
                  <c:v>1.9868260661321759</c:v>
                </c:pt>
                <c:pt idx="491">
                  <c:v>2.9434706790229859</c:v>
                </c:pt>
                <c:pt idx="492">
                  <c:v>3.3627214264420116</c:v>
                </c:pt>
                <c:pt idx="493">
                  <c:v>1.8421522137245261</c:v>
                </c:pt>
                <c:pt idx="494">
                  <c:v>1.6487735550847691</c:v>
                </c:pt>
                <c:pt idx="495">
                  <c:v>2.9498016282126498</c:v>
                </c:pt>
                <c:pt idx="496">
                  <c:v>3.8585248973018555</c:v>
                </c:pt>
                <c:pt idx="497">
                  <c:v>3.672381118675212</c:v>
                </c:pt>
                <c:pt idx="498">
                  <c:v>3.9687784154374723</c:v>
                </c:pt>
                <c:pt idx="499">
                  <c:v>2.7737374970843311</c:v>
                </c:pt>
                <c:pt idx="500">
                  <c:v>2.5122717623350574</c:v>
                </c:pt>
                <c:pt idx="501">
                  <c:v>2.6871893259664557</c:v>
                </c:pt>
                <c:pt idx="502">
                  <c:v>2.6582090288371689</c:v>
                </c:pt>
                <c:pt idx="503">
                  <c:v>2.1669250851470583</c:v>
                </c:pt>
                <c:pt idx="504">
                  <c:v>3.1563511268161637</c:v>
                </c:pt>
                <c:pt idx="505">
                  <c:v>2.2714870024934979</c:v>
                </c:pt>
                <c:pt idx="506">
                  <c:v>2.3149334984040815</c:v>
                </c:pt>
                <c:pt idx="507">
                  <c:v>2.6663210175425371</c:v>
                </c:pt>
                <c:pt idx="508">
                  <c:v>2.0078951527307867</c:v>
                </c:pt>
                <c:pt idx="509">
                  <c:v>3.3353746158162507</c:v>
                </c:pt>
                <c:pt idx="510">
                  <c:v>3.6860224665711194</c:v>
                </c:pt>
                <c:pt idx="511">
                  <c:v>3.28904064531531</c:v>
                </c:pt>
                <c:pt idx="512">
                  <c:v>3.2219838024285434</c:v>
                </c:pt>
                <c:pt idx="513">
                  <c:v>2.8444012802599774</c:v>
                </c:pt>
                <c:pt idx="514">
                  <c:v>3.3058542029797064</c:v>
                </c:pt>
                <c:pt idx="515">
                  <c:v>4.038093828748214</c:v>
                </c:pt>
                <c:pt idx="516">
                  <c:v>3.6071849907178821</c:v>
                </c:pt>
                <c:pt idx="517">
                  <c:v>3.9641089845261237</c:v>
                </c:pt>
                <c:pt idx="518">
                  <c:v>4.342203995140836</c:v>
                </c:pt>
                <c:pt idx="519">
                  <c:v>3.9718550288769805</c:v>
                </c:pt>
                <c:pt idx="520">
                  <c:v>4.7508185916955172</c:v>
                </c:pt>
                <c:pt idx="521">
                  <c:v>3.9279677078967485</c:v>
                </c:pt>
                <c:pt idx="522">
                  <c:v>3.6238138037089076</c:v>
                </c:pt>
                <c:pt idx="523">
                  <c:v>4.1290757913512</c:v>
                </c:pt>
                <c:pt idx="524">
                  <c:v>4.4462286753676405</c:v>
                </c:pt>
                <c:pt idx="525">
                  <c:v>4.3562374293007231</c:v>
                </c:pt>
                <c:pt idx="526">
                  <c:v>4.1459186279255205</c:v>
                </c:pt>
                <c:pt idx="527">
                  <c:v>4.411672347114922</c:v>
                </c:pt>
                <c:pt idx="528">
                  <c:v>4.3849772680391643</c:v>
                </c:pt>
                <c:pt idx="529">
                  <c:v>3.8091930190969734</c:v>
                </c:pt>
                <c:pt idx="530">
                  <c:v>4.0988775716802071</c:v>
                </c:pt>
                <c:pt idx="531">
                  <c:v>4.1796010570230111</c:v>
                </c:pt>
                <c:pt idx="532">
                  <c:v>3.089182056521572</c:v>
                </c:pt>
                <c:pt idx="533">
                  <c:v>3.6056847789219049</c:v>
                </c:pt>
                <c:pt idx="534">
                  <c:v>3.7174724563255186</c:v>
                </c:pt>
                <c:pt idx="535">
                  <c:v>4.2638464795477748</c:v>
                </c:pt>
                <c:pt idx="536">
                  <c:v>4.3448768618195519</c:v>
                </c:pt>
                <c:pt idx="537">
                  <c:v>4.2189462561948528</c:v>
                </c:pt>
                <c:pt idx="538">
                  <c:v>4.815483037784154</c:v>
                </c:pt>
                <c:pt idx="539">
                  <c:v>5.2090818304770883</c:v>
                </c:pt>
                <c:pt idx="540">
                  <c:v>4.2242359034504471</c:v>
                </c:pt>
                <c:pt idx="541">
                  <c:v>3.6770090379365259</c:v>
                </c:pt>
                <c:pt idx="542">
                  <c:v>4.9307354305868794</c:v>
                </c:pt>
                <c:pt idx="543">
                  <c:v>4.4419396786312708</c:v>
                </c:pt>
                <c:pt idx="544">
                  <c:v>3.9969408725133637</c:v>
                </c:pt>
                <c:pt idx="545">
                  <c:v>3.6508180022650345</c:v>
                </c:pt>
                <c:pt idx="546">
                  <c:v>5.0784150259928538</c:v>
                </c:pt>
                <c:pt idx="547">
                  <c:v>5.1603088288052135</c:v>
                </c:pt>
                <c:pt idx="548">
                  <c:v>5.3632519936455187</c:v>
                </c:pt>
                <c:pt idx="549">
                  <c:v>5.5388845439925944</c:v>
                </c:pt>
                <c:pt idx="550">
                  <c:v>5.0489004426417008</c:v>
                </c:pt>
                <c:pt idx="551">
                  <c:v>5.1819685613911384</c:v>
                </c:pt>
                <c:pt idx="552">
                  <c:v>3.4769314126585869</c:v>
                </c:pt>
                <c:pt idx="553">
                  <c:v>3.3390863812371721</c:v>
                </c:pt>
                <c:pt idx="554">
                  <c:v>4.4509781454770909</c:v>
                </c:pt>
                <c:pt idx="555">
                  <c:v>4.4175903643995147</c:v>
                </c:pt>
                <c:pt idx="556">
                  <c:v>4.7621015055229519</c:v>
                </c:pt>
                <c:pt idx="557">
                  <c:v>4.8331833809099534</c:v>
                </c:pt>
                <c:pt idx="558">
                  <c:v>5.1474550835259034</c:v>
                </c:pt>
                <c:pt idx="559">
                  <c:v>4.4444365747997825</c:v>
                </c:pt>
                <c:pt idx="560">
                  <c:v>4.154374970844211</c:v>
                </c:pt>
                <c:pt idx="561">
                  <c:v>4.3856695518355373</c:v>
                </c:pt>
                <c:pt idx="562">
                  <c:v>4.3782405218811054</c:v>
                </c:pt>
                <c:pt idx="563">
                  <c:v>4.6146636278569044</c:v>
                </c:pt>
                <c:pt idx="564">
                  <c:v>4.4565907017106809</c:v>
                </c:pt>
                <c:pt idx="565">
                  <c:v>4.3856661721297474</c:v>
                </c:pt>
                <c:pt idx="566">
                  <c:v>4.5585086386905456</c:v>
                </c:pt>
                <c:pt idx="567">
                  <c:v>5.0131309788816969</c:v>
                </c:pt>
                <c:pt idx="568">
                  <c:v>4.3086235392401058</c:v>
                </c:pt>
                <c:pt idx="569">
                  <c:v>3.9753833592271319</c:v>
                </c:pt>
                <c:pt idx="570">
                  <c:v>4.0457230402672915</c:v>
                </c:pt>
                <c:pt idx="571">
                  <c:v>4.087687667829055</c:v>
                </c:pt>
                <c:pt idx="572">
                  <c:v>3.7454392842547892</c:v>
                </c:pt>
                <c:pt idx="573">
                  <c:v>4.4864865244293437</c:v>
                </c:pt>
                <c:pt idx="574">
                  <c:v>3.6827022385919621</c:v>
                </c:pt>
                <c:pt idx="575">
                  <c:v>4.5469371783869423</c:v>
                </c:pt>
                <c:pt idx="576">
                  <c:v>4.4553960861591095</c:v>
                </c:pt>
              </c:numCache>
            </c:numRef>
          </c:yVal>
        </c:ser>
        <c:axId val="188490880"/>
        <c:axId val="188492416"/>
      </c:scatterChart>
      <c:valAx>
        <c:axId val="188490880"/>
        <c:scaling>
          <c:orientation val="minMax"/>
        </c:scaling>
        <c:axPos val="b"/>
        <c:numFmt formatCode="[$-409]dd\-mmm\-yy;@" sourceLinked="1"/>
        <c:majorTickMark val="cross"/>
        <c:minorTickMark val="in"/>
        <c:tickLblPos val="nextTo"/>
        <c:spPr>
          <a:ln w="3175">
            <a:solidFill>
              <a:srgbClr val="000000"/>
            </a:solidFill>
            <a:prstDash val="solid"/>
          </a:ln>
        </c:spPr>
        <c:txPr>
          <a:bodyPr rot="-5400000" vert="horz"/>
          <a:lstStyle/>
          <a:p>
            <a:pPr>
              <a:defRPr/>
            </a:pPr>
            <a:endParaRPr lang="it-IT"/>
          </a:p>
        </c:txPr>
        <c:crossAx val="188492416"/>
        <c:crosses val="autoZero"/>
        <c:crossBetween val="midCat"/>
        <c:majorUnit val="60"/>
        <c:minorUnit val="30"/>
      </c:valAx>
      <c:valAx>
        <c:axId val="188492416"/>
        <c:scaling>
          <c:orientation val="minMax"/>
          <c:max val="12"/>
          <c:min val="0"/>
        </c:scaling>
        <c:axPos val="l"/>
        <c:majorGridlines>
          <c:spPr>
            <a:ln w="3175">
              <a:solidFill>
                <a:srgbClr val="000000"/>
              </a:solidFill>
              <a:prstDash val="solid"/>
            </a:ln>
          </c:spPr>
        </c:majorGridlines>
        <c:title>
          <c:tx>
            <c:rich>
              <a:bodyPr/>
              <a:lstStyle/>
              <a:p>
                <a:pPr>
                  <a:defRPr/>
                </a:pPr>
                <a:r>
                  <a:rPr lang="it-IT"/>
                  <a:t>ETo     (mm d</a:t>
                </a:r>
                <a:r>
                  <a:rPr lang="it-IT" baseline="30000"/>
                  <a:t>-1</a:t>
                </a:r>
                <a:r>
                  <a:rPr lang="it-IT"/>
                  <a:t>)</a:t>
                </a:r>
              </a:p>
            </c:rich>
          </c:tx>
          <c:layout>
            <c:manualLayout>
              <c:xMode val="edge"/>
              <c:yMode val="edge"/>
              <c:x val="1.2538532572440636E-2"/>
              <c:y val="0.36966067659160912"/>
            </c:manualLayout>
          </c:layout>
          <c:spPr>
            <a:noFill/>
            <a:ln w="25400">
              <a:noFill/>
            </a:ln>
          </c:spPr>
        </c:title>
        <c:numFmt formatCode="0.0" sourceLinked="0"/>
        <c:minorTickMark val="out"/>
        <c:tickLblPos val="nextTo"/>
        <c:spPr>
          <a:ln w="3175">
            <a:solidFill>
              <a:srgbClr val="000000"/>
            </a:solidFill>
            <a:prstDash val="solid"/>
          </a:ln>
        </c:spPr>
        <c:txPr>
          <a:bodyPr rot="0" vert="horz"/>
          <a:lstStyle/>
          <a:p>
            <a:pPr>
              <a:defRPr/>
            </a:pPr>
            <a:endParaRPr lang="it-IT"/>
          </a:p>
        </c:txPr>
        <c:crossAx val="188490880"/>
        <c:crosses val="autoZero"/>
        <c:crossBetween val="midCat"/>
        <c:majorUnit val="2"/>
        <c:minorUnit val="1"/>
      </c:valAx>
      <c:spPr>
        <a:solidFill>
          <a:srgbClr val="FFFFFF"/>
        </a:solidFill>
        <a:ln w="12700">
          <a:solidFill>
            <a:srgbClr val="808080"/>
          </a:solidFill>
          <a:prstDash val="solid"/>
        </a:ln>
      </c:spPr>
    </c:plotArea>
    <c:plotVisOnly val="1"/>
    <c:dispBlanksAs val="gap"/>
  </c:chart>
  <c:spPr>
    <a:noFill/>
    <a:ln w="9525">
      <a:noFill/>
    </a:ln>
  </c:spPr>
  <c:txPr>
    <a:bodyPr/>
    <a:lstStyle/>
    <a:p>
      <a:pPr>
        <a:defRPr sz="1200" b="1" i="0" u="none" strike="noStrike" baseline="0">
          <a:solidFill>
            <a:srgbClr val="000000"/>
          </a:solidFill>
          <a:latin typeface="Arial"/>
          <a:ea typeface="Arial"/>
          <a:cs typeface="Arial"/>
        </a:defRPr>
      </a:pPr>
      <a:endParaRPr lang="it-IT"/>
    </a:p>
  </c:txPr>
</c:chartSpace>
</file>

<file path=xl/charts/chart3.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584657331044521"/>
          <c:y val="7.9934747145187682E-2"/>
          <c:w val="0.81288390491472928"/>
          <c:h val="0.70737674558972818"/>
        </c:manualLayout>
      </c:layout>
      <c:scatterChart>
        <c:scatterStyle val="lineMarker"/>
        <c:ser>
          <c:idx val="2"/>
          <c:order val="0"/>
          <c:tx>
            <c:v>Soil Kc</c:v>
          </c:tx>
          <c:spPr>
            <a:ln w="22225">
              <a:solidFill>
                <a:srgbClr val="0000FF"/>
              </a:solidFill>
              <a:prstDash val="sysDot"/>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Input!$Q$22:$Q$598</c:f>
              <c:numCache>
                <c:formatCode>0.00</c:formatCode>
                <c:ptCount val="577"/>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1.1941612556785948</c:v>
                </c:pt>
                <c:pt idx="22">
                  <c:v>1.1622808421925483</c:v>
                </c:pt>
                <c:pt idx="23">
                  <c:v>1.1299395454670347</c:v>
                </c:pt>
                <c:pt idx="24">
                  <c:v>1.0981562452833342</c:v>
                </c:pt>
                <c:pt idx="25">
                  <c:v>1.076298145715858</c:v>
                </c:pt>
                <c:pt idx="26">
                  <c:v>1.0521712167022772</c:v>
                </c:pt>
                <c:pt idx="27">
                  <c:v>1.0260451547568075</c:v>
                </c:pt>
                <c:pt idx="28">
                  <c:v>0.9723960602827092</c:v>
                </c:pt>
                <c:pt idx="29">
                  <c:v>0.93869610247257984</c:v>
                </c:pt>
                <c:pt idx="30">
                  <c:v>0.91241421471945783</c:v>
                </c:pt>
                <c:pt idx="31">
                  <c:v>0.89374851326409566</c:v>
                </c:pt>
                <c:pt idx="32">
                  <c:v>0.86411453346412725</c:v>
                </c:pt>
                <c:pt idx="33">
                  <c:v>0.84386269931074487</c:v>
                </c:pt>
                <c:pt idx="34">
                  <c:v>0.83084105729461932</c:v>
                </c:pt>
                <c:pt idx="35">
                  <c:v>0.81859976866449546</c:v>
                </c:pt>
                <c:pt idx="36">
                  <c:v>0.80728777666225882</c:v>
                </c:pt>
                <c:pt idx="37">
                  <c:v>0.79280822757068892</c:v>
                </c:pt>
                <c:pt idx="38">
                  <c:v>0.77819158459372206</c:v>
                </c:pt>
                <c:pt idx="39">
                  <c:v>0.76585034198616775</c:v>
                </c:pt>
                <c:pt idx="40">
                  <c:v>0.75263436984456777</c:v>
                </c:pt>
                <c:pt idx="41">
                  <c:v>0.73641826550453549</c:v>
                </c:pt>
                <c:pt idx="42">
                  <c:v>0.72558409841706561</c:v>
                </c:pt>
                <c:pt idx="43">
                  <c:v>0.71395673516545777</c:v>
                </c:pt>
                <c:pt idx="44">
                  <c:v>0.70331894813263274</c:v>
                </c:pt>
                <c:pt idx="45">
                  <c:v>0.69783241254702233</c:v>
                </c:pt>
                <c:pt idx="46">
                  <c:v>0.6937147895644219</c:v>
                </c:pt>
                <c:pt idx="47">
                  <c:v>0.68313722002890864</c:v>
                </c:pt>
                <c:pt idx="48">
                  <c:v>0.6767068641168964</c:v>
                </c:pt>
                <c:pt idx="49">
                  <c:v>0.67202407571219658</c:v>
                </c:pt>
                <c:pt idx="50">
                  <c:v>0.6629372739391397</c:v>
                </c:pt>
                <c:pt idx="51">
                  <c:v>0.65154463023948583</c:v>
                </c:pt>
                <c:pt idx="52">
                  <c:v>0.6441163939208342</c:v>
                </c:pt>
                <c:pt idx="53">
                  <c:v>0.62784938410928248</c:v>
                </c:pt>
                <c:pt idx="54">
                  <c:v>0.61581372451942351</c:v>
                </c:pt>
                <c:pt idx="55">
                  <c:v>0.60473960664235793</c:v>
                </c:pt>
                <c:pt idx="56">
                  <c:v>0.59180825322970121</c:v>
                </c:pt>
                <c:pt idx="57">
                  <c:v>0.58391183048470263</c:v>
                </c:pt>
                <c:pt idx="58">
                  <c:v>0.57158362077858915</c:v>
                </c:pt>
                <c:pt idx="59">
                  <c:v>0.55402847675823153</c:v>
                </c:pt>
                <c:pt idx="60">
                  <c:v>0.54234625170511996</c:v>
                </c:pt>
                <c:pt idx="61">
                  <c:v>0.52978817499532449</c:v>
                </c:pt>
                <c:pt idx="62">
                  <c:v>0.51904447708308654</c:v>
                </c:pt>
                <c:pt idx="63">
                  <c:v>0.50875914684985934</c:v>
                </c:pt>
                <c:pt idx="64">
                  <c:v>0.49608836633820408</c:v>
                </c:pt>
                <c:pt idx="65">
                  <c:v>0.48188196934159794</c:v>
                </c:pt>
                <c:pt idx="66">
                  <c:v>0.47276009782704204</c:v>
                </c:pt>
                <c:pt idx="67">
                  <c:v>0.46367265968794108</c:v>
                </c:pt>
                <c:pt idx="68">
                  <c:v>0.45363340786099643</c:v>
                </c:pt>
                <c:pt idx="69">
                  <c:v>0.44575531381048356</c:v>
                </c:pt>
                <c:pt idx="70">
                  <c:v>0.43455579275478146</c:v>
                </c:pt>
                <c:pt idx="71">
                  <c:v>0.42493696935115022</c:v>
                </c:pt>
                <c:pt idx="72">
                  <c:v>0.41690374107938399</c:v>
                </c:pt>
                <c:pt idx="73">
                  <c:v>0.40919657499845885</c:v>
                </c:pt>
                <c:pt idx="74">
                  <c:v>0.40402536660417865</c:v>
                </c:pt>
                <c:pt idx="75">
                  <c:v>0.39730668092167531</c:v>
                </c:pt>
                <c:pt idx="76">
                  <c:v>0.3907259543978604</c:v>
                </c:pt>
                <c:pt idx="77">
                  <c:v>0.3836582129060242</c:v>
                </c:pt>
                <c:pt idx="78">
                  <c:v>0.37821698403486836</c:v>
                </c:pt>
                <c:pt idx="79">
                  <c:v>0.376224547981236</c:v>
                </c:pt>
                <c:pt idx="80">
                  <c:v>0.37049172000769603</c:v>
                </c:pt>
                <c:pt idx="81">
                  <c:v>0.36340014808366755</c:v>
                </c:pt>
                <c:pt idx="82">
                  <c:v>0.36154039782763908</c:v>
                </c:pt>
                <c:pt idx="83">
                  <c:v>0.35595353732797685</c:v>
                </c:pt>
                <c:pt idx="84">
                  <c:v>0.34970318513384113</c:v>
                </c:pt>
                <c:pt idx="85">
                  <c:v>0.34616313249733893</c:v>
                </c:pt>
                <c:pt idx="86">
                  <c:v>0.34393283062989832</c:v>
                </c:pt>
                <c:pt idx="87">
                  <c:v>0.33648456272740557</c:v>
                </c:pt>
                <c:pt idx="88">
                  <c:v>0.33017473655752538</c:v>
                </c:pt>
                <c:pt idx="89">
                  <c:v>0.32323703960548683</c:v>
                </c:pt>
                <c:pt idx="90">
                  <c:v>0.32075109069551705</c:v>
                </c:pt>
                <c:pt idx="91">
                  <c:v>0.31659809890221891</c:v>
                </c:pt>
                <c:pt idx="92">
                  <c:v>0.31191738093638144</c:v>
                </c:pt>
                <c:pt idx="93">
                  <c:v>0.30693989613585942</c:v>
                </c:pt>
                <c:pt idx="94">
                  <c:v>1.2</c:v>
                </c:pt>
                <c:pt idx="95">
                  <c:v>1.2</c:v>
                </c:pt>
                <c:pt idx="96">
                  <c:v>1.2</c:v>
                </c:pt>
                <c:pt idx="97">
                  <c:v>1.1195239198946183</c:v>
                </c:pt>
                <c:pt idx="98">
                  <c:v>1.2</c:v>
                </c:pt>
                <c:pt idx="99">
                  <c:v>1.2</c:v>
                </c:pt>
                <c:pt idx="100">
                  <c:v>1.2</c:v>
                </c:pt>
                <c:pt idx="101">
                  <c:v>1.2</c:v>
                </c:pt>
                <c:pt idx="102">
                  <c:v>1.2</c:v>
                </c:pt>
                <c:pt idx="103">
                  <c:v>1.2</c:v>
                </c:pt>
                <c:pt idx="104">
                  <c:v>1.2</c:v>
                </c:pt>
                <c:pt idx="105">
                  <c:v>1.2</c:v>
                </c:pt>
                <c:pt idx="106">
                  <c:v>1.2</c:v>
                </c:pt>
                <c:pt idx="107">
                  <c:v>1.2</c:v>
                </c:pt>
                <c:pt idx="108">
                  <c:v>1.2</c:v>
                </c:pt>
                <c:pt idx="109">
                  <c:v>1.0059033012851073</c:v>
                </c:pt>
                <c:pt idx="110">
                  <c:v>0.86298278178263155</c:v>
                </c:pt>
                <c:pt idx="111">
                  <c:v>0.76081040825379398</c:v>
                </c:pt>
                <c:pt idx="112">
                  <c:v>0.68519023934204704</c:v>
                </c:pt>
                <c:pt idx="113">
                  <c:v>0.63529748969853606</c:v>
                </c:pt>
                <c:pt idx="114">
                  <c:v>0.60377632549344329</c:v>
                </c:pt>
                <c:pt idx="115">
                  <c:v>0.5986959449707141</c:v>
                </c:pt>
                <c:pt idx="116">
                  <c:v>0.59526716263057367</c:v>
                </c:pt>
                <c:pt idx="117">
                  <c:v>0.59277586936260729</c:v>
                </c:pt>
                <c:pt idx="118">
                  <c:v>0.5896377813463185</c:v>
                </c:pt>
                <c:pt idx="119">
                  <c:v>1.2</c:v>
                </c:pt>
                <c:pt idx="120">
                  <c:v>1.2</c:v>
                </c:pt>
                <c:pt idx="121">
                  <c:v>1.2</c:v>
                </c:pt>
                <c:pt idx="122">
                  <c:v>1.2</c:v>
                </c:pt>
                <c:pt idx="123">
                  <c:v>1.0668798638098937</c:v>
                </c:pt>
                <c:pt idx="124">
                  <c:v>0.92347896741995372</c:v>
                </c:pt>
                <c:pt idx="125">
                  <c:v>0.78753836206299899</c:v>
                </c:pt>
                <c:pt idx="126">
                  <c:v>0.68691257685441853</c:v>
                </c:pt>
                <c:pt idx="127">
                  <c:v>0.64566815223773377</c:v>
                </c:pt>
                <c:pt idx="128">
                  <c:v>0.61433339725239178</c:v>
                </c:pt>
                <c:pt idx="129">
                  <c:v>0.56792238279984364</c:v>
                </c:pt>
                <c:pt idx="130">
                  <c:v>0.52036023553432464</c:v>
                </c:pt>
                <c:pt idx="131">
                  <c:v>0.48450383108008277</c:v>
                </c:pt>
                <c:pt idx="132">
                  <c:v>0.45290128263061408</c:v>
                </c:pt>
                <c:pt idx="133">
                  <c:v>1.2</c:v>
                </c:pt>
                <c:pt idx="134">
                  <c:v>1.154070925876401</c:v>
                </c:pt>
                <c:pt idx="135">
                  <c:v>0.93352100589607068</c:v>
                </c:pt>
                <c:pt idx="136">
                  <c:v>0.80472162016369475</c:v>
                </c:pt>
                <c:pt idx="137">
                  <c:v>0.73126595443168185</c:v>
                </c:pt>
                <c:pt idx="138">
                  <c:v>0.65264376637865895</c:v>
                </c:pt>
                <c:pt idx="139">
                  <c:v>0.60932312588773763</c:v>
                </c:pt>
                <c:pt idx="140">
                  <c:v>0.57286545191622684</c:v>
                </c:pt>
                <c:pt idx="141">
                  <c:v>0.53790179580368924</c:v>
                </c:pt>
                <c:pt idx="142">
                  <c:v>0.51535634623545856</c:v>
                </c:pt>
                <c:pt idx="143">
                  <c:v>0.48335731611092797</c:v>
                </c:pt>
                <c:pt idx="144">
                  <c:v>0.45400170760758446</c:v>
                </c:pt>
                <c:pt idx="145">
                  <c:v>0.43180347693374954</c:v>
                </c:pt>
                <c:pt idx="146">
                  <c:v>0.41288714767270618</c:v>
                </c:pt>
                <c:pt idx="147">
                  <c:v>0.39806745792385134</c:v>
                </c:pt>
                <c:pt idx="148">
                  <c:v>0.38266380828212304</c:v>
                </c:pt>
                <c:pt idx="149">
                  <c:v>0.36603094165114475</c:v>
                </c:pt>
                <c:pt idx="150">
                  <c:v>0.3528414981278617</c:v>
                </c:pt>
                <c:pt idx="151">
                  <c:v>0.33984447756457165</c:v>
                </c:pt>
                <c:pt idx="152">
                  <c:v>0.32710678946778371</c:v>
                </c:pt>
                <c:pt idx="153">
                  <c:v>0.31660637515065854</c:v>
                </c:pt>
                <c:pt idx="154">
                  <c:v>0.30525969344097004</c:v>
                </c:pt>
                <c:pt idx="155">
                  <c:v>0.29673005456743906</c:v>
                </c:pt>
                <c:pt idx="156">
                  <c:v>0.28945201136159576</c:v>
                </c:pt>
                <c:pt idx="157">
                  <c:v>0.28176629546315574</c:v>
                </c:pt>
                <c:pt idx="158">
                  <c:v>0.27412592177024614</c:v>
                </c:pt>
                <c:pt idx="159">
                  <c:v>0.26720157085103119</c:v>
                </c:pt>
                <c:pt idx="160">
                  <c:v>0.26106740996520228</c:v>
                </c:pt>
                <c:pt idx="161">
                  <c:v>0.25497410228495532</c:v>
                </c:pt>
                <c:pt idx="162">
                  <c:v>0.24931391225934901</c:v>
                </c:pt>
                <c:pt idx="163">
                  <c:v>0.24468555043668466</c:v>
                </c:pt>
                <c:pt idx="164">
                  <c:v>0.23997679560559929</c:v>
                </c:pt>
                <c:pt idx="165">
                  <c:v>0.23543945142778899</c:v>
                </c:pt>
                <c:pt idx="166">
                  <c:v>0.23224334373123465</c:v>
                </c:pt>
                <c:pt idx="167">
                  <c:v>0.22866938876054976</c:v>
                </c:pt>
                <c:pt idx="168">
                  <c:v>0.22514879129494822</c:v>
                </c:pt>
                <c:pt idx="169">
                  <c:v>0.22130048212665185</c:v>
                </c:pt>
                <c:pt idx="170">
                  <c:v>0.21757136953814696</c:v>
                </c:pt>
                <c:pt idx="171">
                  <c:v>0.21412156224438375</c:v>
                </c:pt>
                <c:pt idx="172">
                  <c:v>0.21037385260207994</c:v>
                </c:pt>
                <c:pt idx="173">
                  <c:v>0.20652923018687364</c:v>
                </c:pt>
                <c:pt idx="174">
                  <c:v>0.20355867627549726</c:v>
                </c:pt>
                <c:pt idx="175">
                  <c:v>0.20107265572040134</c:v>
                </c:pt>
                <c:pt idx="176">
                  <c:v>0.19787487019455571</c:v>
                </c:pt>
                <c:pt idx="177">
                  <c:v>0.19511850813398712</c:v>
                </c:pt>
                <c:pt idx="178">
                  <c:v>0.19273237731476053</c:v>
                </c:pt>
                <c:pt idx="179">
                  <c:v>0.19062618489896585</c:v>
                </c:pt>
                <c:pt idx="180">
                  <c:v>0.18780578222167701</c:v>
                </c:pt>
                <c:pt idx="181">
                  <c:v>0.18506193675206847</c:v>
                </c:pt>
                <c:pt idx="182">
                  <c:v>0.18233145507011891</c:v>
                </c:pt>
                <c:pt idx="183">
                  <c:v>0.17963225456947426</c:v>
                </c:pt>
                <c:pt idx="184">
                  <c:v>0.17727146722900947</c:v>
                </c:pt>
                <c:pt idx="185">
                  <c:v>0.1749408467502018</c:v>
                </c:pt>
                <c:pt idx="186">
                  <c:v>0.17342662815905818</c:v>
                </c:pt>
                <c:pt idx="187">
                  <c:v>1.2</c:v>
                </c:pt>
                <c:pt idx="188">
                  <c:v>0.94478137284922836</c:v>
                </c:pt>
                <c:pt idx="189">
                  <c:v>0.74931472832037815</c:v>
                </c:pt>
                <c:pt idx="190">
                  <c:v>0.63219912859381167</c:v>
                </c:pt>
                <c:pt idx="191">
                  <c:v>0.55551109598408521</c:v>
                </c:pt>
                <c:pt idx="192">
                  <c:v>0.4979605044186447</c:v>
                </c:pt>
                <c:pt idx="193">
                  <c:v>0.46024353669543</c:v>
                </c:pt>
                <c:pt idx="194">
                  <c:v>0.43165648806859297</c:v>
                </c:pt>
                <c:pt idx="195">
                  <c:v>0.40650762786053624</c:v>
                </c:pt>
                <c:pt idx="196">
                  <c:v>0.38526170533750487</c:v>
                </c:pt>
                <c:pt idx="197">
                  <c:v>0.36606302350823255</c:v>
                </c:pt>
                <c:pt idx="198">
                  <c:v>0.34996194077143877</c:v>
                </c:pt>
                <c:pt idx="199">
                  <c:v>0.33599122989542146</c:v>
                </c:pt>
                <c:pt idx="200">
                  <c:v>0.32307847046012461</c:v>
                </c:pt>
                <c:pt idx="201">
                  <c:v>0.31043594464303675</c:v>
                </c:pt>
                <c:pt idx="202">
                  <c:v>0.30065886344530462</c:v>
                </c:pt>
                <c:pt idx="203">
                  <c:v>0.29239715402664801</c:v>
                </c:pt>
                <c:pt idx="204">
                  <c:v>0.28463901291549959</c:v>
                </c:pt>
                <c:pt idx="205">
                  <c:v>0.27738438476279165</c:v>
                </c:pt>
                <c:pt idx="206">
                  <c:v>0.27119316576660024</c:v>
                </c:pt>
                <c:pt idx="207">
                  <c:v>0.26428582020730629</c:v>
                </c:pt>
                <c:pt idx="208">
                  <c:v>0.25898671584316968</c:v>
                </c:pt>
                <c:pt idx="209">
                  <c:v>0.25285559191667994</c:v>
                </c:pt>
                <c:pt idx="210">
                  <c:v>0.24724372300917608</c:v>
                </c:pt>
                <c:pt idx="211">
                  <c:v>0.24266853629869425</c:v>
                </c:pt>
                <c:pt idx="212">
                  <c:v>0.23851258698210129</c:v>
                </c:pt>
                <c:pt idx="213">
                  <c:v>0.23380121427771575</c:v>
                </c:pt>
                <c:pt idx="214">
                  <c:v>0.23064050518903428</c:v>
                </c:pt>
                <c:pt idx="215">
                  <c:v>0.22625898281538345</c:v>
                </c:pt>
                <c:pt idx="216">
                  <c:v>0.22240886497661472</c:v>
                </c:pt>
                <c:pt idx="217">
                  <c:v>0.21892896360654909</c:v>
                </c:pt>
                <c:pt idx="218">
                  <c:v>0.21519568785508258</c:v>
                </c:pt>
                <c:pt idx="219">
                  <c:v>0.21143652877284819</c:v>
                </c:pt>
                <c:pt idx="220">
                  <c:v>0.20872829480712593</c:v>
                </c:pt>
                <c:pt idx="221">
                  <c:v>0.20572785803280524</c:v>
                </c:pt>
                <c:pt idx="222">
                  <c:v>0.20302690670637175</c:v>
                </c:pt>
                <c:pt idx="223">
                  <c:v>0.20075966005049278</c:v>
                </c:pt>
                <c:pt idx="224">
                  <c:v>0.19860237479840998</c:v>
                </c:pt>
                <c:pt idx="225">
                  <c:v>0.19610366740831761</c:v>
                </c:pt>
                <c:pt idx="226">
                  <c:v>0.19379981147686801</c:v>
                </c:pt>
                <c:pt idx="227">
                  <c:v>0.19292346557313289</c:v>
                </c:pt>
                <c:pt idx="228">
                  <c:v>0.19155449075610292</c:v>
                </c:pt>
                <c:pt idx="229">
                  <c:v>0.18919383629916686</c:v>
                </c:pt>
                <c:pt idx="230">
                  <c:v>0.18753343800489136</c:v>
                </c:pt>
                <c:pt idx="231">
                  <c:v>0.18536630905038032</c:v>
                </c:pt>
                <c:pt idx="232">
                  <c:v>0.18317778806115109</c:v>
                </c:pt>
                <c:pt idx="233">
                  <c:v>0.18103643939801609</c:v>
                </c:pt>
                <c:pt idx="234">
                  <c:v>0.17916069869000215</c:v>
                </c:pt>
                <c:pt idx="235">
                  <c:v>0.17768378369379079</c:v>
                </c:pt>
                <c:pt idx="236">
                  <c:v>0.17594314241894723</c:v>
                </c:pt>
                <c:pt idx="237">
                  <c:v>0.17426622671069714</c:v>
                </c:pt>
                <c:pt idx="238">
                  <c:v>0.17285623070518508</c:v>
                </c:pt>
                <c:pt idx="239">
                  <c:v>0.17184510563594038</c:v>
                </c:pt>
                <c:pt idx="240">
                  <c:v>0.17048771832224113</c:v>
                </c:pt>
                <c:pt idx="241">
                  <c:v>0.16901055587564506</c:v>
                </c:pt>
                <c:pt idx="242">
                  <c:v>0.16753340430433422</c:v>
                </c:pt>
                <c:pt idx="243">
                  <c:v>0.16633449783390106</c:v>
                </c:pt>
                <c:pt idx="244">
                  <c:v>1.2</c:v>
                </c:pt>
                <c:pt idx="245">
                  <c:v>1.164971072166771</c:v>
                </c:pt>
                <c:pt idx="246">
                  <c:v>1.2</c:v>
                </c:pt>
                <c:pt idx="247">
                  <c:v>1.2</c:v>
                </c:pt>
                <c:pt idx="248">
                  <c:v>1.1375015013948462</c:v>
                </c:pt>
                <c:pt idx="249">
                  <c:v>0.93104368732006482</c:v>
                </c:pt>
                <c:pt idx="250">
                  <c:v>0.82627075577701126</c:v>
                </c:pt>
                <c:pt idx="251">
                  <c:v>0.72497412661926508</c:v>
                </c:pt>
                <c:pt idx="252">
                  <c:v>0.65302984032757672</c:v>
                </c:pt>
                <c:pt idx="253">
                  <c:v>0.60351261222789609</c:v>
                </c:pt>
                <c:pt idx="254">
                  <c:v>0.55940948884696218</c:v>
                </c:pt>
                <c:pt idx="255">
                  <c:v>1.2</c:v>
                </c:pt>
                <c:pt idx="256">
                  <c:v>1.2</c:v>
                </c:pt>
                <c:pt idx="257">
                  <c:v>1.2</c:v>
                </c:pt>
                <c:pt idx="258">
                  <c:v>1.0407155047635945</c:v>
                </c:pt>
                <c:pt idx="259">
                  <c:v>0.92007475769731828</c:v>
                </c:pt>
                <c:pt idx="260">
                  <c:v>0.84320726572590232</c:v>
                </c:pt>
                <c:pt idx="261">
                  <c:v>0.76239326352819414</c:v>
                </c:pt>
                <c:pt idx="262">
                  <c:v>0.70178387622993943</c:v>
                </c:pt>
                <c:pt idx="263">
                  <c:v>0.65961538820870136</c:v>
                </c:pt>
                <c:pt idx="264">
                  <c:v>0.62435826440451059</c:v>
                </c:pt>
                <c:pt idx="265">
                  <c:v>0.59798060965479261</c:v>
                </c:pt>
                <c:pt idx="266">
                  <c:v>0.56939085226491981</c:v>
                </c:pt>
                <c:pt idx="267">
                  <c:v>0.56215002653106416</c:v>
                </c:pt>
                <c:pt idx="268">
                  <c:v>0.54324636739436305</c:v>
                </c:pt>
                <c:pt idx="269">
                  <c:v>0.51763008417344325</c:v>
                </c:pt>
                <c:pt idx="270">
                  <c:v>0.49662190218803759</c:v>
                </c:pt>
                <c:pt idx="271">
                  <c:v>0.48072114497640106</c:v>
                </c:pt>
                <c:pt idx="272">
                  <c:v>0.46803082933592427</c:v>
                </c:pt>
                <c:pt idx="273">
                  <c:v>0.46206968344766386</c:v>
                </c:pt>
                <c:pt idx="274">
                  <c:v>0.45294081358569399</c:v>
                </c:pt>
                <c:pt idx="275">
                  <c:v>0.44574534661028165</c:v>
                </c:pt>
                <c:pt idx="276">
                  <c:v>0.43479822957411718</c:v>
                </c:pt>
                <c:pt idx="277">
                  <c:v>0.42402196227659233</c:v>
                </c:pt>
                <c:pt idx="278">
                  <c:v>0.41432799498012124</c:v>
                </c:pt>
                <c:pt idx="279">
                  <c:v>0.40826714492600097</c:v>
                </c:pt>
                <c:pt idx="280">
                  <c:v>0.39877909863641331</c:v>
                </c:pt>
                <c:pt idx="281">
                  <c:v>0.39138816761525747</c:v>
                </c:pt>
                <c:pt idx="282">
                  <c:v>1.2</c:v>
                </c:pt>
                <c:pt idx="283">
                  <c:v>1.2</c:v>
                </c:pt>
                <c:pt idx="284">
                  <c:v>1.2</c:v>
                </c:pt>
                <c:pt idx="285">
                  <c:v>1.2</c:v>
                </c:pt>
                <c:pt idx="286">
                  <c:v>1.2</c:v>
                </c:pt>
                <c:pt idx="287">
                  <c:v>1.2</c:v>
                </c:pt>
                <c:pt idx="288">
                  <c:v>1.2</c:v>
                </c:pt>
                <c:pt idx="289">
                  <c:v>1.2</c:v>
                </c:pt>
                <c:pt idx="290">
                  <c:v>1.2</c:v>
                </c:pt>
                <c:pt idx="291">
                  <c:v>1.2</c:v>
                </c:pt>
                <c:pt idx="292">
                  <c:v>1.2</c:v>
                </c:pt>
                <c:pt idx="293">
                  <c:v>1.2</c:v>
                </c:pt>
                <c:pt idx="294">
                  <c:v>1.148451010170253</c:v>
                </c:pt>
                <c:pt idx="295">
                  <c:v>1.1298018138898229</c:v>
                </c:pt>
                <c:pt idx="296">
                  <c:v>1.063619805822321</c:v>
                </c:pt>
                <c:pt idx="297">
                  <c:v>0.99528069299818656</c:v>
                </c:pt>
                <c:pt idx="298">
                  <c:v>0.94242877343915288</c:v>
                </c:pt>
                <c:pt idx="299">
                  <c:v>1.2</c:v>
                </c:pt>
                <c:pt idx="300">
                  <c:v>1.2</c:v>
                </c:pt>
                <c:pt idx="301">
                  <c:v>1.2</c:v>
                </c:pt>
                <c:pt idx="302">
                  <c:v>1.2</c:v>
                </c:pt>
                <c:pt idx="303">
                  <c:v>1.2</c:v>
                </c:pt>
                <c:pt idx="304">
                  <c:v>1.2</c:v>
                </c:pt>
                <c:pt idx="305">
                  <c:v>1.2</c:v>
                </c:pt>
                <c:pt idx="306">
                  <c:v>1.2</c:v>
                </c:pt>
                <c:pt idx="307">
                  <c:v>1.2</c:v>
                </c:pt>
                <c:pt idx="308">
                  <c:v>1.2</c:v>
                </c:pt>
                <c:pt idx="309">
                  <c:v>1.2</c:v>
                </c:pt>
                <c:pt idx="310">
                  <c:v>1.2</c:v>
                </c:pt>
                <c:pt idx="311">
                  <c:v>1.2</c:v>
                </c:pt>
                <c:pt idx="312">
                  <c:v>1.1687076930242908</c:v>
                </c:pt>
                <c:pt idx="313">
                  <c:v>1.1146787811191072</c:v>
                </c:pt>
                <c:pt idx="314">
                  <c:v>1.0695623255872708</c:v>
                </c:pt>
                <c:pt idx="315">
                  <c:v>1.2</c:v>
                </c:pt>
                <c:pt idx="316">
                  <c:v>1.2</c:v>
                </c:pt>
                <c:pt idx="317">
                  <c:v>1.2</c:v>
                </c:pt>
                <c:pt idx="318">
                  <c:v>1.2</c:v>
                </c:pt>
                <c:pt idx="319">
                  <c:v>1.2</c:v>
                </c:pt>
                <c:pt idx="320">
                  <c:v>1.2</c:v>
                </c:pt>
                <c:pt idx="321">
                  <c:v>1.2</c:v>
                </c:pt>
                <c:pt idx="322">
                  <c:v>1.2</c:v>
                </c:pt>
                <c:pt idx="323">
                  <c:v>1.2</c:v>
                </c:pt>
                <c:pt idx="324">
                  <c:v>1.2</c:v>
                </c:pt>
                <c:pt idx="325">
                  <c:v>1.2</c:v>
                </c:pt>
                <c:pt idx="326">
                  <c:v>1.2</c:v>
                </c:pt>
                <c:pt idx="327">
                  <c:v>1.2</c:v>
                </c:pt>
                <c:pt idx="328">
                  <c:v>1.2</c:v>
                </c:pt>
                <c:pt idx="329">
                  <c:v>1.2</c:v>
                </c:pt>
                <c:pt idx="330">
                  <c:v>1.2</c:v>
                </c:pt>
                <c:pt idx="331">
                  <c:v>1.2</c:v>
                </c:pt>
                <c:pt idx="332">
                  <c:v>1.2</c:v>
                </c:pt>
                <c:pt idx="333">
                  <c:v>1.2</c:v>
                </c:pt>
                <c:pt idx="334">
                  <c:v>1.2</c:v>
                </c:pt>
                <c:pt idx="335">
                  <c:v>1.2</c:v>
                </c:pt>
                <c:pt idx="336">
                  <c:v>1.2</c:v>
                </c:pt>
                <c:pt idx="337">
                  <c:v>1.2</c:v>
                </c:pt>
                <c:pt idx="338">
                  <c:v>1.2</c:v>
                </c:pt>
                <c:pt idx="339">
                  <c:v>1.2</c:v>
                </c:pt>
                <c:pt idx="340">
                  <c:v>1.2</c:v>
                </c:pt>
                <c:pt idx="341">
                  <c:v>1.2</c:v>
                </c:pt>
                <c:pt idx="342">
                  <c:v>1.2</c:v>
                </c:pt>
                <c:pt idx="343">
                  <c:v>1.2</c:v>
                </c:pt>
                <c:pt idx="344">
                  <c:v>1.2</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1.1796805363864256</c:v>
                </c:pt>
                <c:pt idx="378">
                  <c:v>1.1573086784981783</c:v>
                </c:pt>
                <c:pt idx="379">
                  <c:v>1.1387590744471312</c:v>
                </c:pt>
                <c:pt idx="380">
                  <c:v>1.2</c:v>
                </c:pt>
                <c:pt idx="381">
                  <c:v>1.2</c:v>
                </c:pt>
                <c:pt idx="382">
                  <c:v>1.2</c:v>
                </c:pt>
                <c:pt idx="383">
                  <c:v>1.2</c:v>
                </c:pt>
                <c:pt idx="384">
                  <c:v>1.2</c:v>
                </c:pt>
                <c:pt idx="385">
                  <c:v>1.2</c:v>
                </c:pt>
                <c:pt idx="386">
                  <c:v>1.2</c:v>
                </c:pt>
                <c:pt idx="387">
                  <c:v>1.2</c:v>
                </c:pt>
                <c:pt idx="388">
                  <c:v>1.2</c:v>
                </c:pt>
                <c:pt idx="389">
                  <c:v>1.2</c:v>
                </c:pt>
                <c:pt idx="390">
                  <c:v>1.2</c:v>
                </c:pt>
                <c:pt idx="391">
                  <c:v>1.2</c:v>
                </c:pt>
                <c:pt idx="392">
                  <c:v>1.2</c:v>
                </c:pt>
                <c:pt idx="393">
                  <c:v>1.2</c:v>
                </c:pt>
                <c:pt idx="394">
                  <c:v>1.2</c:v>
                </c:pt>
                <c:pt idx="395">
                  <c:v>1.2</c:v>
                </c:pt>
                <c:pt idx="396">
                  <c:v>1.2</c:v>
                </c:pt>
                <c:pt idx="397">
                  <c:v>1.2</c:v>
                </c:pt>
                <c:pt idx="398">
                  <c:v>1.2</c:v>
                </c:pt>
                <c:pt idx="399">
                  <c:v>1.2</c:v>
                </c:pt>
                <c:pt idx="400">
                  <c:v>1.2</c:v>
                </c:pt>
                <c:pt idx="401">
                  <c:v>1.2</c:v>
                </c:pt>
                <c:pt idx="402">
                  <c:v>1.2</c:v>
                </c:pt>
                <c:pt idx="403">
                  <c:v>1.2</c:v>
                </c:pt>
                <c:pt idx="404">
                  <c:v>1.2</c:v>
                </c:pt>
                <c:pt idx="405">
                  <c:v>1.2</c:v>
                </c:pt>
                <c:pt idx="406">
                  <c:v>1.2</c:v>
                </c:pt>
                <c:pt idx="407">
                  <c:v>1.2</c:v>
                </c:pt>
                <c:pt idx="408">
                  <c:v>1.2</c:v>
                </c:pt>
                <c:pt idx="409">
                  <c:v>1.2</c:v>
                </c:pt>
                <c:pt idx="410">
                  <c:v>1.1723922989712949</c:v>
                </c:pt>
                <c:pt idx="411">
                  <c:v>1.2</c:v>
                </c:pt>
                <c:pt idx="412">
                  <c:v>1.2</c:v>
                </c:pt>
                <c:pt idx="413">
                  <c:v>1.2</c:v>
                </c:pt>
                <c:pt idx="414">
                  <c:v>1.2</c:v>
                </c:pt>
                <c:pt idx="415">
                  <c:v>1.2</c:v>
                </c:pt>
                <c:pt idx="416">
                  <c:v>1.2</c:v>
                </c:pt>
                <c:pt idx="417">
                  <c:v>1.2</c:v>
                </c:pt>
                <c:pt idx="418">
                  <c:v>1.2</c:v>
                </c:pt>
                <c:pt idx="419">
                  <c:v>1.2</c:v>
                </c:pt>
                <c:pt idx="420">
                  <c:v>1.2</c:v>
                </c:pt>
                <c:pt idx="421">
                  <c:v>1.2</c:v>
                </c:pt>
                <c:pt idx="422">
                  <c:v>1.2</c:v>
                </c:pt>
                <c:pt idx="423">
                  <c:v>1.2</c:v>
                </c:pt>
                <c:pt idx="424">
                  <c:v>1.2</c:v>
                </c:pt>
                <c:pt idx="425">
                  <c:v>1.2</c:v>
                </c:pt>
                <c:pt idx="426">
                  <c:v>1.2</c:v>
                </c:pt>
                <c:pt idx="427">
                  <c:v>1.1407459978759029</c:v>
                </c:pt>
                <c:pt idx="428">
                  <c:v>1.2</c:v>
                </c:pt>
                <c:pt idx="429">
                  <c:v>1.2</c:v>
                </c:pt>
                <c:pt idx="430">
                  <c:v>1.2</c:v>
                </c:pt>
                <c:pt idx="431">
                  <c:v>1.2</c:v>
                </c:pt>
                <c:pt idx="432">
                  <c:v>1.0901822956880152</c:v>
                </c:pt>
                <c:pt idx="433">
                  <c:v>0.99506540894290429</c:v>
                </c:pt>
                <c:pt idx="434">
                  <c:v>0.90950346904360713</c:v>
                </c:pt>
                <c:pt idx="435">
                  <c:v>0.85276536841163264</c:v>
                </c:pt>
                <c:pt idx="436">
                  <c:v>0.78374291575125643</c:v>
                </c:pt>
                <c:pt idx="437">
                  <c:v>0.73282751184573547</c:v>
                </c:pt>
                <c:pt idx="438">
                  <c:v>0.69494524495401178</c:v>
                </c:pt>
                <c:pt idx="439">
                  <c:v>0.66186525312081268</c:v>
                </c:pt>
                <c:pt idx="440">
                  <c:v>0.64121145973662419</c:v>
                </c:pt>
                <c:pt idx="441">
                  <c:v>0.61599639515260707</c:v>
                </c:pt>
                <c:pt idx="442">
                  <c:v>0.59287526252092504</c:v>
                </c:pt>
                <c:pt idx="443">
                  <c:v>1.2</c:v>
                </c:pt>
                <c:pt idx="444">
                  <c:v>1.2</c:v>
                </c:pt>
                <c:pt idx="445">
                  <c:v>1.2</c:v>
                </c:pt>
                <c:pt idx="446">
                  <c:v>1.2</c:v>
                </c:pt>
                <c:pt idx="447">
                  <c:v>1.2</c:v>
                </c:pt>
                <c:pt idx="448">
                  <c:v>1.2</c:v>
                </c:pt>
                <c:pt idx="449">
                  <c:v>1.2</c:v>
                </c:pt>
                <c:pt idx="450">
                  <c:v>1.1140449743874761</c:v>
                </c:pt>
                <c:pt idx="451">
                  <c:v>1.0192511420782533</c:v>
                </c:pt>
                <c:pt idx="452">
                  <c:v>0.9693345904191083</c:v>
                </c:pt>
                <c:pt idx="453">
                  <c:v>0.8390197967641817</c:v>
                </c:pt>
                <c:pt idx="454">
                  <c:v>0.75734890307378222</c:v>
                </c:pt>
                <c:pt idx="455">
                  <c:v>1.2</c:v>
                </c:pt>
                <c:pt idx="456">
                  <c:v>1.2</c:v>
                </c:pt>
                <c:pt idx="457">
                  <c:v>1.2</c:v>
                </c:pt>
                <c:pt idx="458">
                  <c:v>1.2</c:v>
                </c:pt>
                <c:pt idx="459">
                  <c:v>1.0318398567169094</c:v>
                </c:pt>
                <c:pt idx="460">
                  <c:v>0.99756699811188931</c:v>
                </c:pt>
                <c:pt idx="461">
                  <c:v>0.91447801248430827</c:v>
                </c:pt>
                <c:pt idx="462">
                  <c:v>0.82335992123696855</c:v>
                </c:pt>
                <c:pt idx="463">
                  <c:v>0.73664723316821645</c:v>
                </c:pt>
                <c:pt idx="464">
                  <c:v>0.72299146758462907</c:v>
                </c:pt>
                <c:pt idx="465">
                  <c:v>0.7078480214877414</c:v>
                </c:pt>
                <c:pt idx="466">
                  <c:v>0.67067794193979324</c:v>
                </c:pt>
                <c:pt idx="467">
                  <c:v>0.63920275540026228</c:v>
                </c:pt>
                <c:pt idx="468">
                  <c:v>0.59752467692978806</c:v>
                </c:pt>
                <c:pt idx="469">
                  <c:v>0.56208040176453788</c:v>
                </c:pt>
                <c:pt idx="470">
                  <c:v>0.54548217239791685</c:v>
                </c:pt>
                <c:pt idx="471">
                  <c:v>0.52538688680520818</c:v>
                </c:pt>
                <c:pt idx="472">
                  <c:v>0.51715875823446478</c:v>
                </c:pt>
                <c:pt idx="473">
                  <c:v>0.50020281010274381</c:v>
                </c:pt>
                <c:pt idx="474">
                  <c:v>0.4789132207118264</c:v>
                </c:pt>
                <c:pt idx="475">
                  <c:v>0.46180358807496436</c:v>
                </c:pt>
                <c:pt idx="476">
                  <c:v>0.44457032814546987</c:v>
                </c:pt>
                <c:pt idx="477">
                  <c:v>0.42797980871392421</c:v>
                </c:pt>
                <c:pt idx="478">
                  <c:v>1.2</c:v>
                </c:pt>
                <c:pt idx="479">
                  <c:v>1.2</c:v>
                </c:pt>
                <c:pt idx="480">
                  <c:v>1.2</c:v>
                </c:pt>
                <c:pt idx="481">
                  <c:v>1.2</c:v>
                </c:pt>
                <c:pt idx="482">
                  <c:v>1.2</c:v>
                </c:pt>
                <c:pt idx="483">
                  <c:v>1.2</c:v>
                </c:pt>
                <c:pt idx="484">
                  <c:v>1.2</c:v>
                </c:pt>
                <c:pt idx="485">
                  <c:v>1.2</c:v>
                </c:pt>
                <c:pt idx="486">
                  <c:v>1.2</c:v>
                </c:pt>
                <c:pt idx="487">
                  <c:v>1.2</c:v>
                </c:pt>
                <c:pt idx="488">
                  <c:v>1.2</c:v>
                </c:pt>
                <c:pt idx="489">
                  <c:v>1.0668798638098937</c:v>
                </c:pt>
                <c:pt idx="490">
                  <c:v>0.92347896741995372</c:v>
                </c:pt>
                <c:pt idx="491">
                  <c:v>0.78753836206299899</c:v>
                </c:pt>
                <c:pt idx="492">
                  <c:v>0.68691257685441853</c:v>
                </c:pt>
                <c:pt idx="493">
                  <c:v>0.64566815223773377</c:v>
                </c:pt>
                <c:pt idx="494">
                  <c:v>0.61433339725239178</c:v>
                </c:pt>
                <c:pt idx="495">
                  <c:v>1.2</c:v>
                </c:pt>
                <c:pt idx="496">
                  <c:v>1.0127859606601326</c:v>
                </c:pt>
                <c:pt idx="497">
                  <c:v>0.81067159028495461</c:v>
                </c:pt>
                <c:pt idx="498">
                  <c:v>0.68688284197747329</c:v>
                </c:pt>
                <c:pt idx="499">
                  <c:v>1.2</c:v>
                </c:pt>
                <c:pt idx="500">
                  <c:v>1.154070925876401</c:v>
                </c:pt>
                <c:pt idx="501">
                  <c:v>0.93352100589607068</c:v>
                </c:pt>
                <c:pt idx="502">
                  <c:v>0.80472162016369475</c:v>
                </c:pt>
                <c:pt idx="503">
                  <c:v>0.73126595443168185</c:v>
                </c:pt>
                <c:pt idx="504">
                  <c:v>0.65264376637865895</c:v>
                </c:pt>
                <c:pt idx="505">
                  <c:v>0.60932312588773763</c:v>
                </c:pt>
                <c:pt idx="506">
                  <c:v>0.57286545191622684</c:v>
                </c:pt>
                <c:pt idx="507">
                  <c:v>0.53790179580368924</c:v>
                </c:pt>
                <c:pt idx="508">
                  <c:v>0.51535634623545856</c:v>
                </c:pt>
                <c:pt idx="509">
                  <c:v>0.48335731611092797</c:v>
                </c:pt>
                <c:pt idx="510">
                  <c:v>0.45400170760758446</c:v>
                </c:pt>
                <c:pt idx="511">
                  <c:v>1.2</c:v>
                </c:pt>
                <c:pt idx="512">
                  <c:v>1.0363905739037</c:v>
                </c:pt>
                <c:pt idx="513">
                  <c:v>0.85960258351451468</c:v>
                </c:pt>
                <c:pt idx="514">
                  <c:v>0.73533977764666714</c:v>
                </c:pt>
                <c:pt idx="515">
                  <c:v>0.63746040030674689</c:v>
                </c:pt>
                <c:pt idx="516">
                  <c:v>0.57627019646200028</c:v>
                </c:pt>
                <c:pt idx="517">
                  <c:v>0.525610868125853</c:v>
                </c:pt>
                <c:pt idx="518">
                  <c:v>0.48281505031976568</c:v>
                </c:pt>
                <c:pt idx="519">
                  <c:v>0.45149322679211867</c:v>
                </c:pt>
                <c:pt idx="520">
                  <c:v>0.4208732241833017</c:v>
                </c:pt>
                <c:pt idx="521">
                  <c:v>0.39970018337763785</c:v>
                </c:pt>
                <c:pt idx="522">
                  <c:v>0.38271074461737903</c:v>
                </c:pt>
                <c:pt idx="523">
                  <c:v>0.36572136007672196</c:v>
                </c:pt>
                <c:pt idx="524">
                  <c:v>0.3496975070457824</c:v>
                </c:pt>
                <c:pt idx="525">
                  <c:v>0.33584477652684447</c:v>
                </c:pt>
                <c:pt idx="526">
                  <c:v>1.2</c:v>
                </c:pt>
                <c:pt idx="527">
                  <c:v>0.90006343695069158</c:v>
                </c:pt>
                <c:pt idx="528">
                  <c:v>1.2</c:v>
                </c:pt>
                <c:pt idx="529">
                  <c:v>0.92044519380175971</c:v>
                </c:pt>
                <c:pt idx="530">
                  <c:v>0.74662438023598732</c:v>
                </c:pt>
                <c:pt idx="531">
                  <c:v>1.2</c:v>
                </c:pt>
                <c:pt idx="532">
                  <c:v>0.97915684429158056</c:v>
                </c:pt>
                <c:pt idx="533">
                  <c:v>0.79538971459600127</c:v>
                </c:pt>
                <c:pt idx="534">
                  <c:v>0.68341447811751199</c:v>
                </c:pt>
                <c:pt idx="535">
                  <c:v>1.2</c:v>
                </c:pt>
                <c:pt idx="536">
                  <c:v>0.89730091587779925</c:v>
                </c:pt>
                <c:pt idx="537">
                  <c:v>0.73040251465378137</c:v>
                </c:pt>
                <c:pt idx="538">
                  <c:v>0.61963107790190963</c:v>
                </c:pt>
                <c:pt idx="539">
                  <c:v>0.54219974902536405</c:v>
                </c:pt>
                <c:pt idx="540">
                  <c:v>0.49676273422350986</c:v>
                </c:pt>
                <c:pt idx="541">
                  <c:v>0.46517146856392394</c:v>
                </c:pt>
                <c:pt idx="542">
                  <c:v>0.43081301558780427</c:v>
                </c:pt>
                <c:pt idx="543">
                  <c:v>1.2</c:v>
                </c:pt>
                <c:pt idx="544">
                  <c:v>0.90657456308850248</c:v>
                </c:pt>
                <c:pt idx="545">
                  <c:v>0.75307828159721246</c:v>
                </c:pt>
                <c:pt idx="546">
                  <c:v>0.62841950525780454</c:v>
                </c:pt>
                <c:pt idx="547">
                  <c:v>0.54872627744192404</c:v>
                </c:pt>
                <c:pt idx="548">
                  <c:v>0.49103710527610306</c:v>
                </c:pt>
                <c:pt idx="549">
                  <c:v>0.44694396878456827</c:v>
                </c:pt>
                <c:pt idx="550">
                  <c:v>0.41548577175167362</c:v>
                </c:pt>
                <c:pt idx="551">
                  <c:v>0.38913907940923942</c:v>
                </c:pt>
                <c:pt idx="552">
                  <c:v>0.37398837882928826</c:v>
                </c:pt>
                <c:pt idx="553">
                  <c:v>0.36095904779732668</c:v>
                </c:pt>
                <c:pt idx="554">
                  <c:v>0.34550045923041806</c:v>
                </c:pt>
                <c:pt idx="555">
                  <c:v>0.33193493062142454</c:v>
                </c:pt>
                <c:pt idx="556">
                  <c:v>0.31893310706575306</c:v>
                </c:pt>
                <c:pt idx="557">
                  <c:v>0.30715822911044166</c:v>
                </c:pt>
                <c:pt idx="558">
                  <c:v>0.29592392656795791</c:v>
                </c:pt>
                <c:pt idx="559">
                  <c:v>0.28713786367598454</c:v>
                </c:pt>
                <c:pt idx="560">
                  <c:v>0.27958254055871562</c:v>
                </c:pt>
                <c:pt idx="561">
                  <c:v>0.27220828088896087</c:v>
                </c:pt>
                <c:pt idx="562">
                  <c:v>0.26538887879657175</c:v>
                </c:pt>
                <c:pt idx="563">
                  <c:v>0.25871835633400186</c:v>
                </c:pt>
                <c:pt idx="564">
                  <c:v>0.25272281237697408</c:v>
                </c:pt>
                <c:pt idx="565">
                  <c:v>0.24720431567571427</c:v>
                </c:pt>
                <c:pt idx="566">
                  <c:v>0.24182787936505448</c:v>
                </c:pt>
                <c:pt idx="567">
                  <c:v>0.23629459980512685</c:v>
                </c:pt>
                <c:pt idx="568">
                  <c:v>0.2318249827238541</c:v>
                </c:pt>
                <c:pt idx="569">
                  <c:v>0.2279140813850859</c:v>
                </c:pt>
                <c:pt idx="570">
                  <c:v>0.2241266131568469</c:v>
                </c:pt>
                <c:pt idx="571">
                  <c:v>0.22048176128175873</c:v>
                </c:pt>
                <c:pt idx="572">
                  <c:v>0.21729061877378808</c:v>
                </c:pt>
                <c:pt idx="573">
                  <c:v>0.21364107434665169</c:v>
                </c:pt>
                <c:pt idx="574">
                  <c:v>0.21077633369018059</c:v>
                </c:pt>
                <c:pt idx="575">
                  <c:v>0.20739031667821395</c:v>
                </c:pt>
                <c:pt idx="576">
                  <c:v>0.20422288713680095</c:v>
                </c:pt>
              </c:numCache>
            </c:numRef>
          </c:yVal>
        </c:ser>
        <c:ser>
          <c:idx val="3"/>
          <c:order val="1"/>
          <c:tx>
            <c:v>Table Kc</c:v>
          </c:tx>
          <c:spPr>
            <a:ln w="22225">
              <a:solidFill>
                <a:srgbClr val="00CCFF"/>
              </a:solidFill>
              <a:prstDash val="solid"/>
            </a:ln>
          </c:spPr>
          <c:marker>
            <c:symbol val="circle"/>
            <c:size val="4"/>
            <c:spPr>
              <a:solidFill>
                <a:srgbClr val="00CCFF"/>
              </a:solidFill>
              <a:ln>
                <a:solidFill>
                  <a:srgbClr val="666699"/>
                </a:solidFill>
                <a:prstDash val="solid"/>
              </a:ln>
            </c:spPr>
          </c:marker>
          <c:dPt>
            <c:idx val="149"/>
            <c:spPr>
              <a:ln w="25400">
                <a:solidFill>
                  <a:srgbClr val="00CCFF"/>
                </a:solidFill>
                <a:prstDash val="solid"/>
              </a:ln>
            </c:spPr>
          </c:dPt>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Input!$C$22:$C$598</c:f>
              <c:numCache>
                <c:formatCode>0.00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0.2</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0.2</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1.05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1.05</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0.6</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ser>
          <c:idx val="0"/>
          <c:order val="2"/>
          <c:tx>
            <c:v>Single Kc</c:v>
          </c:tx>
          <c:spPr>
            <a:ln w="28575">
              <a:solidFill>
                <a:srgbClr val="00FF00"/>
              </a:solidFill>
              <a:prstDash val="solid"/>
            </a:ln>
          </c:spPr>
          <c:marker>
            <c:symbol val="none"/>
          </c:marker>
          <c:xVal>
            <c:numRef>
              <c:f>Input!$B$22:$B$598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Input!$AQ$22:$AQ$598</c:f>
              <c:numCache>
                <c:formatCode>0.00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0.8102962140161466</c:v>
                </c:pt>
                <c:pt idx="106">
                  <c:v>0.8102962140161466</c:v>
                </c:pt>
                <c:pt idx="107">
                  <c:v>0.8102962140161466</c:v>
                </c:pt>
                <c:pt idx="108">
                  <c:v>0.8102962140161466</c:v>
                </c:pt>
                <c:pt idx="109">
                  <c:v>0.8102962140161466</c:v>
                </c:pt>
                <c:pt idx="110">
                  <c:v>0.8102962140161466</c:v>
                </c:pt>
                <c:pt idx="111">
                  <c:v>0.8102962140161466</c:v>
                </c:pt>
                <c:pt idx="112">
                  <c:v>0.8102962140161466</c:v>
                </c:pt>
                <c:pt idx="113">
                  <c:v>0.8102962140161466</c:v>
                </c:pt>
                <c:pt idx="114">
                  <c:v>0.8102962140161466</c:v>
                </c:pt>
                <c:pt idx="115">
                  <c:v>0.8102962140161466</c:v>
                </c:pt>
                <c:pt idx="116">
                  <c:v>0.8102962140161466</c:v>
                </c:pt>
                <c:pt idx="117">
                  <c:v>0.8102962140161466</c:v>
                </c:pt>
                <c:pt idx="118">
                  <c:v>0.8102962140161466</c:v>
                </c:pt>
                <c:pt idx="119">
                  <c:v>0.8102962140161466</c:v>
                </c:pt>
                <c:pt idx="120">
                  <c:v>0.8102962140161466</c:v>
                </c:pt>
                <c:pt idx="121">
                  <c:v>0.8102962140161466</c:v>
                </c:pt>
                <c:pt idx="122">
                  <c:v>0.8102962140161466</c:v>
                </c:pt>
                <c:pt idx="123">
                  <c:v>0.8102962140161466</c:v>
                </c:pt>
                <c:pt idx="124">
                  <c:v>0.8102962140161466</c:v>
                </c:pt>
                <c:pt idx="125">
                  <c:v>0.8102962140161466</c:v>
                </c:pt>
                <c:pt idx="126">
                  <c:v>0.8102962140161466</c:v>
                </c:pt>
                <c:pt idx="127">
                  <c:v>0.8102962140161466</c:v>
                </c:pt>
                <c:pt idx="128">
                  <c:v>0.8102962140161466</c:v>
                </c:pt>
                <c:pt idx="129">
                  <c:v>0.8102962140161466</c:v>
                </c:pt>
                <c:pt idx="130">
                  <c:v>0.8102962140161466</c:v>
                </c:pt>
                <c:pt idx="131">
                  <c:v>0.8102962140161466</c:v>
                </c:pt>
                <c:pt idx="132">
                  <c:v>0.8102962140161466</c:v>
                </c:pt>
                <c:pt idx="133">
                  <c:v>0.8102962140161466</c:v>
                </c:pt>
                <c:pt idx="134">
                  <c:v>0.8102962140161466</c:v>
                </c:pt>
                <c:pt idx="135">
                  <c:v>0.8102962140161466</c:v>
                </c:pt>
                <c:pt idx="136">
                  <c:v>0.8102962140161466</c:v>
                </c:pt>
                <c:pt idx="137">
                  <c:v>0.8102962140161466</c:v>
                </c:pt>
                <c:pt idx="138">
                  <c:v>0.8102962140161466</c:v>
                </c:pt>
                <c:pt idx="139">
                  <c:v>0.81612524280243082</c:v>
                </c:pt>
                <c:pt idx="140">
                  <c:v>0.82195427158871504</c:v>
                </c:pt>
                <c:pt idx="141">
                  <c:v>0.82778330037499925</c:v>
                </c:pt>
                <c:pt idx="142">
                  <c:v>0.83361232916128347</c:v>
                </c:pt>
                <c:pt idx="143">
                  <c:v>0.83944135794756769</c:v>
                </c:pt>
                <c:pt idx="144">
                  <c:v>0.84527038673385191</c:v>
                </c:pt>
                <c:pt idx="145">
                  <c:v>0.85109941552013613</c:v>
                </c:pt>
                <c:pt idx="146">
                  <c:v>0.85692844430642034</c:v>
                </c:pt>
                <c:pt idx="147">
                  <c:v>0.86275747309270456</c:v>
                </c:pt>
                <c:pt idx="148">
                  <c:v>0.86858650187898878</c:v>
                </c:pt>
                <c:pt idx="149">
                  <c:v>0.874415530665273</c:v>
                </c:pt>
                <c:pt idx="150">
                  <c:v>0.88024455945155722</c:v>
                </c:pt>
                <c:pt idx="151">
                  <c:v>0.88607358823784144</c:v>
                </c:pt>
                <c:pt idx="152">
                  <c:v>0.89190261702412565</c:v>
                </c:pt>
                <c:pt idx="153">
                  <c:v>0.89773164581040987</c:v>
                </c:pt>
                <c:pt idx="154">
                  <c:v>0.90356067459669409</c:v>
                </c:pt>
                <c:pt idx="155">
                  <c:v>0.90938970338297831</c:v>
                </c:pt>
                <c:pt idx="156">
                  <c:v>0.91521873216926253</c:v>
                </c:pt>
                <c:pt idx="157">
                  <c:v>0.92104776095554675</c:v>
                </c:pt>
                <c:pt idx="158">
                  <c:v>0.92687678974183096</c:v>
                </c:pt>
                <c:pt idx="159">
                  <c:v>0.93270581852811518</c:v>
                </c:pt>
                <c:pt idx="160">
                  <c:v>0.9385348473143994</c:v>
                </c:pt>
                <c:pt idx="161">
                  <c:v>0.94436387610068362</c:v>
                </c:pt>
                <c:pt idx="162">
                  <c:v>0.95019290488696784</c:v>
                </c:pt>
                <c:pt idx="163">
                  <c:v>0.95602193367325206</c:v>
                </c:pt>
                <c:pt idx="164">
                  <c:v>0.96185096245953627</c:v>
                </c:pt>
                <c:pt idx="165">
                  <c:v>0.96767999124582049</c:v>
                </c:pt>
                <c:pt idx="166">
                  <c:v>0.97350902003210471</c:v>
                </c:pt>
                <c:pt idx="167">
                  <c:v>0.97933804881838893</c:v>
                </c:pt>
                <c:pt idx="168">
                  <c:v>0.98516707760467315</c:v>
                </c:pt>
                <c:pt idx="169">
                  <c:v>0.99099610639095737</c:v>
                </c:pt>
                <c:pt idx="170">
                  <c:v>0.99682513517724158</c:v>
                </c:pt>
                <c:pt idx="171">
                  <c:v>1.0026541639635258</c:v>
                </c:pt>
                <c:pt idx="172">
                  <c:v>1.0084831927498099</c:v>
                </c:pt>
                <c:pt idx="173">
                  <c:v>1.014312221536094</c:v>
                </c:pt>
                <c:pt idx="174">
                  <c:v>1.0201412503223781</c:v>
                </c:pt>
                <c:pt idx="175">
                  <c:v>1.0259702791086622</c:v>
                </c:pt>
                <c:pt idx="176">
                  <c:v>1.0317993078949463</c:v>
                </c:pt>
                <c:pt idx="177">
                  <c:v>1.0376283366812304</c:v>
                </c:pt>
                <c:pt idx="178">
                  <c:v>1.0434573654675146</c:v>
                </c:pt>
                <c:pt idx="179">
                  <c:v>1.0492863942537987</c:v>
                </c:pt>
                <c:pt idx="180">
                  <c:v>1.0551154230400821</c:v>
                </c:pt>
                <c:pt idx="181">
                  <c:v>1.0551154230400821</c:v>
                </c:pt>
                <c:pt idx="182">
                  <c:v>1.0551154230400821</c:v>
                </c:pt>
                <c:pt idx="183">
                  <c:v>1.0551154230400821</c:v>
                </c:pt>
                <c:pt idx="184">
                  <c:v>1.0551154230400821</c:v>
                </c:pt>
                <c:pt idx="185">
                  <c:v>1.0551154230400821</c:v>
                </c:pt>
                <c:pt idx="186">
                  <c:v>1.0551154230400821</c:v>
                </c:pt>
                <c:pt idx="187">
                  <c:v>1.0551154230400821</c:v>
                </c:pt>
                <c:pt idx="188">
                  <c:v>1.0551154230400821</c:v>
                </c:pt>
                <c:pt idx="189">
                  <c:v>1.0551154230400821</c:v>
                </c:pt>
                <c:pt idx="190">
                  <c:v>1.0551154230400821</c:v>
                </c:pt>
                <c:pt idx="191">
                  <c:v>1.0551154230400821</c:v>
                </c:pt>
                <c:pt idx="192">
                  <c:v>1.0551154230400821</c:v>
                </c:pt>
                <c:pt idx="193">
                  <c:v>1.0551154230400821</c:v>
                </c:pt>
                <c:pt idx="194">
                  <c:v>1.0551154230400821</c:v>
                </c:pt>
                <c:pt idx="195">
                  <c:v>1.0551154230400821</c:v>
                </c:pt>
                <c:pt idx="196">
                  <c:v>1.0551154230400821</c:v>
                </c:pt>
                <c:pt idx="197">
                  <c:v>1.0551154230400821</c:v>
                </c:pt>
                <c:pt idx="198">
                  <c:v>1.0551154230400821</c:v>
                </c:pt>
                <c:pt idx="199">
                  <c:v>1.0551154230400821</c:v>
                </c:pt>
                <c:pt idx="200">
                  <c:v>1.0551154230400821</c:v>
                </c:pt>
                <c:pt idx="201">
                  <c:v>1.0551154230400821</c:v>
                </c:pt>
                <c:pt idx="202">
                  <c:v>1.0551154230400821</c:v>
                </c:pt>
                <c:pt idx="203">
                  <c:v>1.0551154230400821</c:v>
                </c:pt>
                <c:pt idx="204">
                  <c:v>1.0551154230400821</c:v>
                </c:pt>
                <c:pt idx="205">
                  <c:v>1.0551154230400821</c:v>
                </c:pt>
                <c:pt idx="206">
                  <c:v>1.0551154230400821</c:v>
                </c:pt>
                <c:pt idx="207">
                  <c:v>1.0551154230400821</c:v>
                </c:pt>
                <c:pt idx="208">
                  <c:v>1.0551154230400821</c:v>
                </c:pt>
                <c:pt idx="209">
                  <c:v>1.0551154230400821</c:v>
                </c:pt>
                <c:pt idx="210">
                  <c:v>1.0551154230400821</c:v>
                </c:pt>
                <c:pt idx="211">
                  <c:v>1.0551154230400821</c:v>
                </c:pt>
                <c:pt idx="212">
                  <c:v>1.0551154230400821</c:v>
                </c:pt>
                <c:pt idx="213">
                  <c:v>1.0551154230400821</c:v>
                </c:pt>
                <c:pt idx="214">
                  <c:v>1.0551154230400821</c:v>
                </c:pt>
                <c:pt idx="215">
                  <c:v>1.0551154230400821</c:v>
                </c:pt>
                <c:pt idx="216">
                  <c:v>1.0551154230400821</c:v>
                </c:pt>
                <c:pt idx="217">
                  <c:v>1.0551154230400821</c:v>
                </c:pt>
                <c:pt idx="218">
                  <c:v>1.0551154230400821</c:v>
                </c:pt>
                <c:pt idx="219">
                  <c:v>1.0551154230400821</c:v>
                </c:pt>
                <c:pt idx="220">
                  <c:v>1.0551154230400821</c:v>
                </c:pt>
                <c:pt idx="221">
                  <c:v>1.0551154230400821</c:v>
                </c:pt>
                <c:pt idx="222">
                  <c:v>1.0551154230400821</c:v>
                </c:pt>
                <c:pt idx="223">
                  <c:v>1.0551154230400821</c:v>
                </c:pt>
                <c:pt idx="224">
                  <c:v>1.0551154230400821</c:v>
                </c:pt>
                <c:pt idx="225">
                  <c:v>1.0551154230400821</c:v>
                </c:pt>
                <c:pt idx="226">
                  <c:v>1.0551154230400821</c:v>
                </c:pt>
                <c:pt idx="227">
                  <c:v>1.0551154230400821</c:v>
                </c:pt>
                <c:pt idx="228">
                  <c:v>1.0551154230400821</c:v>
                </c:pt>
                <c:pt idx="229">
                  <c:v>1.0551154230400821</c:v>
                </c:pt>
                <c:pt idx="230">
                  <c:v>1.0551154230400821</c:v>
                </c:pt>
                <c:pt idx="231">
                  <c:v>1.0551154230400821</c:v>
                </c:pt>
                <c:pt idx="232">
                  <c:v>1.0477248197026012</c:v>
                </c:pt>
                <c:pt idx="233">
                  <c:v>1.0403342163651204</c:v>
                </c:pt>
                <c:pt idx="234">
                  <c:v>1.0329436130276395</c:v>
                </c:pt>
                <c:pt idx="235">
                  <c:v>1.0255530096901586</c:v>
                </c:pt>
                <c:pt idx="236">
                  <c:v>1.0181624063526777</c:v>
                </c:pt>
                <c:pt idx="237">
                  <c:v>1.0107718030151969</c:v>
                </c:pt>
                <c:pt idx="238">
                  <c:v>1.003381199677716</c:v>
                </c:pt>
                <c:pt idx="239">
                  <c:v>0.99599059634023512</c:v>
                </c:pt>
                <c:pt idx="240">
                  <c:v>0.98859999300275425</c:v>
                </c:pt>
                <c:pt idx="241">
                  <c:v>0.98120938966527338</c:v>
                </c:pt>
                <c:pt idx="242">
                  <c:v>0.97381878632779251</c:v>
                </c:pt>
                <c:pt idx="243">
                  <c:v>0.96642818299031163</c:v>
                </c:pt>
                <c:pt idx="244">
                  <c:v>0.95903757965283076</c:v>
                </c:pt>
                <c:pt idx="245">
                  <c:v>0.95164697631534989</c:v>
                </c:pt>
                <c:pt idx="246">
                  <c:v>0.94425637297786902</c:v>
                </c:pt>
                <c:pt idx="247">
                  <c:v>0.93686576964038815</c:v>
                </c:pt>
                <c:pt idx="248">
                  <c:v>0.92947516630290727</c:v>
                </c:pt>
                <c:pt idx="249">
                  <c:v>0.9220845629654264</c:v>
                </c:pt>
                <c:pt idx="250">
                  <c:v>0.91469395962794553</c:v>
                </c:pt>
                <c:pt idx="251">
                  <c:v>0.90730335629046466</c:v>
                </c:pt>
                <c:pt idx="252">
                  <c:v>0.89991275295298379</c:v>
                </c:pt>
                <c:pt idx="253">
                  <c:v>0.89252214961550291</c:v>
                </c:pt>
                <c:pt idx="254">
                  <c:v>0.88513154627802204</c:v>
                </c:pt>
                <c:pt idx="255">
                  <c:v>0.87774094294054117</c:v>
                </c:pt>
                <c:pt idx="256">
                  <c:v>0.8703503396030603</c:v>
                </c:pt>
                <c:pt idx="257">
                  <c:v>0.86295973626557942</c:v>
                </c:pt>
                <c:pt idx="258">
                  <c:v>0.85556913292809855</c:v>
                </c:pt>
                <c:pt idx="259">
                  <c:v>0.84817852959061768</c:v>
                </c:pt>
                <c:pt idx="260">
                  <c:v>0.84078792625313681</c:v>
                </c:pt>
                <c:pt idx="261">
                  <c:v>0.83339732291565594</c:v>
                </c:pt>
                <c:pt idx="262">
                  <c:v>0.82600671957817506</c:v>
                </c:pt>
                <c:pt idx="263">
                  <c:v>0.81861611624069419</c:v>
                </c:pt>
                <c:pt idx="264">
                  <c:v>0.81122551290321332</c:v>
                </c:pt>
                <c:pt idx="265">
                  <c:v>0.80383490956573245</c:v>
                </c:pt>
                <c:pt idx="266">
                  <c:v>0.79644430622825158</c:v>
                </c:pt>
                <c:pt idx="267">
                  <c:v>0.7890537028907707</c:v>
                </c:pt>
                <c:pt idx="268">
                  <c:v>0.78166309955328983</c:v>
                </c:pt>
                <c:pt idx="269">
                  <c:v>0.77427249621580896</c:v>
                </c:pt>
                <c:pt idx="270">
                  <c:v>0.76688189287832809</c:v>
                </c:pt>
                <c:pt idx="271">
                  <c:v>0.75949128954084721</c:v>
                </c:pt>
                <c:pt idx="272">
                  <c:v>0.75210068620336634</c:v>
                </c:pt>
                <c:pt idx="273">
                  <c:v>0.74471008286588547</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ser>
          <c:idx val="1"/>
          <c:order val="3"/>
          <c:tx>
            <c:v>Dual Kc</c:v>
          </c:tx>
          <c:spPr>
            <a:ln w="19050">
              <a:solidFill>
                <a:srgbClr val="C00000"/>
              </a:solidFill>
              <a:prstDash val="solid"/>
            </a:ln>
          </c:spPr>
          <c:marker>
            <c:symbol val="square"/>
            <c:size val="2"/>
            <c:spPr>
              <a:noFill/>
              <a:ln w="9525">
                <a:noFill/>
              </a:ln>
            </c:spPr>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Input!$AA$22:$AA$598</c:f>
              <c:numCache>
                <c:formatCode>0.00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1.2</c:v>
                </c:pt>
                <c:pt idx="106">
                  <c:v>1.2</c:v>
                </c:pt>
                <c:pt idx="107">
                  <c:v>1.2</c:v>
                </c:pt>
                <c:pt idx="108">
                  <c:v>1.2</c:v>
                </c:pt>
                <c:pt idx="109">
                  <c:v>1.0059033012851073</c:v>
                </c:pt>
                <c:pt idx="110">
                  <c:v>0.86298278178263155</c:v>
                </c:pt>
                <c:pt idx="111">
                  <c:v>0.76081040825379398</c:v>
                </c:pt>
                <c:pt idx="112">
                  <c:v>0.68519023934204704</c:v>
                </c:pt>
                <c:pt idx="113">
                  <c:v>0.63529748969853606</c:v>
                </c:pt>
                <c:pt idx="114">
                  <c:v>0.60377632549344329</c:v>
                </c:pt>
                <c:pt idx="115">
                  <c:v>0.5986959449707141</c:v>
                </c:pt>
                <c:pt idx="116">
                  <c:v>0.59526716263057367</c:v>
                </c:pt>
                <c:pt idx="117">
                  <c:v>0.59277586936260729</c:v>
                </c:pt>
                <c:pt idx="118">
                  <c:v>0.5896377813463185</c:v>
                </c:pt>
                <c:pt idx="119">
                  <c:v>1.2</c:v>
                </c:pt>
                <c:pt idx="120">
                  <c:v>1.2</c:v>
                </c:pt>
                <c:pt idx="121">
                  <c:v>1.2</c:v>
                </c:pt>
                <c:pt idx="122">
                  <c:v>1.2</c:v>
                </c:pt>
                <c:pt idx="123">
                  <c:v>1.0668798638098937</c:v>
                </c:pt>
                <c:pt idx="124">
                  <c:v>0.92347896741995372</c:v>
                </c:pt>
                <c:pt idx="125">
                  <c:v>0.78753836206299899</c:v>
                </c:pt>
                <c:pt idx="126">
                  <c:v>0.68691257685441853</c:v>
                </c:pt>
                <c:pt idx="127">
                  <c:v>0.64566815223773377</c:v>
                </c:pt>
                <c:pt idx="128">
                  <c:v>0.61433339725239178</c:v>
                </c:pt>
                <c:pt idx="129">
                  <c:v>0.56792238279984364</c:v>
                </c:pt>
                <c:pt idx="130">
                  <c:v>0.52036023553432464</c:v>
                </c:pt>
                <c:pt idx="131">
                  <c:v>0.48450383108008277</c:v>
                </c:pt>
                <c:pt idx="132">
                  <c:v>0.45290128263061408</c:v>
                </c:pt>
                <c:pt idx="133">
                  <c:v>1.2</c:v>
                </c:pt>
                <c:pt idx="134">
                  <c:v>1.154070925876401</c:v>
                </c:pt>
                <c:pt idx="135">
                  <c:v>0.93352100589607068</c:v>
                </c:pt>
                <c:pt idx="136">
                  <c:v>0.80472162016369475</c:v>
                </c:pt>
                <c:pt idx="137">
                  <c:v>0.73126595443168185</c:v>
                </c:pt>
                <c:pt idx="138">
                  <c:v>0.65264376637865895</c:v>
                </c:pt>
                <c:pt idx="139">
                  <c:v>0.60932312588773763</c:v>
                </c:pt>
                <c:pt idx="140">
                  <c:v>0.57286545191622684</c:v>
                </c:pt>
                <c:pt idx="141">
                  <c:v>0.53790179580368924</c:v>
                </c:pt>
                <c:pt idx="142">
                  <c:v>0.51535634623545856</c:v>
                </c:pt>
                <c:pt idx="143">
                  <c:v>0.48335731611092797</c:v>
                </c:pt>
                <c:pt idx="144">
                  <c:v>0.45400170760758446</c:v>
                </c:pt>
                <c:pt idx="145">
                  <c:v>0.43180347693374954</c:v>
                </c:pt>
                <c:pt idx="146">
                  <c:v>0.41288714767270618</c:v>
                </c:pt>
                <c:pt idx="147">
                  <c:v>0.39806745792385134</c:v>
                </c:pt>
                <c:pt idx="148">
                  <c:v>0.40238095238095228</c:v>
                </c:pt>
                <c:pt idx="149">
                  <c:v>0.42261904761904751</c:v>
                </c:pt>
                <c:pt idx="150">
                  <c:v>0.44285714285714273</c:v>
                </c:pt>
                <c:pt idx="151">
                  <c:v>0.46309523809523795</c:v>
                </c:pt>
                <c:pt idx="152">
                  <c:v>0.48333333333333317</c:v>
                </c:pt>
                <c:pt idx="153">
                  <c:v>0.50357142857142845</c:v>
                </c:pt>
                <c:pt idx="154">
                  <c:v>0.52380952380952372</c:v>
                </c:pt>
                <c:pt idx="155">
                  <c:v>0.544047619047619</c:v>
                </c:pt>
                <c:pt idx="156">
                  <c:v>0.56428571428571428</c:v>
                </c:pt>
                <c:pt idx="157">
                  <c:v>0.58452380952380956</c:v>
                </c:pt>
                <c:pt idx="158">
                  <c:v>0.60476190476190483</c:v>
                </c:pt>
                <c:pt idx="159">
                  <c:v>0.62500000000000011</c:v>
                </c:pt>
                <c:pt idx="160">
                  <c:v>0.64523809523809539</c:v>
                </c:pt>
                <c:pt idx="161">
                  <c:v>0.66547619047619067</c:v>
                </c:pt>
                <c:pt idx="162">
                  <c:v>0.68571428571428594</c:v>
                </c:pt>
                <c:pt idx="163">
                  <c:v>0.70595238095238122</c:v>
                </c:pt>
                <c:pt idx="164">
                  <c:v>0.7261904761904765</c:v>
                </c:pt>
                <c:pt idx="165">
                  <c:v>0.74642857142857177</c:v>
                </c:pt>
                <c:pt idx="166">
                  <c:v>0.76666666666666705</c:v>
                </c:pt>
                <c:pt idx="167">
                  <c:v>0.78690476190476233</c:v>
                </c:pt>
                <c:pt idx="168">
                  <c:v>0.80714285714285761</c:v>
                </c:pt>
                <c:pt idx="169">
                  <c:v>0.82738095238095288</c:v>
                </c:pt>
                <c:pt idx="170">
                  <c:v>0.84761904761904816</c:v>
                </c:pt>
                <c:pt idx="171">
                  <c:v>0.86785714285714344</c:v>
                </c:pt>
                <c:pt idx="172">
                  <c:v>1.2</c:v>
                </c:pt>
                <c:pt idx="173">
                  <c:v>0.90833333333333399</c:v>
                </c:pt>
                <c:pt idx="174">
                  <c:v>0.92857142857142927</c:v>
                </c:pt>
                <c:pt idx="175">
                  <c:v>0.94880952380952455</c:v>
                </c:pt>
                <c:pt idx="176">
                  <c:v>0.96904761904761982</c:v>
                </c:pt>
                <c:pt idx="177">
                  <c:v>0.9892857142857151</c:v>
                </c:pt>
                <c:pt idx="178">
                  <c:v>1.0095238095238104</c:v>
                </c:pt>
                <c:pt idx="179">
                  <c:v>1.0297619047619055</c:v>
                </c:pt>
                <c:pt idx="180">
                  <c:v>1.0500000000000007</c:v>
                </c:pt>
                <c:pt idx="181">
                  <c:v>1.0500000000000007</c:v>
                </c:pt>
                <c:pt idx="182">
                  <c:v>1.0500000000000007</c:v>
                </c:pt>
                <c:pt idx="183">
                  <c:v>1.0500000000000007</c:v>
                </c:pt>
                <c:pt idx="184">
                  <c:v>1.0500000000000007</c:v>
                </c:pt>
                <c:pt idx="185">
                  <c:v>1.0500000000000007</c:v>
                </c:pt>
                <c:pt idx="186">
                  <c:v>1.0500000000000007</c:v>
                </c:pt>
                <c:pt idx="187">
                  <c:v>1.2</c:v>
                </c:pt>
                <c:pt idx="188">
                  <c:v>1.0500000000000007</c:v>
                </c:pt>
                <c:pt idx="189">
                  <c:v>1.0500000000000007</c:v>
                </c:pt>
                <c:pt idx="190">
                  <c:v>1.0500000000000007</c:v>
                </c:pt>
                <c:pt idx="191">
                  <c:v>1.0500000000000007</c:v>
                </c:pt>
                <c:pt idx="192">
                  <c:v>1.0500000000000007</c:v>
                </c:pt>
                <c:pt idx="193">
                  <c:v>1.0500000000000007</c:v>
                </c:pt>
                <c:pt idx="194">
                  <c:v>1.0500000000000007</c:v>
                </c:pt>
                <c:pt idx="195">
                  <c:v>1.0500000000000007</c:v>
                </c:pt>
                <c:pt idx="196">
                  <c:v>1.0500000000000007</c:v>
                </c:pt>
                <c:pt idx="197">
                  <c:v>1.0500000000000007</c:v>
                </c:pt>
                <c:pt idx="198">
                  <c:v>1.0500000000000007</c:v>
                </c:pt>
                <c:pt idx="199">
                  <c:v>1.0500000000000007</c:v>
                </c:pt>
                <c:pt idx="200">
                  <c:v>1.0500000000000007</c:v>
                </c:pt>
                <c:pt idx="201">
                  <c:v>1.0500000000000007</c:v>
                </c:pt>
                <c:pt idx="202">
                  <c:v>1.0500000000000007</c:v>
                </c:pt>
                <c:pt idx="203">
                  <c:v>1.0500000000000007</c:v>
                </c:pt>
                <c:pt idx="204">
                  <c:v>1.0500000000000007</c:v>
                </c:pt>
                <c:pt idx="205">
                  <c:v>1.2</c:v>
                </c:pt>
                <c:pt idx="206">
                  <c:v>1.0500000000000007</c:v>
                </c:pt>
                <c:pt idx="207">
                  <c:v>1.0500000000000007</c:v>
                </c:pt>
                <c:pt idx="208">
                  <c:v>1.0500000000000007</c:v>
                </c:pt>
                <c:pt idx="209">
                  <c:v>1.0500000000000007</c:v>
                </c:pt>
                <c:pt idx="210">
                  <c:v>1.0500000000000007</c:v>
                </c:pt>
                <c:pt idx="211">
                  <c:v>1.0500000000000007</c:v>
                </c:pt>
                <c:pt idx="212">
                  <c:v>1.0500000000000007</c:v>
                </c:pt>
                <c:pt idx="213">
                  <c:v>1.0500000000000007</c:v>
                </c:pt>
                <c:pt idx="214">
                  <c:v>1.0500000000000007</c:v>
                </c:pt>
                <c:pt idx="215">
                  <c:v>1.0500000000000007</c:v>
                </c:pt>
                <c:pt idx="216">
                  <c:v>1.0500000000000007</c:v>
                </c:pt>
                <c:pt idx="217">
                  <c:v>1.0500000000000007</c:v>
                </c:pt>
                <c:pt idx="218">
                  <c:v>1.0500000000000007</c:v>
                </c:pt>
                <c:pt idx="219">
                  <c:v>1.0500000000000007</c:v>
                </c:pt>
                <c:pt idx="220">
                  <c:v>1.0500000000000007</c:v>
                </c:pt>
                <c:pt idx="221">
                  <c:v>1.0500000000000007</c:v>
                </c:pt>
                <c:pt idx="222">
                  <c:v>1.0500000000000007</c:v>
                </c:pt>
                <c:pt idx="223">
                  <c:v>1.0500000000000007</c:v>
                </c:pt>
                <c:pt idx="224">
                  <c:v>1.0500000000000007</c:v>
                </c:pt>
                <c:pt idx="225">
                  <c:v>1.0500000000000007</c:v>
                </c:pt>
                <c:pt idx="226">
                  <c:v>1.0500000000000007</c:v>
                </c:pt>
                <c:pt idx="227">
                  <c:v>1.0500000000000007</c:v>
                </c:pt>
                <c:pt idx="228">
                  <c:v>1.0500000000000007</c:v>
                </c:pt>
                <c:pt idx="229">
                  <c:v>1.0500000000000007</c:v>
                </c:pt>
                <c:pt idx="230">
                  <c:v>1.0500000000000007</c:v>
                </c:pt>
                <c:pt idx="231">
                  <c:v>1.0500000000000007</c:v>
                </c:pt>
                <c:pt idx="232">
                  <c:v>1.039285714285715</c:v>
                </c:pt>
                <c:pt idx="233">
                  <c:v>1.0285714285714294</c:v>
                </c:pt>
                <c:pt idx="234">
                  <c:v>1.0178571428571437</c:v>
                </c:pt>
                <c:pt idx="235">
                  <c:v>1.007142857142858</c:v>
                </c:pt>
                <c:pt idx="236">
                  <c:v>0.99642857142857233</c:v>
                </c:pt>
                <c:pt idx="237">
                  <c:v>0.98571428571428665</c:v>
                </c:pt>
                <c:pt idx="238">
                  <c:v>0.97500000000000098</c:v>
                </c:pt>
                <c:pt idx="239">
                  <c:v>0.9642857142857153</c:v>
                </c:pt>
                <c:pt idx="240">
                  <c:v>0.95357142857142962</c:v>
                </c:pt>
                <c:pt idx="241">
                  <c:v>0.94285714285714395</c:v>
                </c:pt>
                <c:pt idx="242">
                  <c:v>0.93214285714285827</c:v>
                </c:pt>
                <c:pt idx="243">
                  <c:v>0.9214285714285726</c:v>
                </c:pt>
                <c:pt idx="244">
                  <c:v>1.2</c:v>
                </c:pt>
                <c:pt idx="245">
                  <c:v>1.164971072166771</c:v>
                </c:pt>
                <c:pt idx="246">
                  <c:v>1.2</c:v>
                </c:pt>
                <c:pt idx="247">
                  <c:v>1.2</c:v>
                </c:pt>
                <c:pt idx="248">
                  <c:v>1.1375015013948462</c:v>
                </c:pt>
                <c:pt idx="249">
                  <c:v>0.93104368732006482</c:v>
                </c:pt>
                <c:pt idx="250">
                  <c:v>0.84642857142857286</c:v>
                </c:pt>
                <c:pt idx="251">
                  <c:v>0.83571428571428719</c:v>
                </c:pt>
                <c:pt idx="252">
                  <c:v>0.82500000000000151</c:v>
                </c:pt>
                <c:pt idx="253">
                  <c:v>0.81428571428571583</c:v>
                </c:pt>
                <c:pt idx="254">
                  <c:v>0.80357142857143016</c:v>
                </c:pt>
                <c:pt idx="255">
                  <c:v>1.2</c:v>
                </c:pt>
                <c:pt idx="256">
                  <c:v>1.2</c:v>
                </c:pt>
                <c:pt idx="257">
                  <c:v>1.2</c:v>
                </c:pt>
                <c:pt idx="258">
                  <c:v>1.0407155047635945</c:v>
                </c:pt>
                <c:pt idx="259">
                  <c:v>0.92007475769731828</c:v>
                </c:pt>
                <c:pt idx="260">
                  <c:v>0.84320726572590232</c:v>
                </c:pt>
                <c:pt idx="261">
                  <c:v>0.76239326352819414</c:v>
                </c:pt>
                <c:pt idx="262">
                  <c:v>0.71785714285714475</c:v>
                </c:pt>
                <c:pt idx="263">
                  <c:v>0.70714285714285907</c:v>
                </c:pt>
                <c:pt idx="264">
                  <c:v>0.6964285714285734</c:v>
                </c:pt>
                <c:pt idx="265">
                  <c:v>0.68571428571428772</c:v>
                </c:pt>
                <c:pt idx="266">
                  <c:v>0.67500000000000204</c:v>
                </c:pt>
                <c:pt idx="267">
                  <c:v>0.66428571428571637</c:v>
                </c:pt>
                <c:pt idx="268">
                  <c:v>0.65357142857143069</c:v>
                </c:pt>
                <c:pt idx="269">
                  <c:v>0.64285714285714501</c:v>
                </c:pt>
                <c:pt idx="270">
                  <c:v>0.63214285714285934</c:v>
                </c:pt>
                <c:pt idx="271">
                  <c:v>0.62142857142857366</c:v>
                </c:pt>
                <c:pt idx="272">
                  <c:v>0.61071428571428799</c:v>
                </c:pt>
                <c:pt idx="273">
                  <c:v>0.60000000000000231</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axId val="188546048"/>
        <c:axId val="96420608"/>
      </c:scatterChart>
      <c:valAx>
        <c:axId val="188546048"/>
        <c:scaling>
          <c:orientation val="minMax"/>
        </c:scaling>
        <c:axPos val="b"/>
        <c:numFmt formatCode="[$-409]dd\-mmm\-yy;@" sourceLinked="0"/>
        <c:tickLblPos val="nextTo"/>
        <c:spPr>
          <a:ln w="3175">
            <a:solidFill>
              <a:srgbClr val="000000"/>
            </a:solidFill>
            <a:prstDash val="solid"/>
          </a:ln>
        </c:spPr>
        <c:txPr>
          <a:bodyPr rot="-5400000" vert="horz"/>
          <a:lstStyle/>
          <a:p>
            <a:pPr>
              <a:defRPr/>
            </a:pPr>
            <a:endParaRPr lang="it-IT"/>
          </a:p>
        </c:txPr>
        <c:crossAx val="96420608"/>
        <c:crosses val="autoZero"/>
        <c:crossBetween val="midCat"/>
        <c:majorUnit val="60"/>
        <c:minorUnit val="30"/>
      </c:valAx>
      <c:valAx>
        <c:axId val="96420608"/>
        <c:scaling>
          <c:orientation val="minMax"/>
          <c:max val="1.5"/>
          <c:min val="0"/>
        </c:scaling>
        <c:axPos val="l"/>
        <c:majorGridlines>
          <c:spPr>
            <a:ln w="3175">
              <a:solidFill>
                <a:srgbClr val="000000"/>
              </a:solidFill>
              <a:prstDash val="solid"/>
            </a:ln>
          </c:spPr>
        </c:majorGridlines>
        <c:title>
          <c:tx>
            <c:rich>
              <a:bodyPr/>
              <a:lstStyle/>
              <a:p>
                <a:pPr>
                  <a:defRPr/>
                </a:pPr>
                <a:r>
                  <a:rPr lang="it-IT"/>
                  <a:t>Crop Coefficient</a:t>
                </a:r>
              </a:p>
            </c:rich>
          </c:tx>
          <c:layout>
            <c:manualLayout>
              <c:xMode val="edge"/>
              <c:yMode val="edge"/>
              <c:x val="2.1906719968653211E-2"/>
              <c:y val="0.35624554171582212"/>
            </c:manualLayout>
          </c:layout>
          <c:spPr>
            <a:noFill/>
            <a:ln w="25400">
              <a:noFill/>
            </a:ln>
          </c:spPr>
        </c:title>
        <c:numFmt formatCode="0.00" sourceLinked="1"/>
        <c:minorTickMark val="out"/>
        <c:tickLblPos val="nextTo"/>
        <c:spPr>
          <a:ln w="3175">
            <a:solidFill>
              <a:srgbClr val="000000"/>
            </a:solidFill>
            <a:prstDash val="solid"/>
          </a:ln>
        </c:spPr>
        <c:txPr>
          <a:bodyPr rot="0" vert="horz"/>
          <a:lstStyle/>
          <a:p>
            <a:pPr>
              <a:defRPr/>
            </a:pPr>
            <a:endParaRPr lang="it-IT"/>
          </a:p>
        </c:txPr>
        <c:crossAx val="188546048"/>
        <c:crosses val="autoZero"/>
        <c:crossBetween val="midCat"/>
        <c:majorUnit val="0.30000000000000032"/>
        <c:minorUnit val="0.1"/>
      </c:valAx>
      <c:spPr>
        <a:solidFill>
          <a:srgbClr val="FFFFFF"/>
        </a:solidFill>
        <a:ln w="12700">
          <a:solidFill>
            <a:srgbClr val="808080"/>
          </a:solidFill>
          <a:prstDash val="solid"/>
        </a:ln>
      </c:spPr>
    </c:plotArea>
    <c:legend>
      <c:legendPos val="r"/>
      <c:layout>
        <c:manualLayout>
          <c:xMode val="edge"/>
          <c:yMode val="edge"/>
          <c:x val="0.16035637212015164"/>
          <c:y val="2.1207177534180818E-2"/>
          <c:w val="0.76614698162729644"/>
          <c:h val="4.5677010961865036E-2"/>
        </c:manualLayout>
      </c:layout>
    </c:legend>
    <c:plotVisOnly val="1"/>
    <c:dispBlanksAs val="gap"/>
  </c:chart>
  <c:spPr>
    <a:noFill/>
    <a:ln w="9525">
      <a:noFill/>
    </a:ln>
  </c:spPr>
  <c:txPr>
    <a:bodyPr/>
    <a:lstStyle/>
    <a:p>
      <a:pPr>
        <a:defRPr sz="1200" b="1" i="0" u="none" strike="noStrike" baseline="0">
          <a:solidFill>
            <a:srgbClr val="000000"/>
          </a:solidFill>
          <a:latin typeface="Arial"/>
          <a:ea typeface="Arial"/>
          <a:cs typeface="Arial"/>
        </a:defRPr>
      </a:pPr>
      <a:endParaRPr lang="it-IT"/>
    </a:p>
  </c:txPr>
</c:chartSpace>
</file>

<file path=xl/charts/chart4.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0091630005324069"/>
          <c:y val="8.9206723832295845E-2"/>
          <c:w val="0.84784411276948735"/>
          <c:h val="0.72366962801115853"/>
        </c:manualLayout>
      </c:layout>
      <c:scatterChart>
        <c:scatterStyle val="lineMarker"/>
        <c:ser>
          <c:idx val="2"/>
          <c:order val="0"/>
          <c:tx>
            <c:v>Dual Kc</c:v>
          </c:tx>
          <c:spPr>
            <a:ln w="19050">
              <a:solidFill>
                <a:schemeClr val="tx1"/>
              </a:solidFill>
              <a:prstDash val="solid"/>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Input!$AE$22:$AE$598</c:f>
              <c:numCache>
                <c:formatCode>0.0</c:formatCode>
                <c:ptCount val="577"/>
                <c:pt idx="0">
                  <c:v>0.29790546366253501</c:v>
                </c:pt>
                <c:pt idx="1">
                  <c:v>0.31362911032376878</c:v>
                </c:pt>
                <c:pt idx="2">
                  <c:v>0.29871322728992139</c:v>
                </c:pt>
                <c:pt idx="3">
                  <c:v>0.18147704035783399</c:v>
                </c:pt>
                <c:pt idx="4">
                  <c:v>0.36325061958294724</c:v>
                </c:pt>
                <c:pt idx="5">
                  <c:v>0.419221581206076</c:v>
                </c:pt>
                <c:pt idx="6">
                  <c:v>0.89393012028660157</c:v>
                </c:pt>
                <c:pt idx="7">
                  <c:v>0.31566968353598202</c:v>
                </c:pt>
                <c:pt idx="8">
                  <c:v>0.40628100923185589</c:v>
                </c:pt>
                <c:pt idx="9">
                  <c:v>0.32168519466665274</c:v>
                </c:pt>
                <c:pt idx="10">
                  <c:v>0.20383391980328969</c:v>
                </c:pt>
                <c:pt idx="11">
                  <c:v>0.28363928178500736</c:v>
                </c:pt>
                <c:pt idx="12">
                  <c:v>0.22980403582949732</c:v>
                </c:pt>
                <c:pt idx="13">
                  <c:v>0.20068199000727552</c:v>
                </c:pt>
                <c:pt idx="14">
                  <c:v>0.22106770832380221</c:v>
                </c:pt>
                <c:pt idx="15">
                  <c:v>0.32820193826968302</c:v>
                </c:pt>
                <c:pt idx="16">
                  <c:v>0.24193833779023616</c:v>
                </c:pt>
                <c:pt idx="17">
                  <c:v>0.2749146738940782</c:v>
                </c:pt>
                <c:pt idx="18">
                  <c:v>0.26829745329586413</c:v>
                </c:pt>
                <c:pt idx="19">
                  <c:v>0.32164876549589255</c:v>
                </c:pt>
                <c:pt idx="20">
                  <c:v>0.3463721853346195</c:v>
                </c:pt>
                <c:pt idx="21">
                  <c:v>0.29513056414594135</c:v>
                </c:pt>
                <c:pt idx="22">
                  <c:v>0.30960573180519557</c:v>
                </c:pt>
                <c:pt idx="23">
                  <c:v>0.33117460633899831</c:v>
                </c:pt>
                <c:pt idx="24">
                  <c:v>0.34380688306823082</c:v>
                </c:pt>
                <c:pt idx="25">
                  <c:v>0.24888857250025798</c:v>
                </c:pt>
                <c:pt idx="26">
                  <c:v>0.285985772389663</c:v>
                </c:pt>
                <c:pt idx="27">
                  <c:v>0.32397205616411578</c:v>
                </c:pt>
                <c:pt idx="28">
                  <c:v>0.70808929215215899</c:v>
                </c:pt>
                <c:pt idx="29">
                  <c:v>0.48923671923356854</c:v>
                </c:pt>
                <c:pt idx="30">
                  <c:v>0.40720281517595963</c:v>
                </c:pt>
                <c:pt idx="31">
                  <c:v>0.3044434747679659</c:v>
                </c:pt>
                <c:pt idx="32">
                  <c:v>0.50622358757421593</c:v>
                </c:pt>
                <c:pt idx="33">
                  <c:v>0.36756187645773103</c:v>
                </c:pt>
                <c:pt idx="34">
                  <c:v>0.24649792968624246</c:v>
                </c:pt>
                <c:pt idx="35">
                  <c:v>0.23873616248040011</c:v>
                </c:pt>
                <c:pt idx="36">
                  <c:v>0.22695129958094518</c:v>
                </c:pt>
                <c:pt idx="37">
                  <c:v>0.29903302994464648</c:v>
                </c:pt>
                <c:pt idx="38">
                  <c:v>0.31271558551572132</c:v>
                </c:pt>
                <c:pt idx="39">
                  <c:v>0.2733909428300676</c:v>
                </c:pt>
                <c:pt idx="40">
                  <c:v>0.30218359637235148</c:v>
                </c:pt>
                <c:pt idx="41">
                  <c:v>0.38429847390591615</c:v>
                </c:pt>
                <c:pt idx="42">
                  <c:v>0.26694370714349269</c:v>
                </c:pt>
                <c:pt idx="43">
                  <c:v>0.29502134978834155</c:v>
                </c:pt>
                <c:pt idx="44">
                  <c:v>0.27834639303385411</c:v>
                </c:pt>
                <c:pt idx="45">
                  <c:v>0.14729793642258054</c:v>
                </c:pt>
                <c:pt idx="46">
                  <c:v>0.1121360963864494</c:v>
                </c:pt>
                <c:pt idx="47">
                  <c:v>0.29268464446138981</c:v>
                </c:pt>
                <c:pt idx="48">
                  <c:v>0.18279767338566724</c:v>
                </c:pt>
                <c:pt idx="49">
                  <c:v>0.13542105208305574</c:v>
                </c:pt>
                <c:pt idx="50">
                  <c:v>0.26717912334480254</c:v>
                </c:pt>
                <c:pt idx="51">
                  <c:v>0.34453844103928721</c:v>
                </c:pt>
                <c:pt idx="52">
                  <c:v>0.23167806453120032</c:v>
                </c:pt>
                <c:pt idx="53">
                  <c:v>0.52222576548093047</c:v>
                </c:pt>
                <c:pt idx="54">
                  <c:v>0.40482542143556594</c:v>
                </c:pt>
                <c:pt idx="55">
                  <c:v>0.38649989021713033</c:v>
                </c:pt>
                <c:pt idx="56">
                  <c:v>0.4682424276965384</c:v>
                </c:pt>
                <c:pt idx="57">
                  <c:v>0.29700848968357879</c:v>
                </c:pt>
                <c:pt idx="58">
                  <c:v>0.47771436826250557</c:v>
                </c:pt>
                <c:pt idx="59">
                  <c:v>0.71230525702800351</c:v>
                </c:pt>
                <c:pt idx="60">
                  <c:v>0.50119141654407995</c:v>
                </c:pt>
                <c:pt idx="61">
                  <c:v>0.56204849779356725</c:v>
                </c:pt>
                <c:pt idx="62">
                  <c:v>0.50247799288773087</c:v>
                </c:pt>
                <c:pt idx="63">
                  <c:v>0.50041211617547687</c:v>
                </c:pt>
                <c:pt idx="64">
                  <c:v>0.64243712927444241</c:v>
                </c:pt>
                <c:pt idx="65">
                  <c:v>0.75775646870538949</c:v>
                </c:pt>
                <c:pt idx="66">
                  <c:v>0.51231211573712965</c:v>
                </c:pt>
                <c:pt idx="67">
                  <c:v>0.52971032502645654</c:v>
                </c:pt>
                <c:pt idx="68">
                  <c:v>0.60833736904961844</c:v>
                </c:pt>
                <c:pt idx="69">
                  <c:v>0.49703727687338295</c:v>
                </c:pt>
                <c:pt idx="70">
                  <c:v>0.73374286255211685</c:v>
                </c:pt>
                <c:pt idx="71">
                  <c:v>0.66107690514669259</c:v>
                </c:pt>
                <c:pt idx="72">
                  <c:v>0.57567952474191098</c:v>
                </c:pt>
                <c:pt idx="73">
                  <c:v>0.57300878842598901</c:v>
                </c:pt>
                <c:pt idx="74">
                  <c:v>0.3975064156244586</c:v>
                </c:pt>
                <c:pt idx="75">
                  <c:v>0.53036116109367837</c:v>
                </c:pt>
                <c:pt idx="76">
                  <c:v>0.53661317409699683</c:v>
                </c:pt>
                <c:pt idx="77">
                  <c:v>0.59572304579492441</c:v>
                </c:pt>
                <c:pt idx="78">
                  <c:v>0.47425235545726996</c:v>
                </c:pt>
                <c:pt idx="79">
                  <c:v>0.17777749583565433</c:v>
                </c:pt>
                <c:pt idx="80">
                  <c:v>0.51924093082414446</c:v>
                </c:pt>
                <c:pt idx="81">
                  <c:v>0.66295185118190869</c:v>
                </c:pt>
                <c:pt idx="82">
                  <c:v>0.17928818858792789</c:v>
                </c:pt>
                <c:pt idx="83">
                  <c:v>0.54666467137733921</c:v>
                </c:pt>
                <c:pt idx="84">
                  <c:v>0.63096472420918182</c:v>
                </c:pt>
                <c:pt idx="85">
                  <c:v>0.36853116154084575</c:v>
                </c:pt>
                <c:pt idx="86">
                  <c:v>0.23639199051846041</c:v>
                </c:pt>
                <c:pt idx="87">
                  <c:v>0.80524743447636271</c:v>
                </c:pt>
                <c:pt idx="88">
                  <c:v>0.71073720097040227</c:v>
                </c:pt>
                <c:pt idx="89">
                  <c:v>0.81154762813541237</c:v>
                </c:pt>
                <c:pt idx="90">
                  <c:v>0.3010869932808109</c:v>
                </c:pt>
                <c:pt idx="91">
                  <c:v>0.51185421759449123</c:v>
                </c:pt>
                <c:pt idx="92">
                  <c:v>0.59217262035567098</c:v>
                </c:pt>
                <c:pt idx="93">
                  <c:v>0.64852486611976534</c:v>
                </c:pt>
                <c:pt idx="94">
                  <c:v>0.5331262129420431</c:v>
                </c:pt>
                <c:pt idx="95">
                  <c:v>1.544457048064982</c:v>
                </c:pt>
                <c:pt idx="96">
                  <c:v>2.2462238821339398</c:v>
                </c:pt>
                <c:pt idx="97">
                  <c:v>2.7403740668736098</c:v>
                </c:pt>
                <c:pt idx="98">
                  <c:v>0.55914642175924956</c:v>
                </c:pt>
                <c:pt idx="99">
                  <c:v>0.65747821429714637</c:v>
                </c:pt>
                <c:pt idx="100">
                  <c:v>1.8025617453242182</c:v>
                </c:pt>
                <c:pt idx="101">
                  <c:v>1.7730194216803519</c:v>
                </c:pt>
                <c:pt idx="102">
                  <c:v>2.7825713293564922</c:v>
                </c:pt>
                <c:pt idx="103">
                  <c:v>2.8580729399679057</c:v>
                </c:pt>
                <c:pt idx="104">
                  <c:v>1.5296184471345631</c:v>
                </c:pt>
                <c:pt idx="105">
                  <c:v>2.0450817906946042</c:v>
                </c:pt>
                <c:pt idx="106">
                  <c:v>0.9054755318152492</c:v>
                </c:pt>
                <c:pt idx="107">
                  <c:v>2.0057596061049061</c:v>
                </c:pt>
                <c:pt idx="108">
                  <c:v>2.8195444790178263</c:v>
                </c:pt>
                <c:pt idx="109">
                  <c:v>2.1357804988741877</c:v>
                </c:pt>
                <c:pt idx="110">
                  <c:v>2.0587701735455632</c:v>
                </c:pt>
                <c:pt idx="111">
                  <c:v>1.9538960444594173</c:v>
                </c:pt>
                <c:pt idx="112">
                  <c:v>1.8267328524625757</c:v>
                </c:pt>
                <c:pt idx="113">
                  <c:v>1.4554609701892327</c:v>
                </c:pt>
                <c:pt idx="114">
                  <c:v>1.0519805102451369</c:v>
                </c:pt>
                <c:pt idx="115">
                  <c:v>0.18338486567849091</c:v>
                </c:pt>
                <c:pt idx="116">
                  <c:v>0.12565100148485547</c:v>
                </c:pt>
                <c:pt idx="117">
                  <c:v>9.2250470947802657E-2</c:v>
                </c:pt>
                <c:pt idx="118">
                  <c:v>0.11721040033002036</c:v>
                </c:pt>
                <c:pt idx="119">
                  <c:v>0.22089765633500441</c:v>
                </c:pt>
                <c:pt idx="120">
                  <c:v>0.15558831540108367</c:v>
                </c:pt>
                <c:pt idx="121">
                  <c:v>0.17624528513201027</c:v>
                </c:pt>
                <c:pt idx="122">
                  <c:v>3.26109521194457</c:v>
                </c:pt>
                <c:pt idx="123">
                  <c:v>3.5108939291486272</c:v>
                </c:pt>
                <c:pt idx="124">
                  <c:v>1.8347920839947904</c:v>
                </c:pt>
                <c:pt idx="125">
                  <c:v>2.3180960773382258</c:v>
                </c:pt>
                <c:pt idx="126">
                  <c:v>2.3098956402808484</c:v>
                </c:pt>
                <c:pt idx="127">
                  <c:v>1.1894190159761655</c:v>
                </c:pt>
                <c:pt idx="128">
                  <c:v>1.0128966593951296</c:v>
                </c:pt>
                <c:pt idx="129">
                  <c:v>1.6752583694813865</c:v>
                </c:pt>
                <c:pt idx="130">
                  <c:v>2.0078229243750494</c:v>
                </c:pt>
                <c:pt idx="131">
                  <c:v>1.7792827211843003</c:v>
                </c:pt>
                <c:pt idx="132">
                  <c:v>1.7974648348283273</c:v>
                </c:pt>
                <c:pt idx="133">
                  <c:v>3.3284849965011971</c:v>
                </c:pt>
                <c:pt idx="134">
                  <c:v>2.8993397988111576</c:v>
                </c:pt>
                <c:pt idx="135">
                  <c:v>2.50854768260939</c:v>
                </c:pt>
                <c:pt idx="136">
                  <c:v>2.1391182764196079</c:v>
                </c:pt>
                <c:pt idx="137">
                  <c:v>1.5845985405720171</c:v>
                </c:pt>
                <c:pt idx="138">
                  <c:v>2.0599728874188252</c:v>
                </c:pt>
                <c:pt idx="139">
                  <c:v>1.3840695607727054</c:v>
                </c:pt>
                <c:pt idx="140">
                  <c:v>1.3261454247192661</c:v>
                </c:pt>
                <c:pt idx="141">
                  <c:v>1.4342188635252506</c:v>
                </c:pt>
                <c:pt idx="142">
                  <c:v>1.0347815095352262</c:v>
                </c:pt>
                <c:pt idx="143">
                  <c:v>1.6121777225254605</c:v>
                </c:pt>
                <c:pt idx="144">
                  <c:v>1.6734604941032085</c:v>
                </c:pt>
                <c:pt idx="145">
                  <c:v>1.4202191864235743</c:v>
                </c:pt>
                <c:pt idx="146">
                  <c:v>1.3303157020323815</c:v>
                </c:pt>
                <c:pt idx="147">
                  <c:v>1.1322635869484374</c:v>
                </c:pt>
                <c:pt idx="148">
                  <c:v>1.3302127626275482</c:v>
                </c:pt>
                <c:pt idx="149">
                  <c:v>1.7065753681019233</c:v>
                </c:pt>
                <c:pt idx="150">
                  <c:v>1.5974676387464901</c:v>
                </c:pt>
                <c:pt idx="151">
                  <c:v>1.8357599940245972</c:v>
                </c:pt>
                <c:pt idx="152">
                  <c:v>2.0987319309847368</c:v>
                </c:pt>
                <c:pt idx="153">
                  <c:v>2.0001127109701931</c:v>
                </c:pt>
                <c:pt idx="154">
                  <c:v>2.4885240242214608</c:v>
                </c:pt>
                <c:pt idx="155">
                  <c:v>2.1370014791771594</c:v>
                </c:pt>
                <c:pt idx="156">
                  <c:v>2.044866360664312</c:v>
                </c:pt>
                <c:pt idx="157">
                  <c:v>2.413543111373142</c:v>
                </c:pt>
                <c:pt idx="158">
                  <c:v>2.6889097227223355</c:v>
                </c:pt>
                <c:pt idx="159">
                  <c:v>2.7226483933129524</c:v>
                </c:pt>
                <c:pt idx="160">
                  <c:v>2.6751046384948007</c:v>
                </c:pt>
                <c:pt idx="161">
                  <c:v>2.9358629071871931</c:v>
                </c:pt>
                <c:pt idx="162">
                  <c:v>3.0068415552268566</c:v>
                </c:pt>
                <c:pt idx="163">
                  <c:v>2.6891088813386976</c:v>
                </c:pt>
                <c:pt idx="164">
                  <c:v>2.9765658556249135</c:v>
                </c:pt>
                <c:pt idx="165">
                  <c:v>3.1197736461350347</c:v>
                </c:pt>
                <c:pt idx="166">
                  <c:v>2.3683729099998732</c:v>
                </c:pt>
                <c:pt idx="167">
                  <c:v>2.8373305224611673</c:v>
                </c:pt>
                <c:pt idx="168">
                  <c:v>3.0005313397484561</c:v>
                </c:pt>
                <c:pt idx="169">
                  <c:v>3.5278253610544112</c:v>
                </c:pt>
                <c:pt idx="170">
                  <c:v>3.6828003876375273</c:v>
                </c:pt>
                <c:pt idx="171">
                  <c:v>3.661442643769107</c:v>
                </c:pt>
                <c:pt idx="172">
                  <c:v>5.7785796453409848</c:v>
                </c:pt>
                <c:pt idx="173">
                  <c:v>4.7315826626833584</c:v>
                </c:pt>
                <c:pt idx="174">
                  <c:v>3.9225047674897038</c:v>
                </c:pt>
                <c:pt idx="175">
                  <c:v>3.4887811943278733</c:v>
                </c:pt>
                <c:pt idx="176">
                  <c:v>4.7781174291639559</c:v>
                </c:pt>
                <c:pt idx="177">
                  <c:v>4.3943474677887968</c:v>
                </c:pt>
                <c:pt idx="178">
                  <c:v>4.0350069760611138</c:v>
                </c:pt>
                <c:pt idx="179">
                  <c:v>3.7594732999514968</c:v>
                </c:pt>
                <c:pt idx="180">
                  <c:v>5.3323357772925002</c:v>
                </c:pt>
                <c:pt idx="181">
                  <c:v>5.4183242702454777</c:v>
                </c:pt>
                <c:pt idx="182">
                  <c:v>5.6314145933277988</c:v>
                </c:pt>
                <c:pt idx="183">
                  <c:v>5.8158287711922281</c:v>
                </c:pt>
                <c:pt idx="184">
                  <c:v>5.3013454647737897</c:v>
                </c:pt>
                <c:pt idx="185">
                  <c:v>5.4410669894606993</c:v>
                </c:pt>
                <c:pt idx="186">
                  <c:v>3.6507779832915186</c:v>
                </c:pt>
                <c:pt idx="187">
                  <c:v>4.0069036574846066</c:v>
                </c:pt>
                <c:pt idx="188">
                  <c:v>4.6735270527509485</c:v>
                </c:pt>
                <c:pt idx="189">
                  <c:v>4.6384698826194937</c:v>
                </c:pt>
                <c:pt idx="190">
                  <c:v>5.0002065807991025</c:v>
                </c:pt>
                <c:pt idx="191">
                  <c:v>5.0748425499554548</c:v>
                </c:pt>
                <c:pt idx="192">
                  <c:v>5.4048278377022019</c:v>
                </c:pt>
                <c:pt idx="193">
                  <c:v>4.6666584035397749</c:v>
                </c:pt>
                <c:pt idx="194">
                  <c:v>4.3620937193864249</c:v>
                </c:pt>
                <c:pt idx="195">
                  <c:v>4.6049530294273175</c:v>
                </c:pt>
                <c:pt idx="196">
                  <c:v>4.5971525479751634</c:v>
                </c:pt>
                <c:pt idx="197">
                  <c:v>4.8453968092497526</c:v>
                </c:pt>
                <c:pt idx="198">
                  <c:v>4.6794202367962185</c:v>
                </c:pt>
                <c:pt idx="199">
                  <c:v>4.6049494807362379</c:v>
                </c:pt>
                <c:pt idx="200">
                  <c:v>4.7864340706250763</c:v>
                </c:pt>
                <c:pt idx="201">
                  <c:v>5.2637875278257855</c:v>
                </c:pt>
                <c:pt idx="202">
                  <c:v>4.5240547162021141</c:v>
                </c:pt>
                <c:pt idx="203">
                  <c:v>4.1741525271884914</c:v>
                </c:pt>
                <c:pt idx="204">
                  <c:v>4.2480091922806587</c:v>
                </c:pt>
                <c:pt idx="205">
                  <c:v>4.9052252013948658</c:v>
                </c:pt>
                <c:pt idx="206">
                  <c:v>3.9327112484675313</c:v>
                </c:pt>
                <c:pt idx="207">
                  <c:v>4.7108108506508142</c:v>
                </c:pt>
                <c:pt idx="208">
                  <c:v>3.8668373505215627</c:v>
                </c:pt>
                <c:pt idx="209">
                  <c:v>4.7742840373062929</c:v>
                </c:pt>
                <c:pt idx="210">
                  <c:v>4.678165890467068</c:v>
                </c:pt>
                <c:pt idx="211">
                  <c:v>4.0513901520129778</c:v>
                </c:pt>
                <c:pt idx="212">
                  <c:v>3.8797145653654783</c:v>
                </c:pt>
                <c:pt idx="213">
                  <c:v>4.64548146424241</c:v>
                </c:pt>
                <c:pt idx="214">
                  <c:v>3.2739256157937642</c:v>
                </c:pt>
                <c:pt idx="215">
                  <c:v>4.7625356690726912</c:v>
                </c:pt>
                <c:pt idx="216">
                  <c:v>4.4143767315532951</c:v>
                </c:pt>
                <c:pt idx="217">
                  <c:v>4.187650628937412</c:v>
                </c:pt>
                <c:pt idx="218">
                  <c:v>4.7155215582115693</c:v>
                </c:pt>
                <c:pt idx="219">
                  <c:v>4.9974328841528957</c:v>
                </c:pt>
                <c:pt idx="220">
                  <c:v>3.765326867928501</c:v>
                </c:pt>
                <c:pt idx="221">
                  <c:v>4.3427510764983674</c:v>
                </c:pt>
                <c:pt idx="222">
                  <c:v>4.0715906481107353</c:v>
                </c:pt>
                <c:pt idx="223">
                  <c:v>3.5427416273737085</c:v>
                </c:pt>
                <c:pt idx="224">
                  <c:v>3.4818081625462991</c:v>
                </c:pt>
                <c:pt idx="225">
                  <c:v>4.1743124340524282</c:v>
                </c:pt>
                <c:pt idx="226">
                  <c:v>3.9897053448566568</c:v>
                </c:pt>
                <c:pt idx="227">
                  <c:v>1.5544828740036385</c:v>
                </c:pt>
                <c:pt idx="228">
                  <c:v>2.4702558263344438</c:v>
                </c:pt>
                <c:pt idx="229">
                  <c:v>4.3836740500314386</c:v>
                </c:pt>
                <c:pt idx="230">
                  <c:v>3.1808929859376072</c:v>
                </c:pt>
                <c:pt idx="231">
                  <c:v>4.2782231947704235</c:v>
                </c:pt>
                <c:pt idx="232">
                  <c:v>4.4265742201587823</c:v>
                </c:pt>
                <c:pt idx="233">
                  <c:v>4.4379529846071293</c:v>
                </c:pt>
                <c:pt idx="234">
                  <c:v>3.9743443079297411</c:v>
                </c:pt>
                <c:pt idx="235">
                  <c:v>3.1825557637338289</c:v>
                </c:pt>
                <c:pt idx="236">
                  <c:v>3.8110782970150194</c:v>
                </c:pt>
                <c:pt idx="237">
                  <c:v>3.7371863860034251</c:v>
                </c:pt>
                <c:pt idx="238">
                  <c:v>3.1900411317311614</c:v>
                </c:pt>
                <c:pt idx="239">
                  <c:v>2.3094496935383564</c:v>
                </c:pt>
                <c:pt idx="240">
                  <c:v>3.1286605397549834</c:v>
                </c:pt>
                <c:pt idx="241">
                  <c:v>3.4497470270629327</c:v>
                </c:pt>
                <c:pt idx="242">
                  <c:v>3.499232707556847</c:v>
                </c:pt>
                <c:pt idx="243">
                  <c:v>2.8740433492111825</c:v>
                </c:pt>
                <c:pt idx="244">
                  <c:v>3.0095642794291084</c:v>
                </c:pt>
                <c:pt idx="245">
                  <c:v>3.1251618731432647</c:v>
                </c:pt>
                <c:pt idx="246">
                  <c:v>3.4076769653785171</c:v>
                </c:pt>
                <c:pt idx="247">
                  <c:v>3.3525763934691746</c:v>
                </c:pt>
                <c:pt idx="248">
                  <c:v>3.0057760474051092</c:v>
                </c:pt>
                <c:pt idx="249">
                  <c:v>2.4003364880897791</c:v>
                </c:pt>
                <c:pt idx="250">
                  <c:v>1.7658869749973025</c:v>
                </c:pt>
                <c:pt idx="251">
                  <c:v>2.4351224429943956</c:v>
                </c:pt>
                <c:pt idx="252">
                  <c:v>2.410602850835335</c:v>
                </c:pt>
                <c:pt idx="253">
                  <c:v>2.1426882703460444</c:v>
                </c:pt>
                <c:pt idx="254">
                  <c:v>2.3638382158661417</c:v>
                </c:pt>
                <c:pt idx="255">
                  <c:v>2.9504060037813469</c:v>
                </c:pt>
                <c:pt idx="256">
                  <c:v>0.72926566245975233</c:v>
                </c:pt>
                <c:pt idx="257">
                  <c:v>1.9750886743136791</c:v>
                </c:pt>
                <c:pt idx="258">
                  <c:v>1.8174933773647386</c:v>
                </c:pt>
                <c:pt idx="259">
                  <c:v>1.6026566119507479</c:v>
                </c:pt>
                <c:pt idx="260">
                  <c:v>1.2737546108681213</c:v>
                </c:pt>
                <c:pt idx="261">
                  <c:v>1.5963768785764862</c:v>
                </c:pt>
                <c:pt idx="262">
                  <c:v>1.4757335499086488</c:v>
                </c:pt>
                <c:pt idx="263">
                  <c:v>1.2507110105440857</c:v>
                </c:pt>
                <c:pt idx="264">
                  <c:v>1.2227122770286665</c:v>
                </c:pt>
                <c:pt idx="265">
                  <c:v>1.0401766740728093</c:v>
                </c:pt>
                <c:pt idx="266">
                  <c:v>1.2707577767361489</c:v>
                </c:pt>
                <c:pt idx="267">
                  <c:v>0.34673704389125543</c:v>
                </c:pt>
                <c:pt idx="268">
                  <c:v>0.95440750698531163</c:v>
                </c:pt>
                <c:pt idx="269">
                  <c:v>1.4362217134621298</c:v>
                </c:pt>
                <c:pt idx="270">
                  <c:v>1.3213318611957152</c:v>
                </c:pt>
                <c:pt idx="271">
                  <c:v>1.0959170786027326</c:v>
                </c:pt>
                <c:pt idx="272">
                  <c:v>0.93775778668697496</c:v>
                </c:pt>
                <c:pt idx="273">
                  <c:v>0.45864790422924573</c:v>
                </c:pt>
                <c:pt idx="274">
                  <c:v>0.55638667494747462</c:v>
                </c:pt>
                <c:pt idx="275">
                  <c:v>0.45499183950342137</c:v>
                </c:pt>
                <c:pt idx="276">
                  <c:v>0.71704004297633483</c:v>
                </c:pt>
                <c:pt idx="277">
                  <c:v>0.74077794342863967</c:v>
                </c:pt>
                <c:pt idx="278">
                  <c:v>0.69893735338662855</c:v>
                </c:pt>
                <c:pt idx="279">
                  <c:v>0.45520868691936872</c:v>
                </c:pt>
                <c:pt idx="280">
                  <c:v>0.73631090753037443</c:v>
                </c:pt>
                <c:pt idx="281">
                  <c:v>0.59894273592923486</c:v>
                </c:pt>
                <c:pt idx="282">
                  <c:v>1.6683295019515749</c:v>
                </c:pt>
                <c:pt idx="283">
                  <c:v>1.600540494636983</c:v>
                </c:pt>
                <c:pt idx="284">
                  <c:v>1.4500683622844639</c:v>
                </c:pt>
                <c:pt idx="285">
                  <c:v>1.3545779992618605</c:v>
                </c:pt>
                <c:pt idx="286">
                  <c:v>1.3361346564765739</c:v>
                </c:pt>
                <c:pt idx="287">
                  <c:v>1.3813160490172676</c:v>
                </c:pt>
                <c:pt idx="288">
                  <c:v>1.4073585296397064</c:v>
                </c:pt>
                <c:pt idx="289">
                  <c:v>1.2532437836599113</c:v>
                </c:pt>
                <c:pt idx="290">
                  <c:v>1.1122635660542977</c:v>
                </c:pt>
                <c:pt idx="291">
                  <c:v>0.48608475307692989</c:v>
                </c:pt>
                <c:pt idx="292">
                  <c:v>0.62333080091801207</c:v>
                </c:pt>
                <c:pt idx="293">
                  <c:v>0.7307868804816211</c:v>
                </c:pt>
                <c:pt idx="294">
                  <c:v>0.75648137082566103</c:v>
                </c:pt>
                <c:pt idx="295">
                  <c:v>0.19435463997079941</c:v>
                </c:pt>
                <c:pt idx="296">
                  <c:v>0.7270812079713298</c:v>
                </c:pt>
                <c:pt idx="297">
                  <c:v>0.84642313803412872</c:v>
                </c:pt>
                <c:pt idx="298">
                  <c:v>0.74026671111251174</c:v>
                </c:pt>
                <c:pt idx="299">
                  <c:v>0.9414882628784369</c:v>
                </c:pt>
                <c:pt idx="300">
                  <c:v>0.72605619670195076</c:v>
                </c:pt>
                <c:pt idx="301">
                  <c:v>0.75621877679093952</c:v>
                </c:pt>
                <c:pt idx="302">
                  <c:v>0.67165390744766773</c:v>
                </c:pt>
                <c:pt idx="303">
                  <c:v>0.64415961762600971</c:v>
                </c:pt>
                <c:pt idx="304">
                  <c:v>0.74538967087340513</c:v>
                </c:pt>
                <c:pt idx="305">
                  <c:v>1.4094644918899106</c:v>
                </c:pt>
                <c:pt idx="306">
                  <c:v>0.77483428453175118</c:v>
                </c:pt>
                <c:pt idx="307">
                  <c:v>0.69627906419643282</c:v>
                </c:pt>
                <c:pt idx="308">
                  <c:v>0.82380432232413581</c:v>
                </c:pt>
                <c:pt idx="309">
                  <c:v>0.77524623102110846</c:v>
                </c:pt>
                <c:pt idx="310">
                  <c:v>0.67290568992764643</c:v>
                </c:pt>
                <c:pt idx="311">
                  <c:v>0.4993070600914411</c:v>
                </c:pt>
                <c:pt idx="312">
                  <c:v>0.52428006724310661</c:v>
                </c:pt>
                <c:pt idx="313">
                  <c:v>0.55239465082087702</c:v>
                </c:pt>
                <c:pt idx="314">
                  <c:v>0.5041315832908706</c:v>
                </c:pt>
                <c:pt idx="315">
                  <c:v>0.71633795880422124</c:v>
                </c:pt>
                <c:pt idx="316">
                  <c:v>0.62465944309931476</c:v>
                </c:pt>
                <c:pt idx="317">
                  <c:v>0.63114079820534308</c:v>
                </c:pt>
                <c:pt idx="318">
                  <c:v>0.46038921267168009</c:v>
                </c:pt>
                <c:pt idx="319">
                  <c:v>0.25879872505012014</c:v>
                </c:pt>
                <c:pt idx="320">
                  <c:v>0.1945856189810036</c:v>
                </c:pt>
                <c:pt idx="321">
                  <c:v>0.33660678877808625</c:v>
                </c:pt>
                <c:pt idx="322">
                  <c:v>0.46885678909454831</c:v>
                </c:pt>
                <c:pt idx="323">
                  <c:v>0.57084774411823203</c:v>
                </c:pt>
                <c:pt idx="324">
                  <c:v>0.37487295476141469</c:v>
                </c:pt>
                <c:pt idx="325">
                  <c:v>0.4260056119061576</c:v>
                </c:pt>
                <c:pt idx="326">
                  <c:v>0.46313601219533518</c:v>
                </c:pt>
                <c:pt idx="327">
                  <c:v>0.33432812364454279</c:v>
                </c:pt>
                <c:pt idx="328">
                  <c:v>0.1671292997731012</c:v>
                </c:pt>
                <c:pt idx="329">
                  <c:v>0.43594693811391988</c:v>
                </c:pt>
                <c:pt idx="330">
                  <c:v>0.25253626548660785</c:v>
                </c:pt>
                <c:pt idx="331">
                  <c:v>0.35394784009418029</c:v>
                </c:pt>
                <c:pt idx="332">
                  <c:v>0.50583550111434716</c:v>
                </c:pt>
                <c:pt idx="333">
                  <c:v>0.41945448978005212</c:v>
                </c:pt>
                <c:pt idx="334">
                  <c:v>0.53523019075374223</c:v>
                </c:pt>
                <c:pt idx="335">
                  <c:v>0.42990091199064212</c:v>
                </c:pt>
                <c:pt idx="336">
                  <c:v>0.31782845241298524</c:v>
                </c:pt>
                <c:pt idx="337">
                  <c:v>0.36654342092370579</c:v>
                </c:pt>
                <c:pt idx="338">
                  <c:v>0.28473646806328301</c:v>
                </c:pt>
                <c:pt idx="339">
                  <c:v>0.14183045577490988</c:v>
                </c:pt>
                <c:pt idx="340">
                  <c:v>0.32510054840142827</c:v>
                </c:pt>
                <c:pt idx="341">
                  <c:v>0.20088184495516936</c:v>
                </c:pt>
                <c:pt idx="342">
                  <c:v>0.27131545165882481</c:v>
                </c:pt>
                <c:pt idx="343">
                  <c:v>0.18027551102154551</c:v>
                </c:pt>
                <c:pt idx="344">
                  <c:v>0.18420264859956537</c:v>
                </c:pt>
                <c:pt idx="345">
                  <c:v>0.30685465754909597</c:v>
                </c:pt>
                <c:pt idx="346">
                  <c:v>0.16808540889579146</c:v>
                </c:pt>
                <c:pt idx="347">
                  <c:v>0.13748735930487146</c:v>
                </c:pt>
                <c:pt idx="348">
                  <c:v>0.23056022942428847</c:v>
                </c:pt>
                <c:pt idx="349">
                  <c:v>0.23645401350682108</c:v>
                </c:pt>
                <c:pt idx="350">
                  <c:v>0.24953354902349878</c:v>
                </c:pt>
                <c:pt idx="351">
                  <c:v>0.2488142953183938</c:v>
                </c:pt>
                <c:pt idx="352">
                  <c:v>0.34458514186714045</c:v>
                </c:pt>
                <c:pt idx="353">
                  <c:v>0.17903472108005777</c:v>
                </c:pt>
                <c:pt idx="354">
                  <c:v>8.3250128268309825E-2</c:v>
                </c:pt>
                <c:pt idx="355">
                  <c:v>0.12424376429990841</c:v>
                </c:pt>
                <c:pt idx="356">
                  <c:v>0.21026061993618908</c:v>
                </c:pt>
                <c:pt idx="357">
                  <c:v>0.13219925386697701</c:v>
                </c:pt>
                <c:pt idx="358">
                  <c:v>0.14368142528710837</c:v>
                </c:pt>
                <c:pt idx="359">
                  <c:v>0.22969945155247995</c:v>
                </c:pt>
                <c:pt idx="360">
                  <c:v>0.31180162908252052</c:v>
                </c:pt>
                <c:pt idx="361">
                  <c:v>0.37944730167025564</c:v>
                </c:pt>
                <c:pt idx="362">
                  <c:v>0.31314899920276607</c:v>
                </c:pt>
                <c:pt idx="363">
                  <c:v>0.27377811009945852</c:v>
                </c:pt>
                <c:pt idx="364">
                  <c:v>0.24887813645274978</c:v>
                </c:pt>
                <c:pt idx="365">
                  <c:v>0.25277005281104281</c:v>
                </c:pt>
                <c:pt idx="366">
                  <c:v>0.29790546366253501</c:v>
                </c:pt>
                <c:pt idx="367">
                  <c:v>0.31362911032376878</c:v>
                </c:pt>
                <c:pt idx="368">
                  <c:v>0.29871322728992139</c:v>
                </c:pt>
                <c:pt idx="369">
                  <c:v>0.18147704035783399</c:v>
                </c:pt>
                <c:pt idx="370">
                  <c:v>0.36325061958294724</c:v>
                </c:pt>
                <c:pt idx="371">
                  <c:v>0.419221581206076</c:v>
                </c:pt>
                <c:pt idx="372">
                  <c:v>0.89393012028660157</c:v>
                </c:pt>
                <c:pt idx="373">
                  <c:v>0.31566968353598202</c:v>
                </c:pt>
                <c:pt idx="374">
                  <c:v>0.40628100923185589</c:v>
                </c:pt>
                <c:pt idx="375">
                  <c:v>0.32168519466665274</c:v>
                </c:pt>
                <c:pt idx="376">
                  <c:v>0.20383391980328969</c:v>
                </c:pt>
                <c:pt idx="377">
                  <c:v>0.27883645006366503</c:v>
                </c:pt>
                <c:pt idx="378">
                  <c:v>0.22162850418281965</c:v>
                </c:pt>
                <c:pt idx="379">
                  <c:v>0.19044036433241124</c:v>
                </c:pt>
                <c:pt idx="380">
                  <c:v>0.22106770832380221</c:v>
                </c:pt>
                <c:pt idx="381">
                  <c:v>0.32820193826968302</c:v>
                </c:pt>
                <c:pt idx="382">
                  <c:v>0.24193833779023616</c:v>
                </c:pt>
                <c:pt idx="383">
                  <c:v>0.2749146738940782</c:v>
                </c:pt>
                <c:pt idx="384">
                  <c:v>0.26829745329586413</c:v>
                </c:pt>
                <c:pt idx="385">
                  <c:v>0.32164876549589255</c:v>
                </c:pt>
                <c:pt idx="386">
                  <c:v>0.3463721853346195</c:v>
                </c:pt>
                <c:pt idx="387">
                  <c:v>0.29657357856069139</c:v>
                </c:pt>
                <c:pt idx="388">
                  <c:v>0.31965327542126515</c:v>
                </c:pt>
                <c:pt idx="389">
                  <c:v>0.35170866370778958</c:v>
                </c:pt>
                <c:pt idx="390">
                  <c:v>0.37569176649851915</c:v>
                </c:pt>
                <c:pt idx="391">
                  <c:v>0.27749400869000224</c:v>
                </c:pt>
                <c:pt idx="392">
                  <c:v>0.32616642749761021</c:v>
                </c:pt>
                <c:pt idx="393">
                  <c:v>0.37889801008717211</c:v>
                </c:pt>
                <c:pt idx="394">
                  <c:v>0.87382825300171574</c:v>
                </c:pt>
                <c:pt idx="395">
                  <c:v>0.62542505666516446</c:v>
                </c:pt>
                <c:pt idx="396">
                  <c:v>0.53554994028824499</c:v>
                </c:pt>
                <c:pt idx="397">
                  <c:v>0.40876394679227435</c:v>
                </c:pt>
                <c:pt idx="398">
                  <c:v>0.70299512571996048</c:v>
                </c:pt>
                <c:pt idx="399">
                  <c:v>0.52268485395733266</c:v>
                </c:pt>
                <c:pt idx="400">
                  <c:v>0.35602178422268321</c:v>
                </c:pt>
                <c:pt idx="401">
                  <c:v>0.34996759826094676</c:v>
                </c:pt>
                <c:pt idx="402">
                  <c:v>0.33735375088067565</c:v>
                </c:pt>
                <c:pt idx="403">
                  <c:v>0.45261845608379569</c:v>
                </c:pt>
                <c:pt idx="404">
                  <c:v>0.48221891632865765</c:v>
                </c:pt>
                <c:pt idx="405">
                  <c:v>0.42837237696501085</c:v>
                </c:pt>
                <c:pt idx="406">
                  <c:v>0.48180142998480024</c:v>
                </c:pt>
                <c:pt idx="407">
                  <c:v>0.62621772203212567</c:v>
                </c:pt>
                <c:pt idx="408">
                  <c:v>0.44148217866271955</c:v>
                </c:pt>
                <c:pt idx="409">
                  <c:v>0.49586424822221931</c:v>
                </c:pt>
                <c:pt idx="410">
                  <c:v>0.4639874533535075</c:v>
                </c:pt>
                <c:pt idx="411">
                  <c:v>0.25329508995139449</c:v>
                </c:pt>
                <c:pt idx="412">
                  <c:v>0.19397498465937354</c:v>
                </c:pt>
                <c:pt idx="413">
                  <c:v>0.51413034315244155</c:v>
                </c:pt>
                <c:pt idx="414">
                  <c:v>0.32415395748802134</c:v>
                </c:pt>
                <c:pt idx="415">
                  <c:v>0.24181464380937145</c:v>
                </c:pt>
                <c:pt idx="416">
                  <c:v>0.48362787946540586</c:v>
                </c:pt>
                <c:pt idx="417">
                  <c:v>0.63456302156181654</c:v>
                </c:pt>
                <c:pt idx="418">
                  <c:v>0.43162024761569717</c:v>
                </c:pt>
                <c:pt idx="419">
                  <c:v>0.99812301236253043</c:v>
                </c:pt>
                <c:pt idx="420">
                  <c:v>0.78885949822210677</c:v>
                </c:pt>
                <c:pt idx="421">
                  <c:v>0.76694144581611123</c:v>
                </c:pt>
                <c:pt idx="422">
                  <c:v>0.9494475789572282</c:v>
                </c:pt>
                <c:pt idx="423">
                  <c:v>0.61038356993801612</c:v>
                </c:pt>
                <c:pt idx="424">
                  <c:v>1.0029280425043281</c:v>
                </c:pt>
                <c:pt idx="425">
                  <c:v>1.5428201695246244</c:v>
                </c:pt>
                <c:pt idx="426">
                  <c:v>1.1089404563265983</c:v>
                </c:pt>
                <c:pt idx="427">
                  <c:v>1.2102092963396802</c:v>
                </c:pt>
                <c:pt idx="428">
                  <c:v>1.1616992725822906</c:v>
                </c:pt>
                <c:pt idx="429">
                  <c:v>1.1803120260907762</c:v>
                </c:pt>
                <c:pt idx="430">
                  <c:v>1.5540065186768752</c:v>
                </c:pt>
                <c:pt idx="431">
                  <c:v>1.8869927083780851</c:v>
                </c:pt>
                <c:pt idx="432">
                  <c:v>1.1813890406787646</c:v>
                </c:pt>
                <c:pt idx="433">
                  <c:v>1.1367856399997227</c:v>
                </c:pt>
                <c:pt idx="434">
                  <c:v>1.2196741640091644</c:v>
                </c:pt>
                <c:pt idx="435">
                  <c:v>0.9508718424553676</c:v>
                </c:pt>
                <c:pt idx="436">
                  <c:v>1.3233416286151714</c:v>
                </c:pt>
                <c:pt idx="437">
                  <c:v>1.1400640059090652</c:v>
                </c:pt>
                <c:pt idx="438">
                  <c:v>0.959611797440308</c:v>
                </c:pt>
                <c:pt idx="439">
                  <c:v>0.92682742223207948</c:v>
                </c:pt>
                <c:pt idx="440">
                  <c:v>0.63086551015234238</c:v>
                </c:pt>
                <c:pt idx="441">
                  <c:v>0.82228811910430077</c:v>
                </c:pt>
                <c:pt idx="442">
                  <c:v>0.81423993692773744</c:v>
                </c:pt>
                <c:pt idx="443">
                  <c:v>1.8632929803304217</c:v>
                </c:pt>
                <c:pt idx="444">
                  <c:v>1.5046992878993968</c:v>
                </c:pt>
                <c:pt idx="445">
                  <c:v>0.5670363514223028</c:v>
                </c:pt>
                <c:pt idx="446">
                  <c:v>1.6817895875676527</c:v>
                </c:pt>
                <c:pt idx="447">
                  <c:v>2.189163173469947</c:v>
                </c:pt>
                <c:pt idx="448">
                  <c:v>0.59508101334800811</c:v>
                </c:pt>
                <c:pt idx="449">
                  <c:v>1.8429304301262457</c:v>
                </c:pt>
                <c:pt idx="450">
                  <c:v>2.0100562702967393</c:v>
                </c:pt>
                <c:pt idx="451">
                  <c:v>1.0851121105301988</c:v>
                </c:pt>
                <c:pt idx="452">
                  <c:v>0.66624326874495821</c:v>
                </c:pt>
                <c:pt idx="453">
                  <c:v>2.0078738036091472</c:v>
                </c:pt>
                <c:pt idx="454">
                  <c:v>1.6302762747412147</c:v>
                </c:pt>
                <c:pt idx="455">
                  <c:v>3.0128266084576651</c:v>
                </c:pt>
                <c:pt idx="456">
                  <c:v>1.1264323097187923</c:v>
                </c:pt>
                <c:pt idx="457">
                  <c:v>1.9400781724311378</c:v>
                </c:pt>
                <c:pt idx="458">
                  <c:v>2.2781902768404567</c:v>
                </c:pt>
                <c:pt idx="459">
                  <c:v>2.1801460590778925</c:v>
                </c:pt>
                <c:pt idx="460">
                  <c:v>0.4431909298827949</c:v>
                </c:pt>
                <c:pt idx="461">
                  <c:v>1.1769766764015388</c:v>
                </c:pt>
                <c:pt idx="462">
                  <c:v>1.5412089322286655</c:v>
                </c:pt>
                <c:pt idx="463">
                  <c:v>1.8031673449178276</c:v>
                </c:pt>
                <c:pt idx="464">
                  <c:v>0.33688174338534482</c:v>
                </c:pt>
                <c:pt idx="465">
                  <c:v>0.38782887763460688</c:v>
                </c:pt>
                <c:pt idx="466">
                  <c:v>1.0074486679778736</c:v>
                </c:pt>
                <c:pt idx="467">
                  <c:v>0.94443241643021714</c:v>
                </c:pt>
                <c:pt idx="468">
                  <c:v>1.3855458621731909</c:v>
                </c:pt>
                <c:pt idx="469">
                  <c:v>1.3387223219745954</c:v>
                </c:pt>
                <c:pt idx="470">
                  <c:v>0.69531632790240794</c:v>
                </c:pt>
                <c:pt idx="471">
                  <c:v>0.89538262939588209</c:v>
                </c:pt>
                <c:pt idx="472">
                  <c:v>0.39022883470438824</c:v>
                </c:pt>
                <c:pt idx="473">
                  <c:v>0.83607215947020563</c:v>
                </c:pt>
                <c:pt idx="474">
                  <c:v>1.1252642728222297</c:v>
                </c:pt>
                <c:pt idx="475">
                  <c:v>0.98052277635490448</c:v>
                </c:pt>
                <c:pt idx="476">
                  <c:v>1.0605867822051114</c:v>
                </c:pt>
                <c:pt idx="477">
                  <c:v>1.0991280433109984</c:v>
                </c:pt>
                <c:pt idx="478">
                  <c:v>3.1992274511382881</c:v>
                </c:pt>
                <c:pt idx="479">
                  <c:v>2.7491894624923838</c:v>
                </c:pt>
                <c:pt idx="480">
                  <c:v>2.0908017737569824</c:v>
                </c:pt>
                <c:pt idx="481">
                  <c:v>0.36756861419021913</c:v>
                </c:pt>
                <c:pt idx="482">
                  <c:v>0.25330004953658475</c:v>
                </c:pt>
                <c:pt idx="483">
                  <c:v>0.18674944588482648</c:v>
                </c:pt>
                <c:pt idx="484">
                  <c:v>0.23854048170874154</c:v>
                </c:pt>
                <c:pt idx="485">
                  <c:v>0.22089765633500441</c:v>
                </c:pt>
                <c:pt idx="486">
                  <c:v>0.15558831540108367</c:v>
                </c:pt>
                <c:pt idx="487">
                  <c:v>0.17624528513201027</c:v>
                </c:pt>
                <c:pt idx="488">
                  <c:v>3.26109521194457</c:v>
                </c:pt>
                <c:pt idx="489">
                  <c:v>3.5108939291486272</c:v>
                </c:pt>
                <c:pt idx="490">
                  <c:v>1.8347920839947904</c:v>
                </c:pt>
                <c:pt idx="491">
                  <c:v>2.3180960773382258</c:v>
                </c:pt>
                <c:pt idx="492">
                  <c:v>2.3098956402808484</c:v>
                </c:pt>
                <c:pt idx="493">
                  <c:v>1.1894190159761655</c:v>
                </c:pt>
                <c:pt idx="494">
                  <c:v>1.0128966593951296</c:v>
                </c:pt>
                <c:pt idx="495">
                  <c:v>3.5397619538551797</c:v>
                </c:pt>
                <c:pt idx="496">
                  <c:v>3.9078598448448991</c:v>
                </c:pt>
                <c:pt idx="497">
                  <c:v>2.9770950416088748</c:v>
                </c:pt>
                <c:pt idx="498">
                  <c:v>2.726085797174544</c:v>
                </c:pt>
                <c:pt idx="499">
                  <c:v>3.3284849965011971</c:v>
                </c:pt>
                <c:pt idx="500">
                  <c:v>2.8993397988111576</c:v>
                </c:pt>
                <c:pt idx="501">
                  <c:v>2.50854768260939</c:v>
                </c:pt>
                <c:pt idx="502">
                  <c:v>2.1391182764196079</c:v>
                </c:pt>
                <c:pt idx="503">
                  <c:v>1.5845985405720171</c:v>
                </c:pt>
                <c:pt idx="504">
                  <c:v>2.0599728874188252</c:v>
                </c:pt>
                <c:pt idx="505">
                  <c:v>1.3840695607727054</c:v>
                </c:pt>
                <c:pt idx="506">
                  <c:v>1.3261454247192661</c:v>
                </c:pt>
                <c:pt idx="507">
                  <c:v>1.4342188635252506</c:v>
                </c:pt>
                <c:pt idx="508">
                  <c:v>1.0347815095352262</c:v>
                </c:pt>
                <c:pt idx="509">
                  <c:v>1.6121777225254605</c:v>
                </c:pt>
                <c:pt idx="510">
                  <c:v>1.6734604941032085</c:v>
                </c:pt>
                <c:pt idx="511">
                  <c:v>3.9468487743783718</c:v>
                </c:pt>
                <c:pt idx="512">
                  <c:v>3.3392336421073439</c:v>
                </c:pt>
                <c:pt idx="513">
                  <c:v>2.4450546890634697</c:v>
                </c:pt>
                <c:pt idx="514">
                  <c:v>2.4309260945513973</c:v>
                </c:pt>
                <c:pt idx="515">
                  <c:v>2.5741249085500408</c:v>
                </c:pt>
                <c:pt idx="516">
                  <c:v>2.0787132032757727</c:v>
                </c:pt>
                <c:pt idx="517">
                  <c:v>2.0835787647022697</c:v>
                </c:pt>
                <c:pt idx="518">
                  <c:v>2.0964814404126102</c:v>
                </c:pt>
                <c:pt idx="519">
                  <c:v>1.7932656433381715</c:v>
                </c:pt>
                <c:pt idx="520">
                  <c:v>1.999492338196865</c:v>
                </c:pt>
                <c:pt idx="521">
                  <c:v>1.5700094131477702</c:v>
                </c:pt>
                <c:pt idx="522">
                  <c:v>1.3868724791721727</c:v>
                </c:pt>
                <c:pt idx="523">
                  <c:v>1.5100912142728278</c:v>
                </c:pt>
                <c:pt idx="524">
                  <c:v>1.5548350835315352</c:v>
                </c:pt>
                <c:pt idx="525">
                  <c:v>1.4630195859413768</c:v>
                </c:pt>
                <c:pt idx="526">
                  <c:v>4.975102353510624</c:v>
                </c:pt>
                <c:pt idx="527">
                  <c:v>3.9707849754445812</c:v>
                </c:pt>
                <c:pt idx="528">
                  <c:v>5.2619727216469974</c:v>
                </c:pt>
                <c:pt idx="529">
                  <c:v>3.5061534066910238</c:v>
                </c:pt>
                <c:pt idx="530">
                  <c:v>3.0603219266189234</c:v>
                </c:pt>
                <c:pt idx="531">
                  <c:v>5.0155212684276131</c:v>
                </c:pt>
                <c:pt idx="532">
                  <c:v>3.0247937539058376</c:v>
                </c:pt>
                <c:pt idx="533">
                  <c:v>2.8679245872298398</c:v>
                </c:pt>
                <c:pt idx="534">
                  <c:v>2.5405744986559298</c:v>
                </c:pt>
                <c:pt idx="535">
                  <c:v>5.1166157754573298</c:v>
                </c:pt>
                <c:pt idx="536">
                  <c:v>3.8986619874869421</c:v>
                </c:pt>
                <c:pt idx="537">
                  <c:v>3.0815289547138769</c:v>
                </c:pt>
                <c:pt idx="538">
                  <c:v>2.9838229453205574</c:v>
                </c:pt>
                <c:pt idx="539">
                  <c:v>2.8243628611372613</c:v>
                </c:pt>
                <c:pt idx="540">
                  <c:v>2.0984429774031623</c:v>
                </c:pt>
                <c:pt idx="541">
                  <c:v>1.7104396940997548</c:v>
                </c:pt>
                <c:pt idx="542">
                  <c:v>2.1242249999167639</c:v>
                </c:pt>
                <c:pt idx="543">
                  <c:v>5.3303276143575244</c:v>
                </c:pt>
                <c:pt idx="544">
                  <c:v>3.6235249251893804</c:v>
                </c:pt>
                <c:pt idx="545">
                  <c:v>2.7493517475699205</c:v>
                </c:pt>
                <c:pt idx="546">
                  <c:v>3.1913750581282296</c:v>
                </c:pt>
                <c:pt idx="547">
                  <c:v>2.8315970540809796</c:v>
                </c:pt>
                <c:pt idx="548">
                  <c:v>2.6335557338259843</c:v>
                </c:pt>
                <c:pt idx="549">
                  <c:v>2.4755710407315537</c:v>
                </c:pt>
                <c:pt idx="550">
                  <c:v>2.0977462969083538</c:v>
                </c:pt>
                <c:pt idx="551">
                  <c:v>2.0165064755073683</c:v>
                </c:pt>
                <c:pt idx="552">
                  <c:v>1.300331942320812</c:v>
                </c:pt>
                <c:pt idx="553">
                  <c:v>1.205273440684391</c:v>
                </c:pt>
                <c:pt idx="554">
                  <c:v>1.5378149932868894</c:v>
                </c:pt>
                <c:pt idx="555">
                  <c:v>1.4663525511208264</c:v>
                </c:pt>
                <c:pt idx="556">
                  <c:v>1.5187918293189355</c:v>
                </c:pt>
                <c:pt idx="557">
                  <c:v>1.4845520482463186</c:v>
                </c:pt>
                <c:pt idx="558">
                  <c:v>1.5232551201491811</c:v>
                </c:pt>
                <c:pt idx="559">
                  <c:v>1.2761660233314196</c:v>
                </c:pt>
                <c:pt idx="560">
                  <c:v>1.1614907087821646</c:v>
                </c:pt>
                <c:pt idx="561">
                  <c:v>1.193815569252211</c:v>
                </c:pt>
                <c:pt idx="562">
                  <c:v>1.1619363432037437</c:v>
                </c:pt>
                <c:pt idx="563">
                  <c:v>1.1938981888334403</c:v>
                </c:pt>
                <c:pt idx="564">
                  <c:v>1.1262821357493957</c:v>
                </c:pt>
                <c:pt idx="565">
                  <c:v>1.0841556048634635</c:v>
                </c:pt>
                <c:pt idx="566">
                  <c:v>1.102374477161816</c:v>
                </c:pt>
                <c:pt idx="567">
                  <c:v>1.1845757784255344</c:v>
                </c:pt>
                <c:pt idx="568">
                  <c:v>0.9988465775479286</c:v>
                </c:pt>
                <c:pt idx="569">
                  <c:v>0.90604584647180875</c:v>
                </c:pt>
                <c:pt idx="570">
                  <c:v>0.90675420278572971</c:v>
                </c:pt>
                <c:pt idx="571">
                  <c:v>0.90126057657267478</c:v>
                </c:pt>
                <c:pt idx="572">
                  <c:v>0.81384881965537714</c:v>
                </c:pt>
                <c:pt idx="573">
                  <c:v>0.95849780112086036</c:v>
                </c:pt>
                <c:pt idx="574">
                  <c:v>0.77622647592303451</c:v>
                </c:pt>
                <c:pt idx="575">
                  <c:v>0.94299074134161254</c:v>
                </c:pt>
                <c:pt idx="576">
                  <c:v>0.90989385205341655</c:v>
                </c:pt>
              </c:numCache>
            </c:numRef>
          </c:yVal>
        </c:ser>
        <c:ser>
          <c:idx val="0"/>
          <c:order val="1"/>
          <c:tx>
            <c:v>Single Kc</c:v>
          </c:tx>
          <c:spPr>
            <a:ln w="19050">
              <a:solidFill>
                <a:srgbClr val="C00000"/>
              </a:solidFill>
              <a:prstDash val="sysDash"/>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Input!$AT$22:$AT$598</c:f>
              <c:numCache>
                <c:formatCode>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1.3809350269609995</c:v>
                </c:pt>
                <c:pt idx="106">
                  <c:v>0.6114194960951278</c:v>
                </c:pt>
                <c:pt idx="107">
                  <c:v>1.3543828458777694</c:v>
                </c:pt>
                <c:pt idx="108">
                  <c:v>1.9038885138318942</c:v>
                </c:pt>
                <c:pt idx="109">
                  <c:v>1.7204584675249575</c:v>
                </c:pt>
                <c:pt idx="110">
                  <c:v>1.9330787500851034</c:v>
                </c:pt>
                <c:pt idx="111">
                  <c:v>2.0809843690761509</c:v>
                </c:pt>
                <c:pt idx="112">
                  <c:v>2.160268242861568</c:v>
                </c:pt>
                <c:pt idx="113">
                  <c:v>1.8563815108922199</c:v>
                </c:pt>
                <c:pt idx="114">
                  <c:v>1.4118073012779389</c:v>
                </c:pt>
                <c:pt idx="115">
                  <c:v>0.24819954705791353</c:v>
                </c:pt>
                <c:pt idx="116">
                  <c:v>0.17104005929133084</c:v>
                </c:pt>
                <c:pt idx="117">
                  <c:v>0.12610197414174013</c:v>
                </c:pt>
                <c:pt idx="118">
                  <c:v>0.16107370768181761</c:v>
                </c:pt>
                <c:pt idx="119">
                  <c:v>0.14916044551107829</c:v>
                </c:pt>
                <c:pt idx="120">
                  <c:v>0.10506051909554019</c:v>
                </c:pt>
                <c:pt idx="121">
                  <c:v>0.11900907273388682</c:v>
                </c:pt>
                <c:pt idx="122">
                  <c:v>2.2020442531540567</c:v>
                </c:pt>
                <c:pt idx="123">
                  <c:v>2.6665270899782674</c:v>
                </c:pt>
                <c:pt idx="124">
                  <c:v>1.6099176392954964</c:v>
                </c:pt>
                <c:pt idx="125">
                  <c:v>2.3850831472798619</c:v>
                </c:pt>
                <c:pt idx="126">
                  <c:v>2.7248004406369382</c:v>
                </c:pt>
                <c:pt idx="127">
                  <c:v>1.4926889644224468</c:v>
                </c:pt>
                <c:pt idx="128">
                  <c:v>1.335994969455131</c:v>
                </c:pt>
                <c:pt idx="129">
                  <c:v>2.3902130914393749</c:v>
                </c:pt>
                <c:pt idx="130">
                  <c:v>3.1265481159707345</c:v>
                </c:pt>
                <c:pt idx="131">
                  <c:v>2.9757165168869055</c:v>
                </c:pt>
                <c:pt idx="132">
                  <c:v>3.2158861242979855</c:v>
                </c:pt>
                <c:pt idx="133">
                  <c:v>2.2475489925620562</c:v>
                </c:pt>
                <c:pt idx="134">
                  <c:v>2.0356842975997695</c:v>
                </c:pt>
                <c:pt idx="135">
                  <c:v>2.1774193371752197</c:v>
                </c:pt>
                <c:pt idx="136">
                  <c:v>2.1539367121302959</c:v>
                </c:pt>
                <c:pt idx="137">
                  <c:v>1.7558511925512774</c:v>
                </c:pt>
                <c:pt idx="138">
                  <c:v>2.5575793681647356</c:v>
                </c:pt>
                <c:pt idx="139">
                  <c:v>1.8538178814325716</c:v>
                </c:pt>
                <c:pt idx="140">
                  <c:v>1.9027694774570425</c:v>
                </c:pt>
                <c:pt idx="141">
                  <c:v>2.2071360117605878</c:v>
                </c:pt>
                <c:pt idx="142">
                  <c:v>1.673806154979562</c:v>
                </c:pt>
                <c:pt idx="143">
                  <c:v>2.7998513967646406</c:v>
                </c:pt>
                <c:pt idx="144">
                  <c:v>3.1156856358282368</c:v>
                </c:pt>
                <c:pt idx="145">
                  <c:v>2.7993005708498315</c:v>
                </c:pt>
                <c:pt idx="146">
                  <c:v>2.7610095673955763</c:v>
                </c:pt>
                <c:pt idx="147">
                  <c:v>2.4540284610187517</c:v>
                </c:pt>
                <c:pt idx="148">
                  <c:v>2.8714203378880958</c:v>
                </c:pt>
                <c:pt idx="149">
                  <c:v>3.5309719581410337</c:v>
                </c:pt>
                <c:pt idx="150">
                  <c:v>3.1752049630147319</c:v>
                </c:pt>
                <c:pt idx="151">
                  <c:v>3.5124922720849283</c:v>
                </c:pt>
                <c:pt idx="152">
                  <c:v>3.8728231069187253</c:v>
                </c:pt>
                <c:pt idx="153">
                  <c:v>3.5656599519940846</c:v>
                </c:pt>
                <c:pt idx="154">
                  <c:v>4.292652851598918</c:v>
                </c:pt>
                <c:pt idx="155">
                  <c:v>3.5720533887821415</c:v>
                </c:pt>
                <c:pt idx="156">
                  <c:v>3.316582275047939</c:v>
                </c:pt>
                <c:pt idx="157">
                  <c:v>3.8030760124397749</c:v>
                </c:pt>
                <c:pt idx="158">
                  <c:v>4.1211061610828326</c:v>
                </c:pt>
                <c:pt idx="159">
                  <c:v>4.0630879971987435</c:v>
                </c:pt>
                <c:pt idx="160">
                  <c:v>3.8910891064380024</c:v>
                </c:pt>
                <c:pt idx="161">
                  <c:v>4.1662239978076485</c:v>
                </c:pt>
                <c:pt idx="162">
                  <c:v>4.1665742881814536</c:v>
                </c:pt>
                <c:pt idx="163">
                  <c:v>3.6416720758517416</c:v>
                </c:pt>
                <c:pt idx="164">
                  <c:v>3.942509337324414</c:v>
                </c:pt>
                <c:pt idx="165">
                  <c:v>4.0445163142710499</c:v>
                </c:pt>
                <c:pt idx="166">
                  <c:v>3.0073465965450774</c:v>
                </c:pt>
                <c:pt idx="167">
                  <c:v>3.5311842960435422</c:v>
                </c:pt>
                <c:pt idx="168">
                  <c:v>3.662331475874077</c:v>
                </c:pt>
                <c:pt idx="169">
                  <c:v>4.2254552594806354</c:v>
                </c:pt>
                <c:pt idx="170">
                  <c:v>4.3310824651117441</c:v>
                </c:pt>
                <c:pt idx="171">
                  <c:v>4.230144031312097</c:v>
                </c:pt>
                <c:pt idx="172">
                  <c:v>4.8563337085771172</c:v>
                </c:pt>
                <c:pt idx="173">
                  <c:v>5.2836353636345184</c:v>
                </c:pt>
                <c:pt idx="174">
                  <c:v>4.3093172962026198</c:v>
                </c:pt>
                <c:pt idx="175">
                  <c:v>3.7725019889368112</c:v>
                </c:pt>
                <c:pt idx="176">
                  <c:v>5.0875294046926323</c:v>
                </c:pt>
                <c:pt idx="177">
                  <c:v>4.6090824803765251</c:v>
                </c:pt>
                <c:pt idx="178">
                  <c:v>4.1706373927622238</c:v>
                </c:pt>
                <c:pt idx="179">
                  <c:v>3.8307536576735348</c:v>
                </c:pt>
                <c:pt idx="180">
                  <c:v>5.3583140185235596</c:v>
                </c:pt>
                <c:pt idx="181">
                  <c:v>5.4447214329222833</c:v>
                </c:pt>
                <c:pt idx="182">
                  <c:v>5.6588498961458553</c:v>
                </c:pt>
                <c:pt idx="183">
                  <c:v>5.8441625088049189</c:v>
                </c:pt>
                <c:pt idx="184">
                  <c:v>5.3271727264251556</c:v>
                </c:pt>
                <c:pt idx="185">
                  <c:v>5.467574950832617</c:v>
                </c:pt>
                <c:pt idx="186">
                  <c:v>3.6685639583486149</c:v>
                </c:pt>
                <c:pt idx="187">
                  <c:v>3.5231215397064357</c:v>
                </c:pt>
                <c:pt idx="188">
                  <c:v>4.6962956889072212</c:v>
                </c:pt>
                <c:pt idx="189">
                  <c:v>4.6610677261511846</c:v>
                </c:pt>
                <c:pt idx="190">
                  <c:v>5.0245667445596611</c:v>
                </c:pt>
                <c:pt idx="191">
                  <c:v>5.0995663275791001</c:v>
                </c:pt>
                <c:pt idx="192">
                  <c:v>5.4311592480342545</c:v>
                </c:pt>
                <c:pt idx="193">
                  <c:v>4.6893935767946857</c:v>
                </c:pt>
                <c:pt idx="194">
                  <c:v>4.3833451048294183</c:v>
                </c:pt>
                <c:pt idx="195">
                  <c:v>4.62738758449896</c:v>
                </c:pt>
                <c:pt idx="196">
                  <c:v>4.6195491004158127</c:v>
                </c:pt>
                <c:pt idx="197">
                  <c:v>4.8690027658939181</c:v>
                </c:pt>
                <c:pt idx="198">
                  <c:v>4.7022175835519615</c:v>
                </c:pt>
                <c:pt idx="199">
                  <c:v>4.6273840185192556</c:v>
                </c:pt>
                <c:pt idx="200">
                  <c:v>4.8097527707438434</c:v>
                </c:pt>
                <c:pt idx="201">
                  <c:v>5.2894318135381022</c:v>
                </c:pt>
                <c:pt idx="202">
                  <c:v>4.5460951483257803</c:v>
                </c:pt>
                <c:pt idx="203">
                  <c:v>4.1944882948174378</c:v>
                </c:pt>
                <c:pt idx="204">
                  <c:v>4.26870477713463</c:v>
                </c:pt>
                <c:pt idx="205">
                  <c:v>4.3129823028971801</c:v>
                </c:pt>
                <c:pt idx="206">
                  <c:v>3.9518707548774343</c:v>
                </c:pt>
                <c:pt idx="207">
                  <c:v>4.7337611271868942</c:v>
                </c:pt>
                <c:pt idx="208">
                  <c:v>3.8856759304026154</c:v>
                </c:pt>
                <c:pt idx="209">
                  <c:v>4.7975435445104155</c:v>
                </c:pt>
                <c:pt idx="210">
                  <c:v>4.7009571262588947</c:v>
                </c:pt>
                <c:pt idx="211">
                  <c:v>4.071127842039612</c:v>
                </c:pt>
                <c:pt idx="212">
                  <c:v>3.8986158808670113</c:v>
                </c:pt>
                <c:pt idx="213">
                  <c:v>4.6681134670180828</c:v>
                </c:pt>
                <c:pt idx="214">
                  <c:v>3.2898756296285678</c:v>
                </c:pt>
                <c:pt idx="215">
                  <c:v>4.7857379402067712</c:v>
                </c:pt>
                <c:pt idx="216">
                  <c:v>4.4358828310201392</c:v>
                </c:pt>
                <c:pt idx="217">
                  <c:v>4.2080521570432001</c:v>
                </c:pt>
                <c:pt idx="218">
                  <c:v>4.7384947845209746</c:v>
                </c:pt>
                <c:pt idx="219">
                  <c:v>5.0217795349308538</c:v>
                </c:pt>
                <c:pt idx="220">
                  <c:v>3.7836709058462525</c:v>
                </c:pt>
                <c:pt idx="221">
                  <c:v>4.3639082278450898</c:v>
                </c:pt>
                <c:pt idx="222">
                  <c:v>4.0914267515499025</c:v>
                </c:pt>
                <c:pt idx="223">
                  <c:v>3.5600012675124924</c:v>
                </c:pt>
                <c:pt idx="224">
                  <c:v>3.4987709451137587</c:v>
                </c:pt>
                <c:pt idx="225">
                  <c:v>4.1946489807206664</c:v>
                </c:pt>
                <c:pt idx="226">
                  <c:v>4.0091425168987671</c:v>
                </c:pt>
                <c:pt idx="227">
                  <c:v>1.5620560525837244</c:v>
                </c:pt>
                <c:pt idx="228">
                  <c:v>2.482290496400088</c:v>
                </c:pt>
                <c:pt idx="229">
                  <c:v>4.4050305712083322</c:v>
                </c:pt>
                <c:pt idx="230">
                  <c:v>3.1963897604788438</c:v>
                </c:pt>
                <c:pt idx="231">
                  <c:v>4.2990659771524609</c:v>
                </c:pt>
                <c:pt idx="232">
                  <c:v>4.4625184518229934</c:v>
                </c:pt>
                <c:pt idx="233">
                  <c:v>4.4887056088257653</c:v>
                </c:pt>
                <c:pt idx="234">
                  <c:v>4.0332512255356407</c:v>
                </c:pt>
                <c:pt idx="235">
                  <c:v>3.2407315594365826</c:v>
                </c:pt>
                <c:pt idx="236">
                  <c:v>3.8942045229836442</c:v>
                </c:pt>
                <c:pt idx="237">
                  <c:v>3.8321881668248814</c:v>
                </c:pt>
                <c:pt idx="238">
                  <c:v>3.2828997925924805</c:v>
                </c:pt>
                <c:pt idx="239">
                  <c:v>2.3853824062807809</c:v>
                </c:pt>
                <c:pt idx="240">
                  <c:v>3.2435889908566837</c:v>
                </c:pt>
                <c:pt idx="241">
                  <c:v>3.5900710946163716</c:v>
                </c:pt>
                <c:pt idx="242">
                  <c:v>3.6556827338636992</c:v>
                </c:pt>
                <c:pt idx="243">
                  <c:v>3.0144023942162552</c:v>
                </c:pt>
                <c:pt idx="244">
                  <c:v>2.4052377019610898</c:v>
                </c:pt>
                <c:pt idx="245">
                  <c:v>2.5528967354882557</c:v>
                </c:pt>
                <c:pt idx="246">
                  <c:v>2.6814339096737916</c:v>
                </c:pt>
                <c:pt idx="247">
                  <c:v>2.6174283859547458</c:v>
                </c:pt>
                <c:pt idx="248">
                  <c:v>2.4560795639437014</c:v>
                </c:pt>
                <c:pt idx="249">
                  <c:v>2.3772388468269159</c:v>
                </c:pt>
                <c:pt idx="250">
                  <c:v>1.9083076870733948</c:v>
                </c:pt>
                <c:pt idx="251">
                  <c:v>2.6437202322306543</c:v>
                </c:pt>
                <c:pt idx="252">
                  <c:v>2.6294936336624644</c:v>
                </c:pt>
                <c:pt idx="253">
                  <c:v>2.3485574012344212</c:v>
                </c:pt>
                <c:pt idx="254">
                  <c:v>2.6037607868666175</c:v>
                </c:pt>
                <c:pt idx="255">
                  <c:v>2.158076789847061</c:v>
                </c:pt>
                <c:pt idx="256">
                  <c:v>0.52893051415224679</c:v>
                </c:pt>
                <c:pt idx="257">
                  <c:v>1.4203516679057213</c:v>
                </c:pt>
                <c:pt idx="258">
                  <c:v>1.4941559204767851</c:v>
                </c:pt>
                <c:pt idx="259">
                  <c:v>1.4774222607357468</c:v>
                </c:pt>
                <c:pt idx="260">
                  <c:v>1.2700999402622681</c:v>
                </c:pt>
                <c:pt idx="261">
                  <c:v>1.7450524297830377</c:v>
                </c:pt>
                <c:pt idx="262">
                  <c:v>1.6980618506906395</c:v>
                </c:pt>
                <c:pt idx="263">
                  <c:v>1.4478717838257564</c:v>
                </c:pt>
                <c:pt idx="264">
                  <c:v>1.4242600530173191</c:v>
                </c:pt>
                <c:pt idx="265">
                  <c:v>1.2193567206562272</c:v>
                </c:pt>
                <c:pt idx="266">
                  <c:v>1.4993893272248509</c:v>
                </c:pt>
                <c:pt idx="267">
                  <c:v>0.4118621588994747</c:v>
                </c:pt>
                <c:pt idx="268">
                  <c:v>1.141459215525563</c:v>
                </c:pt>
                <c:pt idx="269">
                  <c:v>1.7298197329803691</c:v>
                </c:pt>
                <c:pt idx="270">
                  <c:v>1.6029691190597686</c:v>
                </c:pt>
                <c:pt idx="271">
                  <c:v>1.3393968567367289</c:v>
                </c:pt>
                <c:pt idx="272">
                  <c:v>1.1548579939225143</c:v>
                </c:pt>
                <c:pt idx="273">
                  <c:v>0.56926619794137501</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axId val="188455168"/>
        <c:axId val="188465152"/>
      </c:scatterChart>
      <c:valAx>
        <c:axId val="188455168"/>
        <c:scaling>
          <c:orientation val="minMax"/>
        </c:scaling>
        <c:axPos val="b"/>
        <c:numFmt formatCode="[$-409]d\-mmm\-yy;@" sourceLinked="0"/>
        <c:majorTickMark val="cross"/>
        <c:minorTickMark val="in"/>
        <c:tickLblPos val="nextTo"/>
        <c:spPr>
          <a:ln w="3175">
            <a:solidFill>
              <a:srgbClr val="000000"/>
            </a:solidFill>
            <a:prstDash val="solid"/>
          </a:ln>
        </c:spPr>
        <c:txPr>
          <a:bodyPr rot="-5400000" vert="horz"/>
          <a:lstStyle/>
          <a:p>
            <a:pPr>
              <a:defRPr/>
            </a:pPr>
            <a:endParaRPr lang="it-IT"/>
          </a:p>
        </c:txPr>
        <c:crossAx val="188465152"/>
        <c:crosses val="autoZero"/>
        <c:crossBetween val="midCat"/>
        <c:majorUnit val="60"/>
        <c:minorUnit val="30"/>
      </c:valAx>
      <c:valAx>
        <c:axId val="188465152"/>
        <c:scaling>
          <c:orientation val="minMax"/>
        </c:scaling>
        <c:axPos val="l"/>
        <c:majorGridlines>
          <c:spPr>
            <a:ln w="3175">
              <a:solidFill>
                <a:srgbClr val="000000"/>
              </a:solidFill>
              <a:prstDash val="solid"/>
            </a:ln>
          </c:spPr>
        </c:majorGridlines>
        <c:title>
          <c:tx>
            <c:rich>
              <a:bodyPr/>
              <a:lstStyle/>
              <a:p>
                <a:pPr>
                  <a:defRPr/>
                </a:pPr>
                <a:r>
                  <a:rPr lang="it-IT"/>
                  <a:t>ETc    (mm d</a:t>
                </a:r>
                <a:r>
                  <a:rPr lang="it-IT" baseline="30000"/>
                  <a:t>-1</a:t>
                </a:r>
                <a:r>
                  <a:rPr lang="it-IT"/>
                  <a:t>)</a:t>
                </a:r>
              </a:p>
            </c:rich>
          </c:tx>
          <c:layout>
            <c:manualLayout>
              <c:xMode val="edge"/>
              <c:yMode val="edge"/>
              <c:x val="1.5407319368097871E-2"/>
              <c:y val="0.3254947699237441"/>
            </c:manualLayout>
          </c:layout>
          <c:spPr>
            <a:noFill/>
            <a:ln w="25400">
              <a:noFill/>
            </a:ln>
          </c:spPr>
        </c:title>
        <c:numFmt formatCode="0.0" sourceLinked="0"/>
        <c:majorTickMark val="cross"/>
        <c:minorTickMark val="out"/>
        <c:tickLblPos val="nextTo"/>
        <c:spPr>
          <a:ln w="3175">
            <a:solidFill>
              <a:srgbClr val="000000"/>
            </a:solidFill>
            <a:prstDash val="solid"/>
          </a:ln>
        </c:spPr>
        <c:txPr>
          <a:bodyPr rot="0" vert="horz"/>
          <a:lstStyle/>
          <a:p>
            <a:pPr>
              <a:defRPr/>
            </a:pPr>
            <a:endParaRPr lang="it-IT"/>
          </a:p>
        </c:txPr>
        <c:crossAx val="188455168"/>
        <c:crosses val="autoZero"/>
        <c:crossBetween val="midCat"/>
      </c:valAx>
      <c:spPr>
        <a:solidFill>
          <a:srgbClr val="FFFFFF"/>
        </a:solidFill>
        <a:ln w="12700">
          <a:solidFill>
            <a:srgbClr val="808080"/>
          </a:solidFill>
          <a:prstDash val="solid"/>
        </a:ln>
      </c:spPr>
    </c:plotArea>
    <c:legend>
      <c:legendPos val="r"/>
      <c:layout>
        <c:manualLayout>
          <c:xMode val="edge"/>
          <c:yMode val="edge"/>
          <c:x val="0.23830739248603944"/>
          <c:y val="0"/>
          <c:w val="0.61915363798171164"/>
          <c:h val="5.8727569331158296E-2"/>
        </c:manualLayout>
      </c:layout>
    </c:legend>
    <c:plotVisOnly val="1"/>
    <c:dispBlanksAs val="gap"/>
  </c:chart>
  <c:spPr>
    <a:noFill/>
    <a:ln w="9525">
      <a:noFill/>
    </a:ln>
  </c:spPr>
  <c:txPr>
    <a:bodyPr/>
    <a:lstStyle/>
    <a:p>
      <a:pPr>
        <a:defRPr sz="1200" b="1" i="0" u="none" strike="noStrike" baseline="0">
          <a:solidFill>
            <a:srgbClr val="000000"/>
          </a:solidFill>
          <a:latin typeface="Arial"/>
          <a:ea typeface="Arial"/>
          <a:cs typeface="Arial"/>
        </a:defRPr>
      </a:pPr>
      <a:endParaRPr lang="it-IT"/>
    </a:p>
  </c:txPr>
</c:chartSpace>
</file>

<file path=xl/charts/chart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31704121949169"/>
          <c:y val="7.9934747145187723E-2"/>
          <c:w val="0.83650033625690023"/>
          <c:h val="0.70175877066413839"/>
        </c:manualLayout>
      </c:layout>
      <c:scatterChart>
        <c:scatterStyle val="lineMarker"/>
        <c:ser>
          <c:idx val="2"/>
          <c:order val="0"/>
          <c:tx>
            <c:v>Dual Kc</c:v>
          </c:tx>
          <c:spPr>
            <a:ln w="38100">
              <a:solidFill>
                <a:schemeClr val="tx1"/>
              </a:solidFill>
              <a:prstDash val="solid"/>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Input!$AF$22:$AF$598</c:f>
              <c:numCache>
                <c:formatCode>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2.0450817906946042</c:v>
                </c:pt>
                <c:pt idx="106">
                  <c:v>2.9505573225098534</c:v>
                </c:pt>
                <c:pt idx="107">
                  <c:v>4.9563169286147595</c:v>
                </c:pt>
                <c:pt idx="108">
                  <c:v>7.7758614076325863</c:v>
                </c:pt>
                <c:pt idx="109">
                  <c:v>9.9116419065067731</c:v>
                </c:pt>
                <c:pt idx="110">
                  <c:v>11.970412080052336</c:v>
                </c:pt>
                <c:pt idx="111">
                  <c:v>13.924308124511754</c:v>
                </c:pt>
                <c:pt idx="112">
                  <c:v>15.751040976974329</c:v>
                </c:pt>
                <c:pt idx="113">
                  <c:v>17.206501947163563</c:v>
                </c:pt>
                <c:pt idx="114">
                  <c:v>18.2584824574087</c:v>
                </c:pt>
                <c:pt idx="115">
                  <c:v>18.441867323087191</c:v>
                </c:pt>
                <c:pt idx="116">
                  <c:v>18.567518324572045</c:v>
                </c:pt>
                <c:pt idx="117">
                  <c:v>18.659768795519849</c:v>
                </c:pt>
                <c:pt idx="118">
                  <c:v>18.776979195849869</c:v>
                </c:pt>
                <c:pt idx="119">
                  <c:v>18.997876852184874</c:v>
                </c:pt>
                <c:pt idx="120">
                  <c:v>19.153465167585956</c:v>
                </c:pt>
                <c:pt idx="121">
                  <c:v>19.329710452717968</c:v>
                </c:pt>
                <c:pt idx="122">
                  <c:v>22.59080566466254</c:v>
                </c:pt>
                <c:pt idx="123">
                  <c:v>26.101699593811166</c:v>
                </c:pt>
                <c:pt idx="124">
                  <c:v>27.936491677805957</c:v>
                </c:pt>
                <c:pt idx="125">
                  <c:v>30.254587755144183</c:v>
                </c:pt>
                <c:pt idx="126">
                  <c:v>32.564483395425029</c:v>
                </c:pt>
                <c:pt idx="127">
                  <c:v>33.753902411401192</c:v>
                </c:pt>
                <c:pt idx="128">
                  <c:v>34.766799070796324</c:v>
                </c:pt>
                <c:pt idx="129">
                  <c:v>36.442057440277708</c:v>
                </c:pt>
                <c:pt idx="130">
                  <c:v>38.449880364652756</c:v>
                </c:pt>
                <c:pt idx="131">
                  <c:v>40.229163085837058</c:v>
                </c:pt>
                <c:pt idx="132">
                  <c:v>42.026627920665383</c:v>
                </c:pt>
                <c:pt idx="133">
                  <c:v>45.355112917166579</c:v>
                </c:pt>
                <c:pt idx="134">
                  <c:v>48.254452715977735</c:v>
                </c:pt>
                <c:pt idx="135">
                  <c:v>50.763000398587124</c:v>
                </c:pt>
                <c:pt idx="136">
                  <c:v>52.902118675006733</c:v>
                </c:pt>
                <c:pt idx="137">
                  <c:v>54.48671721557875</c:v>
                </c:pt>
                <c:pt idx="138">
                  <c:v>56.546690102997573</c:v>
                </c:pt>
                <c:pt idx="139">
                  <c:v>57.930759663770282</c:v>
                </c:pt>
                <c:pt idx="140">
                  <c:v>59.256905088489546</c:v>
                </c:pt>
                <c:pt idx="141">
                  <c:v>60.691123952014799</c:v>
                </c:pt>
                <c:pt idx="142">
                  <c:v>61.725905461550028</c:v>
                </c:pt>
                <c:pt idx="143">
                  <c:v>63.338083184075487</c:v>
                </c:pt>
                <c:pt idx="144">
                  <c:v>65.011543678178697</c:v>
                </c:pt>
                <c:pt idx="145">
                  <c:v>66.431762864602277</c:v>
                </c:pt>
                <c:pt idx="146">
                  <c:v>67.762078566634656</c:v>
                </c:pt>
                <c:pt idx="147">
                  <c:v>68.894342153583096</c:v>
                </c:pt>
                <c:pt idx="148">
                  <c:v>70.22455491621065</c:v>
                </c:pt>
                <c:pt idx="149">
                  <c:v>71.931130284312573</c:v>
                </c:pt>
                <c:pt idx="150">
                  <c:v>73.528597923059067</c:v>
                </c:pt>
                <c:pt idx="151">
                  <c:v>75.364357917083666</c:v>
                </c:pt>
                <c:pt idx="152">
                  <c:v>77.463089848068407</c:v>
                </c:pt>
                <c:pt idx="153">
                  <c:v>79.463202559038606</c:v>
                </c:pt>
                <c:pt idx="154">
                  <c:v>81.951726583260069</c:v>
                </c:pt>
                <c:pt idx="155">
                  <c:v>84.088728062437227</c:v>
                </c:pt>
                <c:pt idx="156">
                  <c:v>86.133594423101542</c:v>
                </c:pt>
                <c:pt idx="157">
                  <c:v>88.547137534474686</c:v>
                </c:pt>
                <c:pt idx="158">
                  <c:v>91.236047257197015</c:v>
                </c:pt>
                <c:pt idx="159">
                  <c:v>93.958695650509966</c:v>
                </c:pt>
                <c:pt idx="160">
                  <c:v>96.633800289004768</c:v>
                </c:pt>
                <c:pt idx="161">
                  <c:v>99.569663196191954</c:v>
                </c:pt>
                <c:pt idx="162">
                  <c:v>102.57650475141881</c:v>
                </c:pt>
                <c:pt idx="163">
                  <c:v>105.26561363275751</c:v>
                </c:pt>
                <c:pt idx="164">
                  <c:v>108.24217948838242</c:v>
                </c:pt>
                <c:pt idx="165">
                  <c:v>111.36195313451745</c:v>
                </c:pt>
                <c:pt idx="166">
                  <c:v>113.73032604451733</c:v>
                </c:pt>
                <c:pt idx="167">
                  <c:v>116.5676565669785</c:v>
                </c:pt>
                <c:pt idx="168">
                  <c:v>119.56818790672696</c:v>
                </c:pt>
                <c:pt idx="169">
                  <c:v>123.09601326778137</c:v>
                </c:pt>
                <c:pt idx="170">
                  <c:v>126.7788136554189</c:v>
                </c:pt>
                <c:pt idx="171">
                  <c:v>130.44025629918801</c:v>
                </c:pt>
                <c:pt idx="172">
                  <c:v>136.21883594452899</c:v>
                </c:pt>
                <c:pt idx="173">
                  <c:v>140.95041860721236</c:v>
                </c:pt>
                <c:pt idx="174">
                  <c:v>144.87292337470205</c:v>
                </c:pt>
                <c:pt idx="175">
                  <c:v>148.36170456902994</c:v>
                </c:pt>
                <c:pt idx="176">
                  <c:v>153.1398219981939</c:v>
                </c:pt>
                <c:pt idx="177">
                  <c:v>157.5341694659827</c:v>
                </c:pt>
                <c:pt idx="178">
                  <c:v>161.56917644204381</c:v>
                </c:pt>
                <c:pt idx="179">
                  <c:v>165.32864974199532</c:v>
                </c:pt>
                <c:pt idx="180">
                  <c:v>170.66098551928783</c:v>
                </c:pt>
                <c:pt idx="181">
                  <c:v>176.07930978953331</c:v>
                </c:pt>
                <c:pt idx="182">
                  <c:v>181.71072438286112</c:v>
                </c:pt>
                <c:pt idx="183">
                  <c:v>187.52655315405335</c:v>
                </c:pt>
                <c:pt idx="184">
                  <c:v>192.82789861882713</c:v>
                </c:pt>
                <c:pt idx="185">
                  <c:v>198.26896560828783</c:v>
                </c:pt>
                <c:pt idx="186">
                  <c:v>201.91974359157933</c:v>
                </c:pt>
                <c:pt idx="187">
                  <c:v>205.92664724906393</c:v>
                </c:pt>
                <c:pt idx="188">
                  <c:v>210.60017430181489</c:v>
                </c:pt>
                <c:pt idx="189">
                  <c:v>215.23864418443438</c:v>
                </c:pt>
                <c:pt idx="190">
                  <c:v>220.23885076523348</c:v>
                </c:pt>
                <c:pt idx="191">
                  <c:v>225.31369331518894</c:v>
                </c:pt>
                <c:pt idx="192">
                  <c:v>230.71852115289116</c:v>
                </c:pt>
                <c:pt idx="193">
                  <c:v>235.38517955643093</c:v>
                </c:pt>
                <c:pt idx="194">
                  <c:v>239.74727327581735</c:v>
                </c:pt>
                <c:pt idx="195">
                  <c:v>244.35222630524467</c:v>
                </c:pt>
                <c:pt idx="196">
                  <c:v>248.94937885321983</c:v>
                </c:pt>
                <c:pt idx="197">
                  <c:v>253.79477566246959</c:v>
                </c:pt>
                <c:pt idx="198">
                  <c:v>258.47419589926579</c:v>
                </c:pt>
                <c:pt idx="199">
                  <c:v>263.07914538000205</c:v>
                </c:pt>
                <c:pt idx="200">
                  <c:v>267.86557945062714</c:v>
                </c:pt>
                <c:pt idx="201">
                  <c:v>273.12936697845294</c:v>
                </c:pt>
                <c:pt idx="202">
                  <c:v>277.65342169465504</c:v>
                </c:pt>
                <c:pt idx="203">
                  <c:v>281.82757422184352</c:v>
                </c:pt>
                <c:pt idx="204">
                  <c:v>286.0755834141242</c:v>
                </c:pt>
                <c:pt idx="205">
                  <c:v>290.98080861551904</c:v>
                </c:pt>
                <c:pt idx="206">
                  <c:v>294.91351986398655</c:v>
                </c:pt>
                <c:pt idx="207">
                  <c:v>299.62433071463738</c:v>
                </c:pt>
                <c:pt idx="208">
                  <c:v>303.49116806515894</c:v>
                </c:pt>
                <c:pt idx="209">
                  <c:v>308.26545210246525</c:v>
                </c:pt>
                <c:pt idx="210">
                  <c:v>312.94361799293233</c:v>
                </c:pt>
                <c:pt idx="211">
                  <c:v>316.9950081449453</c:v>
                </c:pt>
                <c:pt idx="212">
                  <c:v>320.87472271031078</c:v>
                </c:pt>
                <c:pt idx="213">
                  <c:v>325.52020417455321</c:v>
                </c:pt>
                <c:pt idx="214">
                  <c:v>328.79412979034697</c:v>
                </c:pt>
                <c:pt idx="215">
                  <c:v>333.55666545941966</c:v>
                </c:pt>
                <c:pt idx="216">
                  <c:v>337.97104219097298</c:v>
                </c:pt>
                <c:pt idx="217">
                  <c:v>342.15869281991041</c:v>
                </c:pt>
                <c:pt idx="218">
                  <c:v>346.87421437812196</c:v>
                </c:pt>
                <c:pt idx="219">
                  <c:v>351.87164726227485</c:v>
                </c:pt>
                <c:pt idx="220">
                  <c:v>355.63697413020333</c:v>
                </c:pt>
                <c:pt idx="221">
                  <c:v>359.97972520670169</c:v>
                </c:pt>
                <c:pt idx="222">
                  <c:v>364.0513158548124</c:v>
                </c:pt>
                <c:pt idx="223">
                  <c:v>367.59405748218609</c:v>
                </c:pt>
                <c:pt idx="224">
                  <c:v>371.0758656447324</c:v>
                </c:pt>
                <c:pt idx="225">
                  <c:v>375.25017807878481</c:v>
                </c:pt>
                <c:pt idx="226">
                  <c:v>379.23988342364146</c:v>
                </c:pt>
                <c:pt idx="227">
                  <c:v>380.79436629764507</c:v>
                </c:pt>
                <c:pt idx="228">
                  <c:v>383.26462212397951</c:v>
                </c:pt>
                <c:pt idx="229">
                  <c:v>387.64829617401097</c:v>
                </c:pt>
                <c:pt idx="230">
                  <c:v>390.82918915994856</c:v>
                </c:pt>
                <c:pt idx="231">
                  <c:v>395.10741235471897</c:v>
                </c:pt>
                <c:pt idx="232">
                  <c:v>399.53398657487776</c:v>
                </c:pt>
                <c:pt idx="233">
                  <c:v>403.97193955948489</c:v>
                </c:pt>
                <c:pt idx="234">
                  <c:v>407.94628386741465</c:v>
                </c:pt>
                <c:pt idx="235">
                  <c:v>411.12883963114848</c:v>
                </c:pt>
                <c:pt idx="236">
                  <c:v>414.93991792816348</c:v>
                </c:pt>
                <c:pt idx="237">
                  <c:v>418.67710431416691</c:v>
                </c:pt>
                <c:pt idx="238">
                  <c:v>421.86714544589807</c:v>
                </c:pt>
                <c:pt idx="239">
                  <c:v>424.17659513943642</c:v>
                </c:pt>
                <c:pt idx="240">
                  <c:v>427.30525567919142</c:v>
                </c:pt>
                <c:pt idx="241">
                  <c:v>430.75500270625434</c:v>
                </c:pt>
                <c:pt idx="242">
                  <c:v>434.25423541381122</c:v>
                </c:pt>
                <c:pt idx="243">
                  <c:v>437.12827876302242</c:v>
                </c:pt>
                <c:pt idx="244">
                  <c:v>440.13784304245155</c:v>
                </c:pt>
                <c:pt idx="245">
                  <c:v>443.26300491559482</c:v>
                </c:pt>
                <c:pt idx="246">
                  <c:v>446.67068188097335</c:v>
                </c:pt>
                <c:pt idx="247">
                  <c:v>450.02325827444253</c:v>
                </c:pt>
                <c:pt idx="248">
                  <c:v>453.02903432184763</c:v>
                </c:pt>
                <c:pt idx="249">
                  <c:v>455.42937080993744</c:v>
                </c:pt>
                <c:pt idx="250">
                  <c:v>457.19525778493477</c:v>
                </c:pt>
                <c:pt idx="251">
                  <c:v>459.63038022792915</c:v>
                </c:pt>
                <c:pt idx="252">
                  <c:v>462.0409830787645</c:v>
                </c:pt>
                <c:pt idx="253">
                  <c:v>464.18367134911057</c:v>
                </c:pt>
                <c:pt idx="254">
                  <c:v>466.54750956497674</c:v>
                </c:pt>
                <c:pt idx="255">
                  <c:v>469.49791556875806</c:v>
                </c:pt>
                <c:pt idx="256">
                  <c:v>470.2271812312178</c:v>
                </c:pt>
                <c:pt idx="257">
                  <c:v>472.20226990553147</c:v>
                </c:pt>
                <c:pt idx="258">
                  <c:v>474.01976328289618</c:v>
                </c:pt>
                <c:pt idx="259">
                  <c:v>475.62241989484693</c:v>
                </c:pt>
                <c:pt idx="260">
                  <c:v>476.89617450571507</c:v>
                </c:pt>
                <c:pt idx="261">
                  <c:v>478.49255138429157</c:v>
                </c:pt>
                <c:pt idx="262">
                  <c:v>479.9682849342002</c:v>
                </c:pt>
                <c:pt idx="263">
                  <c:v>481.21899594474428</c:v>
                </c:pt>
                <c:pt idx="264">
                  <c:v>482.44170822177296</c:v>
                </c:pt>
                <c:pt idx="265">
                  <c:v>483.48188489584578</c:v>
                </c:pt>
                <c:pt idx="266">
                  <c:v>484.75264267258194</c:v>
                </c:pt>
                <c:pt idx="267">
                  <c:v>485.09937971647321</c:v>
                </c:pt>
                <c:pt idx="268">
                  <c:v>486.05378722345853</c:v>
                </c:pt>
                <c:pt idx="269">
                  <c:v>487.49000893692067</c:v>
                </c:pt>
                <c:pt idx="270">
                  <c:v>488.81134079811636</c:v>
                </c:pt>
                <c:pt idx="271">
                  <c:v>489.90725787671909</c:v>
                </c:pt>
                <c:pt idx="272">
                  <c:v>490.84501566340606</c:v>
                </c:pt>
                <c:pt idx="273">
                  <c:v>491.30366356763528</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ser>
          <c:idx val="0"/>
          <c:order val="1"/>
          <c:tx>
            <c:v>Single Kc</c:v>
          </c:tx>
          <c:spPr>
            <a:ln w="38100">
              <a:solidFill>
                <a:srgbClr val="C00000"/>
              </a:solidFill>
              <a:prstDash val="sysDash"/>
            </a:ln>
          </c:spPr>
          <c:marker>
            <c:symbol val="none"/>
          </c:marker>
          <c:xVal>
            <c:numRef>
              <c:f>Input!$L$22:$L$598</c:f>
              <c:numCache>
                <c:formatCode>[$-409]dd\-mmm\-yy;@</c:formatCode>
                <c:ptCount val="577"/>
                <c:pt idx="0">
                  <c:v>37987</c:v>
                </c:pt>
                <c:pt idx="1">
                  <c:v>37988</c:v>
                </c:pt>
                <c:pt idx="2">
                  <c:v>37989</c:v>
                </c:pt>
                <c:pt idx="3">
                  <c:v>37990</c:v>
                </c:pt>
                <c:pt idx="4">
                  <c:v>37991</c:v>
                </c:pt>
                <c:pt idx="5">
                  <c:v>37992</c:v>
                </c:pt>
                <c:pt idx="6">
                  <c:v>37993</c:v>
                </c:pt>
                <c:pt idx="7">
                  <c:v>37994</c:v>
                </c:pt>
                <c:pt idx="8">
                  <c:v>37995</c:v>
                </c:pt>
                <c:pt idx="9">
                  <c:v>37996</c:v>
                </c:pt>
                <c:pt idx="10">
                  <c:v>37997</c:v>
                </c:pt>
                <c:pt idx="11">
                  <c:v>37998</c:v>
                </c:pt>
                <c:pt idx="12">
                  <c:v>37999</c:v>
                </c:pt>
                <c:pt idx="13">
                  <c:v>38000</c:v>
                </c:pt>
                <c:pt idx="14">
                  <c:v>38001</c:v>
                </c:pt>
                <c:pt idx="15">
                  <c:v>38002</c:v>
                </c:pt>
                <c:pt idx="16">
                  <c:v>38003</c:v>
                </c:pt>
                <c:pt idx="17">
                  <c:v>38004</c:v>
                </c:pt>
                <c:pt idx="18">
                  <c:v>38005</c:v>
                </c:pt>
                <c:pt idx="19">
                  <c:v>38006</c:v>
                </c:pt>
                <c:pt idx="20">
                  <c:v>38007</c:v>
                </c:pt>
                <c:pt idx="21">
                  <c:v>38008</c:v>
                </c:pt>
                <c:pt idx="22">
                  <c:v>38009</c:v>
                </c:pt>
                <c:pt idx="23">
                  <c:v>38010</c:v>
                </c:pt>
                <c:pt idx="24">
                  <c:v>38011</c:v>
                </c:pt>
                <c:pt idx="25">
                  <c:v>38012</c:v>
                </c:pt>
                <c:pt idx="26">
                  <c:v>38013</c:v>
                </c:pt>
                <c:pt idx="27">
                  <c:v>38014</c:v>
                </c:pt>
                <c:pt idx="28">
                  <c:v>38015</c:v>
                </c:pt>
                <c:pt idx="29">
                  <c:v>38016</c:v>
                </c:pt>
                <c:pt idx="30">
                  <c:v>38017</c:v>
                </c:pt>
                <c:pt idx="31">
                  <c:v>38018</c:v>
                </c:pt>
                <c:pt idx="32">
                  <c:v>38019</c:v>
                </c:pt>
                <c:pt idx="33">
                  <c:v>38020</c:v>
                </c:pt>
                <c:pt idx="34">
                  <c:v>38021</c:v>
                </c:pt>
                <c:pt idx="35">
                  <c:v>38022</c:v>
                </c:pt>
                <c:pt idx="36">
                  <c:v>38023</c:v>
                </c:pt>
                <c:pt idx="37">
                  <c:v>38024</c:v>
                </c:pt>
                <c:pt idx="38">
                  <c:v>38025</c:v>
                </c:pt>
                <c:pt idx="39">
                  <c:v>38026</c:v>
                </c:pt>
                <c:pt idx="40">
                  <c:v>38027</c:v>
                </c:pt>
                <c:pt idx="41">
                  <c:v>38028</c:v>
                </c:pt>
                <c:pt idx="42">
                  <c:v>38029</c:v>
                </c:pt>
                <c:pt idx="43">
                  <c:v>38030</c:v>
                </c:pt>
                <c:pt idx="44">
                  <c:v>38031</c:v>
                </c:pt>
                <c:pt idx="45">
                  <c:v>38032</c:v>
                </c:pt>
                <c:pt idx="46">
                  <c:v>38033</c:v>
                </c:pt>
                <c:pt idx="47">
                  <c:v>38034</c:v>
                </c:pt>
                <c:pt idx="48">
                  <c:v>38035</c:v>
                </c:pt>
                <c:pt idx="49">
                  <c:v>38036</c:v>
                </c:pt>
                <c:pt idx="50">
                  <c:v>38037</c:v>
                </c:pt>
                <c:pt idx="51">
                  <c:v>38038</c:v>
                </c:pt>
                <c:pt idx="52">
                  <c:v>38039</c:v>
                </c:pt>
                <c:pt idx="53">
                  <c:v>38040</c:v>
                </c:pt>
                <c:pt idx="54">
                  <c:v>38041</c:v>
                </c:pt>
                <c:pt idx="55">
                  <c:v>38042</c:v>
                </c:pt>
                <c:pt idx="56">
                  <c:v>38043</c:v>
                </c:pt>
                <c:pt idx="57">
                  <c:v>38044</c:v>
                </c:pt>
                <c:pt idx="58">
                  <c:v>38045</c:v>
                </c:pt>
                <c:pt idx="59">
                  <c:v>38046</c:v>
                </c:pt>
                <c:pt idx="60">
                  <c:v>38047</c:v>
                </c:pt>
                <c:pt idx="61">
                  <c:v>38048</c:v>
                </c:pt>
                <c:pt idx="62">
                  <c:v>38049</c:v>
                </c:pt>
                <c:pt idx="63">
                  <c:v>38050</c:v>
                </c:pt>
                <c:pt idx="64">
                  <c:v>38051</c:v>
                </c:pt>
                <c:pt idx="65">
                  <c:v>38052</c:v>
                </c:pt>
                <c:pt idx="66">
                  <c:v>38053</c:v>
                </c:pt>
                <c:pt idx="67">
                  <c:v>38054</c:v>
                </c:pt>
                <c:pt idx="68">
                  <c:v>38055</c:v>
                </c:pt>
                <c:pt idx="69">
                  <c:v>38056</c:v>
                </c:pt>
                <c:pt idx="70">
                  <c:v>38057</c:v>
                </c:pt>
                <c:pt idx="71">
                  <c:v>38058</c:v>
                </c:pt>
                <c:pt idx="72">
                  <c:v>38059</c:v>
                </c:pt>
                <c:pt idx="73">
                  <c:v>38060</c:v>
                </c:pt>
                <c:pt idx="74">
                  <c:v>38061</c:v>
                </c:pt>
                <c:pt idx="75">
                  <c:v>38062</c:v>
                </c:pt>
                <c:pt idx="76">
                  <c:v>38063</c:v>
                </c:pt>
                <c:pt idx="77">
                  <c:v>38064</c:v>
                </c:pt>
                <c:pt idx="78">
                  <c:v>38065</c:v>
                </c:pt>
                <c:pt idx="79">
                  <c:v>38066</c:v>
                </c:pt>
                <c:pt idx="80">
                  <c:v>38067</c:v>
                </c:pt>
                <c:pt idx="81">
                  <c:v>38068</c:v>
                </c:pt>
                <c:pt idx="82">
                  <c:v>38069</c:v>
                </c:pt>
                <c:pt idx="83">
                  <c:v>38070</c:v>
                </c:pt>
                <c:pt idx="84">
                  <c:v>38071</c:v>
                </c:pt>
                <c:pt idx="85">
                  <c:v>38072</c:v>
                </c:pt>
                <c:pt idx="86">
                  <c:v>38073</c:v>
                </c:pt>
                <c:pt idx="87">
                  <c:v>38074</c:v>
                </c:pt>
                <c:pt idx="88">
                  <c:v>38075</c:v>
                </c:pt>
                <c:pt idx="89">
                  <c:v>38076</c:v>
                </c:pt>
                <c:pt idx="90">
                  <c:v>38077</c:v>
                </c:pt>
                <c:pt idx="91">
                  <c:v>38078</c:v>
                </c:pt>
                <c:pt idx="92">
                  <c:v>38079</c:v>
                </c:pt>
                <c:pt idx="93">
                  <c:v>38080</c:v>
                </c:pt>
                <c:pt idx="94">
                  <c:v>38081</c:v>
                </c:pt>
                <c:pt idx="95">
                  <c:v>38082</c:v>
                </c:pt>
                <c:pt idx="96">
                  <c:v>38083</c:v>
                </c:pt>
                <c:pt idx="97">
                  <c:v>38084</c:v>
                </c:pt>
                <c:pt idx="98">
                  <c:v>38085</c:v>
                </c:pt>
                <c:pt idx="99">
                  <c:v>38086</c:v>
                </c:pt>
                <c:pt idx="100">
                  <c:v>38087</c:v>
                </c:pt>
                <c:pt idx="101">
                  <c:v>38088</c:v>
                </c:pt>
                <c:pt idx="102">
                  <c:v>38089</c:v>
                </c:pt>
                <c:pt idx="103">
                  <c:v>38090</c:v>
                </c:pt>
                <c:pt idx="104">
                  <c:v>38091</c:v>
                </c:pt>
                <c:pt idx="105">
                  <c:v>38092</c:v>
                </c:pt>
                <c:pt idx="106">
                  <c:v>38093</c:v>
                </c:pt>
                <c:pt idx="107">
                  <c:v>38094</c:v>
                </c:pt>
                <c:pt idx="108">
                  <c:v>38095</c:v>
                </c:pt>
                <c:pt idx="109">
                  <c:v>38096</c:v>
                </c:pt>
                <c:pt idx="110">
                  <c:v>38097</c:v>
                </c:pt>
                <c:pt idx="111">
                  <c:v>38098</c:v>
                </c:pt>
                <c:pt idx="112">
                  <c:v>38099</c:v>
                </c:pt>
                <c:pt idx="113">
                  <c:v>38100</c:v>
                </c:pt>
                <c:pt idx="114">
                  <c:v>38101</c:v>
                </c:pt>
                <c:pt idx="115">
                  <c:v>38102</c:v>
                </c:pt>
                <c:pt idx="116">
                  <c:v>38103</c:v>
                </c:pt>
                <c:pt idx="117">
                  <c:v>38104</c:v>
                </c:pt>
                <c:pt idx="118">
                  <c:v>38105</c:v>
                </c:pt>
                <c:pt idx="119">
                  <c:v>38106</c:v>
                </c:pt>
                <c:pt idx="120">
                  <c:v>38107</c:v>
                </c:pt>
                <c:pt idx="121">
                  <c:v>38108</c:v>
                </c:pt>
                <c:pt idx="122">
                  <c:v>38109</c:v>
                </c:pt>
                <c:pt idx="123">
                  <c:v>38110</c:v>
                </c:pt>
                <c:pt idx="124">
                  <c:v>38111</c:v>
                </c:pt>
                <c:pt idx="125">
                  <c:v>38112</c:v>
                </c:pt>
                <c:pt idx="126">
                  <c:v>38113</c:v>
                </c:pt>
                <c:pt idx="127">
                  <c:v>38114</c:v>
                </c:pt>
                <c:pt idx="128">
                  <c:v>38115</c:v>
                </c:pt>
                <c:pt idx="129">
                  <c:v>38116</c:v>
                </c:pt>
                <c:pt idx="130">
                  <c:v>38117</c:v>
                </c:pt>
                <c:pt idx="131">
                  <c:v>38118</c:v>
                </c:pt>
                <c:pt idx="132">
                  <c:v>38119</c:v>
                </c:pt>
                <c:pt idx="133">
                  <c:v>38120</c:v>
                </c:pt>
                <c:pt idx="134">
                  <c:v>38121</c:v>
                </c:pt>
                <c:pt idx="135">
                  <c:v>38122</c:v>
                </c:pt>
                <c:pt idx="136">
                  <c:v>38123</c:v>
                </c:pt>
                <c:pt idx="137">
                  <c:v>38124</c:v>
                </c:pt>
                <c:pt idx="138">
                  <c:v>38125</c:v>
                </c:pt>
                <c:pt idx="139">
                  <c:v>38126</c:v>
                </c:pt>
                <c:pt idx="140">
                  <c:v>38127</c:v>
                </c:pt>
                <c:pt idx="141">
                  <c:v>38128</c:v>
                </c:pt>
                <c:pt idx="142">
                  <c:v>38129</c:v>
                </c:pt>
                <c:pt idx="143">
                  <c:v>38130</c:v>
                </c:pt>
                <c:pt idx="144">
                  <c:v>38131</c:v>
                </c:pt>
                <c:pt idx="145">
                  <c:v>38132</c:v>
                </c:pt>
                <c:pt idx="146">
                  <c:v>38133</c:v>
                </c:pt>
                <c:pt idx="147">
                  <c:v>38134</c:v>
                </c:pt>
                <c:pt idx="148">
                  <c:v>38135</c:v>
                </c:pt>
                <c:pt idx="149">
                  <c:v>38136</c:v>
                </c:pt>
                <c:pt idx="150">
                  <c:v>38137</c:v>
                </c:pt>
                <c:pt idx="151">
                  <c:v>38138</c:v>
                </c:pt>
                <c:pt idx="152">
                  <c:v>38139</c:v>
                </c:pt>
                <c:pt idx="153">
                  <c:v>38140</c:v>
                </c:pt>
                <c:pt idx="154">
                  <c:v>38141</c:v>
                </c:pt>
                <c:pt idx="155">
                  <c:v>38142</c:v>
                </c:pt>
                <c:pt idx="156">
                  <c:v>38143</c:v>
                </c:pt>
                <c:pt idx="157">
                  <c:v>38144</c:v>
                </c:pt>
                <c:pt idx="158">
                  <c:v>38145</c:v>
                </c:pt>
                <c:pt idx="159">
                  <c:v>38146</c:v>
                </c:pt>
                <c:pt idx="160">
                  <c:v>38147</c:v>
                </c:pt>
                <c:pt idx="161">
                  <c:v>38148</c:v>
                </c:pt>
                <c:pt idx="162">
                  <c:v>38149</c:v>
                </c:pt>
                <c:pt idx="163">
                  <c:v>38150</c:v>
                </c:pt>
                <c:pt idx="164">
                  <c:v>38151</c:v>
                </c:pt>
                <c:pt idx="165">
                  <c:v>38152</c:v>
                </c:pt>
                <c:pt idx="166">
                  <c:v>38153</c:v>
                </c:pt>
                <c:pt idx="167">
                  <c:v>38154</c:v>
                </c:pt>
                <c:pt idx="168">
                  <c:v>38155</c:v>
                </c:pt>
                <c:pt idx="169">
                  <c:v>38156</c:v>
                </c:pt>
                <c:pt idx="170">
                  <c:v>38157</c:v>
                </c:pt>
                <c:pt idx="171">
                  <c:v>38158</c:v>
                </c:pt>
                <c:pt idx="172">
                  <c:v>38159</c:v>
                </c:pt>
                <c:pt idx="173">
                  <c:v>38160</c:v>
                </c:pt>
                <c:pt idx="174">
                  <c:v>38161</c:v>
                </c:pt>
                <c:pt idx="175">
                  <c:v>38162</c:v>
                </c:pt>
                <c:pt idx="176">
                  <c:v>38163</c:v>
                </c:pt>
                <c:pt idx="177">
                  <c:v>38164</c:v>
                </c:pt>
                <c:pt idx="178">
                  <c:v>38165</c:v>
                </c:pt>
                <c:pt idx="179">
                  <c:v>38166</c:v>
                </c:pt>
                <c:pt idx="180">
                  <c:v>38167</c:v>
                </c:pt>
                <c:pt idx="181">
                  <c:v>38168</c:v>
                </c:pt>
                <c:pt idx="182">
                  <c:v>38169</c:v>
                </c:pt>
                <c:pt idx="183">
                  <c:v>38170</c:v>
                </c:pt>
                <c:pt idx="184">
                  <c:v>38171</c:v>
                </c:pt>
                <c:pt idx="185">
                  <c:v>38172</c:v>
                </c:pt>
                <c:pt idx="186">
                  <c:v>38173</c:v>
                </c:pt>
                <c:pt idx="187">
                  <c:v>38174</c:v>
                </c:pt>
                <c:pt idx="188">
                  <c:v>38175</c:v>
                </c:pt>
                <c:pt idx="189">
                  <c:v>38176</c:v>
                </c:pt>
                <c:pt idx="190">
                  <c:v>38177</c:v>
                </c:pt>
                <c:pt idx="191">
                  <c:v>38178</c:v>
                </c:pt>
                <c:pt idx="192">
                  <c:v>38179</c:v>
                </c:pt>
                <c:pt idx="193">
                  <c:v>38180</c:v>
                </c:pt>
                <c:pt idx="194">
                  <c:v>38181</c:v>
                </c:pt>
                <c:pt idx="195">
                  <c:v>38182</c:v>
                </c:pt>
                <c:pt idx="196">
                  <c:v>38183</c:v>
                </c:pt>
                <c:pt idx="197">
                  <c:v>38184</c:v>
                </c:pt>
                <c:pt idx="198">
                  <c:v>38185</c:v>
                </c:pt>
                <c:pt idx="199">
                  <c:v>38186</c:v>
                </c:pt>
                <c:pt idx="200">
                  <c:v>38187</c:v>
                </c:pt>
                <c:pt idx="201">
                  <c:v>38188</c:v>
                </c:pt>
                <c:pt idx="202">
                  <c:v>38189</c:v>
                </c:pt>
                <c:pt idx="203">
                  <c:v>38190</c:v>
                </c:pt>
                <c:pt idx="204">
                  <c:v>38191</c:v>
                </c:pt>
                <c:pt idx="205">
                  <c:v>38192</c:v>
                </c:pt>
                <c:pt idx="206">
                  <c:v>38193</c:v>
                </c:pt>
                <c:pt idx="207">
                  <c:v>38194</c:v>
                </c:pt>
                <c:pt idx="208">
                  <c:v>38195</c:v>
                </c:pt>
                <c:pt idx="209">
                  <c:v>38196</c:v>
                </c:pt>
                <c:pt idx="210">
                  <c:v>38197</c:v>
                </c:pt>
                <c:pt idx="211">
                  <c:v>38198</c:v>
                </c:pt>
                <c:pt idx="212">
                  <c:v>38199</c:v>
                </c:pt>
                <c:pt idx="213">
                  <c:v>38200</c:v>
                </c:pt>
                <c:pt idx="214">
                  <c:v>38201</c:v>
                </c:pt>
                <c:pt idx="215">
                  <c:v>38202</c:v>
                </c:pt>
                <c:pt idx="216">
                  <c:v>38203</c:v>
                </c:pt>
                <c:pt idx="217">
                  <c:v>38204</c:v>
                </c:pt>
                <c:pt idx="218">
                  <c:v>38205</c:v>
                </c:pt>
                <c:pt idx="219">
                  <c:v>38206</c:v>
                </c:pt>
                <c:pt idx="220">
                  <c:v>38207</c:v>
                </c:pt>
                <c:pt idx="221">
                  <c:v>38208</c:v>
                </c:pt>
                <c:pt idx="222">
                  <c:v>38209</c:v>
                </c:pt>
                <c:pt idx="223">
                  <c:v>38210</c:v>
                </c:pt>
                <c:pt idx="224">
                  <c:v>38211</c:v>
                </c:pt>
                <c:pt idx="225">
                  <c:v>38212</c:v>
                </c:pt>
                <c:pt idx="226">
                  <c:v>38213</c:v>
                </c:pt>
                <c:pt idx="227">
                  <c:v>38214</c:v>
                </c:pt>
                <c:pt idx="228">
                  <c:v>38215</c:v>
                </c:pt>
                <c:pt idx="229">
                  <c:v>38216</c:v>
                </c:pt>
                <c:pt idx="230">
                  <c:v>38217</c:v>
                </c:pt>
                <c:pt idx="231">
                  <c:v>38218</c:v>
                </c:pt>
                <c:pt idx="232">
                  <c:v>38219</c:v>
                </c:pt>
                <c:pt idx="233">
                  <c:v>38220</c:v>
                </c:pt>
                <c:pt idx="234">
                  <c:v>38221</c:v>
                </c:pt>
                <c:pt idx="235">
                  <c:v>38222</c:v>
                </c:pt>
                <c:pt idx="236">
                  <c:v>38223</c:v>
                </c:pt>
                <c:pt idx="237">
                  <c:v>38224</c:v>
                </c:pt>
                <c:pt idx="238">
                  <c:v>38225</c:v>
                </c:pt>
                <c:pt idx="239">
                  <c:v>38226</c:v>
                </c:pt>
                <c:pt idx="240">
                  <c:v>38227</c:v>
                </c:pt>
                <c:pt idx="241">
                  <c:v>38228</c:v>
                </c:pt>
                <c:pt idx="242">
                  <c:v>38229</c:v>
                </c:pt>
                <c:pt idx="243">
                  <c:v>38230</c:v>
                </c:pt>
                <c:pt idx="244">
                  <c:v>38231</c:v>
                </c:pt>
                <c:pt idx="245">
                  <c:v>38232</c:v>
                </c:pt>
                <c:pt idx="246">
                  <c:v>38233</c:v>
                </c:pt>
                <c:pt idx="247">
                  <c:v>38234</c:v>
                </c:pt>
                <c:pt idx="248">
                  <c:v>38235</c:v>
                </c:pt>
                <c:pt idx="249">
                  <c:v>38236</c:v>
                </c:pt>
                <c:pt idx="250">
                  <c:v>38237</c:v>
                </c:pt>
                <c:pt idx="251">
                  <c:v>38238</c:v>
                </c:pt>
                <c:pt idx="252">
                  <c:v>38239</c:v>
                </c:pt>
                <c:pt idx="253">
                  <c:v>38240</c:v>
                </c:pt>
                <c:pt idx="254">
                  <c:v>38241</c:v>
                </c:pt>
                <c:pt idx="255">
                  <c:v>38242</c:v>
                </c:pt>
                <c:pt idx="256">
                  <c:v>38243</c:v>
                </c:pt>
                <c:pt idx="257">
                  <c:v>38244</c:v>
                </c:pt>
                <c:pt idx="258">
                  <c:v>38245</c:v>
                </c:pt>
                <c:pt idx="259">
                  <c:v>38246</c:v>
                </c:pt>
                <c:pt idx="260">
                  <c:v>38247</c:v>
                </c:pt>
                <c:pt idx="261">
                  <c:v>38248</c:v>
                </c:pt>
                <c:pt idx="262">
                  <c:v>38249</c:v>
                </c:pt>
                <c:pt idx="263">
                  <c:v>38250</c:v>
                </c:pt>
                <c:pt idx="264">
                  <c:v>38251</c:v>
                </c:pt>
                <c:pt idx="265">
                  <c:v>38252</c:v>
                </c:pt>
                <c:pt idx="266">
                  <c:v>38253</c:v>
                </c:pt>
                <c:pt idx="267">
                  <c:v>38254</c:v>
                </c:pt>
                <c:pt idx="268">
                  <c:v>38255</c:v>
                </c:pt>
                <c:pt idx="269">
                  <c:v>38256</c:v>
                </c:pt>
                <c:pt idx="270">
                  <c:v>38257</c:v>
                </c:pt>
                <c:pt idx="271">
                  <c:v>38258</c:v>
                </c:pt>
                <c:pt idx="272">
                  <c:v>38259</c:v>
                </c:pt>
                <c:pt idx="273">
                  <c:v>38260</c:v>
                </c:pt>
                <c:pt idx="274">
                  <c:v>38261</c:v>
                </c:pt>
                <c:pt idx="275">
                  <c:v>38262</c:v>
                </c:pt>
                <c:pt idx="276">
                  <c:v>38263</c:v>
                </c:pt>
                <c:pt idx="277">
                  <c:v>38264</c:v>
                </c:pt>
                <c:pt idx="278">
                  <c:v>38265</c:v>
                </c:pt>
                <c:pt idx="279">
                  <c:v>38266</c:v>
                </c:pt>
                <c:pt idx="280">
                  <c:v>38267</c:v>
                </c:pt>
                <c:pt idx="281">
                  <c:v>38268</c:v>
                </c:pt>
                <c:pt idx="282">
                  <c:v>38269</c:v>
                </c:pt>
                <c:pt idx="283">
                  <c:v>38270</c:v>
                </c:pt>
                <c:pt idx="284">
                  <c:v>38271</c:v>
                </c:pt>
                <c:pt idx="285">
                  <c:v>38272</c:v>
                </c:pt>
                <c:pt idx="286">
                  <c:v>38273</c:v>
                </c:pt>
                <c:pt idx="287">
                  <c:v>38274</c:v>
                </c:pt>
                <c:pt idx="288">
                  <c:v>38275</c:v>
                </c:pt>
                <c:pt idx="289">
                  <c:v>38276</c:v>
                </c:pt>
                <c:pt idx="290">
                  <c:v>38277</c:v>
                </c:pt>
                <c:pt idx="291">
                  <c:v>38278</c:v>
                </c:pt>
                <c:pt idx="292">
                  <c:v>38279</c:v>
                </c:pt>
                <c:pt idx="293">
                  <c:v>38280</c:v>
                </c:pt>
                <c:pt idx="294">
                  <c:v>38281</c:v>
                </c:pt>
                <c:pt idx="295">
                  <c:v>38282</c:v>
                </c:pt>
                <c:pt idx="296">
                  <c:v>38283</c:v>
                </c:pt>
                <c:pt idx="297">
                  <c:v>38284</c:v>
                </c:pt>
                <c:pt idx="298">
                  <c:v>38285</c:v>
                </c:pt>
                <c:pt idx="299">
                  <c:v>38286</c:v>
                </c:pt>
                <c:pt idx="300">
                  <c:v>38287</c:v>
                </c:pt>
                <c:pt idx="301">
                  <c:v>38288</c:v>
                </c:pt>
                <c:pt idx="302">
                  <c:v>38289</c:v>
                </c:pt>
                <c:pt idx="303">
                  <c:v>38290</c:v>
                </c:pt>
                <c:pt idx="304">
                  <c:v>38291</c:v>
                </c:pt>
                <c:pt idx="305">
                  <c:v>38292</c:v>
                </c:pt>
                <c:pt idx="306">
                  <c:v>38293</c:v>
                </c:pt>
                <c:pt idx="307">
                  <c:v>38294</c:v>
                </c:pt>
                <c:pt idx="308">
                  <c:v>38295</c:v>
                </c:pt>
                <c:pt idx="309">
                  <c:v>38296</c:v>
                </c:pt>
                <c:pt idx="310">
                  <c:v>38297</c:v>
                </c:pt>
                <c:pt idx="311">
                  <c:v>38298</c:v>
                </c:pt>
                <c:pt idx="312">
                  <c:v>38299</c:v>
                </c:pt>
                <c:pt idx="313">
                  <c:v>38300</c:v>
                </c:pt>
                <c:pt idx="314">
                  <c:v>38301</c:v>
                </c:pt>
                <c:pt idx="315">
                  <c:v>38302</c:v>
                </c:pt>
                <c:pt idx="316">
                  <c:v>38303</c:v>
                </c:pt>
                <c:pt idx="317">
                  <c:v>38304</c:v>
                </c:pt>
                <c:pt idx="318">
                  <c:v>38305</c:v>
                </c:pt>
                <c:pt idx="319">
                  <c:v>38306</c:v>
                </c:pt>
                <c:pt idx="320">
                  <c:v>38307</c:v>
                </c:pt>
                <c:pt idx="321">
                  <c:v>38308</c:v>
                </c:pt>
                <c:pt idx="322">
                  <c:v>38309</c:v>
                </c:pt>
                <c:pt idx="323">
                  <c:v>38310</c:v>
                </c:pt>
                <c:pt idx="324">
                  <c:v>38311</c:v>
                </c:pt>
                <c:pt idx="325">
                  <c:v>38312</c:v>
                </c:pt>
                <c:pt idx="326">
                  <c:v>38313</c:v>
                </c:pt>
                <c:pt idx="327">
                  <c:v>38314</c:v>
                </c:pt>
                <c:pt idx="328">
                  <c:v>38315</c:v>
                </c:pt>
                <c:pt idx="329">
                  <c:v>38316</c:v>
                </c:pt>
                <c:pt idx="330">
                  <c:v>38317</c:v>
                </c:pt>
                <c:pt idx="331">
                  <c:v>38318</c:v>
                </c:pt>
                <c:pt idx="332">
                  <c:v>38319</c:v>
                </c:pt>
                <c:pt idx="333">
                  <c:v>38320</c:v>
                </c:pt>
                <c:pt idx="334">
                  <c:v>38321</c:v>
                </c:pt>
                <c:pt idx="335">
                  <c:v>38322</c:v>
                </c:pt>
                <c:pt idx="336">
                  <c:v>38323</c:v>
                </c:pt>
                <c:pt idx="337">
                  <c:v>38324</c:v>
                </c:pt>
                <c:pt idx="338">
                  <c:v>38325</c:v>
                </c:pt>
                <c:pt idx="339">
                  <c:v>38326</c:v>
                </c:pt>
                <c:pt idx="340">
                  <c:v>38327</c:v>
                </c:pt>
                <c:pt idx="341">
                  <c:v>38328</c:v>
                </c:pt>
                <c:pt idx="342">
                  <c:v>38329</c:v>
                </c:pt>
                <c:pt idx="343">
                  <c:v>38330</c:v>
                </c:pt>
                <c:pt idx="344">
                  <c:v>38331</c:v>
                </c:pt>
                <c:pt idx="345">
                  <c:v>38332</c:v>
                </c:pt>
                <c:pt idx="346">
                  <c:v>38333</c:v>
                </c:pt>
                <c:pt idx="347">
                  <c:v>38334</c:v>
                </c:pt>
                <c:pt idx="348">
                  <c:v>38335</c:v>
                </c:pt>
                <c:pt idx="349">
                  <c:v>38336</c:v>
                </c:pt>
                <c:pt idx="350">
                  <c:v>38337</c:v>
                </c:pt>
                <c:pt idx="351">
                  <c:v>38338</c:v>
                </c:pt>
                <c:pt idx="352">
                  <c:v>38339</c:v>
                </c:pt>
                <c:pt idx="353">
                  <c:v>38340</c:v>
                </c:pt>
                <c:pt idx="354">
                  <c:v>38341</c:v>
                </c:pt>
                <c:pt idx="355">
                  <c:v>38342</c:v>
                </c:pt>
                <c:pt idx="356">
                  <c:v>38343</c:v>
                </c:pt>
                <c:pt idx="357">
                  <c:v>38344</c:v>
                </c:pt>
                <c:pt idx="358">
                  <c:v>38345</c:v>
                </c:pt>
                <c:pt idx="359">
                  <c:v>38346</c:v>
                </c:pt>
                <c:pt idx="360">
                  <c:v>38347</c:v>
                </c:pt>
                <c:pt idx="361">
                  <c:v>38348</c:v>
                </c:pt>
                <c:pt idx="362">
                  <c:v>38349</c:v>
                </c:pt>
                <c:pt idx="363">
                  <c:v>38350</c:v>
                </c:pt>
                <c:pt idx="364">
                  <c:v>38351</c:v>
                </c:pt>
                <c:pt idx="365">
                  <c:v>38352</c:v>
                </c:pt>
                <c:pt idx="366">
                  <c:v>38353</c:v>
                </c:pt>
                <c:pt idx="367">
                  <c:v>38354</c:v>
                </c:pt>
                <c:pt idx="368">
                  <c:v>38355</c:v>
                </c:pt>
                <c:pt idx="369">
                  <c:v>38356</c:v>
                </c:pt>
                <c:pt idx="370">
                  <c:v>38357</c:v>
                </c:pt>
                <c:pt idx="371">
                  <c:v>38358</c:v>
                </c:pt>
                <c:pt idx="372">
                  <c:v>38359</c:v>
                </c:pt>
                <c:pt idx="373">
                  <c:v>38360</c:v>
                </c:pt>
                <c:pt idx="374">
                  <c:v>38361</c:v>
                </c:pt>
                <c:pt idx="375">
                  <c:v>38362</c:v>
                </c:pt>
                <c:pt idx="376">
                  <c:v>38363</c:v>
                </c:pt>
                <c:pt idx="377">
                  <c:v>38364</c:v>
                </c:pt>
                <c:pt idx="378">
                  <c:v>38365</c:v>
                </c:pt>
                <c:pt idx="379">
                  <c:v>38366</c:v>
                </c:pt>
                <c:pt idx="380">
                  <c:v>38367</c:v>
                </c:pt>
                <c:pt idx="381">
                  <c:v>38368</c:v>
                </c:pt>
                <c:pt idx="382">
                  <c:v>38369</c:v>
                </c:pt>
                <c:pt idx="383">
                  <c:v>38370</c:v>
                </c:pt>
                <c:pt idx="384">
                  <c:v>38371</c:v>
                </c:pt>
                <c:pt idx="385">
                  <c:v>38372</c:v>
                </c:pt>
                <c:pt idx="386">
                  <c:v>38373</c:v>
                </c:pt>
                <c:pt idx="387">
                  <c:v>38374</c:v>
                </c:pt>
                <c:pt idx="388">
                  <c:v>38375</c:v>
                </c:pt>
                <c:pt idx="389">
                  <c:v>38376</c:v>
                </c:pt>
                <c:pt idx="390">
                  <c:v>38377</c:v>
                </c:pt>
                <c:pt idx="391">
                  <c:v>38378</c:v>
                </c:pt>
                <c:pt idx="392">
                  <c:v>38379</c:v>
                </c:pt>
                <c:pt idx="393">
                  <c:v>38380</c:v>
                </c:pt>
                <c:pt idx="394">
                  <c:v>38381</c:v>
                </c:pt>
                <c:pt idx="395">
                  <c:v>38382</c:v>
                </c:pt>
                <c:pt idx="396">
                  <c:v>38383</c:v>
                </c:pt>
                <c:pt idx="397">
                  <c:v>38384</c:v>
                </c:pt>
                <c:pt idx="398">
                  <c:v>38385</c:v>
                </c:pt>
                <c:pt idx="399">
                  <c:v>38386</c:v>
                </c:pt>
                <c:pt idx="400">
                  <c:v>38387</c:v>
                </c:pt>
                <c:pt idx="401">
                  <c:v>38388</c:v>
                </c:pt>
                <c:pt idx="402">
                  <c:v>38389</c:v>
                </c:pt>
                <c:pt idx="403">
                  <c:v>38390</c:v>
                </c:pt>
                <c:pt idx="404">
                  <c:v>38391</c:v>
                </c:pt>
                <c:pt idx="405">
                  <c:v>38392</c:v>
                </c:pt>
                <c:pt idx="406">
                  <c:v>38393</c:v>
                </c:pt>
                <c:pt idx="407">
                  <c:v>38394</c:v>
                </c:pt>
                <c:pt idx="408">
                  <c:v>38395</c:v>
                </c:pt>
                <c:pt idx="409">
                  <c:v>38396</c:v>
                </c:pt>
                <c:pt idx="410">
                  <c:v>38397</c:v>
                </c:pt>
                <c:pt idx="411">
                  <c:v>38398</c:v>
                </c:pt>
                <c:pt idx="412">
                  <c:v>38399</c:v>
                </c:pt>
                <c:pt idx="413">
                  <c:v>38400</c:v>
                </c:pt>
                <c:pt idx="414">
                  <c:v>38401</c:v>
                </c:pt>
                <c:pt idx="415">
                  <c:v>38402</c:v>
                </c:pt>
                <c:pt idx="416">
                  <c:v>38403</c:v>
                </c:pt>
                <c:pt idx="417">
                  <c:v>38404</c:v>
                </c:pt>
                <c:pt idx="418">
                  <c:v>38405</c:v>
                </c:pt>
                <c:pt idx="419">
                  <c:v>38406</c:v>
                </c:pt>
                <c:pt idx="420">
                  <c:v>38407</c:v>
                </c:pt>
                <c:pt idx="421">
                  <c:v>38408</c:v>
                </c:pt>
                <c:pt idx="422">
                  <c:v>38409</c:v>
                </c:pt>
                <c:pt idx="423">
                  <c:v>38410</c:v>
                </c:pt>
                <c:pt idx="424">
                  <c:v>38411</c:v>
                </c:pt>
                <c:pt idx="425">
                  <c:v>38412</c:v>
                </c:pt>
                <c:pt idx="426">
                  <c:v>38413</c:v>
                </c:pt>
                <c:pt idx="427">
                  <c:v>38414</c:v>
                </c:pt>
                <c:pt idx="428">
                  <c:v>38415</c:v>
                </c:pt>
                <c:pt idx="429">
                  <c:v>38416</c:v>
                </c:pt>
                <c:pt idx="430">
                  <c:v>38417</c:v>
                </c:pt>
                <c:pt idx="431">
                  <c:v>38418</c:v>
                </c:pt>
                <c:pt idx="432">
                  <c:v>38419</c:v>
                </c:pt>
                <c:pt idx="433">
                  <c:v>38420</c:v>
                </c:pt>
                <c:pt idx="434">
                  <c:v>38421</c:v>
                </c:pt>
                <c:pt idx="435">
                  <c:v>38422</c:v>
                </c:pt>
                <c:pt idx="436">
                  <c:v>38423</c:v>
                </c:pt>
                <c:pt idx="437">
                  <c:v>38424</c:v>
                </c:pt>
                <c:pt idx="438">
                  <c:v>38425</c:v>
                </c:pt>
                <c:pt idx="439">
                  <c:v>38426</c:v>
                </c:pt>
                <c:pt idx="440">
                  <c:v>38427</c:v>
                </c:pt>
                <c:pt idx="441">
                  <c:v>38428</c:v>
                </c:pt>
                <c:pt idx="442">
                  <c:v>38429</c:v>
                </c:pt>
                <c:pt idx="443">
                  <c:v>38430</c:v>
                </c:pt>
                <c:pt idx="444">
                  <c:v>38431</c:v>
                </c:pt>
                <c:pt idx="445">
                  <c:v>38432</c:v>
                </c:pt>
                <c:pt idx="446">
                  <c:v>38433</c:v>
                </c:pt>
                <c:pt idx="447">
                  <c:v>38434</c:v>
                </c:pt>
                <c:pt idx="448">
                  <c:v>38435</c:v>
                </c:pt>
                <c:pt idx="449">
                  <c:v>38436</c:v>
                </c:pt>
                <c:pt idx="450">
                  <c:v>38437</c:v>
                </c:pt>
                <c:pt idx="451">
                  <c:v>38438</c:v>
                </c:pt>
                <c:pt idx="452">
                  <c:v>38439</c:v>
                </c:pt>
                <c:pt idx="453">
                  <c:v>38440</c:v>
                </c:pt>
                <c:pt idx="454">
                  <c:v>38441</c:v>
                </c:pt>
                <c:pt idx="455">
                  <c:v>38442</c:v>
                </c:pt>
                <c:pt idx="456">
                  <c:v>38443</c:v>
                </c:pt>
                <c:pt idx="457">
                  <c:v>38444</c:v>
                </c:pt>
                <c:pt idx="458">
                  <c:v>38445</c:v>
                </c:pt>
                <c:pt idx="459">
                  <c:v>38446</c:v>
                </c:pt>
                <c:pt idx="460">
                  <c:v>38447</c:v>
                </c:pt>
                <c:pt idx="461">
                  <c:v>38448</c:v>
                </c:pt>
                <c:pt idx="462">
                  <c:v>38449</c:v>
                </c:pt>
                <c:pt idx="463">
                  <c:v>38450</c:v>
                </c:pt>
                <c:pt idx="464">
                  <c:v>38451</c:v>
                </c:pt>
                <c:pt idx="465">
                  <c:v>38452</c:v>
                </c:pt>
                <c:pt idx="466">
                  <c:v>38453</c:v>
                </c:pt>
                <c:pt idx="467">
                  <c:v>38454</c:v>
                </c:pt>
                <c:pt idx="468">
                  <c:v>38455</c:v>
                </c:pt>
                <c:pt idx="469">
                  <c:v>38456</c:v>
                </c:pt>
                <c:pt idx="470">
                  <c:v>38457</c:v>
                </c:pt>
                <c:pt idx="471">
                  <c:v>38458</c:v>
                </c:pt>
                <c:pt idx="472">
                  <c:v>38459</c:v>
                </c:pt>
                <c:pt idx="473">
                  <c:v>38460</c:v>
                </c:pt>
                <c:pt idx="474">
                  <c:v>38461</c:v>
                </c:pt>
                <c:pt idx="475">
                  <c:v>38462</c:v>
                </c:pt>
                <c:pt idx="476">
                  <c:v>38463</c:v>
                </c:pt>
                <c:pt idx="477">
                  <c:v>38464</c:v>
                </c:pt>
                <c:pt idx="478">
                  <c:v>38465</c:v>
                </c:pt>
                <c:pt idx="479">
                  <c:v>38466</c:v>
                </c:pt>
                <c:pt idx="480">
                  <c:v>38467</c:v>
                </c:pt>
                <c:pt idx="481">
                  <c:v>38468</c:v>
                </c:pt>
                <c:pt idx="482">
                  <c:v>38469</c:v>
                </c:pt>
                <c:pt idx="483">
                  <c:v>38470</c:v>
                </c:pt>
                <c:pt idx="484">
                  <c:v>38471</c:v>
                </c:pt>
                <c:pt idx="485">
                  <c:v>38472</c:v>
                </c:pt>
                <c:pt idx="486">
                  <c:v>38473</c:v>
                </c:pt>
                <c:pt idx="487">
                  <c:v>38474</c:v>
                </c:pt>
                <c:pt idx="488">
                  <c:v>38475</c:v>
                </c:pt>
                <c:pt idx="489">
                  <c:v>38476</c:v>
                </c:pt>
                <c:pt idx="490">
                  <c:v>38477</c:v>
                </c:pt>
                <c:pt idx="491">
                  <c:v>38478</c:v>
                </c:pt>
                <c:pt idx="492">
                  <c:v>38479</c:v>
                </c:pt>
                <c:pt idx="493">
                  <c:v>38480</c:v>
                </c:pt>
                <c:pt idx="494">
                  <c:v>38481</c:v>
                </c:pt>
                <c:pt idx="495">
                  <c:v>38482</c:v>
                </c:pt>
                <c:pt idx="496">
                  <c:v>38483</c:v>
                </c:pt>
                <c:pt idx="497">
                  <c:v>38484</c:v>
                </c:pt>
                <c:pt idx="498">
                  <c:v>38485</c:v>
                </c:pt>
                <c:pt idx="499">
                  <c:v>38486</c:v>
                </c:pt>
                <c:pt idx="500">
                  <c:v>38487</c:v>
                </c:pt>
                <c:pt idx="501">
                  <c:v>38488</c:v>
                </c:pt>
                <c:pt idx="502">
                  <c:v>38489</c:v>
                </c:pt>
                <c:pt idx="503">
                  <c:v>38490</c:v>
                </c:pt>
                <c:pt idx="504">
                  <c:v>38491</c:v>
                </c:pt>
                <c:pt idx="505">
                  <c:v>38492</c:v>
                </c:pt>
                <c:pt idx="506">
                  <c:v>38493</c:v>
                </c:pt>
                <c:pt idx="507">
                  <c:v>38494</c:v>
                </c:pt>
                <c:pt idx="508">
                  <c:v>38495</c:v>
                </c:pt>
                <c:pt idx="509">
                  <c:v>38496</c:v>
                </c:pt>
                <c:pt idx="510">
                  <c:v>38497</c:v>
                </c:pt>
                <c:pt idx="511">
                  <c:v>38498</c:v>
                </c:pt>
                <c:pt idx="512">
                  <c:v>38499</c:v>
                </c:pt>
                <c:pt idx="513">
                  <c:v>38500</c:v>
                </c:pt>
                <c:pt idx="514">
                  <c:v>38501</c:v>
                </c:pt>
                <c:pt idx="515">
                  <c:v>38502</c:v>
                </c:pt>
                <c:pt idx="516">
                  <c:v>38503</c:v>
                </c:pt>
                <c:pt idx="517">
                  <c:v>38504</c:v>
                </c:pt>
                <c:pt idx="518">
                  <c:v>38505</c:v>
                </c:pt>
                <c:pt idx="519">
                  <c:v>38506</c:v>
                </c:pt>
                <c:pt idx="520">
                  <c:v>38507</c:v>
                </c:pt>
                <c:pt idx="521">
                  <c:v>38508</c:v>
                </c:pt>
                <c:pt idx="522">
                  <c:v>38509</c:v>
                </c:pt>
                <c:pt idx="523">
                  <c:v>38510</c:v>
                </c:pt>
                <c:pt idx="524">
                  <c:v>38511</c:v>
                </c:pt>
                <c:pt idx="525">
                  <c:v>38512</c:v>
                </c:pt>
                <c:pt idx="526">
                  <c:v>38513</c:v>
                </c:pt>
                <c:pt idx="527">
                  <c:v>38514</c:v>
                </c:pt>
                <c:pt idx="528">
                  <c:v>38515</c:v>
                </c:pt>
                <c:pt idx="529">
                  <c:v>38516</c:v>
                </c:pt>
                <c:pt idx="530">
                  <c:v>38517</c:v>
                </c:pt>
                <c:pt idx="531">
                  <c:v>38518</c:v>
                </c:pt>
                <c:pt idx="532">
                  <c:v>38519</c:v>
                </c:pt>
                <c:pt idx="533">
                  <c:v>38520</c:v>
                </c:pt>
                <c:pt idx="534">
                  <c:v>38521</c:v>
                </c:pt>
                <c:pt idx="535">
                  <c:v>38522</c:v>
                </c:pt>
                <c:pt idx="536">
                  <c:v>38523</c:v>
                </c:pt>
                <c:pt idx="537">
                  <c:v>38524</c:v>
                </c:pt>
                <c:pt idx="538">
                  <c:v>38525</c:v>
                </c:pt>
                <c:pt idx="539">
                  <c:v>38526</c:v>
                </c:pt>
                <c:pt idx="540">
                  <c:v>38527</c:v>
                </c:pt>
                <c:pt idx="541">
                  <c:v>38528</c:v>
                </c:pt>
                <c:pt idx="542">
                  <c:v>38529</c:v>
                </c:pt>
                <c:pt idx="543">
                  <c:v>38530</c:v>
                </c:pt>
                <c:pt idx="544">
                  <c:v>38531</c:v>
                </c:pt>
                <c:pt idx="545">
                  <c:v>38532</c:v>
                </c:pt>
                <c:pt idx="546">
                  <c:v>38533</c:v>
                </c:pt>
                <c:pt idx="547">
                  <c:v>38534</c:v>
                </c:pt>
                <c:pt idx="548">
                  <c:v>38535</c:v>
                </c:pt>
                <c:pt idx="549">
                  <c:v>38536</c:v>
                </c:pt>
                <c:pt idx="550">
                  <c:v>38537</c:v>
                </c:pt>
                <c:pt idx="551">
                  <c:v>38538</c:v>
                </c:pt>
                <c:pt idx="552">
                  <c:v>38539</c:v>
                </c:pt>
                <c:pt idx="553">
                  <c:v>38540</c:v>
                </c:pt>
                <c:pt idx="554">
                  <c:v>38541</c:v>
                </c:pt>
                <c:pt idx="555">
                  <c:v>38542</c:v>
                </c:pt>
                <c:pt idx="556">
                  <c:v>38543</c:v>
                </c:pt>
                <c:pt idx="557">
                  <c:v>38544</c:v>
                </c:pt>
                <c:pt idx="558">
                  <c:v>38545</c:v>
                </c:pt>
                <c:pt idx="559">
                  <c:v>38546</c:v>
                </c:pt>
                <c:pt idx="560">
                  <c:v>38547</c:v>
                </c:pt>
                <c:pt idx="561">
                  <c:v>38548</c:v>
                </c:pt>
                <c:pt idx="562">
                  <c:v>38549</c:v>
                </c:pt>
                <c:pt idx="563">
                  <c:v>38550</c:v>
                </c:pt>
                <c:pt idx="564">
                  <c:v>38551</c:v>
                </c:pt>
                <c:pt idx="565">
                  <c:v>38552</c:v>
                </c:pt>
                <c:pt idx="566">
                  <c:v>38553</c:v>
                </c:pt>
                <c:pt idx="567">
                  <c:v>38554</c:v>
                </c:pt>
                <c:pt idx="568">
                  <c:v>38555</c:v>
                </c:pt>
                <c:pt idx="569">
                  <c:v>38556</c:v>
                </c:pt>
                <c:pt idx="570">
                  <c:v>38557</c:v>
                </c:pt>
                <c:pt idx="571">
                  <c:v>38558</c:v>
                </c:pt>
                <c:pt idx="572">
                  <c:v>38559</c:v>
                </c:pt>
                <c:pt idx="573">
                  <c:v>38560</c:v>
                </c:pt>
                <c:pt idx="574">
                  <c:v>38561</c:v>
                </c:pt>
                <c:pt idx="575">
                  <c:v>38562</c:v>
                </c:pt>
                <c:pt idx="576">
                  <c:v>38563</c:v>
                </c:pt>
              </c:numCache>
            </c:numRef>
          </c:xVal>
          <c:yVal>
            <c:numRef>
              <c:f>Input!$AU$22:$AU$598</c:f>
              <c:numCache>
                <c:formatCode>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1.3809350269609995</c:v>
                </c:pt>
                <c:pt idx="106">
                  <c:v>1.9923545230561273</c:v>
                </c:pt>
                <c:pt idx="107">
                  <c:v>3.3467373689338968</c:v>
                </c:pt>
                <c:pt idx="108">
                  <c:v>5.2506258827657906</c:v>
                </c:pt>
                <c:pt idx="109">
                  <c:v>6.9710843502907478</c:v>
                </c:pt>
                <c:pt idx="110">
                  <c:v>8.9041631003758503</c:v>
                </c:pt>
                <c:pt idx="111">
                  <c:v>10.985147469452002</c:v>
                </c:pt>
                <c:pt idx="112">
                  <c:v>13.14541571231357</c:v>
                </c:pt>
                <c:pt idx="113">
                  <c:v>15.00179722320579</c:v>
                </c:pt>
                <c:pt idx="114">
                  <c:v>16.413604524483727</c:v>
                </c:pt>
                <c:pt idx="115">
                  <c:v>16.661804071541642</c:v>
                </c:pt>
                <c:pt idx="116">
                  <c:v>16.832844130832974</c:v>
                </c:pt>
                <c:pt idx="117">
                  <c:v>16.958946104974714</c:v>
                </c:pt>
                <c:pt idx="118">
                  <c:v>17.120019812656533</c:v>
                </c:pt>
                <c:pt idx="119">
                  <c:v>17.269180258167612</c:v>
                </c:pt>
                <c:pt idx="120">
                  <c:v>17.374240777263154</c:v>
                </c:pt>
                <c:pt idx="121">
                  <c:v>17.493249849997042</c:v>
                </c:pt>
                <c:pt idx="122">
                  <c:v>19.695294103151099</c:v>
                </c:pt>
                <c:pt idx="123">
                  <c:v>22.361821193129366</c:v>
                </c:pt>
                <c:pt idx="124">
                  <c:v>23.971738832424862</c:v>
                </c:pt>
                <c:pt idx="125">
                  <c:v>26.356821979704723</c:v>
                </c:pt>
                <c:pt idx="126">
                  <c:v>29.08162242034166</c:v>
                </c:pt>
                <c:pt idx="127">
                  <c:v>30.574311384764105</c:v>
                </c:pt>
                <c:pt idx="128">
                  <c:v>31.910306354219237</c:v>
                </c:pt>
                <c:pt idx="129">
                  <c:v>34.300519445658615</c:v>
                </c:pt>
                <c:pt idx="130">
                  <c:v>37.42706756162935</c:v>
                </c:pt>
                <c:pt idx="131">
                  <c:v>40.402784078516255</c:v>
                </c:pt>
                <c:pt idx="132">
                  <c:v>43.618670202814243</c:v>
                </c:pt>
                <c:pt idx="133">
                  <c:v>45.866219195376303</c:v>
                </c:pt>
                <c:pt idx="134">
                  <c:v>47.901903492976075</c:v>
                </c:pt>
                <c:pt idx="135">
                  <c:v>50.079322830151298</c:v>
                </c:pt>
                <c:pt idx="136">
                  <c:v>52.233259542281594</c:v>
                </c:pt>
                <c:pt idx="137">
                  <c:v>53.98911073483287</c:v>
                </c:pt>
                <c:pt idx="138">
                  <c:v>56.546690102997609</c:v>
                </c:pt>
                <c:pt idx="139">
                  <c:v>58.400507984430178</c:v>
                </c:pt>
                <c:pt idx="140">
                  <c:v>60.30327746188722</c:v>
                </c:pt>
                <c:pt idx="141">
                  <c:v>62.510413473647809</c:v>
                </c:pt>
                <c:pt idx="142">
                  <c:v>64.184219628627375</c:v>
                </c:pt>
                <c:pt idx="143">
                  <c:v>66.984071025392012</c:v>
                </c:pt>
                <c:pt idx="144">
                  <c:v>70.099756661220255</c:v>
                </c:pt>
                <c:pt idx="145">
                  <c:v>72.899057232070092</c:v>
                </c:pt>
                <c:pt idx="146">
                  <c:v>75.660066799465667</c:v>
                </c:pt>
                <c:pt idx="147">
                  <c:v>78.114095260484419</c:v>
                </c:pt>
                <c:pt idx="148">
                  <c:v>80.985515598372515</c:v>
                </c:pt>
                <c:pt idx="149">
                  <c:v>84.516487556513553</c:v>
                </c:pt>
                <c:pt idx="150">
                  <c:v>87.691692519528289</c:v>
                </c:pt>
                <c:pt idx="151">
                  <c:v>91.204184791613216</c:v>
                </c:pt>
                <c:pt idx="152">
                  <c:v>95.077007898531946</c:v>
                </c:pt>
                <c:pt idx="153">
                  <c:v>98.642667850526024</c:v>
                </c:pt>
                <c:pt idx="154">
                  <c:v>102.93532070212494</c:v>
                </c:pt>
                <c:pt idx="155">
                  <c:v>106.50737409090708</c:v>
                </c:pt>
                <c:pt idx="156">
                  <c:v>109.82395636595501</c:v>
                </c:pt>
                <c:pt idx="157">
                  <c:v>113.62703237839479</c:v>
                </c:pt>
                <c:pt idx="158">
                  <c:v>117.74813853947762</c:v>
                </c:pt>
                <c:pt idx="159">
                  <c:v>121.81122653667637</c:v>
                </c:pt>
                <c:pt idx="160">
                  <c:v>125.70231564311437</c:v>
                </c:pt>
                <c:pt idx="161">
                  <c:v>129.86853964092202</c:v>
                </c:pt>
                <c:pt idx="162">
                  <c:v>134.03511392910349</c:v>
                </c:pt>
                <c:pt idx="163">
                  <c:v>137.67678600495523</c:v>
                </c:pt>
                <c:pt idx="164">
                  <c:v>141.61929534227966</c:v>
                </c:pt>
                <c:pt idx="165">
                  <c:v>145.66381165655071</c:v>
                </c:pt>
                <c:pt idx="166">
                  <c:v>148.6711582530958</c:v>
                </c:pt>
                <c:pt idx="167">
                  <c:v>152.20234254913933</c:v>
                </c:pt>
                <c:pt idx="168">
                  <c:v>155.86467402501341</c:v>
                </c:pt>
                <c:pt idx="169">
                  <c:v>160.09012928449405</c:v>
                </c:pt>
                <c:pt idx="170">
                  <c:v>164.42121174960579</c:v>
                </c:pt>
                <c:pt idx="171">
                  <c:v>168.6513557809179</c:v>
                </c:pt>
                <c:pt idx="172">
                  <c:v>173.50768948949502</c:v>
                </c:pt>
                <c:pt idx="173">
                  <c:v>178.79132485312954</c:v>
                </c:pt>
                <c:pt idx="174">
                  <c:v>183.10064214933215</c:v>
                </c:pt>
                <c:pt idx="175">
                  <c:v>186.87314413826897</c:v>
                </c:pt>
                <c:pt idx="176">
                  <c:v>191.96067354296162</c:v>
                </c:pt>
                <c:pt idx="177">
                  <c:v>196.56975602333813</c:v>
                </c:pt>
                <c:pt idx="178">
                  <c:v>200.74039341610035</c:v>
                </c:pt>
                <c:pt idx="179">
                  <c:v>204.57114707377389</c:v>
                </c:pt>
                <c:pt idx="180">
                  <c:v>209.92946109229746</c:v>
                </c:pt>
                <c:pt idx="181">
                  <c:v>215.37418252521974</c:v>
                </c:pt>
                <c:pt idx="182">
                  <c:v>221.03303242136559</c:v>
                </c:pt>
                <c:pt idx="183">
                  <c:v>226.8771949301705</c:v>
                </c:pt>
                <c:pt idx="184">
                  <c:v>232.20436765659565</c:v>
                </c:pt>
                <c:pt idx="185">
                  <c:v>237.67194260742826</c:v>
                </c:pt>
                <c:pt idx="186">
                  <c:v>241.34050656577688</c:v>
                </c:pt>
                <c:pt idx="187">
                  <c:v>244.86362810548331</c:v>
                </c:pt>
                <c:pt idx="188">
                  <c:v>249.55992379439053</c:v>
                </c:pt>
                <c:pt idx="189">
                  <c:v>254.2209915205417</c:v>
                </c:pt>
                <c:pt idx="190">
                  <c:v>259.24555826510135</c:v>
                </c:pt>
                <c:pt idx="191">
                  <c:v>264.34512459268046</c:v>
                </c:pt>
                <c:pt idx="192">
                  <c:v>269.77628384071471</c:v>
                </c:pt>
                <c:pt idx="193">
                  <c:v>274.46567741750937</c:v>
                </c:pt>
                <c:pt idx="194">
                  <c:v>278.84902252233877</c:v>
                </c:pt>
                <c:pt idx="195">
                  <c:v>283.4764101068377</c:v>
                </c:pt>
                <c:pt idx="196">
                  <c:v>288.09595920725354</c:v>
                </c:pt>
                <c:pt idx="197">
                  <c:v>292.96496197314747</c:v>
                </c:pt>
                <c:pt idx="198">
                  <c:v>297.66717955669941</c:v>
                </c:pt>
                <c:pt idx="199">
                  <c:v>302.29456357521866</c:v>
                </c:pt>
                <c:pt idx="200">
                  <c:v>307.1043163459625</c:v>
                </c:pt>
                <c:pt idx="201">
                  <c:v>312.3937481595006</c:v>
                </c:pt>
                <c:pt idx="202">
                  <c:v>316.93984330782638</c:v>
                </c:pt>
                <c:pt idx="203">
                  <c:v>321.13433160264384</c:v>
                </c:pt>
                <c:pt idx="204">
                  <c:v>325.40303637977848</c:v>
                </c:pt>
                <c:pt idx="205">
                  <c:v>329.71601868267567</c:v>
                </c:pt>
                <c:pt idx="206">
                  <c:v>333.66788943755313</c:v>
                </c:pt>
                <c:pt idx="207">
                  <c:v>338.40165056474001</c:v>
                </c:pt>
                <c:pt idx="208">
                  <c:v>342.28732649514262</c:v>
                </c:pt>
                <c:pt idx="209">
                  <c:v>347.08487003965303</c:v>
                </c:pt>
                <c:pt idx="210">
                  <c:v>351.78582716591194</c:v>
                </c:pt>
                <c:pt idx="211">
                  <c:v>355.85695500795157</c:v>
                </c:pt>
                <c:pt idx="212">
                  <c:v>359.75557088881857</c:v>
                </c:pt>
                <c:pt idx="213">
                  <c:v>364.42368435583666</c:v>
                </c:pt>
                <c:pt idx="214">
                  <c:v>367.71355998546522</c:v>
                </c:pt>
                <c:pt idx="215">
                  <c:v>372.49929792567201</c:v>
                </c:pt>
                <c:pt idx="216">
                  <c:v>376.93518075669215</c:v>
                </c:pt>
                <c:pt idx="217">
                  <c:v>381.14323291373535</c:v>
                </c:pt>
                <c:pt idx="218">
                  <c:v>385.88172769825633</c:v>
                </c:pt>
                <c:pt idx="219">
                  <c:v>390.90350723318716</c:v>
                </c:pt>
                <c:pt idx="220">
                  <c:v>394.68717813903339</c:v>
                </c:pt>
                <c:pt idx="221">
                  <c:v>399.05108636687851</c:v>
                </c:pt>
                <c:pt idx="222">
                  <c:v>403.14251311842838</c:v>
                </c:pt>
                <c:pt idx="223">
                  <c:v>406.7025143859409</c:v>
                </c:pt>
                <c:pt idx="224">
                  <c:v>410.20128533105463</c:v>
                </c:pt>
                <c:pt idx="225">
                  <c:v>414.39593431177531</c:v>
                </c:pt>
                <c:pt idx="226">
                  <c:v>418.40507682867405</c:v>
                </c:pt>
                <c:pt idx="227">
                  <c:v>419.96713288125778</c:v>
                </c:pt>
                <c:pt idx="228">
                  <c:v>422.44942337765787</c:v>
                </c:pt>
                <c:pt idx="229">
                  <c:v>426.85445394886619</c:v>
                </c:pt>
                <c:pt idx="230">
                  <c:v>430.05084370934503</c:v>
                </c:pt>
                <c:pt idx="231">
                  <c:v>434.34990968649748</c:v>
                </c:pt>
                <c:pt idx="232">
                  <c:v>438.81242813832046</c:v>
                </c:pt>
                <c:pt idx="233">
                  <c:v>443.3011337471462</c:v>
                </c:pt>
                <c:pt idx="234">
                  <c:v>447.33438497268185</c:v>
                </c:pt>
                <c:pt idx="235">
                  <c:v>450.57511653211844</c:v>
                </c:pt>
                <c:pt idx="236">
                  <c:v>454.46932105510211</c:v>
                </c:pt>
                <c:pt idx="237">
                  <c:v>458.30150922192701</c:v>
                </c:pt>
                <c:pt idx="238">
                  <c:v>461.58440901451951</c:v>
                </c:pt>
                <c:pt idx="239">
                  <c:v>463.96979142080028</c:v>
                </c:pt>
                <c:pt idx="240">
                  <c:v>467.21338041165694</c:v>
                </c:pt>
                <c:pt idx="241">
                  <c:v>470.80345150627329</c:v>
                </c:pt>
                <c:pt idx="242">
                  <c:v>474.45913424013702</c:v>
                </c:pt>
                <c:pt idx="243">
                  <c:v>477.47353663435325</c:v>
                </c:pt>
                <c:pt idx="244">
                  <c:v>479.87877433631434</c:v>
                </c:pt>
                <c:pt idx="245">
                  <c:v>482.43167107180261</c:v>
                </c:pt>
                <c:pt idx="246">
                  <c:v>485.1131049814764</c:v>
                </c:pt>
                <c:pt idx="247">
                  <c:v>487.73053336743112</c:v>
                </c:pt>
                <c:pt idx="248">
                  <c:v>490.18661293137484</c:v>
                </c:pt>
                <c:pt idx="249">
                  <c:v>492.56385177820175</c:v>
                </c:pt>
                <c:pt idx="250">
                  <c:v>494.47215946527513</c:v>
                </c:pt>
                <c:pt idx="251">
                  <c:v>497.11587969750576</c:v>
                </c:pt>
                <c:pt idx="252">
                  <c:v>499.74537333116825</c:v>
                </c:pt>
                <c:pt idx="253">
                  <c:v>502.09393073240267</c:v>
                </c:pt>
                <c:pt idx="254">
                  <c:v>504.69769151926931</c:v>
                </c:pt>
                <c:pt idx="255">
                  <c:v>506.8557683091164</c:v>
                </c:pt>
                <c:pt idx="256">
                  <c:v>507.38469882326865</c:v>
                </c:pt>
                <c:pt idx="257">
                  <c:v>508.80505049117437</c:v>
                </c:pt>
                <c:pt idx="258">
                  <c:v>510.29920641165114</c:v>
                </c:pt>
                <c:pt idx="259">
                  <c:v>511.77662867238689</c:v>
                </c:pt>
                <c:pt idx="260">
                  <c:v>513.04672861264919</c:v>
                </c:pt>
                <c:pt idx="261">
                  <c:v>514.79178104243226</c:v>
                </c:pt>
                <c:pt idx="262">
                  <c:v>516.48984289312295</c:v>
                </c:pt>
                <c:pt idx="263">
                  <c:v>517.93771467694876</c:v>
                </c:pt>
                <c:pt idx="264">
                  <c:v>519.36197472996605</c:v>
                </c:pt>
                <c:pt idx="265">
                  <c:v>520.58133145062232</c:v>
                </c:pt>
                <c:pt idx="266">
                  <c:v>522.0807207778472</c:v>
                </c:pt>
                <c:pt idx="267">
                  <c:v>522.49258293674666</c:v>
                </c:pt>
                <c:pt idx="268">
                  <c:v>523.63404215227217</c:v>
                </c:pt>
                <c:pt idx="269">
                  <c:v>525.3638618852525</c:v>
                </c:pt>
                <c:pt idx="270">
                  <c:v>526.96683100431233</c:v>
                </c:pt>
                <c:pt idx="271">
                  <c:v>528.30622786104902</c:v>
                </c:pt>
                <c:pt idx="272">
                  <c:v>529.46108585497154</c:v>
                </c:pt>
                <c:pt idx="273">
                  <c:v>530.03035205291292</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yVal>
        </c:ser>
        <c:axId val="188823040"/>
        <c:axId val="188824576"/>
      </c:scatterChart>
      <c:valAx>
        <c:axId val="188823040"/>
        <c:scaling>
          <c:orientation val="minMax"/>
        </c:scaling>
        <c:axPos val="b"/>
        <c:numFmt formatCode="[$-409]d\-mmm\-yy;@" sourceLinked="0"/>
        <c:majorTickMark val="cross"/>
        <c:minorTickMark val="out"/>
        <c:tickLblPos val="nextTo"/>
        <c:spPr>
          <a:ln w="3175">
            <a:solidFill>
              <a:srgbClr val="000000"/>
            </a:solidFill>
            <a:prstDash val="solid"/>
          </a:ln>
        </c:spPr>
        <c:txPr>
          <a:bodyPr rot="-5400000" vert="horz"/>
          <a:lstStyle/>
          <a:p>
            <a:pPr>
              <a:defRPr/>
            </a:pPr>
            <a:endParaRPr lang="it-IT"/>
          </a:p>
        </c:txPr>
        <c:crossAx val="188824576"/>
        <c:crosses val="autoZero"/>
        <c:crossBetween val="midCat"/>
        <c:majorUnit val="60"/>
        <c:minorUnit val="30"/>
      </c:valAx>
      <c:valAx>
        <c:axId val="188824576"/>
        <c:scaling>
          <c:orientation val="minMax"/>
        </c:scaling>
        <c:axPos val="l"/>
        <c:majorGridlines>
          <c:spPr>
            <a:ln w="3175">
              <a:solidFill>
                <a:srgbClr val="000000"/>
              </a:solidFill>
              <a:prstDash val="solid"/>
            </a:ln>
          </c:spPr>
        </c:majorGridlines>
        <c:title>
          <c:tx>
            <c:rich>
              <a:bodyPr/>
              <a:lstStyle/>
              <a:p>
                <a:pPr>
                  <a:defRPr/>
                </a:pPr>
                <a:r>
                  <a:rPr lang="it-IT"/>
                  <a:t>CETc    (mm)</a:t>
                </a:r>
              </a:p>
            </c:rich>
          </c:tx>
          <c:layout>
            <c:manualLayout>
              <c:xMode val="edge"/>
              <c:yMode val="edge"/>
              <c:x val="2.0304312494745996E-2"/>
              <c:y val="0.38834734990586933"/>
            </c:manualLayout>
          </c:layout>
          <c:spPr>
            <a:noFill/>
            <a:ln w="25400">
              <a:noFill/>
            </a:ln>
          </c:spPr>
        </c:title>
        <c:numFmt formatCode="0" sourceLinked="0"/>
        <c:majorTickMark val="cross"/>
        <c:minorTickMark val="out"/>
        <c:tickLblPos val="nextTo"/>
        <c:spPr>
          <a:ln w="3175">
            <a:solidFill>
              <a:srgbClr val="000000"/>
            </a:solidFill>
            <a:prstDash val="solid"/>
          </a:ln>
        </c:spPr>
        <c:txPr>
          <a:bodyPr rot="0" vert="horz"/>
          <a:lstStyle/>
          <a:p>
            <a:pPr>
              <a:defRPr/>
            </a:pPr>
            <a:endParaRPr lang="it-IT"/>
          </a:p>
        </c:txPr>
        <c:crossAx val="188823040"/>
        <c:crosses val="autoZero"/>
        <c:crossBetween val="midCat"/>
        <c:majorUnit val="200"/>
        <c:minorUnit val="100"/>
      </c:valAx>
      <c:spPr>
        <a:solidFill>
          <a:srgbClr val="FFFFFF"/>
        </a:solidFill>
        <a:ln w="12700">
          <a:solidFill>
            <a:srgbClr val="808080"/>
          </a:solidFill>
          <a:prstDash val="solid"/>
        </a:ln>
      </c:spPr>
    </c:plotArea>
    <c:legend>
      <c:legendPos val="r"/>
      <c:layout>
        <c:manualLayout>
          <c:xMode val="edge"/>
          <c:yMode val="edge"/>
          <c:x val="0.16926506273286338"/>
          <c:y val="1.3050570962479609E-2"/>
          <c:w val="0.76503342742534564"/>
          <c:h val="5.3833605220228412E-2"/>
        </c:manualLayout>
      </c:layout>
    </c:legend>
    <c:plotVisOnly val="1"/>
    <c:dispBlanksAs val="gap"/>
  </c:chart>
  <c:spPr>
    <a:noFill/>
    <a:ln w="9525">
      <a:noFill/>
    </a:ln>
  </c:spPr>
  <c:txPr>
    <a:bodyPr/>
    <a:lstStyle/>
    <a:p>
      <a:pPr>
        <a:defRPr sz="1200" b="1" i="0" u="none" strike="noStrike" baseline="0">
          <a:solidFill>
            <a:srgbClr val="000000"/>
          </a:solidFill>
          <a:latin typeface="Arial"/>
          <a:ea typeface="Arial"/>
          <a:cs typeface="Arial"/>
        </a:defRPr>
      </a:pPr>
      <a:endParaRPr lang="it-IT"/>
    </a:p>
  </c:txPr>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50" b="1" i="0" u="none" strike="noStrike" baseline="0">
                <a:solidFill>
                  <a:srgbClr val="000000"/>
                </a:solidFill>
                <a:latin typeface="Arial"/>
                <a:ea typeface="Arial"/>
                <a:cs typeface="Arial"/>
              </a:defRPr>
            </a:pPr>
            <a:r>
              <a:rPr lang="it-IT"/>
              <a:t>Deciduous Orchard and Vines</a:t>
            </a:r>
          </a:p>
        </c:rich>
      </c:tx>
      <c:layout>
        <c:manualLayout>
          <c:xMode val="edge"/>
          <c:yMode val="edge"/>
          <c:x val="0.31152219770537276"/>
          <c:y val="3.2745591939546598E-2"/>
        </c:manualLayout>
      </c:layout>
      <c:spPr>
        <a:noFill/>
        <a:ln w="25400">
          <a:noFill/>
        </a:ln>
      </c:spPr>
    </c:title>
    <c:plotArea>
      <c:layout>
        <c:manualLayout>
          <c:layoutTarget val="inner"/>
          <c:xMode val="edge"/>
          <c:yMode val="edge"/>
          <c:x val="0.13371275290103871"/>
          <c:y val="0.19899268807153286"/>
          <c:w val="0.82788108711068575"/>
          <c:h val="0.57934580071458985"/>
        </c:manualLayout>
      </c:layout>
      <c:scatterChart>
        <c:scatterStyle val="lineMarker"/>
        <c:ser>
          <c:idx val="0"/>
          <c:order val="0"/>
          <c:spPr>
            <a:ln w="38100">
              <a:solidFill>
                <a:srgbClr val="000080"/>
              </a:solidFill>
              <a:prstDash val="solid"/>
            </a:ln>
          </c:spPr>
          <c:marker>
            <c:symbol val="none"/>
          </c:marker>
          <c:xVal>
            <c:numRef>
              <c:f>Immature!$M$6:$M$15</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Immature!$Q$6:$Q$15</c:f>
              <c:numCache>
                <c:formatCode>0.00</c:formatCode>
                <c:ptCount val="10"/>
                <c:pt idx="0">
                  <c:v>0.24477302735194587</c:v>
                </c:pt>
                <c:pt idx="1">
                  <c:v>0.47727211302931399</c:v>
                </c:pt>
                <c:pt idx="2">
                  <c:v>0.68583878204460691</c:v>
                </c:pt>
                <c:pt idx="3">
                  <c:v>0.86001463071483286</c:v>
                </c:pt>
                <c:pt idx="4">
                  <c:v>0.99106575469266112</c:v>
                </c:pt>
                <c:pt idx="5">
                  <c:v>1.0724207034000062</c:v>
                </c:pt>
                <c:pt idx="6">
                  <c:v>1.1000000000000001</c:v>
                </c:pt>
                <c:pt idx="7">
                  <c:v>1.1000000000000001</c:v>
                </c:pt>
                <c:pt idx="8">
                  <c:v>1.1000000000000001</c:v>
                </c:pt>
                <c:pt idx="9">
                  <c:v>1.1000000000000001</c:v>
                </c:pt>
              </c:numCache>
            </c:numRef>
          </c:yVal>
        </c:ser>
        <c:axId val="190312448"/>
        <c:axId val="190314368"/>
      </c:scatterChart>
      <c:valAx>
        <c:axId val="190312448"/>
        <c:scaling>
          <c:orientation val="minMax"/>
          <c:max val="100"/>
        </c:scaling>
        <c:axPos val="b"/>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it-IT"/>
                  <a:t>Ground Cover (%)</a:t>
                </a:r>
              </a:p>
            </c:rich>
          </c:tx>
          <c:layout>
            <c:manualLayout>
              <c:xMode val="edge"/>
              <c:yMode val="edge"/>
              <c:x val="0.43243273111487029"/>
              <c:y val="0.884132040170040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350" b="1" i="0" u="none" strike="noStrike" baseline="0">
                <a:solidFill>
                  <a:srgbClr val="000000"/>
                </a:solidFill>
                <a:latin typeface="Arial"/>
                <a:ea typeface="Arial"/>
                <a:cs typeface="Arial"/>
              </a:defRPr>
            </a:pPr>
            <a:endParaRPr lang="it-IT"/>
          </a:p>
        </c:txPr>
        <c:crossAx val="190314368"/>
        <c:crosses val="autoZero"/>
        <c:crossBetween val="midCat"/>
        <c:majorUnit val="10"/>
      </c:valAx>
      <c:valAx>
        <c:axId val="190314368"/>
        <c:scaling>
          <c:orientation val="minMax"/>
        </c:scaling>
        <c:axPos val="l"/>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it-IT"/>
                  <a:t>Crop Coefficient</a:t>
                </a:r>
              </a:p>
            </c:rich>
          </c:tx>
          <c:layout>
            <c:manualLayout>
              <c:xMode val="edge"/>
              <c:yMode val="edge"/>
              <c:x val="2.275960170697016E-2"/>
              <c:y val="0.29722948359414814"/>
            </c:manualLayout>
          </c:layout>
          <c:spPr>
            <a:noFill/>
            <a:ln w="25400">
              <a:noFill/>
            </a:ln>
          </c:spPr>
        </c:title>
        <c:numFmt formatCode="0.00" sourceLinked="1"/>
        <c:tickLblPos val="nextTo"/>
        <c:spPr>
          <a:ln w="3175">
            <a:solidFill>
              <a:srgbClr val="000000"/>
            </a:solidFill>
            <a:prstDash val="solid"/>
          </a:ln>
        </c:spPr>
        <c:txPr>
          <a:bodyPr rot="0" vert="horz"/>
          <a:lstStyle/>
          <a:p>
            <a:pPr>
              <a:defRPr sz="1350" b="1" i="0" u="none" strike="noStrike" baseline="0">
                <a:solidFill>
                  <a:srgbClr val="000000"/>
                </a:solidFill>
                <a:latin typeface="Arial"/>
                <a:ea typeface="Arial"/>
                <a:cs typeface="Arial"/>
              </a:defRPr>
            </a:pPr>
            <a:endParaRPr lang="it-IT"/>
          </a:p>
        </c:txPr>
        <c:crossAx val="190312448"/>
        <c:crosses val="autoZero"/>
        <c:crossBetween val="midCat"/>
      </c:valAx>
      <c:spPr>
        <a:solidFill>
          <a:srgbClr val="FFFFFF"/>
        </a:solidFill>
        <a:ln w="12700">
          <a:solidFill>
            <a:srgbClr val="808080"/>
          </a:solidFill>
          <a:prstDash val="solid"/>
        </a:ln>
      </c:spPr>
    </c:plotArea>
    <c:plotVisOnly val="1"/>
    <c:dispBlanksAs val="gap"/>
  </c:chart>
  <c:spPr>
    <a:solidFill>
      <a:srgbClr val="CCFFCC"/>
    </a:solidFill>
    <a:ln w="3175">
      <a:solidFill>
        <a:srgbClr val="000000"/>
      </a:solidFill>
      <a:prstDash val="solid"/>
    </a:ln>
  </c:spPr>
  <c:txPr>
    <a:bodyPr/>
    <a:lstStyle/>
    <a:p>
      <a:pPr>
        <a:defRPr sz="1350" b="1" i="0" u="none" strike="noStrike" baseline="0">
          <a:solidFill>
            <a:srgbClr val="000000"/>
          </a:solidFill>
          <a:latin typeface="Arial"/>
          <a:ea typeface="Arial"/>
          <a:cs typeface="Arial"/>
        </a:defRPr>
      </a:pPr>
      <a:endParaRPr lang="it-IT"/>
    </a:p>
  </c:txPr>
  <c:printSettings>
    <c:headerFooter alignWithMargins="0"/>
    <c:pageMargins b="1" l="0.75000000000000422" r="0.750000000000004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50" b="1" i="0" u="none" strike="noStrike" baseline="0">
                <a:solidFill>
                  <a:srgbClr val="000000"/>
                </a:solidFill>
                <a:latin typeface="Arial"/>
                <a:ea typeface="Arial"/>
                <a:cs typeface="Arial"/>
              </a:defRPr>
            </a:pPr>
            <a:r>
              <a:rPr lang="it-IT"/>
              <a:t>Subtropical Orchards</a:t>
            </a:r>
          </a:p>
        </c:rich>
      </c:tx>
      <c:layout>
        <c:manualLayout>
          <c:xMode val="edge"/>
          <c:yMode val="edge"/>
          <c:x val="0.36363636363636381"/>
          <c:y val="3.1476997578692559E-2"/>
        </c:manualLayout>
      </c:layout>
      <c:spPr>
        <a:noFill/>
        <a:ln w="25400">
          <a:noFill/>
        </a:ln>
      </c:spPr>
    </c:title>
    <c:plotArea>
      <c:layout>
        <c:manualLayout>
          <c:layoutTarget val="inner"/>
          <c:xMode val="edge"/>
          <c:yMode val="edge"/>
          <c:x val="0.13210649136840841"/>
          <c:y val="0.17918267825108525"/>
          <c:w val="0.82815144589012923"/>
          <c:h val="0.60776827352733065"/>
        </c:manualLayout>
      </c:layout>
      <c:scatterChart>
        <c:scatterStyle val="lineMarker"/>
        <c:ser>
          <c:idx val="0"/>
          <c:order val="0"/>
          <c:spPr>
            <a:ln w="38100">
              <a:solidFill>
                <a:srgbClr val="000080"/>
              </a:solidFill>
              <a:prstDash val="solid"/>
            </a:ln>
          </c:spPr>
          <c:marker>
            <c:symbol val="none"/>
          </c:marker>
          <c:xVal>
            <c:numRef>
              <c:f>Immature!$M$6:$M$15</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Immature!$R$6:$R$15</c:f>
              <c:numCache>
                <c:formatCode>0.00</c:formatCode>
                <c:ptCount val="10"/>
                <c:pt idx="0">
                  <c:v>0.51889337063325491</c:v>
                </c:pt>
                <c:pt idx="1">
                  <c:v>0.72456837105427496</c:v>
                </c:pt>
                <c:pt idx="2">
                  <c:v>0.8685750746188079</c:v>
                </c:pt>
                <c:pt idx="3">
                  <c:v>0.9726335866020237</c:v>
                </c:pt>
                <c:pt idx="4">
                  <c:v>1.0441131788086613</c:v>
                </c:pt>
                <c:pt idx="5">
                  <c:v>1.0861228170607626</c:v>
                </c:pt>
                <c:pt idx="6">
                  <c:v>1.1000000000000001</c:v>
                </c:pt>
                <c:pt idx="7">
                  <c:v>1.1000000000000001</c:v>
                </c:pt>
                <c:pt idx="8">
                  <c:v>1.1000000000000001</c:v>
                </c:pt>
                <c:pt idx="9">
                  <c:v>1.1000000000000001</c:v>
                </c:pt>
              </c:numCache>
            </c:numRef>
          </c:yVal>
        </c:ser>
        <c:axId val="189630336"/>
        <c:axId val="189652992"/>
      </c:scatterChart>
      <c:valAx>
        <c:axId val="189630336"/>
        <c:scaling>
          <c:orientation val="minMax"/>
          <c:max val="100"/>
        </c:scaling>
        <c:axPos val="b"/>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it-IT"/>
                  <a:t>Ground Cover (%)</a:t>
                </a:r>
              </a:p>
            </c:rich>
          </c:tx>
          <c:layout>
            <c:manualLayout>
              <c:xMode val="edge"/>
              <c:yMode val="edge"/>
              <c:x val="0.43181818181818238"/>
              <c:y val="0.88861985472154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350" b="1" i="0" u="none" strike="noStrike" baseline="0">
                <a:solidFill>
                  <a:srgbClr val="000000"/>
                </a:solidFill>
                <a:latin typeface="Arial"/>
                <a:ea typeface="Arial"/>
                <a:cs typeface="Arial"/>
              </a:defRPr>
            </a:pPr>
            <a:endParaRPr lang="it-IT"/>
          </a:p>
        </c:txPr>
        <c:crossAx val="189652992"/>
        <c:crosses val="autoZero"/>
        <c:crossBetween val="midCat"/>
        <c:majorUnit val="10"/>
      </c:valAx>
      <c:valAx>
        <c:axId val="189652992"/>
        <c:scaling>
          <c:orientation val="minMax"/>
        </c:scaling>
        <c:axPos val="l"/>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it-IT"/>
                  <a:t>Crop Coefficient</a:t>
                </a:r>
              </a:p>
            </c:rich>
          </c:tx>
          <c:layout>
            <c:manualLayout>
              <c:xMode val="edge"/>
              <c:yMode val="edge"/>
              <c:x val="2.1306818181818211E-2"/>
              <c:y val="0.30508474576271244"/>
            </c:manualLayout>
          </c:layout>
          <c:spPr>
            <a:noFill/>
            <a:ln w="25400">
              <a:noFill/>
            </a:ln>
          </c:spPr>
        </c:title>
        <c:numFmt formatCode="0.00" sourceLinked="1"/>
        <c:tickLblPos val="nextTo"/>
        <c:spPr>
          <a:ln w="3175">
            <a:solidFill>
              <a:srgbClr val="000000"/>
            </a:solidFill>
            <a:prstDash val="solid"/>
          </a:ln>
        </c:spPr>
        <c:txPr>
          <a:bodyPr rot="0" vert="horz"/>
          <a:lstStyle/>
          <a:p>
            <a:pPr>
              <a:defRPr sz="1350" b="1" i="0" u="none" strike="noStrike" baseline="0">
                <a:solidFill>
                  <a:srgbClr val="000000"/>
                </a:solidFill>
                <a:latin typeface="Arial"/>
                <a:ea typeface="Arial"/>
                <a:cs typeface="Arial"/>
              </a:defRPr>
            </a:pPr>
            <a:endParaRPr lang="it-IT"/>
          </a:p>
        </c:txPr>
        <c:crossAx val="189630336"/>
        <c:crosses val="autoZero"/>
        <c:crossBetween val="midCat"/>
      </c:valAx>
      <c:spPr>
        <a:solidFill>
          <a:srgbClr val="FFFFFF"/>
        </a:solidFill>
        <a:ln w="12700">
          <a:solidFill>
            <a:srgbClr val="808080"/>
          </a:solidFill>
          <a:prstDash val="solid"/>
        </a:ln>
      </c:spPr>
    </c:plotArea>
    <c:plotVisOnly val="1"/>
    <c:dispBlanksAs val="gap"/>
  </c:chart>
  <c:spPr>
    <a:solidFill>
      <a:srgbClr val="FFFFCC"/>
    </a:solidFill>
    <a:ln w="3175">
      <a:solidFill>
        <a:srgbClr val="000000"/>
      </a:solidFill>
      <a:prstDash val="solid"/>
    </a:ln>
  </c:spPr>
  <c:txPr>
    <a:bodyPr/>
    <a:lstStyle/>
    <a:p>
      <a:pPr>
        <a:defRPr sz="1350" b="1" i="0" u="none" strike="noStrike" baseline="0">
          <a:solidFill>
            <a:srgbClr val="000000"/>
          </a:solidFill>
          <a:latin typeface="Arial"/>
          <a:ea typeface="Arial"/>
          <a:cs typeface="Arial"/>
        </a:defRPr>
      </a:pPr>
      <a:endParaRPr lang="it-IT"/>
    </a:p>
  </c:txPr>
  <c:printSettings>
    <c:headerFooter alignWithMargins="0"/>
    <c:pageMargins b="1" l="0.75000000000000422" r="0.750000000000004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autoTitleDeleted val="1"/>
    <c:plotArea>
      <c:layout>
        <c:manualLayout>
          <c:layoutTarget val="inner"/>
          <c:xMode val="edge"/>
          <c:yMode val="edge"/>
          <c:x val="0.15649278579356438"/>
          <c:y val="9.461663947797716E-2"/>
          <c:w val="0.80355160932297442"/>
          <c:h val="0.74061990212072304"/>
        </c:manualLayout>
      </c:layout>
      <c:scatterChart>
        <c:scatterStyle val="lineMarker"/>
        <c:ser>
          <c:idx val="0"/>
          <c:order val="0"/>
          <c:tx>
            <c:v>Crop 1</c:v>
          </c:tx>
          <c:spPr>
            <a:ln w="38100">
              <a:solidFill>
                <a:srgbClr val="000080"/>
              </a:solidFill>
              <a:prstDash val="solid"/>
            </a:ln>
          </c:spPr>
          <c:marker>
            <c:symbol val="none"/>
          </c:marker>
          <c:xVal>
            <c:numRef>
              <c:f>Input!$BK$22:$BK$568</c:f>
              <c:numCache>
                <c:formatCode>0.0</c:formatCode>
                <c:ptCount val="5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0.65500000000000114</c:v>
                </c:pt>
                <c:pt idx="106">
                  <c:v>1.2650000000000006</c:v>
                </c:pt>
                <c:pt idx="107">
                  <c:v>2.4849999999999994</c:v>
                </c:pt>
                <c:pt idx="108">
                  <c:v>3.1849999999999987</c:v>
                </c:pt>
                <c:pt idx="109">
                  <c:v>3.8699999999999974</c:v>
                </c:pt>
                <c:pt idx="110">
                  <c:v>4.8549999999999969</c:v>
                </c:pt>
                <c:pt idx="111">
                  <c:v>6.5799999999999965</c:v>
                </c:pt>
                <c:pt idx="112">
                  <c:v>8.6549999999999958</c:v>
                </c:pt>
                <c:pt idx="113">
                  <c:v>9.6549999999999958</c:v>
                </c:pt>
                <c:pt idx="114">
                  <c:v>11.859999999999996</c:v>
                </c:pt>
                <c:pt idx="115">
                  <c:v>13.949999999999996</c:v>
                </c:pt>
                <c:pt idx="116">
                  <c:v>16.389999999999997</c:v>
                </c:pt>
                <c:pt idx="117">
                  <c:v>19.804999999999996</c:v>
                </c:pt>
                <c:pt idx="118">
                  <c:v>24.044999999999995</c:v>
                </c:pt>
                <c:pt idx="119">
                  <c:v>29.484999999999996</c:v>
                </c:pt>
                <c:pt idx="120">
                  <c:v>34.61</c:v>
                </c:pt>
                <c:pt idx="121">
                  <c:v>37.435000000000002</c:v>
                </c:pt>
                <c:pt idx="122">
                  <c:v>40.36</c:v>
                </c:pt>
                <c:pt idx="123">
                  <c:v>44.3</c:v>
                </c:pt>
                <c:pt idx="124">
                  <c:v>48.375</c:v>
                </c:pt>
                <c:pt idx="125">
                  <c:v>52.45</c:v>
                </c:pt>
                <c:pt idx="126">
                  <c:v>57.325000000000003</c:v>
                </c:pt>
                <c:pt idx="127">
                  <c:v>61.42</c:v>
                </c:pt>
                <c:pt idx="128">
                  <c:v>65.435000000000002</c:v>
                </c:pt>
                <c:pt idx="129">
                  <c:v>71.435000000000002</c:v>
                </c:pt>
                <c:pt idx="130">
                  <c:v>78.28</c:v>
                </c:pt>
                <c:pt idx="131">
                  <c:v>87.13</c:v>
                </c:pt>
                <c:pt idx="132">
                  <c:v>97.074999999999989</c:v>
                </c:pt>
                <c:pt idx="133">
                  <c:v>99.054999999999993</c:v>
                </c:pt>
                <c:pt idx="134">
                  <c:v>101.03999999999999</c:v>
                </c:pt>
                <c:pt idx="135">
                  <c:v>103.755</c:v>
                </c:pt>
                <c:pt idx="136">
                  <c:v>104.8</c:v>
                </c:pt>
                <c:pt idx="137">
                  <c:v>107.185</c:v>
                </c:pt>
                <c:pt idx="138">
                  <c:v>109.755</c:v>
                </c:pt>
                <c:pt idx="139">
                  <c:v>112.81</c:v>
                </c:pt>
                <c:pt idx="140">
                  <c:v>115.11</c:v>
                </c:pt>
                <c:pt idx="141">
                  <c:v>117.395</c:v>
                </c:pt>
                <c:pt idx="142">
                  <c:v>121.255</c:v>
                </c:pt>
                <c:pt idx="143">
                  <c:v>128.70499999999998</c:v>
                </c:pt>
                <c:pt idx="144">
                  <c:v>137.18499999999997</c:v>
                </c:pt>
                <c:pt idx="145">
                  <c:v>145.52499999999998</c:v>
                </c:pt>
                <c:pt idx="146">
                  <c:v>151.82499999999999</c:v>
                </c:pt>
                <c:pt idx="147">
                  <c:v>157.16</c:v>
                </c:pt>
                <c:pt idx="148">
                  <c:v>164.38499999999999</c:v>
                </c:pt>
                <c:pt idx="149">
                  <c:v>171.85999999999999</c:v>
                </c:pt>
                <c:pt idx="150">
                  <c:v>181.20499999999998</c:v>
                </c:pt>
                <c:pt idx="151">
                  <c:v>189.64499999999998</c:v>
                </c:pt>
                <c:pt idx="152">
                  <c:v>199.85499999999999</c:v>
                </c:pt>
                <c:pt idx="153">
                  <c:v>209.53</c:v>
                </c:pt>
                <c:pt idx="154">
                  <c:v>220.58500000000001</c:v>
                </c:pt>
                <c:pt idx="155">
                  <c:v>226.45000000000002</c:v>
                </c:pt>
                <c:pt idx="156">
                  <c:v>232.61500000000001</c:v>
                </c:pt>
                <c:pt idx="157">
                  <c:v>239.565</c:v>
                </c:pt>
                <c:pt idx="158">
                  <c:v>248.7</c:v>
                </c:pt>
                <c:pt idx="159">
                  <c:v>257.22499999999997</c:v>
                </c:pt>
                <c:pt idx="160">
                  <c:v>267.53999999999996</c:v>
                </c:pt>
                <c:pt idx="161">
                  <c:v>276.59499999999997</c:v>
                </c:pt>
                <c:pt idx="162">
                  <c:v>284.33999999999997</c:v>
                </c:pt>
                <c:pt idx="163">
                  <c:v>290.70999999999998</c:v>
                </c:pt>
                <c:pt idx="164">
                  <c:v>296.69499999999999</c:v>
                </c:pt>
                <c:pt idx="165">
                  <c:v>302.17500000000001</c:v>
                </c:pt>
                <c:pt idx="166">
                  <c:v>310.08500000000004</c:v>
                </c:pt>
                <c:pt idx="167">
                  <c:v>318.52500000000003</c:v>
                </c:pt>
                <c:pt idx="168">
                  <c:v>328.46500000000003</c:v>
                </c:pt>
                <c:pt idx="169">
                  <c:v>340.05500000000001</c:v>
                </c:pt>
                <c:pt idx="170">
                  <c:v>355.42</c:v>
                </c:pt>
                <c:pt idx="171">
                  <c:v>368.72</c:v>
                </c:pt>
                <c:pt idx="172">
                  <c:v>382.49</c:v>
                </c:pt>
                <c:pt idx="173">
                  <c:v>396.59500000000003</c:v>
                </c:pt>
                <c:pt idx="174">
                  <c:v>408.87</c:v>
                </c:pt>
                <c:pt idx="175">
                  <c:v>420.74</c:v>
                </c:pt>
                <c:pt idx="176">
                  <c:v>434.86500000000001</c:v>
                </c:pt>
                <c:pt idx="177">
                  <c:v>447.77</c:v>
                </c:pt>
                <c:pt idx="178">
                  <c:v>459.35499999999996</c:v>
                </c:pt>
                <c:pt idx="179">
                  <c:v>471.23999999999995</c:v>
                </c:pt>
                <c:pt idx="180">
                  <c:v>484.97999999999996</c:v>
                </c:pt>
                <c:pt idx="181">
                  <c:v>499.67999999999995</c:v>
                </c:pt>
                <c:pt idx="182">
                  <c:v>514.81999999999994</c:v>
                </c:pt>
                <c:pt idx="183">
                  <c:v>531.53499999999997</c:v>
                </c:pt>
                <c:pt idx="184">
                  <c:v>545.245</c:v>
                </c:pt>
                <c:pt idx="185">
                  <c:v>559.10500000000002</c:v>
                </c:pt>
                <c:pt idx="186">
                  <c:v>571.94500000000005</c:v>
                </c:pt>
                <c:pt idx="187">
                  <c:v>582.77500000000009</c:v>
                </c:pt>
                <c:pt idx="188">
                  <c:v>594.59000000000015</c:v>
                </c:pt>
                <c:pt idx="189">
                  <c:v>606.82500000000016</c:v>
                </c:pt>
                <c:pt idx="190">
                  <c:v>620.4000000000002</c:v>
                </c:pt>
                <c:pt idx="191">
                  <c:v>633.0350000000002</c:v>
                </c:pt>
                <c:pt idx="192">
                  <c:v>647.05000000000018</c:v>
                </c:pt>
                <c:pt idx="193">
                  <c:v>659.69000000000017</c:v>
                </c:pt>
                <c:pt idx="194">
                  <c:v>671.27000000000021</c:v>
                </c:pt>
                <c:pt idx="195">
                  <c:v>683.74000000000024</c:v>
                </c:pt>
                <c:pt idx="196">
                  <c:v>695.38000000000022</c:v>
                </c:pt>
                <c:pt idx="197">
                  <c:v>706.10500000000025</c:v>
                </c:pt>
                <c:pt idx="198">
                  <c:v>715.4000000000002</c:v>
                </c:pt>
                <c:pt idx="199">
                  <c:v>725.93000000000018</c:v>
                </c:pt>
                <c:pt idx="200">
                  <c:v>737.93000000000018</c:v>
                </c:pt>
                <c:pt idx="201">
                  <c:v>751.38500000000022</c:v>
                </c:pt>
                <c:pt idx="202">
                  <c:v>762.62000000000023</c:v>
                </c:pt>
                <c:pt idx="203">
                  <c:v>771.1500000000002</c:v>
                </c:pt>
                <c:pt idx="204">
                  <c:v>780.47500000000025</c:v>
                </c:pt>
                <c:pt idx="205">
                  <c:v>790.31000000000029</c:v>
                </c:pt>
                <c:pt idx="206">
                  <c:v>801.96000000000026</c:v>
                </c:pt>
                <c:pt idx="207">
                  <c:v>814.19000000000028</c:v>
                </c:pt>
                <c:pt idx="208">
                  <c:v>827.98000000000025</c:v>
                </c:pt>
                <c:pt idx="209">
                  <c:v>842.9250000000003</c:v>
                </c:pt>
                <c:pt idx="210">
                  <c:v>856.33000000000027</c:v>
                </c:pt>
                <c:pt idx="211">
                  <c:v>867.96000000000026</c:v>
                </c:pt>
                <c:pt idx="212">
                  <c:v>881.58500000000026</c:v>
                </c:pt>
                <c:pt idx="213">
                  <c:v>894.76500000000021</c:v>
                </c:pt>
                <c:pt idx="214">
                  <c:v>907.6600000000002</c:v>
                </c:pt>
                <c:pt idx="215">
                  <c:v>921.29500000000019</c:v>
                </c:pt>
                <c:pt idx="216">
                  <c:v>935.01000000000022</c:v>
                </c:pt>
                <c:pt idx="217">
                  <c:v>950.02000000000021</c:v>
                </c:pt>
                <c:pt idx="218">
                  <c:v>965.35500000000025</c:v>
                </c:pt>
                <c:pt idx="219">
                  <c:v>979.72500000000025</c:v>
                </c:pt>
                <c:pt idx="220">
                  <c:v>992.25500000000022</c:v>
                </c:pt>
                <c:pt idx="221">
                  <c:v>1004.6700000000002</c:v>
                </c:pt>
                <c:pt idx="222">
                  <c:v>1017.5450000000002</c:v>
                </c:pt>
                <c:pt idx="223">
                  <c:v>1028.7850000000001</c:v>
                </c:pt>
                <c:pt idx="224">
                  <c:v>1040.0900000000001</c:v>
                </c:pt>
                <c:pt idx="225">
                  <c:v>1051.3550000000002</c:v>
                </c:pt>
                <c:pt idx="226">
                  <c:v>1064.6950000000002</c:v>
                </c:pt>
                <c:pt idx="227">
                  <c:v>1078.6950000000002</c:v>
                </c:pt>
                <c:pt idx="228">
                  <c:v>1092.5450000000001</c:v>
                </c:pt>
                <c:pt idx="229">
                  <c:v>1106.615</c:v>
                </c:pt>
                <c:pt idx="230">
                  <c:v>1120.02</c:v>
                </c:pt>
                <c:pt idx="231">
                  <c:v>1133.4349999999999</c:v>
                </c:pt>
                <c:pt idx="232">
                  <c:v>1147.7849999999999</c:v>
                </c:pt>
                <c:pt idx="233">
                  <c:v>1162.54</c:v>
                </c:pt>
                <c:pt idx="234">
                  <c:v>1177.5049999999999</c:v>
                </c:pt>
                <c:pt idx="235">
                  <c:v>1193.4199999999998</c:v>
                </c:pt>
                <c:pt idx="236">
                  <c:v>1208.7199999999998</c:v>
                </c:pt>
                <c:pt idx="237">
                  <c:v>1222.9199999999998</c:v>
                </c:pt>
                <c:pt idx="238">
                  <c:v>1233.1449999999998</c:v>
                </c:pt>
                <c:pt idx="239">
                  <c:v>1241.0849999999998</c:v>
                </c:pt>
                <c:pt idx="240">
                  <c:v>1250.3799999999999</c:v>
                </c:pt>
                <c:pt idx="241">
                  <c:v>1260.155</c:v>
                </c:pt>
                <c:pt idx="242">
                  <c:v>1271.7049999999999</c:v>
                </c:pt>
                <c:pt idx="243">
                  <c:v>1280.31</c:v>
                </c:pt>
                <c:pt idx="244">
                  <c:v>1285.865</c:v>
                </c:pt>
                <c:pt idx="245">
                  <c:v>1293.4349999999999</c:v>
                </c:pt>
                <c:pt idx="246">
                  <c:v>1301.48</c:v>
                </c:pt>
                <c:pt idx="247">
                  <c:v>1310.02</c:v>
                </c:pt>
                <c:pt idx="248">
                  <c:v>1318.9749999999999</c:v>
                </c:pt>
                <c:pt idx="249">
                  <c:v>1329.0549999999998</c:v>
                </c:pt>
                <c:pt idx="250">
                  <c:v>1338.6949999999999</c:v>
                </c:pt>
                <c:pt idx="251">
                  <c:v>1348.0049999999999</c:v>
                </c:pt>
                <c:pt idx="252">
                  <c:v>1357.4549999999999</c:v>
                </c:pt>
                <c:pt idx="253">
                  <c:v>1366.28</c:v>
                </c:pt>
                <c:pt idx="254">
                  <c:v>1376.635</c:v>
                </c:pt>
                <c:pt idx="255">
                  <c:v>1385.43</c:v>
                </c:pt>
                <c:pt idx="256">
                  <c:v>1390.655</c:v>
                </c:pt>
                <c:pt idx="257">
                  <c:v>1396.885</c:v>
                </c:pt>
                <c:pt idx="258">
                  <c:v>1402.17</c:v>
                </c:pt>
                <c:pt idx="259">
                  <c:v>1407.25</c:v>
                </c:pt>
                <c:pt idx="260">
                  <c:v>1412.91</c:v>
                </c:pt>
                <c:pt idx="261">
                  <c:v>1418.8600000000001</c:v>
                </c:pt>
                <c:pt idx="262">
                  <c:v>1425.4650000000001</c:v>
                </c:pt>
                <c:pt idx="263">
                  <c:v>1429.4450000000002</c:v>
                </c:pt>
                <c:pt idx="264">
                  <c:v>1432.6350000000002</c:v>
                </c:pt>
                <c:pt idx="265">
                  <c:v>1436.6550000000002</c:v>
                </c:pt>
                <c:pt idx="266">
                  <c:v>1445.2700000000002</c:v>
                </c:pt>
                <c:pt idx="267">
                  <c:v>1453.4850000000001</c:v>
                </c:pt>
                <c:pt idx="268">
                  <c:v>1459.4050000000002</c:v>
                </c:pt>
                <c:pt idx="269">
                  <c:v>1468.5700000000002</c:v>
                </c:pt>
                <c:pt idx="270">
                  <c:v>1476.8700000000001</c:v>
                </c:pt>
                <c:pt idx="271">
                  <c:v>1483.0200000000002</c:v>
                </c:pt>
                <c:pt idx="272">
                  <c:v>1490.0850000000003</c:v>
                </c:pt>
                <c:pt idx="273">
                  <c:v>1497.6000000000004</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xVal>
          <c:yVal>
            <c:numRef>
              <c:f>Input!$N$22:$N$568</c:f>
              <c:numCache>
                <c:formatCode>0.00</c:formatCode>
                <c:ptCount val="5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pt idx="118">
                  <c:v>0.2</c:v>
                </c:pt>
                <c:pt idx="119">
                  <c:v>0.2</c:v>
                </c:pt>
                <c:pt idx="120">
                  <c:v>0.2</c:v>
                </c:pt>
                <c:pt idx="121">
                  <c:v>0.2</c:v>
                </c:pt>
                <c:pt idx="122">
                  <c:v>0.2</c:v>
                </c:pt>
                <c:pt idx="123">
                  <c:v>0.2</c:v>
                </c:pt>
                <c:pt idx="124">
                  <c:v>0.2</c:v>
                </c:pt>
                <c:pt idx="125">
                  <c:v>0.2</c:v>
                </c:pt>
                <c:pt idx="126">
                  <c:v>0.2</c:v>
                </c:pt>
                <c:pt idx="127">
                  <c:v>0.2</c:v>
                </c:pt>
                <c:pt idx="128">
                  <c:v>0.2</c:v>
                </c:pt>
                <c:pt idx="129">
                  <c:v>0.2</c:v>
                </c:pt>
                <c:pt idx="130">
                  <c:v>0.2</c:v>
                </c:pt>
                <c:pt idx="131">
                  <c:v>0.2</c:v>
                </c:pt>
                <c:pt idx="132">
                  <c:v>0.2</c:v>
                </c:pt>
                <c:pt idx="133">
                  <c:v>0.2</c:v>
                </c:pt>
                <c:pt idx="134">
                  <c:v>0.2</c:v>
                </c:pt>
                <c:pt idx="135">
                  <c:v>0.2</c:v>
                </c:pt>
                <c:pt idx="136">
                  <c:v>0.2</c:v>
                </c:pt>
                <c:pt idx="137">
                  <c:v>0.2</c:v>
                </c:pt>
                <c:pt idx="138">
                  <c:v>0.2</c:v>
                </c:pt>
                <c:pt idx="139">
                  <c:v>0.22023809523809526</c:v>
                </c:pt>
                <c:pt idx="140">
                  <c:v>0.24047619047619051</c:v>
                </c:pt>
                <c:pt idx="141">
                  <c:v>0.26071428571428573</c:v>
                </c:pt>
                <c:pt idx="142">
                  <c:v>0.28095238095238095</c:v>
                </c:pt>
                <c:pt idx="143">
                  <c:v>0.30119047619047618</c:v>
                </c:pt>
                <c:pt idx="144">
                  <c:v>0.3214285714285714</c:v>
                </c:pt>
                <c:pt idx="145">
                  <c:v>0.34166666666666662</c:v>
                </c:pt>
                <c:pt idx="146">
                  <c:v>0.36190476190476184</c:v>
                </c:pt>
                <c:pt idx="147">
                  <c:v>0.38214285714285706</c:v>
                </c:pt>
                <c:pt idx="148">
                  <c:v>0.40238095238095228</c:v>
                </c:pt>
                <c:pt idx="149">
                  <c:v>0.42261904761904751</c:v>
                </c:pt>
                <c:pt idx="150">
                  <c:v>0.44285714285714273</c:v>
                </c:pt>
                <c:pt idx="151">
                  <c:v>0.46309523809523795</c:v>
                </c:pt>
                <c:pt idx="152">
                  <c:v>0.48333333333333317</c:v>
                </c:pt>
                <c:pt idx="153">
                  <c:v>0.50357142857142845</c:v>
                </c:pt>
                <c:pt idx="154">
                  <c:v>0.52380952380952372</c:v>
                </c:pt>
                <c:pt idx="155">
                  <c:v>0.544047619047619</c:v>
                </c:pt>
                <c:pt idx="156">
                  <c:v>0.56428571428571428</c:v>
                </c:pt>
                <c:pt idx="157">
                  <c:v>0.58452380952380956</c:v>
                </c:pt>
                <c:pt idx="158">
                  <c:v>0.60476190476190483</c:v>
                </c:pt>
                <c:pt idx="159">
                  <c:v>0.62500000000000011</c:v>
                </c:pt>
                <c:pt idx="160">
                  <c:v>0.64523809523809539</c:v>
                </c:pt>
                <c:pt idx="161">
                  <c:v>0.66547619047619067</c:v>
                </c:pt>
                <c:pt idx="162">
                  <c:v>0.68571428571428594</c:v>
                </c:pt>
                <c:pt idx="163">
                  <c:v>0.70595238095238122</c:v>
                </c:pt>
                <c:pt idx="164">
                  <c:v>0.7261904761904765</c:v>
                </c:pt>
                <c:pt idx="165">
                  <c:v>0.74642857142857177</c:v>
                </c:pt>
                <c:pt idx="166">
                  <c:v>0.76666666666666705</c:v>
                </c:pt>
                <c:pt idx="167">
                  <c:v>0.78690476190476233</c:v>
                </c:pt>
                <c:pt idx="168">
                  <c:v>0.80714285714285761</c:v>
                </c:pt>
                <c:pt idx="169">
                  <c:v>0.82738095238095288</c:v>
                </c:pt>
                <c:pt idx="170">
                  <c:v>0.84761904761904816</c:v>
                </c:pt>
                <c:pt idx="171">
                  <c:v>0.86785714285714344</c:v>
                </c:pt>
                <c:pt idx="172">
                  <c:v>0.88809523809523871</c:v>
                </c:pt>
                <c:pt idx="173">
                  <c:v>0.90833333333333399</c:v>
                </c:pt>
                <c:pt idx="174">
                  <c:v>0.92857142857142927</c:v>
                </c:pt>
                <c:pt idx="175">
                  <c:v>0.94880952380952455</c:v>
                </c:pt>
                <c:pt idx="176">
                  <c:v>0.96904761904761982</c:v>
                </c:pt>
                <c:pt idx="177">
                  <c:v>0.9892857142857151</c:v>
                </c:pt>
                <c:pt idx="178">
                  <c:v>1.0095238095238104</c:v>
                </c:pt>
                <c:pt idx="179">
                  <c:v>1.0297619047619055</c:v>
                </c:pt>
                <c:pt idx="180">
                  <c:v>1.0500000000000007</c:v>
                </c:pt>
                <c:pt idx="181">
                  <c:v>1.0500000000000007</c:v>
                </c:pt>
                <c:pt idx="182">
                  <c:v>1.0500000000000007</c:v>
                </c:pt>
                <c:pt idx="183">
                  <c:v>1.0500000000000007</c:v>
                </c:pt>
                <c:pt idx="184">
                  <c:v>1.0500000000000007</c:v>
                </c:pt>
                <c:pt idx="185">
                  <c:v>1.0500000000000007</c:v>
                </c:pt>
                <c:pt idx="186">
                  <c:v>1.0500000000000007</c:v>
                </c:pt>
                <c:pt idx="187">
                  <c:v>1.0500000000000007</c:v>
                </c:pt>
                <c:pt idx="188">
                  <c:v>1.0500000000000007</c:v>
                </c:pt>
                <c:pt idx="189">
                  <c:v>1.0500000000000007</c:v>
                </c:pt>
                <c:pt idx="190">
                  <c:v>1.0500000000000007</c:v>
                </c:pt>
                <c:pt idx="191">
                  <c:v>1.0500000000000007</c:v>
                </c:pt>
                <c:pt idx="192">
                  <c:v>1.0500000000000007</c:v>
                </c:pt>
                <c:pt idx="193">
                  <c:v>1.0500000000000007</c:v>
                </c:pt>
                <c:pt idx="194">
                  <c:v>1.0500000000000007</c:v>
                </c:pt>
                <c:pt idx="195">
                  <c:v>1.0500000000000007</c:v>
                </c:pt>
                <c:pt idx="196">
                  <c:v>1.0500000000000007</c:v>
                </c:pt>
                <c:pt idx="197">
                  <c:v>1.0500000000000007</c:v>
                </c:pt>
                <c:pt idx="198">
                  <c:v>1.0500000000000007</c:v>
                </c:pt>
                <c:pt idx="199">
                  <c:v>1.0500000000000007</c:v>
                </c:pt>
                <c:pt idx="200">
                  <c:v>1.0500000000000007</c:v>
                </c:pt>
                <c:pt idx="201">
                  <c:v>1.0500000000000007</c:v>
                </c:pt>
                <c:pt idx="202">
                  <c:v>1.0500000000000007</c:v>
                </c:pt>
                <c:pt idx="203">
                  <c:v>1.0500000000000007</c:v>
                </c:pt>
                <c:pt idx="204">
                  <c:v>1.0500000000000007</c:v>
                </c:pt>
                <c:pt idx="205">
                  <c:v>1.0500000000000007</c:v>
                </c:pt>
                <c:pt idx="206">
                  <c:v>1.0500000000000007</c:v>
                </c:pt>
                <c:pt idx="207">
                  <c:v>1.0500000000000007</c:v>
                </c:pt>
                <c:pt idx="208">
                  <c:v>1.0500000000000007</c:v>
                </c:pt>
                <c:pt idx="209">
                  <c:v>1.0500000000000007</c:v>
                </c:pt>
                <c:pt idx="210">
                  <c:v>1.0500000000000007</c:v>
                </c:pt>
                <c:pt idx="211">
                  <c:v>1.0500000000000007</c:v>
                </c:pt>
                <c:pt idx="212">
                  <c:v>1.0500000000000007</c:v>
                </c:pt>
                <c:pt idx="213">
                  <c:v>1.0500000000000007</c:v>
                </c:pt>
                <c:pt idx="214">
                  <c:v>1.0500000000000007</c:v>
                </c:pt>
                <c:pt idx="215">
                  <c:v>1.0500000000000007</c:v>
                </c:pt>
                <c:pt idx="216">
                  <c:v>1.0500000000000007</c:v>
                </c:pt>
                <c:pt idx="217">
                  <c:v>1.0500000000000007</c:v>
                </c:pt>
                <c:pt idx="218">
                  <c:v>1.0500000000000007</c:v>
                </c:pt>
                <c:pt idx="219">
                  <c:v>1.0500000000000007</c:v>
                </c:pt>
                <c:pt idx="220">
                  <c:v>1.0500000000000007</c:v>
                </c:pt>
                <c:pt idx="221">
                  <c:v>1.0500000000000007</c:v>
                </c:pt>
                <c:pt idx="222">
                  <c:v>1.0500000000000007</c:v>
                </c:pt>
                <c:pt idx="223">
                  <c:v>1.0500000000000007</c:v>
                </c:pt>
                <c:pt idx="224">
                  <c:v>1.0500000000000007</c:v>
                </c:pt>
                <c:pt idx="225">
                  <c:v>1.0500000000000007</c:v>
                </c:pt>
                <c:pt idx="226">
                  <c:v>1.0500000000000007</c:v>
                </c:pt>
                <c:pt idx="227">
                  <c:v>1.0500000000000007</c:v>
                </c:pt>
                <c:pt idx="228">
                  <c:v>1.0500000000000007</c:v>
                </c:pt>
                <c:pt idx="229">
                  <c:v>1.0500000000000007</c:v>
                </c:pt>
                <c:pt idx="230">
                  <c:v>1.0500000000000007</c:v>
                </c:pt>
                <c:pt idx="231">
                  <c:v>1.0500000000000007</c:v>
                </c:pt>
                <c:pt idx="232">
                  <c:v>1.039285714285715</c:v>
                </c:pt>
                <c:pt idx="233">
                  <c:v>1.0285714285714294</c:v>
                </c:pt>
                <c:pt idx="234">
                  <c:v>1.0178571428571437</c:v>
                </c:pt>
                <c:pt idx="235">
                  <c:v>1.007142857142858</c:v>
                </c:pt>
                <c:pt idx="236">
                  <c:v>0.99642857142857233</c:v>
                </c:pt>
                <c:pt idx="237">
                  <c:v>0.98571428571428665</c:v>
                </c:pt>
                <c:pt idx="238">
                  <c:v>0.97500000000000098</c:v>
                </c:pt>
                <c:pt idx="239">
                  <c:v>0.9642857142857153</c:v>
                </c:pt>
                <c:pt idx="240">
                  <c:v>0.95357142857142962</c:v>
                </c:pt>
                <c:pt idx="241">
                  <c:v>0.94285714285714395</c:v>
                </c:pt>
                <c:pt idx="242">
                  <c:v>0.93214285714285827</c:v>
                </c:pt>
                <c:pt idx="243">
                  <c:v>0.9214285714285726</c:v>
                </c:pt>
                <c:pt idx="244">
                  <c:v>0.91071428571428692</c:v>
                </c:pt>
                <c:pt idx="245">
                  <c:v>0.90000000000000124</c:v>
                </c:pt>
                <c:pt idx="246">
                  <c:v>0.88928571428571557</c:v>
                </c:pt>
                <c:pt idx="247">
                  <c:v>0.87857142857142989</c:v>
                </c:pt>
                <c:pt idx="248">
                  <c:v>0.86785714285714421</c:v>
                </c:pt>
                <c:pt idx="249">
                  <c:v>0.85714285714285854</c:v>
                </c:pt>
                <c:pt idx="250">
                  <c:v>0.84642857142857286</c:v>
                </c:pt>
                <c:pt idx="251">
                  <c:v>0.83571428571428719</c:v>
                </c:pt>
                <c:pt idx="252">
                  <c:v>0.82500000000000151</c:v>
                </c:pt>
                <c:pt idx="253">
                  <c:v>0.81428571428571583</c:v>
                </c:pt>
                <c:pt idx="254">
                  <c:v>0.80357142857143016</c:v>
                </c:pt>
                <c:pt idx="255">
                  <c:v>0.79285714285714448</c:v>
                </c:pt>
                <c:pt idx="256">
                  <c:v>0.78214285714285881</c:v>
                </c:pt>
                <c:pt idx="257">
                  <c:v>0.77142857142857313</c:v>
                </c:pt>
                <c:pt idx="258">
                  <c:v>0.76071428571428745</c:v>
                </c:pt>
                <c:pt idx="259">
                  <c:v>0.75000000000000178</c:v>
                </c:pt>
                <c:pt idx="260">
                  <c:v>0.7392857142857161</c:v>
                </c:pt>
                <c:pt idx="261">
                  <c:v>0.72857142857143042</c:v>
                </c:pt>
                <c:pt idx="262">
                  <c:v>0.71785714285714475</c:v>
                </c:pt>
                <c:pt idx="263">
                  <c:v>0.70714285714285907</c:v>
                </c:pt>
                <c:pt idx="264">
                  <c:v>0.6964285714285734</c:v>
                </c:pt>
                <c:pt idx="265">
                  <c:v>0.68571428571428772</c:v>
                </c:pt>
                <c:pt idx="266">
                  <c:v>0.67500000000000204</c:v>
                </c:pt>
                <c:pt idx="267">
                  <c:v>0.66428571428571637</c:v>
                </c:pt>
                <c:pt idx="268">
                  <c:v>0.65357142857143069</c:v>
                </c:pt>
                <c:pt idx="269">
                  <c:v>0.64285714285714501</c:v>
                </c:pt>
                <c:pt idx="270">
                  <c:v>0.63214285714285934</c:v>
                </c:pt>
                <c:pt idx="271">
                  <c:v>0.62142857142857366</c:v>
                </c:pt>
                <c:pt idx="272">
                  <c:v>0.61071428571428799</c:v>
                </c:pt>
                <c:pt idx="273">
                  <c:v>0.60000000000000231</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yVal>
        </c:ser>
        <c:axId val="190411136"/>
        <c:axId val="190413056"/>
      </c:scatterChart>
      <c:valAx>
        <c:axId val="190411136"/>
        <c:scaling>
          <c:orientation val="minMax"/>
          <c:min val="0"/>
        </c:scaling>
        <c:axPos val="b"/>
        <c:title>
          <c:tx>
            <c:rich>
              <a:bodyPr/>
              <a:lstStyle/>
              <a:p>
                <a:pPr>
                  <a:defRPr sz="1350" b="1" i="0" u="none" strike="noStrike" baseline="0">
                    <a:solidFill>
                      <a:srgbClr val="000000"/>
                    </a:solidFill>
                    <a:latin typeface="Arial"/>
                    <a:ea typeface="Arial"/>
                    <a:cs typeface="Arial"/>
                  </a:defRPr>
                </a:pPr>
                <a:r>
                  <a:rPr lang="it-IT"/>
                  <a:t>Agronomic Degree Days </a:t>
                </a:r>
              </a:p>
            </c:rich>
          </c:tx>
          <c:layout>
            <c:manualLayout>
              <c:xMode val="edge"/>
              <c:yMode val="edge"/>
              <c:x val="0.43618201997780343"/>
              <c:y val="0.93311581150395462"/>
            </c:manualLayout>
          </c:layout>
          <c:spPr>
            <a:noFill/>
            <a:ln w="25400">
              <a:noFill/>
            </a:ln>
          </c:spPr>
        </c:title>
        <c:numFmt formatCode="0" sourceLinked="0"/>
        <c:majorTickMark val="cross"/>
        <c:minorTickMark val="in"/>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it-IT"/>
          </a:p>
        </c:txPr>
        <c:crossAx val="190413056"/>
        <c:crosses val="autoZero"/>
        <c:crossBetween val="midCat"/>
        <c:minorUnit val="500"/>
      </c:valAx>
      <c:valAx>
        <c:axId val="190413056"/>
        <c:scaling>
          <c:orientation val="minMax"/>
          <c:max val="1.4"/>
        </c:scaling>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it-IT" sz="1850" b="1" i="0" u="none" strike="noStrike" baseline="0">
                    <a:solidFill>
                      <a:srgbClr val="000000"/>
                    </a:solidFill>
                    <a:latin typeface="Arial"/>
                    <a:cs typeface="Arial"/>
                  </a:rPr>
                  <a:t>Crop Coefficient (K</a:t>
                </a:r>
                <a:r>
                  <a:rPr lang="it-IT" sz="1850" b="1" i="0" u="none" strike="noStrike" baseline="-25000">
                    <a:solidFill>
                      <a:srgbClr val="000000"/>
                    </a:solidFill>
                    <a:latin typeface="Arial"/>
                    <a:cs typeface="Arial"/>
                  </a:rPr>
                  <a:t>c</a:t>
                </a:r>
                <a:r>
                  <a:rPr lang="it-IT" sz="1850" b="1" i="0" u="none" strike="noStrike" baseline="0">
                    <a:solidFill>
                      <a:srgbClr val="000000"/>
                    </a:solidFill>
                    <a:latin typeface="Arial"/>
                    <a:cs typeface="Arial"/>
                  </a:rPr>
                  <a:t>)</a:t>
                </a:r>
              </a:p>
            </c:rich>
          </c:tx>
          <c:layout>
            <c:manualLayout>
              <c:xMode val="edge"/>
              <c:yMode val="edge"/>
              <c:x val="1.9977802441731432E-2"/>
              <c:y val="0.26101144219717626"/>
            </c:manualLayout>
          </c:layout>
          <c:spPr>
            <a:noFill/>
            <a:ln w="25400">
              <a:noFill/>
            </a:ln>
          </c:spPr>
        </c:title>
        <c:numFmt formatCode="0.00" sourceLinked="1"/>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it-IT"/>
          </a:p>
        </c:txPr>
        <c:crossAx val="190411136"/>
        <c:crosses val="autoZero"/>
        <c:crossBetween val="midCat"/>
      </c:valAx>
      <c:spPr>
        <a:solidFill>
          <a:srgbClr val="FFFFFF"/>
        </a:solidFill>
        <a:ln w="12700">
          <a:solidFill>
            <a:srgbClr val="808080"/>
          </a:solidFill>
          <a:prstDash val="solid"/>
        </a:ln>
      </c:spPr>
    </c:plotArea>
    <c:plotVisOnly val="1"/>
    <c:dispBlanksAs val="gap"/>
  </c:chart>
  <c:spPr>
    <a:noFill/>
    <a:ln w="9525">
      <a:noFill/>
    </a:ln>
  </c:spPr>
  <c:txPr>
    <a:bodyPr/>
    <a:lstStyle/>
    <a:p>
      <a:pPr>
        <a:defRPr sz="1600" b="1" i="0" u="none" strike="noStrike" baseline="0">
          <a:solidFill>
            <a:srgbClr val="000000"/>
          </a:solidFill>
          <a:latin typeface="Arial"/>
          <a:ea typeface="Arial"/>
          <a:cs typeface="Arial"/>
        </a:defRPr>
      </a:pPr>
      <a:endParaRPr lang="it-IT"/>
    </a:p>
  </c:txPr>
</c:chartSpace>
</file>

<file path=xl/charts/chart9.xml><?xml version="1.0" encoding="utf-8"?>
<c:chartSpace xmlns:c="http://schemas.openxmlformats.org/drawingml/2006/chart" xmlns:a="http://schemas.openxmlformats.org/drawingml/2006/main" xmlns:r="http://schemas.openxmlformats.org/officeDocument/2006/relationships">
  <c:lang val="it-IT"/>
  <c:chart>
    <c:autoTitleDeleted val="1"/>
    <c:plotArea>
      <c:layout>
        <c:manualLayout>
          <c:layoutTarget val="inner"/>
          <c:xMode val="edge"/>
          <c:yMode val="edge"/>
          <c:x val="0.15649278579356438"/>
          <c:y val="7.177814029363784E-2"/>
          <c:w val="0.80244173140954922"/>
          <c:h val="0.75693311582381761"/>
        </c:manualLayout>
      </c:layout>
      <c:scatterChart>
        <c:scatterStyle val="lineMarker"/>
        <c:ser>
          <c:idx val="0"/>
          <c:order val="0"/>
          <c:tx>
            <c:v>Crop 1</c:v>
          </c:tx>
          <c:spPr>
            <a:ln w="38100">
              <a:solidFill>
                <a:srgbClr val="000080"/>
              </a:solidFill>
              <a:prstDash val="solid"/>
            </a:ln>
          </c:spPr>
          <c:marker>
            <c:symbol val="none"/>
          </c:marker>
          <c:xVal>
            <c:numRef>
              <c:f>Input!$BO$22:$BO$568</c:f>
              <c:numCache>
                <c:formatCode>0.0</c:formatCode>
                <c:ptCount val="5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0.19908352668213469</c:v>
                </c:pt>
                <c:pt idx="106">
                  <c:v>0.43760916770777591</c:v>
                </c:pt>
                <c:pt idx="107">
                  <c:v>1.0282440883426964</c:v>
                </c:pt>
                <c:pt idx="108">
                  <c:v>1.2561510650868826</c:v>
                </c:pt>
                <c:pt idx="109">
                  <c:v>1.4246340094315861</c:v>
                </c:pt>
                <c:pt idx="110">
                  <c:v>1.9533669794588344</c:v>
                </c:pt>
                <c:pt idx="111">
                  <c:v>2.7114879985671143</c:v>
                </c:pt>
                <c:pt idx="112">
                  <c:v>3.9686047868882826</c:v>
                </c:pt>
                <c:pt idx="113">
                  <c:v>4.2543190726025681</c:v>
                </c:pt>
                <c:pt idx="114">
                  <c:v>6.2347773210750734</c:v>
                </c:pt>
                <c:pt idx="115">
                  <c:v>7.4348047936025461</c:v>
                </c:pt>
                <c:pt idx="116">
                  <c:v>8.7461704323690661</c:v>
                </c:pt>
                <c:pt idx="117">
                  <c:v>11.480572542568362</c:v>
                </c:pt>
                <c:pt idx="118">
                  <c:v>15.119762825969172</c:v>
                </c:pt>
                <c:pt idx="119">
                  <c:v>20.559762825969173</c:v>
                </c:pt>
                <c:pt idx="120">
                  <c:v>25.684762825969173</c:v>
                </c:pt>
                <c:pt idx="121">
                  <c:v>28.413181629387978</c:v>
                </c:pt>
                <c:pt idx="122">
                  <c:v>31.025586209540648</c:v>
                </c:pt>
                <c:pt idx="123">
                  <c:v>34.965586209540646</c:v>
                </c:pt>
                <c:pt idx="124">
                  <c:v>39.040586209540649</c:v>
                </c:pt>
                <c:pt idx="125">
                  <c:v>43.115586209540652</c:v>
                </c:pt>
                <c:pt idx="126">
                  <c:v>47.990586209540652</c:v>
                </c:pt>
                <c:pt idx="127">
                  <c:v>52.085586209540651</c:v>
                </c:pt>
                <c:pt idx="128">
                  <c:v>55.865240371322599</c:v>
                </c:pt>
                <c:pt idx="129">
                  <c:v>61.865240371322599</c:v>
                </c:pt>
                <c:pt idx="130">
                  <c:v>68.710240371322598</c:v>
                </c:pt>
                <c:pt idx="131">
                  <c:v>77.560240371322607</c:v>
                </c:pt>
                <c:pt idx="132">
                  <c:v>87.5052403713226</c:v>
                </c:pt>
                <c:pt idx="133">
                  <c:v>89.485240371322604</c:v>
                </c:pt>
                <c:pt idx="134">
                  <c:v>90.703238825727553</c:v>
                </c:pt>
                <c:pt idx="135">
                  <c:v>92.391950165933736</c:v>
                </c:pt>
                <c:pt idx="136">
                  <c:v>92.750579065769529</c:v>
                </c:pt>
                <c:pt idx="137">
                  <c:v>94.078052811393803</c:v>
                </c:pt>
                <c:pt idx="138">
                  <c:v>95.355596331703282</c:v>
                </c:pt>
                <c:pt idx="139">
                  <c:v>97.339236076655453</c:v>
                </c:pt>
                <c:pt idx="140">
                  <c:v>99.63923607665545</c:v>
                </c:pt>
                <c:pt idx="141">
                  <c:v>101.92423607665545</c:v>
                </c:pt>
                <c:pt idx="142">
                  <c:v>105.78423607665545</c:v>
                </c:pt>
                <c:pt idx="143">
                  <c:v>113.23423607665545</c:v>
                </c:pt>
                <c:pt idx="144">
                  <c:v>121.71423607665545</c:v>
                </c:pt>
                <c:pt idx="145">
                  <c:v>130.05423607665546</c:v>
                </c:pt>
                <c:pt idx="146">
                  <c:v>136.35423607665547</c:v>
                </c:pt>
                <c:pt idx="147">
                  <c:v>141.68923607665548</c:v>
                </c:pt>
                <c:pt idx="148">
                  <c:v>148.91423607665547</c:v>
                </c:pt>
                <c:pt idx="149">
                  <c:v>156.38923607665546</c:v>
                </c:pt>
                <c:pt idx="150">
                  <c:v>165.73423607665546</c:v>
                </c:pt>
                <c:pt idx="151">
                  <c:v>174.17423607665546</c:v>
                </c:pt>
                <c:pt idx="152">
                  <c:v>184.38423607665547</c:v>
                </c:pt>
                <c:pt idx="153">
                  <c:v>194.05923607665548</c:v>
                </c:pt>
                <c:pt idx="154">
                  <c:v>205.11423607665549</c:v>
                </c:pt>
                <c:pt idx="155">
                  <c:v>210.9792360766555</c:v>
                </c:pt>
                <c:pt idx="156">
                  <c:v>217.14423607665549</c:v>
                </c:pt>
                <c:pt idx="157">
                  <c:v>224.09423607665548</c:v>
                </c:pt>
                <c:pt idx="158">
                  <c:v>233.22923607665547</c:v>
                </c:pt>
                <c:pt idx="159">
                  <c:v>241.75423607665547</c:v>
                </c:pt>
                <c:pt idx="160">
                  <c:v>252.06923607665547</c:v>
                </c:pt>
                <c:pt idx="161">
                  <c:v>261.12423607665545</c:v>
                </c:pt>
                <c:pt idx="162">
                  <c:v>268.86923607665545</c:v>
                </c:pt>
                <c:pt idx="163">
                  <c:v>275.23923607665546</c:v>
                </c:pt>
                <c:pt idx="164">
                  <c:v>281.22423607665547</c:v>
                </c:pt>
                <c:pt idx="165">
                  <c:v>286.70423607665549</c:v>
                </c:pt>
                <c:pt idx="166">
                  <c:v>294.61423607665552</c:v>
                </c:pt>
                <c:pt idx="167">
                  <c:v>303.05423607665551</c:v>
                </c:pt>
                <c:pt idx="168">
                  <c:v>312.99423607665551</c:v>
                </c:pt>
                <c:pt idx="169">
                  <c:v>324.58423607665549</c:v>
                </c:pt>
                <c:pt idx="170">
                  <c:v>339.9492360766555</c:v>
                </c:pt>
                <c:pt idx="171">
                  <c:v>353.24923607665551</c:v>
                </c:pt>
                <c:pt idx="172">
                  <c:v>367.01923607665549</c:v>
                </c:pt>
                <c:pt idx="173">
                  <c:v>381.12423607665551</c:v>
                </c:pt>
                <c:pt idx="174">
                  <c:v>393.39923607665548</c:v>
                </c:pt>
                <c:pt idx="175">
                  <c:v>405.26923607665549</c:v>
                </c:pt>
                <c:pt idx="176">
                  <c:v>419.39423607665549</c:v>
                </c:pt>
                <c:pt idx="177">
                  <c:v>432.29923607665546</c:v>
                </c:pt>
                <c:pt idx="178">
                  <c:v>443.88423607665544</c:v>
                </c:pt>
                <c:pt idx="179">
                  <c:v>455.76923607665543</c:v>
                </c:pt>
                <c:pt idx="180">
                  <c:v>469.50923607665544</c:v>
                </c:pt>
                <c:pt idx="181">
                  <c:v>484.20923607665543</c:v>
                </c:pt>
                <c:pt idx="182">
                  <c:v>499.34923607665542</c:v>
                </c:pt>
                <c:pt idx="183">
                  <c:v>516.06423607665545</c:v>
                </c:pt>
                <c:pt idx="184">
                  <c:v>529.77423607665548</c:v>
                </c:pt>
                <c:pt idx="185">
                  <c:v>543.6342360766555</c:v>
                </c:pt>
                <c:pt idx="186">
                  <c:v>556.47423607665553</c:v>
                </c:pt>
                <c:pt idx="187">
                  <c:v>567.30423607665557</c:v>
                </c:pt>
                <c:pt idx="188">
                  <c:v>579.11923607665562</c:v>
                </c:pt>
                <c:pt idx="189">
                  <c:v>591.35423607665564</c:v>
                </c:pt>
                <c:pt idx="190">
                  <c:v>604.92923607665568</c:v>
                </c:pt>
                <c:pt idx="191">
                  <c:v>617.56423607665567</c:v>
                </c:pt>
                <c:pt idx="192">
                  <c:v>631.57923607665566</c:v>
                </c:pt>
                <c:pt idx="193">
                  <c:v>644.21923607665565</c:v>
                </c:pt>
                <c:pt idx="194">
                  <c:v>655.79923607665569</c:v>
                </c:pt>
                <c:pt idx="195">
                  <c:v>668.26923607665572</c:v>
                </c:pt>
                <c:pt idx="196">
                  <c:v>679.9092360766557</c:v>
                </c:pt>
                <c:pt idx="197">
                  <c:v>690.63423607665572</c:v>
                </c:pt>
                <c:pt idx="198">
                  <c:v>699.92923607665568</c:v>
                </c:pt>
                <c:pt idx="199">
                  <c:v>710.45923607665566</c:v>
                </c:pt>
                <c:pt idx="200">
                  <c:v>722.45923607665566</c:v>
                </c:pt>
                <c:pt idx="201">
                  <c:v>735.9142360766557</c:v>
                </c:pt>
                <c:pt idx="202">
                  <c:v>747.14923607665571</c:v>
                </c:pt>
                <c:pt idx="203">
                  <c:v>755.67923607665568</c:v>
                </c:pt>
                <c:pt idx="204">
                  <c:v>765.00423607665573</c:v>
                </c:pt>
                <c:pt idx="205">
                  <c:v>774.83923607665577</c:v>
                </c:pt>
                <c:pt idx="206">
                  <c:v>786.48923607665574</c:v>
                </c:pt>
                <c:pt idx="207">
                  <c:v>798.71923607665576</c:v>
                </c:pt>
                <c:pt idx="208">
                  <c:v>812.50923607665572</c:v>
                </c:pt>
                <c:pt idx="209">
                  <c:v>827.45423607665577</c:v>
                </c:pt>
                <c:pt idx="210">
                  <c:v>840.85923607665575</c:v>
                </c:pt>
                <c:pt idx="211">
                  <c:v>852.48923607665574</c:v>
                </c:pt>
                <c:pt idx="212">
                  <c:v>866.11423607665574</c:v>
                </c:pt>
                <c:pt idx="213">
                  <c:v>879.29423607665569</c:v>
                </c:pt>
                <c:pt idx="214">
                  <c:v>892.18923607665567</c:v>
                </c:pt>
                <c:pt idx="215">
                  <c:v>905.82423607665567</c:v>
                </c:pt>
                <c:pt idx="216">
                  <c:v>919.5392360766557</c:v>
                </c:pt>
                <c:pt idx="217">
                  <c:v>934.54923607665569</c:v>
                </c:pt>
                <c:pt idx="218">
                  <c:v>949.88423607665572</c:v>
                </c:pt>
                <c:pt idx="219">
                  <c:v>964.25423607665573</c:v>
                </c:pt>
                <c:pt idx="220">
                  <c:v>976.7842360766557</c:v>
                </c:pt>
                <c:pt idx="221">
                  <c:v>989.19923607665567</c:v>
                </c:pt>
                <c:pt idx="222">
                  <c:v>1002.0742360766557</c:v>
                </c:pt>
                <c:pt idx="223">
                  <c:v>1013.3142360766557</c:v>
                </c:pt>
                <c:pt idx="224">
                  <c:v>1024.6192360766556</c:v>
                </c:pt>
                <c:pt idx="225">
                  <c:v>1035.8842360766557</c:v>
                </c:pt>
                <c:pt idx="226">
                  <c:v>1049.2242360766556</c:v>
                </c:pt>
                <c:pt idx="227">
                  <c:v>1063.2242360766556</c:v>
                </c:pt>
                <c:pt idx="228">
                  <c:v>1077.0742360766556</c:v>
                </c:pt>
                <c:pt idx="229">
                  <c:v>1091.1442360766555</c:v>
                </c:pt>
                <c:pt idx="230">
                  <c:v>1104.5492360766555</c:v>
                </c:pt>
                <c:pt idx="231">
                  <c:v>1117.9642360766554</c:v>
                </c:pt>
                <c:pt idx="232">
                  <c:v>1132.3142360766553</c:v>
                </c:pt>
                <c:pt idx="233">
                  <c:v>1147.0692360766554</c:v>
                </c:pt>
                <c:pt idx="234">
                  <c:v>1162.0342360766554</c:v>
                </c:pt>
                <c:pt idx="235">
                  <c:v>1177.9492360766553</c:v>
                </c:pt>
                <c:pt idx="236">
                  <c:v>1193.2492360766553</c:v>
                </c:pt>
                <c:pt idx="237">
                  <c:v>1207.4492360766553</c:v>
                </c:pt>
                <c:pt idx="238">
                  <c:v>1217.6742360766552</c:v>
                </c:pt>
                <c:pt idx="239">
                  <c:v>1225.6142360766553</c:v>
                </c:pt>
                <c:pt idx="240">
                  <c:v>1234.9092360766554</c:v>
                </c:pt>
                <c:pt idx="241">
                  <c:v>1244.6842360766555</c:v>
                </c:pt>
                <c:pt idx="242">
                  <c:v>1256.2342360766554</c:v>
                </c:pt>
                <c:pt idx="243">
                  <c:v>1264.8392360766554</c:v>
                </c:pt>
                <c:pt idx="244">
                  <c:v>1270.3942360766555</c:v>
                </c:pt>
                <c:pt idx="245">
                  <c:v>1277.9642360766554</c:v>
                </c:pt>
                <c:pt idx="246">
                  <c:v>1286.0092360766555</c:v>
                </c:pt>
                <c:pt idx="247">
                  <c:v>1294.5492360766555</c:v>
                </c:pt>
                <c:pt idx="248">
                  <c:v>1303.5042360766554</c:v>
                </c:pt>
                <c:pt idx="249">
                  <c:v>1313.5842360766553</c:v>
                </c:pt>
                <c:pt idx="250">
                  <c:v>1323.2242360766554</c:v>
                </c:pt>
                <c:pt idx="251">
                  <c:v>1332.5342360766554</c:v>
                </c:pt>
                <c:pt idx="252">
                  <c:v>1341.9842360766554</c:v>
                </c:pt>
                <c:pt idx="253">
                  <c:v>1350.8092360766555</c:v>
                </c:pt>
                <c:pt idx="254">
                  <c:v>1361.1642360766555</c:v>
                </c:pt>
                <c:pt idx="255">
                  <c:v>1369.9592360766555</c:v>
                </c:pt>
                <c:pt idx="256">
                  <c:v>1375.1842360766555</c:v>
                </c:pt>
                <c:pt idx="257">
                  <c:v>1381.4142360766555</c:v>
                </c:pt>
                <c:pt idx="258">
                  <c:v>1386.6992360766556</c:v>
                </c:pt>
                <c:pt idx="259">
                  <c:v>1391.7792360766555</c:v>
                </c:pt>
                <c:pt idx="260">
                  <c:v>1397.4392360766556</c:v>
                </c:pt>
                <c:pt idx="261">
                  <c:v>1403.3892360766556</c:v>
                </c:pt>
                <c:pt idx="262">
                  <c:v>1409.9942360766556</c:v>
                </c:pt>
                <c:pt idx="263">
                  <c:v>1413.9742360766556</c:v>
                </c:pt>
                <c:pt idx="264">
                  <c:v>1416.1912513272002</c:v>
                </c:pt>
                <c:pt idx="265">
                  <c:v>1419.8474504222229</c:v>
                </c:pt>
                <c:pt idx="266">
                  <c:v>1428.4624504222229</c:v>
                </c:pt>
                <c:pt idx="267">
                  <c:v>1436.6774504222228</c:v>
                </c:pt>
                <c:pt idx="268">
                  <c:v>1442.5974504222229</c:v>
                </c:pt>
                <c:pt idx="269">
                  <c:v>1451.7624504222229</c:v>
                </c:pt>
                <c:pt idx="270">
                  <c:v>1460.0624504222228</c:v>
                </c:pt>
                <c:pt idx="271">
                  <c:v>1466.2124504222229</c:v>
                </c:pt>
                <c:pt idx="272">
                  <c:v>1473.277450422223</c:v>
                </c:pt>
                <c:pt idx="273">
                  <c:v>1480.7924504222231</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xVal>
          <c:yVal>
            <c:numRef>
              <c:f>Input!$N$22:$N$568</c:f>
              <c:numCache>
                <c:formatCode>0.00</c:formatCode>
                <c:ptCount val="5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pt idx="118">
                  <c:v>0.2</c:v>
                </c:pt>
                <c:pt idx="119">
                  <c:v>0.2</c:v>
                </c:pt>
                <c:pt idx="120">
                  <c:v>0.2</c:v>
                </c:pt>
                <c:pt idx="121">
                  <c:v>0.2</c:v>
                </c:pt>
                <c:pt idx="122">
                  <c:v>0.2</c:v>
                </c:pt>
                <c:pt idx="123">
                  <c:v>0.2</c:v>
                </c:pt>
                <c:pt idx="124">
                  <c:v>0.2</c:v>
                </c:pt>
                <c:pt idx="125">
                  <c:v>0.2</c:v>
                </c:pt>
                <c:pt idx="126">
                  <c:v>0.2</c:v>
                </c:pt>
                <c:pt idx="127">
                  <c:v>0.2</c:v>
                </c:pt>
                <c:pt idx="128">
                  <c:v>0.2</c:v>
                </c:pt>
                <c:pt idx="129">
                  <c:v>0.2</c:v>
                </c:pt>
                <c:pt idx="130">
                  <c:v>0.2</c:v>
                </c:pt>
                <c:pt idx="131">
                  <c:v>0.2</c:v>
                </c:pt>
                <c:pt idx="132">
                  <c:v>0.2</c:v>
                </c:pt>
                <c:pt idx="133">
                  <c:v>0.2</c:v>
                </c:pt>
                <c:pt idx="134">
                  <c:v>0.2</c:v>
                </c:pt>
                <c:pt idx="135">
                  <c:v>0.2</c:v>
                </c:pt>
                <c:pt idx="136">
                  <c:v>0.2</c:v>
                </c:pt>
                <c:pt idx="137">
                  <c:v>0.2</c:v>
                </c:pt>
                <c:pt idx="138">
                  <c:v>0.2</c:v>
                </c:pt>
                <c:pt idx="139">
                  <c:v>0.22023809523809526</c:v>
                </c:pt>
                <c:pt idx="140">
                  <c:v>0.24047619047619051</c:v>
                </c:pt>
                <c:pt idx="141">
                  <c:v>0.26071428571428573</c:v>
                </c:pt>
                <c:pt idx="142">
                  <c:v>0.28095238095238095</c:v>
                </c:pt>
                <c:pt idx="143">
                  <c:v>0.30119047619047618</c:v>
                </c:pt>
                <c:pt idx="144">
                  <c:v>0.3214285714285714</c:v>
                </c:pt>
                <c:pt idx="145">
                  <c:v>0.34166666666666662</c:v>
                </c:pt>
                <c:pt idx="146">
                  <c:v>0.36190476190476184</c:v>
                </c:pt>
                <c:pt idx="147">
                  <c:v>0.38214285714285706</c:v>
                </c:pt>
                <c:pt idx="148">
                  <c:v>0.40238095238095228</c:v>
                </c:pt>
                <c:pt idx="149">
                  <c:v>0.42261904761904751</c:v>
                </c:pt>
                <c:pt idx="150">
                  <c:v>0.44285714285714273</c:v>
                </c:pt>
                <c:pt idx="151">
                  <c:v>0.46309523809523795</c:v>
                </c:pt>
                <c:pt idx="152">
                  <c:v>0.48333333333333317</c:v>
                </c:pt>
                <c:pt idx="153">
                  <c:v>0.50357142857142845</c:v>
                </c:pt>
                <c:pt idx="154">
                  <c:v>0.52380952380952372</c:v>
                </c:pt>
                <c:pt idx="155">
                  <c:v>0.544047619047619</c:v>
                </c:pt>
                <c:pt idx="156">
                  <c:v>0.56428571428571428</c:v>
                </c:pt>
                <c:pt idx="157">
                  <c:v>0.58452380952380956</c:v>
                </c:pt>
                <c:pt idx="158">
                  <c:v>0.60476190476190483</c:v>
                </c:pt>
                <c:pt idx="159">
                  <c:v>0.62500000000000011</c:v>
                </c:pt>
                <c:pt idx="160">
                  <c:v>0.64523809523809539</c:v>
                </c:pt>
                <c:pt idx="161">
                  <c:v>0.66547619047619067</c:v>
                </c:pt>
                <c:pt idx="162">
                  <c:v>0.68571428571428594</c:v>
                </c:pt>
                <c:pt idx="163">
                  <c:v>0.70595238095238122</c:v>
                </c:pt>
                <c:pt idx="164">
                  <c:v>0.7261904761904765</c:v>
                </c:pt>
                <c:pt idx="165">
                  <c:v>0.74642857142857177</c:v>
                </c:pt>
                <c:pt idx="166">
                  <c:v>0.76666666666666705</c:v>
                </c:pt>
                <c:pt idx="167">
                  <c:v>0.78690476190476233</c:v>
                </c:pt>
                <c:pt idx="168">
                  <c:v>0.80714285714285761</c:v>
                </c:pt>
                <c:pt idx="169">
                  <c:v>0.82738095238095288</c:v>
                </c:pt>
                <c:pt idx="170">
                  <c:v>0.84761904761904816</c:v>
                </c:pt>
                <c:pt idx="171">
                  <c:v>0.86785714285714344</c:v>
                </c:pt>
                <c:pt idx="172">
                  <c:v>0.88809523809523871</c:v>
                </c:pt>
                <c:pt idx="173">
                  <c:v>0.90833333333333399</c:v>
                </c:pt>
                <c:pt idx="174">
                  <c:v>0.92857142857142927</c:v>
                </c:pt>
                <c:pt idx="175">
                  <c:v>0.94880952380952455</c:v>
                </c:pt>
                <c:pt idx="176">
                  <c:v>0.96904761904761982</c:v>
                </c:pt>
                <c:pt idx="177">
                  <c:v>0.9892857142857151</c:v>
                </c:pt>
                <c:pt idx="178">
                  <c:v>1.0095238095238104</c:v>
                </c:pt>
                <c:pt idx="179">
                  <c:v>1.0297619047619055</c:v>
                </c:pt>
                <c:pt idx="180">
                  <c:v>1.0500000000000007</c:v>
                </c:pt>
                <c:pt idx="181">
                  <c:v>1.0500000000000007</c:v>
                </c:pt>
                <c:pt idx="182">
                  <c:v>1.0500000000000007</c:v>
                </c:pt>
                <c:pt idx="183">
                  <c:v>1.0500000000000007</c:v>
                </c:pt>
                <c:pt idx="184">
                  <c:v>1.0500000000000007</c:v>
                </c:pt>
                <c:pt idx="185">
                  <c:v>1.0500000000000007</c:v>
                </c:pt>
                <c:pt idx="186">
                  <c:v>1.0500000000000007</c:v>
                </c:pt>
                <c:pt idx="187">
                  <c:v>1.0500000000000007</c:v>
                </c:pt>
                <c:pt idx="188">
                  <c:v>1.0500000000000007</c:v>
                </c:pt>
                <c:pt idx="189">
                  <c:v>1.0500000000000007</c:v>
                </c:pt>
                <c:pt idx="190">
                  <c:v>1.0500000000000007</c:v>
                </c:pt>
                <c:pt idx="191">
                  <c:v>1.0500000000000007</c:v>
                </c:pt>
                <c:pt idx="192">
                  <c:v>1.0500000000000007</c:v>
                </c:pt>
                <c:pt idx="193">
                  <c:v>1.0500000000000007</c:v>
                </c:pt>
                <c:pt idx="194">
                  <c:v>1.0500000000000007</c:v>
                </c:pt>
                <c:pt idx="195">
                  <c:v>1.0500000000000007</c:v>
                </c:pt>
                <c:pt idx="196">
                  <c:v>1.0500000000000007</c:v>
                </c:pt>
                <c:pt idx="197">
                  <c:v>1.0500000000000007</c:v>
                </c:pt>
                <c:pt idx="198">
                  <c:v>1.0500000000000007</c:v>
                </c:pt>
                <c:pt idx="199">
                  <c:v>1.0500000000000007</c:v>
                </c:pt>
                <c:pt idx="200">
                  <c:v>1.0500000000000007</c:v>
                </c:pt>
                <c:pt idx="201">
                  <c:v>1.0500000000000007</c:v>
                </c:pt>
                <c:pt idx="202">
                  <c:v>1.0500000000000007</c:v>
                </c:pt>
                <c:pt idx="203">
                  <c:v>1.0500000000000007</c:v>
                </c:pt>
                <c:pt idx="204">
                  <c:v>1.0500000000000007</c:v>
                </c:pt>
                <c:pt idx="205">
                  <c:v>1.0500000000000007</c:v>
                </c:pt>
                <c:pt idx="206">
                  <c:v>1.0500000000000007</c:v>
                </c:pt>
                <c:pt idx="207">
                  <c:v>1.0500000000000007</c:v>
                </c:pt>
                <c:pt idx="208">
                  <c:v>1.0500000000000007</c:v>
                </c:pt>
                <c:pt idx="209">
                  <c:v>1.0500000000000007</c:v>
                </c:pt>
                <c:pt idx="210">
                  <c:v>1.0500000000000007</c:v>
                </c:pt>
                <c:pt idx="211">
                  <c:v>1.0500000000000007</c:v>
                </c:pt>
                <c:pt idx="212">
                  <c:v>1.0500000000000007</c:v>
                </c:pt>
                <c:pt idx="213">
                  <c:v>1.0500000000000007</c:v>
                </c:pt>
                <c:pt idx="214">
                  <c:v>1.0500000000000007</c:v>
                </c:pt>
                <c:pt idx="215">
                  <c:v>1.0500000000000007</c:v>
                </c:pt>
                <c:pt idx="216">
                  <c:v>1.0500000000000007</c:v>
                </c:pt>
                <c:pt idx="217">
                  <c:v>1.0500000000000007</c:v>
                </c:pt>
                <c:pt idx="218">
                  <c:v>1.0500000000000007</c:v>
                </c:pt>
                <c:pt idx="219">
                  <c:v>1.0500000000000007</c:v>
                </c:pt>
                <c:pt idx="220">
                  <c:v>1.0500000000000007</c:v>
                </c:pt>
                <c:pt idx="221">
                  <c:v>1.0500000000000007</c:v>
                </c:pt>
                <c:pt idx="222">
                  <c:v>1.0500000000000007</c:v>
                </c:pt>
                <c:pt idx="223">
                  <c:v>1.0500000000000007</c:v>
                </c:pt>
                <c:pt idx="224">
                  <c:v>1.0500000000000007</c:v>
                </c:pt>
                <c:pt idx="225">
                  <c:v>1.0500000000000007</c:v>
                </c:pt>
                <c:pt idx="226">
                  <c:v>1.0500000000000007</c:v>
                </c:pt>
                <c:pt idx="227">
                  <c:v>1.0500000000000007</c:v>
                </c:pt>
                <c:pt idx="228">
                  <c:v>1.0500000000000007</c:v>
                </c:pt>
                <c:pt idx="229">
                  <c:v>1.0500000000000007</c:v>
                </c:pt>
                <c:pt idx="230">
                  <c:v>1.0500000000000007</c:v>
                </c:pt>
                <c:pt idx="231">
                  <c:v>1.0500000000000007</c:v>
                </c:pt>
                <c:pt idx="232">
                  <c:v>1.039285714285715</c:v>
                </c:pt>
                <c:pt idx="233">
                  <c:v>1.0285714285714294</c:v>
                </c:pt>
                <c:pt idx="234">
                  <c:v>1.0178571428571437</c:v>
                </c:pt>
                <c:pt idx="235">
                  <c:v>1.007142857142858</c:v>
                </c:pt>
                <c:pt idx="236">
                  <c:v>0.99642857142857233</c:v>
                </c:pt>
                <c:pt idx="237">
                  <c:v>0.98571428571428665</c:v>
                </c:pt>
                <c:pt idx="238">
                  <c:v>0.97500000000000098</c:v>
                </c:pt>
                <c:pt idx="239">
                  <c:v>0.9642857142857153</c:v>
                </c:pt>
                <c:pt idx="240">
                  <c:v>0.95357142857142962</c:v>
                </c:pt>
                <c:pt idx="241">
                  <c:v>0.94285714285714395</c:v>
                </c:pt>
                <c:pt idx="242">
                  <c:v>0.93214285714285827</c:v>
                </c:pt>
                <c:pt idx="243">
                  <c:v>0.9214285714285726</c:v>
                </c:pt>
                <c:pt idx="244">
                  <c:v>0.91071428571428692</c:v>
                </c:pt>
                <c:pt idx="245">
                  <c:v>0.90000000000000124</c:v>
                </c:pt>
                <c:pt idx="246">
                  <c:v>0.88928571428571557</c:v>
                </c:pt>
                <c:pt idx="247">
                  <c:v>0.87857142857142989</c:v>
                </c:pt>
                <c:pt idx="248">
                  <c:v>0.86785714285714421</c:v>
                </c:pt>
                <c:pt idx="249">
                  <c:v>0.85714285714285854</c:v>
                </c:pt>
                <c:pt idx="250">
                  <c:v>0.84642857142857286</c:v>
                </c:pt>
                <c:pt idx="251">
                  <c:v>0.83571428571428719</c:v>
                </c:pt>
                <c:pt idx="252">
                  <c:v>0.82500000000000151</c:v>
                </c:pt>
                <c:pt idx="253">
                  <c:v>0.81428571428571583</c:v>
                </c:pt>
                <c:pt idx="254">
                  <c:v>0.80357142857143016</c:v>
                </c:pt>
                <c:pt idx="255">
                  <c:v>0.79285714285714448</c:v>
                </c:pt>
                <c:pt idx="256">
                  <c:v>0.78214285714285881</c:v>
                </c:pt>
                <c:pt idx="257">
                  <c:v>0.77142857142857313</c:v>
                </c:pt>
                <c:pt idx="258">
                  <c:v>0.76071428571428745</c:v>
                </c:pt>
                <c:pt idx="259">
                  <c:v>0.75000000000000178</c:v>
                </c:pt>
                <c:pt idx="260">
                  <c:v>0.7392857142857161</c:v>
                </c:pt>
                <c:pt idx="261">
                  <c:v>0.72857142857143042</c:v>
                </c:pt>
                <c:pt idx="262">
                  <c:v>0.71785714285714475</c:v>
                </c:pt>
                <c:pt idx="263">
                  <c:v>0.70714285714285907</c:v>
                </c:pt>
                <c:pt idx="264">
                  <c:v>0.6964285714285734</c:v>
                </c:pt>
                <c:pt idx="265">
                  <c:v>0.68571428571428772</c:v>
                </c:pt>
                <c:pt idx="266">
                  <c:v>0.67500000000000204</c:v>
                </c:pt>
                <c:pt idx="267">
                  <c:v>0.66428571428571637</c:v>
                </c:pt>
                <c:pt idx="268">
                  <c:v>0.65357142857143069</c:v>
                </c:pt>
                <c:pt idx="269">
                  <c:v>0.64285714285714501</c:v>
                </c:pt>
                <c:pt idx="270">
                  <c:v>0.63214285714285934</c:v>
                </c:pt>
                <c:pt idx="271">
                  <c:v>0.62142857142857366</c:v>
                </c:pt>
                <c:pt idx="272">
                  <c:v>0.61071428571428799</c:v>
                </c:pt>
                <c:pt idx="273">
                  <c:v>0.60000000000000231</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yVal>
        </c:ser>
        <c:axId val="190429056"/>
        <c:axId val="190439424"/>
      </c:scatterChart>
      <c:valAx>
        <c:axId val="190429056"/>
        <c:scaling>
          <c:orientation val="minMax"/>
        </c:scaling>
        <c:axPos val="b"/>
        <c:title>
          <c:tx>
            <c:rich>
              <a:bodyPr/>
              <a:lstStyle/>
              <a:p>
                <a:pPr>
                  <a:defRPr sz="1350" b="1" i="0" u="none" strike="noStrike" baseline="0">
                    <a:solidFill>
                      <a:srgbClr val="000000"/>
                    </a:solidFill>
                    <a:latin typeface="Arial"/>
                    <a:ea typeface="Arial"/>
                    <a:cs typeface="Arial"/>
                  </a:defRPr>
                </a:pPr>
                <a:r>
                  <a:rPr lang="it-IT"/>
                  <a:t>Triangle Degree Days</a:t>
                </a:r>
              </a:p>
            </c:rich>
          </c:tx>
          <c:layout>
            <c:manualLayout>
              <c:xMode val="edge"/>
              <c:yMode val="edge"/>
              <c:x val="0.44950067146157235"/>
              <c:y val="0.92659049971694629"/>
            </c:manualLayout>
          </c:layout>
          <c:spPr>
            <a:noFill/>
            <a:ln w="25400">
              <a:noFill/>
            </a:ln>
          </c:spPr>
        </c:title>
        <c:numFmt formatCode="0" sourceLinked="0"/>
        <c:majorTickMark val="cross"/>
        <c:minorTickMark val="in"/>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it-IT"/>
          </a:p>
        </c:txPr>
        <c:crossAx val="190439424"/>
        <c:crosses val="autoZero"/>
        <c:crossBetween val="midCat"/>
        <c:minorUnit val="500"/>
      </c:valAx>
      <c:valAx>
        <c:axId val="190439424"/>
        <c:scaling>
          <c:orientation val="minMax"/>
          <c:max val="1.4"/>
        </c:scaling>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it-IT" sz="1850" b="1" i="0" u="none" strike="noStrike" baseline="0">
                    <a:solidFill>
                      <a:srgbClr val="000000"/>
                    </a:solidFill>
                    <a:latin typeface="Arial"/>
                    <a:cs typeface="Arial"/>
                  </a:rPr>
                  <a:t>Crop Coefficient (K</a:t>
                </a:r>
                <a:r>
                  <a:rPr lang="it-IT" sz="1850" b="1" i="0" u="none" strike="noStrike" baseline="-25000">
                    <a:solidFill>
                      <a:srgbClr val="000000"/>
                    </a:solidFill>
                    <a:latin typeface="Arial"/>
                    <a:cs typeface="Arial"/>
                  </a:rPr>
                  <a:t>c</a:t>
                </a:r>
                <a:r>
                  <a:rPr lang="it-IT" sz="1850" b="1" i="0" u="none" strike="noStrike" baseline="0">
                    <a:solidFill>
                      <a:srgbClr val="000000"/>
                    </a:solidFill>
                    <a:latin typeface="Arial"/>
                    <a:cs typeface="Arial"/>
                  </a:rPr>
                  <a:t>)</a:t>
                </a:r>
              </a:p>
            </c:rich>
          </c:tx>
          <c:layout>
            <c:manualLayout>
              <c:xMode val="edge"/>
              <c:yMode val="edge"/>
              <c:x val="1.9977802441731432E-2"/>
              <c:y val="0.24632957645000259"/>
            </c:manualLayout>
          </c:layout>
          <c:spPr>
            <a:noFill/>
            <a:ln w="25400">
              <a:noFill/>
            </a:ln>
          </c:spPr>
        </c:title>
        <c:numFmt formatCode="0.00" sourceLinked="1"/>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it-IT"/>
          </a:p>
        </c:txPr>
        <c:crossAx val="190429056"/>
        <c:crosses val="autoZero"/>
        <c:crossBetween val="midCat"/>
      </c:valAx>
      <c:spPr>
        <a:solidFill>
          <a:srgbClr val="FFFFFF"/>
        </a:solidFill>
        <a:ln w="12700">
          <a:solidFill>
            <a:srgbClr val="808080"/>
          </a:solidFill>
          <a:prstDash val="solid"/>
        </a:ln>
      </c:spPr>
    </c:plotArea>
    <c:plotVisOnly val="1"/>
    <c:dispBlanksAs val="gap"/>
  </c:chart>
  <c:spPr>
    <a:noFill/>
    <a:ln w="9525">
      <a:noFill/>
    </a:ln>
  </c:spPr>
  <c:txPr>
    <a:bodyPr/>
    <a:lstStyle/>
    <a:p>
      <a:pPr>
        <a:defRPr sz="1600" b="1" i="0" u="none" strike="noStrike" baseline="0">
          <a:solidFill>
            <a:srgbClr val="000000"/>
          </a:solidFill>
          <a:latin typeface="Arial"/>
          <a:ea typeface="Arial"/>
          <a:cs typeface="Arial"/>
        </a:defRPr>
      </a:pPr>
      <a:endParaRPr lang="it-IT"/>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sheetPr>
    <tabColor indexed="12"/>
  </sheetPr>
  <sheetViews>
    <sheetView workbookViewId="0"/>
  </sheetViews>
  <pageMargins left="0.75" right="0.75" top="1" bottom="1" header="0.5" footer="0.5"/>
  <pageSetup orientation="landscape"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indexed="12"/>
  </sheetPr>
  <sheetViews>
    <sheetView workbookViewId="0"/>
  </sheetViews>
  <pageMargins left="0.75" right="0.75" top="1" bottom="1" header="0.5" footer="0.5"/>
  <pageSetup orientation="landscape"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tabColor indexed="12"/>
  </sheetPr>
  <sheetViews>
    <sheetView workbookViewId="0"/>
  </sheetViews>
  <pageMargins left="0.75" right="0.75" top="1" bottom="1" header="0.5" footer="0.5"/>
  <pageSetup orientation="landscape"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indexed="12"/>
  </sheetPr>
  <sheetViews>
    <sheetView workbookViewId="0"/>
  </sheetViews>
  <pageMargins left="0.75" right="0.75" top="1" bottom="1" header="0.5" footer="0.5"/>
  <pageSetup orientation="landscape"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tabColor indexed="11"/>
  </sheetPr>
  <sheetViews>
    <sheetView zoomScale="86" workbookViewId="0"/>
  </sheetViews>
  <pageMargins left="0.75" right="0.75" top="1" bottom="1" header="0.5" footer="0.5"/>
  <pageSetup orientation="landscape" verticalDpi="1200" r:id="rId1"/>
  <headerFooter alignWithMargins="0"/>
  <drawing r:id="rId2"/>
</chartsheet>
</file>

<file path=xl/chartsheets/sheet6.xml><?xml version="1.0" encoding="utf-8"?>
<chartsheet xmlns="http://schemas.openxmlformats.org/spreadsheetml/2006/main" xmlns:r="http://schemas.openxmlformats.org/officeDocument/2006/relationships">
  <sheetPr>
    <tabColor indexed="11"/>
  </sheetPr>
  <sheetViews>
    <sheetView zoomScale="86" workbookViewId="0"/>
  </sheetViews>
  <pageMargins left="0.75" right="0.75" top="1" bottom="1" header="0.5" footer="0.5"/>
  <pageSetup orientation="landscape" verticalDpi="120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00FF00"/>
  </sheetPr>
  <sheetViews>
    <sheetView zoomScale="10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485775</xdr:colOff>
      <xdr:row>0</xdr:row>
      <xdr:rowOff>76200</xdr:rowOff>
    </xdr:from>
    <xdr:to>
      <xdr:col>9</xdr:col>
      <xdr:colOff>285750</xdr:colOff>
      <xdr:row>14</xdr:row>
      <xdr:rowOff>114300</xdr:rowOff>
    </xdr:to>
    <xdr:graphicFrame macro="">
      <xdr:nvGraphicFramePr>
        <xdr:cNvPr id="4342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564880" cy="5821680"/>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64880" cy="5821680"/>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64880" cy="5821680"/>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64880" cy="5821680"/>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600075</xdr:colOff>
      <xdr:row>18</xdr:row>
      <xdr:rowOff>180975</xdr:rowOff>
    </xdr:to>
    <xdr:graphicFrame macro="">
      <xdr:nvGraphicFramePr>
        <xdr:cNvPr id="10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180975</xdr:rowOff>
    </xdr:from>
    <xdr:to>
      <xdr:col>11</xdr:col>
      <xdr:colOff>0</xdr:colOff>
      <xdr:row>42</xdr:row>
      <xdr:rowOff>95250</xdr:rowOff>
    </xdr:to>
    <xdr:graphicFrame macro="">
      <xdr:nvGraphicFramePr>
        <xdr:cNvPr id="105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0" y="0"/>
    <xdr:ext cx="8568070" cy="5821326"/>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68070" cy="5821326"/>
    <xdr:graphicFrame macro="">
      <xdr:nvGraphicFramePr>
        <xdr:cNvPr id="2" name="Gra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6860" cy="629540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5.bin"/><Relationship Id="rId5" Type="http://schemas.openxmlformats.org/officeDocument/2006/relationships/oleObject" Target="../embeddings/oleObject4.bin"/><Relationship Id="rId4" Type="http://schemas.openxmlformats.org/officeDocument/2006/relationships/oleObject" Target="../embeddings/oleObject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O19"/>
  <sheetViews>
    <sheetView workbookViewId="0">
      <selection activeCell="C6" sqref="C6"/>
    </sheetView>
  </sheetViews>
  <sheetFormatPr defaultRowHeight="12.75"/>
  <sheetData>
    <row r="1" spans="1:15">
      <c r="H1" t="s">
        <v>61</v>
      </c>
      <c r="I1">
        <v>0</v>
      </c>
    </row>
    <row r="2" spans="1:15">
      <c r="H2" t="s">
        <v>62</v>
      </c>
      <c r="I2">
        <v>0</v>
      </c>
    </row>
    <row r="3" spans="1:15">
      <c r="A3" t="s">
        <v>63</v>
      </c>
      <c r="B3" t="s">
        <v>64</v>
      </c>
      <c r="C3" s="102" t="s">
        <v>211</v>
      </c>
      <c r="D3" t="s">
        <v>66</v>
      </c>
      <c r="E3" t="s">
        <v>67</v>
      </c>
      <c r="F3" t="s">
        <v>68</v>
      </c>
      <c r="G3" t="s">
        <v>69</v>
      </c>
      <c r="H3" t="s">
        <v>70</v>
      </c>
      <c r="I3" t="s">
        <v>71</v>
      </c>
      <c r="J3" t="s">
        <v>72</v>
      </c>
      <c r="K3" t="s">
        <v>73</v>
      </c>
    </row>
    <row r="4" spans="1:15">
      <c r="A4">
        <v>11</v>
      </c>
      <c r="B4">
        <v>1</v>
      </c>
      <c r="D4" s="1">
        <v>320</v>
      </c>
      <c r="E4">
        <f t="shared" ref="E4:E19" si="0">D4-319</f>
        <v>1</v>
      </c>
      <c r="F4" s="1">
        <f>C16</f>
        <v>6.6500000000000012</v>
      </c>
      <c r="G4" s="2"/>
      <c r="H4" s="2"/>
      <c r="I4" s="3">
        <f>(3/(E5-E4))*((F5-F4)/(E5-E4)-I$1)</f>
        <v>-2.3982075123359408E-2</v>
      </c>
      <c r="J4" s="4">
        <v>-0.25</v>
      </c>
      <c r="K4" s="5">
        <f t="shared" ref="K4:K19" si="1">J4*K5+I4</f>
        <v>-2.8750176842852856E-2</v>
      </c>
    </row>
    <row r="5" spans="1:15">
      <c r="A5">
        <v>12</v>
      </c>
      <c r="B5">
        <f t="shared" ref="B5:B19" si="2">B4+1</f>
        <v>2</v>
      </c>
      <c r="D5" s="1">
        <v>351</v>
      </c>
      <c r="E5">
        <f t="shared" si="0"/>
        <v>32</v>
      </c>
      <c r="F5" s="1">
        <f>C17</f>
        <v>-1.0322580645161292</v>
      </c>
      <c r="G5" s="2">
        <f t="shared" ref="G5:G19" si="3">(E5-E4)/(E6-E4)</f>
        <v>0.51666666666666672</v>
      </c>
      <c r="H5" s="2">
        <f t="shared" ref="H5:H19" si="4">G5*J4+2</f>
        <v>1.8708333333333333</v>
      </c>
      <c r="I5" s="5">
        <f t="shared" ref="I5:I18" si="5">(6*(((F6-F5)/(E6-E5))-((F5-F4)/(E5-E4)))/(E6-E4)-G5*I4)/H5</f>
        <v>1.6498107076050452E-2</v>
      </c>
      <c r="J5" s="6">
        <f t="shared" ref="J5:J18" si="6">(G5-1)/H5</f>
        <v>-0.25835189309576834</v>
      </c>
      <c r="K5" s="5">
        <f t="shared" si="1"/>
        <v>1.9072406877973791E-2</v>
      </c>
    </row>
    <row r="6" spans="1:15">
      <c r="A6" s="1">
        <v>1</v>
      </c>
      <c r="B6">
        <f t="shared" si="2"/>
        <v>3</v>
      </c>
      <c r="C6" s="7">
        <f>Climate!F11</f>
        <v>-2.8612903225806448</v>
      </c>
      <c r="D6" s="8">
        <f t="shared" ref="D6:D17" si="7">365+INT(30.5*A6-14.6)</f>
        <v>380</v>
      </c>
      <c r="E6">
        <f t="shared" si="0"/>
        <v>61</v>
      </c>
      <c r="F6">
        <f t="shared" ref="F6:F17" si="8">C6</f>
        <v>-2.8612903225806448</v>
      </c>
      <c r="G6" s="2">
        <f t="shared" si="3"/>
        <v>0.48333333333333334</v>
      </c>
      <c r="H6" s="2">
        <f t="shared" si="4"/>
        <v>1.8751299183370453</v>
      </c>
      <c r="I6" s="5">
        <f t="shared" si="5"/>
        <v>-3.8801675148365409E-3</v>
      </c>
      <c r="J6" s="6">
        <f t="shared" si="6"/>
        <v>-0.27553646369467094</v>
      </c>
      <c r="K6" s="5">
        <f t="shared" si="1"/>
        <v>-9.9643156126170574E-3</v>
      </c>
      <c r="L6" s="9"/>
      <c r="M6" s="9" t="s">
        <v>74</v>
      </c>
      <c r="N6" s="9"/>
      <c r="O6" s="9"/>
    </row>
    <row r="7" spans="1:15">
      <c r="A7" s="1">
        <v>2</v>
      </c>
      <c r="B7">
        <f t="shared" si="2"/>
        <v>4</v>
      </c>
      <c r="C7" s="7">
        <f>Climate!F12</f>
        <v>-4.5999999999999996</v>
      </c>
      <c r="D7" s="8">
        <f t="shared" si="7"/>
        <v>411</v>
      </c>
      <c r="E7">
        <f t="shared" si="0"/>
        <v>92</v>
      </c>
      <c r="F7">
        <f t="shared" si="8"/>
        <v>-4.5999999999999996</v>
      </c>
      <c r="G7" s="2">
        <f t="shared" si="3"/>
        <v>0.50819672131147542</v>
      </c>
      <c r="H7" s="2">
        <f t="shared" si="4"/>
        <v>1.8599732725486098</v>
      </c>
      <c r="I7" s="5">
        <f t="shared" si="5"/>
        <v>1.8298909919270447E-2</v>
      </c>
      <c r="J7" s="6">
        <f t="shared" si="6"/>
        <v>-0.26441416441142512</v>
      </c>
      <c r="K7" s="5">
        <f t="shared" si="1"/>
        <v>2.2081099598209687E-2</v>
      </c>
    </row>
    <row r="8" spans="1:15">
      <c r="A8" s="1">
        <v>3</v>
      </c>
      <c r="B8">
        <f t="shared" si="2"/>
        <v>5</v>
      </c>
      <c r="C8" s="7">
        <f>Climate!F13</f>
        <v>3.4967741935483869</v>
      </c>
      <c r="D8" s="8">
        <f t="shared" si="7"/>
        <v>441</v>
      </c>
      <c r="E8">
        <f t="shared" si="0"/>
        <v>122</v>
      </c>
      <c r="F8">
        <f t="shared" si="8"/>
        <v>3.4967741935483869</v>
      </c>
      <c r="G8" s="2">
        <f t="shared" si="3"/>
        <v>0.49180327868852458</v>
      </c>
      <c r="H8" s="2">
        <f t="shared" si="4"/>
        <v>1.8699602470107746</v>
      </c>
      <c r="I8" s="5">
        <f t="shared" si="5"/>
        <v>-1.3019625784188292E-2</v>
      </c>
      <c r="J8" s="6">
        <f t="shared" si="6"/>
        <v>-0.2717687299095547</v>
      </c>
      <c r="K8" s="5">
        <f t="shared" si="1"/>
        <v>-1.4304035819556932E-2</v>
      </c>
    </row>
    <row r="9" spans="1:15">
      <c r="A9" s="1">
        <v>4</v>
      </c>
      <c r="B9">
        <f t="shared" si="2"/>
        <v>6</v>
      </c>
      <c r="C9" s="7">
        <f>Climate!F14</f>
        <v>7.0266666666666682</v>
      </c>
      <c r="D9" s="8">
        <f t="shared" si="7"/>
        <v>472</v>
      </c>
      <c r="E9">
        <f t="shared" si="0"/>
        <v>153</v>
      </c>
      <c r="F9">
        <f t="shared" si="8"/>
        <v>7.0266666666666682</v>
      </c>
      <c r="G9" s="2">
        <f t="shared" si="3"/>
        <v>0.50819672131147542</v>
      </c>
      <c r="H9" s="2">
        <f t="shared" si="4"/>
        <v>1.8618880225049803</v>
      </c>
      <c r="I9" s="5">
        <f t="shared" si="5"/>
        <v>5.1201480684024536E-3</v>
      </c>
      <c r="J9" s="6">
        <f t="shared" si="6"/>
        <v>-0.26414224311237228</v>
      </c>
      <c r="K9" s="5">
        <f t="shared" si="1"/>
        <v>4.7261141331311199E-3</v>
      </c>
    </row>
    <row r="10" spans="1:15">
      <c r="A10" s="1">
        <v>5</v>
      </c>
      <c r="B10">
        <f t="shared" si="2"/>
        <v>7</v>
      </c>
      <c r="C10" s="7">
        <f>Climate!F15</f>
        <v>11.332258064516131</v>
      </c>
      <c r="D10" s="8">
        <f t="shared" si="7"/>
        <v>502</v>
      </c>
      <c r="E10">
        <f t="shared" si="0"/>
        <v>183</v>
      </c>
      <c r="F10">
        <f t="shared" si="8"/>
        <v>11.332258064516131</v>
      </c>
      <c r="G10" s="2">
        <f t="shared" si="3"/>
        <v>0.49180327868852458</v>
      </c>
      <c r="H10" s="2">
        <f t="shared" si="4"/>
        <v>1.870093978797194</v>
      </c>
      <c r="I10" s="5">
        <f t="shared" si="5"/>
        <v>-3.6747731810068232E-5</v>
      </c>
      <c r="J10" s="6">
        <f t="shared" si="6"/>
        <v>-0.27174929552916754</v>
      </c>
      <c r="K10" s="5">
        <f t="shared" si="1"/>
        <v>1.4917490312358057E-3</v>
      </c>
    </row>
    <row r="11" spans="1:15">
      <c r="A11" s="1">
        <v>6</v>
      </c>
      <c r="B11">
        <f t="shared" si="2"/>
        <v>8</v>
      </c>
      <c r="C11" s="7">
        <f>Climate!F16</f>
        <v>16.553333333333331</v>
      </c>
      <c r="D11" s="8">
        <f t="shared" si="7"/>
        <v>533</v>
      </c>
      <c r="E11">
        <f t="shared" si="0"/>
        <v>214</v>
      </c>
      <c r="F11">
        <f t="shared" si="8"/>
        <v>16.553333333333331</v>
      </c>
      <c r="G11" s="2">
        <f t="shared" si="3"/>
        <v>0.50819672131147542</v>
      </c>
      <c r="H11" s="2">
        <f t="shared" si="4"/>
        <v>1.8618978989933739</v>
      </c>
      <c r="I11" s="5">
        <f t="shared" si="5"/>
        <v>-5.4480621313291646E-3</v>
      </c>
      <c r="J11" s="6">
        <f t="shared" si="6"/>
        <v>-0.26414084196261012</v>
      </c>
      <c r="K11" s="5">
        <f t="shared" si="1"/>
        <v>-5.6246576833602737E-3</v>
      </c>
    </row>
    <row r="12" spans="1:15">
      <c r="A12" s="1">
        <v>7</v>
      </c>
      <c r="B12">
        <f t="shared" si="2"/>
        <v>9</v>
      </c>
      <c r="C12" s="7">
        <f>Climate!F17</f>
        <v>18.506451612903223</v>
      </c>
      <c r="D12" s="8">
        <f t="shared" si="7"/>
        <v>563</v>
      </c>
      <c r="E12">
        <f t="shared" si="0"/>
        <v>244</v>
      </c>
      <c r="F12">
        <f t="shared" si="8"/>
        <v>18.506451612903223</v>
      </c>
      <c r="G12" s="2">
        <f t="shared" si="3"/>
        <v>0.49180327868852458</v>
      </c>
      <c r="H12" s="2">
        <f t="shared" si="4"/>
        <v>1.870094667887241</v>
      </c>
      <c r="I12" s="5">
        <f t="shared" si="5"/>
        <v>-1.5208112650503464E-3</v>
      </c>
      <c r="J12" s="6">
        <f t="shared" si="6"/>
        <v>-0.27174919539534115</v>
      </c>
      <c r="K12" s="5">
        <f t="shared" si="1"/>
        <v>6.6856587083987079E-4</v>
      </c>
    </row>
    <row r="13" spans="1:15">
      <c r="A13" s="1">
        <v>8</v>
      </c>
      <c r="B13">
        <f t="shared" si="2"/>
        <v>10</v>
      </c>
      <c r="C13" s="7">
        <f>Climate!F18</f>
        <v>18.783870967741933</v>
      </c>
      <c r="D13" s="8">
        <f t="shared" si="7"/>
        <v>594</v>
      </c>
      <c r="E13">
        <f t="shared" si="0"/>
        <v>275</v>
      </c>
      <c r="F13">
        <f t="shared" si="8"/>
        <v>18.783870967741933</v>
      </c>
      <c r="G13" s="2">
        <f t="shared" si="3"/>
        <v>0.50819672131147542</v>
      </c>
      <c r="H13" s="2">
        <f t="shared" si="4"/>
        <v>1.8618979498810562</v>
      </c>
      <c r="I13" s="5">
        <f t="shared" si="5"/>
        <v>-7.5543378868379307E-3</v>
      </c>
      <c r="J13" s="6">
        <f t="shared" si="6"/>
        <v>-0.26414083474335559</v>
      </c>
      <c r="K13" s="5">
        <f t="shared" si="1"/>
        <v>-8.0566094508765992E-3</v>
      </c>
    </row>
    <row r="14" spans="1:15">
      <c r="A14" s="1">
        <v>9</v>
      </c>
      <c r="B14">
        <f t="shared" si="2"/>
        <v>11</v>
      </c>
      <c r="C14" s="7">
        <f>Climate!F19</f>
        <v>14.526666666666667</v>
      </c>
      <c r="D14" s="8">
        <f t="shared" si="7"/>
        <v>624</v>
      </c>
      <c r="E14">
        <f t="shared" si="0"/>
        <v>305</v>
      </c>
      <c r="F14">
        <f t="shared" si="8"/>
        <v>14.526666666666667</v>
      </c>
      <c r="G14" s="2">
        <f t="shared" si="3"/>
        <v>0.49180327868852458</v>
      </c>
      <c r="H14" s="2">
        <f t="shared" si="4"/>
        <v>1.870094671437694</v>
      </c>
      <c r="I14" s="5">
        <f t="shared" si="5"/>
        <v>2.503641249552786E-3</v>
      </c>
      <c r="J14" s="6">
        <f t="shared" si="6"/>
        <v>-0.2717491948794139</v>
      </c>
      <c r="K14" s="5">
        <f t="shared" si="1"/>
        <v>1.9015294039131992E-3</v>
      </c>
    </row>
    <row r="15" spans="1:15">
      <c r="A15" s="1">
        <v>10</v>
      </c>
      <c r="B15">
        <f t="shared" si="2"/>
        <v>12</v>
      </c>
      <c r="C15" s="7">
        <f>Climate!F20</f>
        <v>10.43225806451613</v>
      </c>
      <c r="D15" s="8">
        <f t="shared" si="7"/>
        <v>655</v>
      </c>
      <c r="E15">
        <f t="shared" si="0"/>
        <v>336</v>
      </c>
      <c r="F15">
        <f t="shared" si="8"/>
        <v>10.43225806451613</v>
      </c>
      <c r="G15" s="2">
        <f t="shared" si="3"/>
        <v>0.50819672131147542</v>
      </c>
      <c r="H15" s="2">
        <f t="shared" si="4"/>
        <v>1.8618979501432487</v>
      </c>
      <c r="I15" s="5">
        <f t="shared" si="5"/>
        <v>-3.662604159476828E-4</v>
      </c>
      <c r="J15" s="6">
        <f t="shared" si="6"/>
        <v>-0.26414083470615923</v>
      </c>
      <c r="K15" s="5">
        <f t="shared" si="1"/>
        <v>2.2156895291144028E-3</v>
      </c>
    </row>
    <row r="16" spans="1:15">
      <c r="A16" s="1">
        <v>11</v>
      </c>
      <c r="B16">
        <f t="shared" si="2"/>
        <v>13</v>
      </c>
      <c r="C16" s="7">
        <f>Climate!F21</f>
        <v>6.6500000000000012</v>
      </c>
      <c r="D16" s="8">
        <f t="shared" si="7"/>
        <v>685</v>
      </c>
      <c r="E16">
        <f t="shared" si="0"/>
        <v>366</v>
      </c>
      <c r="F16">
        <f t="shared" si="8"/>
        <v>6.6500000000000012</v>
      </c>
      <c r="G16" s="2">
        <f t="shared" si="3"/>
        <v>0.49180327868852458</v>
      </c>
      <c r="H16" s="2">
        <f t="shared" si="4"/>
        <v>1.8700946714559872</v>
      </c>
      <c r="I16" s="5">
        <f t="shared" si="5"/>
        <v>-6.3067661168759951E-3</v>
      </c>
      <c r="J16" s="6">
        <f t="shared" si="6"/>
        <v>-0.27174919487675564</v>
      </c>
      <c r="K16" s="5">
        <f t="shared" si="1"/>
        <v>-9.7748988638365949E-3</v>
      </c>
    </row>
    <row r="17" spans="1:15">
      <c r="A17" s="1">
        <v>12</v>
      </c>
      <c r="B17">
        <f t="shared" si="2"/>
        <v>14</v>
      </c>
      <c r="C17" s="7">
        <f>Climate!F22</f>
        <v>-1.0322580645161292</v>
      </c>
      <c r="D17" s="8">
        <f t="shared" si="7"/>
        <v>716</v>
      </c>
      <c r="E17">
        <f t="shared" si="0"/>
        <v>397</v>
      </c>
      <c r="F17">
        <f t="shared" si="8"/>
        <v>-1.0322580645161292</v>
      </c>
      <c r="G17" s="2">
        <f t="shared" si="3"/>
        <v>0.51666666666666672</v>
      </c>
      <c r="H17" s="2">
        <f t="shared" si="4"/>
        <v>1.8595962493136762</v>
      </c>
      <c r="I17" s="5">
        <f t="shared" si="5"/>
        <v>1.1686927028442673E-2</v>
      </c>
      <c r="J17" s="6">
        <f t="shared" si="6"/>
        <v>-0.25991305021814159</v>
      </c>
      <c r="K17" s="5">
        <f t="shared" si="1"/>
        <v>1.2762255831276614E-2</v>
      </c>
      <c r="L17" s="9"/>
      <c r="M17" s="9" t="s">
        <v>75</v>
      </c>
      <c r="N17" s="9"/>
      <c r="O17" s="9"/>
    </row>
    <row r="18" spans="1:15">
      <c r="A18">
        <v>1</v>
      </c>
      <c r="B18">
        <f t="shared" si="2"/>
        <v>15</v>
      </c>
      <c r="D18" s="8">
        <f>730+INT(30.5*A18-14.6)</f>
        <v>745</v>
      </c>
      <c r="E18">
        <f t="shared" si="0"/>
        <v>426</v>
      </c>
      <c r="F18" s="1">
        <f>C6</f>
        <v>-2.8612903225806448</v>
      </c>
      <c r="G18" s="2">
        <f t="shared" si="3"/>
        <v>0.48333333333333334</v>
      </c>
      <c r="H18" s="2">
        <f t="shared" si="4"/>
        <v>1.8743753590612315</v>
      </c>
      <c r="I18" s="5">
        <f t="shared" si="5"/>
        <v>-2.6411009308358541E-3</v>
      </c>
      <c r="J18" s="6">
        <f t="shared" si="6"/>
        <v>-0.2756473852310114</v>
      </c>
      <c r="K18" s="5">
        <f t="shared" si="1"/>
        <v>-4.1372636038530253E-3</v>
      </c>
      <c r="M18" s="3"/>
    </row>
    <row r="19" spans="1:15">
      <c r="A19">
        <v>2</v>
      </c>
      <c r="B19">
        <f t="shared" si="2"/>
        <v>16</v>
      </c>
      <c r="D19" s="8">
        <f>730+INT(30.5*A19-14.6)</f>
        <v>776</v>
      </c>
      <c r="E19">
        <f t="shared" si="0"/>
        <v>457</v>
      </c>
      <c r="F19" s="1">
        <f>C7</f>
        <v>-4.5999999999999996</v>
      </c>
      <c r="G19" s="2">
        <f t="shared" si="3"/>
        <v>-7.2769953051643188E-2</v>
      </c>
      <c r="H19" s="2">
        <f t="shared" si="4"/>
        <v>2.0200588472820691</v>
      </c>
      <c r="I19" s="3">
        <f>(3/(E19-E18))*(I$2-(F19-F18))/(E19-E18)</f>
        <v>5.4278137692591721E-3</v>
      </c>
      <c r="J19" s="4">
        <v>-0.25</v>
      </c>
      <c r="K19" s="5">
        <f t="shared" si="1"/>
        <v>5.4278137692591721E-3</v>
      </c>
    </row>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A1:T461"/>
  <sheetViews>
    <sheetView topLeftCell="A43" workbookViewId="0">
      <selection activeCell="N50" sqref="N50"/>
    </sheetView>
  </sheetViews>
  <sheetFormatPr defaultRowHeight="12.75"/>
  <cols>
    <col min="18" max="18" width="11.28515625" bestFit="1" customWidth="1"/>
  </cols>
  <sheetData>
    <row r="1" spans="1:17">
      <c r="N1" s="45"/>
    </row>
    <row r="2" spans="1:17">
      <c r="M2" t="s">
        <v>76</v>
      </c>
      <c r="N2" s="45" t="s">
        <v>77</v>
      </c>
      <c r="O2" t="s">
        <v>76</v>
      </c>
      <c r="P2" t="s">
        <v>77</v>
      </c>
    </row>
    <row r="3" spans="1:17">
      <c r="A3" t="s">
        <v>67</v>
      </c>
      <c r="B3" t="s">
        <v>78</v>
      </c>
      <c r="C3" t="s">
        <v>79</v>
      </c>
      <c r="D3" t="s">
        <v>80</v>
      </c>
      <c r="E3" t="s">
        <v>81</v>
      </c>
      <c r="F3" t="s">
        <v>82</v>
      </c>
      <c r="G3" t="s">
        <v>83</v>
      </c>
      <c r="H3" t="s">
        <v>84</v>
      </c>
      <c r="I3" t="s">
        <v>85</v>
      </c>
      <c r="J3" t="s">
        <v>86</v>
      </c>
      <c r="K3" t="s">
        <v>56</v>
      </c>
      <c r="L3" t="s">
        <v>87</v>
      </c>
      <c r="M3" s="102" t="s">
        <v>285</v>
      </c>
      <c r="N3" s="348" t="s">
        <v>285</v>
      </c>
      <c r="O3" s="102" t="s">
        <v>285</v>
      </c>
      <c r="P3" s="102" t="s">
        <v>285</v>
      </c>
      <c r="Q3" t="s">
        <v>77</v>
      </c>
    </row>
    <row r="4" spans="1:17">
      <c r="A4">
        <v>1</v>
      </c>
      <c r="B4">
        <v>1</v>
      </c>
      <c r="C4">
        <f t="shared" ref="C4:C67" si="0">E4-D4</f>
        <v>31</v>
      </c>
      <c r="D4">
        <v>1</v>
      </c>
      <c r="E4">
        <v>32</v>
      </c>
      <c r="F4">
        <f>KcSPLINE!F$4</f>
        <v>1.1917649599910223</v>
      </c>
      <c r="G4">
        <f>KcSPLINE!F$5</f>
        <v>1.2000000000000002</v>
      </c>
      <c r="H4" s="6">
        <f>KcSPLINE!K$4</f>
        <v>1.1718812659480435E-5</v>
      </c>
      <c r="I4" s="6">
        <f>KcSPLINE!K$5</f>
        <v>5.5955633969502616E-5</v>
      </c>
      <c r="J4">
        <f t="shared" ref="J4:J67" si="1">(E4-B4)/C4</f>
        <v>1</v>
      </c>
      <c r="K4">
        <f t="shared" ref="K4:K67" si="2">(B4-D4)/C4</f>
        <v>0</v>
      </c>
      <c r="L4">
        <f t="shared" ref="L4:L67" si="3">B4-46</f>
        <v>-45</v>
      </c>
      <c r="M4" s="6">
        <f t="shared" ref="M4:M67" si="4">J4*F4+K4*G4</f>
        <v>1.1917649599910223</v>
      </c>
      <c r="N4" s="6">
        <f t="shared" ref="N4:N49" si="5">M4+(((J4^3-J4)*H4+(K4^3-K4)*I4))*(C4^2)/6</f>
        <v>1.1917649599910223</v>
      </c>
      <c r="O4" s="6">
        <f>M4</f>
        <v>1.1917649599910223</v>
      </c>
      <c r="P4" s="6">
        <f>N4</f>
        <v>1.1917649599910223</v>
      </c>
      <c r="Q4" s="6">
        <f t="shared" ref="Q4:Q67" si="6">M4+(((J4^3-J4)*H4+(K4^3-K4)*I4))*(C4^2)/6</f>
        <v>1.1917649599910223</v>
      </c>
    </row>
    <row r="5" spans="1:17">
      <c r="B5">
        <f t="shared" ref="B5:B68" si="7">B4+1</f>
        <v>2</v>
      </c>
      <c r="C5">
        <f t="shared" si="0"/>
        <v>31</v>
      </c>
      <c r="D5">
        <v>1</v>
      </c>
      <c r="E5">
        <v>32</v>
      </c>
      <c r="F5">
        <f>KcSPLINE!F$4</f>
        <v>1.1917649599910223</v>
      </c>
      <c r="G5">
        <f>KcSPLINE!F$5</f>
        <v>1.2000000000000002</v>
      </c>
      <c r="H5" s="6">
        <f>KcSPLINE!K$4</f>
        <v>1.1718812659480435E-5</v>
      </c>
      <c r="I5" s="6">
        <f>KcSPLINE!K$5</f>
        <v>5.5955633969502616E-5</v>
      </c>
      <c r="J5">
        <f t="shared" si="1"/>
        <v>0.967741935483871</v>
      </c>
      <c r="K5">
        <f t="shared" si="2"/>
        <v>3.2258064516129031E-2</v>
      </c>
      <c r="L5">
        <f t="shared" si="3"/>
        <v>-44</v>
      </c>
      <c r="M5" s="6">
        <f t="shared" si="4"/>
        <v>1.1920306064429249</v>
      </c>
      <c r="N5" s="6">
        <f t="shared" si="5"/>
        <v>1.1916265051753037</v>
      </c>
      <c r="O5" s="6">
        <f t="shared" ref="O5:P20" si="8">O4+M5</f>
        <v>2.383795566433947</v>
      </c>
      <c r="P5" s="6">
        <f t="shared" si="8"/>
        <v>2.3833914651663259</v>
      </c>
      <c r="Q5" s="6">
        <f t="shared" si="6"/>
        <v>1.1916265051753037</v>
      </c>
    </row>
    <row r="6" spans="1:17">
      <c r="B6">
        <f t="shared" si="7"/>
        <v>3</v>
      </c>
      <c r="C6">
        <f t="shared" si="0"/>
        <v>31</v>
      </c>
      <c r="D6">
        <v>1</v>
      </c>
      <c r="E6">
        <v>32</v>
      </c>
      <c r="F6">
        <f>KcSPLINE!F$4</f>
        <v>1.1917649599910223</v>
      </c>
      <c r="G6">
        <f>KcSPLINE!F$5</f>
        <v>1.2000000000000002</v>
      </c>
      <c r="H6" s="6">
        <f>KcSPLINE!K$4</f>
        <v>1.1718812659480435E-5</v>
      </c>
      <c r="I6" s="6">
        <f>KcSPLINE!K$5</f>
        <v>5.5955633969502616E-5</v>
      </c>
      <c r="J6">
        <f t="shared" si="1"/>
        <v>0.93548387096774188</v>
      </c>
      <c r="K6">
        <f t="shared" si="2"/>
        <v>6.4516129032258063E-2</v>
      </c>
      <c r="L6">
        <f t="shared" si="3"/>
        <v>-43</v>
      </c>
      <c r="M6" s="6">
        <f t="shared" si="4"/>
        <v>1.1922962528948271</v>
      </c>
      <c r="N6" s="6">
        <f t="shared" si="5"/>
        <v>1.1915011961664796</v>
      </c>
      <c r="O6" s="6">
        <f t="shared" si="8"/>
        <v>3.5760918193287741</v>
      </c>
      <c r="P6" s="6">
        <f t="shared" si="8"/>
        <v>3.5748926613328056</v>
      </c>
      <c r="Q6" s="6">
        <f t="shared" si="6"/>
        <v>1.1915011961664796</v>
      </c>
    </row>
    <row r="7" spans="1:17">
      <c r="B7">
        <f t="shared" si="7"/>
        <v>4</v>
      </c>
      <c r="C7">
        <f t="shared" si="0"/>
        <v>31</v>
      </c>
      <c r="D7">
        <v>1</v>
      </c>
      <c r="E7">
        <v>32</v>
      </c>
      <c r="F7">
        <f>KcSPLINE!F$4</f>
        <v>1.1917649599910223</v>
      </c>
      <c r="G7">
        <f>KcSPLINE!F$5</f>
        <v>1.2000000000000002</v>
      </c>
      <c r="H7" s="6">
        <f>KcSPLINE!K$4</f>
        <v>1.1718812659480435E-5</v>
      </c>
      <c r="I7" s="6">
        <f>KcSPLINE!K$5</f>
        <v>5.5955633969502616E-5</v>
      </c>
      <c r="J7">
        <f t="shared" si="1"/>
        <v>0.90322580645161288</v>
      </c>
      <c r="K7">
        <f t="shared" si="2"/>
        <v>9.6774193548387094E-2</v>
      </c>
      <c r="L7">
        <f t="shared" si="3"/>
        <v>-42</v>
      </c>
      <c r="M7" s="6">
        <f t="shared" si="4"/>
        <v>1.1925618993467297</v>
      </c>
      <c r="N7" s="6">
        <f t="shared" si="5"/>
        <v>1.1913904599587875</v>
      </c>
      <c r="O7" s="6">
        <f t="shared" si="8"/>
        <v>4.7686537186755036</v>
      </c>
      <c r="P7" s="6">
        <f t="shared" si="8"/>
        <v>4.7662831212915933</v>
      </c>
      <c r="Q7" s="6">
        <f t="shared" si="6"/>
        <v>1.1913904599587875</v>
      </c>
    </row>
    <row r="8" spans="1:17">
      <c r="B8">
        <f t="shared" si="7"/>
        <v>5</v>
      </c>
      <c r="C8">
        <f t="shared" si="0"/>
        <v>31</v>
      </c>
      <c r="D8">
        <v>1</v>
      </c>
      <c r="E8">
        <v>32</v>
      </c>
      <c r="F8">
        <f>KcSPLINE!F$4</f>
        <v>1.1917649599910223</v>
      </c>
      <c r="G8">
        <f>KcSPLINE!F$5</f>
        <v>1.2000000000000002</v>
      </c>
      <c r="H8" s="6">
        <f>KcSPLINE!K$4</f>
        <v>1.1718812659480435E-5</v>
      </c>
      <c r="I8" s="6">
        <f>KcSPLINE!K$5</f>
        <v>5.5955633969502616E-5</v>
      </c>
      <c r="J8">
        <f t="shared" si="1"/>
        <v>0.87096774193548387</v>
      </c>
      <c r="K8">
        <f t="shared" si="2"/>
        <v>0.12903225806451613</v>
      </c>
      <c r="L8">
        <f t="shared" si="3"/>
        <v>-41</v>
      </c>
      <c r="M8" s="6">
        <f t="shared" si="4"/>
        <v>1.1928275457986324</v>
      </c>
      <c r="N8" s="6">
        <f t="shared" si="5"/>
        <v>1.1912957235464618</v>
      </c>
      <c r="O8" s="6">
        <f t="shared" si="8"/>
        <v>5.961481264474136</v>
      </c>
      <c r="P8" s="6">
        <f t="shared" si="8"/>
        <v>5.9575788448380553</v>
      </c>
      <c r="Q8" s="6">
        <f t="shared" si="6"/>
        <v>1.1912957235464618</v>
      </c>
    </row>
    <row r="9" spans="1:17">
      <c r="B9">
        <f t="shared" si="7"/>
        <v>6</v>
      </c>
      <c r="C9">
        <f t="shared" si="0"/>
        <v>31</v>
      </c>
      <c r="D9">
        <v>1</v>
      </c>
      <c r="E9">
        <v>32</v>
      </c>
      <c r="F9">
        <f>KcSPLINE!F$4</f>
        <v>1.1917649599910223</v>
      </c>
      <c r="G9">
        <f>KcSPLINE!F$5</f>
        <v>1.2000000000000002</v>
      </c>
      <c r="H9" s="6">
        <f>KcSPLINE!K$4</f>
        <v>1.1718812659480435E-5</v>
      </c>
      <c r="I9" s="6">
        <f>KcSPLINE!K$5</f>
        <v>5.5955633969502616E-5</v>
      </c>
      <c r="J9">
        <f t="shared" si="1"/>
        <v>0.83870967741935487</v>
      </c>
      <c r="K9">
        <f t="shared" si="2"/>
        <v>0.16129032258064516</v>
      </c>
      <c r="L9">
        <f t="shared" si="3"/>
        <v>-40</v>
      </c>
      <c r="M9" s="6">
        <f t="shared" si="4"/>
        <v>1.1930931922505348</v>
      </c>
      <c r="N9" s="6">
        <f t="shared" si="5"/>
        <v>1.191218413923739</v>
      </c>
      <c r="O9" s="6">
        <f t="shared" si="8"/>
        <v>7.1545744567246707</v>
      </c>
      <c r="P9" s="6">
        <f t="shared" si="8"/>
        <v>7.1487972587617943</v>
      </c>
      <c r="Q9" s="6">
        <f t="shared" si="6"/>
        <v>1.191218413923739</v>
      </c>
    </row>
    <row r="10" spans="1:17">
      <c r="B10">
        <f t="shared" si="7"/>
        <v>7</v>
      </c>
      <c r="C10">
        <f t="shared" si="0"/>
        <v>31</v>
      </c>
      <c r="D10">
        <v>1</v>
      </c>
      <c r="E10">
        <v>32</v>
      </c>
      <c r="F10">
        <f>KcSPLINE!F$4</f>
        <v>1.1917649599910223</v>
      </c>
      <c r="G10">
        <f>KcSPLINE!F$5</f>
        <v>1.2000000000000002</v>
      </c>
      <c r="H10" s="6">
        <f>KcSPLINE!K$4</f>
        <v>1.1718812659480435E-5</v>
      </c>
      <c r="I10" s="6">
        <f>KcSPLINE!K$5</f>
        <v>5.5955633969502616E-5</v>
      </c>
      <c r="J10">
        <f t="shared" si="1"/>
        <v>0.80645161290322576</v>
      </c>
      <c r="K10">
        <f t="shared" si="2"/>
        <v>0.19354838709677419</v>
      </c>
      <c r="L10">
        <f t="shared" si="3"/>
        <v>-39</v>
      </c>
      <c r="M10" s="6">
        <f t="shared" si="4"/>
        <v>1.1933588387024372</v>
      </c>
      <c r="N10" s="6">
        <f t="shared" si="5"/>
        <v>1.1911599580848546</v>
      </c>
      <c r="O10" s="6">
        <f t="shared" si="8"/>
        <v>8.3479332954271079</v>
      </c>
      <c r="P10" s="6">
        <f t="shared" si="8"/>
        <v>8.3399572168466491</v>
      </c>
      <c r="Q10" s="6">
        <f t="shared" si="6"/>
        <v>1.1911599580848546</v>
      </c>
    </row>
    <row r="11" spans="1:17">
      <c r="B11">
        <f t="shared" si="7"/>
        <v>8</v>
      </c>
      <c r="C11">
        <f t="shared" si="0"/>
        <v>31</v>
      </c>
      <c r="D11">
        <v>1</v>
      </c>
      <c r="E11">
        <v>32</v>
      </c>
      <c r="F11">
        <f>KcSPLINE!F$4</f>
        <v>1.1917649599910223</v>
      </c>
      <c r="G11">
        <f>KcSPLINE!F$5</f>
        <v>1.2000000000000002</v>
      </c>
      <c r="H11" s="6">
        <f>KcSPLINE!K$4</f>
        <v>1.1718812659480435E-5</v>
      </c>
      <c r="I11" s="6">
        <f>KcSPLINE!K$5</f>
        <v>5.5955633969502616E-5</v>
      </c>
      <c r="J11">
        <f t="shared" si="1"/>
        <v>0.77419354838709675</v>
      </c>
      <c r="K11">
        <f t="shared" si="2"/>
        <v>0.22580645161290322</v>
      </c>
      <c r="L11">
        <f t="shared" si="3"/>
        <v>-38</v>
      </c>
      <c r="M11" s="6">
        <f t="shared" si="4"/>
        <v>1.1936244851543398</v>
      </c>
      <c r="N11" s="6">
        <f t="shared" si="5"/>
        <v>1.1911217830240446</v>
      </c>
      <c r="O11" s="6">
        <f t="shared" si="8"/>
        <v>9.5415577805814475</v>
      </c>
      <c r="P11" s="6">
        <f t="shared" si="8"/>
        <v>9.5310789998706937</v>
      </c>
      <c r="Q11" s="6">
        <f t="shared" si="6"/>
        <v>1.1911217830240446</v>
      </c>
    </row>
    <row r="12" spans="1:17">
      <c r="B12">
        <f t="shared" si="7"/>
        <v>9</v>
      </c>
      <c r="C12">
        <f t="shared" si="0"/>
        <v>31</v>
      </c>
      <c r="D12">
        <v>1</v>
      </c>
      <c r="E12">
        <v>32</v>
      </c>
      <c r="F12">
        <f>KcSPLINE!F$4</f>
        <v>1.1917649599910223</v>
      </c>
      <c r="G12">
        <f>KcSPLINE!F$5</f>
        <v>1.2000000000000002</v>
      </c>
      <c r="H12" s="6">
        <f>KcSPLINE!K$4</f>
        <v>1.1718812659480435E-5</v>
      </c>
      <c r="I12" s="6">
        <f>KcSPLINE!K$5</f>
        <v>5.5955633969502616E-5</v>
      </c>
      <c r="J12">
        <f t="shared" si="1"/>
        <v>0.74193548387096775</v>
      </c>
      <c r="K12">
        <f t="shared" si="2"/>
        <v>0.25806451612903225</v>
      </c>
      <c r="L12">
        <f t="shared" si="3"/>
        <v>-37</v>
      </c>
      <c r="M12" s="6">
        <f t="shared" si="4"/>
        <v>1.1938901316062425</v>
      </c>
      <c r="N12" s="6">
        <f t="shared" si="5"/>
        <v>1.1911053157355449</v>
      </c>
      <c r="O12" s="6">
        <f t="shared" si="8"/>
        <v>10.73544791218769</v>
      </c>
      <c r="P12" s="6">
        <f t="shared" si="8"/>
        <v>10.722184315606238</v>
      </c>
      <c r="Q12" s="6">
        <f t="shared" si="6"/>
        <v>1.1911053157355449</v>
      </c>
    </row>
    <row r="13" spans="1:17">
      <c r="B13">
        <f t="shared" si="7"/>
        <v>10</v>
      </c>
      <c r="C13">
        <f t="shared" si="0"/>
        <v>31</v>
      </c>
      <c r="D13">
        <v>1</v>
      </c>
      <c r="E13">
        <v>32</v>
      </c>
      <c r="F13">
        <f>KcSPLINE!F$4</f>
        <v>1.1917649599910223</v>
      </c>
      <c r="G13">
        <f>KcSPLINE!F$5</f>
        <v>1.2000000000000002</v>
      </c>
      <c r="H13" s="6">
        <f>KcSPLINE!K$4</f>
        <v>1.1718812659480435E-5</v>
      </c>
      <c r="I13" s="6">
        <f>KcSPLINE!K$5</f>
        <v>5.5955633969502616E-5</v>
      </c>
      <c r="J13">
        <f t="shared" si="1"/>
        <v>0.70967741935483875</v>
      </c>
      <c r="K13">
        <f t="shared" si="2"/>
        <v>0.29032258064516131</v>
      </c>
      <c r="L13">
        <f t="shared" si="3"/>
        <v>-36</v>
      </c>
      <c r="M13" s="6">
        <f t="shared" si="4"/>
        <v>1.1941557780581449</v>
      </c>
      <c r="N13" s="6">
        <f t="shared" si="5"/>
        <v>1.1911119832135908</v>
      </c>
      <c r="O13" s="6">
        <f t="shared" si="8"/>
        <v>11.929603690245834</v>
      </c>
      <c r="P13" s="6">
        <f t="shared" si="8"/>
        <v>11.91329629881983</v>
      </c>
      <c r="Q13" s="6">
        <f t="shared" si="6"/>
        <v>1.1911119832135908</v>
      </c>
    </row>
    <row r="14" spans="1:17">
      <c r="B14">
        <f t="shared" si="7"/>
        <v>11</v>
      </c>
      <c r="C14">
        <f t="shared" si="0"/>
        <v>31</v>
      </c>
      <c r="D14">
        <v>1</v>
      </c>
      <c r="E14">
        <v>32</v>
      </c>
      <c r="F14">
        <f>KcSPLINE!F$4</f>
        <v>1.1917649599910223</v>
      </c>
      <c r="G14">
        <f>KcSPLINE!F$5</f>
        <v>1.2000000000000002</v>
      </c>
      <c r="H14" s="6">
        <f>KcSPLINE!K$4</f>
        <v>1.1718812659480435E-5</v>
      </c>
      <c r="I14" s="6">
        <f>KcSPLINE!K$5</f>
        <v>5.5955633969502616E-5</v>
      </c>
      <c r="J14">
        <f t="shared" si="1"/>
        <v>0.67741935483870963</v>
      </c>
      <c r="K14">
        <f t="shared" si="2"/>
        <v>0.32258064516129031</v>
      </c>
      <c r="L14">
        <f t="shared" si="3"/>
        <v>-35</v>
      </c>
      <c r="M14" s="6">
        <f t="shared" si="4"/>
        <v>1.1944214245100473</v>
      </c>
      <c r="N14" s="6">
        <f t="shared" si="5"/>
        <v>1.1911432124524186</v>
      </c>
      <c r="O14" s="6">
        <f t="shared" si="8"/>
        <v>13.124025114755881</v>
      </c>
      <c r="P14" s="6">
        <f t="shared" si="8"/>
        <v>13.104439511272249</v>
      </c>
      <c r="Q14" s="6">
        <f t="shared" si="6"/>
        <v>1.1911432124524186</v>
      </c>
    </row>
    <row r="15" spans="1:17">
      <c r="B15">
        <f t="shared" si="7"/>
        <v>12</v>
      </c>
      <c r="C15">
        <f t="shared" si="0"/>
        <v>31</v>
      </c>
      <c r="D15">
        <v>1</v>
      </c>
      <c r="E15">
        <v>32</v>
      </c>
      <c r="F15">
        <f>KcSPLINE!F$4</f>
        <v>1.1917649599910223</v>
      </c>
      <c r="G15">
        <f>KcSPLINE!F$5</f>
        <v>1.2000000000000002</v>
      </c>
      <c r="H15" s="6">
        <f>KcSPLINE!K$4</f>
        <v>1.1718812659480435E-5</v>
      </c>
      <c r="I15" s="6">
        <f>KcSPLINE!K$5</f>
        <v>5.5955633969502616E-5</v>
      </c>
      <c r="J15">
        <f t="shared" si="1"/>
        <v>0.64516129032258063</v>
      </c>
      <c r="K15">
        <f t="shared" si="2"/>
        <v>0.35483870967741937</v>
      </c>
      <c r="L15">
        <f t="shared" si="3"/>
        <v>-34</v>
      </c>
      <c r="M15" s="6">
        <f t="shared" si="4"/>
        <v>1.1946870709619499</v>
      </c>
      <c r="N15" s="6">
        <f t="shared" si="5"/>
        <v>1.191200430446264</v>
      </c>
      <c r="O15" s="6">
        <f t="shared" si="8"/>
        <v>14.31871218571783</v>
      </c>
      <c r="P15" s="6">
        <f t="shared" si="8"/>
        <v>14.295639941718512</v>
      </c>
      <c r="Q15" s="6">
        <f t="shared" si="6"/>
        <v>1.191200430446264</v>
      </c>
    </row>
    <row r="16" spans="1:17">
      <c r="B16">
        <f t="shared" si="7"/>
        <v>13</v>
      </c>
      <c r="C16">
        <f t="shared" si="0"/>
        <v>31</v>
      </c>
      <c r="D16">
        <v>1</v>
      </c>
      <c r="E16">
        <v>32</v>
      </c>
      <c r="F16">
        <f>KcSPLINE!F$4</f>
        <v>1.1917649599910223</v>
      </c>
      <c r="G16">
        <f>KcSPLINE!F$5</f>
        <v>1.2000000000000002</v>
      </c>
      <c r="H16" s="6">
        <f>KcSPLINE!K$4</f>
        <v>1.1718812659480435E-5</v>
      </c>
      <c r="I16" s="6">
        <f>KcSPLINE!K$5</f>
        <v>5.5955633969502616E-5</v>
      </c>
      <c r="J16">
        <f t="shared" si="1"/>
        <v>0.61290322580645162</v>
      </c>
      <c r="K16">
        <f t="shared" si="2"/>
        <v>0.38709677419354838</v>
      </c>
      <c r="L16">
        <f t="shared" si="3"/>
        <v>-33</v>
      </c>
      <c r="M16" s="6">
        <f t="shared" si="4"/>
        <v>1.1949527174138526</v>
      </c>
      <c r="N16" s="6">
        <f t="shared" si="5"/>
        <v>1.1912850641893629</v>
      </c>
      <c r="O16" s="6">
        <f t="shared" si="8"/>
        <v>15.513664903131684</v>
      </c>
      <c r="P16" s="6">
        <f t="shared" si="8"/>
        <v>15.486925005907874</v>
      </c>
      <c r="Q16" s="6">
        <f t="shared" si="6"/>
        <v>1.1912850641893629</v>
      </c>
    </row>
    <row r="17" spans="2:17">
      <c r="B17">
        <f t="shared" si="7"/>
        <v>14</v>
      </c>
      <c r="C17">
        <f t="shared" si="0"/>
        <v>31</v>
      </c>
      <c r="D17">
        <v>1</v>
      </c>
      <c r="E17">
        <v>32</v>
      </c>
      <c r="F17">
        <f>KcSPLINE!F$4</f>
        <v>1.1917649599910223</v>
      </c>
      <c r="G17">
        <f>KcSPLINE!F$5</f>
        <v>1.2000000000000002</v>
      </c>
      <c r="H17" s="6">
        <f>KcSPLINE!K$4</f>
        <v>1.1718812659480435E-5</v>
      </c>
      <c r="I17" s="6">
        <f>KcSPLINE!K$5</f>
        <v>5.5955633969502616E-5</v>
      </c>
      <c r="J17">
        <f t="shared" si="1"/>
        <v>0.58064516129032262</v>
      </c>
      <c r="K17">
        <f t="shared" si="2"/>
        <v>0.41935483870967744</v>
      </c>
      <c r="L17">
        <f t="shared" si="3"/>
        <v>-32</v>
      </c>
      <c r="M17" s="6">
        <f t="shared" si="4"/>
        <v>1.195218363865755</v>
      </c>
      <c r="N17" s="6">
        <f t="shared" si="5"/>
        <v>1.1913985406759506</v>
      </c>
      <c r="O17" s="6">
        <f t="shared" si="8"/>
        <v>16.708883266997439</v>
      </c>
      <c r="P17" s="6">
        <f t="shared" si="8"/>
        <v>16.678323546583826</v>
      </c>
      <c r="Q17" s="6">
        <f t="shared" si="6"/>
        <v>1.1913985406759506</v>
      </c>
    </row>
    <row r="18" spans="2:17">
      <c r="B18">
        <f t="shared" si="7"/>
        <v>15</v>
      </c>
      <c r="C18">
        <f t="shared" si="0"/>
        <v>31</v>
      </c>
      <c r="D18">
        <v>1</v>
      </c>
      <c r="E18">
        <v>32</v>
      </c>
      <c r="F18">
        <f>KcSPLINE!F$4</f>
        <v>1.1917649599910223</v>
      </c>
      <c r="G18">
        <f>KcSPLINE!F$5</f>
        <v>1.2000000000000002</v>
      </c>
      <c r="H18" s="6">
        <f>KcSPLINE!K$4</f>
        <v>1.1718812659480435E-5</v>
      </c>
      <c r="I18" s="6">
        <f>KcSPLINE!K$5</f>
        <v>5.5955633969502616E-5</v>
      </c>
      <c r="J18">
        <f t="shared" si="1"/>
        <v>0.54838709677419351</v>
      </c>
      <c r="K18">
        <f t="shared" si="2"/>
        <v>0.45161290322580644</v>
      </c>
      <c r="L18">
        <f t="shared" si="3"/>
        <v>-31</v>
      </c>
      <c r="M18" s="6">
        <f t="shared" si="4"/>
        <v>1.1954840103176574</v>
      </c>
      <c r="N18" s="6">
        <f t="shared" si="5"/>
        <v>1.1915422869002634</v>
      </c>
      <c r="O18" s="6">
        <f t="shared" si="8"/>
        <v>17.904367277315096</v>
      </c>
      <c r="P18" s="6">
        <f t="shared" si="8"/>
        <v>17.869865833484088</v>
      </c>
      <c r="Q18" s="6">
        <f t="shared" si="6"/>
        <v>1.1915422869002634</v>
      </c>
    </row>
    <row r="19" spans="2:17">
      <c r="B19">
        <f t="shared" si="7"/>
        <v>16</v>
      </c>
      <c r="C19">
        <f t="shared" si="0"/>
        <v>31</v>
      </c>
      <c r="D19">
        <v>1</v>
      </c>
      <c r="E19">
        <v>32</v>
      </c>
      <c r="F19">
        <f>KcSPLINE!F$4</f>
        <v>1.1917649599910223</v>
      </c>
      <c r="G19">
        <f>KcSPLINE!F$5</f>
        <v>1.2000000000000002</v>
      </c>
      <c r="H19" s="6">
        <f>KcSPLINE!K$4</f>
        <v>1.1718812659480435E-5</v>
      </c>
      <c r="I19" s="6">
        <f>KcSPLINE!K$5</f>
        <v>5.5955633969502616E-5</v>
      </c>
      <c r="J19">
        <f t="shared" si="1"/>
        <v>0.5161290322580645</v>
      </c>
      <c r="K19">
        <f t="shared" si="2"/>
        <v>0.4838709677419355</v>
      </c>
      <c r="L19">
        <f t="shared" si="3"/>
        <v>-30</v>
      </c>
      <c r="M19" s="6">
        <f t="shared" si="4"/>
        <v>1.19574965676956</v>
      </c>
      <c r="N19" s="6">
        <f t="shared" si="5"/>
        <v>1.1917177298565371</v>
      </c>
      <c r="O19" s="6">
        <f t="shared" si="8"/>
        <v>19.100116934084657</v>
      </c>
      <c r="P19" s="6">
        <f t="shared" si="8"/>
        <v>19.061583563340626</v>
      </c>
      <c r="Q19" s="6">
        <f t="shared" si="6"/>
        <v>1.1917177298565371</v>
      </c>
    </row>
    <row r="20" spans="2:17">
      <c r="B20">
        <f t="shared" si="7"/>
        <v>17</v>
      </c>
      <c r="C20">
        <f t="shared" si="0"/>
        <v>31</v>
      </c>
      <c r="D20">
        <v>1</v>
      </c>
      <c r="E20">
        <v>32</v>
      </c>
      <c r="F20">
        <f>KcSPLINE!F$4</f>
        <v>1.1917649599910223</v>
      </c>
      <c r="G20">
        <f>KcSPLINE!F$5</f>
        <v>1.2000000000000002</v>
      </c>
      <c r="H20" s="6">
        <f>KcSPLINE!K$4</f>
        <v>1.1718812659480435E-5</v>
      </c>
      <c r="I20" s="6">
        <f>KcSPLINE!K$5</f>
        <v>5.5955633969502616E-5</v>
      </c>
      <c r="J20">
        <f t="shared" si="1"/>
        <v>0.4838709677419355</v>
      </c>
      <c r="K20">
        <f t="shared" si="2"/>
        <v>0.5161290322580645</v>
      </c>
      <c r="L20">
        <f t="shared" si="3"/>
        <v>-29</v>
      </c>
      <c r="M20" s="6">
        <f t="shared" si="4"/>
        <v>1.1960153032214624</v>
      </c>
      <c r="N20" s="6">
        <f t="shared" si="5"/>
        <v>1.1919262965390074</v>
      </c>
      <c r="O20" s="6">
        <f t="shared" si="8"/>
        <v>20.296132237306118</v>
      </c>
      <c r="P20" s="6">
        <f t="shared" si="8"/>
        <v>20.253509859879635</v>
      </c>
      <c r="Q20" s="6">
        <f t="shared" si="6"/>
        <v>1.1919262965390074</v>
      </c>
    </row>
    <row r="21" spans="2:17">
      <c r="B21">
        <f t="shared" si="7"/>
        <v>18</v>
      </c>
      <c r="C21">
        <f t="shared" si="0"/>
        <v>31</v>
      </c>
      <c r="D21">
        <v>1</v>
      </c>
      <c r="E21">
        <v>32</v>
      </c>
      <c r="F21">
        <f>KcSPLINE!F$4</f>
        <v>1.1917649599910223</v>
      </c>
      <c r="G21">
        <f>KcSPLINE!F$5</f>
        <v>1.2000000000000002</v>
      </c>
      <c r="H21" s="6">
        <f>KcSPLINE!K$4</f>
        <v>1.1718812659480435E-5</v>
      </c>
      <c r="I21" s="6">
        <f>KcSPLINE!K$5</f>
        <v>5.5955633969502616E-5</v>
      </c>
      <c r="J21">
        <f t="shared" si="1"/>
        <v>0.45161290322580644</v>
      </c>
      <c r="K21">
        <f t="shared" si="2"/>
        <v>0.54838709677419351</v>
      </c>
      <c r="L21">
        <f t="shared" si="3"/>
        <v>-28</v>
      </c>
      <c r="M21" s="6">
        <f t="shared" si="4"/>
        <v>1.1962809496733648</v>
      </c>
      <c r="N21" s="6">
        <f t="shared" si="5"/>
        <v>1.1921694139419099</v>
      </c>
      <c r="O21" s="6">
        <f t="shared" ref="O21:P36" si="9">O20+M21</f>
        <v>21.492413186979483</v>
      </c>
      <c r="P21" s="6">
        <f t="shared" si="9"/>
        <v>21.445679273821547</v>
      </c>
      <c r="Q21" s="6">
        <f t="shared" si="6"/>
        <v>1.1921694139419099</v>
      </c>
    </row>
    <row r="22" spans="2:17">
      <c r="B22">
        <f t="shared" si="7"/>
        <v>19</v>
      </c>
      <c r="C22">
        <f t="shared" si="0"/>
        <v>31</v>
      </c>
      <c r="D22">
        <v>1</v>
      </c>
      <c r="E22">
        <v>32</v>
      </c>
      <c r="F22">
        <f>KcSPLINE!F$4</f>
        <v>1.1917649599910223</v>
      </c>
      <c r="G22">
        <f>KcSPLINE!F$5</f>
        <v>1.2000000000000002</v>
      </c>
      <c r="H22" s="6">
        <f>KcSPLINE!K$4</f>
        <v>1.1718812659480435E-5</v>
      </c>
      <c r="I22" s="6">
        <f>KcSPLINE!K$5</f>
        <v>5.5955633969502616E-5</v>
      </c>
      <c r="J22">
        <f t="shared" si="1"/>
        <v>0.41935483870967744</v>
      </c>
      <c r="K22">
        <f t="shared" si="2"/>
        <v>0.58064516129032262</v>
      </c>
      <c r="L22">
        <f t="shared" si="3"/>
        <v>-27</v>
      </c>
      <c r="M22" s="6">
        <f t="shared" si="4"/>
        <v>1.1965465961252675</v>
      </c>
      <c r="N22" s="6">
        <f t="shared" si="5"/>
        <v>1.1924485090594807</v>
      </c>
      <c r="O22" s="6">
        <f t="shared" si="9"/>
        <v>22.68895978310475</v>
      </c>
      <c r="P22" s="6">
        <f t="shared" si="9"/>
        <v>22.638127782881028</v>
      </c>
      <c r="Q22" s="6">
        <f t="shared" si="6"/>
        <v>1.1924485090594807</v>
      </c>
    </row>
    <row r="23" spans="2:17">
      <c r="B23">
        <f t="shared" si="7"/>
        <v>20</v>
      </c>
      <c r="C23">
        <f t="shared" si="0"/>
        <v>31</v>
      </c>
      <c r="D23">
        <v>1</v>
      </c>
      <c r="E23">
        <v>32</v>
      </c>
      <c r="F23">
        <f>KcSPLINE!F$4</f>
        <v>1.1917649599910223</v>
      </c>
      <c r="G23">
        <f>KcSPLINE!F$5</f>
        <v>1.2000000000000002</v>
      </c>
      <c r="H23" s="6">
        <f>KcSPLINE!K$4</f>
        <v>1.1718812659480435E-5</v>
      </c>
      <c r="I23" s="6">
        <f>KcSPLINE!K$5</f>
        <v>5.5955633969502616E-5</v>
      </c>
      <c r="J23">
        <f t="shared" si="1"/>
        <v>0.38709677419354838</v>
      </c>
      <c r="K23">
        <f t="shared" si="2"/>
        <v>0.61290322580645162</v>
      </c>
      <c r="L23">
        <f t="shared" si="3"/>
        <v>-26</v>
      </c>
      <c r="M23" s="6">
        <f t="shared" si="4"/>
        <v>1.1968122425771699</v>
      </c>
      <c r="N23" s="6">
        <f t="shared" si="5"/>
        <v>1.1927650088859556</v>
      </c>
      <c r="O23" s="6">
        <f t="shared" si="9"/>
        <v>23.88577202568192</v>
      </c>
      <c r="P23" s="6">
        <f t="shared" si="9"/>
        <v>23.830892791766985</v>
      </c>
      <c r="Q23" s="6">
        <f t="shared" si="6"/>
        <v>1.1927650088859556</v>
      </c>
    </row>
    <row r="24" spans="2:17">
      <c r="B24">
        <f t="shared" si="7"/>
        <v>21</v>
      </c>
      <c r="C24">
        <f t="shared" si="0"/>
        <v>31</v>
      </c>
      <c r="D24">
        <v>1</v>
      </c>
      <c r="E24">
        <v>32</v>
      </c>
      <c r="F24">
        <f>KcSPLINE!F$4</f>
        <v>1.1917649599910223</v>
      </c>
      <c r="G24">
        <f>KcSPLINE!F$5</f>
        <v>1.2000000000000002</v>
      </c>
      <c r="H24" s="6">
        <f>KcSPLINE!K$4</f>
        <v>1.1718812659480435E-5</v>
      </c>
      <c r="I24" s="6">
        <f>KcSPLINE!K$5</f>
        <v>5.5955633969502616E-5</v>
      </c>
      <c r="J24">
        <f t="shared" si="1"/>
        <v>0.35483870967741937</v>
      </c>
      <c r="K24">
        <f t="shared" si="2"/>
        <v>0.64516129032258063</v>
      </c>
      <c r="L24">
        <f t="shared" si="3"/>
        <v>-25</v>
      </c>
      <c r="M24" s="6">
        <f t="shared" si="4"/>
        <v>1.1970778890290725</v>
      </c>
      <c r="N24" s="6">
        <f t="shared" si="5"/>
        <v>1.1931203404155704</v>
      </c>
      <c r="O24" s="6">
        <f t="shared" si="9"/>
        <v>25.082849914710991</v>
      </c>
      <c r="P24" s="6">
        <f t="shared" si="9"/>
        <v>25.024013132182557</v>
      </c>
      <c r="Q24" s="6">
        <f t="shared" si="6"/>
        <v>1.1931203404155704</v>
      </c>
    </row>
    <row r="25" spans="2:17">
      <c r="B25">
        <f t="shared" si="7"/>
        <v>22</v>
      </c>
      <c r="C25">
        <f t="shared" si="0"/>
        <v>31</v>
      </c>
      <c r="D25">
        <v>1</v>
      </c>
      <c r="E25">
        <v>32</v>
      </c>
      <c r="F25">
        <f>KcSPLINE!F$4</f>
        <v>1.1917649599910223</v>
      </c>
      <c r="G25">
        <f>KcSPLINE!F$5</f>
        <v>1.2000000000000002</v>
      </c>
      <c r="H25" s="6">
        <f>KcSPLINE!K$4</f>
        <v>1.1718812659480435E-5</v>
      </c>
      <c r="I25" s="6">
        <f>KcSPLINE!K$5</f>
        <v>5.5955633969502616E-5</v>
      </c>
      <c r="J25">
        <f t="shared" si="1"/>
        <v>0.32258064516129031</v>
      </c>
      <c r="K25">
        <f t="shared" si="2"/>
        <v>0.67741935483870963</v>
      </c>
      <c r="L25">
        <f t="shared" si="3"/>
        <v>-24</v>
      </c>
      <c r="M25" s="6">
        <f t="shared" si="4"/>
        <v>1.1973435354809749</v>
      </c>
      <c r="N25" s="6">
        <f t="shared" si="5"/>
        <v>1.1935159306425605</v>
      </c>
      <c r="O25" s="6">
        <f t="shared" si="9"/>
        <v>26.280193450191966</v>
      </c>
      <c r="P25" s="6">
        <f t="shared" si="9"/>
        <v>26.217529062825118</v>
      </c>
      <c r="Q25" s="6">
        <f t="shared" si="6"/>
        <v>1.1935159306425605</v>
      </c>
    </row>
    <row r="26" spans="2:17">
      <c r="B26">
        <f t="shared" si="7"/>
        <v>23</v>
      </c>
      <c r="C26">
        <f t="shared" si="0"/>
        <v>31</v>
      </c>
      <c r="D26">
        <v>1</v>
      </c>
      <c r="E26">
        <v>32</v>
      </c>
      <c r="F26">
        <f>KcSPLINE!F$4</f>
        <v>1.1917649599910223</v>
      </c>
      <c r="G26">
        <f>KcSPLINE!F$5</f>
        <v>1.2000000000000002</v>
      </c>
      <c r="H26" s="6">
        <f>KcSPLINE!K$4</f>
        <v>1.1718812659480435E-5</v>
      </c>
      <c r="I26" s="6">
        <f>KcSPLINE!K$5</f>
        <v>5.5955633969502616E-5</v>
      </c>
      <c r="J26">
        <f t="shared" si="1"/>
        <v>0.29032258064516131</v>
      </c>
      <c r="K26">
        <f t="shared" si="2"/>
        <v>0.70967741935483875</v>
      </c>
      <c r="L26">
        <f t="shared" si="3"/>
        <v>-23</v>
      </c>
      <c r="M26" s="6">
        <f t="shared" si="4"/>
        <v>1.1976091819328776</v>
      </c>
      <c r="N26" s="6">
        <f t="shared" si="5"/>
        <v>1.1939532065611622</v>
      </c>
      <c r="O26" s="6">
        <f t="shared" si="9"/>
        <v>27.477802632124842</v>
      </c>
      <c r="P26" s="6">
        <f t="shared" si="9"/>
        <v>27.41148226938628</v>
      </c>
      <c r="Q26" s="6">
        <f t="shared" si="6"/>
        <v>1.1939532065611622</v>
      </c>
    </row>
    <row r="27" spans="2:17">
      <c r="B27">
        <f t="shared" si="7"/>
        <v>24</v>
      </c>
      <c r="C27">
        <f t="shared" si="0"/>
        <v>31</v>
      </c>
      <c r="D27">
        <v>1</v>
      </c>
      <c r="E27">
        <v>32</v>
      </c>
      <c r="F27">
        <f>KcSPLINE!F$4</f>
        <v>1.1917649599910223</v>
      </c>
      <c r="G27">
        <f>KcSPLINE!F$5</f>
        <v>1.2000000000000002</v>
      </c>
      <c r="H27" s="6">
        <f>KcSPLINE!K$4</f>
        <v>1.1718812659480435E-5</v>
      </c>
      <c r="I27" s="6">
        <f>KcSPLINE!K$5</f>
        <v>5.5955633969502616E-5</v>
      </c>
      <c r="J27">
        <f t="shared" si="1"/>
        <v>0.25806451612903225</v>
      </c>
      <c r="K27">
        <f t="shared" si="2"/>
        <v>0.74193548387096775</v>
      </c>
      <c r="L27">
        <f t="shared" si="3"/>
        <v>-22</v>
      </c>
      <c r="M27" s="6">
        <f t="shared" si="4"/>
        <v>1.19787482838478</v>
      </c>
      <c r="N27" s="6">
        <f t="shared" si="5"/>
        <v>1.1944335951656111</v>
      </c>
      <c r="O27" s="6">
        <f t="shared" si="9"/>
        <v>28.675677460509622</v>
      </c>
      <c r="P27" s="6">
        <f t="shared" si="9"/>
        <v>28.605915864551889</v>
      </c>
      <c r="Q27" s="6">
        <f t="shared" si="6"/>
        <v>1.1944335951656111</v>
      </c>
    </row>
    <row r="28" spans="2:17">
      <c r="B28">
        <f t="shared" si="7"/>
        <v>25</v>
      </c>
      <c r="C28">
        <f t="shared" si="0"/>
        <v>31</v>
      </c>
      <c r="D28">
        <v>1</v>
      </c>
      <c r="E28">
        <v>32</v>
      </c>
      <c r="F28">
        <f>KcSPLINE!F$4</f>
        <v>1.1917649599910223</v>
      </c>
      <c r="G28">
        <f>KcSPLINE!F$5</f>
        <v>1.2000000000000002</v>
      </c>
      <c r="H28" s="6">
        <f>KcSPLINE!K$4</f>
        <v>1.1718812659480435E-5</v>
      </c>
      <c r="I28" s="6">
        <f>KcSPLINE!K$5</f>
        <v>5.5955633969502616E-5</v>
      </c>
      <c r="J28">
        <f t="shared" si="1"/>
        <v>0.22580645161290322</v>
      </c>
      <c r="K28">
        <f t="shared" si="2"/>
        <v>0.77419354838709675</v>
      </c>
      <c r="L28">
        <f t="shared" si="3"/>
        <v>-21</v>
      </c>
      <c r="M28" s="6">
        <f t="shared" si="4"/>
        <v>1.1981404748366826</v>
      </c>
      <c r="N28" s="6">
        <f t="shared" si="5"/>
        <v>1.1949585234501432</v>
      </c>
      <c r="O28" s="6">
        <f t="shared" si="9"/>
        <v>29.873817935346306</v>
      </c>
      <c r="P28" s="6">
        <f t="shared" si="9"/>
        <v>29.800874388002033</v>
      </c>
      <c r="Q28" s="6">
        <f t="shared" si="6"/>
        <v>1.1949585234501432</v>
      </c>
    </row>
    <row r="29" spans="2:17">
      <c r="B29">
        <f t="shared" si="7"/>
        <v>26</v>
      </c>
      <c r="C29">
        <f t="shared" si="0"/>
        <v>31</v>
      </c>
      <c r="D29">
        <v>1</v>
      </c>
      <c r="E29">
        <v>32</v>
      </c>
      <c r="F29">
        <f>KcSPLINE!F$4</f>
        <v>1.1917649599910223</v>
      </c>
      <c r="G29">
        <f>KcSPLINE!F$5</f>
        <v>1.2000000000000002</v>
      </c>
      <c r="H29" s="6">
        <f>KcSPLINE!K$4</f>
        <v>1.1718812659480435E-5</v>
      </c>
      <c r="I29" s="6">
        <f>KcSPLINE!K$5</f>
        <v>5.5955633969502616E-5</v>
      </c>
      <c r="J29">
        <f t="shared" si="1"/>
        <v>0.19354838709677419</v>
      </c>
      <c r="K29">
        <f t="shared" si="2"/>
        <v>0.80645161290322576</v>
      </c>
      <c r="L29">
        <f t="shared" si="3"/>
        <v>-20</v>
      </c>
      <c r="M29" s="6">
        <f t="shared" si="4"/>
        <v>1.198406121288585</v>
      </c>
      <c r="N29" s="6">
        <f t="shared" si="5"/>
        <v>1.195529418408994</v>
      </c>
      <c r="O29" s="6">
        <f t="shared" si="9"/>
        <v>31.072224056634891</v>
      </c>
      <c r="P29" s="6">
        <f t="shared" si="9"/>
        <v>30.996403806411028</v>
      </c>
      <c r="Q29" s="6">
        <f t="shared" si="6"/>
        <v>1.195529418408994</v>
      </c>
    </row>
    <row r="30" spans="2:17">
      <c r="B30">
        <f t="shared" si="7"/>
        <v>27</v>
      </c>
      <c r="C30">
        <f t="shared" si="0"/>
        <v>31</v>
      </c>
      <c r="D30">
        <v>1</v>
      </c>
      <c r="E30">
        <v>32</v>
      </c>
      <c r="F30">
        <f>KcSPLINE!F$4</f>
        <v>1.1917649599910223</v>
      </c>
      <c r="G30">
        <f>KcSPLINE!F$5</f>
        <v>1.2000000000000002</v>
      </c>
      <c r="H30" s="6">
        <f>KcSPLINE!K$4</f>
        <v>1.1718812659480435E-5</v>
      </c>
      <c r="I30" s="6">
        <f>KcSPLINE!K$5</f>
        <v>5.5955633969502616E-5</v>
      </c>
      <c r="J30">
        <f t="shared" si="1"/>
        <v>0.16129032258064516</v>
      </c>
      <c r="K30">
        <f t="shared" si="2"/>
        <v>0.83870967741935487</v>
      </c>
      <c r="L30">
        <f t="shared" si="3"/>
        <v>-19</v>
      </c>
      <c r="M30" s="6">
        <f t="shared" si="4"/>
        <v>1.1986717677404877</v>
      </c>
      <c r="N30" s="6">
        <f t="shared" si="5"/>
        <v>1.1961477070363995</v>
      </c>
      <c r="O30" s="6">
        <f t="shared" si="9"/>
        <v>32.27089582437538</v>
      </c>
      <c r="P30" s="6">
        <f t="shared" si="9"/>
        <v>32.192551513447427</v>
      </c>
      <c r="Q30" s="6">
        <f t="shared" si="6"/>
        <v>1.1961477070363995</v>
      </c>
    </row>
    <row r="31" spans="2:17">
      <c r="B31">
        <f t="shared" si="7"/>
        <v>28</v>
      </c>
      <c r="C31">
        <f t="shared" si="0"/>
        <v>31</v>
      </c>
      <c r="D31">
        <v>1</v>
      </c>
      <c r="E31">
        <v>32</v>
      </c>
      <c r="F31">
        <f>KcSPLINE!F$4</f>
        <v>1.1917649599910223</v>
      </c>
      <c r="G31">
        <f>KcSPLINE!F$5</f>
        <v>1.2000000000000002</v>
      </c>
      <c r="H31" s="6">
        <f>KcSPLINE!K$4</f>
        <v>1.1718812659480435E-5</v>
      </c>
      <c r="I31" s="6">
        <f>KcSPLINE!K$5</f>
        <v>5.5955633969502616E-5</v>
      </c>
      <c r="J31">
        <f t="shared" si="1"/>
        <v>0.12903225806451613</v>
      </c>
      <c r="K31">
        <f t="shared" si="2"/>
        <v>0.87096774193548387</v>
      </c>
      <c r="L31">
        <f t="shared" si="3"/>
        <v>-18</v>
      </c>
      <c r="M31" s="6">
        <f t="shared" si="4"/>
        <v>1.1989374141923901</v>
      </c>
      <c r="N31" s="6">
        <f t="shared" si="5"/>
        <v>1.1968148163265955</v>
      </c>
      <c r="O31" s="6">
        <f t="shared" si="9"/>
        <v>33.469833238567773</v>
      </c>
      <c r="P31" s="6">
        <f t="shared" si="9"/>
        <v>33.38936632977402</v>
      </c>
      <c r="Q31" s="6">
        <f t="shared" si="6"/>
        <v>1.1968148163265955</v>
      </c>
    </row>
    <row r="32" spans="2:17">
      <c r="B32">
        <f t="shared" si="7"/>
        <v>29</v>
      </c>
      <c r="C32">
        <f t="shared" si="0"/>
        <v>31</v>
      </c>
      <c r="D32">
        <v>1</v>
      </c>
      <c r="E32">
        <v>32</v>
      </c>
      <c r="F32">
        <f>KcSPLINE!F$4</f>
        <v>1.1917649599910223</v>
      </c>
      <c r="G32">
        <f>KcSPLINE!F$5</f>
        <v>1.2000000000000002</v>
      </c>
      <c r="H32" s="6">
        <f>KcSPLINE!K$4</f>
        <v>1.1718812659480435E-5</v>
      </c>
      <c r="I32" s="6">
        <f>KcSPLINE!K$5</f>
        <v>5.5955633969502616E-5</v>
      </c>
      <c r="J32">
        <f t="shared" si="1"/>
        <v>9.6774193548387094E-2</v>
      </c>
      <c r="K32">
        <f t="shared" si="2"/>
        <v>0.90322580645161288</v>
      </c>
      <c r="L32">
        <f t="shared" si="3"/>
        <v>-17</v>
      </c>
      <c r="M32" s="6">
        <f t="shared" si="4"/>
        <v>1.1992030606442925</v>
      </c>
      <c r="N32" s="6">
        <f t="shared" si="5"/>
        <v>1.1975321732738176</v>
      </c>
      <c r="O32" s="6">
        <f t="shared" si="9"/>
        <v>34.669036299212067</v>
      </c>
      <c r="P32" s="6">
        <f t="shared" si="9"/>
        <v>34.586898503047841</v>
      </c>
      <c r="Q32" s="6">
        <f t="shared" si="6"/>
        <v>1.1975321732738176</v>
      </c>
    </row>
    <row r="33" spans="1:17">
      <c r="B33">
        <f t="shared" si="7"/>
        <v>30</v>
      </c>
      <c r="C33">
        <f t="shared" si="0"/>
        <v>31</v>
      </c>
      <c r="D33">
        <v>1</v>
      </c>
      <c r="E33">
        <v>32</v>
      </c>
      <c r="F33">
        <f>KcSPLINE!F$4</f>
        <v>1.1917649599910223</v>
      </c>
      <c r="G33">
        <f>KcSPLINE!F$5</f>
        <v>1.2000000000000002</v>
      </c>
      <c r="H33" s="6">
        <f>KcSPLINE!K$4</f>
        <v>1.1718812659480435E-5</v>
      </c>
      <c r="I33" s="6">
        <f>KcSPLINE!K$5</f>
        <v>5.5955633969502616E-5</v>
      </c>
      <c r="J33">
        <f t="shared" si="1"/>
        <v>6.4516129032258063E-2</v>
      </c>
      <c r="K33">
        <f t="shared" si="2"/>
        <v>0.93548387096774188</v>
      </c>
      <c r="L33">
        <f t="shared" si="3"/>
        <v>-16</v>
      </c>
      <c r="M33" s="6">
        <f t="shared" si="4"/>
        <v>1.1994687070961951</v>
      </c>
      <c r="N33" s="6">
        <f t="shared" si="5"/>
        <v>1.1983012048723021</v>
      </c>
      <c r="O33" s="6">
        <f t="shared" si="9"/>
        <v>35.868505006308261</v>
      </c>
      <c r="P33" s="6">
        <f t="shared" si="9"/>
        <v>35.785199707920142</v>
      </c>
      <c r="Q33" s="6">
        <f t="shared" si="6"/>
        <v>1.1983012048723021</v>
      </c>
    </row>
    <row r="34" spans="1:17">
      <c r="B34">
        <f t="shared" si="7"/>
        <v>31</v>
      </c>
      <c r="C34">
        <f t="shared" si="0"/>
        <v>31</v>
      </c>
      <c r="D34">
        <v>1</v>
      </c>
      <c r="E34">
        <v>32</v>
      </c>
      <c r="F34">
        <f>KcSPLINE!F$4</f>
        <v>1.1917649599910223</v>
      </c>
      <c r="G34">
        <f>KcSPLINE!F$5</f>
        <v>1.2000000000000002</v>
      </c>
      <c r="H34" s="6">
        <f>KcSPLINE!K$4</f>
        <v>1.1718812659480435E-5</v>
      </c>
      <c r="I34" s="6">
        <f>KcSPLINE!K$5</f>
        <v>5.5955633969502616E-5</v>
      </c>
      <c r="J34">
        <f t="shared" si="1"/>
        <v>3.2258064516129031E-2</v>
      </c>
      <c r="K34">
        <f t="shared" si="2"/>
        <v>0.967741935483871</v>
      </c>
      <c r="L34">
        <f t="shared" si="3"/>
        <v>-15</v>
      </c>
      <c r="M34" s="6">
        <f t="shared" si="4"/>
        <v>1.1997343535480978</v>
      </c>
      <c r="N34" s="6">
        <f t="shared" si="5"/>
        <v>1.1991233381162845</v>
      </c>
      <c r="O34" s="6">
        <f t="shared" si="9"/>
        <v>37.068239359856356</v>
      </c>
      <c r="P34" s="6">
        <f t="shared" si="9"/>
        <v>36.98432304603643</v>
      </c>
      <c r="Q34" s="6">
        <f t="shared" si="6"/>
        <v>1.1991233381162845</v>
      </c>
    </row>
    <row r="35" spans="1:17">
      <c r="A35">
        <v>32</v>
      </c>
      <c r="B35">
        <f t="shared" si="7"/>
        <v>32</v>
      </c>
      <c r="C35">
        <f t="shared" si="0"/>
        <v>31</v>
      </c>
      <c r="D35">
        <v>1</v>
      </c>
      <c r="E35">
        <v>32</v>
      </c>
      <c r="F35">
        <f>KcSPLINE!F$4</f>
        <v>1.1917649599910223</v>
      </c>
      <c r="G35">
        <f>KcSPLINE!F$5</f>
        <v>1.2000000000000002</v>
      </c>
      <c r="H35" s="6">
        <f>KcSPLINE!K$4</f>
        <v>1.1718812659480435E-5</v>
      </c>
      <c r="I35" s="6">
        <f>KcSPLINE!K$5</f>
        <v>5.5955633969502616E-5</v>
      </c>
      <c r="J35">
        <f t="shared" si="1"/>
        <v>0</v>
      </c>
      <c r="K35">
        <f t="shared" si="2"/>
        <v>1</v>
      </c>
      <c r="L35">
        <f t="shared" si="3"/>
        <v>-14</v>
      </c>
      <c r="M35" s="6">
        <f t="shared" si="4"/>
        <v>1.2000000000000002</v>
      </c>
      <c r="N35" s="6">
        <f t="shared" si="5"/>
        <v>1.2000000000000002</v>
      </c>
      <c r="O35" s="6">
        <f t="shared" si="9"/>
        <v>38.268239359856359</v>
      </c>
      <c r="P35" s="6">
        <f t="shared" si="9"/>
        <v>38.184323046036432</v>
      </c>
      <c r="Q35" s="6">
        <f t="shared" si="6"/>
        <v>1.2000000000000002</v>
      </c>
    </row>
    <row r="36" spans="1:17">
      <c r="B36">
        <f t="shared" si="7"/>
        <v>33</v>
      </c>
      <c r="C36">
        <f t="shared" si="0"/>
        <v>29</v>
      </c>
      <c r="D36">
        <v>32</v>
      </c>
      <c r="E36">
        <v>61</v>
      </c>
      <c r="F36">
        <f>KcSPLINE!F$5</f>
        <v>1.2000000000000002</v>
      </c>
      <c r="G36">
        <f>KcSPLINE!F$6</f>
        <v>1.1536309284926189</v>
      </c>
      <c r="H36" s="6">
        <f>KcSPLINE!K$5</f>
        <v>5.5955633969502616E-5</v>
      </c>
      <c r="I36" s="6">
        <f>KcSPLINE!K$6</f>
        <v>-6.2984272350780817E-4</v>
      </c>
      <c r="J36">
        <f t="shared" si="1"/>
        <v>0.96551724137931039</v>
      </c>
      <c r="K36">
        <f t="shared" si="2"/>
        <v>3.4482758620689655E-2</v>
      </c>
      <c r="L36">
        <f t="shared" si="3"/>
        <v>-13</v>
      </c>
      <c r="M36" s="6">
        <f t="shared" si="4"/>
        <v>1.1984010664997458</v>
      </c>
      <c r="N36" s="6">
        <f t="shared" si="5"/>
        <v>1.2009284383154426</v>
      </c>
      <c r="O36" s="6">
        <f t="shared" si="9"/>
        <v>39.466640426356108</v>
      </c>
      <c r="P36" s="6">
        <f t="shared" si="9"/>
        <v>39.385251484351876</v>
      </c>
      <c r="Q36" s="6">
        <f t="shared" si="6"/>
        <v>1.2009284383154426</v>
      </c>
    </row>
    <row r="37" spans="1:17">
      <c r="B37">
        <f t="shared" si="7"/>
        <v>34</v>
      </c>
      <c r="C37">
        <f t="shared" si="0"/>
        <v>29</v>
      </c>
      <c r="D37">
        <v>32</v>
      </c>
      <c r="E37">
        <v>61</v>
      </c>
      <c r="F37">
        <f>KcSPLINE!F$5</f>
        <v>1.2000000000000002</v>
      </c>
      <c r="G37">
        <f>KcSPLINE!F$6</f>
        <v>1.1536309284926189</v>
      </c>
      <c r="H37" s="6">
        <f>KcSPLINE!K$5</f>
        <v>5.5955633969502616E-5</v>
      </c>
      <c r="I37" s="6">
        <f>KcSPLINE!K$6</f>
        <v>-6.2984272350780817E-4</v>
      </c>
      <c r="J37">
        <f t="shared" si="1"/>
        <v>0.93103448275862066</v>
      </c>
      <c r="K37">
        <f t="shared" si="2"/>
        <v>6.8965517241379309E-2</v>
      </c>
      <c r="L37">
        <f t="shared" si="3"/>
        <v>-12</v>
      </c>
      <c r="M37" s="6">
        <f t="shared" si="4"/>
        <v>1.1968021329994911</v>
      </c>
      <c r="N37" s="6">
        <f t="shared" si="5"/>
        <v>1.2018891840456307</v>
      </c>
      <c r="O37" s="6">
        <f t="shared" ref="O37:P52" si="10">O36+M37</f>
        <v>40.663442559355602</v>
      </c>
      <c r="P37" s="6">
        <f t="shared" si="10"/>
        <v>40.58714066839751</v>
      </c>
      <c r="Q37" s="6">
        <f t="shared" si="6"/>
        <v>1.2018891840456307</v>
      </c>
    </row>
    <row r="38" spans="1:17">
      <c r="B38">
        <f t="shared" si="7"/>
        <v>35</v>
      </c>
      <c r="C38">
        <f t="shared" si="0"/>
        <v>29</v>
      </c>
      <c r="D38">
        <v>32</v>
      </c>
      <c r="E38">
        <v>61</v>
      </c>
      <c r="F38">
        <f>KcSPLINE!F$5</f>
        <v>1.2000000000000002</v>
      </c>
      <c r="G38">
        <f>KcSPLINE!F$6</f>
        <v>1.1536309284926189</v>
      </c>
      <c r="H38" s="6">
        <f>KcSPLINE!K$5</f>
        <v>5.5955633969502616E-5</v>
      </c>
      <c r="I38" s="6">
        <f>KcSPLINE!K$6</f>
        <v>-6.2984272350780817E-4</v>
      </c>
      <c r="J38">
        <f t="shared" si="1"/>
        <v>0.89655172413793105</v>
      </c>
      <c r="K38">
        <f t="shared" si="2"/>
        <v>0.10344827586206896</v>
      </c>
      <c r="L38">
        <f t="shared" si="3"/>
        <v>-11</v>
      </c>
      <c r="M38" s="6">
        <f t="shared" si="4"/>
        <v>1.1952031994992365</v>
      </c>
      <c r="N38" s="6">
        <f t="shared" si="5"/>
        <v>1.2028585889713417</v>
      </c>
      <c r="O38" s="6">
        <f t="shared" si="10"/>
        <v>41.858645758854841</v>
      </c>
      <c r="P38" s="6">
        <f t="shared" si="10"/>
        <v>41.789999257368848</v>
      </c>
      <c r="Q38" s="6">
        <f t="shared" si="6"/>
        <v>1.2028585889713417</v>
      </c>
    </row>
    <row r="39" spans="1:17">
      <c r="B39">
        <f t="shared" si="7"/>
        <v>36</v>
      </c>
      <c r="C39">
        <f t="shared" si="0"/>
        <v>29</v>
      </c>
      <c r="D39">
        <v>32</v>
      </c>
      <c r="E39">
        <v>61</v>
      </c>
      <c r="F39">
        <f>KcSPLINE!F$5</f>
        <v>1.2000000000000002</v>
      </c>
      <c r="G39">
        <f>KcSPLINE!F$6</f>
        <v>1.1536309284926189</v>
      </c>
      <c r="H39" s="6">
        <f>KcSPLINE!K$5</f>
        <v>5.5955633969502616E-5</v>
      </c>
      <c r="I39" s="6">
        <f>KcSPLINE!K$6</f>
        <v>-6.2984272350780817E-4</v>
      </c>
      <c r="J39">
        <f t="shared" si="1"/>
        <v>0.86206896551724133</v>
      </c>
      <c r="K39">
        <f t="shared" si="2"/>
        <v>0.13793103448275862</v>
      </c>
      <c r="L39">
        <f t="shared" si="3"/>
        <v>-10</v>
      </c>
      <c r="M39" s="6">
        <f t="shared" si="4"/>
        <v>1.1936042659989821</v>
      </c>
      <c r="N39" s="6">
        <f t="shared" si="5"/>
        <v>1.2038130048733524</v>
      </c>
      <c r="O39" s="6">
        <f t="shared" si="10"/>
        <v>43.052250024853826</v>
      </c>
      <c r="P39" s="6">
        <f t="shared" si="10"/>
        <v>42.993812262242201</v>
      </c>
      <c r="Q39" s="6">
        <f t="shared" si="6"/>
        <v>1.2038130048733524</v>
      </c>
    </row>
    <row r="40" spans="1:17">
      <c r="B40">
        <f t="shared" si="7"/>
        <v>37</v>
      </c>
      <c r="C40">
        <f t="shared" si="0"/>
        <v>29</v>
      </c>
      <c r="D40">
        <v>32</v>
      </c>
      <c r="E40">
        <v>61</v>
      </c>
      <c r="F40">
        <f>KcSPLINE!F$5</f>
        <v>1.2000000000000002</v>
      </c>
      <c r="G40">
        <f>KcSPLINE!F$6</f>
        <v>1.1536309284926189</v>
      </c>
      <c r="H40" s="6">
        <f>KcSPLINE!K$5</f>
        <v>5.5955633969502616E-5</v>
      </c>
      <c r="I40" s="6">
        <f>KcSPLINE!K$6</f>
        <v>-6.2984272350780817E-4</v>
      </c>
      <c r="J40">
        <f t="shared" si="1"/>
        <v>0.82758620689655171</v>
      </c>
      <c r="K40">
        <f t="shared" si="2"/>
        <v>0.17241379310344829</v>
      </c>
      <c r="L40">
        <f t="shared" si="3"/>
        <v>-9</v>
      </c>
      <c r="M40" s="6">
        <f t="shared" si="4"/>
        <v>1.1920053324987274</v>
      </c>
      <c r="N40" s="6">
        <f t="shared" si="5"/>
        <v>1.204728783532439</v>
      </c>
      <c r="O40" s="6">
        <f t="shared" si="10"/>
        <v>44.244255357352557</v>
      </c>
      <c r="P40" s="6">
        <f t="shared" si="10"/>
        <v>44.19854104577464</v>
      </c>
      <c r="Q40" s="6">
        <f t="shared" si="6"/>
        <v>1.204728783532439</v>
      </c>
    </row>
    <row r="41" spans="1:17">
      <c r="B41">
        <f t="shared" si="7"/>
        <v>38</v>
      </c>
      <c r="C41">
        <f t="shared" si="0"/>
        <v>29</v>
      </c>
      <c r="D41">
        <v>32</v>
      </c>
      <c r="E41">
        <v>61</v>
      </c>
      <c r="F41">
        <f>KcSPLINE!F$5</f>
        <v>1.2000000000000002</v>
      </c>
      <c r="G41">
        <f>KcSPLINE!F$6</f>
        <v>1.1536309284926189</v>
      </c>
      <c r="H41" s="6">
        <f>KcSPLINE!K$5</f>
        <v>5.5955633969502616E-5</v>
      </c>
      <c r="I41" s="6">
        <f>KcSPLINE!K$6</f>
        <v>-6.2984272350780817E-4</v>
      </c>
      <c r="J41">
        <f t="shared" si="1"/>
        <v>0.7931034482758621</v>
      </c>
      <c r="K41">
        <f t="shared" si="2"/>
        <v>0.20689655172413793</v>
      </c>
      <c r="L41">
        <f t="shared" si="3"/>
        <v>-8</v>
      </c>
      <c r="M41" s="6">
        <f t="shared" si="4"/>
        <v>1.190406398998473</v>
      </c>
      <c r="N41" s="6">
        <f t="shared" si="5"/>
        <v>1.2055822767293785</v>
      </c>
      <c r="O41" s="6">
        <f t="shared" si="10"/>
        <v>45.434661756351034</v>
      </c>
      <c r="P41" s="6">
        <f t="shared" si="10"/>
        <v>45.40412332250402</v>
      </c>
      <c r="Q41" s="6">
        <f t="shared" si="6"/>
        <v>1.2055822767293785</v>
      </c>
    </row>
    <row r="42" spans="1:17">
      <c r="B42">
        <f t="shared" si="7"/>
        <v>39</v>
      </c>
      <c r="C42">
        <f t="shared" si="0"/>
        <v>29</v>
      </c>
      <c r="D42">
        <v>32</v>
      </c>
      <c r="E42">
        <v>61</v>
      </c>
      <c r="F42">
        <f>KcSPLINE!F$5</f>
        <v>1.2000000000000002</v>
      </c>
      <c r="G42">
        <f>KcSPLINE!F$6</f>
        <v>1.1536309284926189</v>
      </c>
      <c r="H42" s="6">
        <f>KcSPLINE!K$5</f>
        <v>5.5955633969502616E-5</v>
      </c>
      <c r="I42" s="6">
        <f>KcSPLINE!K$6</f>
        <v>-6.2984272350780817E-4</v>
      </c>
      <c r="J42">
        <f t="shared" si="1"/>
        <v>0.75862068965517238</v>
      </c>
      <c r="K42">
        <f t="shared" si="2"/>
        <v>0.2413793103448276</v>
      </c>
      <c r="L42">
        <f t="shared" si="3"/>
        <v>-7</v>
      </c>
      <c r="M42" s="6">
        <f t="shared" si="4"/>
        <v>1.1888074654982184</v>
      </c>
      <c r="N42" s="6">
        <f t="shared" si="5"/>
        <v>1.2063498362449472</v>
      </c>
      <c r="O42" s="6">
        <f t="shared" si="10"/>
        <v>46.623469221849248</v>
      </c>
      <c r="P42" s="6">
        <f t="shared" si="10"/>
        <v>46.610473158748967</v>
      </c>
      <c r="Q42" s="6">
        <f t="shared" si="6"/>
        <v>1.2063498362449472</v>
      </c>
    </row>
    <row r="43" spans="1:17">
      <c r="B43">
        <f t="shared" si="7"/>
        <v>40</v>
      </c>
      <c r="C43">
        <f t="shared" si="0"/>
        <v>29</v>
      </c>
      <c r="D43">
        <v>32</v>
      </c>
      <c r="E43">
        <v>61</v>
      </c>
      <c r="F43">
        <f>KcSPLINE!F$5</f>
        <v>1.2000000000000002</v>
      </c>
      <c r="G43">
        <f>KcSPLINE!F$6</f>
        <v>1.1536309284926189</v>
      </c>
      <c r="H43" s="6">
        <f>KcSPLINE!K$5</f>
        <v>5.5955633969502616E-5</v>
      </c>
      <c r="I43" s="6">
        <f>KcSPLINE!K$6</f>
        <v>-6.2984272350780817E-4</v>
      </c>
      <c r="J43">
        <f t="shared" si="1"/>
        <v>0.72413793103448276</v>
      </c>
      <c r="K43">
        <f t="shared" si="2"/>
        <v>0.27586206896551724</v>
      </c>
      <c r="L43">
        <f t="shared" si="3"/>
        <v>-6</v>
      </c>
      <c r="M43" s="6">
        <f t="shared" si="4"/>
        <v>1.1872085319979639</v>
      </c>
      <c r="N43" s="6">
        <f t="shared" si="5"/>
        <v>1.2070078138599221</v>
      </c>
      <c r="O43" s="6">
        <f t="shared" si="10"/>
        <v>47.810677753847216</v>
      </c>
      <c r="P43" s="6">
        <f t="shared" si="10"/>
        <v>47.817480972608891</v>
      </c>
      <c r="Q43" s="6">
        <f t="shared" si="6"/>
        <v>1.2070078138599221</v>
      </c>
    </row>
    <row r="44" spans="1:17">
      <c r="B44">
        <f t="shared" si="7"/>
        <v>41</v>
      </c>
      <c r="C44">
        <f t="shared" si="0"/>
        <v>29</v>
      </c>
      <c r="D44">
        <v>32</v>
      </c>
      <c r="E44">
        <v>61</v>
      </c>
      <c r="F44">
        <f>KcSPLINE!F$5</f>
        <v>1.2000000000000002</v>
      </c>
      <c r="G44">
        <f>KcSPLINE!F$6</f>
        <v>1.1536309284926189</v>
      </c>
      <c r="H44" s="6">
        <f>KcSPLINE!K$5</f>
        <v>5.5955633969502616E-5</v>
      </c>
      <c r="I44" s="6">
        <f>KcSPLINE!K$6</f>
        <v>-6.2984272350780817E-4</v>
      </c>
      <c r="J44">
        <f t="shared" si="1"/>
        <v>0.68965517241379315</v>
      </c>
      <c r="K44">
        <f t="shared" si="2"/>
        <v>0.31034482758620691</v>
      </c>
      <c r="L44">
        <f t="shared" si="3"/>
        <v>-5</v>
      </c>
      <c r="M44" s="6">
        <f t="shared" si="4"/>
        <v>1.1856095984977095</v>
      </c>
      <c r="N44" s="6">
        <f t="shared" si="5"/>
        <v>1.2075325613550796</v>
      </c>
      <c r="O44" s="6">
        <f t="shared" si="10"/>
        <v>48.996287352344922</v>
      </c>
      <c r="P44" s="6">
        <f t="shared" si="10"/>
        <v>49.025013533963971</v>
      </c>
      <c r="Q44" s="6">
        <f t="shared" si="6"/>
        <v>1.2075325613550796</v>
      </c>
    </row>
    <row r="45" spans="1:17">
      <c r="B45">
        <f t="shared" si="7"/>
        <v>42</v>
      </c>
      <c r="C45">
        <f t="shared" si="0"/>
        <v>29</v>
      </c>
      <c r="D45">
        <v>32</v>
      </c>
      <c r="E45">
        <v>61</v>
      </c>
      <c r="F45">
        <f>KcSPLINE!F$5</f>
        <v>1.2000000000000002</v>
      </c>
      <c r="G45">
        <f>KcSPLINE!F$6</f>
        <v>1.1536309284926189</v>
      </c>
      <c r="H45" s="6">
        <f>KcSPLINE!K$5</f>
        <v>5.5955633969502616E-5</v>
      </c>
      <c r="I45" s="6">
        <f>KcSPLINE!K$6</f>
        <v>-6.2984272350780817E-4</v>
      </c>
      <c r="J45">
        <f t="shared" si="1"/>
        <v>0.65517241379310343</v>
      </c>
      <c r="K45">
        <f t="shared" si="2"/>
        <v>0.34482758620689657</v>
      </c>
      <c r="L45">
        <f t="shared" si="3"/>
        <v>-4</v>
      </c>
      <c r="M45" s="6">
        <f t="shared" si="4"/>
        <v>1.1840106649974549</v>
      </c>
      <c r="N45" s="6">
        <f t="shared" si="5"/>
        <v>1.2079004305111962</v>
      </c>
      <c r="O45" s="6">
        <f t="shared" si="10"/>
        <v>50.180298017342373</v>
      </c>
      <c r="P45" s="6">
        <f t="shared" si="10"/>
        <v>50.232913964475166</v>
      </c>
      <c r="Q45" s="6">
        <f t="shared" si="6"/>
        <v>1.2079004305111962</v>
      </c>
    </row>
    <row r="46" spans="1:17">
      <c r="B46">
        <f t="shared" si="7"/>
        <v>43</v>
      </c>
      <c r="C46">
        <f t="shared" si="0"/>
        <v>29</v>
      </c>
      <c r="D46">
        <v>32</v>
      </c>
      <c r="E46">
        <v>61</v>
      </c>
      <c r="F46">
        <f>KcSPLINE!F$5</f>
        <v>1.2000000000000002</v>
      </c>
      <c r="G46">
        <f>KcSPLINE!F$6</f>
        <v>1.1536309284926189</v>
      </c>
      <c r="H46" s="6">
        <f>KcSPLINE!K$5</f>
        <v>5.5955633969502616E-5</v>
      </c>
      <c r="I46" s="6">
        <f>KcSPLINE!K$6</f>
        <v>-6.2984272350780817E-4</v>
      </c>
      <c r="J46">
        <f t="shared" si="1"/>
        <v>0.62068965517241381</v>
      </c>
      <c r="K46">
        <f t="shared" si="2"/>
        <v>0.37931034482758619</v>
      </c>
      <c r="L46">
        <f t="shared" si="3"/>
        <v>-3</v>
      </c>
      <c r="M46" s="6">
        <f t="shared" si="4"/>
        <v>1.1824117314972005</v>
      </c>
      <c r="N46" s="6">
        <f t="shared" si="5"/>
        <v>1.2080877731090491</v>
      </c>
      <c r="O46" s="6">
        <f t="shared" si="10"/>
        <v>51.362709748839571</v>
      </c>
      <c r="P46" s="6">
        <f t="shared" si="10"/>
        <v>51.441001737584216</v>
      </c>
      <c r="Q46" s="6">
        <f t="shared" si="6"/>
        <v>1.2080877731090491</v>
      </c>
    </row>
    <row r="47" spans="1:17">
      <c r="B47">
        <f t="shared" si="7"/>
        <v>44</v>
      </c>
      <c r="C47">
        <f t="shared" si="0"/>
        <v>29</v>
      </c>
      <c r="D47">
        <v>32</v>
      </c>
      <c r="E47">
        <v>61</v>
      </c>
      <c r="F47">
        <f>KcSPLINE!F$5</f>
        <v>1.2000000000000002</v>
      </c>
      <c r="G47">
        <f>KcSPLINE!F$6</f>
        <v>1.1536309284926189</v>
      </c>
      <c r="H47" s="6">
        <f>KcSPLINE!K$5</f>
        <v>5.5955633969502616E-5</v>
      </c>
      <c r="I47" s="6">
        <f>KcSPLINE!K$6</f>
        <v>-6.2984272350780817E-4</v>
      </c>
      <c r="J47">
        <f t="shared" si="1"/>
        <v>0.58620689655172409</v>
      </c>
      <c r="K47">
        <f t="shared" si="2"/>
        <v>0.41379310344827586</v>
      </c>
      <c r="L47">
        <f t="shared" si="3"/>
        <v>-2</v>
      </c>
      <c r="M47" s="6">
        <f t="shared" si="4"/>
        <v>1.1808127979969458</v>
      </c>
      <c r="N47" s="6">
        <f t="shared" si="5"/>
        <v>1.2080709409294141</v>
      </c>
      <c r="O47" s="6">
        <f t="shared" si="10"/>
        <v>52.543522546836513</v>
      </c>
      <c r="P47" s="6">
        <f t="shared" si="10"/>
        <v>52.649072678513633</v>
      </c>
      <c r="Q47" s="6">
        <f t="shared" si="6"/>
        <v>1.2080709409294141</v>
      </c>
    </row>
    <row r="48" spans="1:17">
      <c r="B48">
        <f t="shared" si="7"/>
        <v>45</v>
      </c>
      <c r="C48">
        <f t="shared" si="0"/>
        <v>29</v>
      </c>
      <c r="D48">
        <v>32</v>
      </c>
      <c r="E48">
        <v>61</v>
      </c>
      <c r="F48">
        <f>KcSPLINE!F$5</f>
        <v>1.2000000000000002</v>
      </c>
      <c r="G48">
        <f>KcSPLINE!F$6</f>
        <v>1.1536309284926189</v>
      </c>
      <c r="H48" s="6">
        <f>KcSPLINE!K$5</f>
        <v>5.5955633969502616E-5</v>
      </c>
      <c r="I48" s="6">
        <f>KcSPLINE!K$6</f>
        <v>-6.2984272350780817E-4</v>
      </c>
      <c r="J48">
        <f t="shared" si="1"/>
        <v>0.55172413793103448</v>
      </c>
      <c r="K48">
        <f t="shared" si="2"/>
        <v>0.44827586206896552</v>
      </c>
      <c r="L48">
        <f t="shared" si="3"/>
        <v>-1</v>
      </c>
      <c r="M48" s="6">
        <f t="shared" si="4"/>
        <v>1.1792138644966914</v>
      </c>
      <c r="N48" s="6">
        <f t="shared" si="5"/>
        <v>1.2078262857530688</v>
      </c>
      <c r="O48" s="6">
        <f t="shared" si="10"/>
        <v>53.722736411333202</v>
      </c>
      <c r="P48" s="6">
        <f t="shared" si="10"/>
        <v>53.856898964266705</v>
      </c>
      <c r="Q48" s="6">
        <f t="shared" si="6"/>
        <v>1.2078262857530688</v>
      </c>
    </row>
    <row r="49" spans="1:20">
      <c r="B49">
        <f t="shared" si="7"/>
        <v>46</v>
      </c>
      <c r="C49">
        <f t="shared" si="0"/>
        <v>29</v>
      </c>
      <c r="D49">
        <v>32</v>
      </c>
      <c r="E49">
        <v>61</v>
      </c>
      <c r="F49">
        <f>KcSPLINE!F$5</f>
        <v>1.2000000000000002</v>
      </c>
      <c r="G49">
        <f>KcSPLINE!F$6</f>
        <v>1.1536309284926189</v>
      </c>
      <c r="H49" s="6">
        <f>KcSPLINE!K$5</f>
        <v>5.5955633969502616E-5</v>
      </c>
      <c r="I49" s="6">
        <f>KcSPLINE!K$6</f>
        <v>-6.2984272350780817E-4</v>
      </c>
      <c r="J49">
        <f t="shared" si="1"/>
        <v>0.51724137931034486</v>
      </c>
      <c r="K49">
        <f t="shared" si="2"/>
        <v>0.48275862068965519</v>
      </c>
      <c r="L49">
        <f t="shared" si="3"/>
        <v>0</v>
      </c>
      <c r="M49" s="6">
        <f t="shared" si="4"/>
        <v>1.177614930996437</v>
      </c>
      <c r="N49" s="6">
        <f t="shared" si="5"/>
        <v>1.2073301593607892</v>
      </c>
      <c r="O49" s="6">
        <f t="shared" si="10"/>
        <v>54.900351342329635</v>
      </c>
      <c r="P49" s="6">
        <f t="shared" si="10"/>
        <v>55.064229123627491</v>
      </c>
      <c r="Q49" s="6">
        <f t="shared" si="6"/>
        <v>1.2073301593607892</v>
      </c>
    </row>
    <row r="50" spans="1:20">
      <c r="A50" s="10"/>
      <c r="B50" s="10">
        <f t="shared" si="7"/>
        <v>47</v>
      </c>
      <c r="C50" s="10">
        <f t="shared" si="0"/>
        <v>29</v>
      </c>
      <c r="D50" s="10">
        <v>32</v>
      </c>
      <c r="E50" s="10">
        <v>61</v>
      </c>
      <c r="F50" s="10">
        <f>KcSPLINE!F$5</f>
        <v>1.2000000000000002</v>
      </c>
      <c r="G50" s="10">
        <f>KcSPLINE!F$6</f>
        <v>1.1536309284926189</v>
      </c>
      <c r="H50" s="11">
        <f>KcSPLINE!K$5</f>
        <v>5.5955633969502616E-5</v>
      </c>
      <c r="I50" s="11">
        <f>KcSPLINE!K$6</f>
        <v>-6.2984272350780817E-4</v>
      </c>
      <c r="J50" s="10">
        <f t="shared" si="1"/>
        <v>0.48275862068965519</v>
      </c>
      <c r="K50" s="10">
        <f t="shared" si="2"/>
        <v>0.51724137931034486</v>
      </c>
      <c r="L50" s="10">
        <f t="shared" si="3"/>
        <v>1</v>
      </c>
      <c r="M50" s="11">
        <f t="shared" si="4"/>
        <v>1.1760159974961826</v>
      </c>
      <c r="N50" s="11">
        <f>(Q50+Q414)/2</f>
        <v>1.2121994080811485</v>
      </c>
      <c r="O50" s="11">
        <f t="shared" si="10"/>
        <v>56.076367339825815</v>
      </c>
      <c r="P50" s="11">
        <f t="shared" si="10"/>
        <v>56.276428531708639</v>
      </c>
      <c r="Q50" s="11">
        <f t="shared" si="6"/>
        <v>1.2065589135333523</v>
      </c>
      <c r="R50" s="12">
        <f>(N55-N50)/5</f>
        <v>-2.8902405770323105E-3</v>
      </c>
      <c r="T50" s="6">
        <f t="shared" ref="T50:T113" si="11">N50</f>
        <v>1.2121994080811485</v>
      </c>
    </row>
    <row r="51" spans="1:20">
      <c r="B51">
        <f t="shared" si="7"/>
        <v>48</v>
      </c>
      <c r="C51">
        <f t="shared" si="0"/>
        <v>29</v>
      </c>
      <c r="D51">
        <v>32</v>
      </c>
      <c r="E51">
        <v>61</v>
      </c>
      <c r="F51">
        <f>KcSPLINE!F$5</f>
        <v>1.2000000000000002</v>
      </c>
      <c r="G51">
        <f>KcSPLINE!F$6</f>
        <v>1.1536309284926189</v>
      </c>
      <c r="H51" s="6">
        <f>KcSPLINE!K$5</f>
        <v>5.5955633969502616E-5</v>
      </c>
      <c r="I51" s="6">
        <f>KcSPLINE!K$6</f>
        <v>-6.2984272350780817E-4</v>
      </c>
      <c r="J51">
        <f t="shared" si="1"/>
        <v>0.44827586206896552</v>
      </c>
      <c r="K51">
        <f t="shared" si="2"/>
        <v>0.55172413793103448</v>
      </c>
      <c r="L51">
        <f t="shared" si="3"/>
        <v>2</v>
      </c>
      <c r="M51" s="13">
        <f t="shared" si="4"/>
        <v>1.1744170639959277</v>
      </c>
      <c r="N51" s="14">
        <f>N50+R$50</f>
        <v>1.2093091675041161</v>
      </c>
      <c r="O51" s="6">
        <f t="shared" si="10"/>
        <v>57.25078440382174</v>
      </c>
      <c r="P51" s="6">
        <f t="shared" si="10"/>
        <v>57.485737699212756</v>
      </c>
      <c r="Q51" s="6">
        <f t="shared" si="6"/>
        <v>1.2054889000515341</v>
      </c>
      <c r="T51" s="6">
        <f t="shared" si="11"/>
        <v>1.2093091675041161</v>
      </c>
    </row>
    <row r="52" spans="1:20">
      <c r="B52">
        <f t="shared" si="7"/>
        <v>49</v>
      </c>
      <c r="C52">
        <f t="shared" si="0"/>
        <v>29</v>
      </c>
      <c r="D52">
        <v>32</v>
      </c>
      <c r="E52">
        <v>61</v>
      </c>
      <c r="F52">
        <f>KcSPLINE!F$5</f>
        <v>1.2000000000000002</v>
      </c>
      <c r="G52">
        <f>KcSPLINE!F$6</f>
        <v>1.1536309284926189</v>
      </c>
      <c r="H52" s="6">
        <f>KcSPLINE!K$5</f>
        <v>5.5955633969502616E-5</v>
      </c>
      <c r="I52" s="6">
        <f>KcSPLINE!K$6</f>
        <v>-6.2984272350780817E-4</v>
      </c>
      <c r="J52">
        <f t="shared" si="1"/>
        <v>0.41379310344827586</v>
      </c>
      <c r="K52">
        <f t="shared" si="2"/>
        <v>0.58620689655172409</v>
      </c>
      <c r="L52">
        <f t="shared" si="3"/>
        <v>3</v>
      </c>
      <c r="M52" s="13">
        <f t="shared" si="4"/>
        <v>1.1728181304956731</v>
      </c>
      <c r="N52" s="14">
        <f>N51+R$50</f>
        <v>1.2064189269270837</v>
      </c>
      <c r="O52" s="6">
        <f t="shared" si="10"/>
        <v>58.423602534317411</v>
      </c>
      <c r="P52" s="6">
        <f t="shared" si="10"/>
        <v>58.692156626139841</v>
      </c>
      <c r="Q52" s="6">
        <f t="shared" si="6"/>
        <v>1.2040964706961119</v>
      </c>
      <c r="T52" s="6">
        <f t="shared" si="11"/>
        <v>1.2064189269270837</v>
      </c>
    </row>
    <row r="53" spans="1:20">
      <c r="B53">
        <f t="shared" si="7"/>
        <v>50</v>
      </c>
      <c r="C53">
        <f t="shared" si="0"/>
        <v>29</v>
      </c>
      <c r="D53">
        <v>32</v>
      </c>
      <c r="E53">
        <v>61</v>
      </c>
      <c r="F53">
        <f>KcSPLINE!F$5</f>
        <v>1.2000000000000002</v>
      </c>
      <c r="G53">
        <f>KcSPLINE!F$6</f>
        <v>1.1536309284926189</v>
      </c>
      <c r="H53" s="6">
        <f>KcSPLINE!K$5</f>
        <v>5.5955633969502616E-5</v>
      </c>
      <c r="I53" s="6">
        <f>KcSPLINE!K$6</f>
        <v>-6.2984272350780817E-4</v>
      </c>
      <c r="J53">
        <f t="shared" si="1"/>
        <v>0.37931034482758619</v>
      </c>
      <c r="K53">
        <f t="shared" si="2"/>
        <v>0.62068965517241381</v>
      </c>
      <c r="L53">
        <f t="shared" si="3"/>
        <v>4</v>
      </c>
      <c r="M53" s="13">
        <f t="shared" si="4"/>
        <v>1.1712191969954187</v>
      </c>
      <c r="N53" s="14">
        <f>N52+R$50</f>
        <v>1.2035286863500514</v>
      </c>
      <c r="O53" s="6">
        <f t="shared" ref="O53:P68" si="12">O52+M53</f>
        <v>59.594821731312827</v>
      </c>
      <c r="P53" s="6">
        <f t="shared" si="12"/>
        <v>59.895685312489896</v>
      </c>
      <c r="Q53" s="6">
        <f t="shared" si="6"/>
        <v>1.2023579772478623</v>
      </c>
      <c r="T53" s="6">
        <f t="shared" si="11"/>
        <v>1.2035286863500514</v>
      </c>
    </row>
    <row r="54" spans="1:20">
      <c r="B54">
        <f t="shared" si="7"/>
        <v>51</v>
      </c>
      <c r="C54">
        <f t="shared" si="0"/>
        <v>29</v>
      </c>
      <c r="D54">
        <v>32</v>
      </c>
      <c r="E54">
        <v>61</v>
      </c>
      <c r="F54">
        <f>KcSPLINE!F$5</f>
        <v>1.2000000000000002</v>
      </c>
      <c r="G54">
        <f>KcSPLINE!F$6</f>
        <v>1.1536309284926189</v>
      </c>
      <c r="H54" s="6">
        <f>KcSPLINE!K$5</f>
        <v>5.5955633969502616E-5</v>
      </c>
      <c r="I54" s="6">
        <f>KcSPLINE!K$6</f>
        <v>-6.2984272350780817E-4</v>
      </c>
      <c r="J54">
        <f t="shared" si="1"/>
        <v>0.34482758620689657</v>
      </c>
      <c r="K54">
        <f t="shared" si="2"/>
        <v>0.65517241379310343</v>
      </c>
      <c r="L54">
        <f t="shared" si="3"/>
        <v>5</v>
      </c>
      <c r="M54" s="13">
        <f t="shared" si="4"/>
        <v>1.1696202634951642</v>
      </c>
      <c r="N54" s="14">
        <f>N53+R$50</f>
        <v>1.200638445773019</v>
      </c>
      <c r="O54" s="6">
        <f t="shared" si="12"/>
        <v>60.764441994807989</v>
      </c>
      <c r="P54" s="6">
        <f t="shared" si="12"/>
        <v>61.096323758262912</v>
      </c>
      <c r="Q54" s="6">
        <f t="shared" si="6"/>
        <v>1.200249771487562</v>
      </c>
      <c r="T54" s="6">
        <f t="shared" si="11"/>
        <v>1.200638445773019</v>
      </c>
    </row>
    <row r="55" spans="1:20">
      <c r="B55">
        <f t="shared" si="7"/>
        <v>52</v>
      </c>
      <c r="C55">
        <f t="shared" si="0"/>
        <v>29</v>
      </c>
      <c r="D55">
        <v>32</v>
      </c>
      <c r="E55">
        <v>61</v>
      </c>
      <c r="F55">
        <f>KcSPLINE!F$5</f>
        <v>1.2000000000000002</v>
      </c>
      <c r="G55">
        <f>KcSPLINE!F$6</f>
        <v>1.1536309284926189</v>
      </c>
      <c r="H55" s="6">
        <f>KcSPLINE!K$5</f>
        <v>5.5955633969502616E-5</v>
      </c>
      <c r="I55" s="6">
        <f>KcSPLINE!K$6</f>
        <v>-6.2984272350780817E-4</v>
      </c>
      <c r="J55">
        <f t="shared" si="1"/>
        <v>0.31034482758620691</v>
      </c>
      <c r="K55">
        <f t="shared" si="2"/>
        <v>0.68965517241379315</v>
      </c>
      <c r="L55">
        <f t="shared" si="3"/>
        <v>6</v>
      </c>
      <c r="M55" s="13">
        <f t="shared" si="4"/>
        <v>1.1680213299949096</v>
      </c>
      <c r="N55" s="13">
        <f t="shared" ref="N55:N118" si="13">Q55</f>
        <v>1.1977482051959869</v>
      </c>
      <c r="O55" s="6">
        <f t="shared" si="12"/>
        <v>61.932463324802896</v>
      </c>
      <c r="P55" s="6">
        <f t="shared" si="12"/>
        <v>62.294071963458897</v>
      </c>
      <c r="Q55" s="6">
        <f t="shared" si="6"/>
        <v>1.1977482051959869</v>
      </c>
      <c r="T55" s="6">
        <f t="shared" si="11"/>
        <v>1.1977482051959869</v>
      </c>
    </row>
    <row r="56" spans="1:20">
      <c r="B56">
        <f t="shared" si="7"/>
        <v>53</v>
      </c>
      <c r="C56">
        <f t="shared" si="0"/>
        <v>29</v>
      </c>
      <c r="D56">
        <v>32</v>
      </c>
      <c r="E56">
        <v>61</v>
      </c>
      <c r="F56">
        <f>KcSPLINE!F$5</f>
        <v>1.2000000000000002</v>
      </c>
      <c r="G56">
        <f>KcSPLINE!F$6</f>
        <v>1.1536309284926189</v>
      </c>
      <c r="H56" s="6">
        <f>KcSPLINE!K$5</f>
        <v>5.5955633969502616E-5</v>
      </c>
      <c r="I56" s="6">
        <f>KcSPLINE!K$6</f>
        <v>-6.2984272350780817E-4</v>
      </c>
      <c r="J56">
        <f t="shared" si="1"/>
        <v>0.27586206896551724</v>
      </c>
      <c r="K56">
        <f t="shared" si="2"/>
        <v>0.72413793103448276</v>
      </c>
      <c r="L56">
        <f t="shared" si="3"/>
        <v>7</v>
      </c>
      <c r="M56" s="13">
        <f t="shared" si="4"/>
        <v>1.1664223964946552</v>
      </c>
      <c r="N56" s="13">
        <f t="shared" si="13"/>
        <v>1.1948296301539147</v>
      </c>
      <c r="O56" s="6">
        <f t="shared" si="12"/>
        <v>63.098885721297549</v>
      </c>
      <c r="P56" s="6">
        <f t="shared" si="12"/>
        <v>63.488901593612809</v>
      </c>
      <c r="Q56" s="6">
        <f t="shared" si="6"/>
        <v>1.1948296301539147</v>
      </c>
      <c r="T56" s="6">
        <f t="shared" si="11"/>
        <v>1.1948296301539147</v>
      </c>
    </row>
    <row r="57" spans="1:20">
      <c r="B57">
        <f t="shared" si="7"/>
        <v>54</v>
      </c>
      <c r="C57">
        <f t="shared" si="0"/>
        <v>29</v>
      </c>
      <c r="D57">
        <v>32</v>
      </c>
      <c r="E57">
        <v>61</v>
      </c>
      <c r="F57">
        <f>KcSPLINE!F$5</f>
        <v>1.2000000000000002</v>
      </c>
      <c r="G57">
        <f>KcSPLINE!F$6</f>
        <v>1.1536309284926189</v>
      </c>
      <c r="H57" s="6">
        <f>KcSPLINE!K$5</f>
        <v>5.5955633969502616E-5</v>
      </c>
      <c r="I57" s="6">
        <f>KcSPLINE!K$6</f>
        <v>-6.2984272350780817E-4</v>
      </c>
      <c r="J57">
        <f t="shared" si="1"/>
        <v>0.2413793103448276</v>
      </c>
      <c r="K57">
        <f t="shared" si="2"/>
        <v>0.75862068965517238</v>
      </c>
      <c r="L57">
        <f t="shared" si="3"/>
        <v>8</v>
      </c>
      <c r="M57" s="13">
        <f t="shared" si="4"/>
        <v>1.1648234629944005</v>
      </c>
      <c r="N57" s="13">
        <f t="shared" si="13"/>
        <v>1.1914703981421213</v>
      </c>
      <c r="O57" s="6">
        <f t="shared" si="12"/>
        <v>64.263709184291955</v>
      </c>
      <c r="P57" s="6">
        <f t="shared" si="12"/>
        <v>64.680371991754924</v>
      </c>
      <c r="Q57" s="6">
        <f t="shared" si="6"/>
        <v>1.1914703981421213</v>
      </c>
      <c r="T57" s="6">
        <f t="shared" si="11"/>
        <v>1.1914703981421213</v>
      </c>
    </row>
    <row r="58" spans="1:20">
      <c r="B58">
        <f t="shared" si="7"/>
        <v>55</v>
      </c>
      <c r="C58">
        <f t="shared" si="0"/>
        <v>29</v>
      </c>
      <c r="D58">
        <v>32</v>
      </c>
      <c r="E58">
        <v>61</v>
      </c>
      <c r="F58">
        <f>KcSPLINE!F$5</f>
        <v>1.2000000000000002</v>
      </c>
      <c r="G58">
        <f>KcSPLINE!F$6</f>
        <v>1.1536309284926189</v>
      </c>
      <c r="H58" s="6">
        <f>KcSPLINE!K$5</f>
        <v>5.5955633969502616E-5</v>
      </c>
      <c r="I58" s="6">
        <f>KcSPLINE!K$6</f>
        <v>-6.2984272350780817E-4</v>
      </c>
      <c r="J58">
        <f t="shared" si="1"/>
        <v>0.20689655172413793</v>
      </c>
      <c r="K58">
        <f t="shared" si="2"/>
        <v>0.7931034482758621</v>
      </c>
      <c r="L58">
        <f t="shared" si="3"/>
        <v>9</v>
      </c>
      <c r="M58" s="13">
        <f t="shared" si="4"/>
        <v>1.1632245294941461</v>
      </c>
      <c r="N58" s="13">
        <f t="shared" si="13"/>
        <v>1.1876468609413837</v>
      </c>
      <c r="O58" s="6">
        <f t="shared" si="12"/>
        <v>65.426933713786099</v>
      </c>
      <c r="P58" s="6">
        <f t="shared" si="12"/>
        <v>65.868018852696309</v>
      </c>
      <c r="Q58" s="6">
        <f t="shared" si="6"/>
        <v>1.1876468609413837</v>
      </c>
      <c r="T58" s="6">
        <f t="shared" si="11"/>
        <v>1.1876468609413837</v>
      </c>
    </row>
    <row r="59" spans="1:20">
      <c r="B59">
        <f t="shared" si="7"/>
        <v>56</v>
      </c>
      <c r="C59">
        <f t="shared" si="0"/>
        <v>29</v>
      </c>
      <c r="D59">
        <v>32</v>
      </c>
      <c r="E59">
        <v>61</v>
      </c>
      <c r="F59">
        <f>KcSPLINE!F$5</f>
        <v>1.2000000000000002</v>
      </c>
      <c r="G59">
        <f>KcSPLINE!F$6</f>
        <v>1.1536309284926189</v>
      </c>
      <c r="H59" s="6">
        <f>KcSPLINE!K$5</f>
        <v>5.5955633969502616E-5</v>
      </c>
      <c r="I59" s="6">
        <f>KcSPLINE!K$6</f>
        <v>-6.2984272350780817E-4</v>
      </c>
      <c r="J59">
        <f t="shared" si="1"/>
        <v>0.17241379310344829</v>
      </c>
      <c r="K59">
        <f t="shared" si="2"/>
        <v>0.82758620689655171</v>
      </c>
      <c r="L59">
        <f t="shared" si="3"/>
        <v>10</v>
      </c>
      <c r="M59" s="13">
        <f t="shared" si="4"/>
        <v>1.1616255959938915</v>
      </c>
      <c r="N59" s="13">
        <f t="shared" si="13"/>
        <v>1.1833353703324783</v>
      </c>
      <c r="O59" s="6">
        <f t="shared" si="12"/>
        <v>66.588559309779995</v>
      </c>
      <c r="P59" s="6">
        <f t="shared" si="12"/>
        <v>67.051354223028781</v>
      </c>
      <c r="Q59" s="6">
        <f t="shared" si="6"/>
        <v>1.1833353703324783</v>
      </c>
      <c r="T59" s="6">
        <f t="shared" si="11"/>
        <v>1.1833353703324783</v>
      </c>
    </row>
    <row r="60" spans="1:20">
      <c r="B60">
        <f t="shared" si="7"/>
        <v>57</v>
      </c>
      <c r="C60">
        <f t="shared" si="0"/>
        <v>29</v>
      </c>
      <c r="D60">
        <v>32</v>
      </c>
      <c r="E60">
        <v>61</v>
      </c>
      <c r="F60">
        <f>KcSPLINE!F$5</f>
        <v>1.2000000000000002</v>
      </c>
      <c r="G60">
        <f>KcSPLINE!F$6</f>
        <v>1.1536309284926189</v>
      </c>
      <c r="H60" s="6">
        <f>KcSPLINE!K$5</f>
        <v>5.5955633969502616E-5</v>
      </c>
      <c r="I60" s="6">
        <f>KcSPLINE!K$6</f>
        <v>-6.2984272350780817E-4</v>
      </c>
      <c r="J60">
        <f t="shared" si="1"/>
        <v>0.13793103448275862</v>
      </c>
      <c r="K60">
        <f t="shared" si="2"/>
        <v>0.86206896551724133</v>
      </c>
      <c r="L60">
        <f t="shared" si="3"/>
        <v>11</v>
      </c>
      <c r="M60" s="13">
        <f t="shared" si="4"/>
        <v>1.1600266624936371</v>
      </c>
      <c r="N60" s="13">
        <f t="shared" si="13"/>
        <v>1.1785122780961819</v>
      </c>
      <c r="O60" s="6">
        <f t="shared" si="12"/>
        <v>67.748585972273631</v>
      </c>
      <c r="P60" s="6">
        <f t="shared" si="12"/>
        <v>68.22986650112496</v>
      </c>
      <c r="Q60" s="6">
        <f t="shared" si="6"/>
        <v>1.1785122780961819</v>
      </c>
      <c r="T60" s="6">
        <f t="shared" si="11"/>
        <v>1.1785122780961819</v>
      </c>
    </row>
    <row r="61" spans="1:20">
      <c r="B61">
        <f t="shared" si="7"/>
        <v>58</v>
      </c>
      <c r="C61">
        <f t="shared" si="0"/>
        <v>29</v>
      </c>
      <c r="D61">
        <v>32</v>
      </c>
      <c r="E61">
        <v>61</v>
      </c>
      <c r="F61">
        <f>KcSPLINE!F$5</f>
        <v>1.2000000000000002</v>
      </c>
      <c r="G61">
        <f>KcSPLINE!F$6</f>
        <v>1.1536309284926189</v>
      </c>
      <c r="H61" s="6">
        <f>KcSPLINE!K$5</f>
        <v>5.5955633969502616E-5</v>
      </c>
      <c r="I61" s="6">
        <f>KcSPLINE!K$6</f>
        <v>-6.2984272350780817E-4</v>
      </c>
      <c r="J61">
        <f t="shared" si="1"/>
        <v>0.10344827586206896</v>
      </c>
      <c r="K61">
        <f t="shared" si="2"/>
        <v>0.89655172413793105</v>
      </c>
      <c r="L61">
        <f t="shared" si="3"/>
        <v>12</v>
      </c>
      <c r="M61" s="13">
        <f t="shared" si="4"/>
        <v>1.1584277289933826</v>
      </c>
      <c r="N61" s="13">
        <f t="shared" si="13"/>
        <v>1.1731539360132712</v>
      </c>
      <c r="O61" s="6">
        <f t="shared" si="12"/>
        <v>68.907013701267019</v>
      </c>
      <c r="P61" s="6">
        <f t="shared" si="12"/>
        <v>69.403020437138224</v>
      </c>
      <c r="Q61" s="6">
        <f t="shared" si="6"/>
        <v>1.1731539360132712</v>
      </c>
      <c r="T61" s="6">
        <f t="shared" si="11"/>
        <v>1.1731539360132712</v>
      </c>
    </row>
    <row r="62" spans="1:20">
      <c r="B62">
        <f t="shared" si="7"/>
        <v>59</v>
      </c>
      <c r="C62">
        <f t="shared" si="0"/>
        <v>29</v>
      </c>
      <c r="D62">
        <v>32</v>
      </c>
      <c r="E62">
        <v>61</v>
      </c>
      <c r="F62">
        <f>KcSPLINE!F$5</f>
        <v>1.2000000000000002</v>
      </c>
      <c r="G62">
        <f>KcSPLINE!F$6</f>
        <v>1.1536309284926189</v>
      </c>
      <c r="H62" s="6">
        <f>KcSPLINE!K$5</f>
        <v>5.5955633969502616E-5</v>
      </c>
      <c r="I62" s="6">
        <f>KcSPLINE!K$6</f>
        <v>-6.2984272350780817E-4</v>
      </c>
      <c r="J62">
        <f t="shared" si="1"/>
        <v>6.8965517241379309E-2</v>
      </c>
      <c r="K62">
        <f t="shared" si="2"/>
        <v>0.93103448275862066</v>
      </c>
      <c r="L62">
        <f t="shared" si="3"/>
        <v>13</v>
      </c>
      <c r="M62" s="13">
        <f t="shared" si="4"/>
        <v>1.156828795493128</v>
      </c>
      <c r="N62" s="13">
        <f t="shared" si="13"/>
        <v>1.1672366958645226</v>
      </c>
      <c r="O62" s="6">
        <f t="shared" si="12"/>
        <v>70.063842496760145</v>
      </c>
      <c r="P62" s="6">
        <f t="shared" si="12"/>
        <v>70.570257133002741</v>
      </c>
      <c r="Q62" s="6">
        <f t="shared" si="6"/>
        <v>1.1672366958645226</v>
      </c>
      <c r="T62" s="6">
        <f t="shared" si="11"/>
        <v>1.1672366958645226</v>
      </c>
    </row>
    <row r="63" spans="1:20">
      <c r="B63">
        <f t="shared" si="7"/>
        <v>60</v>
      </c>
      <c r="C63">
        <f t="shared" si="0"/>
        <v>29</v>
      </c>
      <c r="D63">
        <v>32</v>
      </c>
      <c r="E63">
        <v>61</v>
      </c>
      <c r="F63">
        <f>KcSPLINE!F$5</f>
        <v>1.2000000000000002</v>
      </c>
      <c r="G63">
        <f>KcSPLINE!F$6</f>
        <v>1.1536309284926189</v>
      </c>
      <c r="H63" s="6">
        <f>KcSPLINE!K$5</f>
        <v>5.5955633969502616E-5</v>
      </c>
      <c r="I63" s="6">
        <f>KcSPLINE!K$6</f>
        <v>-6.2984272350780817E-4</v>
      </c>
      <c r="J63">
        <f t="shared" si="1"/>
        <v>3.4482758620689655E-2</v>
      </c>
      <c r="K63">
        <f t="shared" si="2"/>
        <v>0.96551724137931039</v>
      </c>
      <c r="L63">
        <f t="shared" si="3"/>
        <v>14</v>
      </c>
      <c r="M63" s="13">
        <f t="shared" si="4"/>
        <v>1.1552298619928736</v>
      </c>
      <c r="N63" s="13">
        <f t="shared" si="13"/>
        <v>1.1607369094307132</v>
      </c>
      <c r="O63" s="6">
        <f t="shared" si="12"/>
        <v>71.219072358753024</v>
      </c>
      <c r="P63" s="6">
        <f t="shared" si="12"/>
        <v>71.730994042433451</v>
      </c>
      <c r="Q63" s="6">
        <f t="shared" si="6"/>
        <v>1.1607369094307132</v>
      </c>
      <c r="T63" s="6">
        <f t="shared" si="11"/>
        <v>1.1607369094307132</v>
      </c>
    </row>
    <row r="64" spans="1:20">
      <c r="A64">
        <v>61</v>
      </c>
      <c r="B64">
        <f t="shared" si="7"/>
        <v>61</v>
      </c>
      <c r="C64">
        <f t="shared" si="0"/>
        <v>29</v>
      </c>
      <c r="D64">
        <v>32</v>
      </c>
      <c r="E64">
        <v>61</v>
      </c>
      <c r="F64">
        <f>KcSPLINE!F$5</f>
        <v>1.2000000000000002</v>
      </c>
      <c r="G64">
        <f>KcSPLINE!F$6</f>
        <v>1.1536309284926189</v>
      </c>
      <c r="H64" s="6">
        <f>KcSPLINE!K$5</f>
        <v>5.5955633969502616E-5</v>
      </c>
      <c r="I64" s="6">
        <f>KcSPLINE!K$6</f>
        <v>-6.2984272350780817E-4</v>
      </c>
      <c r="J64">
        <f t="shared" si="1"/>
        <v>0</v>
      </c>
      <c r="K64">
        <f t="shared" si="2"/>
        <v>1</v>
      </c>
      <c r="L64">
        <f t="shared" si="3"/>
        <v>15</v>
      </c>
      <c r="M64" s="13">
        <f t="shared" si="4"/>
        <v>1.1536309284926189</v>
      </c>
      <c r="N64" s="13">
        <f t="shared" si="13"/>
        <v>1.1536309284926189</v>
      </c>
      <c r="O64" s="6">
        <f t="shared" si="12"/>
        <v>72.372703287245642</v>
      </c>
      <c r="P64" s="6">
        <f t="shared" si="12"/>
        <v>72.884624970926069</v>
      </c>
      <c r="Q64" s="6">
        <f t="shared" si="6"/>
        <v>1.1536309284926189</v>
      </c>
      <c r="T64" s="6">
        <f t="shared" si="11"/>
        <v>1.1536309284926189</v>
      </c>
    </row>
    <row r="65" spans="2:20">
      <c r="B65">
        <f t="shared" si="7"/>
        <v>62</v>
      </c>
      <c r="C65">
        <f t="shared" si="0"/>
        <v>31</v>
      </c>
      <c r="D65">
        <v>61</v>
      </c>
      <c r="E65">
        <v>92</v>
      </c>
      <c r="F65">
        <f>KcSPLINE!F$6</f>
        <v>1.1536309284926189</v>
      </c>
      <c r="G65">
        <f>KcSPLINE!F$7</f>
        <v>0.70892984401608183</v>
      </c>
      <c r="H65" s="6">
        <f>KcSPLINE!K$6</f>
        <v>-6.2984272350780817E-4</v>
      </c>
      <c r="I65" s="6">
        <f>KcSPLINE!K$7</f>
        <v>-8.1263329137791062E-5</v>
      </c>
      <c r="J65">
        <f t="shared" si="1"/>
        <v>0.967741935483871</v>
      </c>
      <c r="K65">
        <f t="shared" si="2"/>
        <v>3.2258064516129031E-2</v>
      </c>
      <c r="L65">
        <f t="shared" si="3"/>
        <v>16</v>
      </c>
      <c r="M65" s="6">
        <f t="shared" si="4"/>
        <v>1.1392857322191823</v>
      </c>
      <c r="N65" s="13">
        <f t="shared" si="13"/>
        <v>1.1459019955524703</v>
      </c>
      <c r="O65" s="6">
        <f t="shared" si="12"/>
        <v>73.511989019464821</v>
      </c>
      <c r="P65" s="6">
        <f t="shared" si="12"/>
        <v>74.030526966478533</v>
      </c>
      <c r="Q65" s="6">
        <f t="shared" si="6"/>
        <v>1.1459019955524703</v>
      </c>
      <c r="T65" s="6">
        <f t="shared" si="11"/>
        <v>1.1459019955524703</v>
      </c>
    </row>
    <row r="66" spans="2:20">
      <c r="B66">
        <f t="shared" si="7"/>
        <v>63</v>
      </c>
      <c r="C66">
        <f t="shared" si="0"/>
        <v>31</v>
      </c>
      <c r="D66">
        <v>61</v>
      </c>
      <c r="E66">
        <v>92</v>
      </c>
      <c r="F66">
        <f>KcSPLINE!F$6</f>
        <v>1.1536309284926189</v>
      </c>
      <c r="G66">
        <f>KcSPLINE!F$7</f>
        <v>0.70892984401608183</v>
      </c>
      <c r="H66" s="6">
        <f>KcSPLINE!K$6</f>
        <v>-6.2984272350780817E-4</v>
      </c>
      <c r="I66" s="6">
        <f>KcSPLINE!K$7</f>
        <v>-8.1263329137791062E-5</v>
      </c>
      <c r="J66">
        <f t="shared" si="1"/>
        <v>0.93548387096774188</v>
      </c>
      <c r="K66">
        <f t="shared" si="2"/>
        <v>6.4516129032258063E-2</v>
      </c>
      <c r="L66">
        <f t="shared" si="3"/>
        <v>17</v>
      </c>
      <c r="M66" s="6">
        <f t="shared" si="4"/>
        <v>1.1249405359457454</v>
      </c>
      <c r="N66" s="13">
        <f t="shared" si="13"/>
        <v>1.1375609159983093</v>
      </c>
      <c r="O66" s="6">
        <f t="shared" si="12"/>
        <v>74.636929555410561</v>
      </c>
      <c r="P66" s="6">
        <f t="shared" si="12"/>
        <v>75.16808788247684</v>
      </c>
      <c r="Q66" s="6">
        <f t="shared" si="6"/>
        <v>1.1375609159983093</v>
      </c>
      <c r="T66" s="6">
        <f t="shared" si="11"/>
        <v>1.1375609159983093</v>
      </c>
    </row>
    <row r="67" spans="2:20">
      <c r="B67">
        <f t="shared" si="7"/>
        <v>64</v>
      </c>
      <c r="C67">
        <f t="shared" si="0"/>
        <v>31</v>
      </c>
      <c r="D67">
        <v>61</v>
      </c>
      <c r="E67">
        <v>92</v>
      </c>
      <c r="F67">
        <f>KcSPLINE!F$6</f>
        <v>1.1536309284926189</v>
      </c>
      <c r="G67">
        <f>KcSPLINE!F$7</f>
        <v>0.70892984401608183</v>
      </c>
      <c r="H67" s="6">
        <f>KcSPLINE!K$6</f>
        <v>-6.2984272350780817E-4</v>
      </c>
      <c r="I67" s="6">
        <f>KcSPLINE!K$7</f>
        <v>-8.1263329137791062E-5</v>
      </c>
      <c r="J67">
        <f t="shared" si="1"/>
        <v>0.90322580645161288</v>
      </c>
      <c r="K67">
        <f t="shared" si="2"/>
        <v>9.6774193548387094E-2</v>
      </c>
      <c r="L67">
        <f t="shared" si="3"/>
        <v>18</v>
      </c>
      <c r="M67" s="6">
        <f t="shared" si="4"/>
        <v>1.1105953396723089</v>
      </c>
      <c r="N67" s="13">
        <f t="shared" si="13"/>
        <v>1.1286253859396327</v>
      </c>
      <c r="O67" s="6">
        <f t="shared" si="12"/>
        <v>75.747524895082876</v>
      </c>
      <c r="P67" s="6">
        <f t="shared" si="12"/>
        <v>76.296713268416468</v>
      </c>
      <c r="Q67" s="6">
        <f t="shared" si="6"/>
        <v>1.1286253859396327</v>
      </c>
      <c r="T67" s="6">
        <f t="shared" si="11"/>
        <v>1.1286253859396327</v>
      </c>
    </row>
    <row r="68" spans="2:20">
      <c r="B68">
        <f t="shared" si="7"/>
        <v>65</v>
      </c>
      <c r="C68">
        <f t="shared" ref="C68:C131" si="14">E68-D68</f>
        <v>31</v>
      </c>
      <c r="D68">
        <v>61</v>
      </c>
      <c r="E68">
        <v>92</v>
      </c>
      <c r="F68">
        <f>KcSPLINE!F$6</f>
        <v>1.1536309284926189</v>
      </c>
      <c r="G68">
        <f>KcSPLINE!F$7</f>
        <v>0.70892984401608183</v>
      </c>
      <c r="H68" s="6">
        <f>KcSPLINE!K$6</f>
        <v>-6.2984272350780817E-4</v>
      </c>
      <c r="I68" s="6">
        <f>KcSPLINE!K$7</f>
        <v>-8.1263329137791062E-5</v>
      </c>
      <c r="J68">
        <f t="shared" ref="J68:J131" si="15">(E68-B68)/C68</f>
        <v>0.87096774193548387</v>
      </c>
      <c r="K68">
        <f t="shared" ref="K68:K131" si="16">(B68-D68)/C68</f>
        <v>0.12903225806451613</v>
      </c>
      <c r="L68">
        <f t="shared" ref="L68:L131" si="17">B68-46</f>
        <v>19</v>
      </c>
      <c r="M68" s="6">
        <f t="shared" ref="M68:M131" si="18">J68*F68+K68*G68</f>
        <v>1.0962501433988723</v>
      </c>
      <c r="N68" s="13">
        <f t="shared" si="13"/>
        <v>1.1191131014859355</v>
      </c>
      <c r="O68" s="6">
        <f t="shared" si="12"/>
        <v>76.843775038481752</v>
      </c>
      <c r="P68" s="6">
        <f t="shared" si="12"/>
        <v>77.415826369902405</v>
      </c>
      <c r="Q68" s="6">
        <f t="shared" ref="Q68:Q131" si="19">M68+(((J68^3-J68)*H68+(K68^3-K68)*I68))*(C68^2)/6</f>
        <v>1.1191131014859355</v>
      </c>
      <c r="T68" s="6">
        <f t="shared" si="11"/>
        <v>1.1191131014859355</v>
      </c>
    </row>
    <row r="69" spans="2:20">
      <c r="B69">
        <f t="shared" ref="B69:B132" si="20">B68+1</f>
        <v>66</v>
      </c>
      <c r="C69">
        <f t="shared" si="14"/>
        <v>31</v>
      </c>
      <c r="D69">
        <v>61</v>
      </c>
      <c r="E69">
        <v>92</v>
      </c>
      <c r="F69">
        <f>KcSPLINE!F$6</f>
        <v>1.1536309284926189</v>
      </c>
      <c r="G69">
        <f>KcSPLINE!F$7</f>
        <v>0.70892984401608183</v>
      </c>
      <c r="H69" s="6">
        <f>KcSPLINE!K$6</f>
        <v>-6.2984272350780817E-4</v>
      </c>
      <c r="I69" s="6">
        <f>KcSPLINE!K$7</f>
        <v>-8.1263329137791062E-5</v>
      </c>
      <c r="J69">
        <f t="shared" si="15"/>
        <v>0.83870967741935487</v>
      </c>
      <c r="K69">
        <f t="shared" si="16"/>
        <v>0.16129032258064516</v>
      </c>
      <c r="L69">
        <f t="shared" si="17"/>
        <v>20</v>
      </c>
      <c r="M69" s="6">
        <f t="shared" si="18"/>
        <v>1.0819049471254356</v>
      </c>
      <c r="N69" s="13">
        <f t="shared" si="13"/>
        <v>1.1090417587467136</v>
      </c>
      <c r="O69" s="6">
        <f t="shared" ref="O69:P84" si="21">O68+M69</f>
        <v>77.925679985607189</v>
      </c>
      <c r="P69" s="6">
        <f t="shared" si="21"/>
        <v>78.524868128649118</v>
      </c>
      <c r="Q69" s="6">
        <f t="shared" si="19"/>
        <v>1.1090417587467136</v>
      </c>
      <c r="T69" s="6">
        <f t="shared" si="11"/>
        <v>1.1090417587467136</v>
      </c>
    </row>
    <row r="70" spans="2:20">
      <c r="B70">
        <f t="shared" si="20"/>
        <v>67</v>
      </c>
      <c r="C70">
        <f t="shared" si="14"/>
        <v>31</v>
      </c>
      <c r="D70">
        <v>61</v>
      </c>
      <c r="E70">
        <v>92</v>
      </c>
      <c r="F70">
        <f>KcSPLINE!F$6</f>
        <v>1.1536309284926189</v>
      </c>
      <c r="G70">
        <f>KcSPLINE!F$7</f>
        <v>0.70892984401608183</v>
      </c>
      <c r="H70" s="6">
        <f>KcSPLINE!K$6</f>
        <v>-6.2984272350780817E-4</v>
      </c>
      <c r="I70" s="6">
        <f>KcSPLINE!K$7</f>
        <v>-8.1263329137791062E-5</v>
      </c>
      <c r="J70">
        <f t="shared" si="15"/>
        <v>0.80645161290322576</v>
      </c>
      <c r="K70">
        <f t="shared" si="16"/>
        <v>0.19354838709677419</v>
      </c>
      <c r="L70">
        <f t="shared" si="17"/>
        <v>21</v>
      </c>
      <c r="M70" s="6">
        <f t="shared" si="18"/>
        <v>1.0675597508519987</v>
      </c>
      <c r="N70" s="13">
        <f t="shared" si="13"/>
        <v>1.0984290538314629</v>
      </c>
      <c r="O70" s="6">
        <f t="shared" si="21"/>
        <v>78.993239736459188</v>
      </c>
      <c r="P70" s="6">
        <f t="shared" si="21"/>
        <v>79.623297182480584</v>
      </c>
      <c r="Q70" s="6">
        <f t="shared" si="19"/>
        <v>1.0984290538314629</v>
      </c>
      <c r="T70" s="6">
        <f t="shared" si="11"/>
        <v>1.0984290538314629</v>
      </c>
    </row>
    <row r="71" spans="2:20">
      <c r="B71">
        <f t="shared" si="20"/>
        <v>68</v>
      </c>
      <c r="C71">
        <f t="shared" si="14"/>
        <v>31</v>
      </c>
      <c r="D71">
        <v>61</v>
      </c>
      <c r="E71">
        <v>92</v>
      </c>
      <c r="F71">
        <f>KcSPLINE!F$6</f>
        <v>1.1536309284926189</v>
      </c>
      <c r="G71">
        <f>KcSPLINE!F$7</f>
        <v>0.70892984401608183</v>
      </c>
      <c r="H71" s="6">
        <f>KcSPLINE!K$6</f>
        <v>-6.2984272350780817E-4</v>
      </c>
      <c r="I71" s="6">
        <f>KcSPLINE!K$7</f>
        <v>-8.1263329137791062E-5</v>
      </c>
      <c r="J71">
        <f t="shared" si="15"/>
        <v>0.77419354838709675</v>
      </c>
      <c r="K71">
        <f t="shared" si="16"/>
        <v>0.22580645161290322</v>
      </c>
      <c r="L71">
        <f t="shared" si="17"/>
        <v>22</v>
      </c>
      <c r="M71" s="6">
        <f t="shared" si="18"/>
        <v>1.0532145545785623</v>
      </c>
      <c r="N71" s="13">
        <f t="shared" si="13"/>
        <v>1.0872926828496796</v>
      </c>
      <c r="O71" s="6">
        <f t="shared" si="21"/>
        <v>80.046454291037747</v>
      </c>
      <c r="P71" s="6">
        <f t="shared" si="21"/>
        <v>80.710589865330263</v>
      </c>
      <c r="Q71" s="6">
        <f t="shared" si="19"/>
        <v>1.0872926828496796</v>
      </c>
      <c r="T71" s="6">
        <f t="shared" si="11"/>
        <v>1.0872926828496796</v>
      </c>
    </row>
    <row r="72" spans="2:20">
      <c r="B72">
        <f t="shared" si="20"/>
        <v>69</v>
      </c>
      <c r="C72">
        <f t="shared" si="14"/>
        <v>31</v>
      </c>
      <c r="D72">
        <v>61</v>
      </c>
      <c r="E72">
        <v>92</v>
      </c>
      <c r="F72">
        <f>KcSPLINE!F$6</f>
        <v>1.1536309284926189</v>
      </c>
      <c r="G72">
        <f>KcSPLINE!F$7</f>
        <v>0.70892984401608183</v>
      </c>
      <c r="H72" s="6">
        <f>KcSPLINE!K$6</f>
        <v>-6.2984272350780817E-4</v>
      </c>
      <c r="I72" s="6">
        <f>KcSPLINE!K$7</f>
        <v>-8.1263329137791062E-5</v>
      </c>
      <c r="J72">
        <f t="shared" si="15"/>
        <v>0.74193548387096775</v>
      </c>
      <c r="K72">
        <f t="shared" si="16"/>
        <v>0.25806451612903225</v>
      </c>
      <c r="L72">
        <f t="shared" si="17"/>
        <v>23</v>
      </c>
      <c r="M72" s="6">
        <f t="shared" si="18"/>
        <v>1.0388693583051256</v>
      </c>
      <c r="N72" s="13">
        <f t="shared" si="13"/>
        <v>1.0756503419108587</v>
      </c>
      <c r="O72" s="6">
        <f t="shared" si="21"/>
        <v>81.085323649342868</v>
      </c>
      <c r="P72" s="6">
        <f t="shared" si="21"/>
        <v>81.786240207241121</v>
      </c>
      <c r="Q72" s="6">
        <f t="shared" si="19"/>
        <v>1.0756503419108587</v>
      </c>
      <c r="T72" s="6">
        <f t="shared" si="11"/>
        <v>1.0756503419108587</v>
      </c>
    </row>
    <row r="73" spans="2:20">
      <c r="B73">
        <f t="shared" si="20"/>
        <v>70</v>
      </c>
      <c r="C73">
        <f t="shared" si="14"/>
        <v>31</v>
      </c>
      <c r="D73">
        <v>61</v>
      </c>
      <c r="E73">
        <v>92</v>
      </c>
      <c r="F73">
        <f>KcSPLINE!F$6</f>
        <v>1.1536309284926189</v>
      </c>
      <c r="G73">
        <f>KcSPLINE!F$7</f>
        <v>0.70892984401608183</v>
      </c>
      <c r="H73" s="6">
        <f>KcSPLINE!K$6</f>
        <v>-6.2984272350780817E-4</v>
      </c>
      <c r="I73" s="6">
        <f>KcSPLINE!K$7</f>
        <v>-8.1263329137791062E-5</v>
      </c>
      <c r="J73">
        <f t="shared" si="15"/>
        <v>0.70967741935483875</v>
      </c>
      <c r="K73">
        <f t="shared" si="16"/>
        <v>0.29032258064516131</v>
      </c>
      <c r="L73">
        <f t="shared" si="17"/>
        <v>24</v>
      </c>
      <c r="M73" s="6">
        <f t="shared" si="18"/>
        <v>1.0245241620316889</v>
      </c>
      <c r="N73" s="13">
        <f t="shared" si="13"/>
        <v>1.0635197271244967</v>
      </c>
      <c r="O73" s="6">
        <f t="shared" si="21"/>
        <v>82.10984781137455</v>
      </c>
      <c r="P73" s="6">
        <f t="shared" si="21"/>
        <v>82.849759934365622</v>
      </c>
      <c r="Q73" s="6">
        <f t="shared" si="19"/>
        <v>1.0635197271244967</v>
      </c>
      <c r="T73" s="6">
        <f t="shared" si="11"/>
        <v>1.0635197271244967</v>
      </c>
    </row>
    <row r="74" spans="2:20">
      <c r="B74">
        <f t="shared" si="20"/>
        <v>71</v>
      </c>
      <c r="C74">
        <f t="shared" si="14"/>
        <v>31</v>
      </c>
      <c r="D74">
        <v>61</v>
      </c>
      <c r="E74">
        <v>92</v>
      </c>
      <c r="F74">
        <f>KcSPLINE!F$6</f>
        <v>1.1536309284926189</v>
      </c>
      <c r="G74">
        <f>KcSPLINE!F$7</f>
        <v>0.70892984401608183</v>
      </c>
      <c r="H74" s="6">
        <f>KcSPLINE!K$6</f>
        <v>-6.2984272350780817E-4</v>
      </c>
      <c r="I74" s="6">
        <f>KcSPLINE!K$7</f>
        <v>-8.1263329137791062E-5</v>
      </c>
      <c r="J74">
        <f t="shared" si="15"/>
        <v>0.67741935483870963</v>
      </c>
      <c r="K74">
        <f t="shared" si="16"/>
        <v>0.32258064516129031</v>
      </c>
      <c r="L74">
        <f t="shared" si="17"/>
        <v>25</v>
      </c>
      <c r="M74" s="6">
        <f t="shared" si="18"/>
        <v>1.0101789657582521</v>
      </c>
      <c r="N74" s="13">
        <f t="shared" si="13"/>
        <v>1.0509185346000889</v>
      </c>
      <c r="O74" s="6">
        <f t="shared" si="21"/>
        <v>83.120026777132807</v>
      </c>
      <c r="P74" s="6">
        <f t="shared" si="21"/>
        <v>83.900678468965708</v>
      </c>
      <c r="Q74" s="6">
        <f t="shared" si="19"/>
        <v>1.0509185346000889</v>
      </c>
      <c r="T74" s="6">
        <f t="shared" si="11"/>
        <v>1.0509185346000889</v>
      </c>
    </row>
    <row r="75" spans="2:20">
      <c r="B75">
        <f t="shared" si="20"/>
        <v>72</v>
      </c>
      <c r="C75">
        <f t="shared" si="14"/>
        <v>31</v>
      </c>
      <c r="D75">
        <v>61</v>
      </c>
      <c r="E75">
        <v>92</v>
      </c>
      <c r="F75">
        <f>KcSPLINE!F$6</f>
        <v>1.1536309284926189</v>
      </c>
      <c r="G75">
        <f>KcSPLINE!F$7</f>
        <v>0.70892984401608183</v>
      </c>
      <c r="H75" s="6">
        <f>KcSPLINE!K$6</f>
        <v>-6.2984272350780817E-4</v>
      </c>
      <c r="I75" s="6">
        <f>KcSPLINE!K$7</f>
        <v>-8.1263329137791062E-5</v>
      </c>
      <c r="J75">
        <f t="shared" si="15"/>
        <v>0.64516129032258063</v>
      </c>
      <c r="K75">
        <f t="shared" si="16"/>
        <v>0.35483870967741937</v>
      </c>
      <c r="L75">
        <f t="shared" si="17"/>
        <v>26</v>
      </c>
      <c r="M75" s="6">
        <f t="shared" si="18"/>
        <v>0.99583376948481539</v>
      </c>
      <c r="N75" s="13">
        <f t="shared" si="13"/>
        <v>1.0378644604471314</v>
      </c>
      <c r="O75" s="6">
        <f t="shared" si="21"/>
        <v>84.115860546617625</v>
      </c>
      <c r="P75" s="6">
        <f t="shared" si="21"/>
        <v>84.938542929412833</v>
      </c>
      <c r="Q75" s="6">
        <f t="shared" si="19"/>
        <v>1.0378644604471314</v>
      </c>
      <c r="T75" s="6">
        <f t="shared" si="11"/>
        <v>1.0378644604471314</v>
      </c>
    </row>
    <row r="76" spans="2:20">
      <c r="B76">
        <f t="shared" si="20"/>
        <v>73</v>
      </c>
      <c r="C76">
        <f t="shared" si="14"/>
        <v>31</v>
      </c>
      <c r="D76">
        <v>61</v>
      </c>
      <c r="E76">
        <v>92</v>
      </c>
      <c r="F76">
        <f>KcSPLINE!F$6</f>
        <v>1.1536309284926189</v>
      </c>
      <c r="G76">
        <f>KcSPLINE!F$7</f>
        <v>0.70892984401608183</v>
      </c>
      <c r="H76" s="6">
        <f>KcSPLINE!K$6</f>
        <v>-6.2984272350780817E-4</v>
      </c>
      <c r="I76" s="6">
        <f>KcSPLINE!K$7</f>
        <v>-8.1263329137791062E-5</v>
      </c>
      <c r="J76">
        <f t="shared" si="15"/>
        <v>0.61290322580645162</v>
      </c>
      <c r="K76">
        <f t="shared" si="16"/>
        <v>0.38709677419354838</v>
      </c>
      <c r="L76">
        <f t="shared" si="17"/>
        <v>27</v>
      </c>
      <c r="M76" s="6">
        <f t="shared" si="18"/>
        <v>0.98148857321137872</v>
      </c>
      <c r="N76" s="13">
        <f t="shared" si="13"/>
        <v>1.0243752007751201</v>
      </c>
      <c r="O76" s="6">
        <f t="shared" si="21"/>
        <v>85.097349119829005</v>
      </c>
      <c r="P76" s="6">
        <f t="shared" si="21"/>
        <v>85.962918130187958</v>
      </c>
      <c r="Q76" s="6">
        <f t="shared" si="19"/>
        <v>1.0243752007751201</v>
      </c>
      <c r="T76" s="6">
        <f t="shared" si="11"/>
        <v>1.0243752007751201</v>
      </c>
    </row>
    <row r="77" spans="2:20">
      <c r="B77">
        <f t="shared" si="20"/>
        <v>74</v>
      </c>
      <c r="C77">
        <f t="shared" si="14"/>
        <v>31</v>
      </c>
      <c r="D77">
        <v>61</v>
      </c>
      <c r="E77">
        <v>92</v>
      </c>
      <c r="F77">
        <f>KcSPLINE!F$6</f>
        <v>1.1536309284926189</v>
      </c>
      <c r="G77">
        <f>KcSPLINE!F$7</f>
        <v>0.70892984401608183</v>
      </c>
      <c r="H77" s="6">
        <f>KcSPLINE!K$6</f>
        <v>-6.2984272350780817E-4</v>
      </c>
      <c r="I77" s="6">
        <f>KcSPLINE!K$7</f>
        <v>-8.1263329137791062E-5</v>
      </c>
      <c r="J77">
        <f t="shared" si="15"/>
        <v>0.58064516129032262</v>
      </c>
      <c r="K77">
        <f t="shared" si="16"/>
        <v>0.41935483870967744</v>
      </c>
      <c r="L77">
        <f t="shared" si="17"/>
        <v>28</v>
      </c>
      <c r="M77" s="6">
        <f t="shared" si="18"/>
        <v>0.96714337693794217</v>
      </c>
      <c r="N77" s="13">
        <f t="shared" si="13"/>
        <v>1.0104684516935509</v>
      </c>
      <c r="O77" s="6">
        <f t="shared" si="21"/>
        <v>86.064492496766945</v>
      </c>
      <c r="P77" s="6">
        <f t="shared" si="21"/>
        <v>86.973386581881513</v>
      </c>
      <c r="Q77" s="6">
        <f t="shared" si="19"/>
        <v>1.0104684516935509</v>
      </c>
      <c r="T77" s="6">
        <f t="shared" si="11"/>
        <v>1.0104684516935509</v>
      </c>
    </row>
    <row r="78" spans="2:20">
      <c r="B78">
        <f t="shared" si="20"/>
        <v>75</v>
      </c>
      <c r="C78">
        <f t="shared" si="14"/>
        <v>31</v>
      </c>
      <c r="D78">
        <v>61</v>
      </c>
      <c r="E78">
        <v>92</v>
      </c>
      <c r="F78">
        <f>KcSPLINE!F$6</f>
        <v>1.1536309284926189</v>
      </c>
      <c r="G78">
        <f>KcSPLINE!F$7</f>
        <v>0.70892984401608183</v>
      </c>
      <c r="H78" s="6">
        <f>KcSPLINE!K$6</f>
        <v>-6.2984272350780817E-4</v>
      </c>
      <c r="I78" s="6">
        <f>KcSPLINE!K$7</f>
        <v>-8.1263329137791062E-5</v>
      </c>
      <c r="J78">
        <f t="shared" si="15"/>
        <v>0.54838709677419351</v>
      </c>
      <c r="K78">
        <f t="shared" si="16"/>
        <v>0.45161290322580644</v>
      </c>
      <c r="L78">
        <f t="shared" si="17"/>
        <v>29</v>
      </c>
      <c r="M78" s="6">
        <f t="shared" si="18"/>
        <v>0.95279818066450539</v>
      </c>
      <c r="N78" s="13">
        <f t="shared" si="13"/>
        <v>0.99616190931191906</v>
      </c>
      <c r="O78" s="6">
        <f t="shared" si="21"/>
        <v>87.017290677431447</v>
      </c>
      <c r="P78" s="6">
        <f t="shared" si="21"/>
        <v>87.969548491193436</v>
      </c>
      <c r="Q78" s="6">
        <f t="shared" si="19"/>
        <v>0.99616190931191906</v>
      </c>
      <c r="T78" s="6">
        <f t="shared" si="11"/>
        <v>0.99616190931191906</v>
      </c>
    </row>
    <row r="79" spans="2:20">
      <c r="B79">
        <f t="shared" si="20"/>
        <v>76</v>
      </c>
      <c r="C79">
        <f t="shared" si="14"/>
        <v>31</v>
      </c>
      <c r="D79">
        <v>61</v>
      </c>
      <c r="E79">
        <v>92</v>
      </c>
      <c r="F79">
        <f>KcSPLINE!F$6</f>
        <v>1.1536309284926189</v>
      </c>
      <c r="G79">
        <f>KcSPLINE!F$7</f>
        <v>0.70892984401608183</v>
      </c>
      <c r="H79" s="6">
        <f>KcSPLINE!K$6</f>
        <v>-6.2984272350780817E-4</v>
      </c>
      <c r="I79" s="6">
        <f>KcSPLINE!K$7</f>
        <v>-8.1263329137791062E-5</v>
      </c>
      <c r="J79">
        <f t="shared" si="15"/>
        <v>0.5161290322580645</v>
      </c>
      <c r="K79">
        <f t="shared" si="16"/>
        <v>0.4838709677419355</v>
      </c>
      <c r="L79">
        <f t="shared" si="17"/>
        <v>30</v>
      </c>
      <c r="M79" s="6">
        <f t="shared" si="18"/>
        <v>0.93845298439106872</v>
      </c>
      <c r="N79" s="13">
        <f t="shared" si="13"/>
        <v>0.98147326973972082</v>
      </c>
      <c r="O79" s="6">
        <f t="shared" si="21"/>
        <v>87.95574366182251</v>
      </c>
      <c r="P79" s="6">
        <f t="shared" si="21"/>
        <v>88.951021760933159</v>
      </c>
      <c r="Q79" s="6">
        <f t="shared" si="19"/>
        <v>0.98147326973972082</v>
      </c>
      <c r="T79" s="6">
        <f t="shared" si="11"/>
        <v>0.98147326973972082</v>
      </c>
    </row>
    <row r="80" spans="2:20">
      <c r="B80">
        <f t="shared" si="20"/>
        <v>77</v>
      </c>
      <c r="C80">
        <f t="shared" si="14"/>
        <v>31</v>
      </c>
      <c r="D80">
        <v>61</v>
      </c>
      <c r="E80">
        <v>92</v>
      </c>
      <c r="F80">
        <f>KcSPLINE!F$6</f>
        <v>1.1536309284926189</v>
      </c>
      <c r="G80">
        <f>KcSPLINE!F$7</f>
        <v>0.70892984401608183</v>
      </c>
      <c r="H80" s="6">
        <f>KcSPLINE!K$6</f>
        <v>-6.2984272350780817E-4</v>
      </c>
      <c r="I80" s="6">
        <f>KcSPLINE!K$7</f>
        <v>-8.1263329137791062E-5</v>
      </c>
      <c r="J80">
        <f t="shared" si="15"/>
        <v>0.4838709677419355</v>
      </c>
      <c r="K80">
        <f t="shared" si="16"/>
        <v>0.5161290322580645</v>
      </c>
      <c r="L80">
        <f t="shared" si="17"/>
        <v>31</v>
      </c>
      <c r="M80" s="6">
        <f t="shared" si="18"/>
        <v>0.92410778811763206</v>
      </c>
      <c r="N80" s="13">
        <f t="shared" si="13"/>
        <v>0.96642022908645187</v>
      </c>
      <c r="O80" s="6">
        <f t="shared" si="21"/>
        <v>88.879851449940148</v>
      </c>
      <c r="P80" s="6">
        <f t="shared" si="21"/>
        <v>89.917441990019611</v>
      </c>
      <c r="Q80" s="6">
        <f t="shared" si="19"/>
        <v>0.96642022908645187</v>
      </c>
      <c r="T80" s="6">
        <f t="shared" si="11"/>
        <v>0.96642022908645187</v>
      </c>
    </row>
    <row r="81" spans="1:20">
      <c r="B81">
        <f t="shared" si="20"/>
        <v>78</v>
      </c>
      <c r="C81">
        <f t="shared" si="14"/>
        <v>31</v>
      </c>
      <c r="D81">
        <v>61</v>
      </c>
      <c r="E81">
        <v>92</v>
      </c>
      <c r="F81">
        <f>KcSPLINE!F$6</f>
        <v>1.1536309284926189</v>
      </c>
      <c r="G81">
        <f>KcSPLINE!F$7</f>
        <v>0.70892984401608183</v>
      </c>
      <c r="H81" s="6">
        <f>KcSPLINE!K$6</f>
        <v>-6.2984272350780817E-4</v>
      </c>
      <c r="I81" s="6">
        <f>KcSPLINE!K$7</f>
        <v>-8.1263329137791062E-5</v>
      </c>
      <c r="J81">
        <f t="shared" si="15"/>
        <v>0.45161290322580644</v>
      </c>
      <c r="K81">
        <f t="shared" si="16"/>
        <v>0.54838709677419351</v>
      </c>
      <c r="L81">
        <f t="shared" si="17"/>
        <v>32</v>
      </c>
      <c r="M81" s="6">
        <f t="shared" si="18"/>
        <v>0.90976259184419539</v>
      </c>
      <c r="N81" s="13">
        <f t="shared" si="13"/>
        <v>0.95102048346160806</v>
      </c>
      <c r="O81" s="6">
        <f t="shared" si="21"/>
        <v>89.789614041784347</v>
      </c>
      <c r="P81" s="6">
        <f t="shared" si="21"/>
        <v>90.868462473481216</v>
      </c>
      <c r="Q81" s="6">
        <f t="shared" si="19"/>
        <v>0.95102048346160806</v>
      </c>
      <c r="T81" s="6">
        <f t="shared" si="11"/>
        <v>0.95102048346160806</v>
      </c>
    </row>
    <row r="82" spans="1:20">
      <c r="B82">
        <f t="shared" si="20"/>
        <v>79</v>
      </c>
      <c r="C82">
        <f t="shared" si="14"/>
        <v>31</v>
      </c>
      <c r="D82">
        <v>61</v>
      </c>
      <c r="E82">
        <v>92</v>
      </c>
      <c r="F82">
        <f>KcSPLINE!F$6</f>
        <v>1.1536309284926189</v>
      </c>
      <c r="G82">
        <f>KcSPLINE!F$7</f>
        <v>0.70892984401608183</v>
      </c>
      <c r="H82" s="6">
        <f>KcSPLINE!K$6</f>
        <v>-6.2984272350780817E-4</v>
      </c>
      <c r="I82" s="6">
        <f>KcSPLINE!K$7</f>
        <v>-8.1263329137791062E-5</v>
      </c>
      <c r="J82">
        <f t="shared" si="15"/>
        <v>0.41935483870967744</v>
      </c>
      <c r="K82">
        <f t="shared" si="16"/>
        <v>0.58064516129032262</v>
      </c>
      <c r="L82">
        <f t="shared" si="17"/>
        <v>33</v>
      </c>
      <c r="M82" s="6">
        <f t="shared" si="18"/>
        <v>0.89541739557075872</v>
      </c>
      <c r="N82" s="13">
        <f t="shared" si="13"/>
        <v>0.93529172897468504</v>
      </c>
      <c r="O82" s="6">
        <f t="shared" si="21"/>
        <v>90.685031437355107</v>
      </c>
      <c r="P82" s="6">
        <f t="shared" si="21"/>
        <v>91.803754202455906</v>
      </c>
      <c r="Q82" s="6">
        <f t="shared" si="19"/>
        <v>0.93529172897468504</v>
      </c>
      <c r="T82" s="6">
        <f t="shared" si="11"/>
        <v>0.93529172897468504</v>
      </c>
    </row>
    <row r="83" spans="1:20">
      <c r="B83">
        <f t="shared" si="20"/>
        <v>80</v>
      </c>
      <c r="C83">
        <f t="shared" si="14"/>
        <v>31</v>
      </c>
      <c r="D83">
        <v>61</v>
      </c>
      <c r="E83">
        <v>92</v>
      </c>
      <c r="F83">
        <f>KcSPLINE!F$6</f>
        <v>1.1536309284926189</v>
      </c>
      <c r="G83">
        <f>KcSPLINE!F$7</f>
        <v>0.70892984401608183</v>
      </c>
      <c r="H83" s="6">
        <f>KcSPLINE!K$6</f>
        <v>-6.2984272350780817E-4</v>
      </c>
      <c r="I83" s="6">
        <f>KcSPLINE!K$7</f>
        <v>-8.1263329137791062E-5</v>
      </c>
      <c r="J83">
        <f t="shared" si="15"/>
        <v>0.38709677419354838</v>
      </c>
      <c r="K83">
        <f t="shared" si="16"/>
        <v>0.61290322580645162</v>
      </c>
      <c r="L83">
        <f t="shared" si="17"/>
        <v>34</v>
      </c>
      <c r="M83" s="6">
        <f t="shared" si="18"/>
        <v>0.88107219929732206</v>
      </c>
      <c r="N83" s="13">
        <f t="shared" si="13"/>
        <v>0.91925166173517892</v>
      </c>
      <c r="O83" s="6">
        <f t="shared" si="21"/>
        <v>91.566103636652429</v>
      </c>
      <c r="P83" s="6">
        <f t="shared" si="21"/>
        <v>92.72300586419108</v>
      </c>
      <c r="Q83" s="6">
        <f t="shared" si="19"/>
        <v>0.91925166173517892</v>
      </c>
      <c r="T83" s="6">
        <f t="shared" si="11"/>
        <v>0.91925166173517892</v>
      </c>
    </row>
    <row r="84" spans="1:20">
      <c r="B84">
        <f t="shared" si="20"/>
        <v>81</v>
      </c>
      <c r="C84">
        <f t="shared" si="14"/>
        <v>31</v>
      </c>
      <c r="D84">
        <v>61</v>
      </c>
      <c r="E84">
        <v>92</v>
      </c>
      <c r="F84">
        <f>KcSPLINE!F$6</f>
        <v>1.1536309284926189</v>
      </c>
      <c r="G84">
        <f>KcSPLINE!F$7</f>
        <v>0.70892984401608183</v>
      </c>
      <c r="H84" s="6">
        <f>KcSPLINE!K$6</f>
        <v>-6.2984272350780817E-4</v>
      </c>
      <c r="I84" s="6">
        <f>KcSPLINE!K$7</f>
        <v>-8.1263329137791062E-5</v>
      </c>
      <c r="J84">
        <f t="shared" si="15"/>
        <v>0.35483870967741937</v>
      </c>
      <c r="K84">
        <f t="shared" si="16"/>
        <v>0.64516129032258063</v>
      </c>
      <c r="L84">
        <f t="shared" si="17"/>
        <v>35</v>
      </c>
      <c r="M84" s="6">
        <f t="shared" si="18"/>
        <v>0.86672700302388539</v>
      </c>
      <c r="N84" s="13">
        <f t="shared" si="13"/>
        <v>0.90291797785258521</v>
      </c>
      <c r="O84" s="6">
        <f t="shared" si="21"/>
        <v>92.432830639676311</v>
      </c>
      <c r="P84" s="6">
        <f t="shared" si="21"/>
        <v>93.625923842043662</v>
      </c>
      <c r="Q84" s="6">
        <f t="shared" si="19"/>
        <v>0.90291797785258521</v>
      </c>
      <c r="T84" s="6">
        <f t="shared" si="11"/>
        <v>0.90291797785258521</v>
      </c>
    </row>
    <row r="85" spans="1:20">
      <c r="B85">
        <f t="shared" si="20"/>
        <v>82</v>
      </c>
      <c r="C85">
        <f t="shared" si="14"/>
        <v>31</v>
      </c>
      <c r="D85">
        <v>61</v>
      </c>
      <c r="E85">
        <v>92</v>
      </c>
      <c r="F85">
        <f>KcSPLINE!F$6</f>
        <v>1.1536309284926189</v>
      </c>
      <c r="G85">
        <f>KcSPLINE!F$7</f>
        <v>0.70892984401608183</v>
      </c>
      <c r="H85" s="6">
        <f>KcSPLINE!K$6</f>
        <v>-6.2984272350780817E-4</v>
      </c>
      <c r="I85" s="6">
        <f>KcSPLINE!K$7</f>
        <v>-8.1263329137791062E-5</v>
      </c>
      <c r="J85">
        <f t="shared" si="15"/>
        <v>0.32258064516129031</v>
      </c>
      <c r="K85">
        <f t="shared" si="16"/>
        <v>0.67741935483870963</v>
      </c>
      <c r="L85">
        <f t="shared" si="17"/>
        <v>36</v>
      </c>
      <c r="M85" s="6">
        <f t="shared" si="18"/>
        <v>0.85238180675044861</v>
      </c>
      <c r="N85" s="13">
        <f t="shared" si="13"/>
        <v>0.88630837343639968</v>
      </c>
      <c r="O85" s="6">
        <f t="shared" ref="O85:P100" si="22">O84+M85</f>
        <v>93.285212446426755</v>
      </c>
      <c r="P85" s="6">
        <f t="shared" si="22"/>
        <v>94.512232215480054</v>
      </c>
      <c r="Q85" s="6">
        <f t="shared" si="19"/>
        <v>0.88630837343639968</v>
      </c>
      <c r="T85" s="6">
        <f t="shared" si="11"/>
        <v>0.88630837343639968</v>
      </c>
    </row>
    <row r="86" spans="1:20">
      <c r="B86">
        <f t="shared" si="20"/>
        <v>83</v>
      </c>
      <c r="C86">
        <f t="shared" si="14"/>
        <v>31</v>
      </c>
      <c r="D86">
        <v>61</v>
      </c>
      <c r="E86">
        <v>92</v>
      </c>
      <c r="F86">
        <f>KcSPLINE!F$6</f>
        <v>1.1536309284926189</v>
      </c>
      <c r="G86">
        <f>KcSPLINE!F$7</f>
        <v>0.70892984401608183</v>
      </c>
      <c r="H86" s="6">
        <f>KcSPLINE!K$6</f>
        <v>-6.2984272350780817E-4</v>
      </c>
      <c r="I86" s="6">
        <f>KcSPLINE!K$7</f>
        <v>-8.1263329137791062E-5</v>
      </c>
      <c r="J86">
        <f t="shared" si="15"/>
        <v>0.29032258064516131</v>
      </c>
      <c r="K86">
        <f t="shared" si="16"/>
        <v>0.70967741935483875</v>
      </c>
      <c r="L86">
        <f t="shared" si="17"/>
        <v>37</v>
      </c>
      <c r="M86" s="6">
        <f t="shared" si="18"/>
        <v>0.83803661047701206</v>
      </c>
      <c r="N86" s="13">
        <f t="shared" si="13"/>
        <v>0.86944054459611864</v>
      </c>
      <c r="O86" s="6">
        <f t="shared" si="22"/>
        <v>94.123249056903774</v>
      </c>
      <c r="P86" s="6">
        <f t="shared" si="22"/>
        <v>95.381672760076171</v>
      </c>
      <c r="Q86" s="6">
        <f t="shared" si="19"/>
        <v>0.86944054459611864</v>
      </c>
      <c r="T86" s="6">
        <f t="shared" si="11"/>
        <v>0.86944054459611864</v>
      </c>
    </row>
    <row r="87" spans="1:20">
      <c r="B87">
        <f t="shared" si="20"/>
        <v>84</v>
      </c>
      <c r="C87">
        <f t="shared" si="14"/>
        <v>31</v>
      </c>
      <c r="D87">
        <v>61</v>
      </c>
      <c r="E87">
        <v>92</v>
      </c>
      <c r="F87">
        <f>KcSPLINE!F$6</f>
        <v>1.1536309284926189</v>
      </c>
      <c r="G87">
        <f>KcSPLINE!F$7</f>
        <v>0.70892984401608183</v>
      </c>
      <c r="H87" s="6">
        <f>KcSPLINE!K$6</f>
        <v>-6.2984272350780817E-4</v>
      </c>
      <c r="I87" s="6">
        <f>KcSPLINE!K$7</f>
        <v>-8.1263329137791062E-5</v>
      </c>
      <c r="J87">
        <f t="shared" si="15"/>
        <v>0.25806451612903225</v>
      </c>
      <c r="K87">
        <f t="shared" si="16"/>
        <v>0.74193548387096775</v>
      </c>
      <c r="L87">
        <f t="shared" si="17"/>
        <v>38</v>
      </c>
      <c r="M87" s="6">
        <f t="shared" si="18"/>
        <v>0.82369141420357539</v>
      </c>
      <c r="N87" s="13">
        <f t="shared" si="13"/>
        <v>0.85233218744123729</v>
      </c>
      <c r="O87" s="6">
        <f t="shared" si="22"/>
        <v>94.946940471107354</v>
      </c>
      <c r="P87" s="6">
        <f t="shared" si="22"/>
        <v>96.234004947517406</v>
      </c>
      <c r="Q87" s="6">
        <f t="shared" si="19"/>
        <v>0.85233218744123729</v>
      </c>
      <c r="T87" s="6">
        <f t="shared" si="11"/>
        <v>0.85233218744123729</v>
      </c>
    </row>
    <row r="88" spans="1:20">
      <c r="B88">
        <f t="shared" si="20"/>
        <v>85</v>
      </c>
      <c r="C88">
        <f t="shared" si="14"/>
        <v>31</v>
      </c>
      <c r="D88">
        <v>61</v>
      </c>
      <c r="E88">
        <v>92</v>
      </c>
      <c r="F88">
        <f>KcSPLINE!F$6</f>
        <v>1.1536309284926189</v>
      </c>
      <c r="G88">
        <f>KcSPLINE!F$7</f>
        <v>0.70892984401608183</v>
      </c>
      <c r="H88" s="6">
        <f>KcSPLINE!K$6</f>
        <v>-6.2984272350780817E-4</v>
      </c>
      <c r="I88" s="6">
        <f>KcSPLINE!K$7</f>
        <v>-8.1263329137791062E-5</v>
      </c>
      <c r="J88">
        <f t="shared" si="15"/>
        <v>0.22580645161290322</v>
      </c>
      <c r="K88">
        <f t="shared" si="16"/>
        <v>0.77419354838709675</v>
      </c>
      <c r="L88">
        <f t="shared" si="17"/>
        <v>39</v>
      </c>
      <c r="M88" s="6">
        <f t="shared" si="18"/>
        <v>0.80934621793013861</v>
      </c>
      <c r="N88" s="13">
        <f t="shared" si="13"/>
        <v>0.83500099808125172</v>
      </c>
      <c r="O88" s="6">
        <f t="shared" si="22"/>
        <v>95.756286689037495</v>
      </c>
      <c r="P88" s="6">
        <f t="shared" si="22"/>
        <v>97.069005945598661</v>
      </c>
      <c r="Q88" s="6">
        <f t="shared" si="19"/>
        <v>0.83500099808125172</v>
      </c>
      <c r="T88" s="6">
        <f t="shared" si="11"/>
        <v>0.83500099808125172</v>
      </c>
    </row>
    <row r="89" spans="1:20">
      <c r="B89">
        <f t="shared" si="20"/>
        <v>86</v>
      </c>
      <c r="C89">
        <f t="shared" si="14"/>
        <v>31</v>
      </c>
      <c r="D89">
        <v>61</v>
      </c>
      <c r="E89">
        <v>92</v>
      </c>
      <c r="F89">
        <f>KcSPLINE!F$6</f>
        <v>1.1536309284926189</v>
      </c>
      <c r="G89">
        <f>KcSPLINE!F$7</f>
        <v>0.70892984401608183</v>
      </c>
      <c r="H89" s="6">
        <f>KcSPLINE!K$6</f>
        <v>-6.2984272350780817E-4</v>
      </c>
      <c r="I89" s="6">
        <f>KcSPLINE!K$7</f>
        <v>-8.1263329137791062E-5</v>
      </c>
      <c r="J89">
        <f t="shared" si="15"/>
        <v>0.19354838709677419</v>
      </c>
      <c r="K89">
        <f t="shared" si="16"/>
        <v>0.80645161290322576</v>
      </c>
      <c r="L89">
        <f t="shared" si="17"/>
        <v>40</v>
      </c>
      <c r="M89" s="6">
        <f t="shared" si="18"/>
        <v>0.79500102165670183</v>
      </c>
      <c r="N89" s="13">
        <f t="shared" si="13"/>
        <v>0.8174646726256577</v>
      </c>
      <c r="O89" s="6">
        <f t="shared" si="22"/>
        <v>96.551287710694197</v>
      </c>
      <c r="P89" s="6">
        <f t="shared" si="22"/>
        <v>97.886470618224322</v>
      </c>
      <c r="Q89" s="6">
        <f t="shared" si="19"/>
        <v>0.8174646726256577</v>
      </c>
      <c r="T89" s="6">
        <f t="shared" si="11"/>
        <v>0.8174646726256577</v>
      </c>
    </row>
    <row r="90" spans="1:20">
      <c r="B90">
        <f t="shared" si="20"/>
        <v>87</v>
      </c>
      <c r="C90">
        <f t="shared" si="14"/>
        <v>31</v>
      </c>
      <c r="D90">
        <v>61</v>
      </c>
      <c r="E90">
        <v>92</v>
      </c>
      <c r="F90">
        <f>KcSPLINE!F$6</f>
        <v>1.1536309284926189</v>
      </c>
      <c r="G90">
        <f>KcSPLINE!F$7</f>
        <v>0.70892984401608183</v>
      </c>
      <c r="H90" s="6">
        <f>KcSPLINE!K$6</f>
        <v>-6.2984272350780817E-4</v>
      </c>
      <c r="I90" s="6">
        <f>KcSPLINE!K$7</f>
        <v>-8.1263329137791062E-5</v>
      </c>
      <c r="J90">
        <f t="shared" si="15"/>
        <v>0.16129032258064516</v>
      </c>
      <c r="K90">
        <f t="shared" si="16"/>
        <v>0.83870967741935487</v>
      </c>
      <c r="L90">
        <f t="shared" si="17"/>
        <v>41</v>
      </c>
      <c r="M90" s="6">
        <f t="shared" si="18"/>
        <v>0.78065582538326528</v>
      </c>
      <c r="N90" s="13">
        <f t="shared" si="13"/>
        <v>0.79974090718395119</v>
      </c>
      <c r="O90" s="6">
        <f t="shared" si="22"/>
        <v>97.331943536077461</v>
      </c>
      <c r="P90" s="6">
        <f t="shared" si="22"/>
        <v>98.686211525408268</v>
      </c>
      <c r="Q90" s="6">
        <f t="shared" si="19"/>
        <v>0.79974090718395119</v>
      </c>
      <c r="T90" s="6">
        <f t="shared" si="11"/>
        <v>0.79974090718395119</v>
      </c>
    </row>
    <row r="91" spans="1:20">
      <c r="B91">
        <f t="shared" si="20"/>
        <v>88</v>
      </c>
      <c r="C91">
        <f t="shared" si="14"/>
        <v>31</v>
      </c>
      <c r="D91">
        <v>61</v>
      </c>
      <c r="E91">
        <v>92</v>
      </c>
      <c r="F91">
        <f>KcSPLINE!F$6</f>
        <v>1.1536309284926189</v>
      </c>
      <c r="G91">
        <f>KcSPLINE!F$7</f>
        <v>0.70892984401608183</v>
      </c>
      <c r="H91" s="6">
        <f>KcSPLINE!K$6</f>
        <v>-6.2984272350780817E-4</v>
      </c>
      <c r="I91" s="6">
        <f>KcSPLINE!K$7</f>
        <v>-8.1263329137791062E-5</v>
      </c>
      <c r="J91">
        <f t="shared" si="15"/>
        <v>0.12903225806451613</v>
      </c>
      <c r="K91">
        <f t="shared" si="16"/>
        <v>0.87096774193548387</v>
      </c>
      <c r="L91">
        <f t="shared" si="17"/>
        <v>42</v>
      </c>
      <c r="M91" s="6">
        <f t="shared" si="18"/>
        <v>0.76631062910982861</v>
      </c>
      <c r="N91" s="13">
        <f t="shared" si="13"/>
        <v>0.78184739786562774</v>
      </c>
      <c r="O91" s="6">
        <f t="shared" si="22"/>
        <v>98.098254165187285</v>
      </c>
      <c r="P91" s="6">
        <f t="shared" si="22"/>
        <v>99.468058923273901</v>
      </c>
      <c r="Q91" s="6">
        <f t="shared" si="19"/>
        <v>0.78184739786562774</v>
      </c>
      <c r="T91" s="6">
        <f t="shared" si="11"/>
        <v>0.78184739786562774</v>
      </c>
    </row>
    <row r="92" spans="1:20">
      <c r="B92">
        <f t="shared" si="20"/>
        <v>89</v>
      </c>
      <c r="C92">
        <f t="shared" si="14"/>
        <v>31</v>
      </c>
      <c r="D92">
        <v>61</v>
      </c>
      <c r="E92">
        <v>92</v>
      </c>
      <c r="F92">
        <f>KcSPLINE!F$6</f>
        <v>1.1536309284926189</v>
      </c>
      <c r="G92">
        <f>KcSPLINE!F$7</f>
        <v>0.70892984401608183</v>
      </c>
      <c r="H92" s="6">
        <f>KcSPLINE!K$6</f>
        <v>-6.2984272350780817E-4</v>
      </c>
      <c r="I92" s="6">
        <f>KcSPLINE!K$7</f>
        <v>-8.1263329137791062E-5</v>
      </c>
      <c r="J92">
        <f t="shared" si="15"/>
        <v>9.6774193548387094E-2</v>
      </c>
      <c r="K92">
        <f t="shared" si="16"/>
        <v>0.90322580645161288</v>
      </c>
      <c r="L92">
        <f t="shared" si="17"/>
        <v>43</v>
      </c>
      <c r="M92" s="6">
        <f t="shared" si="18"/>
        <v>0.75196543283639183</v>
      </c>
      <c r="N92" s="13">
        <f t="shared" si="13"/>
        <v>0.76380184078018321</v>
      </c>
      <c r="O92" s="6">
        <f t="shared" si="22"/>
        <v>98.850219598023671</v>
      </c>
      <c r="P92" s="6">
        <f t="shared" si="22"/>
        <v>100.23186076405409</v>
      </c>
      <c r="Q92" s="6">
        <f t="shared" si="19"/>
        <v>0.76380184078018321</v>
      </c>
      <c r="T92" s="6">
        <f t="shared" si="11"/>
        <v>0.76380184078018321</v>
      </c>
    </row>
    <row r="93" spans="1:20">
      <c r="B93">
        <f t="shared" si="20"/>
        <v>90</v>
      </c>
      <c r="C93">
        <f t="shared" si="14"/>
        <v>31</v>
      </c>
      <c r="D93">
        <v>61</v>
      </c>
      <c r="E93">
        <v>92</v>
      </c>
      <c r="F93">
        <f>KcSPLINE!F$6</f>
        <v>1.1536309284926189</v>
      </c>
      <c r="G93">
        <f>KcSPLINE!F$7</f>
        <v>0.70892984401608183</v>
      </c>
      <c r="H93" s="6">
        <f>KcSPLINE!K$6</f>
        <v>-6.2984272350780817E-4</v>
      </c>
      <c r="I93" s="6">
        <f>KcSPLINE!K$7</f>
        <v>-8.1263329137791062E-5</v>
      </c>
      <c r="J93">
        <f t="shared" si="15"/>
        <v>6.4516129032258063E-2</v>
      </c>
      <c r="K93">
        <f t="shared" si="16"/>
        <v>0.93548387096774188</v>
      </c>
      <c r="L93">
        <f t="shared" si="17"/>
        <v>44</v>
      </c>
      <c r="M93" s="6">
        <f t="shared" si="18"/>
        <v>0.73762023656295517</v>
      </c>
      <c r="N93" s="13">
        <f t="shared" si="13"/>
        <v>0.74562193203711358</v>
      </c>
      <c r="O93" s="6">
        <f t="shared" si="22"/>
        <v>99.587839834586632</v>
      </c>
      <c r="P93" s="6">
        <f t="shared" si="22"/>
        <v>100.9774826960912</v>
      </c>
      <c r="Q93" s="6">
        <f t="shared" si="19"/>
        <v>0.74562193203711358</v>
      </c>
      <c r="T93" s="6">
        <f t="shared" si="11"/>
        <v>0.74562193203711358</v>
      </c>
    </row>
    <row r="94" spans="1:20">
      <c r="B94">
        <f t="shared" si="20"/>
        <v>91</v>
      </c>
      <c r="C94">
        <f t="shared" si="14"/>
        <v>31</v>
      </c>
      <c r="D94">
        <v>61</v>
      </c>
      <c r="E94">
        <v>92</v>
      </c>
      <c r="F94">
        <f>KcSPLINE!F$6</f>
        <v>1.1536309284926189</v>
      </c>
      <c r="G94">
        <f>KcSPLINE!F$7</f>
        <v>0.70892984401608183</v>
      </c>
      <c r="H94" s="6">
        <f>KcSPLINE!K$6</f>
        <v>-6.2984272350780817E-4</v>
      </c>
      <c r="I94" s="6">
        <f>KcSPLINE!K$7</f>
        <v>-8.1263329137791062E-5</v>
      </c>
      <c r="J94">
        <f t="shared" si="15"/>
        <v>3.2258064516129031E-2</v>
      </c>
      <c r="K94">
        <f t="shared" si="16"/>
        <v>0.967741935483871</v>
      </c>
      <c r="L94">
        <f t="shared" si="17"/>
        <v>45</v>
      </c>
      <c r="M94" s="6">
        <f t="shared" si="18"/>
        <v>0.7232750402895185</v>
      </c>
      <c r="N94" s="13">
        <f t="shared" si="13"/>
        <v>0.7273253677459145</v>
      </c>
      <c r="O94" s="6">
        <f t="shared" si="22"/>
        <v>100.31111487487615</v>
      </c>
      <c r="P94" s="6">
        <f t="shared" si="22"/>
        <v>101.70480806383712</v>
      </c>
      <c r="Q94" s="6">
        <f t="shared" si="19"/>
        <v>0.7273253677459145</v>
      </c>
      <c r="T94" s="6">
        <f t="shared" si="11"/>
        <v>0.7273253677459145</v>
      </c>
    </row>
    <row r="95" spans="1:20">
      <c r="A95">
        <v>92</v>
      </c>
      <c r="B95">
        <f t="shared" si="20"/>
        <v>92</v>
      </c>
      <c r="C95">
        <f t="shared" si="14"/>
        <v>31</v>
      </c>
      <c r="D95">
        <v>61</v>
      </c>
      <c r="E95">
        <v>92</v>
      </c>
      <c r="F95">
        <f>KcSPLINE!F$6</f>
        <v>1.1536309284926189</v>
      </c>
      <c r="G95">
        <f>KcSPLINE!F$7</f>
        <v>0.70892984401608183</v>
      </c>
      <c r="H95" s="6">
        <f>KcSPLINE!K$6</f>
        <v>-6.2984272350780817E-4</v>
      </c>
      <c r="I95" s="6">
        <f>KcSPLINE!K$7</f>
        <v>-8.1263329137791062E-5</v>
      </c>
      <c r="J95">
        <f t="shared" si="15"/>
        <v>0</v>
      </c>
      <c r="K95">
        <f t="shared" si="16"/>
        <v>1</v>
      </c>
      <c r="L95">
        <f t="shared" si="17"/>
        <v>46</v>
      </c>
      <c r="M95" s="6">
        <f t="shared" si="18"/>
        <v>0.70892984401608183</v>
      </c>
      <c r="N95" s="13">
        <f t="shared" si="13"/>
        <v>0.70892984401608183</v>
      </c>
      <c r="O95" s="6">
        <f t="shared" si="22"/>
        <v>101.02004471889224</v>
      </c>
      <c r="P95" s="6">
        <f t="shared" si="22"/>
        <v>102.4137379078532</v>
      </c>
      <c r="Q95" s="6">
        <f t="shared" si="19"/>
        <v>0.70892984401608183</v>
      </c>
      <c r="T95" s="6">
        <f t="shared" si="11"/>
        <v>0.70892984401608183</v>
      </c>
    </row>
    <row r="96" spans="1:20">
      <c r="B96">
        <f t="shared" si="20"/>
        <v>93</v>
      </c>
      <c r="C96">
        <f t="shared" si="14"/>
        <v>30</v>
      </c>
      <c r="D96">
        <v>92</v>
      </c>
      <c r="E96">
        <v>122</v>
      </c>
      <c r="F96">
        <f>KcSPLINE!F$7</f>
        <v>0.70892984401608183</v>
      </c>
      <c r="G96">
        <f>KcSPLINE!F$8</f>
        <v>0.41068751843946011</v>
      </c>
      <c r="H96">
        <f>KcSPLINE!K$7</f>
        <v>-8.1263329137791062E-5</v>
      </c>
      <c r="I96">
        <f>KcSPLINE!K$8</f>
        <v>1.8620654369616101E-3</v>
      </c>
      <c r="J96">
        <f t="shared" si="15"/>
        <v>0.96666666666666667</v>
      </c>
      <c r="K96">
        <f t="shared" si="16"/>
        <v>3.3333333333333333E-2</v>
      </c>
      <c r="L96">
        <f t="shared" si="17"/>
        <v>47</v>
      </c>
      <c r="M96" s="6">
        <f t="shared" si="18"/>
        <v>0.69898843316352777</v>
      </c>
      <c r="N96" s="13">
        <f t="shared" si="13"/>
        <v>0.69046090387645154</v>
      </c>
      <c r="O96" s="6">
        <f t="shared" si="22"/>
        <v>101.71903315205576</v>
      </c>
      <c r="P96" s="6">
        <f t="shared" si="22"/>
        <v>103.10419881172966</v>
      </c>
      <c r="Q96" s="6">
        <f t="shared" si="19"/>
        <v>0.69046090387645154</v>
      </c>
      <c r="T96" s="6">
        <f t="shared" si="11"/>
        <v>0.69046090387645154</v>
      </c>
    </row>
    <row r="97" spans="2:20">
      <c r="B97">
        <f t="shared" si="20"/>
        <v>94</v>
      </c>
      <c r="C97">
        <f t="shared" si="14"/>
        <v>30</v>
      </c>
      <c r="D97">
        <v>92</v>
      </c>
      <c r="E97">
        <v>122</v>
      </c>
      <c r="F97">
        <f>KcSPLINE!F$7</f>
        <v>0.70892984401608183</v>
      </c>
      <c r="G97">
        <f>KcSPLINE!F$8</f>
        <v>0.41068751843946011</v>
      </c>
      <c r="H97">
        <f>KcSPLINE!K$7</f>
        <v>-8.1263329137791062E-5</v>
      </c>
      <c r="I97">
        <f>KcSPLINE!K$8</f>
        <v>1.8620654369616101E-3</v>
      </c>
      <c r="J97">
        <f t="shared" si="15"/>
        <v>0.93333333333333335</v>
      </c>
      <c r="K97">
        <f t="shared" si="16"/>
        <v>6.6666666666666666E-2</v>
      </c>
      <c r="L97">
        <f t="shared" si="17"/>
        <v>48</v>
      </c>
      <c r="M97" s="6">
        <f t="shared" si="18"/>
        <v>0.6890470223109737</v>
      </c>
      <c r="N97" s="13">
        <f t="shared" si="13"/>
        <v>0.67197547803322</v>
      </c>
      <c r="O97" s="6">
        <f t="shared" si="22"/>
        <v>102.40808017436673</v>
      </c>
      <c r="P97" s="6">
        <f t="shared" si="22"/>
        <v>103.77617428976288</v>
      </c>
      <c r="Q97" s="6">
        <f t="shared" si="19"/>
        <v>0.67197547803322</v>
      </c>
      <c r="T97" s="6">
        <f t="shared" si="11"/>
        <v>0.67197547803322</v>
      </c>
    </row>
    <row r="98" spans="2:20">
      <c r="B98">
        <f t="shared" si="20"/>
        <v>95</v>
      </c>
      <c r="C98">
        <f t="shared" si="14"/>
        <v>30</v>
      </c>
      <c r="D98">
        <v>92</v>
      </c>
      <c r="E98">
        <v>122</v>
      </c>
      <c r="F98">
        <f>KcSPLINE!F$7</f>
        <v>0.70892984401608183</v>
      </c>
      <c r="G98">
        <f>KcSPLINE!F$8</f>
        <v>0.41068751843946011</v>
      </c>
      <c r="H98">
        <f>KcSPLINE!K$7</f>
        <v>-8.1263329137791062E-5</v>
      </c>
      <c r="I98">
        <f>KcSPLINE!K$8</f>
        <v>1.8620654369616101E-3</v>
      </c>
      <c r="J98">
        <f t="shared" si="15"/>
        <v>0.9</v>
      </c>
      <c r="K98">
        <f t="shared" si="16"/>
        <v>0.1</v>
      </c>
      <c r="L98">
        <f t="shared" si="17"/>
        <v>49</v>
      </c>
      <c r="M98" s="6">
        <f t="shared" si="18"/>
        <v>0.67910561145841963</v>
      </c>
      <c r="N98" s="13">
        <f t="shared" si="13"/>
        <v>0.65353834411192402</v>
      </c>
      <c r="O98" s="6">
        <f t="shared" si="22"/>
        <v>103.08718578582516</v>
      </c>
      <c r="P98" s="6">
        <f t="shared" si="22"/>
        <v>104.4297126338748</v>
      </c>
      <c r="Q98" s="6">
        <f t="shared" si="19"/>
        <v>0.65353834411192402</v>
      </c>
      <c r="T98" s="6">
        <f t="shared" si="11"/>
        <v>0.65353834411192402</v>
      </c>
    </row>
    <row r="99" spans="2:20">
      <c r="B99">
        <f t="shared" si="20"/>
        <v>96</v>
      </c>
      <c r="C99">
        <f t="shared" si="14"/>
        <v>30</v>
      </c>
      <c r="D99">
        <v>92</v>
      </c>
      <c r="E99">
        <v>122</v>
      </c>
      <c r="F99">
        <f>KcSPLINE!F$7</f>
        <v>0.70892984401608183</v>
      </c>
      <c r="G99">
        <f>KcSPLINE!F$8</f>
        <v>0.41068751843946011</v>
      </c>
      <c r="H99">
        <f>KcSPLINE!K$7</f>
        <v>-8.1263329137791062E-5</v>
      </c>
      <c r="I99">
        <f>KcSPLINE!K$8</f>
        <v>1.8620654369616101E-3</v>
      </c>
      <c r="J99">
        <f t="shared" si="15"/>
        <v>0.8666666666666667</v>
      </c>
      <c r="K99">
        <f t="shared" si="16"/>
        <v>0.13333333333333333</v>
      </c>
      <c r="L99">
        <f t="shared" si="17"/>
        <v>50</v>
      </c>
      <c r="M99" s="6">
        <f t="shared" si="18"/>
        <v>0.66916420060586568</v>
      </c>
      <c r="N99" s="13">
        <f t="shared" si="13"/>
        <v>0.63521427973810041</v>
      </c>
      <c r="O99" s="6">
        <f t="shared" si="22"/>
        <v>103.75634998643102</v>
      </c>
      <c r="P99" s="6">
        <f t="shared" si="22"/>
        <v>105.06492691361289</v>
      </c>
      <c r="Q99" s="6">
        <f t="shared" si="19"/>
        <v>0.63521427973810041</v>
      </c>
      <c r="T99" s="6">
        <f t="shared" si="11"/>
        <v>0.63521427973810041</v>
      </c>
    </row>
    <row r="100" spans="2:20">
      <c r="B100">
        <f t="shared" si="20"/>
        <v>97</v>
      </c>
      <c r="C100">
        <f t="shared" si="14"/>
        <v>30</v>
      </c>
      <c r="D100">
        <v>92</v>
      </c>
      <c r="E100">
        <v>122</v>
      </c>
      <c r="F100">
        <f>KcSPLINE!F$7</f>
        <v>0.70892984401608183</v>
      </c>
      <c r="G100">
        <f>KcSPLINE!F$8</f>
        <v>0.41068751843946011</v>
      </c>
      <c r="H100">
        <f>KcSPLINE!K$7</f>
        <v>-8.1263329137791062E-5</v>
      </c>
      <c r="I100">
        <f>KcSPLINE!K$8</f>
        <v>1.8620654369616101E-3</v>
      </c>
      <c r="J100">
        <f t="shared" si="15"/>
        <v>0.83333333333333337</v>
      </c>
      <c r="K100">
        <f t="shared" si="16"/>
        <v>0.16666666666666666</v>
      </c>
      <c r="L100">
        <f t="shared" si="17"/>
        <v>51</v>
      </c>
      <c r="M100" s="6">
        <f t="shared" si="18"/>
        <v>0.65922278975331161</v>
      </c>
      <c r="N100" s="13">
        <f t="shared" si="13"/>
        <v>0.6170680625372853</v>
      </c>
      <c r="O100" s="6">
        <f t="shared" si="22"/>
        <v>104.41557277618433</v>
      </c>
      <c r="P100" s="6">
        <f t="shared" si="22"/>
        <v>105.68199497615018</v>
      </c>
      <c r="Q100" s="6">
        <f t="shared" si="19"/>
        <v>0.6170680625372853</v>
      </c>
      <c r="T100" s="6">
        <f t="shared" si="11"/>
        <v>0.6170680625372853</v>
      </c>
    </row>
    <row r="101" spans="2:20">
      <c r="B101">
        <f t="shared" si="20"/>
        <v>98</v>
      </c>
      <c r="C101">
        <f t="shared" si="14"/>
        <v>30</v>
      </c>
      <c r="D101">
        <v>92</v>
      </c>
      <c r="E101">
        <v>122</v>
      </c>
      <c r="F101">
        <f>KcSPLINE!F$7</f>
        <v>0.70892984401608183</v>
      </c>
      <c r="G101">
        <f>KcSPLINE!F$8</f>
        <v>0.41068751843946011</v>
      </c>
      <c r="H101">
        <f>KcSPLINE!K$7</f>
        <v>-8.1263329137791062E-5</v>
      </c>
      <c r="I101">
        <f>KcSPLINE!K$8</f>
        <v>1.8620654369616101E-3</v>
      </c>
      <c r="J101">
        <f t="shared" si="15"/>
        <v>0.8</v>
      </c>
      <c r="K101">
        <f t="shared" si="16"/>
        <v>0.2</v>
      </c>
      <c r="L101">
        <f t="shared" si="17"/>
        <v>52</v>
      </c>
      <c r="M101" s="6">
        <f t="shared" si="18"/>
        <v>0.64928137890075743</v>
      </c>
      <c r="N101" s="13">
        <f t="shared" si="13"/>
        <v>0.59916447013501561</v>
      </c>
      <c r="O101" s="6">
        <f t="shared" ref="O101:P116" si="23">O100+M101</f>
        <v>105.06485415508509</v>
      </c>
      <c r="P101" s="6">
        <f t="shared" si="23"/>
        <v>106.2811594462852</v>
      </c>
      <c r="Q101" s="6">
        <f t="shared" si="19"/>
        <v>0.59916447013501561</v>
      </c>
      <c r="T101" s="6">
        <f t="shared" si="11"/>
        <v>0.59916447013501561</v>
      </c>
    </row>
    <row r="102" spans="2:20">
      <c r="B102">
        <f t="shared" si="20"/>
        <v>99</v>
      </c>
      <c r="C102">
        <f t="shared" si="14"/>
        <v>30</v>
      </c>
      <c r="D102">
        <v>92</v>
      </c>
      <c r="E102">
        <v>122</v>
      </c>
      <c r="F102">
        <f>KcSPLINE!F$7</f>
        <v>0.70892984401608183</v>
      </c>
      <c r="G102">
        <f>KcSPLINE!F$8</f>
        <v>0.41068751843946011</v>
      </c>
      <c r="H102">
        <f>KcSPLINE!K$7</f>
        <v>-8.1263329137791062E-5</v>
      </c>
      <c r="I102">
        <f>KcSPLINE!K$8</f>
        <v>1.8620654369616101E-3</v>
      </c>
      <c r="J102">
        <f t="shared" si="15"/>
        <v>0.76666666666666672</v>
      </c>
      <c r="K102">
        <f t="shared" si="16"/>
        <v>0.23333333333333334</v>
      </c>
      <c r="L102">
        <f t="shared" si="17"/>
        <v>53</v>
      </c>
      <c r="M102" s="6">
        <f t="shared" si="18"/>
        <v>0.63933996804820348</v>
      </c>
      <c r="N102" s="13">
        <f t="shared" si="13"/>
        <v>0.58156828015682827</v>
      </c>
      <c r="O102" s="6">
        <f t="shared" si="23"/>
        <v>105.70419412313329</v>
      </c>
      <c r="P102" s="6">
        <f t="shared" si="23"/>
        <v>106.86272772644203</v>
      </c>
      <c r="Q102" s="6">
        <f t="shared" si="19"/>
        <v>0.58156828015682827</v>
      </c>
      <c r="T102" s="6">
        <f t="shared" si="11"/>
        <v>0.58156828015682827</v>
      </c>
    </row>
    <row r="103" spans="2:20">
      <c r="B103">
        <f t="shared" si="20"/>
        <v>100</v>
      </c>
      <c r="C103">
        <f t="shared" si="14"/>
        <v>30</v>
      </c>
      <c r="D103">
        <v>92</v>
      </c>
      <c r="E103">
        <v>122</v>
      </c>
      <c r="F103">
        <f>KcSPLINE!F$7</f>
        <v>0.70892984401608183</v>
      </c>
      <c r="G103">
        <f>KcSPLINE!F$8</f>
        <v>0.41068751843946011</v>
      </c>
      <c r="H103">
        <f>KcSPLINE!K$7</f>
        <v>-8.1263329137791062E-5</v>
      </c>
      <c r="I103">
        <f>KcSPLINE!K$8</f>
        <v>1.8620654369616101E-3</v>
      </c>
      <c r="J103">
        <f t="shared" si="15"/>
        <v>0.73333333333333328</v>
      </c>
      <c r="K103">
        <f t="shared" si="16"/>
        <v>0.26666666666666666</v>
      </c>
      <c r="L103">
        <f t="shared" si="17"/>
        <v>54</v>
      </c>
      <c r="M103" s="6">
        <f t="shared" si="18"/>
        <v>0.6293985571956493</v>
      </c>
      <c r="N103" s="13">
        <f t="shared" si="13"/>
        <v>0.56434427022825939</v>
      </c>
      <c r="O103" s="6">
        <f t="shared" si="23"/>
        <v>106.33359268032893</v>
      </c>
      <c r="P103" s="6">
        <f t="shared" si="23"/>
        <v>107.42707199667029</v>
      </c>
      <c r="Q103" s="6">
        <f t="shared" si="19"/>
        <v>0.56434427022825939</v>
      </c>
      <c r="T103" s="6">
        <f t="shared" si="11"/>
        <v>0.56434427022825939</v>
      </c>
    </row>
    <row r="104" spans="2:20">
      <c r="B104">
        <f t="shared" si="20"/>
        <v>101</v>
      </c>
      <c r="C104">
        <f t="shared" si="14"/>
        <v>30</v>
      </c>
      <c r="D104">
        <v>92</v>
      </c>
      <c r="E104">
        <v>122</v>
      </c>
      <c r="F104">
        <f>KcSPLINE!F$7</f>
        <v>0.70892984401608183</v>
      </c>
      <c r="G104">
        <f>KcSPLINE!F$8</f>
        <v>0.41068751843946011</v>
      </c>
      <c r="H104">
        <f>KcSPLINE!K$7</f>
        <v>-8.1263329137791062E-5</v>
      </c>
      <c r="I104">
        <f>KcSPLINE!K$8</f>
        <v>1.8620654369616101E-3</v>
      </c>
      <c r="J104">
        <f t="shared" si="15"/>
        <v>0.7</v>
      </c>
      <c r="K104">
        <f t="shared" si="16"/>
        <v>0.3</v>
      </c>
      <c r="L104">
        <f t="shared" si="17"/>
        <v>55</v>
      </c>
      <c r="M104" s="6">
        <f t="shared" si="18"/>
        <v>0.61945714634309523</v>
      </c>
      <c r="N104" s="13">
        <f t="shared" si="13"/>
        <v>0.54755721797484602</v>
      </c>
      <c r="O104" s="6">
        <f t="shared" si="23"/>
        <v>106.95304982667203</v>
      </c>
      <c r="P104" s="6">
        <f t="shared" si="23"/>
        <v>107.97462921464513</v>
      </c>
      <c r="Q104" s="6">
        <f t="shared" si="19"/>
        <v>0.54755721797484602</v>
      </c>
      <c r="T104" s="6">
        <f t="shared" si="11"/>
        <v>0.54755721797484602</v>
      </c>
    </row>
    <row r="105" spans="2:20">
      <c r="B105">
        <f t="shared" si="20"/>
        <v>102</v>
      </c>
      <c r="C105">
        <f t="shared" si="14"/>
        <v>30</v>
      </c>
      <c r="D105">
        <v>92</v>
      </c>
      <c r="E105">
        <v>122</v>
      </c>
      <c r="F105">
        <f>KcSPLINE!F$7</f>
        <v>0.70892984401608183</v>
      </c>
      <c r="G105">
        <f>KcSPLINE!F$8</f>
        <v>0.41068751843946011</v>
      </c>
      <c r="H105">
        <f>KcSPLINE!K$7</f>
        <v>-8.1263329137791062E-5</v>
      </c>
      <c r="I105">
        <f>KcSPLINE!K$8</f>
        <v>1.8620654369616101E-3</v>
      </c>
      <c r="J105">
        <f t="shared" si="15"/>
        <v>0.66666666666666663</v>
      </c>
      <c r="K105">
        <f t="shared" si="16"/>
        <v>0.33333333333333331</v>
      </c>
      <c r="L105">
        <f t="shared" si="17"/>
        <v>56</v>
      </c>
      <c r="M105" s="6">
        <f t="shared" si="18"/>
        <v>0.60951573549054117</v>
      </c>
      <c r="N105" s="13">
        <f t="shared" si="13"/>
        <v>0.53127190102212463</v>
      </c>
      <c r="O105" s="6">
        <f t="shared" si="23"/>
        <v>107.56256556216258</v>
      </c>
      <c r="P105" s="6">
        <f t="shared" si="23"/>
        <v>108.50590111566726</v>
      </c>
      <c r="Q105" s="6">
        <f t="shared" si="19"/>
        <v>0.53127190102212463</v>
      </c>
      <c r="T105" s="6">
        <f t="shared" si="11"/>
        <v>0.53127190102212463</v>
      </c>
    </row>
    <row r="106" spans="2:20">
      <c r="B106">
        <f t="shared" si="20"/>
        <v>103</v>
      </c>
      <c r="C106">
        <f t="shared" si="14"/>
        <v>30</v>
      </c>
      <c r="D106">
        <v>92</v>
      </c>
      <c r="E106">
        <v>122</v>
      </c>
      <c r="F106">
        <f>KcSPLINE!F$7</f>
        <v>0.70892984401608183</v>
      </c>
      <c r="G106">
        <f>KcSPLINE!F$8</f>
        <v>0.41068751843946011</v>
      </c>
      <c r="H106">
        <f>KcSPLINE!K$7</f>
        <v>-8.1263329137791062E-5</v>
      </c>
      <c r="I106">
        <f>KcSPLINE!K$8</f>
        <v>1.8620654369616101E-3</v>
      </c>
      <c r="J106">
        <f t="shared" si="15"/>
        <v>0.6333333333333333</v>
      </c>
      <c r="K106">
        <f t="shared" si="16"/>
        <v>0.36666666666666664</v>
      </c>
      <c r="L106">
        <f t="shared" si="17"/>
        <v>57</v>
      </c>
      <c r="M106" s="6">
        <f t="shared" si="18"/>
        <v>0.59957432463798721</v>
      </c>
      <c r="N106" s="13">
        <f t="shared" si="13"/>
        <v>0.51555309699563212</v>
      </c>
      <c r="O106" s="6">
        <f t="shared" si="23"/>
        <v>108.16213988680056</v>
      </c>
      <c r="P106" s="6">
        <f t="shared" si="23"/>
        <v>109.02145421266289</v>
      </c>
      <c r="Q106" s="6">
        <f t="shared" si="19"/>
        <v>0.51555309699563212</v>
      </c>
      <c r="T106" s="6">
        <f t="shared" si="11"/>
        <v>0.51555309699563212</v>
      </c>
    </row>
    <row r="107" spans="2:20">
      <c r="B107">
        <f t="shared" si="20"/>
        <v>104</v>
      </c>
      <c r="C107">
        <f t="shared" si="14"/>
        <v>30</v>
      </c>
      <c r="D107">
        <v>92</v>
      </c>
      <c r="E107">
        <v>122</v>
      </c>
      <c r="F107">
        <f>KcSPLINE!F$7</f>
        <v>0.70892984401608183</v>
      </c>
      <c r="G107">
        <f>KcSPLINE!F$8</f>
        <v>0.41068751843946011</v>
      </c>
      <c r="H107">
        <f>KcSPLINE!K$7</f>
        <v>-8.1263329137791062E-5</v>
      </c>
      <c r="I107">
        <f>KcSPLINE!K$8</f>
        <v>1.8620654369616101E-3</v>
      </c>
      <c r="J107">
        <f t="shared" si="15"/>
        <v>0.6</v>
      </c>
      <c r="K107">
        <f t="shared" si="16"/>
        <v>0.4</v>
      </c>
      <c r="L107">
        <f t="shared" si="17"/>
        <v>58</v>
      </c>
      <c r="M107" s="6">
        <f t="shared" si="18"/>
        <v>0.58963291378543314</v>
      </c>
      <c r="N107" s="13">
        <f t="shared" si="13"/>
        <v>0.50046558352090476</v>
      </c>
      <c r="O107" s="6">
        <f t="shared" si="23"/>
        <v>108.751772800586</v>
      </c>
      <c r="P107" s="6">
        <f t="shared" si="23"/>
        <v>109.52191979618379</v>
      </c>
      <c r="Q107" s="6">
        <f t="shared" si="19"/>
        <v>0.50046558352090476</v>
      </c>
      <c r="T107" s="6">
        <f t="shared" si="11"/>
        <v>0.50046558352090476</v>
      </c>
    </row>
    <row r="108" spans="2:20">
      <c r="B108">
        <f t="shared" si="20"/>
        <v>105</v>
      </c>
      <c r="C108">
        <f t="shared" si="14"/>
        <v>30</v>
      </c>
      <c r="D108">
        <v>92</v>
      </c>
      <c r="E108">
        <v>122</v>
      </c>
      <c r="F108">
        <f>KcSPLINE!F$7</f>
        <v>0.70892984401608183</v>
      </c>
      <c r="G108">
        <f>KcSPLINE!F$8</f>
        <v>0.41068751843946011</v>
      </c>
      <c r="H108">
        <f>KcSPLINE!K$7</f>
        <v>-8.1263329137791062E-5</v>
      </c>
      <c r="I108">
        <f>KcSPLINE!K$8</f>
        <v>1.8620654369616101E-3</v>
      </c>
      <c r="J108">
        <f t="shared" si="15"/>
        <v>0.56666666666666665</v>
      </c>
      <c r="K108">
        <f t="shared" si="16"/>
        <v>0.43333333333333335</v>
      </c>
      <c r="L108">
        <f t="shared" si="17"/>
        <v>59</v>
      </c>
      <c r="M108" s="6">
        <f t="shared" si="18"/>
        <v>0.57969150293287908</v>
      </c>
      <c r="N108" s="13">
        <f t="shared" si="13"/>
        <v>0.48607413822347939</v>
      </c>
      <c r="O108" s="6">
        <f t="shared" si="23"/>
        <v>109.33146430351887</v>
      </c>
      <c r="P108" s="6">
        <f t="shared" si="23"/>
        <v>110.00799393440728</v>
      </c>
      <c r="Q108" s="6">
        <f t="shared" si="19"/>
        <v>0.48607413822347939</v>
      </c>
      <c r="T108" s="6">
        <f t="shared" si="11"/>
        <v>0.48607413822347939</v>
      </c>
    </row>
    <row r="109" spans="2:20">
      <c r="B109">
        <f t="shared" si="20"/>
        <v>106</v>
      </c>
      <c r="C109">
        <f t="shared" si="14"/>
        <v>30</v>
      </c>
      <c r="D109">
        <v>92</v>
      </c>
      <c r="E109">
        <v>122</v>
      </c>
      <c r="F109">
        <f>KcSPLINE!F$7</f>
        <v>0.70892984401608183</v>
      </c>
      <c r="G109">
        <f>KcSPLINE!F$8</f>
        <v>0.41068751843946011</v>
      </c>
      <c r="H109">
        <f>KcSPLINE!K$7</f>
        <v>-8.1263329137791062E-5</v>
      </c>
      <c r="I109">
        <f>KcSPLINE!K$8</f>
        <v>1.8620654369616101E-3</v>
      </c>
      <c r="J109">
        <f t="shared" si="15"/>
        <v>0.53333333333333333</v>
      </c>
      <c r="K109">
        <f t="shared" si="16"/>
        <v>0.46666666666666667</v>
      </c>
      <c r="L109">
        <f t="shared" si="17"/>
        <v>60</v>
      </c>
      <c r="M109" s="6">
        <f t="shared" si="18"/>
        <v>0.56975009208032501</v>
      </c>
      <c r="N109" s="13">
        <f t="shared" si="13"/>
        <v>0.47244353872889261</v>
      </c>
      <c r="O109" s="6">
        <f t="shared" si="23"/>
        <v>109.9012143955992</v>
      </c>
      <c r="P109" s="6">
        <f t="shared" si="23"/>
        <v>110.48043747313618</v>
      </c>
      <c r="Q109" s="6">
        <f t="shared" si="19"/>
        <v>0.47244353872889261</v>
      </c>
      <c r="T109" s="6">
        <f t="shared" si="11"/>
        <v>0.47244353872889261</v>
      </c>
    </row>
    <row r="110" spans="2:20">
      <c r="B110">
        <f t="shared" si="20"/>
        <v>107</v>
      </c>
      <c r="C110">
        <f t="shared" si="14"/>
        <v>30</v>
      </c>
      <c r="D110">
        <v>92</v>
      </c>
      <c r="E110">
        <v>122</v>
      </c>
      <c r="F110">
        <f>KcSPLINE!F$7</f>
        <v>0.70892984401608183</v>
      </c>
      <c r="G110">
        <f>KcSPLINE!F$8</f>
        <v>0.41068751843946011</v>
      </c>
      <c r="H110">
        <f>KcSPLINE!K$7</f>
        <v>-8.1263329137791062E-5</v>
      </c>
      <c r="I110">
        <f>KcSPLINE!K$8</f>
        <v>1.8620654369616101E-3</v>
      </c>
      <c r="J110">
        <f t="shared" si="15"/>
        <v>0.5</v>
      </c>
      <c r="K110">
        <f t="shared" si="16"/>
        <v>0.5</v>
      </c>
      <c r="L110">
        <f t="shared" si="17"/>
        <v>61</v>
      </c>
      <c r="M110" s="6">
        <f t="shared" si="18"/>
        <v>0.55980868122777094</v>
      </c>
      <c r="N110" s="13">
        <f t="shared" si="13"/>
        <v>0.4596385626626811</v>
      </c>
      <c r="O110" s="6">
        <f t="shared" si="23"/>
        <v>110.46102307682696</v>
      </c>
      <c r="P110" s="6">
        <f t="shared" si="23"/>
        <v>110.94007603579885</v>
      </c>
      <c r="Q110" s="6">
        <f t="shared" si="19"/>
        <v>0.4596385626626811</v>
      </c>
      <c r="T110" s="6">
        <f t="shared" si="11"/>
        <v>0.4596385626626811</v>
      </c>
    </row>
    <row r="111" spans="2:20">
      <c r="B111">
        <f t="shared" si="20"/>
        <v>108</v>
      </c>
      <c r="C111">
        <f t="shared" si="14"/>
        <v>30</v>
      </c>
      <c r="D111">
        <v>92</v>
      </c>
      <c r="E111">
        <v>122</v>
      </c>
      <c r="F111">
        <f>KcSPLINE!F$7</f>
        <v>0.70892984401608183</v>
      </c>
      <c r="G111">
        <f>KcSPLINE!F$8</f>
        <v>0.41068751843946011</v>
      </c>
      <c r="H111">
        <f>KcSPLINE!K$7</f>
        <v>-8.1263329137791062E-5</v>
      </c>
      <c r="I111">
        <f>KcSPLINE!K$8</f>
        <v>1.8620654369616101E-3</v>
      </c>
      <c r="J111">
        <f t="shared" si="15"/>
        <v>0.46666666666666667</v>
      </c>
      <c r="K111">
        <f t="shared" si="16"/>
        <v>0.53333333333333333</v>
      </c>
      <c r="L111">
        <f t="shared" si="17"/>
        <v>62</v>
      </c>
      <c r="M111" s="6">
        <f t="shared" si="18"/>
        <v>0.54986727037521699</v>
      </c>
      <c r="N111" s="13">
        <f t="shared" si="13"/>
        <v>0.44772398765038163</v>
      </c>
      <c r="O111" s="6">
        <f t="shared" si="23"/>
        <v>111.01089034720218</v>
      </c>
      <c r="P111" s="6">
        <f t="shared" si="23"/>
        <v>111.38780002344923</v>
      </c>
      <c r="Q111" s="6">
        <f t="shared" si="19"/>
        <v>0.44772398765038163</v>
      </c>
      <c r="T111" s="6">
        <f t="shared" si="11"/>
        <v>0.44772398765038163</v>
      </c>
    </row>
    <row r="112" spans="2:20">
      <c r="B112">
        <f t="shared" si="20"/>
        <v>109</v>
      </c>
      <c r="C112">
        <f t="shared" si="14"/>
        <v>30</v>
      </c>
      <c r="D112">
        <v>92</v>
      </c>
      <c r="E112">
        <v>122</v>
      </c>
      <c r="F112">
        <f>KcSPLINE!F$7</f>
        <v>0.70892984401608183</v>
      </c>
      <c r="G112">
        <f>KcSPLINE!F$8</f>
        <v>0.41068751843946011</v>
      </c>
      <c r="H112">
        <f>KcSPLINE!K$7</f>
        <v>-8.1263329137791062E-5</v>
      </c>
      <c r="I112">
        <f>KcSPLINE!K$8</f>
        <v>1.8620654369616101E-3</v>
      </c>
      <c r="J112">
        <f t="shared" si="15"/>
        <v>0.43333333333333335</v>
      </c>
      <c r="K112">
        <f t="shared" si="16"/>
        <v>0.56666666666666665</v>
      </c>
      <c r="L112">
        <f t="shared" si="17"/>
        <v>63</v>
      </c>
      <c r="M112" s="6">
        <f t="shared" si="18"/>
        <v>0.53992585952266292</v>
      </c>
      <c r="N112" s="13">
        <f t="shared" si="13"/>
        <v>0.43676459131753059</v>
      </c>
      <c r="O112" s="6">
        <f t="shared" si="23"/>
        <v>111.55081620672485</v>
      </c>
      <c r="P112" s="6">
        <f t="shared" si="23"/>
        <v>111.82456461476676</v>
      </c>
      <c r="Q112" s="6">
        <f t="shared" si="19"/>
        <v>0.43676459131753059</v>
      </c>
      <c r="T112" s="6">
        <f t="shared" si="11"/>
        <v>0.43676459131753059</v>
      </c>
    </row>
    <row r="113" spans="1:20">
      <c r="B113">
        <f t="shared" si="20"/>
        <v>110</v>
      </c>
      <c r="C113">
        <f t="shared" si="14"/>
        <v>30</v>
      </c>
      <c r="D113">
        <v>92</v>
      </c>
      <c r="E113">
        <v>122</v>
      </c>
      <c r="F113">
        <f>KcSPLINE!F$7</f>
        <v>0.70892984401608183</v>
      </c>
      <c r="G113">
        <f>KcSPLINE!F$8</f>
        <v>0.41068751843946011</v>
      </c>
      <c r="H113">
        <f>KcSPLINE!K$7</f>
        <v>-8.1263329137791062E-5</v>
      </c>
      <c r="I113">
        <f>KcSPLINE!K$8</f>
        <v>1.8620654369616101E-3</v>
      </c>
      <c r="J113">
        <f t="shared" si="15"/>
        <v>0.4</v>
      </c>
      <c r="K113">
        <f t="shared" si="16"/>
        <v>0.6</v>
      </c>
      <c r="L113">
        <f t="shared" si="17"/>
        <v>64</v>
      </c>
      <c r="M113" s="6">
        <f t="shared" si="18"/>
        <v>0.52998444867010885</v>
      </c>
      <c r="N113" s="13">
        <f t="shared" si="13"/>
        <v>0.42682515128966481</v>
      </c>
      <c r="O113" s="6">
        <f t="shared" si="23"/>
        <v>112.08080065539495</v>
      </c>
      <c r="P113" s="6">
        <f t="shared" si="23"/>
        <v>112.25138976605642</v>
      </c>
      <c r="Q113" s="6">
        <f t="shared" si="19"/>
        <v>0.42682515128966481</v>
      </c>
      <c r="T113" s="6">
        <f t="shared" si="11"/>
        <v>0.42682515128966481</v>
      </c>
    </row>
    <row r="114" spans="1:20">
      <c r="B114">
        <f t="shared" si="20"/>
        <v>111</v>
      </c>
      <c r="C114">
        <f t="shared" si="14"/>
        <v>30</v>
      </c>
      <c r="D114">
        <v>92</v>
      </c>
      <c r="E114">
        <v>122</v>
      </c>
      <c r="F114">
        <f>KcSPLINE!F$7</f>
        <v>0.70892984401608183</v>
      </c>
      <c r="G114">
        <f>KcSPLINE!F$8</f>
        <v>0.41068751843946011</v>
      </c>
      <c r="H114">
        <f>KcSPLINE!K$7</f>
        <v>-8.1263329137791062E-5</v>
      </c>
      <c r="I114">
        <f>KcSPLINE!K$8</f>
        <v>1.8620654369616101E-3</v>
      </c>
      <c r="J114">
        <f t="shared" si="15"/>
        <v>0.36666666666666664</v>
      </c>
      <c r="K114">
        <f t="shared" si="16"/>
        <v>0.6333333333333333</v>
      </c>
      <c r="L114">
        <f t="shared" si="17"/>
        <v>65</v>
      </c>
      <c r="M114" s="6">
        <f t="shared" si="18"/>
        <v>0.52004303781755468</v>
      </c>
      <c r="N114" s="13">
        <f t="shared" si="13"/>
        <v>0.41797044519232068</v>
      </c>
      <c r="O114" s="6">
        <f t="shared" si="23"/>
        <v>112.60084369321251</v>
      </c>
      <c r="P114" s="6">
        <f t="shared" si="23"/>
        <v>112.66936021124874</v>
      </c>
      <c r="Q114" s="6">
        <f t="shared" si="19"/>
        <v>0.41797044519232068</v>
      </c>
      <c r="T114" s="6">
        <f t="shared" ref="T114:T177" si="24">N114</f>
        <v>0.41797044519232068</v>
      </c>
    </row>
    <row r="115" spans="1:20">
      <c r="B115">
        <f t="shared" si="20"/>
        <v>112</v>
      </c>
      <c r="C115">
        <f t="shared" si="14"/>
        <v>30</v>
      </c>
      <c r="D115">
        <v>92</v>
      </c>
      <c r="E115">
        <v>122</v>
      </c>
      <c r="F115">
        <f>KcSPLINE!F$7</f>
        <v>0.70892984401608183</v>
      </c>
      <c r="G115">
        <f>KcSPLINE!F$8</f>
        <v>0.41068751843946011</v>
      </c>
      <c r="H115">
        <f>KcSPLINE!K$7</f>
        <v>-8.1263329137791062E-5</v>
      </c>
      <c r="I115">
        <f>KcSPLINE!K$8</f>
        <v>1.8620654369616101E-3</v>
      </c>
      <c r="J115">
        <f t="shared" si="15"/>
        <v>0.33333333333333331</v>
      </c>
      <c r="K115">
        <f t="shared" si="16"/>
        <v>0.66666666666666663</v>
      </c>
      <c r="L115">
        <f t="shared" si="17"/>
        <v>66</v>
      </c>
      <c r="M115" s="6">
        <f t="shared" si="18"/>
        <v>0.51010162696500072</v>
      </c>
      <c r="N115" s="13">
        <f t="shared" si="13"/>
        <v>0.41026525065103536</v>
      </c>
      <c r="O115" s="6">
        <f t="shared" si="23"/>
        <v>113.11094532017751</v>
      </c>
      <c r="P115" s="6">
        <f t="shared" si="23"/>
        <v>113.07962546189978</v>
      </c>
      <c r="Q115" s="6">
        <f t="shared" si="19"/>
        <v>0.41026525065103536</v>
      </c>
      <c r="T115" s="6">
        <f t="shared" si="24"/>
        <v>0.41026525065103536</v>
      </c>
    </row>
    <row r="116" spans="1:20">
      <c r="B116">
        <f t="shared" si="20"/>
        <v>113</v>
      </c>
      <c r="C116">
        <f t="shared" si="14"/>
        <v>30</v>
      </c>
      <c r="D116">
        <v>92</v>
      </c>
      <c r="E116">
        <v>122</v>
      </c>
      <c r="F116">
        <f>KcSPLINE!F$7</f>
        <v>0.70892984401608183</v>
      </c>
      <c r="G116">
        <f>KcSPLINE!F$8</f>
        <v>0.41068751843946011</v>
      </c>
      <c r="H116">
        <f>KcSPLINE!K$7</f>
        <v>-8.1263329137791062E-5</v>
      </c>
      <c r="I116">
        <f>KcSPLINE!K$8</f>
        <v>1.8620654369616101E-3</v>
      </c>
      <c r="J116">
        <f t="shared" si="15"/>
        <v>0.3</v>
      </c>
      <c r="K116">
        <f t="shared" si="16"/>
        <v>0.7</v>
      </c>
      <c r="L116">
        <f t="shared" si="17"/>
        <v>67</v>
      </c>
      <c r="M116" s="6">
        <f t="shared" si="18"/>
        <v>0.50016021611244654</v>
      </c>
      <c r="N116" s="13">
        <f t="shared" si="13"/>
        <v>0.40377434529134487</v>
      </c>
      <c r="O116" s="6">
        <f t="shared" si="23"/>
        <v>113.61110553628995</v>
      </c>
      <c r="P116" s="6">
        <f t="shared" si="23"/>
        <v>113.48339980719112</v>
      </c>
      <c r="Q116" s="6">
        <f t="shared" si="19"/>
        <v>0.40377434529134487</v>
      </c>
      <c r="T116" s="6">
        <f t="shared" si="24"/>
        <v>0.40377434529134487</v>
      </c>
    </row>
    <row r="117" spans="1:20">
      <c r="B117">
        <f t="shared" si="20"/>
        <v>114</v>
      </c>
      <c r="C117">
        <f t="shared" si="14"/>
        <v>30</v>
      </c>
      <c r="D117">
        <v>92</v>
      </c>
      <c r="E117">
        <v>122</v>
      </c>
      <c r="F117">
        <f>KcSPLINE!F$7</f>
        <v>0.70892984401608183</v>
      </c>
      <c r="G117">
        <f>KcSPLINE!F$8</f>
        <v>0.41068751843946011</v>
      </c>
      <c r="H117">
        <f>KcSPLINE!K$7</f>
        <v>-8.1263329137791062E-5</v>
      </c>
      <c r="I117">
        <f>KcSPLINE!K$8</f>
        <v>1.8620654369616101E-3</v>
      </c>
      <c r="J117">
        <f t="shared" si="15"/>
        <v>0.26666666666666666</v>
      </c>
      <c r="K117">
        <f t="shared" si="16"/>
        <v>0.73333333333333328</v>
      </c>
      <c r="L117">
        <f t="shared" si="17"/>
        <v>68</v>
      </c>
      <c r="M117" s="6">
        <f t="shared" si="18"/>
        <v>0.49021880525989259</v>
      </c>
      <c r="N117" s="13">
        <f t="shared" si="13"/>
        <v>0.3985625067387864</v>
      </c>
      <c r="O117" s="6">
        <f t="shared" ref="O117:P132" si="25">O116+M117</f>
        <v>114.10132434154984</v>
      </c>
      <c r="P117" s="6">
        <f t="shared" si="25"/>
        <v>113.8819623139299</v>
      </c>
      <c r="Q117" s="6">
        <f t="shared" si="19"/>
        <v>0.3985625067387864</v>
      </c>
      <c r="T117" s="6">
        <f t="shared" si="24"/>
        <v>0.3985625067387864</v>
      </c>
    </row>
    <row r="118" spans="1:20">
      <c r="B118">
        <f t="shared" si="20"/>
        <v>115</v>
      </c>
      <c r="C118">
        <f t="shared" si="14"/>
        <v>30</v>
      </c>
      <c r="D118">
        <v>92</v>
      </c>
      <c r="E118">
        <v>122</v>
      </c>
      <c r="F118">
        <f>KcSPLINE!F$7</f>
        <v>0.70892984401608183</v>
      </c>
      <c r="G118">
        <f>KcSPLINE!F$8</f>
        <v>0.41068751843946011</v>
      </c>
      <c r="H118">
        <f>KcSPLINE!K$7</f>
        <v>-8.1263329137791062E-5</v>
      </c>
      <c r="I118">
        <f>KcSPLINE!K$8</f>
        <v>1.8620654369616101E-3</v>
      </c>
      <c r="J118">
        <f t="shared" si="15"/>
        <v>0.23333333333333334</v>
      </c>
      <c r="K118">
        <f t="shared" si="16"/>
        <v>0.76666666666666672</v>
      </c>
      <c r="L118">
        <f t="shared" si="17"/>
        <v>69</v>
      </c>
      <c r="M118" s="6">
        <f t="shared" si="18"/>
        <v>0.48027739440733852</v>
      </c>
      <c r="N118" s="13">
        <f t="shared" si="13"/>
        <v>0.39469451261889632</v>
      </c>
      <c r="O118" s="6">
        <f t="shared" si="25"/>
        <v>114.58160173595718</v>
      </c>
      <c r="P118" s="6">
        <f t="shared" si="25"/>
        <v>114.2766568265488</v>
      </c>
      <c r="Q118" s="6">
        <f t="shared" si="19"/>
        <v>0.39469451261889632</v>
      </c>
      <c r="T118" s="6">
        <f t="shared" si="24"/>
        <v>0.39469451261889632</v>
      </c>
    </row>
    <row r="119" spans="1:20">
      <c r="B119">
        <f t="shared" si="20"/>
        <v>116</v>
      </c>
      <c r="C119">
        <f t="shared" si="14"/>
        <v>30</v>
      </c>
      <c r="D119">
        <v>92</v>
      </c>
      <c r="E119">
        <v>122</v>
      </c>
      <c r="F119">
        <f>KcSPLINE!F$7</f>
        <v>0.70892984401608183</v>
      </c>
      <c r="G119">
        <f>KcSPLINE!F$8</f>
        <v>0.41068751843946011</v>
      </c>
      <c r="H119">
        <f>KcSPLINE!K$7</f>
        <v>-8.1263329137791062E-5</v>
      </c>
      <c r="I119">
        <f>KcSPLINE!K$8</f>
        <v>1.8620654369616101E-3</v>
      </c>
      <c r="J119">
        <f t="shared" si="15"/>
        <v>0.2</v>
      </c>
      <c r="K119">
        <f t="shared" si="16"/>
        <v>0.8</v>
      </c>
      <c r="L119">
        <f t="shared" si="17"/>
        <v>70</v>
      </c>
      <c r="M119" s="6">
        <f t="shared" si="18"/>
        <v>0.47033598355478445</v>
      </c>
      <c r="N119" s="13">
        <f t="shared" ref="N119:N182" si="26">Q119</f>
        <v>0.39223514055721131</v>
      </c>
      <c r="O119" s="6">
        <f t="shared" si="25"/>
        <v>115.05193771951197</v>
      </c>
      <c r="P119" s="6">
        <f t="shared" si="25"/>
        <v>114.66889196710601</v>
      </c>
      <c r="Q119" s="6">
        <f t="shared" si="19"/>
        <v>0.39223514055721131</v>
      </c>
      <c r="T119" s="6">
        <f t="shared" si="24"/>
        <v>0.39223514055721131</v>
      </c>
    </row>
    <row r="120" spans="1:20">
      <c r="B120">
        <f t="shared" si="20"/>
        <v>117</v>
      </c>
      <c r="C120">
        <f t="shared" si="14"/>
        <v>30</v>
      </c>
      <c r="D120">
        <v>92</v>
      </c>
      <c r="E120">
        <v>122</v>
      </c>
      <c r="F120">
        <f>KcSPLINE!F$7</f>
        <v>0.70892984401608183</v>
      </c>
      <c r="G120">
        <f>KcSPLINE!F$8</f>
        <v>0.41068751843946011</v>
      </c>
      <c r="H120">
        <f>KcSPLINE!K$7</f>
        <v>-8.1263329137791062E-5</v>
      </c>
      <c r="I120">
        <f>KcSPLINE!K$8</f>
        <v>1.8620654369616101E-3</v>
      </c>
      <c r="J120">
        <f t="shared" si="15"/>
        <v>0.16666666666666666</v>
      </c>
      <c r="K120">
        <f t="shared" si="16"/>
        <v>0.83333333333333337</v>
      </c>
      <c r="L120">
        <f t="shared" si="17"/>
        <v>71</v>
      </c>
      <c r="M120" s="6">
        <f t="shared" si="18"/>
        <v>0.46039457270223039</v>
      </c>
      <c r="N120" s="13">
        <f t="shared" si="26"/>
        <v>0.39124916817926803</v>
      </c>
      <c r="O120" s="6">
        <f t="shared" si="25"/>
        <v>115.5123322922142</v>
      </c>
      <c r="P120" s="6">
        <f t="shared" si="25"/>
        <v>115.06014113528528</v>
      </c>
      <c r="Q120" s="6">
        <f t="shared" si="19"/>
        <v>0.39124916817926803</v>
      </c>
      <c r="T120" s="6">
        <f t="shared" si="24"/>
        <v>0.39124916817926803</v>
      </c>
    </row>
    <row r="121" spans="1:20">
      <c r="B121">
        <f t="shared" si="20"/>
        <v>118</v>
      </c>
      <c r="C121">
        <f t="shared" si="14"/>
        <v>30</v>
      </c>
      <c r="D121">
        <v>92</v>
      </c>
      <c r="E121">
        <v>122</v>
      </c>
      <c r="F121">
        <f>KcSPLINE!F$7</f>
        <v>0.70892984401608183</v>
      </c>
      <c r="G121">
        <f>KcSPLINE!F$8</f>
        <v>0.41068751843946011</v>
      </c>
      <c r="H121">
        <f>KcSPLINE!K$7</f>
        <v>-8.1263329137791062E-5</v>
      </c>
      <c r="I121">
        <f>KcSPLINE!K$8</f>
        <v>1.8620654369616101E-3</v>
      </c>
      <c r="J121">
        <f t="shared" si="15"/>
        <v>0.13333333333333333</v>
      </c>
      <c r="K121">
        <f t="shared" si="16"/>
        <v>0.8666666666666667</v>
      </c>
      <c r="L121">
        <f t="shared" si="17"/>
        <v>72</v>
      </c>
      <c r="M121" s="6">
        <f t="shared" si="18"/>
        <v>0.45045316184967632</v>
      </c>
      <c r="N121" s="13">
        <f t="shared" si="26"/>
        <v>0.39180137311060309</v>
      </c>
      <c r="O121" s="6">
        <f t="shared" si="25"/>
        <v>115.96278545406388</v>
      </c>
      <c r="P121" s="6">
        <f t="shared" si="25"/>
        <v>115.45194250839589</v>
      </c>
      <c r="Q121" s="6">
        <f t="shared" si="19"/>
        <v>0.39180137311060309</v>
      </c>
      <c r="T121" s="6">
        <f t="shared" si="24"/>
        <v>0.39180137311060309</v>
      </c>
    </row>
    <row r="122" spans="1:20">
      <c r="B122">
        <f t="shared" si="20"/>
        <v>119</v>
      </c>
      <c r="C122">
        <f t="shared" si="14"/>
        <v>30</v>
      </c>
      <c r="D122">
        <v>92</v>
      </c>
      <c r="E122">
        <v>122</v>
      </c>
      <c r="F122">
        <f>KcSPLINE!F$7</f>
        <v>0.70892984401608183</v>
      </c>
      <c r="G122">
        <f>KcSPLINE!F$8</f>
        <v>0.41068751843946011</v>
      </c>
      <c r="H122">
        <f>KcSPLINE!K$7</f>
        <v>-8.1263329137791062E-5</v>
      </c>
      <c r="I122">
        <f>KcSPLINE!K$8</f>
        <v>1.8620654369616101E-3</v>
      </c>
      <c r="J122">
        <f t="shared" si="15"/>
        <v>0.1</v>
      </c>
      <c r="K122">
        <f t="shared" si="16"/>
        <v>0.9</v>
      </c>
      <c r="L122">
        <f t="shared" si="17"/>
        <v>73</v>
      </c>
      <c r="M122" s="6">
        <f t="shared" si="18"/>
        <v>0.44051175099712231</v>
      </c>
      <c r="N122" s="13">
        <f t="shared" si="26"/>
        <v>0.3939565329767532</v>
      </c>
      <c r="O122" s="6">
        <f t="shared" si="25"/>
        <v>116.40329720506099</v>
      </c>
      <c r="P122" s="6">
        <f t="shared" si="25"/>
        <v>115.84589904137265</v>
      </c>
      <c r="Q122" s="6">
        <f t="shared" si="19"/>
        <v>0.3939565329767532</v>
      </c>
      <c r="T122" s="6">
        <f t="shared" si="24"/>
        <v>0.3939565329767532</v>
      </c>
    </row>
    <row r="123" spans="1:20">
      <c r="B123">
        <f t="shared" si="20"/>
        <v>120</v>
      </c>
      <c r="C123">
        <f t="shared" si="14"/>
        <v>30</v>
      </c>
      <c r="D123">
        <v>92</v>
      </c>
      <c r="E123">
        <v>122</v>
      </c>
      <c r="F123">
        <f>KcSPLINE!F$7</f>
        <v>0.70892984401608183</v>
      </c>
      <c r="G123">
        <f>KcSPLINE!F$8</f>
        <v>0.41068751843946011</v>
      </c>
      <c r="H123">
        <f>KcSPLINE!K$7</f>
        <v>-8.1263329137791062E-5</v>
      </c>
      <c r="I123">
        <f>KcSPLINE!K$8</f>
        <v>1.8620654369616101E-3</v>
      </c>
      <c r="J123">
        <f t="shared" si="15"/>
        <v>6.6666666666666666E-2</v>
      </c>
      <c r="K123">
        <f t="shared" si="16"/>
        <v>0.93333333333333335</v>
      </c>
      <c r="L123">
        <f t="shared" si="17"/>
        <v>74</v>
      </c>
      <c r="M123" s="6">
        <f t="shared" si="18"/>
        <v>0.43057034014456824</v>
      </c>
      <c r="N123" s="13">
        <f t="shared" si="26"/>
        <v>0.397779425403255</v>
      </c>
      <c r="O123" s="6">
        <f t="shared" si="25"/>
        <v>116.83386754520556</v>
      </c>
      <c r="P123" s="6">
        <f t="shared" si="25"/>
        <v>116.2436784667759</v>
      </c>
      <c r="Q123" s="6">
        <f t="shared" si="19"/>
        <v>0.397779425403255</v>
      </c>
      <c r="T123" s="6">
        <f t="shared" si="24"/>
        <v>0.397779425403255</v>
      </c>
    </row>
    <row r="124" spans="1:20">
      <c r="B124">
        <f t="shared" si="20"/>
        <v>121</v>
      </c>
      <c r="C124">
        <f t="shared" si="14"/>
        <v>30</v>
      </c>
      <c r="D124">
        <v>92</v>
      </c>
      <c r="E124">
        <v>122</v>
      </c>
      <c r="F124">
        <f>KcSPLINE!F$7</f>
        <v>0.70892984401608183</v>
      </c>
      <c r="G124">
        <f>KcSPLINE!F$8</f>
        <v>0.41068751843946011</v>
      </c>
      <c r="H124">
        <f>KcSPLINE!K$7</f>
        <v>-8.1263329137791062E-5</v>
      </c>
      <c r="I124">
        <f>KcSPLINE!K$8</f>
        <v>1.8620654369616101E-3</v>
      </c>
      <c r="J124">
        <f t="shared" si="15"/>
        <v>3.3333333333333333E-2</v>
      </c>
      <c r="K124">
        <f t="shared" si="16"/>
        <v>0.96666666666666667</v>
      </c>
      <c r="L124">
        <f t="shared" si="17"/>
        <v>75</v>
      </c>
      <c r="M124" s="6">
        <f t="shared" si="18"/>
        <v>0.42062892929201418</v>
      </c>
      <c r="N124" s="13">
        <f t="shared" si="26"/>
        <v>0.40333482801564507</v>
      </c>
      <c r="O124" s="6">
        <f t="shared" si="25"/>
        <v>117.25449647449757</v>
      </c>
      <c r="P124" s="6">
        <f t="shared" si="25"/>
        <v>116.64701329479155</v>
      </c>
      <c r="Q124" s="6">
        <f t="shared" si="19"/>
        <v>0.40333482801564507</v>
      </c>
      <c r="T124" s="6">
        <f t="shared" si="24"/>
        <v>0.40333482801564507</v>
      </c>
    </row>
    <row r="125" spans="1:20">
      <c r="A125">
        <v>122</v>
      </c>
      <c r="B125">
        <f t="shared" si="20"/>
        <v>122</v>
      </c>
      <c r="C125">
        <f t="shared" si="14"/>
        <v>30</v>
      </c>
      <c r="D125">
        <v>92</v>
      </c>
      <c r="E125">
        <v>122</v>
      </c>
      <c r="F125">
        <f>KcSPLINE!F$7</f>
        <v>0.70892984401608183</v>
      </c>
      <c r="G125">
        <f>KcSPLINE!F$8</f>
        <v>0.41068751843946011</v>
      </c>
      <c r="H125">
        <f>KcSPLINE!K$7</f>
        <v>-8.1263329137791062E-5</v>
      </c>
      <c r="I125">
        <f>KcSPLINE!K$8</f>
        <v>1.8620654369616101E-3</v>
      </c>
      <c r="J125">
        <f t="shared" si="15"/>
        <v>0</v>
      </c>
      <c r="K125">
        <f t="shared" si="16"/>
        <v>1</v>
      </c>
      <c r="L125">
        <f t="shared" si="17"/>
        <v>76</v>
      </c>
      <c r="M125" s="6">
        <f t="shared" si="18"/>
        <v>0.41068751843946011</v>
      </c>
      <c r="N125" s="13">
        <f t="shared" si="26"/>
        <v>0.41068751843946011</v>
      </c>
      <c r="O125" s="6">
        <f t="shared" si="25"/>
        <v>117.66518399293703</v>
      </c>
      <c r="P125" s="6">
        <f t="shared" si="25"/>
        <v>117.05770081323101</v>
      </c>
      <c r="Q125" s="6">
        <f t="shared" si="19"/>
        <v>0.41068751843946011</v>
      </c>
      <c r="T125" s="6">
        <f t="shared" si="24"/>
        <v>0.41068751843946011</v>
      </c>
    </row>
    <row r="126" spans="1:20">
      <c r="B126">
        <f t="shared" si="20"/>
        <v>123</v>
      </c>
      <c r="C126">
        <f t="shared" si="14"/>
        <v>31</v>
      </c>
      <c r="D126">
        <v>122</v>
      </c>
      <c r="E126">
        <v>153</v>
      </c>
      <c r="F126">
        <f>KcSPLINE!F$8</f>
        <v>0.41068751843946011</v>
      </c>
      <c r="G126">
        <f>KcSPLINE!F$9</f>
        <v>0.93951055333449485</v>
      </c>
      <c r="H126">
        <f>KcSPLINE!K$8</f>
        <v>1.8620654369616101E-3</v>
      </c>
      <c r="I126">
        <f>KcSPLINE!K$9</f>
        <v>-2.0236378340742979E-3</v>
      </c>
      <c r="J126">
        <f t="shared" si="15"/>
        <v>0.967741935483871</v>
      </c>
      <c r="K126">
        <f t="shared" si="16"/>
        <v>3.2258064516129031E-2</v>
      </c>
      <c r="L126">
        <f t="shared" si="17"/>
        <v>77</v>
      </c>
      <c r="M126" s="6">
        <f t="shared" si="18"/>
        <v>0.4277463260167193</v>
      </c>
      <c r="N126" s="13">
        <f t="shared" si="26"/>
        <v>0.41987058715151276</v>
      </c>
      <c r="O126" s="6">
        <f t="shared" si="25"/>
        <v>118.09293031895375</v>
      </c>
      <c r="P126" s="6">
        <f t="shared" si="25"/>
        <v>117.47757140038252</v>
      </c>
      <c r="Q126" s="6">
        <f t="shared" si="19"/>
        <v>0.41987058715151276</v>
      </c>
      <c r="T126" s="6">
        <f t="shared" si="24"/>
        <v>0.41987058715151276</v>
      </c>
    </row>
    <row r="127" spans="1:20">
      <c r="B127">
        <f t="shared" si="20"/>
        <v>124</v>
      </c>
      <c r="C127">
        <f t="shared" si="14"/>
        <v>31</v>
      </c>
      <c r="D127">
        <v>122</v>
      </c>
      <c r="E127">
        <v>153</v>
      </c>
      <c r="F127">
        <f>KcSPLINE!F$8</f>
        <v>0.41068751843946011</v>
      </c>
      <c r="G127">
        <f>KcSPLINE!F$9</f>
        <v>0.93951055333449485</v>
      </c>
      <c r="H127">
        <f>KcSPLINE!K$8</f>
        <v>1.8620654369616101E-3</v>
      </c>
      <c r="I127">
        <f>KcSPLINE!K$9</f>
        <v>-2.0236378340742979E-3</v>
      </c>
      <c r="J127">
        <f t="shared" si="15"/>
        <v>0.93548387096774188</v>
      </c>
      <c r="K127">
        <f t="shared" si="16"/>
        <v>6.4516129032258063E-2</v>
      </c>
      <c r="L127">
        <f t="shared" si="17"/>
        <v>78</v>
      </c>
      <c r="M127" s="6">
        <f t="shared" si="18"/>
        <v>0.4448051335939785</v>
      </c>
      <c r="N127" s="13">
        <f t="shared" si="26"/>
        <v>0.43079037603371934</v>
      </c>
      <c r="O127" s="6">
        <f t="shared" si="25"/>
        <v>118.53773545254772</v>
      </c>
      <c r="P127" s="6">
        <f t="shared" si="25"/>
        <v>117.90836177641623</v>
      </c>
      <c r="Q127" s="6">
        <f t="shared" si="19"/>
        <v>0.43079037603371934</v>
      </c>
      <c r="T127" s="6">
        <f t="shared" si="24"/>
        <v>0.43079037603371934</v>
      </c>
    </row>
    <row r="128" spans="1:20">
      <c r="B128">
        <f t="shared" si="20"/>
        <v>125</v>
      </c>
      <c r="C128">
        <f t="shared" si="14"/>
        <v>31</v>
      </c>
      <c r="D128">
        <v>122</v>
      </c>
      <c r="E128">
        <v>153</v>
      </c>
      <c r="F128">
        <f>KcSPLINE!F$8</f>
        <v>0.41068751843946011</v>
      </c>
      <c r="G128">
        <f>KcSPLINE!F$9</f>
        <v>0.93951055333449485</v>
      </c>
      <c r="H128">
        <f>KcSPLINE!K$8</f>
        <v>1.8620654369616101E-3</v>
      </c>
      <c r="I128">
        <f>KcSPLINE!K$9</f>
        <v>-2.0236378340742979E-3</v>
      </c>
      <c r="J128">
        <f t="shared" si="15"/>
        <v>0.90322580645161288</v>
      </c>
      <c r="K128">
        <f t="shared" si="16"/>
        <v>9.6774193548387094E-2</v>
      </c>
      <c r="L128">
        <f t="shared" si="17"/>
        <v>79</v>
      </c>
      <c r="M128" s="6">
        <f t="shared" si="18"/>
        <v>0.46186394117123764</v>
      </c>
      <c r="N128" s="13">
        <f t="shared" si="26"/>
        <v>0.4433215398192723</v>
      </c>
      <c r="O128" s="6">
        <f t="shared" si="25"/>
        <v>118.99959939371895</v>
      </c>
      <c r="P128" s="6">
        <f t="shared" si="25"/>
        <v>118.35168331623549</v>
      </c>
      <c r="Q128" s="6">
        <f t="shared" si="19"/>
        <v>0.4433215398192723</v>
      </c>
      <c r="T128" s="6">
        <f t="shared" si="24"/>
        <v>0.4433215398192723</v>
      </c>
    </row>
    <row r="129" spans="2:20">
      <c r="B129">
        <f t="shared" si="20"/>
        <v>126</v>
      </c>
      <c r="C129">
        <f t="shared" si="14"/>
        <v>31</v>
      </c>
      <c r="D129">
        <v>122</v>
      </c>
      <c r="E129">
        <v>153</v>
      </c>
      <c r="F129">
        <f>KcSPLINE!F$8</f>
        <v>0.41068751843946011</v>
      </c>
      <c r="G129">
        <f>KcSPLINE!F$9</f>
        <v>0.93951055333449485</v>
      </c>
      <c r="H129">
        <f>KcSPLINE!K$8</f>
        <v>1.8620654369616101E-3</v>
      </c>
      <c r="I129">
        <f>KcSPLINE!K$9</f>
        <v>-2.0236378340742979E-3</v>
      </c>
      <c r="J129">
        <f t="shared" si="15"/>
        <v>0.87096774193548387</v>
      </c>
      <c r="K129">
        <f t="shared" si="16"/>
        <v>0.12903225806451613</v>
      </c>
      <c r="L129">
        <f t="shared" si="17"/>
        <v>80</v>
      </c>
      <c r="M129" s="6">
        <f t="shared" si="18"/>
        <v>0.47892274874849683</v>
      </c>
      <c r="N129" s="13">
        <f t="shared" si="26"/>
        <v>0.45733873324136415</v>
      </c>
      <c r="O129" s="6">
        <f t="shared" si="25"/>
        <v>119.47852214246745</v>
      </c>
      <c r="P129" s="6">
        <f t="shared" si="25"/>
        <v>118.80902204947685</v>
      </c>
      <c r="Q129" s="6">
        <f t="shared" si="19"/>
        <v>0.45733873324136415</v>
      </c>
      <c r="T129" s="6">
        <f t="shared" si="24"/>
        <v>0.45733873324136415</v>
      </c>
    </row>
    <row r="130" spans="2:20">
      <c r="B130">
        <f t="shared" si="20"/>
        <v>127</v>
      </c>
      <c r="C130">
        <f t="shared" si="14"/>
        <v>31</v>
      </c>
      <c r="D130">
        <v>122</v>
      </c>
      <c r="E130">
        <v>153</v>
      </c>
      <c r="F130">
        <f>KcSPLINE!F$8</f>
        <v>0.41068751843946011</v>
      </c>
      <c r="G130">
        <f>KcSPLINE!F$9</f>
        <v>0.93951055333449485</v>
      </c>
      <c r="H130">
        <f>KcSPLINE!K$8</f>
        <v>1.8620654369616101E-3</v>
      </c>
      <c r="I130">
        <f>KcSPLINE!K$9</f>
        <v>-2.0236378340742979E-3</v>
      </c>
      <c r="J130">
        <f t="shared" si="15"/>
        <v>0.83870967741935487</v>
      </c>
      <c r="K130">
        <f t="shared" si="16"/>
        <v>0.16129032258064516</v>
      </c>
      <c r="L130">
        <f t="shared" si="17"/>
        <v>81</v>
      </c>
      <c r="M130" s="6">
        <f t="shared" si="18"/>
        <v>0.49598155632575602</v>
      </c>
      <c r="N130" s="13">
        <f t="shared" si="26"/>
        <v>0.47271661103318713</v>
      </c>
      <c r="O130" s="6">
        <f t="shared" si="25"/>
        <v>119.97450369879321</v>
      </c>
      <c r="P130" s="6">
        <f t="shared" si="25"/>
        <v>119.28173866051004</v>
      </c>
      <c r="Q130" s="6">
        <f t="shared" si="19"/>
        <v>0.47271661103318713</v>
      </c>
      <c r="T130" s="6">
        <f t="shared" si="24"/>
        <v>0.47271661103318713</v>
      </c>
    </row>
    <row r="131" spans="2:20">
      <c r="B131">
        <f t="shared" si="20"/>
        <v>128</v>
      </c>
      <c r="C131">
        <f t="shared" si="14"/>
        <v>31</v>
      </c>
      <c r="D131">
        <v>122</v>
      </c>
      <c r="E131">
        <v>153</v>
      </c>
      <c r="F131">
        <f>KcSPLINE!F$8</f>
        <v>0.41068751843946011</v>
      </c>
      <c r="G131">
        <f>KcSPLINE!F$9</f>
        <v>0.93951055333449485</v>
      </c>
      <c r="H131">
        <f>KcSPLINE!K$8</f>
        <v>1.8620654369616101E-3</v>
      </c>
      <c r="I131">
        <f>KcSPLINE!K$9</f>
        <v>-2.0236378340742979E-3</v>
      </c>
      <c r="J131">
        <f t="shared" si="15"/>
        <v>0.80645161290322576</v>
      </c>
      <c r="K131">
        <f t="shared" si="16"/>
        <v>0.19354838709677419</v>
      </c>
      <c r="L131">
        <f t="shared" si="17"/>
        <v>82</v>
      </c>
      <c r="M131" s="6">
        <f t="shared" si="18"/>
        <v>0.51304036390301522</v>
      </c>
      <c r="N131" s="13">
        <f t="shared" si="26"/>
        <v>0.48932982792793361</v>
      </c>
      <c r="O131" s="6">
        <f t="shared" si="25"/>
        <v>120.48754406269623</v>
      </c>
      <c r="P131" s="6">
        <f t="shared" si="25"/>
        <v>119.77106848843798</v>
      </c>
      <c r="Q131" s="6">
        <f t="shared" si="19"/>
        <v>0.48932982792793361</v>
      </c>
      <c r="T131" s="6">
        <f t="shared" si="24"/>
        <v>0.48932982792793361</v>
      </c>
    </row>
    <row r="132" spans="2:20">
      <c r="B132">
        <f t="shared" si="20"/>
        <v>129</v>
      </c>
      <c r="C132">
        <f t="shared" ref="C132:C195" si="27">E132-D132</f>
        <v>31</v>
      </c>
      <c r="D132">
        <v>122</v>
      </c>
      <c r="E132">
        <v>153</v>
      </c>
      <c r="F132">
        <f>KcSPLINE!F$8</f>
        <v>0.41068751843946011</v>
      </c>
      <c r="G132">
        <f>KcSPLINE!F$9</f>
        <v>0.93951055333449485</v>
      </c>
      <c r="H132">
        <f>KcSPLINE!K$8</f>
        <v>1.8620654369616101E-3</v>
      </c>
      <c r="I132">
        <f>KcSPLINE!K$9</f>
        <v>-2.0236378340742979E-3</v>
      </c>
      <c r="J132">
        <f t="shared" ref="J132:J195" si="28">(E132-B132)/C132</f>
        <v>0.77419354838709675</v>
      </c>
      <c r="K132">
        <f t="shared" ref="K132:K195" si="29">(B132-D132)/C132</f>
        <v>0.22580645161290322</v>
      </c>
      <c r="L132">
        <f t="shared" ref="L132:L195" si="30">B132-46</f>
        <v>83</v>
      </c>
      <c r="M132" s="6">
        <f t="shared" ref="M132:M195" si="31">J132*F132+K132*G132</f>
        <v>0.5300991714802743</v>
      </c>
      <c r="N132" s="13">
        <f t="shared" si="26"/>
        <v>0.50705303865879603</v>
      </c>
      <c r="O132" s="6">
        <f t="shared" si="25"/>
        <v>121.0176432341765</v>
      </c>
      <c r="P132" s="6">
        <f t="shared" si="25"/>
        <v>120.27812152709677</v>
      </c>
      <c r="Q132" s="6">
        <f t="shared" ref="Q132:Q195" si="32">M132+(((J132^3-J132)*H132+(K132^3-K132)*I132))*(C132^2)/6</f>
        <v>0.50705303865879603</v>
      </c>
      <c r="T132" s="6">
        <f t="shared" si="24"/>
        <v>0.50705303865879603</v>
      </c>
    </row>
    <row r="133" spans="2:20">
      <c r="B133">
        <f t="shared" ref="B133:B196" si="33">B132+1</f>
        <v>130</v>
      </c>
      <c r="C133">
        <f t="shared" si="27"/>
        <v>31</v>
      </c>
      <c r="D133">
        <v>122</v>
      </c>
      <c r="E133">
        <v>153</v>
      </c>
      <c r="F133">
        <f>KcSPLINE!F$8</f>
        <v>0.41068751843946011</v>
      </c>
      <c r="G133">
        <f>KcSPLINE!F$9</f>
        <v>0.93951055333449485</v>
      </c>
      <c r="H133">
        <f>KcSPLINE!K$8</f>
        <v>1.8620654369616101E-3</v>
      </c>
      <c r="I133">
        <f>KcSPLINE!K$9</f>
        <v>-2.0236378340742979E-3</v>
      </c>
      <c r="J133">
        <f t="shared" si="28"/>
        <v>0.74193548387096775</v>
      </c>
      <c r="K133">
        <f t="shared" si="29"/>
        <v>0.25806451612903225</v>
      </c>
      <c r="L133">
        <f t="shared" si="30"/>
        <v>84</v>
      </c>
      <c r="M133" s="6">
        <f t="shared" si="31"/>
        <v>0.54715797905753361</v>
      </c>
      <c r="N133" s="13">
        <f t="shared" si="26"/>
        <v>0.52576089795896697</v>
      </c>
      <c r="O133" s="6">
        <f t="shared" ref="O133:P148" si="34">O132+M133</f>
        <v>121.56480121323403</v>
      </c>
      <c r="P133" s="6">
        <f t="shared" si="34"/>
        <v>120.80388242505573</v>
      </c>
      <c r="Q133" s="6">
        <f t="shared" si="32"/>
        <v>0.52576089795896697</v>
      </c>
      <c r="T133" s="6">
        <f t="shared" si="24"/>
        <v>0.52576089795896697</v>
      </c>
    </row>
    <row r="134" spans="2:20">
      <c r="B134">
        <f t="shared" si="33"/>
        <v>131</v>
      </c>
      <c r="C134">
        <f t="shared" si="27"/>
        <v>31</v>
      </c>
      <c r="D134">
        <v>122</v>
      </c>
      <c r="E134">
        <v>153</v>
      </c>
      <c r="F134">
        <f>KcSPLINE!F$8</f>
        <v>0.41068751843946011</v>
      </c>
      <c r="G134">
        <f>KcSPLINE!F$9</f>
        <v>0.93951055333449485</v>
      </c>
      <c r="H134">
        <f>KcSPLINE!K$8</f>
        <v>1.8620654369616101E-3</v>
      </c>
      <c r="I134">
        <f>KcSPLINE!K$9</f>
        <v>-2.0236378340742979E-3</v>
      </c>
      <c r="J134">
        <f t="shared" si="28"/>
        <v>0.70967741935483875</v>
      </c>
      <c r="K134">
        <f t="shared" si="29"/>
        <v>0.29032258064516131</v>
      </c>
      <c r="L134">
        <f t="shared" si="30"/>
        <v>85</v>
      </c>
      <c r="M134" s="6">
        <f t="shared" si="31"/>
        <v>0.5642167866347928</v>
      </c>
      <c r="N134" s="13">
        <f t="shared" si="26"/>
        <v>0.54532806056163852</v>
      </c>
      <c r="O134" s="6">
        <f t="shared" si="34"/>
        <v>122.12901799986882</v>
      </c>
      <c r="P134" s="6">
        <f t="shared" si="34"/>
        <v>121.34921048561738</v>
      </c>
      <c r="Q134" s="6">
        <f t="shared" si="32"/>
        <v>0.54532806056163852</v>
      </c>
      <c r="T134" s="6">
        <f t="shared" si="24"/>
        <v>0.54532806056163852</v>
      </c>
    </row>
    <row r="135" spans="2:20">
      <c r="B135">
        <f t="shared" si="33"/>
        <v>132</v>
      </c>
      <c r="C135">
        <f t="shared" si="27"/>
        <v>31</v>
      </c>
      <c r="D135">
        <v>122</v>
      </c>
      <c r="E135">
        <v>153</v>
      </c>
      <c r="F135">
        <f>KcSPLINE!F$8</f>
        <v>0.41068751843946011</v>
      </c>
      <c r="G135">
        <f>KcSPLINE!F$9</f>
        <v>0.93951055333449485</v>
      </c>
      <c r="H135">
        <f>KcSPLINE!K$8</f>
        <v>1.8620654369616101E-3</v>
      </c>
      <c r="I135">
        <f>KcSPLINE!K$9</f>
        <v>-2.0236378340742979E-3</v>
      </c>
      <c r="J135">
        <f t="shared" si="28"/>
        <v>0.67741935483870963</v>
      </c>
      <c r="K135">
        <f t="shared" si="29"/>
        <v>0.32258064516129031</v>
      </c>
      <c r="L135">
        <f t="shared" si="30"/>
        <v>86</v>
      </c>
      <c r="M135" s="6">
        <f t="shared" si="31"/>
        <v>0.58127559421205199</v>
      </c>
      <c r="N135" s="13">
        <f t="shared" si="26"/>
        <v>0.56562918120000316</v>
      </c>
      <c r="O135" s="6">
        <f t="shared" si="34"/>
        <v>122.71029359408088</v>
      </c>
      <c r="P135" s="6">
        <f t="shared" si="34"/>
        <v>121.91483966681739</v>
      </c>
      <c r="Q135" s="6">
        <f t="shared" si="32"/>
        <v>0.56562918120000316</v>
      </c>
      <c r="T135" s="6">
        <f t="shared" si="24"/>
        <v>0.56562918120000316</v>
      </c>
    </row>
    <row r="136" spans="2:20">
      <c r="B136">
        <f t="shared" si="33"/>
        <v>133</v>
      </c>
      <c r="C136">
        <f t="shared" si="27"/>
        <v>31</v>
      </c>
      <c r="D136">
        <v>122</v>
      </c>
      <c r="E136">
        <v>153</v>
      </c>
      <c r="F136">
        <f>KcSPLINE!F$8</f>
        <v>0.41068751843946011</v>
      </c>
      <c r="G136">
        <f>KcSPLINE!F$9</f>
        <v>0.93951055333449485</v>
      </c>
      <c r="H136">
        <f>KcSPLINE!K$8</f>
        <v>1.8620654369616101E-3</v>
      </c>
      <c r="I136">
        <f>KcSPLINE!K$9</f>
        <v>-2.0236378340742979E-3</v>
      </c>
      <c r="J136">
        <f t="shared" si="28"/>
        <v>0.64516129032258063</v>
      </c>
      <c r="K136">
        <f t="shared" si="29"/>
        <v>0.35483870967741937</v>
      </c>
      <c r="L136">
        <f t="shared" si="30"/>
        <v>87</v>
      </c>
      <c r="M136" s="6">
        <f t="shared" si="31"/>
        <v>0.59833440178931119</v>
      </c>
      <c r="N136" s="13">
        <f t="shared" si="26"/>
        <v>0.58653891460725338</v>
      </c>
      <c r="O136" s="6">
        <f t="shared" si="34"/>
        <v>123.3086279958702</v>
      </c>
      <c r="P136" s="6">
        <f t="shared" si="34"/>
        <v>122.50137858142465</v>
      </c>
      <c r="Q136" s="6">
        <f t="shared" si="32"/>
        <v>0.58653891460725338</v>
      </c>
      <c r="T136" s="6">
        <f t="shared" si="24"/>
        <v>0.58653891460725338</v>
      </c>
    </row>
    <row r="137" spans="2:20">
      <c r="B137">
        <f t="shared" si="33"/>
        <v>134</v>
      </c>
      <c r="C137">
        <f t="shared" si="27"/>
        <v>31</v>
      </c>
      <c r="D137">
        <v>122</v>
      </c>
      <c r="E137">
        <v>153</v>
      </c>
      <c r="F137">
        <f>KcSPLINE!F$8</f>
        <v>0.41068751843946011</v>
      </c>
      <c r="G137">
        <f>KcSPLINE!F$9</f>
        <v>0.93951055333449485</v>
      </c>
      <c r="H137">
        <f>KcSPLINE!K$8</f>
        <v>1.8620654369616101E-3</v>
      </c>
      <c r="I137">
        <f>KcSPLINE!K$9</f>
        <v>-2.0236378340742979E-3</v>
      </c>
      <c r="J137">
        <f t="shared" si="28"/>
        <v>0.61290322580645162</v>
      </c>
      <c r="K137">
        <f t="shared" si="29"/>
        <v>0.38709677419354838</v>
      </c>
      <c r="L137">
        <f t="shared" si="30"/>
        <v>88</v>
      </c>
      <c r="M137" s="6">
        <f t="shared" si="31"/>
        <v>0.61539320936657038</v>
      </c>
      <c r="N137" s="13">
        <f t="shared" si="26"/>
        <v>0.60793191551658143</v>
      </c>
      <c r="O137" s="6">
        <f t="shared" si="34"/>
        <v>123.92402120523677</v>
      </c>
      <c r="P137" s="6">
        <f t="shared" si="34"/>
        <v>123.10931049694123</v>
      </c>
      <c r="Q137" s="6">
        <f t="shared" si="32"/>
        <v>0.60793191551658143</v>
      </c>
      <c r="T137" s="6">
        <f t="shared" si="24"/>
        <v>0.60793191551658143</v>
      </c>
    </row>
    <row r="138" spans="2:20">
      <c r="B138">
        <f t="shared" si="33"/>
        <v>135</v>
      </c>
      <c r="C138">
        <f t="shared" si="27"/>
        <v>31</v>
      </c>
      <c r="D138">
        <v>122</v>
      </c>
      <c r="E138">
        <v>153</v>
      </c>
      <c r="F138">
        <f>KcSPLINE!F$8</f>
        <v>0.41068751843946011</v>
      </c>
      <c r="G138">
        <f>KcSPLINE!F$9</f>
        <v>0.93951055333449485</v>
      </c>
      <c r="H138">
        <f>KcSPLINE!K$8</f>
        <v>1.8620654369616101E-3</v>
      </c>
      <c r="I138">
        <f>KcSPLINE!K$9</f>
        <v>-2.0236378340742979E-3</v>
      </c>
      <c r="J138">
        <f t="shared" si="28"/>
        <v>0.58064516129032262</v>
      </c>
      <c r="K138">
        <f t="shared" si="29"/>
        <v>0.41935483870967744</v>
      </c>
      <c r="L138">
        <f t="shared" si="30"/>
        <v>89</v>
      </c>
      <c r="M138" s="6">
        <f t="shared" si="31"/>
        <v>0.63245201694382946</v>
      </c>
      <c r="N138" s="13">
        <f t="shared" si="26"/>
        <v>0.6296828386611798</v>
      </c>
      <c r="O138" s="6">
        <f t="shared" si="34"/>
        <v>124.5564732221806</v>
      </c>
      <c r="P138" s="6">
        <f t="shared" si="34"/>
        <v>123.73899333560242</v>
      </c>
      <c r="Q138" s="6">
        <f t="shared" si="32"/>
        <v>0.6296828386611798</v>
      </c>
      <c r="T138" s="6">
        <f t="shared" si="24"/>
        <v>0.6296828386611798</v>
      </c>
    </row>
    <row r="139" spans="2:20">
      <c r="B139">
        <f t="shared" si="33"/>
        <v>136</v>
      </c>
      <c r="C139">
        <f t="shared" si="27"/>
        <v>31</v>
      </c>
      <c r="D139">
        <v>122</v>
      </c>
      <c r="E139">
        <v>153</v>
      </c>
      <c r="F139">
        <f>KcSPLINE!F$8</f>
        <v>0.41068751843946011</v>
      </c>
      <c r="G139">
        <f>KcSPLINE!F$9</f>
        <v>0.93951055333449485</v>
      </c>
      <c r="H139">
        <f>KcSPLINE!K$8</f>
        <v>1.8620654369616101E-3</v>
      </c>
      <c r="I139">
        <f>KcSPLINE!K$9</f>
        <v>-2.0236378340742979E-3</v>
      </c>
      <c r="J139">
        <f t="shared" si="28"/>
        <v>0.54838709677419351</v>
      </c>
      <c r="K139">
        <f t="shared" si="29"/>
        <v>0.45161290322580644</v>
      </c>
      <c r="L139">
        <f t="shared" si="30"/>
        <v>90</v>
      </c>
      <c r="M139" s="6">
        <f t="shared" si="31"/>
        <v>0.64951082452108866</v>
      </c>
      <c r="N139" s="13">
        <f t="shared" si="26"/>
        <v>0.65166633877424074</v>
      </c>
      <c r="O139" s="6">
        <f t="shared" si="34"/>
        <v>125.20598404670169</v>
      </c>
      <c r="P139" s="6">
        <f t="shared" si="34"/>
        <v>124.39065967437665</v>
      </c>
      <c r="Q139" s="6">
        <f t="shared" si="32"/>
        <v>0.65166633877424074</v>
      </c>
      <c r="T139" s="6">
        <f t="shared" si="24"/>
        <v>0.65166633877424074</v>
      </c>
    </row>
    <row r="140" spans="2:20">
      <c r="B140">
        <f t="shared" si="33"/>
        <v>137</v>
      </c>
      <c r="C140">
        <f t="shared" si="27"/>
        <v>31</v>
      </c>
      <c r="D140">
        <v>122</v>
      </c>
      <c r="E140">
        <v>153</v>
      </c>
      <c r="F140">
        <f>KcSPLINE!F$8</f>
        <v>0.41068751843946011</v>
      </c>
      <c r="G140">
        <f>KcSPLINE!F$9</f>
        <v>0.93951055333449485</v>
      </c>
      <c r="H140">
        <f>KcSPLINE!K$8</f>
        <v>1.8620654369616101E-3</v>
      </c>
      <c r="I140">
        <f>KcSPLINE!K$9</f>
        <v>-2.0236378340742979E-3</v>
      </c>
      <c r="J140">
        <f t="shared" si="28"/>
        <v>0.5161290322580645</v>
      </c>
      <c r="K140">
        <f t="shared" si="29"/>
        <v>0.4838709677419355</v>
      </c>
      <c r="L140">
        <f t="shared" si="30"/>
        <v>91</v>
      </c>
      <c r="M140" s="6">
        <f t="shared" si="31"/>
        <v>0.66656963209834785</v>
      </c>
      <c r="N140" s="13">
        <f t="shared" si="26"/>
        <v>0.67375707058895695</v>
      </c>
      <c r="O140" s="6">
        <f t="shared" si="34"/>
        <v>125.87255367880003</v>
      </c>
      <c r="P140" s="6">
        <f t="shared" si="34"/>
        <v>125.06441674496561</v>
      </c>
      <c r="Q140" s="6">
        <f t="shared" si="32"/>
        <v>0.67375707058895695</v>
      </c>
      <c r="T140" s="6">
        <f t="shared" si="24"/>
        <v>0.67375707058895695</v>
      </c>
    </row>
    <row r="141" spans="2:20">
      <c r="B141">
        <f t="shared" si="33"/>
        <v>138</v>
      </c>
      <c r="C141">
        <f t="shared" si="27"/>
        <v>31</v>
      </c>
      <c r="D141">
        <v>122</v>
      </c>
      <c r="E141">
        <v>153</v>
      </c>
      <c r="F141">
        <f>KcSPLINE!F$8</f>
        <v>0.41068751843946011</v>
      </c>
      <c r="G141">
        <f>KcSPLINE!F$9</f>
        <v>0.93951055333449485</v>
      </c>
      <c r="H141">
        <f>KcSPLINE!K$8</f>
        <v>1.8620654369616101E-3</v>
      </c>
      <c r="I141">
        <f>KcSPLINE!K$9</f>
        <v>-2.0236378340742979E-3</v>
      </c>
      <c r="J141">
        <f t="shared" si="28"/>
        <v>0.4838709677419355</v>
      </c>
      <c r="K141">
        <f t="shared" si="29"/>
        <v>0.5161290322580645</v>
      </c>
      <c r="L141">
        <f t="shared" si="30"/>
        <v>92</v>
      </c>
      <c r="M141" s="6">
        <f t="shared" si="31"/>
        <v>0.68362843967560705</v>
      </c>
      <c r="N141" s="13">
        <f t="shared" si="26"/>
        <v>0.69582968883852048</v>
      </c>
      <c r="O141" s="6">
        <f t="shared" si="34"/>
        <v>126.55618211847563</v>
      </c>
      <c r="P141" s="6">
        <f t="shared" si="34"/>
        <v>125.76024643380413</v>
      </c>
      <c r="Q141" s="6">
        <f t="shared" si="32"/>
        <v>0.69582968883852048</v>
      </c>
      <c r="T141" s="6">
        <f t="shared" si="24"/>
        <v>0.69582968883852048</v>
      </c>
    </row>
    <row r="142" spans="2:20">
      <c r="B142">
        <f t="shared" si="33"/>
        <v>139</v>
      </c>
      <c r="C142">
        <f t="shared" si="27"/>
        <v>31</v>
      </c>
      <c r="D142">
        <v>122</v>
      </c>
      <c r="E142">
        <v>153</v>
      </c>
      <c r="F142">
        <f>KcSPLINE!F$8</f>
        <v>0.41068751843946011</v>
      </c>
      <c r="G142">
        <f>KcSPLINE!F$9</f>
        <v>0.93951055333449485</v>
      </c>
      <c r="H142">
        <f>KcSPLINE!K$8</f>
        <v>1.8620654369616101E-3</v>
      </c>
      <c r="I142">
        <f>KcSPLINE!K$9</f>
        <v>-2.0236378340742979E-3</v>
      </c>
      <c r="J142">
        <f t="shared" si="28"/>
        <v>0.45161290322580644</v>
      </c>
      <c r="K142">
        <f t="shared" si="29"/>
        <v>0.54838709677419351</v>
      </c>
      <c r="L142">
        <f t="shared" si="30"/>
        <v>93</v>
      </c>
      <c r="M142" s="6">
        <f t="shared" si="31"/>
        <v>0.70068724725286613</v>
      </c>
      <c r="N142" s="13">
        <f t="shared" si="26"/>
        <v>0.7177588482561239</v>
      </c>
      <c r="O142" s="6">
        <f t="shared" si="34"/>
        <v>127.25686936572851</v>
      </c>
      <c r="P142" s="6">
        <f t="shared" si="34"/>
        <v>126.47800528206025</v>
      </c>
      <c r="Q142" s="6">
        <f t="shared" si="32"/>
        <v>0.7177588482561239</v>
      </c>
      <c r="T142" s="6">
        <f t="shared" si="24"/>
        <v>0.7177588482561239</v>
      </c>
    </row>
    <row r="143" spans="2:20">
      <c r="B143">
        <f t="shared" si="33"/>
        <v>140</v>
      </c>
      <c r="C143">
        <f t="shared" si="27"/>
        <v>31</v>
      </c>
      <c r="D143">
        <v>122</v>
      </c>
      <c r="E143">
        <v>153</v>
      </c>
      <c r="F143">
        <f>KcSPLINE!F$8</f>
        <v>0.41068751843946011</v>
      </c>
      <c r="G143">
        <f>KcSPLINE!F$9</f>
        <v>0.93951055333449485</v>
      </c>
      <c r="H143">
        <f>KcSPLINE!K$8</f>
        <v>1.8620654369616101E-3</v>
      </c>
      <c r="I143">
        <f>KcSPLINE!K$9</f>
        <v>-2.0236378340742979E-3</v>
      </c>
      <c r="J143">
        <f t="shared" si="28"/>
        <v>0.41935483870967744</v>
      </c>
      <c r="K143">
        <f t="shared" si="29"/>
        <v>0.58064516129032262</v>
      </c>
      <c r="L143">
        <f t="shared" si="30"/>
        <v>94</v>
      </c>
      <c r="M143" s="6">
        <f t="shared" si="31"/>
        <v>0.71774605483012544</v>
      </c>
      <c r="N143" s="13">
        <f t="shared" si="26"/>
        <v>0.7394192035749596</v>
      </c>
      <c r="O143" s="6">
        <f t="shared" si="34"/>
        <v>127.97461542055864</v>
      </c>
      <c r="P143" s="6">
        <f t="shared" si="34"/>
        <v>127.21742448563521</v>
      </c>
      <c r="Q143" s="6">
        <f t="shared" si="32"/>
        <v>0.7394192035749596</v>
      </c>
      <c r="T143" s="6">
        <f t="shared" si="24"/>
        <v>0.7394192035749596</v>
      </c>
    </row>
    <row r="144" spans="2:20">
      <c r="B144">
        <f t="shared" si="33"/>
        <v>141</v>
      </c>
      <c r="C144">
        <f t="shared" si="27"/>
        <v>31</v>
      </c>
      <c r="D144">
        <v>122</v>
      </c>
      <c r="E144">
        <v>153</v>
      </c>
      <c r="F144">
        <f>KcSPLINE!F$8</f>
        <v>0.41068751843946011</v>
      </c>
      <c r="G144">
        <f>KcSPLINE!F$9</f>
        <v>0.93951055333449485</v>
      </c>
      <c r="H144">
        <f>KcSPLINE!K$8</f>
        <v>1.8620654369616101E-3</v>
      </c>
      <c r="I144">
        <f>KcSPLINE!K$9</f>
        <v>-2.0236378340742979E-3</v>
      </c>
      <c r="J144">
        <f t="shared" si="28"/>
        <v>0.38709677419354838</v>
      </c>
      <c r="K144">
        <f t="shared" si="29"/>
        <v>0.61290322580645162</v>
      </c>
      <c r="L144">
        <f t="shared" si="30"/>
        <v>95</v>
      </c>
      <c r="M144" s="6">
        <f t="shared" si="31"/>
        <v>0.73480486240738463</v>
      </c>
      <c r="N144" s="13">
        <f t="shared" si="26"/>
        <v>0.76068540952821995</v>
      </c>
      <c r="O144" s="6">
        <f t="shared" si="34"/>
        <v>128.70942028296602</v>
      </c>
      <c r="P144" s="6">
        <f t="shared" si="34"/>
        <v>127.97810989516343</v>
      </c>
      <c r="Q144" s="6">
        <f t="shared" si="32"/>
        <v>0.76068540952821995</v>
      </c>
      <c r="T144" s="6">
        <f t="shared" si="24"/>
        <v>0.76068540952821995</v>
      </c>
    </row>
    <row r="145" spans="1:20">
      <c r="B145">
        <f t="shared" si="33"/>
        <v>142</v>
      </c>
      <c r="C145">
        <f t="shared" si="27"/>
        <v>31</v>
      </c>
      <c r="D145">
        <v>122</v>
      </c>
      <c r="E145">
        <v>153</v>
      </c>
      <c r="F145">
        <f>KcSPLINE!F$8</f>
        <v>0.41068751843946011</v>
      </c>
      <c r="G145">
        <f>KcSPLINE!F$9</f>
        <v>0.93951055333449485</v>
      </c>
      <c r="H145">
        <f>KcSPLINE!K$8</f>
        <v>1.8620654369616101E-3</v>
      </c>
      <c r="I145">
        <f>KcSPLINE!K$9</f>
        <v>-2.0236378340742979E-3</v>
      </c>
      <c r="J145">
        <f t="shared" si="28"/>
        <v>0.35483870967741937</v>
      </c>
      <c r="K145">
        <f t="shared" si="29"/>
        <v>0.64516129032258063</v>
      </c>
      <c r="L145">
        <f t="shared" si="30"/>
        <v>96</v>
      </c>
      <c r="M145" s="6">
        <f t="shared" si="31"/>
        <v>0.75186366998464382</v>
      </c>
      <c r="N145" s="13">
        <f t="shared" si="26"/>
        <v>0.7814321208490973</v>
      </c>
      <c r="O145" s="6">
        <f t="shared" si="34"/>
        <v>129.46128395295065</v>
      </c>
      <c r="P145" s="6">
        <f t="shared" si="34"/>
        <v>128.75954201601252</v>
      </c>
      <c r="Q145" s="6">
        <f t="shared" si="32"/>
        <v>0.7814321208490973</v>
      </c>
      <c r="T145" s="6">
        <f t="shared" si="24"/>
        <v>0.7814321208490973</v>
      </c>
    </row>
    <row r="146" spans="1:20">
      <c r="B146">
        <f t="shared" si="33"/>
        <v>143</v>
      </c>
      <c r="C146">
        <f t="shared" si="27"/>
        <v>31</v>
      </c>
      <c r="D146">
        <v>122</v>
      </c>
      <c r="E146">
        <v>153</v>
      </c>
      <c r="F146">
        <f>KcSPLINE!F$8</f>
        <v>0.41068751843946011</v>
      </c>
      <c r="G146">
        <f>KcSPLINE!F$9</f>
        <v>0.93951055333449485</v>
      </c>
      <c r="H146">
        <f>KcSPLINE!K$8</f>
        <v>1.8620654369616101E-3</v>
      </c>
      <c r="I146">
        <f>KcSPLINE!K$9</f>
        <v>-2.0236378340742979E-3</v>
      </c>
      <c r="J146">
        <f t="shared" si="28"/>
        <v>0.32258064516129031</v>
      </c>
      <c r="K146">
        <f t="shared" si="29"/>
        <v>0.67741935483870963</v>
      </c>
      <c r="L146">
        <f t="shared" si="30"/>
        <v>97</v>
      </c>
      <c r="M146" s="6">
        <f t="shared" si="31"/>
        <v>0.76892247756190302</v>
      </c>
      <c r="N146" s="13">
        <f t="shared" si="26"/>
        <v>0.80153399227078403</v>
      </c>
      <c r="O146" s="6">
        <f t="shared" si="34"/>
        <v>130.23020643051257</v>
      </c>
      <c r="P146" s="6">
        <f t="shared" si="34"/>
        <v>129.56107600828329</v>
      </c>
      <c r="Q146" s="6">
        <f t="shared" si="32"/>
        <v>0.80153399227078403</v>
      </c>
      <c r="T146" s="6">
        <f t="shared" si="24"/>
        <v>0.80153399227078403</v>
      </c>
    </row>
    <row r="147" spans="1:20">
      <c r="B147">
        <f t="shared" si="33"/>
        <v>144</v>
      </c>
      <c r="C147">
        <f t="shared" si="27"/>
        <v>31</v>
      </c>
      <c r="D147">
        <v>122</v>
      </c>
      <c r="E147">
        <v>153</v>
      </c>
      <c r="F147">
        <f>KcSPLINE!F$8</f>
        <v>0.41068751843946011</v>
      </c>
      <c r="G147">
        <f>KcSPLINE!F$9</f>
        <v>0.93951055333449485</v>
      </c>
      <c r="H147">
        <f>KcSPLINE!K$8</f>
        <v>1.8620654369616101E-3</v>
      </c>
      <c r="I147">
        <f>KcSPLINE!K$9</f>
        <v>-2.0236378340742979E-3</v>
      </c>
      <c r="J147">
        <f t="shared" si="28"/>
        <v>0.29032258064516131</v>
      </c>
      <c r="K147">
        <f t="shared" si="29"/>
        <v>0.70967741935483875</v>
      </c>
      <c r="L147">
        <f t="shared" si="30"/>
        <v>98</v>
      </c>
      <c r="M147" s="6">
        <f t="shared" si="31"/>
        <v>0.78598128513916221</v>
      </c>
      <c r="N147" s="13">
        <f t="shared" si="26"/>
        <v>0.82086567852647252</v>
      </c>
      <c r="O147" s="6">
        <f t="shared" si="34"/>
        <v>131.01618771565174</v>
      </c>
      <c r="P147" s="6">
        <f t="shared" si="34"/>
        <v>130.38194168680977</v>
      </c>
      <c r="Q147" s="6">
        <f t="shared" si="32"/>
        <v>0.82086567852647252</v>
      </c>
      <c r="T147" s="6">
        <f t="shared" si="24"/>
        <v>0.82086567852647252</v>
      </c>
    </row>
    <row r="148" spans="1:20">
      <c r="B148">
        <f t="shared" si="33"/>
        <v>145</v>
      </c>
      <c r="C148">
        <f t="shared" si="27"/>
        <v>31</v>
      </c>
      <c r="D148">
        <v>122</v>
      </c>
      <c r="E148">
        <v>153</v>
      </c>
      <c r="F148">
        <f>KcSPLINE!F$8</f>
        <v>0.41068751843946011</v>
      </c>
      <c r="G148">
        <f>KcSPLINE!F$9</f>
        <v>0.93951055333449485</v>
      </c>
      <c r="H148">
        <f>KcSPLINE!K$8</f>
        <v>1.8620654369616101E-3</v>
      </c>
      <c r="I148">
        <f>KcSPLINE!K$9</f>
        <v>-2.0236378340742979E-3</v>
      </c>
      <c r="J148">
        <f t="shared" si="28"/>
        <v>0.25806451612903225</v>
      </c>
      <c r="K148">
        <f t="shared" si="29"/>
        <v>0.74193548387096775</v>
      </c>
      <c r="L148">
        <f t="shared" si="30"/>
        <v>99</v>
      </c>
      <c r="M148" s="6">
        <f t="shared" si="31"/>
        <v>0.80304009271642141</v>
      </c>
      <c r="N148" s="13">
        <f t="shared" si="26"/>
        <v>0.83930183434935535</v>
      </c>
      <c r="O148" s="6">
        <f t="shared" si="34"/>
        <v>131.81922780836817</v>
      </c>
      <c r="P148" s="6">
        <f t="shared" si="34"/>
        <v>131.22124352115912</v>
      </c>
      <c r="Q148" s="6">
        <f t="shared" si="32"/>
        <v>0.83930183434935535</v>
      </c>
      <c r="T148" s="6">
        <f t="shared" si="24"/>
        <v>0.83930183434935535</v>
      </c>
    </row>
    <row r="149" spans="1:20">
      <c r="B149">
        <f t="shared" si="33"/>
        <v>146</v>
      </c>
      <c r="C149">
        <f t="shared" si="27"/>
        <v>31</v>
      </c>
      <c r="D149">
        <v>122</v>
      </c>
      <c r="E149">
        <v>153</v>
      </c>
      <c r="F149">
        <f>KcSPLINE!F$8</f>
        <v>0.41068751843946011</v>
      </c>
      <c r="G149">
        <f>KcSPLINE!F$9</f>
        <v>0.93951055333449485</v>
      </c>
      <c r="H149">
        <f>KcSPLINE!K$8</f>
        <v>1.8620654369616101E-3</v>
      </c>
      <c r="I149">
        <f>KcSPLINE!K$9</f>
        <v>-2.0236378340742979E-3</v>
      </c>
      <c r="J149">
        <f t="shared" si="28"/>
        <v>0.22580645161290322</v>
      </c>
      <c r="K149">
        <f t="shared" si="29"/>
        <v>0.77419354838709675</v>
      </c>
      <c r="L149">
        <f t="shared" si="30"/>
        <v>100</v>
      </c>
      <c r="M149" s="6">
        <f t="shared" si="31"/>
        <v>0.8200989002936806</v>
      </c>
      <c r="N149" s="13">
        <f t="shared" si="26"/>
        <v>0.85671711447262466</v>
      </c>
      <c r="O149" s="6">
        <f t="shared" ref="O149:P164" si="35">O148+M149</f>
        <v>132.63932670866186</v>
      </c>
      <c r="P149" s="6">
        <f t="shared" si="35"/>
        <v>132.07796063563174</v>
      </c>
      <c r="Q149" s="6">
        <f t="shared" si="32"/>
        <v>0.85671711447262466</v>
      </c>
      <c r="T149" s="6">
        <f t="shared" si="24"/>
        <v>0.85671711447262466</v>
      </c>
    </row>
    <row r="150" spans="1:20">
      <c r="B150">
        <f t="shared" si="33"/>
        <v>147</v>
      </c>
      <c r="C150">
        <f t="shared" si="27"/>
        <v>31</v>
      </c>
      <c r="D150">
        <v>122</v>
      </c>
      <c r="E150">
        <v>153</v>
      </c>
      <c r="F150">
        <f>KcSPLINE!F$8</f>
        <v>0.41068751843946011</v>
      </c>
      <c r="G150">
        <f>KcSPLINE!F$9</f>
        <v>0.93951055333449485</v>
      </c>
      <c r="H150">
        <f>KcSPLINE!K$8</f>
        <v>1.8620654369616101E-3</v>
      </c>
      <c r="I150">
        <f>KcSPLINE!K$9</f>
        <v>-2.0236378340742979E-3</v>
      </c>
      <c r="J150">
        <f t="shared" si="28"/>
        <v>0.19354838709677419</v>
      </c>
      <c r="K150">
        <f t="shared" si="29"/>
        <v>0.80645161290322576</v>
      </c>
      <c r="L150">
        <f t="shared" si="30"/>
        <v>101</v>
      </c>
      <c r="M150" s="6">
        <f t="shared" si="31"/>
        <v>0.83715770787093968</v>
      </c>
      <c r="N150" s="13">
        <f t="shared" si="26"/>
        <v>0.87298617362947284</v>
      </c>
      <c r="O150" s="6">
        <f t="shared" si="35"/>
        <v>133.4764844165328</v>
      </c>
      <c r="P150" s="6">
        <f t="shared" si="35"/>
        <v>132.95094680926121</v>
      </c>
      <c r="Q150" s="6">
        <f t="shared" si="32"/>
        <v>0.87298617362947284</v>
      </c>
      <c r="T150" s="6">
        <f t="shared" si="24"/>
        <v>0.87298617362947284</v>
      </c>
    </row>
    <row r="151" spans="1:20">
      <c r="B151">
        <f t="shared" si="33"/>
        <v>148</v>
      </c>
      <c r="C151">
        <f t="shared" si="27"/>
        <v>31</v>
      </c>
      <c r="D151">
        <v>122</v>
      </c>
      <c r="E151">
        <v>153</v>
      </c>
      <c r="F151">
        <f>KcSPLINE!F$8</f>
        <v>0.41068751843946011</v>
      </c>
      <c r="G151">
        <f>KcSPLINE!F$9</f>
        <v>0.93951055333449485</v>
      </c>
      <c r="H151">
        <f>KcSPLINE!K$8</f>
        <v>1.8620654369616101E-3</v>
      </c>
      <c r="I151">
        <f>KcSPLINE!K$9</f>
        <v>-2.0236378340742979E-3</v>
      </c>
      <c r="J151">
        <f t="shared" si="28"/>
        <v>0.16129032258064516</v>
      </c>
      <c r="K151">
        <f t="shared" si="29"/>
        <v>0.83870967741935487</v>
      </c>
      <c r="L151">
        <f t="shared" si="30"/>
        <v>102</v>
      </c>
      <c r="M151" s="6">
        <f t="shared" si="31"/>
        <v>0.85421651544819888</v>
      </c>
      <c r="N151" s="13">
        <f t="shared" si="26"/>
        <v>0.88798366655309247</v>
      </c>
      <c r="O151" s="6">
        <f t="shared" si="35"/>
        <v>134.330700931981</v>
      </c>
      <c r="P151" s="6">
        <f t="shared" si="35"/>
        <v>133.83893047581429</v>
      </c>
      <c r="Q151" s="6">
        <f t="shared" si="32"/>
        <v>0.88798366655309247</v>
      </c>
      <c r="T151" s="6">
        <f t="shared" si="24"/>
        <v>0.88798366655309247</v>
      </c>
    </row>
    <row r="152" spans="1:20">
      <c r="B152">
        <f t="shared" si="33"/>
        <v>149</v>
      </c>
      <c r="C152">
        <f t="shared" si="27"/>
        <v>31</v>
      </c>
      <c r="D152">
        <v>122</v>
      </c>
      <c r="E152">
        <v>153</v>
      </c>
      <c r="F152">
        <f>KcSPLINE!F$8</f>
        <v>0.41068751843946011</v>
      </c>
      <c r="G152">
        <f>KcSPLINE!F$9</f>
        <v>0.93951055333449485</v>
      </c>
      <c r="H152">
        <f>KcSPLINE!K$8</f>
        <v>1.8620654369616101E-3</v>
      </c>
      <c r="I152">
        <f>KcSPLINE!K$9</f>
        <v>-2.0236378340742979E-3</v>
      </c>
      <c r="J152">
        <f t="shared" si="28"/>
        <v>0.12903225806451613</v>
      </c>
      <c r="K152">
        <f t="shared" si="29"/>
        <v>0.87096774193548387</v>
      </c>
      <c r="L152">
        <f t="shared" si="30"/>
        <v>103</v>
      </c>
      <c r="M152" s="6">
        <f t="shared" si="31"/>
        <v>0.87127532302545807</v>
      </c>
      <c r="N152" s="13">
        <f t="shared" si="26"/>
        <v>0.90158424797667591</v>
      </c>
      <c r="O152" s="6">
        <f t="shared" si="35"/>
        <v>135.20197625500646</v>
      </c>
      <c r="P152" s="6">
        <f t="shared" si="35"/>
        <v>134.74051472379097</v>
      </c>
      <c r="Q152" s="6">
        <f t="shared" si="32"/>
        <v>0.90158424797667591</v>
      </c>
      <c r="T152" s="6">
        <f t="shared" si="24"/>
        <v>0.90158424797667591</v>
      </c>
    </row>
    <row r="153" spans="1:20">
      <c r="B153">
        <f t="shared" si="33"/>
        <v>150</v>
      </c>
      <c r="C153">
        <f t="shared" si="27"/>
        <v>31</v>
      </c>
      <c r="D153">
        <v>122</v>
      </c>
      <c r="E153">
        <v>153</v>
      </c>
      <c r="F153">
        <f>KcSPLINE!F$8</f>
        <v>0.41068751843946011</v>
      </c>
      <c r="G153">
        <f>KcSPLINE!F$9</f>
        <v>0.93951055333449485</v>
      </c>
      <c r="H153">
        <f>KcSPLINE!K$8</f>
        <v>1.8620654369616101E-3</v>
      </c>
      <c r="I153">
        <f>KcSPLINE!K$9</f>
        <v>-2.0236378340742979E-3</v>
      </c>
      <c r="J153">
        <f t="shared" si="28"/>
        <v>9.6774193548387094E-2</v>
      </c>
      <c r="K153">
        <f t="shared" si="29"/>
        <v>0.90322580645161288</v>
      </c>
      <c r="L153">
        <f t="shared" si="30"/>
        <v>104</v>
      </c>
      <c r="M153" s="6">
        <f t="shared" si="31"/>
        <v>0.88833413060271726</v>
      </c>
      <c r="N153" s="13">
        <f t="shared" si="26"/>
        <v>0.91366257263341544</v>
      </c>
      <c r="O153" s="6">
        <f t="shared" si="35"/>
        <v>136.09031038560917</v>
      </c>
      <c r="P153" s="6">
        <f t="shared" si="35"/>
        <v>135.65417729642439</v>
      </c>
      <c r="Q153" s="6">
        <f t="shared" si="32"/>
        <v>0.91366257263341544</v>
      </c>
      <c r="T153" s="6">
        <f t="shared" si="24"/>
        <v>0.91366257263341544</v>
      </c>
    </row>
    <row r="154" spans="1:20">
      <c r="B154">
        <f t="shared" si="33"/>
        <v>151</v>
      </c>
      <c r="C154">
        <f t="shared" si="27"/>
        <v>31</v>
      </c>
      <c r="D154">
        <v>122</v>
      </c>
      <c r="E154">
        <v>153</v>
      </c>
      <c r="F154">
        <f>KcSPLINE!F$8</f>
        <v>0.41068751843946011</v>
      </c>
      <c r="G154">
        <f>KcSPLINE!F$9</f>
        <v>0.93951055333449485</v>
      </c>
      <c r="H154">
        <f>KcSPLINE!K$8</f>
        <v>1.8620654369616101E-3</v>
      </c>
      <c r="I154">
        <f>KcSPLINE!K$9</f>
        <v>-2.0236378340742979E-3</v>
      </c>
      <c r="J154">
        <f t="shared" si="28"/>
        <v>6.4516129032258063E-2</v>
      </c>
      <c r="K154">
        <f t="shared" si="29"/>
        <v>0.93548387096774188</v>
      </c>
      <c r="L154">
        <f t="shared" si="30"/>
        <v>105</v>
      </c>
      <c r="M154" s="6">
        <f t="shared" si="31"/>
        <v>0.90539293817997635</v>
      </c>
      <c r="N154" s="13">
        <f t="shared" si="26"/>
        <v>0.92409329525650352</v>
      </c>
      <c r="O154" s="6">
        <f t="shared" si="35"/>
        <v>136.99570332378914</v>
      </c>
      <c r="P154" s="6">
        <f t="shared" si="35"/>
        <v>136.5782705916809</v>
      </c>
      <c r="Q154" s="6">
        <f t="shared" si="32"/>
        <v>0.92409329525650352</v>
      </c>
      <c r="T154" s="6">
        <f t="shared" si="24"/>
        <v>0.92409329525650352</v>
      </c>
    </row>
    <row r="155" spans="1:20">
      <c r="B155">
        <f t="shared" si="33"/>
        <v>152</v>
      </c>
      <c r="C155">
        <f t="shared" si="27"/>
        <v>31</v>
      </c>
      <c r="D155">
        <v>122</v>
      </c>
      <c r="E155">
        <v>153</v>
      </c>
      <c r="F155">
        <f>KcSPLINE!F$8</f>
        <v>0.41068751843946011</v>
      </c>
      <c r="G155">
        <f>KcSPLINE!F$9</f>
        <v>0.93951055333449485</v>
      </c>
      <c r="H155">
        <f>KcSPLINE!K$8</f>
        <v>1.8620654369616101E-3</v>
      </c>
      <c r="I155">
        <f>KcSPLINE!K$9</f>
        <v>-2.0236378340742979E-3</v>
      </c>
      <c r="J155">
        <f t="shared" si="28"/>
        <v>3.2258064516129031E-2</v>
      </c>
      <c r="K155">
        <f t="shared" si="29"/>
        <v>0.967741935483871</v>
      </c>
      <c r="L155">
        <f t="shared" si="30"/>
        <v>106</v>
      </c>
      <c r="M155" s="6">
        <f t="shared" si="31"/>
        <v>0.92245174575723565</v>
      </c>
      <c r="N155" s="13">
        <f t="shared" si="26"/>
        <v>0.93275107057913254</v>
      </c>
      <c r="O155" s="6">
        <f t="shared" si="35"/>
        <v>137.91815506954637</v>
      </c>
      <c r="P155" s="6">
        <f t="shared" si="35"/>
        <v>137.51102166226005</v>
      </c>
      <c r="Q155" s="6">
        <f t="shared" si="32"/>
        <v>0.93275107057913254</v>
      </c>
      <c r="T155" s="6">
        <f t="shared" si="24"/>
        <v>0.93275107057913254</v>
      </c>
    </row>
    <row r="156" spans="1:20">
      <c r="A156">
        <v>153</v>
      </c>
      <c r="B156">
        <f t="shared" si="33"/>
        <v>153</v>
      </c>
      <c r="C156">
        <f t="shared" si="27"/>
        <v>31</v>
      </c>
      <c r="D156">
        <v>122</v>
      </c>
      <c r="E156">
        <v>153</v>
      </c>
      <c r="F156">
        <f>KcSPLINE!F$8</f>
        <v>0.41068751843946011</v>
      </c>
      <c r="G156">
        <f>KcSPLINE!F$9</f>
        <v>0.93951055333449485</v>
      </c>
      <c r="H156">
        <f>KcSPLINE!K$8</f>
        <v>1.8620654369616101E-3</v>
      </c>
      <c r="I156">
        <f>KcSPLINE!K$9</f>
        <v>-2.0236378340742979E-3</v>
      </c>
      <c r="J156">
        <f t="shared" si="28"/>
        <v>0</v>
      </c>
      <c r="K156">
        <f t="shared" si="29"/>
        <v>1</v>
      </c>
      <c r="L156">
        <f t="shared" si="30"/>
        <v>107</v>
      </c>
      <c r="M156" s="6">
        <f t="shared" si="31"/>
        <v>0.93951055333449485</v>
      </c>
      <c r="N156" s="13">
        <f t="shared" si="26"/>
        <v>0.93951055333449485</v>
      </c>
      <c r="O156" s="6">
        <f t="shared" si="35"/>
        <v>138.85766562288086</v>
      </c>
      <c r="P156" s="6">
        <f t="shared" si="35"/>
        <v>138.45053221559454</v>
      </c>
      <c r="Q156" s="6">
        <f t="shared" si="32"/>
        <v>0.93951055333449485</v>
      </c>
      <c r="T156" s="6">
        <f t="shared" si="24"/>
        <v>0.93951055333449485</v>
      </c>
    </row>
    <row r="157" spans="1:20">
      <c r="B157">
        <f t="shared" si="33"/>
        <v>154</v>
      </c>
      <c r="C157">
        <f t="shared" si="27"/>
        <v>30</v>
      </c>
      <c r="D157">
        <v>153</v>
      </c>
      <c r="E157">
        <v>183</v>
      </c>
      <c r="F157">
        <f>KcSPLINE!F$9</f>
        <v>0.93951055333449485</v>
      </c>
      <c r="G157">
        <f>KcSPLINE!F$10</f>
        <v>0.67010446875719587</v>
      </c>
      <c r="H157" s="5">
        <f>KcSPLINE!K$9</f>
        <v>-2.0236378340742979E-3</v>
      </c>
      <c r="I157" s="5">
        <f>KcSPLINE!K$10</f>
        <v>1.0975241610746509E-3</v>
      </c>
      <c r="J157">
        <f t="shared" si="28"/>
        <v>0.96666666666666667</v>
      </c>
      <c r="K157">
        <f t="shared" si="29"/>
        <v>3.3333333333333333E-2</v>
      </c>
      <c r="L157">
        <f t="shared" si="30"/>
        <v>108</v>
      </c>
      <c r="M157" s="6">
        <f t="shared" si="31"/>
        <v>0.93053035051525146</v>
      </c>
      <c r="N157" s="13">
        <f t="shared" si="26"/>
        <v>0.94428462892244602</v>
      </c>
      <c r="O157" s="6">
        <f t="shared" si="35"/>
        <v>139.78819597339611</v>
      </c>
      <c r="P157" s="6">
        <f t="shared" si="35"/>
        <v>139.39481684451698</v>
      </c>
      <c r="Q157" s="6">
        <f t="shared" si="32"/>
        <v>0.94428462892244602</v>
      </c>
      <c r="T157" s="6">
        <f t="shared" si="24"/>
        <v>0.94428462892244602</v>
      </c>
    </row>
    <row r="158" spans="1:20">
      <c r="B158">
        <f t="shared" si="33"/>
        <v>155</v>
      </c>
      <c r="C158">
        <f t="shared" si="27"/>
        <v>30</v>
      </c>
      <c r="D158">
        <v>153</v>
      </c>
      <c r="E158">
        <v>183</v>
      </c>
      <c r="F158">
        <f>KcSPLINE!F$9</f>
        <v>0.93951055333449485</v>
      </c>
      <c r="G158">
        <f>KcSPLINE!F$10</f>
        <v>0.67010446875719587</v>
      </c>
      <c r="H158" s="5">
        <f>KcSPLINE!K$9</f>
        <v>-2.0236378340742979E-3</v>
      </c>
      <c r="I158" s="5">
        <f>KcSPLINE!K$10</f>
        <v>1.0975241610746509E-3</v>
      </c>
      <c r="J158">
        <f t="shared" si="28"/>
        <v>0.93333333333333335</v>
      </c>
      <c r="K158">
        <f t="shared" si="29"/>
        <v>6.6666666666666666E-2</v>
      </c>
      <c r="L158">
        <f t="shared" si="30"/>
        <v>109</v>
      </c>
      <c r="M158" s="6">
        <f t="shared" si="31"/>
        <v>0.92155014769600829</v>
      </c>
      <c r="N158" s="13">
        <f t="shared" si="26"/>
        <v>0.94713910540949464</v>
      </c>
      <c r="O158" s="6">
        <f t="shared" si="35"/>
        <v>140.70974612109211</v>
      </c>
      <c r="P158" s="6">
        <f t="shared" si="35"/>
        <v>140.34195594992647</v>
      </c>
      <c r="Q158" s="6">
        <f t="shared" si="32"/>
        <v>0.94713910540949464</v>
      </c>
      <c r="T158" s="6">
        <f t="shared" si="24"/>
        <v>0.94713910540949464</v>
      </c>
    </row>
    <row r="159" spans="1:20">
      <c r="B159">
        <f t="shared" si="33"/>
        <v>156</v>
      </c>
      <c r="C159">
        <f t="shared" si="27"/>
        <v>30</v>
      </c>
      <c r="D159">
        <v>153</v>
      </c>
      <c r="E159">
        <v>183</v>
      </c>
      <c r="F159">
        <f>KcSPLINE!F$9</f>
        <v>0.93951055333449485</v>
      </c>
      <c r="G159">
        <f>KcSPLINE!F$10</f>
        <v>0.67010446875719587</v>
      </c>
      <c r="H159" s="5">
        <f>KcSPLINE!K$9</f>
        <v>-2.0236378340742979E-3</v>
      </c>
      <c r="I159" s="5">
        <f>KcSPLINE!K$10</f>
        <v>1.0975241610746509E-3</v>
      </c>
      <c r="J159">
        <f t="shared" si="28"/>
        <v>0.9</v>
      </c>
      <c r="K159">
        <f t="shared" si="29"/>
        <v>0.1</v>
      </c>
      <c r="L159">
        <f t="shared" si="30"/>
        <v>110</v>
      </c>
      <c r="M159" s="6">
        <f t="shared" si="31"/>
        <v>0.9125699448767649</v>
      </c>
      <c r="N159" s="13">
        <f t="shared" si="26"/>
        <v>0.94817802152881203</v>
      </c>
      <c r="O159" s="6">
        <f t="shared" si="35"/>
        <v>141.62231606596887</v>
      </c>
      <c r="P159" s="6">
        <f t="shared" si="35"/>
        <v>141.29013397145528</v>
      </c>
      <c r="Q159" s="6">
        <f t="shared" si="32"/>
        <v>0.94817802152881203</v>
      </c>
      <c r="T159" s="6">
        <f t="shared" si="24"/>
        <v>0.94817802152881203</v>
      </c>
    </row>
    <row r="160" spans="1:20">
      <c r="B160">
        <f t="shared" si="33"/>
        <v>157</v>
      </c>
      <c r="C160">
        <f t="shared" si="27"/>
        <v>30</v>
      </c>
      <c r="D160">
        <v>153</v>
      </c>
      <c r="E160">
        <v>183</v>
      </c>
      <c r="F160">
        <f>KcSPLINE!F$9</f>
        <v>0.93951055333449485</v>
      </c>
      <c r="G160">
        <f>KcSPLINE!F$10</f>
        <v>0.67010446875719587</v>
      </c>
      <c r="H160" s="5">
        <f>KcSPLINE!K$9</f>
        <v>-2.0236378340742979E-3</v>
      </c>
      <c r="I160" s="5">
        <f>KcSPLINE!K$10</f>
        <v>1.0975241610746509E-3</v>
      </c>
      <c r="J160">
        <f t="shared" si="28"/>
        <v>0.8666666666666667</v>
      </c>
      <c r="K160">
        <f t="shared" si="29"/>
        <v>0.13333333333333333</v>
      </c>
      <c r="L160">
        <f t="shared" si="30"/>
        <v>111</v>
      </c>
      <c r="M160" s="6">
        <f t="shared" si="31"/>
        <v>0.90358974205752174</v>
      </c>
      <c r="N160" s="13">
        <f t="shared" si="26"/>
        <v>0.9475054160135703</v>
      </c>
      <c r="O160" s="6">
        <f t="shared" si="35"/>
        <v>142.52590580802641</v>
      </c>
      <c r="P160" s="6">
        <f t="shared" si="35"/>
        <v>142.23763938746885</v>
      </c>
      <c r="Q160" s="6">
        <f t="shared" si="32"/>
        <v>0.9475054160135703</v>
      </c>
      <c r="T160" s="6">
        <f t="shared" si="24"/>
        <v>0.9475054160135703</v>
      </c>
    </row>
    <row r="161" spans="2:20">
      <c r="B161">
        <f t="shared" si="33"/>
        <v>158</v>
      </c>
      <c r="C161">
        <f t="shared" si="27"/>
        <v>30</v>
      </c>
      <c r="D161">
        <v>153</v>
      </c>
      <c r="E161">
        <v>183</v>
      </c>
      <c r="F161">
        <f>KcSPLINE!F$9</f>
        <v>0.93951055333449485</v>
      </c>
      <c r="G161">
        <f>KcSPLINE!F$10</f>
        <v>0.67010446875719587</v>
      </c>
      <c r="H161" s="5">
        <f>KcSPLINE!K$9</f>
        <v>-2.0236378340742979E-3</v>
      </c>
      <c r="I161" s="5">
        <f>KcSPLINE!K$10</f>
        <v>1.0975241610746509E-3</v>
      </c>
      <c r="J161">
        <f t="shared" si="28"/>
        <v>0.83333333333333337</v>
      </c>
      <c r="K161">
        <f t="shared" si="29"/>
        <v>0.16666666666666666</v>
      </c>
      <c r="L161">
        <f t="shared" si="30"/>
        <v>112</v>
      </c>
      <c r="M161" s="6">
        <f t="shared" si="31"/>
        <v>0.89460953923827835</v>
      </c>
      <c r="N161" s="13">
        <f t="shared" si="26"/>
        <v>0.94522532759694056</v>
      </c>
      <c r="O161" s="6">
        <f t="shared" si="35"/>
        <v>143.42051534726468</v>
      </c>
      <c r="P161" s="6">
        <f t="shared" si="35"/>
        <v>143.18286471506579</v>
      </c>
      <c r="Q161" s="6">
        <f t="shared" si="32"/>
        <v>0.94522532759694056</v>
      </c>
      <c r="T161" s="6">
        <f t="shared" si="24"/>
        <v>0.94522532759694056</v>
      </c>
    </row>
    <row r="162" spans="2:20">
      <c r="B162">
        <f t="shared" si="33"/>
        <v>159</v>
      </c>
      <c r="C162">
        <f t="shared" si="27"/>
        <v>30</v>
      </c>
      <c r="D162">
        <v>153</v>
      </c>
      <c r="E162">
        <v>183</v>
      </c>
      <c r="F162">
        <f>KcSPLINE!F$9</f>
        <v>0.93951055333449485</v>
      </c>
      <c r="G162">
        <f>KcSPLINE!F$10</f>
        <v>0.67010446875719587</v>
      </c>
      <c r="H162" s="5">
        <f>KcSPLINE!K$9</f>
        <v>-2.0236378340742979E-3</v>
      </c>
      <c r="I162" s="5">
        <f>KcSPLINE!K$10</f>
        <v>1.0975241610746509E-3</v>
      </c>
      <c r="J162">
        <f t="shared" si="28"/>
        <v>0.8</v>
      </c>
      <c r="K162">
        <f t="shared" si="29"/>
        <v>0.2</v>
      </c>
      <c r="L162">
        <f t="shared" si="30"/>
        <v>113</v>
      </c>
      <c r="M162" s="6">
        <f t="shared" si="31"/>
        <v>0.88562933641903518</v>
      </c>
      <c r="N162" s="13">
        <f t="shared" si="26"/>
        <v>0.94144179501209491</v>
      </c>
      <c r="O162" s="6">
        <f t="shared" si="35"/>
        <v>144.30614468368373</v>
      </c>
      <c r="P162" s="6">
        <f t="shared" si="35"/>
        <v>144.12430651007787</v>
      </c>
      <c r="Q162" s="6">
        <f t="shared" si="32"/>
        <v>0.94144179501209491</v>
      </c>
      <c r="T162" s="6">
        <f t="shared" si="24"/>
        <v>0.94144179501209491</v>
      </c>
    </row>
    <row r="163" spans="2:20">
      <c r="B163">
        <f t="shared" si="33"/>
        <v>160</v>
      </c>
      <c r="C163">
        <f t="shared" si="27"/>
        <v>30</v>
      </c>
      <c r="D163">
        <v>153</v>
      </c>
      <c r="E163">
        <v>183</v>
      </c>
      <c r="F163">
        <f>KcSPLINE!F$9</f>
        <v>0.93951055333449485</v>
      </c>
      <c r="G163">
        <f>KcSPLINE!F$10</f>
        <v>0.67010446875719587</v>
      </c>
      <c r="H163" s="5">
        <f>KcSPLINE!K$9</f>
        <v>-2.0236378340742979E-3</v>
      </c>
      <c r="I163" s="5">
        <f>KcSPLINE!K$10</f>
        <v>1.0975241610746509E-3</v>
      </c>
      <c r="J163">
        <f t="shared" si="28"/>
        <v>0.76666666666666672</v>
      </c>
      <c r="K163">
        <f t="shared" si="29"/>
        <v>0.23333333333333334</v>
      </c>
      <c r="L163">
        <f t="shared" si="30"/>
        <v>114</v>
      </c>
      <c r="M163" s="6">
        <f t="shared" si="31"/>
        <v>0.8766491335997918</v>
      </c>
      <c r="N163" s="13">
        <f t="shared" si="26"/>
        <v>0.93625885699220446</v>
      </c>
      <c r="O163" s="6">
        <f t="shared" si="35"/>
        <v>145.18279381728351</v>
      </c>
      <c r="P163" s="6">
        <f t="shared" si="35"/>
        <v>145.06056536707007</v>
      </c>
      <c r="Q163" s="6">
        <f t="shared" si="32"/>
        <v>0.93625885699220446</v>
      </c>
      <c r="T163" s="6">
        <f t="shared" si="24"/>
        <v>0.93625885699220446</v>
      </c>
    </row>
    <row r="164" spans="2:20">
      <c r="B164">
        <f t="shared" si="33"/>
        <v>161</v>
      </c>
      <c r="C164">
        <f t="shared" si="27"/>
        <v>30</v>
      </c>
      <c r="D164">
        <v>153</v>
      </c>
      <c r="E164">
        <v>183</v>
      </c>
      <c r="F164">
        <f>KcSPLINE!F$9</f>
        <v>0.93951055333449485</v>
      </c>
      <c r="G164">
        <f>KcSPLINE!F$10</f>
        <v>0.67010446875719587</v>
      </c>
      <c r="H164" s="5">
        <f>KcSPLINE!K$9</f>
        <v>-2.0236378340742979E-3</v>
      </c>
      <c r="I164" s="5">
        <f>KcSPLINE!K$10</f>
        <v>1.0975241610746509E-3</v>
      </c>
      <c r="J164">
        <f t="shared" si="28"/>
        <v>0.73333333333333328</v>
      </c>
      <c r="K164">
        <f t="shared" si="29"/>
        <v>0.26666666666666666</v>
      </c>
      <c r="L164">
        <f t="shared" si="30"/>
        <v>115</v>
      </c>
      <c r="M164" s="6">
        <f t="shared" si="31"/>
        <v>0.8676689307805483</v>
      </c>
      <c r="N164" s="13">
        <f t="shared" si="26"/>
        <v>0.9297805522704411</v>
      </c>
      <c r="O164" s="6">
        <f t="shared" si="35"/>
        <v>146.05046274806406</v>
      </c>
      <c r="P164" s="6">
        <f t="shared" si="35"/>
        <v>145.99034591934051</v>
      </c>
      <c r="Q164" s="6">
        <f t="shared" si="32"/>
        <v>0.9297805522704411</v>
      </c>
      <c r="T164" s="6">
        <f t="shared" si="24"/>
        <v>0.9297805522704411</v>
      </c>
    </row>
    <row r="165" spans="2:20">
      <c r="B165">
        <f t="shared" si="33"/>
        <v>162</v>
      </c>
      <c r="C165">
        <f t="shared" si="27"/>
        <v>30</v>
      </c>
      <c r="D165">
        <v>153</v>
      </c>
      <c r="E165">
        <v>183</v>
      </c>
      <c r="F165">
        <f>KcSPLINE!F$9</f>
        <v>0.93951055333449485</v>
      </c>
      <c r="G165">
        <f>KcSPLINE!F$10</f>
        <v>0.67010446875719587</v>
      </c>
      <c r="H165" s="5">
        <f>KcSPLINE!K$9</f>
        <v>-2.0236378340742979E-3</v>
      </c>
      <c r="I165" s="5">
        <f>KcSPLINE!K$10</f>
        <v>1.0975241610746509E-3</v>
      </c>
      <c r="J165">
        <f t="shared" si="28"/>
        <v>0.7</v>
      </c>
      <c r="K165">
        <f t="shared" si="29"/>
        <v>0.3</v>
      </c>
      <c r="L165">
        <f t="shared" si="30"/>
        <v>116</v>
      </c>
      <c r="M165" s="6">
        <f t="shared" si="31"/>
        <v>0.85868872796130513</v>
      </c>
      <c r="N165" s="13">
        <f t="shared" si="26"/>
        <v>0.92211091957997682</v>
      </c>
      <c r="O165" s="6">
        <f t="shared" ref="O165:P180" si="36">O164+M165</f>
        <v>146.90915147602536</v>
      </c>
      <c r="P165" s="6">
        <f t="shared" si="36"/>
        <v>146.91245683892049</v>
      </c>
      <c r="Q165" s="6">
        <f t="shared" si="32"/>
        <v>0.92211091957997682</v>
      </c>
      <c r="T165" s="6">
        <f t="shared" si="24"/>
        <v>0.92211091957997682</v>
      </c>
    </row>
    <row r="166" spans="2:20">
      <c r="B166">
        <f t="shared" si="33"/>
        <v>163</v>
      </c>
      <c r="C166">
        <f t="shared" si="27"/>
        <v>30</v>
      </c>
      <c r="D166">
        <v>153</v>
      </c>
      <c r="E166">
        <v>183</v>
      </c>
      <c r="F166">
        <f>KcSPLINE!F$9</f>
        <v>0.93951055333449485</v>
      </c>
      <c r="G166">
        <f>KcSPLINE!F$10</f>
        <v>0.67010446875719587</v>
      </c>
      <c r="H166" s="5">
        <f>KcSPLINE!K$9</f>
        <v>-2.0236378340742979E-3</v>
      </c>
      <c r="I166" s="5">
        <f>KcSPLINE!K$10</f>
        <v>1.0975241610746509E-3</v>
      </c>
      <c r="J166">
        <f t="shared" si="28"/>
        <v>0.66666666666666663</v>
      </c>
      <c r="K166">
        <f t="shared" si="29"/>
        <v>0.33333333333333331</v>
      </c>
      <c r="L166">
        <f t="shared" si="30"/>
        <v>117</v>
      </c>
      <c r="M166" s="6">
        <f t="shared" si="31"/>
        <v>0.84970852514206174</v>
      </c>
      <c r="N166" s="13">
        <f t="shared" si="26"/>
        <v>0.91335399765398273</v>
      </c>
      <c r="O166" s="6">
        <f t="shared" si="36"/>
        <v>147.75886000116742</v>
      </c>
      <c r="P166" s="6">
        <f t="shared" si="36"/>
        <v>147.82581083657448</v>
      </c>
      <c r="Q166" s="6">
        <f t="shared" si="32"/>
        <v>0.91335399765398273</v>
      </c>
      <c r="T166" s="6">
        <f t="shared" si="24"/>
        <v>0.91335399765398273</v>
      </c>
    </row>
    <row r="167" spans="2:20">
      <c r="B167">
        <f t="shared" si="33"/>
        <v>164</v>
      </c>
      <c r="C167">
        <f t="shared" si="27"/>
        <v>30</v>
      </c>
      <c r="D167">
        <v>153</v>
      </c>
      <c r="E167">
        <v>183</v>
      </c>
      <c r="F167">
        <f>KcSPLINE!F$9</f>
        <v>0.93951055333449485</v>
      </c>
      <c r="G167">
        <f>KcSPLINE!F$10</f>
        <v>0.67010446875719587</v>
      </c>
      <c r="H167" s="5">
        <f>KcSPLINE!K$9</f>
        <v>-2.0236378340742979E-3</v>
      </c>
      <c r="I167" s="5">
        <f>KcSPLINE!K$10</f>
        <v>1.0975241610746509E-3</v>
      </c>
      <c r="J167">
        <f t="shared" si="28"/>
        <v>0.6333333333333333</v>
      </c>
      <c r="K167">
        <f t="shared" si="29"/>
        <v>0.36666666666666664</v>
      </c>
      <c r="L167">
        <f t="shared" si="30"/>
        <v>118</v>
      </c>
      <c r="M167" s="6">
        <f t="shared" si="31"/>
        <v>0.84072832232281858</v>
      </c>
      <c r="N167" s="13">
        <f t="shared" si="26"/>
        <v>0.90361382522563083</v>
      </c>
      <c r="O167" s="6">
        <f t="shared" si="36"/>
        <v>148.59958832349025</v>
      </c>
      <c r="P167" s="6">
        <f t="shared" si="36"/>
        <v>148.7294246618001</v>
      </c>
      <c r="Q167" s="6">
        <f t="shared" si="32"/>
        <v>0.90361382522563083</v>
      </c>
      <c r="T167" s="6">
        <f t="shared" si="24"/>
        <v>0.90361382522563083</v>
      </c>
    </row>
    <row r="168" spans="2:20">
      <c r="B168">
        <f t="shared" si="33"/>
        <v>165</v>
      </c>
      <c r="C168">
        <f t="shared" si="27"/>
        <v>30</v>
      </c>
      <c r="D168">
        <v>153</v>
      </c>
      <c r="E168">
        <v>183</v>
      </c>
      <c r="F168">
        <f>KcSPLINE!F$9</f>
        <v>0.93951055333449485</v>
      </c>
      <c r="G168">
        <f>KcSPLINE!F$10</f>
        <v>0.67010446875719587</v>
      </c>
      <c r="H168" s="5">
        <f>KcSPLINE!K$9</f>
        <v>-2.0236378340742979E-3</v>
      </c>
      <c r="I168" s="5">
        <f>KcSPLINE!K$10</f>
        <v>1.0975241610746509E-3</v>
      </c>
      <c r="J168">
        <f t="shared" si="28"/>
        <v>0.6</v>
      </c>
      <c r="K168">
        <f t="shared" si="29"/>
        <v>0.4</v>
      </c>
      <c r="L168">
        <f t="shared" si="30"/>
        <v>119</v>
      </c>
      <c r="M168" s="6">
        <f t="shared" si="31"/>
        <v>0.83174811950357519</v>
      </c>
      <c r="N168" s="13">
        <f t="shared" si="26"/>
        <v>0.89299444102809233</v>
      </c>
      <c r="O168" s="6">
        <f t="shared" si="36"/>
        <v>149.43133644299382</v>
      </c>
      <c r="P168" s="6">
        <f t="shared" si="36"/>
        <v>149.62241910282819</v>
      </c>
      <c r="Q168" s="6">
        <f t="shared" si="32"/>
        <v>0.89299444102809233</v>
      </c>
      <c r="T168" s="6">
        <f t="shared" si="24"/>
        <v>0.89299444102809233</v>
      </c>
    </row>
    <row r="169" spans="2:20">
      <c r="B169">
        <f t="shared" si="33"/>
        <v>166</v>
      </c>
      <c r="C169">
        <f t="shared" si="27"/>
        <v>30</v>
      </c>
      <c r="D169">
        <v>153</v>
      </c>
      <c r="E169">
        <v>183</v>
      </c>
      <c r="F169">
        <f>KcSPLINE!F$9</f>
        <v>0.93951055333449485</v>
      </c>
      <c r="G169">
        <f>KcSPLINE!F$10</f>
        <v>0.67010446875719587</v>
      </c>
      <c r="H169" s="5">
        <f>KcSPLINE!K$9</f>
        <v>-2.0236378340742979E-3</v>
      </c>
      <c r="I169" s="5">
        <f>KcSPLINE!K$10</f>
        <v>1.0975241610746509E-3</v>
      </c>
      <c r="J169">
        <f t="shared" si="28"/>
        <v>0.56666666666666665</v>
      </c>
      <c r="K169">
        <f t="shared" si="29"/>
        <v>0.43333333333333335</v>
      </c>
      <c r="L169">
        <f t="shared" si="30"/>
        <v>120</v>
      </c>
      <c r="M169" s="6">
        <f t="shared" si="31"/>
        <v>0.82276791668433202</v>
      </c>
      <c r="N169" s="13">
        <f t="shared" si="26"/>
        <v>0.88159988379453935</v>
      </c>
      <c r="O169" s="6">
        <f t="shared" si="36"/>
        <v>150.25410435967817</v>
      </c>
      <c r="P169" s="6">
        <f t="shared" si="36"/>
        <v>150.50401898662273</v>
      </c>
      <c r="Q169" s="6">
        <f t="shared" si="32"/>
        <v>0.88159988379453935</v>
      </c>
      <c r="T169" s="6">
        <f t="shared" si="24"/>
        <v>0.88159988379453935</v>
      </c>
    </row>
    <row r="170" spans="2:20">
      <c r="B170">
        <f t="shared" si="33"/>
        <v>167</v>
      </c>
      <c r="C170">
        <f t="shared" si="27"/>
        <v>30</v>
      </c>
      <c r="D170">
        <v>153</v>
      </c>
      <c r="E170">
        <v>183</v>
      </c>
      <c r="F170">
        <f>KcSPLINE!F$9</f>
        <v>0.93951055333449485</v>
      </c>
      <c r="G170">
        <f>KcSPLINE!F$10</f>
        <v>0.67010446875719587</v>
      </c>
      <c r="H170" s="5">
        <f>KcSPLINE!K$9</f>
        <v>-2.0236378340742979E-3</v>
      </c>
      <c r="I170" s="5">
        <f>KcSPLINE!K$10</f>
        <v>1.0975241610746509E-3</v>
      </c>
      <c r="J170">
        <f t="shared" si="28"/>
        <v>0.53333333333333333</v>
      </c>
      <c r="K170">
        <f t="shared" si="29"/>
        <v>0.46666666666666667</v>
      </c>
      <c r="L170">
        <f t="shared" si="30"/>
        <v>121</v>
      </c>
      <c r="M170" s="6">
        <f t="shared" si="31"/>
        <v>0.81378771386508864</v>
      </c>
      <c r="N170" s="13">
        <f t="shared" si="26"/>
        <v>0.8695341922581431</v>
      </c>
      <c r="O170" s="6">
        <f t="shared" si="36"/>
        <v>151.06789207354325</v>
      </c>
      <c r="P170" s="6">
        <f t="shared" si="36"/>
        <v>151.37355317888085</v>
      </c>
      <c r="Q170" s="6">
        <f t="shared" si="32"/>
        <v>0.8695341922581431</v>
      </c>
      <c r="T170" s="6">
        <f t="shared" si="24"/>
        <v>0.8695341922581431</v>
      </c>
    </row>
    <row r="171" spans="2:20">
      <c r="B171">
        <f t="shared" si="33"/>
        <v>168</v>
      </c>
      <c r="C171">
        <f t="shared" si="27"/>
        <v>30</v>
      </c>
      <c r="D171">
        <v>153</v>
      </c>
      <c r="E171">
        <v>183</v>
      </c>
      <c r="F171">
        <f>KcSPLINE!F$9</f>
        <v>0.93951055333449485</v>
      </c>
      <c r="G171">
        <f>KcSPLINE!F$10</f>
        <v>0.67010446875719587</v>
      </c>
      <c r="H171" s="5">
        <f>KcSPLINE!K$9</f>
        <v>-2.0236378340742979E-3</v>
      </c>
      <c r="I171" s="5">
        <f>KcSPLINE!K$10</f>
        <v>1.0975241610746509E-3</v>
      </c>
      <c r="J171">
        <f t="shared" si="28"/>
        <v>0.5</v>
      </c>
      <c r="K171">
        <f t="shared" si="29"/>
        <v>0.5</v>
      </c>
      <c r="L171">
        <f t="shared" si="30"/>
        <v>122</v>
      </c>
      <c r="M171" s="6">
        <f t="shared" si="31"/>
        <v>0.80480751104584536</v>
      </c>
      <c r="N171" s="13">
        <f t="shared" si="26"/>
        <v>0.85690140515207547</v>
      </c>
      <c r="O171" s="6">
        <f t="shared" si="36"/>
        <v>151.8726995845891</v>
      </c>
      <c r="P171" s="6">
        <f t="shared" si="36"/>
        <v>152.23045458403294</v>
      </c>
      <c r="Q171" s="6">
        <f t="shared" si="32"/>
        <v>0.85690140515207547</v>
      </c>
      <c r="T171" s="6">
        <f t="shared" si="24"/>
        <v>0.85690140515207547</v>
      </c>
    </row>
    <row r="172" spans="2:20">
      <c r="B172">
        <f t="shared" si="33"/>
        <v>169</v>
      </c>
      <c r="C172">
        <f t="shared" si="27"/>
        <v>30</v>
      </c>
      <c r="D172">
        <v>153</v>
      </c>
      <c r="E172">
        <v>183</v>
      </c>
      <c r="F172">
        <f>KcSPLINE!F$9</f>
        <v>0.93951055333449485</v>
      </c>
      <c r="G172">
        <f>KcSPLINE!F$10</f>
        <v>0.67010446875719587</v>
      </c>
      <c r="H172" s="5">
        <f>KcSPLINE!K$9</f>
        <v>-2.0236378340742979E-3</v>
      </c>
      <c r="I172" s="5">
        <f>KcSPLINE!K$10</f>
        <v>1.0975241610746509E-3</v>
      </c>
      <c r="J172">
        <f t="shared" si="28"/>
        <v>0.46666666666666667</v>
      </c>
      <c r="K172">
        <f t="shared" si="29"/>
        <v>0.53333333333333333</v>
      </c>
      <c r="L172">
        <f t="shared" si="30"/>
        <v>123</v>
      </c>
      <c r="M172" s="6">
        <f t="shared" si="31"/>
        <v>0.79582730822660208</v>
      </c>
      <c r="N172" s="13">
        <f t="shared" si="26"/>
        <v>0.84380556120950811</v>
      </c>
      <c r="O172" s="6">
        <f t="shared" si="36"/>
        <v>152.66852689281569</v>
      </c>
      <c r="P172" s="6">
        <f t="shared" si="36"/>
        <v>153.07426014524245</v>
      </c>
      <c r="Q172" s="6">
        <f t="shared" si="32"/>
        <v>0.84380556120950811</v>
      </c>
      <c r="T172" s="6">
        <f t="shared" si="24"/>
        <v>0.84380556120950811</v>
      </c>
    </row>
    <row r="173" spans="2:20">
      <c r="B173">
        <f t="shared" si="33"/>
        <v>170</v>
      </c>
      <c r="C173">
        <f t="shared" si="27"/>
        <v>30</v>
      </c>
      <c r="D173">
        <v>153</v>
      </c>
      <c r="E173">
        <v>183</v>
      </c>
      <c r="F173">
        <f>KcSPLINE!F$9</f>
        <v>0.93951055333449485</v>
      </c>
      <c r="G173">
        <f>KcSPLINE!F$10</f>
        <v>0.67010446875719587</v>
      </c>
      <c r="H173" s="5">
        <f>KcSPLINE!K$9</f>
        <v>-2.0236378340742979E-3</v>
      </c>
      <c r="I173" s="5">
        <f>KcSPLINE!K$10</f>
        <v>1.0975241610746509E-3</v>
      </c>
      <c r="J173">
        <f t="shared" si="28"/>
        <v>0.43333333333333335</v>
      </c>
      <c r="K173">
        <f t="shared" si="29"/>
        <v>0.56666666666666665</v>
      </c>
      <c r="L173">
        <f t="shared" si="30"/>
        <v>124</v>
      </c>
      <c r="M173" s="6">
        <f t="shared" si="31"/>
        <v>0.7868471054073588</v>
      </c>
      <c r="N173" s="13">
        <f t="shared" si="26"/>
        <v>0.83035069916361248</v>
      </c>
      <c r="O173" s="6">
        <f t="shared" si="36"/>
        <v>153.45537399822305</v>
      </c>
      <c r="P173" s="6">
        <f t="shared" si="36"/>
        <v>153.90461084440605</v>
      </c>
      <c r="Q173" s="6">
        <f t="shared" si="32"/>
        <v>0.83035069916361248</v>
      </c>
      <c r="T173" s="6">
        <f t="shared" si="24"/>
        <v>0.83035069916361248</v>
      </c>
    </row>
    <row r="174" spans="2:20">
      <c r="B174">
        <f t="shared" si="33"/>
        <v>171</v>
      </c>
      <c r="C174">
        <f t="shared" si="27"/>
        <v>30</v>
      </c>
      <c r="D174">
        <v>153</v>
      </c>
      <c r="E174">
        <v>183</v>
      </c>
      <c r="F174">
        <f>KcSPLINE!F$9</f>
        <v>0.93951055333449485</v>
      </c>
      <c r="G174">
        <f>KcSPLINE!F$10</f>
        <v>0.67010446875719587</v>
      </c>
      <c r="H174" s="5">
        <f>KcSPLINE!K$9</f>
        <v>-2.0236378340742979E-3</v>
      </c>
      <c r="I174" s="5">
        <f>KcSPLINE!K$10</f>
        <v>1.0975241610746509E-3</v>
      </c>
      <c r="J174">
        <f t="shared" si="28"/>
        <v>0.4</v>
      </c>
      <c r="K174">
        <f t="shared" si="29"/>
        <v>0.6</v>
      </c>
      <c r="L174">
        <f t="shared" si="30"/>
        <v>125</v>
      </c>
      <c r="M174" s="6">
        <f t="shared" si="31"/>
        <v>0.77786690258811553</v>
      </c>
      <c r="N174" s="13">
        <f t="shared" si="26"/>
        <v>0.81664085774756023</v>
      </c>
      <c r="O174" s="6">
        <f t="shared" si="36"/>
        <v>154.23324090081115</v>
      </c>
      <c r="P174" s="6">
        <f t="shared" si="36"/>
        <v>154.72125170215361</v>
      </c>
      <c r="Q174" s="6">
        <f t="shared" si="32"/>
        <v>0.81664085774756023</v>
      </c>
      <c r="T174" s="6">
        <f t="shared" si="24"/>
        <v>0.81664085774756023</v>
      </c>
    </row>
    <row r="175" spans="2:20">
      <c r="B175">
        <f t="shared" si="33"/>
        <v>172</v>
      </c>
      <c r="C175">
        <f t="shared" si="27"/>
        <v>30</v>
      </c>
      <c r="D175">
        <v>153</v>
      </c>
      <c r="E175">
        <v>183</v>
      </c>
      <c r="F175">
        <f>KcSPLINE!F$9</f>
        <v>0.93951055333449485</v>
      </c>
      <c r="G175">
        <f>KcSPLINE!F$10</f>
        <v>0.67010446875719587</v>
      </c>
      <c r="H175" s="5">
        <f>KcSPLINE!K$9</f>
        <v>-2.0236378340742979E-3</v>
      </c>
      <c r="I175" s="5">
        <f>KcSPLINE!K$10</f>
        <v>1.0975241610746509E-3</v>
      </c>
      <c r="J175">
        <f t="shared" si="28"/>
        <v>0.36666666666666664</v>
      </c>
      <c r="K175">
        <f t="shared" si="29"/>
        <v>0.6333333333333333</v>
      </c>
      <c r="L175">
        <f t="shared" si="30"/>
        <v>126</v>
      </c>
      <c r="M175" s="6">
        <f t="shared" si="31"/>
        <v>0.76888669976887214</v>
      </c>
      <c r="N175" s="13">
        <f t="shared" si="26"/>
        <v>0.80278007569452303</v>
      </c>
      <c r="O175" s="6">
        <f t="shared" si="36"/>
        <v>155.00212760058002</v>
      </c>
      <c r="P175" s="6">
        <f t="shared" si="36"/>
        <v>155.52403177784814</v>
      </c>
      <c r="Q175" s="6">
        <f t="shared" si="32"/>
        <v>0.80278007569452303</v>
      </c>
      <c r="T175" s="6">
        <f t="shared" si="24"/>
        <v>0.80278007569452303</v>
      </c>
    </row>
    <row r="176" spans="2:20">
      <c r="B176">
        <f t="shared" si="33"/>
        <v>173</v>
      </c>
      <c r="C176">
        <f t="shared" si="27"/>
        <v>30</v>
      </c>
      <c r="D176">
        <v>153</v>
      </c>
      <c r="E176">
        <v>183</v>
      </c>
      <c r="F176">
        <f>KcSPLINE!F$9</f>
        <v>0.93951055333449485</v>
      </c>
      <c r="G176">
        <f>KcSPLINE!F$10</f>
        <v>0.67010446875719587</v>
      </c>
      <c r="H176" s="5">
        <f>KcSPLINE!K$9</f>
        <v>-2.0236378340742979E-3</v>
      </c>
      <c r="I176" s="5">
        <f>KcSPLINE!K$10</f>
        <v>1.0975241610746509E-3</v>
      </c>
      <c r="J176">
        <f t="shared" si="28"/>
        <v>0.33333333333333331</v>
      </c>
      <c r="K176">
        <f t="shared" si="29"/>
        <v>0.66666666666666663</v>
      </c>
      <c r="L176">
        <f t="shared" si="30"/>
        <v>127</v>
      </c>
      <c r="M176" s="6">
        <f t="shared" si="31"/>
        <v>0.75990649694962875</v>
      </c>
      <c r="N176" s="13">
        <f t="shared" si="26"/>
        <v>0.78887239173767254</v>
      </c>
      <c r="O176" s="6">
        <f t="shared" si="36"/>
        <v>155.76203409752966</v>
      </c>
      <c r="P176" s="6">
        <f t="shared" si="36"/>
        <v>156.31290416958581</v>
      </c>
      <c r="Q176" s="6">
        <f t="shared" si="32"/>
        <v>0.78887239173767254</v>
      </c>
      <c r="T176" s="6">
        <f t="shared" si="24"/>
        <v>0.78887239173767254</v>
      </c>
    </row>
    <row r="177" spans="1:20">
      <c r="B177">
        <f t="shared" si="33"/>
        <v>174</v>
      </c>
      <c r="C177">
        <f t="shared" si="27"/>
        <v>30</v>
      </c>
      <c r="D177">
        <v>153</v>
      </c>
      <c r="E177">
        <v>183</v>
      </c>
      <c r="F177">
        <f>KcSPLINE!F$9</f>
        <v>0.93951055333449485</v>
      </c>
      <c r="G177">
        <f>KcSPLINE!F$10</f>
        <v>0.67010446875719587</v>
      </c>
      <c r="H177" s="5">
        <f>KcSPLINE!K$9</f>
        <v>-2.0236378340742979E-3</v>
      </c>
      <c r="I177" s="5">
        <f>KcSPLINE!K$10</f>
        <v>1.0975241610746509E-3</v>
      </c>
      <c r="J177">
        <f t="shared" si="28"/>
        <v>0.3</v>
      </c>
      <c r="K177">
        <f t="shared" si="29"/>
        <v>0.7</v>
      </c>
      <c r="L177">
        <f t="shared" si="30"/>
        <v>128</v>
      </c>
      <c r="M177" s="6">
        <f t="shared" si="31"/>
        <v>0.75092629413038559</v>
      </c>
      <c r="N177" s="13">
        <f t="shared" si="26"/>
        <v>0.77502184461018053</v>
      </c>
      <c r="O177" s="6">
        <f t="shared" si="36"/>
        <v>156.51296039166004</v>
      </c>
      <c r="P177" s="6">
        <f t="shared" si="36"/>
        <v>157.087926014196</v>
      </c>
      <c r="Q177" s="6">
        <f t="shared" si="32"/>
        <v>0.77502184461018053</v>
      </c>
      <c r="T177" s="6">
        <f t="shared" si="24"/>
        <v>0.77502184461018053</v>
      </c>
    </row>
    <row r="178" spans="1:20">
      <c r="B178">
        <f t="shared" si="33"/>
        <v>175</v>
      </c>
      <c r="C178">
        <f t="shared" si="27"/>
        <v>30</v>
      </c>
      <c r="D178">
        <v>153</v>
      </c>
      <c r="E178">
        <v>183</v>
      </c>
      <c r="F178">
        <f>KcSPLINE!F$9</f>
        <v>0.93951055333449485</v>
      </c>
      <c r="G178">
        <f>KcSPLINE!F$10</f>
        <v>0.67010446875719587</v>
      </c>
      <c r="H178" s="5">
        <f>KcSPLINE!K$9</f>
        <v>-2.0236378340742979E-3</v>
      </c>
      <c r="I178" s="5">
        <f>KcSPLINE!K$10</f>
        <v>1.0975241610746509E-3</v>
      </c>
      <c r="J178">
        <f t="shared" si="28"/>
        <v>0.26666666666666666</v>
      </c>
      <c r="K178">
        <f t="shared" si="29"/>
        <v>0.73333333333333328</v>
      </c>
      <c r="L178">
        <f t="shared" si="30"/>
        <v>129</v>
      </c>
      <c r="M178" s="6">
        <f t="shared" si="31"/>
        <v>0.7419460913111422</v>
      </c>
      <c r="N178" s="13">
        <f t="shared" si="26"/>
        <v>0.76133247304521834</v>
      </c>
      <c r="O178" s="6">
        <f t="shared" si="36"/>
        <v>157.25490648297119</v>
      </c>
      <c r="P178" s="6">
        <f t="shared" si="36"/>
        <v>157.84925848724123</v>
      </c>
      <c r="Q178" s="6">
        <f t="shared" si="32"/>
        <v>0.76133247304521834</v>
      </c>
      <c r="T178" s="6">
        <f t="shared" ref="T178:T241" si="37">N178</f>
        <v>0.76133247304521834</v>
      </c>
    </row>
    <row r="179" spans="1:20">
      <c r="B179">
        <f t="shared" si="33"/>
        <v>176</v>
      </c>
      <c r="C179">
        <f t="shared" si="27"/>
        <v>30</v>
      </c>
      <c r="D179">
        <v>153</v>
      </c>
      <c r="E179">
        <v>183</v>
      </c>
      <c r="F179">
        <f>KcSPLINE!F$9</f>
        <v>0.93951055333449485</v>
      </c>
      <c r="G179">
        <f>KcSPLINE!F$10</f>
        <v>0.67010446875719587</v>
      </c>
      <c r="H179" s="5">
        <f>KcSPLINE!K$9</f>
        <v>-2.0236378340742979E-3</v>
      </c>
      <c r="I179" s="5">
        <f>KcSPLINE!K$10</f>
        <v>1.0975241610746509E-3</v>
      </c>
      <c r="J179">
        <f t="shared" si="28"/>
        <v>0.23333333333333334</v>
      </c>
      <c r="K179">
        <f t="shared" si="29"/>
        <v>0.76666666666666672</v>
      </c>
      <c r="L179">
        <f t="shared" si="30"/>
        <v>130</v>
      </c>
      <c r="M179" s="6">
        <f t="shared" si="31"/>
        <v>0.73296588849189903</v>
      </c>
      <c r="N179" s="13">
        <f t="shared" si="26"/>
        <v>0.74790831577595784</v>
      </c>
      <c r="O179" s="6">
        <f t="shared" si="36"/>
        <v>157.98787237146308</v>
      </c>
      <c r="P179" s="6">
        <f t="shared" si="36"/>
        <v>158.59716680301719</v>
      </c>
      <c r="Q179" s="6">
        <f t="shared" si="32"/>
        <v>0.74790831577595784</v>
      </c>
      <c r="T179" s="6">
        <f t="shared" si="37"/>
        <v>0.74790831577595784</v>
      </c>
    </row>
    <row r="180" spans="1:20">
      <c r="B180">
        <f t="shared" si="33"/>
        <v>177</v>
      </c>
      <c r="C180">
        <f t="shared" si="27"/>
        <v>30</v>
      </c>
      <c r="D180">
        <v>153</v>
      </c>
      <c r="E180">
        <v>183</v>
      </c>
      <c r="F180">
        <f>KcSPLINE!F$9</f>
        <v>0.93951055333449485</v>
      </c>
      <c r="G180">
        <f>KcSPLINE!F$10</f>
        <v>0.67010446875719587</v>
      </c>
      <c r="H180" s="5">
        <f>KcSPLINE!K$9</f>
        <v>-2.0236378340742979E-3</v>
      </c>
      <c r="I180" s="5">
        <f>KcSPLINE!K$10</f>
        <v>1.0975241610746509E-3</v>
      </c>
      <c r="J180">
        <f t="shared" si="28"/>
        <v>0.2</v>
      </c>
      <c r="K180">
        <f t="shared" si="29"/>
        <v>0.8</v>
      </c>
      <c r="L180">
        <f t="shared" si="30"/>
        <v>131</v>
      </c>
      <c r="M180" s="6">
        <f t="shared" si="31"/>
        <v>0.72398568567265575</v>
      </c>
      <c r="N180" s="13">
        <f t="shared" si="26"/>
        <v>0.7348534115355706</v>
      </c>
      <c r="O180" s="6">
        <f t="shared" si="36"/>
        <v>158.71185805713574</v>
      </c>
      <c r="P180" s="6">
        <f t="shared" si="36"/>
        <v>159.33202021455276</v>
      </c>
      <c r="Q180" s="6">
        <f t="shared" si="32"/>
        <v>0.7348534115355706</v>
      </c>
      <c r="T180" s="6">
        <f t="shared" si="37"/>
        <v>0.7348534115355706</v>
      </c>
    </row>
    <row r="181" spans="1:20">
      <c r="B181">
        <f t="shared" si="33"/>
        <v>178</v>
      </c>
      <c r="C181">
        <f t="shared" si="27"/>
        <v>30</v>
      </c>
      <c r="D181">
        <v>153</v>
      </c>
      <c r="E181">
        <v>183</v>
      </c>
      <c r="F181">
        <f>KcSPLINE!F$9</f>
        <v>0.93951055333449485</v>
      </c>
      <c r="G181">
        <f>KcSPLINE!F$10</f>
        <v>0.67010446875719587</v>
      </c>
      <c r="H181" s="5">
        <f>KcSPLINE!K$9</f>
        <v>-2.0236378340742979E-3</v>
      </c>
      <c r="I181" s="5">
        <f>KcSPLINE!K$10</f>
        <v>1.0975241610746509E-3</v>
      </c>
      <c r="J181">
        <f t="shared" si="28"/>
        <v>0.16666666666666666</v>
      </c>
      <c r="K181">
        <f t="shared" si="29"/>
        <v>0.83333333333333337</v>
      </c>
      <c r="L181">
        <f t="shared" si="30"/>
        <v>132</v>
      </c>
      <c r="M181" s="6">
        <f t="shared" si="31"/>
        <v>0.71500548285341237</v>
      </c>
      <c r="N181" s="13">
        <f t="shared" si="26"/>
        <v>0.72227179905722805</v>
      </c>
      <c r="O181" s="6">
        <f t="shared" ref="O181:P196" si="38">O180+M181</f>
        <v>159.42686353998914</v>
      </c>
      <c r="P181" s="6">
        <f t="shared" si="38"/>
        <v>160.05429201361</v>
      </c>
      <c r="Q181" s="6">
        <f t="shared" si="32"/>
        <v>0.72227179905722805</v>
      </c>
      <c r="T181" s="6">
        <f t="shared" si="37"/>
        <v>0.72227179905722805</v>
      </c>
    </row>
    <row r="182" spans="1:20">
      <c r="B182">
        <f t="shared" si="33"/>
        <v>179</v>
      </c>
      <c r="C182">
        <f t="shared" si="27"/>
        <v>30</v>
      </c>
      <c r="D182">
        <v>153</v>
      </c>
      <c r="E182">
        <v>183</v>
      </c>
      <c r="F182">
        <f>KcSPLINE!F$9</f>
        <v>0.93951055333449485</v>
      </c>
      <c r="G182">
        <f>KcSPLINE!F$10</f>
        <v>0.67010446875719587</v>
      </c>
      <c r="H182" s="5">
        <f>KcSPLINE!K$9</f>
        <v>-2.0236378340742979E-3</v>
      </c>
      <c r="I182" s="5">
        <f>KcSPLINE!K$10</f>
        <v>1.0975241610746509E-3</v>
      </c>
      <c r="J182">
        <f t="shared" si="28"/>
        <v>0.13333333333333333</v>
      </c>
      <c r="K182">
        <f t="shared" si="29"/>
        <v>0.8666666666666667</v>
      </c>
      <c r="L182">
        <f t="shared" si="30"/>
        <v>133</v>
      </c>
      <c r="M182" s="6">
        <f t="shared" si="31"/>
        <v>0.70602528003416909</v>
      </c>
      <c r="N182" s="13">
        <f t="shared" si="26"/>
        <v>0.71026751707410218</v>
      </c>
      <c r="O182" s="6">
        <f t="shared" si="38"/>
        <v>160.13288882002331</v>
      </c>
      <c r="P182" s="6">
        <f t="shared" si="38"/>
        <v>160.7645595306841</v>
      </c>
      <c r="Q182" s="6">
        <f t="shared" si="32"/>
        <v>0.71026751707410218</v>
      </c>
      <c r="T182" s="6">
        <f t="shared" si="37"/>
        <v>0.71026751707410218</v>
      </c>
    </row>
    <row r="183" spans="1:20">
      <c r="B183">
        <f t="shared" si="33"/>
        <v>180</v>
      </c>
      <c r="C183">
        <f t="shared" si="27"/>
        <v>30</v>
      </c>
      <c r="D183">
        <v>153</v>
      </c>
      <c r="E183">
        <v>183</v>
      </c>
      <c r="F183">
        <f>KcSPLINE!F$9</f>
        <v>0.93951055333449485</v>
      </c>
      <c r="G183">
        <f>KcSPLINE!F$10</f>
        <v>0.67010446875719587</v>
      </c>
      <c r="H183" s="5">
        <f>KcSPLINE!K$9</f>
        <v>-2.0236378340742979E-3</v>
      </c>
      <c r="I183" s="5">
        <f>KcSPLINE!K$10</f>
        <v>1.0975241610746509E-3</v>
      </c>
      <c r="J183">
        <f t="shared" si="28"/>
        <v>0.1</v>
      </c>
      <c r="K183">
        <f t="shared" si="29"/>
        <v>0.9</v>
      </c>
      <c r="L183">
        <f t="shared" si="30"/>
        <v>134</v>
      </c>
      <c r="M183" s="6">
        <f t="shared" si="31"/>
        <v>0.69704507721492581</v>
      </c>
      <c r="N183" s="13">
        <f t="shared" ref="N183:N246" si="39">Q183</f>
        <v>0.69894460431936434</v>
      </c>
      <c r="O183" s="6">
        <f t="shared" si="38"/>
        <v>160.82993389723825</v>
      </c>
      <c r="P183" s="6">
        <f t="shared" si="38"/>
        <v>161.46350413500346</v>
      </c>
      <c r="Q183" s="6">
        <f t="shared" si="32"/>
        <v>0.69894460431936434</v>
      </c>
      <c r="T183" s="6">
        <f t="shared" si="37"/>
        <v>0.69894460431936434</v>
      </c>
    </row>
    <row r="184" spans="1:20">
      <c r="B184">
        <f t="shared" si="33"/>
        <v>181</v>
      </c>
      <c r="C184">
        <f t="shared" si="27"/>
        <v>30</v>
      </c>
      <c r="D184">
        <v>153</v>
      </c>
      <c r="E184">
        <v>183</v>
      </c>
      <c r="F184">
        <f>KcSPLINE!F$9</f>
        <v>0.93951055333449485</v>
      </c>
      <c r="G184">
        <f>KcSPLINE!F$10</f>
        <v>0.67010446875719587</v>
      </c>
      <c r="H184" s="5">
        <f>KcSPLINE!K$9</f>
        <v>-2.0236378340742979E-3</v>
      </c>
      <c r="I184" s="5">
        <f>KcSPLINE!K$10</f>
        <v>1.0975241610746509E-3</v>
      </c>
      <c r="J184">
        <f t="shared" si="28"/>
        <v>6.6666666666666666E-2</v>
      </c>
      <c r="K184">
        <f t="shared" si="29"/>
        <v>0.93333333333333335</v>
      </c>
      <c r="L184">
        <f t="shared" si="30"/>
        <v>135</v>
      </c>
      <c r="M184" s="6">
        <f t="shared" si="31"/>
        <v>0.68806487439568242</v>
      </c>
      <c r="N184" s="13">
        <f t="shared" si="39"/>
        <v>0.68840709952618617</v>
      </c>
      <c r="O184" s="6">
        <f t="shared" si="38"/>
        <v>161.51799877163393</v>
      </c>
      <c r="P184" s="6">
        <f t="shared" si="38"/>
        <v>162.15191123452965</v>
      </c>
      <c r="Q184" s="6">
        <f t="shared" si="32"/>
        <v>0.68840709952618617</v>
      </c>
      <c r="T184" s="6">
        <f t="shared" si="37"/>
        <v>0.68840709952618617</v>
      </c>
    </row>
    <row r="185" spans="1:20">
      <c r="B185">
        <f t="shared" si="33"/>
        <v>182</v>
      </c>
      <c r="C185">
        <f t="shared" si="27"/>
        <v>30</v>
      </c>
      <c r="D185">
        <v>153</v>
      </c>
      <c r="E185">
        <v>183</v>
      </c>
      <c r="F185">
        <f>KcSPLINE!F$9</f>
        <v>0.93951055333449485</v>
      </c>
      <c r="G185">
        <f>KcSPLINE!F$10</f>
        <v>0.67010446875719587</v>
      </c>
      <c r="H185" s="5">
        <f>KcSPLINE!K$9</f>
        <v>-2.0236378340742979E-3</v>
      </c>
      <c r="I185" s="5">
        <f>KcSPLINE!K$10</f>
        <v>1.0975241610746509E-3</v>
      </c>
      <c r="J185">
        <f t="shared" si="28"/>
        <v>3.3333333333333333E-2</v>
      </c>
      <c r="K185">
        <f t="shared" si="29"/>
        <v>0.96666666666666667</v>
      </c>
      <c r="L185">
        <f t="shared" si="30"/>
        <v>136</v>
      </c>
      <c r="M185" s="6">
        <f t="shared" si="31"/>
        <v>0.67908467157643926</v>
      </c>
      <c r="N185" s="13">
        <f t="shared" si="39"/>
        <v>0.67875904142773957</v>
      </c>
      <c r="O185" s="6">
        <f t="shared" si="38"/>
        <v>162.19708344321037</v>
      </c>
      <c r="P185" s="6">
        <f t="shared" si="38"/>
        <v>162.8306702759574</v>
      </c>
      <c r="Q185" s="6">
        <f t="shared" si="32"/>
        <v>0.67875904142773957</v>
      </c>
      <c r="T185" s="6">
        <f t="shared" si="37"/>
        <v>0.67875904142773957</v>
      </c>
    </row>
    <row r="186" spans="1:20">
      <c r="A186">
        <v>183</v>
      </c>
      <c r="B186">
        <f t="shared" si="33"/>
        <v>183</v>
      </c>
      <c r="C186">
        <f t="shared" si="27"/>
        <v>30</v>
      </c>
      <c r="D186">
        <v>153</v>
      </c>
      <c r="E186">
        <v>183</v>
      </c>
      <c r="F186">
        <f>KcSPLINE!F$9</f>
        <v>0.93951055333449485</v>
      </c>
      <c r="G186">
        <f>KcSPLINE!F$10</f>
        <v>0.67010446875719587</v>
      </c>
      <c r="H186" s="5">
        <f>KcSPLINE!K$9</f>
        <v>-2.0236378340742979E-3</v>
      </c>
      <c r="I186" s="5">
        <f>KcSPLINE!K$10</f>
        <v>1.0975241610746509E-3</v>
      </c>
      <c r="J186">
        <f t="shared" si="28"/>
        <v>0</v>
      </c>
      <c r="K186">
        <f t="shared" si="29"/>
        <v>1</v>
      </c>
      <c r="L186">
        <f t="shared" si="30"/>
        <v>137</v>
      </c>
      <c r="M186" s="6">
        <f t="shared" si="31"/>
        <v>0.67010446875719587</v>
      </c>
      <c r="N186" s="13">
        <f t="shared" si="39"/>
        <v>0.67010446875719587</v>
      </c>
      <c r="O186" s="6">
        <f t="shared" si="38"/>
        <v>162.86718791196756</v>
      </c>
      <c r="P186" s="6">
        <f t="shared" si="38"/>
        <v>163.50077474471459</v>
      </c>
      <c r="Q186" s="6">
        <f t="shared" si="32"/>
        <v>0.67010446875719587</v>
      </c>
      <c r="T186" s="6">
        <f t="shared" si="37"/>
        <v>0.67010446875719587</v>
      </c>
    </row>
    <row r="187" spans="1:20">
      <c r="B187">
        <f t="shared" si="33"/>
        <v>184</v>
      </c>
      <c r="C187">
        <f t="shared" si="27"/>
        <v>31</v>
      </c>
      <c r="D187">
        <v>183</v>
      </c>
      <c r="E187">
        <v>214</v>
      </c>
      <c r="F187">
        <f>KcSPLINE!F$10</f>
        <v>0.67010446875719587</v>
      </c>
      <c r="G187">
        <f>KcSPLINE!F$11</f>
        <v>0.78650793650793671</v>
      </c>
      <c r="H187" s="5">
        <f>KcSPLINE!K$10</f>
        <v>1.0975241610746509E-3</v>
      </c>
      <c r="I187" s="5">
        <f>KcSPLINE!K$11</f>
        <v>1.0393895878092166E-4</v>
      </c>
      <c r="J187">
        <f t="shared" si="28"/>
        <v>0.967741935483871</v>
      </c>
      <c r="K187">
        <f t="shared" si="29"/>
        <v>3.2258064516129031E-2</v>
      </c>
      <c r="L187">
        <f t="shared" si="30"/>
        <v>138</v>
      </c>
      <c r="M187" s="6">
        <f t="shared" si="31"/>
        <v>0.67385941932980042</v>
      </c>
      <c r="N187" s="13">
        <f t="shared" si="39"/>
        <v>0.66252473860293859</v>
      </c>
      <c r="O187" s="6">
        <f t="shared" si="38"/>
        <v>163.54104733129736</v>
      </c>
      <c r="P187" s="6">
        <f t="shared" si="38"/>
        <v>164.16329948331753</v>
      </c>
      <c r="Q187" s="6">
        <f t="shared" si="32"/>
        <v>0.66252473860293859</v>
      </c>
      <c r="T187" s="6">
        <f t="shared" si="37"/>
        <v>0.66252473860293859</v>
      </c>
    </row>
    <row r="188" spans="1:20">
      <c r="B188">
        <f t="shared" si="33"/>
        <v>185</v>
      </c>
      <c r="C188">
        <f t="shared" si="27"/>
        <v>31</v>
      </c>
      <c r="D188">
        <v>183</v>
      </c>
      <c r="E188">
        <v>214</v>
      </c>
      <c r="F188">
        <f>KcSPLINE!F$10</f>
        <v>0.67010446875719587</v>
      </c>
      <c r="G188">
        <f>KcSPLINE!F$11</f>
        <v>0.78650793650793671</v>
      </c>
      <c r="H188" s="5">
        <f>KcSPLINE!K$10</f>
        <v>1.0975241610746509E-3</v>
      </c>
      <c r="I188" s="5">
        <f>KcSPLINE!K$11</f>
        <v>1.0393895878092166E-4</v>
      </c>
      <c r="J188">
        <f t="shared" si="28"/>
        <v>0.93548387096774188</v>
      </c>
      <c r="K188">
        <f t="shared" si="29"/>
        <v>6.4516129032258063E-2</v>
      </c>
      <c r="L188">
        <f t="shared" si="30"/>
        <v>139</v>
      </c>
      <c r="M188" s="6">
        <f t="shared" si="31"/>
        <v>0.67761436990240487</v>
      </c>
      <c r="N188" s="13">
        <f t="shared" si="39"/>
        <v>0.65601048147419805</v>
      </c>
      <c r="O188" s="6">
        <f t="shared" si="38"/>
        <v>164.21866170119978</v>
      </c>
      <c r="P188" s="6">
        <f t="shared" si="38"/>
        <v>164.81930996479173</v>
      </c>
      <c r="Q188" s="6">
        <f t="shared" si="32"/>
        <v>0.65601048147419805</v>
      </c>
      <c r="T188" s="6">
        <f t="shared" si="37"/>
        <v>0.65601048147419805</v>
      </c>
    </row>
    <row r="189" spans="1:20">
      <c r="B189">
        <f t="shared" si="33"/>
        <v>186</v>
      </c>
      <c r="C189">
        <f t="shared" si="27"/>
        <v>31</v>
      </c>
      <c r="D189">
        <v>183</v>
      </c>
      <c r="E189">
        <v>214</v>
      </c>
      <c r="F189">
        <f>KcSPLINE!F$10</f>
        <v>0.67010446875719587</v>
      </c>
      <c r="G189">
        <f>KcSPLINE!F$11</f>
        <v>0.78650793650793671</v>
      </c>
      <c r="H189" s="5">
        <f>KcSPLINE!K$10</f>
        <v>1.0975241610746509E-3</v>
      </c>
      <c r="I189" s="5">
        <f>KcSPLINE!K$11</f>
        <v>1.0393895878092166E-4</v>
      </c>
      <c r="J189">
        <f t="shared" si="28"/>
        <v>0.90322580645161288</v>
      </c>
      <c r="K189">
        <f t="shared" si="29"/>
        <v>9.6774193548387094E-2</v>
      </c>
      <c r="L189">
        <f t="shared" si="30"/>
        <v>140</v>
      </c>
      <c r="M189" s="6">
        <f t="shared" si="31"/>
        <v>0.68136932047500942</v>
      </c>
      <c r="N189" s="13">
        <f t="shared" si="39"/>
        <v>0.65052964623541654</v>
      </c>
      <c r="O189" s="6">
        <f t="shared" si="38"/>
        <v>164.90003102167478</v>
      </c>
      <c r="P189" s="6">
        <f t="shared" si="38"/>
        <v>165.46983961102714</v>
      </c>
      <c r="Q189" s="6">
        <f t="shared" si="32"/>
        <v>0.65052964623541654</v>
      </c>
      <c r="T189" s="6">
        <f t="shared" si="37"/>
        <v>0.65052964623541654</v>
      </c>
    </row>
    <row r="190" spans="1:20">
      <c r="B190">
        <f t="shared" si="33"/>
        <v>187</v>
      </c>
      <c r="C190">
        <f t="shared" si="27"/>
        <v>31</v>
      </c>
      <c r="D190">
        <v>183</v>
      </c>
      <c r="E190">
        <v>214</v>
      </c>
      <c r="F190">
        <f>KcSPLINE!F$10</f>
        <v>0.67010446875719587</v>
      </c>
      <c r="G190">
        <f>KcSPLINE!F$11</f>
        <v>0.78650793650793671</v>
      </c>
      <c r="H190" s="5">
        <f>KcSPLINE!K$10</f>
        <v>1.0975241610746509E-3</v>
      </c>
      <c r="I190" s="5">
        <f>KcSPLINE!K$11</f>
        <v>1.0393895878092166E-4</v>
      </c>
      <c r="J190">
        <f t="shared" si="28"/>
        <v>0.87096774193548387</v>
      </c>
      <c r="K190">
        <f t="shared" si="29"/>
        <v>0.12903225806451613</v>
      </c>
      <c r="L190">
        <f t="shared" si="30"/>
        <v>141</v>
      </c>
      <c r="M190" s="6">
        <f t="shared" si="31"/>
        <v>0.68512427104761409</v>
      </c>
      <c r="N190" s="13">
        <f t="shared" si="39"/>
        <v>0.64605018175103612</v>
      </c>
      <c r="O190" s="6">
        <f t="shared" si="38"/>
        <v>165.58515529272239</v>
      </c>
      <c r="P190" s="6">
        <f t="shared" si="38"/>
        <v>166.11588979277818</v>
      </c>
      <c r="Q190" s="6">
        <f t="shared" si="32"/>
        <v>0.64605018175103612</v>
      </c>
      <c r="T190" s="6">
        <f t="shared" si="37"/>
        <v>0.64605018175103612</v>
      </c>
    </row>
    <row r="191" spans="1:20">
      <c r="B191">
        <f t="shared" si="33"/>
        <v>188</v>
      </c>
      <c r="C191">
        <f t="shared" si="27"/>
        <v>31</v>
      </c>
      <c r="D191">
        <v>183</v>
      </c>
      <c r="E191">
        <v>214</v>
      </c>
      <c r="F191">
        <f>KcSPLINE!F$10</f>
        <v>0.67010446875719587</v>
      </c>
      <c r="G191">
        <f>KcSPLINE!F$11</f>
        <v>0.78650793650793671</v>
      </c>
      <c r="H191" s="5">
        <f>KcSPLINE!K$10</f>
        <v>1.0975241610746509E-3</v>
      </c>
      <c r="I191" s="5">
        <f>KcSPLINE!K$11</f>
        <v>1.0393895878092166E-4</v>
      </c>
      <c r="J191">
        <f t="shared" si="28"/>
        <v>0.83870967741935487</v>
      </c>
      <c r="K191">
        <f t="shared" si="29"/>
        <v>0.16129032258064516</v>
      </c>
      <c r="L191">
        <f t="shared" si="30"/>
        <v>142</v>
      </c>
      <c r="M191" s="6">
        <f t="shared" si="31"/>
        <v>0.68887922162021864</v>
      </c>
      <c r="N191" s="13">
        <f t="shared" si="39"/>
        <v>0.64254003688549888</v>
      </c>
      <c r="O191" s="6">
        <f t="shared" si="38"/>
        <v>166.27403451434262</v>
      </c>
      <c r="P191" s="6">
        <f t="shared" si="38"/>
        <v>166.75842982966367</v>
      </c>
      <c r="Q191" s="6">
        <f t="shared" si="32"/>
        <v>0.64254003688549888</v>
      </c>
      <c r="T191" s="6">
        <f t="shared" si="37"/>
        <v>0.64254003688549888</v>
      </c>
    </row>
    <row r="192" spans="1:20">
      <c r="B192">
        <f t="shared" si="33"/>
        <v>189</v>
      </c>
      <c r="C192">
        <f t="shared" si="27"/>
        <v>31</v>
      </c>
      <c r="D192">
        <v>183</v>
      </c>
      <c r="E192">
        <v>214</v>
      </c>
      <c r="F192">
        <f>KcSPLINE!F$10</f>
        <v>0.67010446875719587</v>
      </c>
      <c r="G192">
        <f>KcSPLINE!F$11</f>
        <v>0.78650793650793671</v>
      </c>
      <c r="H192" s="5">
        <f>KcSPLINE!K$10</f>
        <v>1.0975241610746509E-3</v>
      </c>
      <c r="I192" s="5">
        <f>KcSPLINE!K$11</f>
        <v>1.0393895878092166E-4</v>
      </c>
      <c r="J192">
        <f t="shared" si="28"/>
        <v>0.80645161290322576</v>
      </c>
      <c r="K192">
        <f t="shared" si="29"/>
        <v>0.19354838709677419</v>
      </c>
      <c r="L192">
        <f t="shared" si="30"/>
        <v>143</v>
      </c>
      <c r="M192" s="6">
        <f t="shared" si="31"/>
        <v>0.69263417219282308</v>
      </c>
      <c r="N192" s="13">
        <f t="shared" si="39"/>
        <v>0.63996716050324687</v>
      </c>
      <c r="O192" s="6">
        <f t="shared" si="38"/>
        <v>166.96666868653543</v>
      </c>
      <c r="P192" s="6">
        <f t="shared" si="38"/>
        <v>167.39839699016693</v>
      </c>
      <c r="Q192" s="6">
        <f t="shared" si="32"/>
        <v>0.63996716050324687</v>
      </c>
      <c r="T192" s="6">
        <f t="shared" si="37"/>
        <v>0.63996716050324687</v>
      </c>
    </row>
    <row r="193" spans="2:20">
      <c r="B193">
        <f t="shared" si="33"/>
        <v>190</v>
      </c>
      <c r="C193">
        <f t="shared" si="27"/>
        <v>31</v>
      </c>
      <c r="D193">
        <v>183</v>
      </c>
      <c r="E193">
        <v>214</v>
      </c>
      <c r="F193">
        <f>KcSPLINE!F$10</f>
        <v>0.67010446875719587</v>
      </c>
      <c r="G193">
        <f>KcSPLINE!F$11</f>
        <v>0.78650793650793671</v>
      </c>
      <c r="H193" s="5">
        <f>KcSPLINE!K$10</f>
        <v>1.0975241610746509E-3</v>
      </c>
      <c r="I193" s="5">
        <f>KcSPLINE!K$11</f>
        <v>1.0393895878092166E-4</v>
      </c>
      <c r="J193">
        <f t="shared" si="28"/>
        <v>0.77419354838709675</v>
      </c>
      <c r="K193">
        <f t="shared" si="29"/>
        <v>0.22580645161290322</v>
      </c>
      <c r="L193">
        <f t="shared" si="30"/>
        <v>144</v>
      </c>
      <c r="M193" s="6">
        <f t="shared" si="31"/>
        <v>0.69638912276542764</v>
      </c>
      <c r="N193" s="13">
        <f t="shared" si="39"/>
        <v>0.63829950146872239</v>
      </c>
      <c r="O193" s="6">
        <f t="shared" si="38"/>
        <v>167.66305780930085</v>
      </c>
      <c r="P193" s="6">
        <f t="shared" si="38"/>
        <v>168.03669649163564</v>
      </c>
      <c r="Q193" s="6">
        <f t="shared" si="32"/>
        <v>0.63829950146872239</v>
      </c>
      <c r="T193" s="6">
        <f t="shared" si="37"/>
        <v>0.63829950146872239</v>
      </c>
    </row>
    <row r="194" spans="2:20">
      <c r="B194">
        <f t="shared" si="33"/>
        <v>191</v>
      </c>
      <c r="C194">
        <f t="shared" si="27"/>
        <v>31</v>
      </c>
      <c r="D194">
        <v>183</v>
      </c>
      <c r="E194">
        <v>214</v>
      </c>
      <c r="F194">
        <f>KcSPLINE!F$10</f>
        <v>0.67010446875719587</v>
      </c>
      <c r="G194">
        <f>KcSPLINE!F$11</f>
        <v>0.78650793650793671</v>
      </c>
      <c r="H194" s="5">
        <f>KcSPLINE!K$10</f>
        <v>1.0975241610746509E-3</v>
      </c>
      <c r="I194" s="5">
        <f>KcSPLINE!K$11</f>
        <v>1.0393895878092166E-4</v>
      </c>
      <c r="J194">
        <f t="shared" si="28"/>
        <v>0.74193548387096775</v>
      </c>
      <c r="K194">
        <f t="shared" si="29"/>
        <v>0.25806451612903225</v>
      </c>
      <c r="L194">
        <f t="shared" si="30"/>
        <v>145</v>
      </c>
      <c r="M194" s="6">
        <f t="shared" si="31"/>
        <v>0.70014407333803219</v>
      </c>
      <c r="N194" s="13">
        <f t="shared" si="39"/>
        <v>0.6375050086463675</v>
      </c>
      <c r="O194" s="6">
        <f t="shared" si="38"/>
        <v>168.36320188263889</v>
      </c>
      <c r="P194" s="6">
        <f t="shared" si="38"/>
        <v>168.67420150028201</v>
      </c>
      <c r="Q194" s="6">
        <f t="shared" si="32"/>
        <v>0.6375050086463675</v>
      </c>
      <c r="T194" s="6">
        <f t="shared" si="37"/>
        <v>0.6375050086463675</v>
      </c>
    </row>
    <row r="195" spans="2:20">
      <c r="B195">
        <f t="shared" si="33"/>
        <v>192</v>
      </c>
      <c r="C195">
        <f t="shared" si="27"/>
        <v>31</v>
      </c>
      <c r="D195">
        <v>183</v>
      </c>
      <c r="E195">
        <v>214</v>
      </c>
      <c r="F195">
        <f>KcSPLINE!F$10</f>
        <v>0.67010446875719587</v>
      </c>
      <c r="G195">
        <f>KcSPLINE!F$11</f>
        <v>0.78650793650793671</v>
      </c>
      <c r="H195" s="5">
        <f>KcSPLINE!K$10</f>
        <v>1.0975241610746509E-3</v>
      </c>
      <c r="I195" s="5">
        <f>KcSPLINE!K$11</f>
        <v>1.0393895878092166E-4</v>
      </c>
      <c r="J195">
        <f t="shared" si="28"/>
        <v>0.70967741935483875</v>
      </c>
      <c r="K195">
        <f t="shared" si="29"/>
        <v>0.29032258064516131</v>
      </c>
      <c r="L195">
        <f t="shared" si="30"/>
        <v>146</v>
      </c>
      <c r="M195" s="6">
        <f t="shared" si="31"/>
        <v>0.70389902391063686</v>
      </c>
      <c r="N195" s="13">
        <f t="shared" si="39"/>
        <v>0.63755163090062461</v>
      </c>
      <c r="O195" s="6">
        <f t="shared" si="38"/>
        <v>169.06710090654951</v>
      </c>
      <c r="P195" s="6">
        <f t="shared" si="38"/>
        <v>169.31175313118263</v>
      </c>
      <c r="Q195" s="6">
        <f t="shared" si="32"/>
        <v>0.63755163090062461</v>
      </c>
      <c r="T195" s="6">
        <f t="shared" si="37"/>
        <v>0.63755163090062461</v>
      </c>
    </row>
    <row r="196" spans="2:20">
      <c r="B196">
        <f t="shared" si="33"/>
        <v>193</v>
      </c>
      <c r="C196">
        <f t="shared" ref="C196:C259" si="40">E196-D196</f>
        <v>31</v>
      </c>
      <c r="D196">
        <v>183</v>
      </c>
      <c r="E196">
        <v>214</v>
      </c>
      <c r="F196">
        <f>KcSPLINE!F$10</f>
        <v>0.67010446875719587</v>
      </c>
      <c r="G196">
        <f>KcSPLINE!F$11</f>
        <v>0.78650793650793671</v>
      </c>
      <c r="H196" s="5">
        <f>KcSPLINE!K$10</f>
        <v>1.0975241610746509E-3</v>
      </c>
      <c r="I196" s="5">
        <f>KcSPLINE!K$11</f>
        <v>1.0393895878092166E-4</v>
      </c>
      <c r="J196">
        <f t="shared" ref="J196:J259" si="41">(E196-B196)/C196</f>
        <v>0.67741935483870963</v>
      </c>
      <c r="K196">
        <f t="shared" ref="K196:K259" si="42">(B196-D196)/C196</f>
        <v>0.32258064516129031</v>
      </c>
      <c r="L196">
        <f t="shared" ref="L196:L259" si="43">B196-46</f>
        <v>147</v>
      </c>
      <c r="M196" s="6">
        <f t="shared" ref="M196:M259" si="44">J196*F196+K196*G196</f>
        <v>0.7076539744832413</v>
      </c>
      <c r="N196" s="13">
        <f t="shared" si="39"/>
        <v>0.63840731709593523</v>
      </c>
      <c r="O196" s="6">
        <f t="shared" si="38"/>
        <v>169.77475488103275</v>
      </c>
      <c r="P196" s="6">
        <f t="shared" si="38"/>
        <v>169.95016044827855</v>
      </c>
      <c r="Q196" s="6">
        <f t="shared" ref="Q196:Q259" si="45">M196+(((J196^3-J196)*H196+(K196^3-K196)*I196))*(C196^2)/6</f>
        <v>0.63840731709593523</v>
      </c>
      <c r="T196" s="6">
        <f t="shared" si="37"/>
        <v>0.63840731709593523</v>
      </c>
    </row>
    <row r="197" spans="2:20">
      <c r="B197">
        <f t="shared" ref="B197:B260" si="46">B196+1</f>
        <v>194</v>
      </c>
      <c r="C197">
        <f t="shared" si="40"/>
        <v>31</v>
      </c>
      <c r="D197">
        <v>183</v>
      </c>
      <c r="E197">
        <v>214</v>
      </c>
      <c r="F197">
        <f>KcSPLINE!F$10</f>
        <v>0.67010446875719587</v>
      </c>
      <c r="G197">
        <f>KcSPLINE!F$11</f>
        <v>0.78650793650793671</v>
      </c>
      <c r="H197" s="5">
        <f>KcSPLINE!K$10</f>
        <v>1.0975241610746509E-3</v>
      </c>
      <c r="I197" s="5">
        <f>KcSPLINE!K$11</f>
        <v>1.0393895878092166E-4</v>
      </c>
      <c r="J197">
        <f t="shared" si="41"/>
        <v>0.64516129032258063</v>
      </c>
      <c r="K197">
        <f t="shared" si="42"/>
        <v>0.35483870967741937</v>
      </c>
      <c r="L197">
        <f t="shared" si="43"/>
        <v>148</v>
      </c>
      <c r="M197" s="6">
        <f t="shared" si="44"/>
        <v>0.71140892505584585</v>
      </c>
      <c r="N197" s="13">
        <f t="shared" si="39"/>
        <v>0.6400400160967421</v>
      </c>
      <c r="O197" s="6">
        <f t="shared" ref="O197:P212" si="47">O196+M197</f>
        <v>170.4861638060886</v>
      </c>
      <c r="P197" s="6">
        <f t="shared" si="47"/>
        <v>170.5902004643753</v>
      </c>
      <c r="Q197" s="6">
        <f t="shared" si="45"/>
        <v>0.6400400160967421</v>
      </c>
      <c r="T197" s="6">
        <f t="shared" si="37"/>
        <v>0.6400400160967421</v>
      </c>
    </row>
    <row r="198" spans="2:20">
      <c r="B198">
        <f t="shared" si="46"/>
        <v>195</v>
      </c>
      <c r="C198">
        <f t="shared" si="40"/>
        <v>31</v>
      </c>
      <c r="D198">
        <v>183</v>
      </c>
      <c r="E198">
        <v>214</v>
      </c>
      <c r="F198">
        <f>KcSPLINE!F$10</f>
        <v>0.67010446875719587</v>
      </c>
      <c r="G198">
        <f>KcSPLINE!F$11</f>
        <v>0.78650793650793671</v>
      </c>
      <c r="H198" s="5">
        <f>KcSPLINE!K$10</f>
        <v>1.0975241610746509E-3</v>
      </c>
      <c r="I198" s="5">
        <f>KcSPLINE!K$11</f>
        <v>1.0393895878092166E-4</v>
      </c>
      <c r="J198">
        <f t="shared" si="41"/>
        <v>0.61290322580645162</v>
      </c>
      <c r="K198">
        <f t="shared" si="42"/>
        <v>0.38709677419354838</v>
      </c>
      <c r="L198">
        <f t="shared" si="43"/>
        <v>149</v>
      </c>
      <c r="M198" s="6">
        <f t="shared" si="44"/>
        <v>0.71516387562845041</v>
      </c>
      <c r="N198" s="13">
        <f t="shared" si="39"/>
        <v>0.64241767676748707</v>
      </c>
      <c r="O198" s="6">
        <f t="shared" si="47"/>
        <v>171.20132768171706</v>
      </c>
      <c r="P198" s="6">
        <f t="shared" si="47"/>
        <v>171.23261814114278</v>
      </c>
      <c r="Q198" s="6">
        <f t="shared" si="45"/>
        <v>0.64241767676748707</v>
      </c>
      <c r="T198" s="6">
        <f t="shared" si="37"/>
        <v>0.64241767676748707</v>
      </c>
    </row>
    <row r="199" spans="2:20">
      <c r="B199">
        <f t="shared" si="46"/>
        <v>196</v>
      </c>
      <c r="C199">
        <f t="shared" si="40"/>
        <v>31</v>
      </c>
      <c r="D199">
        <v>183</v>
      </c>
      <c r="E199">
        <v>214</v>
      </c>
      <c r="F199">
        <f>KcSPLINE!F$10</f>
        <v>0.67010446875719587</v>
      </c>
      <c r="G199">
        <f>KcSPLINE!F$11</f>
        <v>0.78650793650793671</v>
      </c>
      <c r="H199" s="5">
        <f>KcSPLINE!K$10</f>
        <v>1.0975241610746509E-3</v>
      </c>
      <c r="I199" s="5">
        <f>KcSPLINE!K$11</f>
        <v>1.0393895878092166E-4</v>
      </c>
      <c r="J199">
        <f t="shared" si="41"/>
        <v>0.58064516129032262</v>
      </c>
      <c r="K199">
        <f t="shared" si="42"/>
        <v>0.41935483870967744</v>
      </c>
      <c r="L199">
        <f t="shared" si="43"/>
        <v>150</v>
      </c>
      <c r="M199" s="6">
        <f t="shared" si="44"/>
        <v>0.71891882620105507</v>
      </c>
      <c r="N199" s="13">
        <f t="shared" si="39"/>
        <v>0.64550824797261253</v>
      </c>
      <c r="O199" s="6">
        <f t="shared" si="47"/>
        <v>171.92024650791811</v>
      </c>
      <c r="P199" s="6">
        <f t="shared" si="47"/>
        <v>171.87812638911538</v>
      </c>
      <c r="Q199" s="6">
        <f t="shared" si="45"/>
        <v>0.64550824797261253</v>
      </c>
      <c r="T199" s="6">
        <f t="shared" si="37"/>
        <v>0.64550824797261253</v>
      </c>
    </row>
    <row r="200" spans="2:20">
      <c r="B200">
        <f t="shared" si="46"/>
        <v>197</v>
      </c>
      <c r="C200">
        <f t="shared" si="40"/>
        <v>31</v>
      </c>
      <c r="D200">
        <v>183</v>
      </c>
      <c r="E200">
        <v>214</v>
      </c>
      <c r="F200">
        <f>KcSPLINE!F$10</f>
        <v>0.67010446875719587</v>
      </c>
      <c r="G200">
        <f>KcSPLINE!F$11</f>
        <v>0.78650793650793671</v>
      </c>
      <c r="H200" s="5">
        <f>KcSPLINE!K$10</f>
        <v>1.0975241610746509E-3</v>
      </c>
      <c r="I200" s="5">
        <f>KcSPLINE!K$11</f>
        <v>1.0393895878092166E-4</v>
      </c>
      <c r="J200">
        <f t="shared" si="41"/>
        <v>0.54838709677419351</v>
      </c>
      <c r="K200">
        <f t="shared" si="42"/>
        <v>0.45161290322580644</v>
      </c>
      <c r="L200">
        <f t="shared" si="43"/>
        <v>151</v>
      </c>
      <c r="M200" s="6">
        <f t="shared" si="44"/>
        <v>0.72267377677365952</v>
      </c>
      <c r="N200" s="13">
        <f t="shared" si="39"/>
        <v>0.6492796785765601</v>
      </c>
      <c r="O200" s="6">
        <f t="shared" si="47"/>
        <v>172.64292028469177</v>
      </c>
      <c r="P200" s="6">
        <f t="shared" si="47"/>
        <v>172.52740606769194</v>
      </c>
      <c r="Q200" s="6">
        <f t="shared" si="45"/>
        <v>0.6492796785765601</v>
      </c>
      <c r="T200" s="6">
        <f t="shared" si="37"/>
        <v>0.6492796785765601</v>
      </c>
    </row>
    <row r="201" spans="2:20">
      <c r="B201">
        <f t="shared" si="46"/>
        <v>198</v>
      </c>
      <c r="C201">
        <f t="shared" si="40"/>
        <v>31</v>
      </c>
      <c r="D201">
        <v>183</v>
      </c>
      <c r="E201">
        <v>214</v>
      </c>
      <c r="F201">
        <f>KcSPLINE!F$10</f>
        <v>0.67010446875719587</v>
      </c>
      <c r="G201">
        <f>KcSPLINE!F$11</f>
        <v>0.78650793650793671</v>
      </c>
      <c r="H201" s="5">
        <f>KcSPLINE!K$10</f>
        <v>1.0975241610746509E-3</v>
      </c>
      <c r="I201" s="5">
        <f>KcSPLINE!K$11</f>
        <v>1.0393895878092166E-4</v>
      </c>
      <c r="J201">
        <f t="shared" si="41"/>
        <v>0.5161290322580645</v>
      </c>
      <c r="K201">
        <f t="shared" si="42"/>
        <v>0.4838709677419355</v>
      </c>
      <c r="L201">
        <f t="shared" si="43"/>
        <v>152</v>
      </c>
      <c r="M201" s="6">
        <f t="shared" si="44"/>
        <v>0.72642872734626396</v>
      </c>
      <c r="N201" s="13">
        <f t="shared" si="39"/>
        <v>0.65369991744377232</v>
      </c>
      <c r="O201" s="6">
        <f t="shared" si="47"/>
        <v>173.36934901203804</v>
      </c>
      <c r="P201" s="6">
        <f t="shared" si="47"/>
        <v>173.1811059851357</v>
      </c>
      <c r="Q201" s="6">
        <f t="shared" si="45"/>
        <v>0.65369991744377232</v>
      </c>
      <c r="T201" s="6">
        <f t="shared" si="37"/>
        <v>0.65369991744377232</v>
      </c>
    </row>
    <row r="202" spans="2:20">
      <c r="B202">
        <f t="shared" si="46"/>
        <v>199</v>
      </c>
      <c r="C202">
        <f t="shared" si="40"/>
        <v>31</v>
      </c>
      <c r="D202">
        <v>183</v>
      </c>
      <c r="E202">
        <v>214</v>
      </c>
      <c r="F202">
        <f>KcSPLINE!F$10</f>
        <v>0.67010446875719587</v>
      </c>
      <c r="G202">
        <f>KcSPLINE!F$11</f>
        <v>0.78650793650793671</v>
      </c>
      <c r="H202" s="5">
        <f>KcSPLINE!K$10</f>
        <v>1.0975241610746509E-3</v>
      </c>
      <c r="I202" s="5">
        <f>KcSPLINE!K$11</f>
        <v>1.0393895878092166E-4</v>
      </c>
      <c r="J202">
        <f t="shared" si="41"/>
        <v>0.4838709677419355</v>
      </c>
      <c r="K202">
        <f t="shared" si="42"/>
        <v>0.5161290322580645</v>
      </c>
      <c r="L202">
        <f t="shared" si="43"/>
        <v>153</v>
      </c>
      <c r="M202" s="6">
        <f t="shared" si="44"/>
        <v>0.73018367791886862</v>
      </c>
      <c r="N202" s="13">
        <f t="shared" si="39"/>
        <v>0.65873691343869156</v>
      </c>
      <c r="O202" s="6">
        <f t="shared" si="47"/>
        <v>174.0995326899569</v>
      </c>
      <c r="P202" s="6">
        <f t="shared" si="47"/>
        <v>173.8398428985744</v>
      </c>
      <c r="Q202" s="6">
        <f t="shared" si="45"/>
        <v>0.65873691343869156</v>
      </c>
      <c r="T202" s="6">
        <f t="shared" si="37"/>
        <v>0.65873691343869156</v>
      </c>
    </row>
    <row r="203" spans="2:20">
      <c r="B203">
        <f t="shared" si="46"/>
        <v>200</v>
      </c>
      <c r="C203">
        <f t="shared" si="40"/>
        <v>31</v>
      </c>
      <c r="D203">
        <v>183</v>
      </c>
      <c r="E203">
        <v>214</v>
      </c>
      <c r="F203">
        <f>KcSPLINE!F$10</f>
        <v>0.67010446875719587</v>
      </c>
      <c r="G203">
        <f>KcSPLINE!F$11</f>
        <v>0.78650793650793671</v>
      </c>
      <c r="H203" s="5">
        <f>KcSPLINE!K$10</f>
        <v>1.0975241610746509E-3</v>
      </c>
      <c r="I203" s="5">
        <f>KcSPLINE!K$11</f>
        <v>1.0393895878092166E-4</v>
      </c>
      <c r="J203">
        <f t="shared" si="41"/>
        <v>0.45161290322580644</v>
      </c>
      <c r="K203">
        <f t="shared" si="42"/>
        <v>0.54838709677419351</v>
      </c>
      <c r="L203">
        <f t="shared" si="43"/>
        <v>154</v>
      </c>
      <c r="M203" s="6">
        <f t="shared" si="44"/>
        <v>0.73393862849147307</v>
      </c>
      <c r="N203" s="13">
        <f t="shared" si="39"/>
        <v>0.66435861542575936</v>
      </c>
      <c r="O203" s="6">
        <f t="shared" si="47"/>
        <v>174.83347131844837</v>
      </c>
      <c r="P203" s="6">
        <f t="shared" si="47"/>
        <v>174.50420151400016</v>
      </c>
      <c r="Q203" s="6">
        <f t="shared" si="45"/>
        <v>0.66435861542575936</v>
      </c>
      <c r="T203" s="6">
        <f t="shared" si="37"/>
        <v>0.66435861542575936</v>
      </c>
    </row>
    <row r="204" spans="2:20">
      <c r="B204">
        <f t="shared" si="46"/>
        <v>201</v>
      </c>
      <c r="C204">
        <f t="shared" si="40"/>
        <v>31</v>
      </c>
      <c r="D204">
        <v>183</v>
      </c>
      <c r="E204">
        <v>214</v>
      </c>
      <c r="F204">
        <f>KcSPLINE!F$10</f>
        <v>0.67010446875719587</v>
      </c>
      <c r="G204">
        <f>KcSPLINE!F$11</f>
        <v>0.78650793650793671</v>
      </c>
      <c r="H204" s="5">
        <f>KcSPLINE!K$10</f>
        <v>1.0975241610746509E-3</v>
      </c>
      <c r="I204" s="5">
        <f>KcSPLINE!K$11</f>
        <v>1.0393895878092166E-4</v>
      </c>
      <c r="J204">
        <f t="shared" si="41"/>
        <v>0.41935483870967744</v>
      </c>
      <c r="K204">
        <f t="shared" si="42"/>
        <v>0.58064516129032262</v>
      </c>
      <c r="L204">
        <f t="shared" si="43"/>
        <v>155</v>
      </c>
      <c r="M204" s="6">
        <f t="shared" si="44"/>
        <v>0.73769357906407773</v>
      </c>
      <c r="N204" s="13">
        <f t="shared" si="39"/>
        <v>0.67053297226941833</v>
      </c>
      <c r="O204" s="6">
        <f t="shared" si="47"/>
        <v>175.57116489751246</v>
      </c>
      <c r="P204" s="6">
        <f t="shared" si="47"/>
        <v>175.17473448626959</v>
      </c>
      <c r="Q204" s="6">
        <f t="shared" si="45"/>
        <v>0.67053297226941833</v>
      </c>
      <c r="T204" s="6">
        <f t="shared" si="37"/>
        <v>0.67053297226941833</v>
      </c>
    </row>
    <row r="205" spans="2:20">
      <c r="B205">
        <f t="shared" si="46"/>
        <v>202</v>
      </c>
      <c r="C205">
        <f t="shared" si="40"/>
        <v>31</v>
      </c>
      <c r="D205">
        <v>183</v>
      </c>
      <c r="E205">
        <v>214</v>
      </c>
      <c r="F205">
        <f>KcSPLINE!F$10</f>
        <v>0.67010446875719587</v>
      </c>
      <c r="G205">
        <f>KcSPLINE!F$11</f>
        <v>0.78650793650793671</v>
      </c>
      <c r="H205" s="5">
        <f>KcSPLINE!K$10</f>
        <v>1.0975241610746509E-3</v>
      </c>
      <c r="I205" s="5">
        <f>KcSPLINE!K$11</f>
        <v>1.0393895878092166E-4</v>
      </c>
      <c r="J205">
        <f t="shared" si="41"/>
        <v>0.38709677419354838</v>
      </c>
      <c r="K205">
        <f t="shared" si="42"/>
        <v>0.61290322580645162</v>
      </c>
      <c r="L205">
        <f t="shared" si="43"/>
        <v>156</v>
      </c>
      <c r="M205" s="6">
        <f t="shared" si="44"/>
        <v>0.74144852963668217</v>
      </c>
      <c r="N205" s="13">
        <f t="shared" si="39"/>
        <v>0.6772279328341102</v>
      </c>
      <c r="O205" s="6">
        <f t="shared" si="47"/>
        <v>176.31261342714913</v>
      </c>
      <c r="P205" s="6">
        <f t="shared" si="47"/>
        <v>175.8519624191037</v>
      </c>
      <c r="Q205" s="6">
        <f t="shared" si="45"/>
        <v>0.6772279328341102</v>
      </c>
      <c r="T205" s="6">
        <f t="shared" si="37"/>
        <v>0.6772279328341102</v>
      </c>
    </row>
    <row r="206" spans="2:20">
      <c r="B206">
        <f t="shared" si="46"/>
        <v>203</v>
      </c>
      <c r="C206">
        <f t="shared" si="40"/>
        <v>31</v>
      </c>
      <c r="D206">
        <v>183</v>
      </c>
      <c r="E206">
        <v>214</v>
      </c>
      <c r="F206">
        <f>KcSPLINE!F$10</f>
        <v>0.67010446875719587</v>
      </c>
      <c r="G206">
        <f>KcSPLINE!F$11</f>
        <v>0.78650793650793671</v>
      </c>
      <c r="H206" s="5">
        <f>KcSPLINE!K$10</f>
        <v>1.0975241610746509E-3</v>
      </c>
      <c r="I206" s="5">
        <f>KcSPLINE!K$11</f>
        <v>1.0393895878092166E-4</v>
      </c>
      <c r="J206">
        <f t="shared" si="41"/>
        <v>0.35483870967741937</v>
      </c>
      <c r="K206">
        <f t="shared" si="42"/>
        <v>0.64516129032258063</v>
      </c>
      <c r="L206">
        <f t="shared" si="43"/>
        <v>157</v>
      </c>
      <c r="M206" s="6">
        <f t="shared" si="44"/>
        <v>0.74520348020928673</v>
      </c>
      <c r="N206" s="13">
        <f t="shared" si="39"/>
        <v>0.6844114459842775</v>
      </c>
      <c r="O206" s="6">
        <f t="shared" si="47"/>
        <v>177.05781690735841</v>
      </c>
      <c r="P206" s="6">
        <f t="shared" si="47"/>
        <v>176.53637386508797</v>
      </c>
      <c r="Q206" s="6">
        <f t="shared" si="45"/>
        <v>0.6844114459842775</v>
      </c>
      <c r="T206" s="6">
        <f t="shared" si="37"/>
        <v>0.6844114459842775</v>
      </c>
    </row>
    <row r="207" spans="2:20">
      <c r="B207">
        <f t="shared" si="46"/>
        <v>204</v>
      </c>
      <c r="C207">
        <f t="shared" si="40"/>
        <v>31</v>
      </c>
      <c r="D207">
        <v>183</v>
      </c>
      <c r="E207">
        <v>214</v>
      </c>
      <c r="F207">
        <f>KcSPLINE!F$10</f>
        <v>0.67010446875719587</v>
      </c>
      <c r="G207">
        <f>KcSPLINE!F$11</f>
        <v>0.78650793650793671</v>
      </c>
      <c r="H207" s="5">
        <f>KcSPLINE!K$10</f>
        <v>1.0975241610746509E-3</v>
      </c>
      <c r="I207" s="5">
        <f>KcSPLINE!K$11</f>
        <v>1.0393895878092166E-4</v>
      </c>
      <c r="J207">
        <f t="shared" si="41"/>
        <v>0.32258064516129031</v>
      </c>
      <c r="K207">
        <f t="shared" si="42"/>
        <v>0.67741935483870963</v>
      </c>
      <c r="L207">
        <f t="shared" si="43"/>
        <v>158</v>
      </c>
      <c r="M207" s="6">
        <f t="shared" si="44"/>
        <v>0.74895843078189128</v>
      </c>
      <c r="N207" s="13">
        <f t="shared" si="39"/>
        <v>0.69205146058436218</v>
      </c>
      <c r="O207" s="6">
        <f t="shared" si="47"/>
        <v>177.80677533814031</v>
      </c>
      <c r="P207" s="6">
        <f t="shared" si="47"/>
        <v>177.22842532567233</v>
      </c>
      <c r="Q207" s="6">
        <f t="shared" si="45"/>
        <v>0.69205146058436218</v>
      </c>
      <c r="T207" s="6">
        <f t="shared" si="37"/>
        <v>0.69205146058436218</v>
      </c>
    </row>
    <row r="208" spans="2:20">
      <c r="B208">
        <f t="shared" si="46"/>
        <v>205</v>
      </c>
      <c r="C208">
        <f t="shared" si="40"/>
        <v>31</v>
      </c>
      <c r="D208">
        <v>183</v>
      </c>
      <c r="E208">
        <v>214</v>
      </c>
      <c r="F208">
        <f>KcSPLINE!F$10</f>
        <v>0.67010446875719587</v>
      </c>
      <c r="G208">
        <f>KcSPLINE!F$11</f>
        <v>0.78650793650793671</v>
      </c>
      <c r="H208" s="5">
        <f>KcSPLINE!K$10</f>
        <v>1.0975241610746509E-3</v>
      </c>
      <c r="I208" s="5">
        <f>KcSPLINE!K$11</f>
        <v>1.0393895878092166E-4</v>
      </c>
      <c r="J208">
        <f t="shared" si="41"/>
        <v>0.29032258064516131</v>
      </c>
      <c r="K208">
        <f t="shared" si="42"/>
        <v>0.70967741935483875</v>
      </c>
      <c r="L208">
        <f t="shared" si="43"/>
        <v>159</v>
      </c>
      <c r="M208" s="6">
        <f t="shared" si="44"/>
        <v>0.75271338135449595</v>
      </c>
      <c r="N208" s="13">
        <f t="shared" si="39"/>
        <v>0.70011592549880652</v>
      </c>
      <c r="O208" s="6">
        <f t="shared" si="47"/>
        <v>178.55948871949479</v>
      </c>
      <c r="P208" s="6">
        <f t="shared" si="47"/>
        <v>177.92854125117114</v>
      </c>
      <c r="Q208" s="6">
        <f t="shared" si="45"/>
        <v>0.70011592549880652</v>
      </c>
      <c r="T208" s="6">
        <f t="shared" si="37"/>
        <v>0.70011592549880652</v>
      </c>
    </row>
    <row r="209" spans="1:20">
      <c r="B209">
        <f t="shared" si="46"/>
        <v>206</v>
      </c>
      <c r="C209">
        <f t="shared" si="40"/>
        <v>31</v>
      </c>
      <c r="D209">
        <v>183</v>
      </c>
      <c r="E209">
        <v>214</v>
      </c>
      <c r="F209">
        <f>KcSPLINE!F$10</f>
        <v>0.67010446875719587</v>
      </c>
      <c r="G209">
        <f>KcSPLINE!F$11</f>
        <v>0.78650793650793671</v>
      </c>
      <c r="H209" s="5">
        <f>KcSPLINE!K$10</f>
        <v>1.0975241610746509E-3</v>
      </c>
      <c r="I209" s="5">
        <f>KcSPLINE!K$11</f>
        <v>1.0393895878092166E-4</v>
      </c>
      <c r="J209">
        <f t="shared" si="41"/>
        <v>0.25806451612903225</v>
      </c>
      <c r="K209">
        <f t="shared" si="42"/>
        <v>0.74193548387096775</v>
      </c>
      <c r="L209">
        <f t="shared" si="43"/>
        <v>160</v>
      </c>
      <c r="M209" s="6">
        <f t="shared" si="44"/>
        <v>0.75646833192710039</v>
      </c>
      <c r="N209" s="13">
        <f t="shared" si="39"/>
        <v>0.70857278959205239</v>
      </c>
      <c r="O209" s="6">
        <f t="shared" si="47"/>
        <v>179.31595705142189</v>
      </c>
      <c r="P209" s="6">
        <f t="shared" si="47"/>
        <v>178.63711404076318</v>
      </c>
      <c r="Q209" s="6">
        <f t="shared" si="45"/>
        <v>0.70857278959205239</v>
      </c>
      <c r="T209" s="6">
        <f t="shared" si="37"/>
        <v>0.70857278959205239</v>
      </c>
    </row>
    <row r="210" spans="1:20">
      <c r="B210">
        <f t="shared" si="46"/>
        <v>207</v>
      </c>
      <c r="C210">
        <f t="shared" si="40"/>
        <v>31</v>
      </c>
      <c r="D210">
        <v>183</v>
      </c>
      <c r="E210">
        <v>214</v>
      </c>
      <c r="F210">
        <f>KcSPLINE!F$10</f>
        <v>0.67010446875719587</v>
      </c>
      <c r="G210">
        <f>KcSPLINE!F$11</f>
        <v>0.78650793650793671</v>
      </c>
      <c r="H210" s="5">
        <f>KcSPLINE!K$10</f>
        <v>1.0975241610746509E-3</v>
      </c>
      <c r="I210" s="5">
        <f>KcSPLINE!K$11</f>
        <v>1.0393895878092166E-4</v>
      </c>
      <c r="J210">
        <f t="shared" si="41"/>
        <v>0.22580645161290322</v>
      </c>
      <c r="K210">
        <f t="shared" si="42"/>
        <v>0.77419354838709675</v>
      </c>
      <c r="L210">
        <f t="shared" si="43"/>
        <v>161</v>
      </c>
      <c r="M210" s="6">
        <f t="shared" si="44"/>
        <v>0.76022328249970483</v>
      </c>
      <c r="N210" s="13">
        <f t="shared" si="39"/>
        <v>0.71739000172854195</v>
      </c>
      <c r="O210" s="6">
        <f t="shared" si="47"/>
        <v>180.0761803339216</v>
      </c>
      <c r="P210" s="6">
        <f t="shared" si="47"/>
        <v>179.35450404249173</v>
      </c>
      <c r="Q210" s="6">
        <f t="shared" si="45"/>
        <v>0.71739000172854195</v>
      </c>
      <c r="T210" s="6">
        <f t="shared" si="37"/>
        <v>0.71739000172854195</v>
      </c>
    </row>
    <row r="211" spans="1:20">
      <c r="B211">
        <f t="shared" si="46"/>
        <v>208</v>
      </c>
      <c r="C211">
        <f t="shared" si="40"/>
        <v>31</v>
      </c>
      <c r="D211">
        <v>183</v>
      </c>
      <c r="E211">
        <v>214</v>
      </c>
      <c r="F211">
        <f>KcSPLINE!F$10</f>
        <v>0.67010446875719587</v>
      </c>
      <c r="G211">
        <f>KcSPLINE!F$11</f>
        <v>0.78650793650793671</v>
      </c>
      <c r="H211" s="5">
        <f>KcSPLINE!K$10</f>
        <v>1.0975241610746509E-3</v>
      </c>
      <c r="I211" s="5">
        <f>KcSPLINE!K$11</f>
        <v>1.0393895878092166E-4</v>
      </c>
      <c r="J211">
        <f t="shared" si="41"/>
        <v>0.19354838709677419</v>
      </c>
      <c r="K211">
        <f t="shared" si="42"/>
        <v>0.80645161290322576</v>
      </c>
      <c r="L211">
        <f t="shared" si="43"/>
        <v>162</v>
      </c>
      <c r="M211" s="6">
        <f t="shared" si="44"/>
        <v>0.76397823307230939</v>
      </c>
      <c r="N211" s="13">
        <f t="shared" si="39"/>
        <v>0.72653551077271772</v>
      </c>
      <c r="O211" s="6">
        <f t="shared" si="47"/>
        <v>180.84015856699392</v>
      </c>
      <c r="P211" s="6">
        <f t="shared" si="47"/>
        <v>180.08103955326445</v>
      </c>
      <c r="Q211" s="6">
        <f t="shared" si="45"/>
        <v>0.72653551077271772</v>
      </c>
      <c r="T211" s="6">
        <f t="shared" si="37"/>
        <v>0.72653551077271772</v>
      </c>
    </row>
    <row r="212" spans="1:20">
      <c r="B212">
        <f t="shared" si="46"/>
        <v>209</v>
      </c>
      <c r="C212">
        <f t="shared" si="40"/>
        <v>31</v>
      </c>
      <c r="D212">
        <v>183</v>
      </c>
      <c r="E212">
        <v>214</v>
      </c>
      <c r="F212">
        <f>KcSPLINE!F$10</f>
        <v>0.67010446875719587</v>
      </c>
      <c r="G212">
        <f>KcSPLINE!F$11</f>
        <v>0.78650793650793671</v>
      </c>
      <c r="H212" s="5">
        <f>KcSPLINE!K$10</f>
        <v>1.0975241610746509E-3</v>
      </c>
      <c r="I212" s="5">
        <f>KcSPLINE!K$11</f>
        <v>1.0393895878092166E-4</v>
      </c>
      <c r="J212">
        <f t="shared" si="41"/>
        <v>0.16129032258064516</v>
      </c>
      <c r="K212">
        <f t="shared" si="42"/>
        <v>0.83870967741935487</v>
      </c>
      <c r="L212">
        <f t="shared" si="43"/>
        <v>163</v>
      </c>
      <c r="M212" s="6">
        <f t="shared" si="44"/>
        <v>0.76773318364491405</v>
      </c>
      <c r="N212" s="13">
        <f t="shared" si="39"/>
        <v>0.73597726558902155</v>
      </c>
      <c r="O212" s="6">
        <f t="shared" si="47"/>
        <v>181.60789175063883</v>
      </c>
      <c r="P212" s="6">
        <f t="shared" si="47"/>
        <v>180.81701681885346</v>
      </c>
      <c r="Q212" s="6">
        <f t="shared" si="45"/>
        <v>0.73597726558902155</v>
      </c>
      <c r="T212" s="6">
        <f t="shared" si="37"/>
        <v>0.73597726558902155</v>
      </c>
    </row>
    <row r="213" spans="1:20">
      <c r="B213">
        <f t="shared" si="46"/>
        <v>210</v>
      </c>
      <c r="C213">
        <f t="shared" si="40"/>
        <v>31</v>
      </c>
      <c r="D213">
        <v>183</v>
      </c>
      <c r="E213">
        <v>214</v>
      </c>
      <c r="F213">
        <f>KcSPLINE!F$10</f>
        <v>0.67010446875719587</v>
      </c>
      <c r="G213">
        <f>KcSPLINE!F$11</f>
        <v>0.78650793650793671</v>
      </c>
      <c r="H213" s="5">
        <f>KcSPLINE!K$10</f>
        <v>1.0975241610746509E-3</v>
      </c>
      <c r="I213" s="5">
        <f>KcSPLINE!K$11</f>
        <v>1.0393895878092166E-4</v>
      </c>
      <c r="J213">
        <f t="shared" si="41"/>
        <v>0.12903225806451613</v>
      </c>
      <c r="K213">
        <f t="shared" si="42"/>
        <v>0.87096774193548387</v>
      </c>
      <c r="L213">
        <f t="shared" si="43"/>
        <v>164</v>
      </c>
      <c r="M213" s="6">
        <f t="shared" si="44"/>
        <v>0.7714881342175185</v>
      </c>
      <c r="N213" s="13">
        <f t="shared" si="39"/>
        <v>0.7456832150418955</v>
      </c>
      <c r="O213" s="6">
        <f t="shared" ref="O213:P228" si="48">O212+M213</f>
        <v>182.37937988485635</v>
      </c>
      <c r="P213" s="6">
        <f t="shared" si="48"/>
        <v>181.56270003389537</v>
      </c>
      <c r="Q213" s="6">
        <f t="shared" si="45"/>
        <v>0.7456832150418955</v>
      </c>
      <c r="T213" s="6">
        <f t="shared" si="37"/>
        <v>0.7456832150418955</v>
      </c>
    </row>
    <row r="214" spans="1:20">
      <c r="B214">
        <f t="shared" si="46"/>
        <v>211</v>
      </c>
      <c r="C214">
        <f t="shared" si="40"/>
        <v>31</v>
      </c>
      <c r="D214">
        <v>183</v>
      </c>
      <c r="E214">
        <v>214</v>
      </c>
      <c r="F214">
        <f>KcSPLINE!F$10</f>
        <v>0.67010446875719587</v>
      </c>
      <c r="G214">
        <f>KcSPLINE!F$11</f>
        <v>0.78650793650793671</v>
      </c>
      <c r="H214" s="5">
        <f>KcSPLINE!K$10</f>
        <v>1.0975241610746509E-3</v>
      </c>
      <c r="I214" s="5">
        <f>KcSPLINE!K$11</f>
        <v>1.0393895878092166E-4</v>
      </c>
      <c r="J214">
        <f t="shared" si="41"/>
        <v>9.6774193548387094E-2</v>
      </c>
      <c r="K214">
        <f t="shared" si="42"/>
        <v>0.90322580645161288</v>
      </c>
      <c r="L214">
        <f t="shared" si="43"/>
        <v>165</v>
      </c>
      <c r="M214" s="6">
        <f t="shared" si="44"/>
        <v>0.77524308479012305</v>
      </c>
      <c r="N214" s="13">
        <f t="shared" si="39"/>
        <v>0.75562130799578187</v>
      </c>
      <c r="O214" s="6">
        <f t="shared" si="48"/>
        <v>183.15462296964648</v>
      </c>
      <c r="P214" s="6">
        <f t="shared" si="48"/>
        <v>182.31832134189116</v>
      </c>
      <c r="Q214" s="6">
        <f t="shared" si="45"/>
        <v>0.75562130799578187</v>
      </c>
      <c r="T214" s="6">
        <f t="shared" si="37"/>
        <v>0.75562130799578187</v>
      </c>
    </row>
    <row r="215" spans="1:20">
      <c r="B215">
        <f t="shared" si="46"/>
        <v>212</v>
      </c>
      <c r="C215">
        <f t="shared" si="40"/>
        <v>31</v>
      </c>
      <c r="D215">
        <v>183</v>
      </c>
      <c r="E215">
        <v>214</v>
      </c>
      <c r="F215">
        <f>KcSPLINE!F$10</f>
        <v>0.67010446875719587</v>
      </c>
      <c r="G215">
        <f>KcSPLINE!F$11</f>
        <v>0.78650793650793671</v>
      </c>
      <c r="H215" s="5">
        <f>KcSPLINE!K$10</f>
        <v>1.0975241610746509E-3</v>
      </c>
      <c r="I215" s="5">
        <f>KcSPLINE!K$11</f>
        <v>1.0393895878092166E-4</v>
      </c>
      <c r="J215">
        <f t="shared" si="41"/>
        <v>6.4516129032258063E-2</v>
      </c>
      <c r="K215">
        <f t="shared" si="42"/>
        <v>0.93548387096774188</v>
      </c>
      <c r="L215">
        <f t="shared" si="43"/>
        <v>166</v>
      </c>
      <c r="M215" s="6">
        <f t="shared" si="44"/>
        <v>0.7789980353627276</v>
      </c>
      <c r="N215" s="13">
        <f t="shared" si="39"/>
        <v>0.76575949331512283</v>
      </c>
      <c r="O215" s="6">
        <f t="shared" si="48"/>
        <v>183.9336210050092</v>
      </c>
      <c r="P215" s="6">
        <f t="shared" si="48"/>
        <v>183.08408083520629</v>
      </c>
      <c r="Q215" s="6">
        <f t="shared" si="45"/>
        <v>0.76575949331512283</v>
      </c>
      <c r="T215" s="6">
        <f t="shared" si="37"/>
        <v>0.76575949331512283</v>
      </c>
    </row>
    <row r="216" spans="1:20">
      <c r="B216">
        <f t="shared" si="46"/>
        <v>213</v>
      </c>
      <c r="C216">
        <f t="shared" si="40"/>
        <v>31</v>
      </c>
      <c r="D216">
        <v>183</v>
      </c>
      <c r="E216">
        <v>214</v>
      </c>
      <c r="F216">
        <f>KcSPLINE!F$10</f>
        <v>0.67010446875719587</v>
      </c>
      <c r="G216">
        <f>KcSPLINE!F$11</f>
        <v>0.78650793650793671</v>
      </c>
      <c r="H216" s="5">
        <f>KcSPLINE!K$10</f>
        <v>1.0975241610746509E-3</v>
      </c>
      <c r="I216" s="5">
        <f>KcSPLINE!K$11</f>
        <v>1.0393895878092166E-4</v>
      </c>
      <c r="J216">
        <f t="shared" si="41"/>
        <v>3.2258064516129031E-2</v>
      </c>
      <c r="K216">
        <f t="shared" si="42"/>
        <v>0.967741935483871</v>
      </c>
      <c r="L216">
        <f t="shared" si="43"/>
        <v>167</v>
      </c>
      <c r="M216" s="6">
        <f t="shared" si="44"/>
        <v>0.78275298593533216</v>
      </c>
      <c r="N216" s="13">
        <f t="shared" si="39"/>
        <v>0.77606571986436035</v>
      </c>
      <c r="O216" s="6">
        <f t="shared" si="48"/>
        <v>184.71637399094453</v>
      </c>
      <c r="P216" s="6">
        <f t="shared" si="48"/>
        <v>183.86014655507066</v>
      </c>
      <c r="Q216" s="6">
        <f t="shared" si="45"/>
        <v>0.77606571986436035</v>
      </c>
      <c r="T216" s="6">
        <f t="shared" si="37"/>
        <v>0.77606571986436035</v>
      </c>
    </row>
    <row r="217" spans="1:20">
      <c r="A217">
        <v>214</v>
      </c>
      <c r="B217">
        <f t="shared" si="46"/>
        <v>214</v>
      </c>
      <c r="C217">
        <f t="shared" si="40"/>
        <v>31</v>
      </c>
      <c r="D217">
        <v>183</v>
      </c>
      <c r="E217">
        <v>214</v>
      </c>
      <c r="F217">
        <f>KcSPLINE!F$10</f>
        <v>0.67010446875719587</v>
      </c>
      <c r="G217">
        <f>KcSPLINE!F$11</f>
        <v>0.78650793650793671</v>
      </c>
      <c r="H217" s="5">
        <f>KcSPLINE!K$10</f>
        <v>1.0975241610746509E-3</v>
      </c>
      <c r="I217" s="5">
        <f>KcSPLINE!K$11</f>
        <v>1.0393895878092166E-4</v>
      </c>
      <c r="J217">
        <f t="shared" si="41"/>
        <v>0</v>
      </c>
      <c r="K217">
        <f t="shared" si="42"/>
        <v>1</v>
      </c>
      <c r="L217">
        <f t="shared" si="43"/>
        <v>168</v>
      </c>
      <c r="M217" s="6">
        <f t="shared" si="44"/>
        <v>0.78650793650793671</v>
      </c>
      <c r="N217" s="13">
        <f t="shared" si="39"/>
        <v>0.78650793650793671</v>
      </c>
      <c r="O217" s="6">
        <f t="shared" si="48"/>
        <v>185.50288192745248</v>
      </c>
      <c r="P217" s="6">
        <f t="shared" si="48"/>
        <v>184.6466544915786</v>
      </c>
      <c r="Q217" s="6">
        <f t="shared" si="45"/>
        <v>0.78650793650793671</v>
      </c>
      <c r="T217" s="6">
        <f t="shared" si="37"/>
        <v>0.78650793650793671</v>
      </c>
    </row>
    <row r="218" spans="1:20">
      <c r="B218">
        <f t="shared" si="46"/>
        <v>215</v>
      </c>
      <c r="C218">
        <f t="shared" si="40"/>
        <v>30</v>
      </c>
      <c r="D218">
        <v>214</v>
      </c>
      <c r="E218">
        <v>244</v>
      </c>
      <c r="F218">
        <f>KcSPLINE!F$11</f>
        <v>0.78650793650793671</v>
      </c>
      <c r="G218">
        <f>KcSPLINE!F$12</f>
        <v>1.0596774193548395</v>
      </c>
      <c r="H218" s="5">
        <f>KcSPLINE!K$11</f>
        <v>1.0393895878092166E-4</v>
      </c>
      <c r="I218" s="5">
        <f>KcSPLINE!K$12</f>
        <v>-4.8665362769444414E-4</v>
      </c>
      <c r="J218">
        <f t="shared" si="41"/>
        <v>0.96666666666666667</v>
      </c>
      <c r="K218">
        <f t="shared" si="42"/>
        <v>3.3333333333333333E-2</v>
      </c>
      <c r="L218">
        <f t="shared" si="43"/>
        <v>169</v>
      </c>
      <c r="M218" s="6">
        <f t="shared" si="44"/>
        <v>0.79561358593616682</v>
      </c>
      <c r="N218" s="13">
        <f t="shared" si="39"/>
        <v>0.79705615289629539</v>
      </c>
      <c r="O218" s="6">
        <f t="shared" si="48"/>
        <v>186.29849551338864</v>
      </c>
      <c r="P218" s="6">
        <f t="shared" si="48"/>
        <v>185.44371064447489</v>
      </c>
      <c r="Q218" s="6">
        <f t="shared" si="45"/>
        <v>0.79705615289629539</v>
      </c>
      <c r="T218" s="6">
        <f t="shared" si="37"/>
        <v>0.79705615289629539</v>
      </c>
    </row>
    <row r="219" spans="1:20">
      <c r="B219">
        <f t="shared" si="46"/>
        <v>216</v>
      </c>
      <c r="C219">
        <f t="shared" si="40"/>
        <v>30</v>
      </c>
      <c r="D219">
        <v>214</v>
      </c>
      <c r="E219">
        <v>244</v>
      </c>
      <c r="F219">
        <f>KcSPLINE!F$11</f>
        <v>0.78650793650793671</v>
      </c>
      <c r="G219">
        <f>KcSPLINE!F$12</f>
        <v>1.0596774193548395</v>
      </c>
      <c r="H219" s="5">
        <f>KcSPLINE!K$11</f>
        <v>1.0393895878092166E-4</v>
      </c>
      <c r="I219" s="5">
        <f>KcSPLINE!K$12</f>
        <v>-4.8665362769444414E-4</v>
      </c>
      <c r="J219">
        <f t="shared" si="41"/>
        <v>0.93333333333333335</v>
      </c>
      <c r="K219">
        <f t="shared" si="42"/>
        <v>6.6666666666666666E-2</v>
      </c>
      <c r="L219">
        <f t="shared" si="43"/>
        <v>170</v>
      </c>
      <c r="M219" s="6">
        <f t="shared" si="44"/>
        <v>0.80471923536439693</v>
      </c>
      <c r="N219" s="13">
        <f t="shared" si="39"/>
        <v>0.8076886218238859</v>
      </c>
      <c r="O219" s="6">
        <f t="shared" si="48"/>
        <v>187.10321474875303</v>
      </c>
      <c r="P219" s="6">
        <f t="shared" si="48"/>
        <v>186.25139926629879</v>
      </c>
      <c r="Q219" s="6">
        <f t="shared" si="45"/>
        <v>0.8076886218238859</v>
      </c>
      <c r="T219" s="6">
        <f t="shared" si="37"/>
        <v>0.8076886218238859</v>
      </c>
    </row>
    <row r="220" spans="1:20">
      <c r="B220">
        <f t="shared" si="46"/>
        <v>217</v>
      </c>
      <c r="C220">
        <f t="shared" si="40"/>
        <v>30</v>
      </c>
      <c r="D220">
        <v>214</v>
      </c>
      <c r="E220">
        <v>244</v>
      </c>
      <c r="F220">
        <f>KcSPLINE!F$11</f>
        <v>0.78650793650793671</v>
      </c>
      <c r="G220">
        <f>KcSPLINE!F$12</f>
        <v>1.0596774193548395</v>
      </c>
      <c r="H220" s="5">
        <f>KcSPLINE!K$11</f>
        <v>1.0393895878092166E-4</v>
      </c>
      <c r="I220" s="5">
        <f>KcSPLINE!K$12</f>
        <v>-4.8665362769444414E-4</v>
      </c>
      <c r="J220">
        <f t="shared" si="41"/>
        <v>0.9</v>
      </c>
      <c r="K220">
        <f t="shared" si="42"/>
        <v>0.1</v>
      </c>
      <c r="L220">
        <f t="shared" si="43"/>
        <v>171</v>
      </c>
      <c r="M220" s="6">
        <f t="shared" si="44"/>
        <v>0.81382488479262705</v>
      </c>
      <c r="N220" s="13">
        <f t="shared" si="39"/>
        <v>0.81838565687115894</v>
      </c>
      <c r="O220" s="6">
        <f t="shared" si="48"/>
        <v>187.91703963354567</v>
      </c>
      <c r="P220" s="6">
        <f t="shared" si="48"/>
        <v>187.06978492316995</v>
      </c>
      <c r="Q220" s="6">
        <f t="shared" si="45"/>
        <v>0.81838565687115894</v>
      </c>
      <c r="T220" s="6">
        <f t="shared" si="37"/>
        <v>0.81838565687115894</v>
      </c>
    </row>
    <row r="221" spans="1:20">
      <c r="B221">
        <f t="shared" si="46"/>
        <v>218</v>
      </c>
      <c r="C221">
        <f t="shared" si="40"/>
        <v>30</v>
      </c>
      <c r="D221">
        <v>214</v>
      </c>
      <c r="E221">
        <v>244</v>
      </c>
      <c r="F221">
        <f>KcSPLINE!F$11</f>
        <v>0.78650793650793671</v>
      </c>
      <c r="G221">
        <f>KcSPLINE!F$12</f>
        <v>1.0596774193548395</v>
      </c>
      <c r="H221" s="5">
        <f>KcSPLINE!K$11</f>
        <v>1.0393895878092166E-4</v>
      </c>
      <c r="I221" s="5">
        <f>KcSPLINE!K$12</f>
        <v>-4.8665362769444414E-4</v>
      </c>
      <c r="J221">
        <f t="shared" si="41"/>
        <v>0.8666666666666667</v>
      </c>
      <c r="K221">
        <f t="shared" si="42"/>
        <v>0.13333333333333333</v>
      </c>
      <c r="L221">
        <f t="shared" si="43"/>
        <v>172</v>
      </c>
      <c r="M221" s="6">
        <f t="shared" si="44"/>
        <v>0.82293053422085705</v>
      </c>
      <c r="N221" s="13">
        <f t="shared" si="39"/>
        <v>0.82912757161856521</v>
      </c>
      <c r="O221" s="6">
        <f t="shared" si="48"/>
        <v>188.73997016776653</v>
      </c>
      <c r="P221" s="6">
        <f t="shared" si="48"/>
        <v>187.8989124947885</v>
      </c>
      <c r="Q221" s="6">
        <f t="shared" si="45"/>
        <v>0.82912757161856521</v>
      </c>
      <c r="T221" s="6">
        <f t="shared" si="37"/>
        <v>0.82912757161856521</v>
      </c>
    </row>
    <row r="222" spans="1:20">
      <c r="B222">
        <f t="shared" si="46"/>
        <v>219</v>
      </c>
      <c r="C222">
        <f t="shared" si="40"/>
        <v>30</v>
      </c>
      <c r="D222">
        <v>214</v>
      </c>
      <c r="E222">
        <v>244</v>
      </c>
      <c r="F222">
        <f>KcSPLINE!F$11</f>
        <v>0.78650793650793671</v>
      </c>
      <c r="G222">
        <f>KcSPLINE!F$12</f>
        <v>1.0596774193548395</v>
      </c>
      <c r="H222" s="5">
        <f>KcSPLINE!K$11</f>
        <v>1.0393895878092166E-4</v>
      </c>
      <c r="I222" s="5">
        <f>KcSPLINE!K$12</f>
        <v>-4.8665362769444414E-4</v>
      </c>
      <c r="J222">
        <f t="shared" si="41"/>
        <v>0.83333333333333337</v>
      </c>
      <c r="K222">
        <f t="shared" si="42"/>
        <v>0.16666666666666666</v>
      </c>
      <c r="L222">
        <f t="shared" si="43"/>
        <v>173</v>
      </c>
      <c r="M222" s="6">
        <f t="shared" si="44"/>
        <v>0.83203618364908716</v>
      </c>
      <c r="N222" s="13">
        <f t="shared" si="39"/>
        <v>0.83989467964655584</v>
      </c>
      <c r="O222" s="6">
        <f t="shared" si="48"/>
        <v>189.57200635141561</v>
      </c>
      <c r="P222" s="6">
        <f t="shared" si="48"/>
        <v>188.73880717443507</v>
      </c>
      <c r="Q222" s="6">
        <f t="shared" si="45"/>
        <v>0.83989467964655584</v>
      </c>
      <c r="T222" s="6">
        <f t="shared" si="37"/>
        <v>0.83989467964655584</v>
      </c>
    </row>
    <row r="223" spans="1:20">
      <c r="B223">
        <f t="shared" si="46"/>
        <v>220</v>
      </c>
      <c r="C223">
        <f t="shared" si="40"/>
        <v>30</v>
      </c>
      <c r="D223">
        <v>214</v>
      </c>
      <c r="E223">
        <v>244</v>
      </c>
      <c r="F223">
        <f>KcSPLINE!F$11</f>
        <v>0.78650793650793671</v>
      </c>
      <c r="G223">
        <f>KcSPLINE!F$12</f>
        <v>1.0596774193548395</v>
      </c>
      <c r="H223" s="5">
        <f>KcSPLINE!K$11</f>
        <v>1.0393895878092166E-4</v>
      </c>
      <c r="I223" s="5">
        <f>KcSPLINE!K$12</f>
        <v>-4.8665362769444414E-4</v>
      </c>
      <c r="J223">
        <f t="shared" si="41"/>
        <v>0.8</v>
      </c>
      <c r="K223">
        <f t="shared" si="42"/>
        <v>0.2</v>
      </c>
      <c r="L223">
        <f t="shared" si="43"/>
        <v>174</v>
      </c>
      <c r="M223" s="6">
        <f t="shared" si="44"/>
        <v>0.84114183307731738</v>
      </c>
      <c r="N223" s="13">
        <f t="shared" si="39"/>
        <v>0.85066729453558154</v>
      </c>
      <c r="O223" s="6">
        <f t="shared" si="48"/>
        <v>190.41314818449294</v>
      </c>
      <c r="P223" s="6">
        <f t="shared" si="48"/>
        <v>189.58947446897065</v>
      </c>
      <c r="Q223" s="6">
        <f t="shared" si="45"/>
        <v>0.85066729453558154</v>
      </c>
      <c r="T223" s="6">
        <f t="shared" si="37"/>
        <v>0.85066729453558154</v>
      </c>
    </row>
    <row r="224" spans="1:20">
      <c r="B224">
        <f t="shared" si="46"/>
        <v>221</v>
      </c>
      <c r="C224">
        <f t="shared" si="40"/>
        <v>30</v>
      </c>
      <c r="D224">
        <v>214</v>
      </c>
      <c r="E224">
        <v>244</v>
      </c>
      <c r="F224">
        <f>KcSPLINE!F$11</f>
        <v>0.78650793650793671</v>
      </c>
      <c r="G224">
        <f>KcSPLINE!F$12</f>
        <v>1.0596774193548395</v>
      </c>
      <c r="H224" s="5">
        <f>KcSPLINE!K$11</f>
        <v>1.0393895878092166E-4</v>
      </c>
      <c r="I224" s="5">
        <f>KcSPLINE!K$12</f>
        <v>-4.8665362769444414E-4</v>
      </c>
      <c r="J224">
        <f t="shared" si="41"/>
        <v>0.76666666666666672</v>
      </c>
      <c r="K224">
        <f t="shared" si="42"/>
        <v>0.23333333333333334</v>
      </c>
      <c r="L224">
        <f t="shared" si="43"/>
        <v>175</v>
      </c>
      <c r="M224" s="6">
        <f t="shared" si="44"/>
        <v>0.85024748250554738</v>
      </c>
      <c r="N224" s="13">
        <f t="shared" si="39"/>
        <v>0.86142572986609289</v>
      </c>
      <c r="O224" s="6">
        <f t="shared" si="48"/>
        <v>191.26339566699849</v>
      </c>
      <c r="P224" s="6">
        <f t="shared" si="48"/>
        <v>190.45090019883673</v>
      </c>
      <c r="Q224" s="6">
        <f t="shared" si="45"/>
        <v>0.86142572986609289</v>
      </c>
      <c r="T224" s="6">
        <f t="shared" si="37"/>
        <v>0.86142572986609289</v>
      </c>
    </row>
    <row r="225" spans="2:20">
      <c r="B225">
        <f t="shared" si="46"/>
        <v>222</v>
      </c>
      <c r="C225">
        <f t="shared" si="40"/>
        <v>30</v>
      </c>
      <c r="D225">
        <v>214</v>
      </c>
      <c r="E225">
        <v>244</v>
      </c>
      <c r="F225">
        <f>KcSPLINE!F$11</f>
        <v>0.78650793650793671</v>
      </c>
      <c r="G225">
        <f>KcSPLINE!F$12</f>
        <v>1.0596774193548395</v>
      </c>
      <c r="H225" s="5">
        <f>KcSPLINE!K$11</f>
        <v>1.0393895878092166E-4</v>
      </c>
      <c r="I225" s="5">
        <f>KcSPLINE!K$12</f>
        <v>-4.8665362769444414E-4</v>
      </c>
      <c r="J225">
        <f t="shared" si="41"/>
        <v>0.73333333333333328</v>
      </c>
      <c r="K225">
        <f t="shared" si="42"/>
        <v>0.26666666666666666</v>
      </c>
      <c r="L225">
        <f t="shared" si="43"/>
        <v>176</v>
      </c>
      <c r="M225" s="6">
        <f t="shared" si="44"/>
        <v>0.85935313193377738</v>
      </c>
      <c r="N225" s="13">
        <f t="shared" si="39"/>
        <v>0.87215029921854093</v>
      </c>
      <c r="O225" s="6">
        <f t="shared" si="48"/>
        <v>192.12274879893226</v>
      </c>
      <c r="P225" s="6">
        <f t="shared" si="48"/>
        <v>191.32305049805527</v>
      </c>
      <c r="Q225" s="6">
        <f t="shared" si="45"/>
        <v>0.87215029921854093</v>
      </c>
      <c r="T225" s="6">
        <f t="shared" si="37"/>
        <v>0.87215029921854093</v>
      </c>
    </row>
    <row r="226" spans="2:20">
      <c r="B226">
        <f t="shared" si="46"/>
        <v>223</v>
      </c>
      <c r="C226">
        <f t="shared" si="40"/>
        <v>30</v>
      </c>
      <c r="D226">
        <v>214</v>
      </c>
      <c r="E226">
        <v>244</v>
      </c>
      <c r="F226">
        <f>KcSPLINE!F$11</f>
        <v>0.78650793650793671</v>
      </c>
      <c r="G226">
        <f>KcSPLINE!F$12</f>
        <v>1.0596774193548395</v>
      </c>
      <c r="H226" s="5">
        <f>KcSPLINE!K$11</f>
        <v>1.0393895878092166E-4</v>
      </c>
      <c r="I226" s="5">
        <f>KcSPLINE!K$12</f>
        <v>-4.8665362769444414E-4</v>
      </c>
      <c r="J226">
        <f t="shared" si="41"/>
        <v>0.7</v>
      </c>
      <c r="K226">
        <f t="shared" si="42"/>
        <v>0.3</v>
      </c>
      <c r="L226">
        <f t="shared" si="43"/>
        <v>177</v>
      </c>
      <c r="M226" s="6">
        <f t="shared" si="44"/>
        <v>0.86845878136200749</v>
      </c>
      <c r="N226" s="13">
        <f t="shared" si="39"/>
        <v>0.88282131617337667</v>
      </c>
      <c r="O226" s="6">
        <f t="shared" si="48"/>
        <v>192.99120758029426</v>
      </c>
      <c r="P226" s="6">
        <f t="shared" si="48"/>
        <v>192.20587181422863</v>
      </c>
      <c r="Q226" s="6">
        <f t="shared" si="45"/>
        <v>0.88282131617337667</v>
      </c>
      <c r="T226" s="6">
        <f t="shared" si="37"/>
        <v>0.88282131617337667</v>
      </c>
    </row>
    <row r="227" spans="2:20">
      <c r="B227">
        <f t="shared" si="46"/>
        <v>224</v>
      </c>
      <c r="C227">
        <f t="shared" si="40"/>
        <v>30</v>
      </c>
      <c r="D227">
        <v>214</v>
      </c>
      <c r="E227">
        <v>244</v>
      </c>
      <c r="F227">
        <f>KcSPLINE!F$11</f>
        <v>0.78650793650793671</v>
      </c>
      <c r="G227">
        <f>KcSPLINE!F$12</f>
        <v>1.0596774193548395</v>
      </c>
      <c r="H227" s="5">
        <f>KcSPLINE!K$11</f>
        <v>1.0393895878092166E-4</v>
      </c>
      <c r="I227" s="5">
        <f>KcSPLINE!K$12</f>
        <v>-4.8665362769444414E-4</v>
      </c>
      <c r="J227">
        <f t="shared" si="41"/>
        <v>0.66666666666666663</v>
      </c>
      <c r="K227">
        <f t="shared" si="42"/>
        <v>0.33333333333333331</v>
      </c>
      <c r="L227">
        <f t="shared" si="43"/>
        <v>178</v>
      </c>
      <c r="M227" s="6">
        <f t="shared" si="44"/>
        <v>0.8775644307902376</v>
      </c>
      <c r="N227" s="13">
        <f t="shared" si="39"/>
        <v>0.8934190943110506</v>
      </c>
      <c r="O227" s="6">
        <f t="shared" si="48"/>
        <v>193.8687720110845</v>
      </c>
      <c r="P227" s="6">
        <f t="shared" si="48"/>
        <v>193.09929090853967</v>
      </c>
      <c r="Q227" s="6">
        <f t="shared" si="45"/>
        <v>0.8934190943110506</v>
      </c>
      <c r="T227" s="6">
        <f t="shared" si="37"/>
        <v>0.8934190943110506</v>
      </c>
    </row>
    <row r="228" spans="2:20">
      <c r="B228">
        <f t="shared" si="46"/>
        <v>225</v>
      </c>
      <c r="C228">
        <f t="shared" si="40"/>
        <v>30</v>
      </c>
      <c r="D228">
        <v>214</v>
      </c>
      <c r="E228">
        <v>244</v>
      </c>
      <c r="F228">
        <f>KcSPLINE!F$11</f>
        <v>0.78650793650793671</v>
      </c>
      <c r="G228">
        <f>KcSPLINE!F$12</f>
        <v>1.0596774193548395</v>
      </c>
      <c r="H228" s="5">
        <f>KcSPLINE!K$11</f>
        <v>1.0393895878092166E-4</v>
      </c>
      <c r="I228" s="5">
        <f>KcSPLINE!K$12</f>
        <v>-4.8665362769444414E-4</v>
      </c>
      <c r="J228">
        <f t="shared" si="41"/>
        <v>0.6333333333333333</v>
      </c>
      <c r="K228">
        <f t="shared" si="42"/>
        <v>0.36666666666666664</v>
      </c>
      <c r="L228">
        <f t="shared" si="43"/>
        <v>179</v>
      </c>
      <c r="M228" s="6">
        <f t="shared" si="44"/>
        <v>0.88667008021846772</v>
      </c>
      <c r="N228" s="13">
        <f t="shared" si="39"/>
        <v>0.90392394721201363</v>
      </c>
      <c r="O228" s="6">
        <f t="shared" si="48"/>
        <v>194.75544209130297</v>
      </c>
      <c r="P228" s="6">
        <f t="shared" si="48"/>
        <v>194.00321485575168</v>
      </c>
      <c r="Q228" s="6">
        <f t="shared" si="45"/>
        <v>0.90392394721201363</v>
      </c>
      <c r="T228" s="6">
        <f t="shared" si="37"/>
        <v>0.90392394721201363</v>
      </c>
    </row>
    <row r="229" spans="2:20">
      <c r="B229">
        <f t="shared" si="46"/>
        <v>226</v>
      </c>
      <c r="C229">
        <f t="shared" si="40"/>
        <v>30</v>
      </c>
      <c r="D229">
        <v>214</v>
      </c>
      <c r="E229">
        <v>244</v>
      </c>
      <c r="F229">
        <f>KcSPLINE!F$11</f>
        <v>0.78650793650793671</v>
      </c>
      <c r="G229">
        <f>KcSPLINE!F$12</f>
        <v>1.0596774193548395</v>
      </c>
      <c r="H229" s="5">
        <f>KcSPLINE!K$11</f>
        <v>1.0393895878092166E-4</v>
      </c>
      <c r="I229" s="5">
        <f>KcSPLINE!K$12</f>
        <v>-4.8665362769444414E-4</v>
      </c>
      <c r="J229">
        <f t="shared" si="41"/>
        <v>0.6</v>
      </c>
      <c r="K229">
        <f t="shared" si="42"/>
        <v>0.4</v>
      </c>
      <c r="L229">
        <f t="shared" si="43"/>
        <v>180</v>
      </c>
      <c r="M229" s="6">
        <f t="shared" si="44"/>
        <v>0.89577572964669783</v>
      </c>
      <c r="N229" s="13">
        <f t="shared" si="39"/>
        <v>0.91431618845671669</v>
      </c>
      <c r="O229" s="6">
        <f t="shared" ref="O229:P244" si="49">O228+M229</f>
        <v>195.65121782094965</v>
      </c>
      <c r="P229" s="6">
        <f t="shared" si="49"/>
        <v>194.9175310442084</v>
      </c>
      <c r="Q229" s="6">
        <f t="shared" si="45"/>
        <v>0.91431618845671669</v>
      </c>
      <c r="T229" s="6">
        <f t="shared" si="37"/>
        <v>0.91431618845671669</v>
      </c>
    </row>
    <row r="230" spans="2:20">
      <c r="B230">
        <f t="shared" si="46"/>
        <v>227</v>
      </c>
      <c r="C230">
        <f t="shared" si="40"/>
        <v>30</v>
      </c>
      <c r="D230">
        <v>214</v>
      </c>
      <c r="E230">
        <v>244</v>
      </c>
      <c r="F230">
        <f>KcSPLINE!F$11</f>
        <v>0.78650793650793671</v>
      </c>
      <c r="G230">
        <f>KcSPLINE!F$12</f>
        <v>1.0596774193548395</v>
      </c>
      <c r="H230" s="5">
        <f>KcSPLINE!K$11</f>
        <v>1.0393895878092166E-4</v>
      </c>
      <c r="I230" s="5">
        <f>KcSPLINE!K$12</f>
        <v>-4.8665362769444414E-4</v>
      </c>
      <c r="J230">
        <f t="shared" si="41"/>
        <v>0.56666666666666665</v>
      </c>
      <c r="K230">
        <f t="shared" si="42"/>
        <v>0.43333333333333335</v>
      </c>
      <c r="L230">
        <f t="shared" si="43"/>
        <v>181</v>
      </c>
      <c r="M230" s="6">
        <f t="shared" si="44"/>
        <v>0.90488137907492794</v>
      </c>
      <c r="N230" s="13">
        <f t="shared" si="39"/>
        <v>0.92457613162561059</v>
      </c>
      <c r="O230" s="6">
        <f t="shared" si="49"/>
        <v>196.55609920002459</v>
      </c>
      <c r="P230" s="6">
        <f t="shared" si="49"/>
        <v>195.842107175834</v>
      </c>
      <c r="Q230" s="6">
        <f t="shared" si="45"/>
        <v>0.92457613162561059</v>
      </c>
      <c r="T230" s="6">
        <f t="shared" si="37"/>
        <v>0.92457613162561059</v>
      </c>
    </row>
    <row r="231" spans="2:20">
      <c r="B231">
        <f t="shared" si="46"/>
        <v>228</v>
      </c>
      <c r="C231">
        <f t="shared" si="40"/>
        <v>30</v>
      </c>
      <c r="D231">
        <v>214</v>
      </c>
      <c r="E231">
        <v>244</v>
      </c>
      <c r="F231">
        <f>KcSPLINE!F$11</f>
        <v>0.78650793650793671</v>
      </c>
      <c r="G231">
        <f>KcSPLINE!F$12</f>
        <v>1.0596774193548395</v>
      </c>
      <c r="H231" s="5">
        <f>KcSPLINE!K$11</f>
        <v>1.0393895878092166E-4</v>
      </c>
      <c r="I231" s="5">
        <f>KcSPLINE!K$12</f>
        <v>-4.8665362769444414E-4</v>
      </c>
      <c r="J231">
        <f t="shared" si="41"/>
        <v>0.53333333333333333</v>
      </c>
      <c r="K231">
        <f t="shared" si="42"/>
        <v>0.46666666666666667</v>
      </c>
      <c r="L231">
        <f t="shared" si="43"/>
        <v>182</v>
      </c>
      <c r="M231" s="6">
        <f t="shared" si="44"/>
        <v>0.91398702850315794</v>
      </c>
      <c r="N231" s="13">
        <f t="shared" si="39"/>
        <v>0.9346840902991459</v>
      </c>
      <c r="O231" s="6">
        <f t="shared" si="49"/>
        <v>197.47008622852775</v>
      </c>
      <c r="P231" s="6">
        <f t="shared" si="49"/>
        <v>196.77679126613316</v>
      </c>
      <c r="Q231" s="6">
        <f t="shared" si="45"/>
        <v>0.9346840902991459</v>
      </c>
      <c r="T231" s="6">
        <f t="shared" si="37"/>
        <v>0.9346840902991459</v>
      </c>
    </row>
    <row r="232" spans="2:20">
      <c r="B232">
        <f t="shared" si="46"/>
        <v>229</v>
      </c>
      <c r="C232">
        <f t="shared" si="40"/>
        <v>30</v>
      </c>
      <c r="D232">
        <v>214</v>
      </c>
      <c r="E232">
        <v>244</v>
      </c>
      <c r="F232">
        <f>KcSPLINE!F$11</f>
        <v>0.78650793650793671</v>
      </c>
      <c r="G232">
        <f>KcSPLINE!F$12</f>
        <v>1.0596774193548395</v>
      </c>
      <c r="H232" s="5">
        <f>KcSPLINE!K$11</f>
        <v>1.0393895878092166E-4</v>
      </c>
      <c r="I232" s="5">
        <f>KcSPLINE!K$12</f>
        <v>-4.8665362769444414E-4</v>
      </c>
      <c r="J232">
        <f t="shared" si="41"/>
        <v>0.5</v>
      </c>
      <c r="K232">
        <f t="shared" si="42"/>
        <v>0.5</v>
      </c>
      <c r="L232">
        <f t="shared" si="43"/>
        <v>183</v>
      </c>
      <c r="M232" s="6">
        <f t="shared" si="44"/>
        <v>0.92309267793138816</v>
      </c>
      <c r="N232" s="13">
        <f t="shared" si="39"/>
        <v>0.94462037805777377</v>
      </c>
      <c r="O232" s="6">
        <f t="shared" si="49"/>
        <v>198.39317890645913</v>
      </c>
      <c r="P232" s="6">
        <f t="shared" si="49"/>
        <v>197.72141164419094</v>
      </c>
      <c r="Q232" s="6">
        <f t="shared" si="45"/>
        <v>0.94462037805777377</v>
      </c>
      <c r="T232" s="6">
        <f t="shared" si="37"/>
        <v>0.94462037805777377</v>
      </c>
    </row>
    <row r="233" spans="2:20">
      <c r="B233">
        <f t="shared" si="46"/>
        <v>230</v>
      </c>
      <c r="C233">
        <f t="shared" si="40"/>
        <v>30</v>
      </c>
      <c r="D233">
        <v>214</v>
      </c>
      <c r="E233">
        <v>244</v>
      </c>
      <c r="F233">
        <f>KcSPLINE!F$11</f>
        <v>0.78650793650793671</v>
      </c>
      <c r="G233">
        <f>KcSPLINE!F$12</f>
        <v>1.0596774193548395</v>
      </c>
      <c r="H233" s="5">
        <f>KcSPLINE!K$11</f>
        <v>1.0393895878092166E-4</v>
      </c>
      <c r="I233" s="5">
        <f>KcSPLINE!K$12</f>
        <v>-4.8665362769444414E-4</v>
      </c>
      <c r="J233">
        <f t="shared" si="41"/>
        <v>0.46666666666666667</v>
      </c>
      <c r="K233">
        <f t="shared" si="42"/>
        <v>0.53333333333333333</v>
      </c>
      <c r="L233">
        <f t="shared" si="43"/>
        <v>184</v>
      </c>
      <c r="M233" s="6">
        <f t="shared" si="44"/>
        <v>0.93219832735961827</v>
      </c>
      <c r="N233" s="13">
        <f t="shared" si="39"/>
        <v>0.9543653084819449</v>
      </c>
      <c r="O233" s="6">
        <f t="shared" si="49"/>
        <v>199.32537723381876</v>
      </c>
      <c r="P233" s="6">
        <f t="shared" si="49"/>
        <v>198.67577695267289</v>
      </c>
      <c r="Q233" s="6">
        <f t="shared" si="45"/>
        <v>0.9543653084819449</v>
      </c>
      <c r="T233" s="6">
        <f t="shared" si="37"/>
        <v>0.9543653084819449</v>
      </c>
    </row>
    <row r="234" spans="2:20">
      <c r="B234">
        <f t="shared" si="46"/>
        <v>231</v>
      </c>
      <c r="C234">
        <f t="shared" si="40"/>
        <v>30</v>
      </c>
      <c r="D234">
        <v>214</v>
      </c>
      <c r="E234">
        <v>244</v>
      </c>
      <c r="F234">
        <f>KcSPLINE!F$11</f>
        <v>0.78650793650793671</v>
      </c>
      <c r="G234">
        <f>KcSPLINE!F$12</f>
        <v>1.0596774193548395</v>
      </c>
      <c r="H234" s="5">
        <f>KcSPLINE!K$11</f>
        <v>1.0393895878092166E-4</v>
      </c>
      <c r="I234" s="5">
        <f>KcSPLINE!K$12</f>
        <v>-4.8665362769444414E-4</v>
      </c>
      <c r="J234">
        <f t="shared" si="41"/>
        <v>0.43333333333333335</v>
      </c>
      <c r="K234">
        <f t="shared" si="42"/>
        <v>0.56666666666666665</v>
      </c>
      <c r="L234">
        <f t="shared" si="43"/>
        <v>185</v>
      </c>
      <c r="M234" s="6">
        <f t="shared" si="44"/>
        <v>0.94130397678784827</v>
      </c>
      <c r="N234" s="13">
        <f t="shared" si="39"/>
        <v>0.96389919515210987</v>
      </c>
      <c r="O234" s="6">
        <f t="shared" si="49"/>
        <v>200.26668121060661</v>
      </c>
      <c r="P234" s="6">
        <f t="shared" si="49"/>
        <v>199.63967614782501</v>
      </c>
      <c r="Q234" s="6">
        <f t="shared" si="45"/>
        <v>0.96389919515210987</v>
      </c>
      <c r="T234" s="6">
        <f t="shared" si="37"/>
        <v>0.96389919515210987</v>
      </c>
    </row>
    <row r="235" spans="2:20">
      <c r="B235">
        <f t="shared" si="46"/>
        <v>232</v>
      </c>
      <c r="C235">
        <f t="shared" si="40"/>
        <v>30</v>
      </c>
      <c r="D235">
        <v>214</v>
      </c>
      <c r="E235">
        <v>244</v>
      </c>
      <c r="F235">
        <f>KcSPLINE!F$11</f>
        <v>0.78650793650793671</v>
      </c>
      <c r="G235">
        <f>KcSPLINE!F$12</f>
        <v>1.0596774193548395</v>
      </c>
      <c r="H235" s="5">
        <f>KcSPLINE!K$11</f>
        <v>1.0393895878092166E-4</v>
      </c>
      <c r="I235" s="5">
        <f>KcSPLINE!K$12</f>
        <v>-4.8665362769444414E-4</v>
      </c>
      <c r="J235">
        <f t="shared" si="41"/>
        <v>0.4</v>
      </c>
      <c r="K235">
        <f t="shared" si="42"/>
        <v>0.6</v>
      </c>
      <c r="L235">
        <f t="shared" si="43"/>
        <v>186</v>
      </c>
      <c r="M235" s="6">
        <f t="shared" si="44"/>
        <v>0.95040962621607838</v>
      </c>
      <c r="N235" s="13">
        <f t="shared" si="39"/>
        <v>0.97320235164871993</v>
      </c>
      <c r="O235" s="6">
        <f t="shared" si="49"/>
        <v>201.21709083682268</v>
      </c>
      <c r="P235" s="6">
        <f t="shared" si="49"/>
        <v>200.61287849947374</v>
      </c>
      <c r="Q235" s="6">
        <f t="shared" si="45"/>
        <v>0.97320235164871993</v>
      </c>
      <c r="T235" s="6">
        <f t="shared" si="37"/>
        <v>0.97320235164871993</v>
      </c>
    </row>
    <row r="236" spans="2:20">
      <c r="B236">
        <f t="shared" si="46"/>
        <v>233</v>
      </c>
      <c r="C236">
        <f t="shared" si="40"/>
        <v>30</v>
      </c>
      <c r="D236">
        <v>214</v>
      </c>
      <c r="E236">
        <v>244</v>
      </c>
      <c r="F236">
        <f>KcSPLINE!F$11</f>
        <v>0.78650793650793671</v>
      </c>
      <c r="G236">
        <f>KcSPLINE!F$12</f>
        <v>1.0596774193548395</v>
      </c>
      <c r="H236" s="5">
        <f>KcSPLINE!K$11</f>
        <v>1.0393895878092166E-4</v>
      </c>
      <c r="I236" s="5">
        <f>KcSPLINE!K$12</f>
        <v>-4.8665362769444414E-4</v>
      </c>
      <c r="J236">
        <f t="shared" si="41"/>
        <v>0.36666666666666664</v>
      </c>
      <c r="K236">
        <f t="shared" si="42"/>
        <v>0.6333333333333333</v>
      </c>
      <c r="L236">
        <f t="shared" si="43"/>
        <v>187</v>
      </c>
      <c r="M236" s="6">
        <f t="shared" si="44"/>
        <v>0.95951527564430839</v>
      </c>
      <c r="N236" s="13">
        <f t="shared" si="39"/>
        <v>0.98225509155222557</v>
      </c>
      <c r="O236" s="6">
        <f t="shared" si="49"/>
        <v>202.176606112467</v>
      </c>
      <c r="P236" s="6">
        <f t="shared" si="49"/>
        <v>201.59513359102596</v>
      </c>
      <c r="Q236" s="6">
        <f t="shared" si="45"/>
        <v>0.98225509155222557</v>
      </c>
      <c r="T236" s="6">
        <f t="shared" si="37"/>
        <v>0.98225509155222557</v>
      </c>
    </row>
    <row r="237" spans="2:20">
      <c r="B237">
        <f t="shared" si="46"/>
        <v>234</v>
      </c>
      <c r="C237">
        <f t="shared" si="40"/>
        <v>30</v>
      </c>
      <c r="D237">
        <v>214</v>
      </c>
      <c r="E237">
        <v>244</v>
      </c>
      <c r="F237">
        <f>KcSPLINE!F$11</f>
        <v>0.78650793650793671</v>
      </c>
      <c r="G237">
        <f>KcSPLINE!F$12</f>
        <v>1.0596774193548395</v>
      </c>
      <c r="H237" s="5">
        <f>KcSPLINE!K$11</f>
        <v>1.0393895878092166E-4</v>
      </c>
      <c r="I237" s="5">
        <f>KcSPLINE!K$12</f>
        <v>-4.8665362769444414E-4</v>
      </c>
      <c r="J237">
        <f t="shared" si="41"/>
        <v>0.33333333333333331</v>
      </c>
      <c r="K237">
        <f t="shared" si="42"/>
        <v>0.66666666666666663</v>
      </c>
      <c r="L237">
        <f t="shared" si="43"/>
        <v>188</v>
      </c>
      <c r="M237" s="6">
        <f t="shared" si="44"/>
        <v>0.96862092507253861</v>
      </c>
      <c r="N237" s="13">
        <f t="shared" si="39"/>
        <v>0.99103772844307791</v>
      </c>
      <c r="O237" s="6">
        <f t="shared" si="49"/>
        <v>203.14522703753954</v>
      </c>
      <c r="P237" s="6">
        <f t="shared" si="49"/>
        <v>202.58617131946903</v>
      </c>
      <c r="Q237" s="6">
        <f t="shared" si="45"/>
        <v>0.99103772844307791</v>
      </c>
      <c r="T237" s="6">
        <f t="shared" si="37"/>
        <v>0.99103772844307791</v>
      </c>
    </row>
    <row r="238" spans="2:20">
      <c r="B238">
        <f t="shared" si="46"/>
        <v>235</v>
      </c>
      <c r="C238">
        <f t="shared" si="40"/>
        <v>30</v>
      </c>
      <c r="D238">
        <v>214</v>
      </c>
      <c r="E238">
        <v>244</v>
      </c>
      <c r="F238">
        <f>KcSPLINE!F$11</f>
        <v>0.78650793650793671</v>
      </c>
      <c r="G238">
        <f>KcSPLINE!F$12</f>
        <v>1.0596774193548395</v>
      </c>
      <c r="H238" s="5">
        <f>KcSPLINE!K$11</f>
        <v>1.0393895878092166E-4</v>
      </c>
      <c r="I238" s="5">
        <f>KcSPLINE!K$12</f>
        <v>-4.8665362769444414E-4</v>
      </c>
      <c r="J238">
        <f t="shared" si="41"/>
        <v>0.3</v>
      </c>
      <c r="K238">
        <f t="shared" si="42"/>
        <v>0.7</v>
      </c>
      <c r="L238">
        <f t="shared" si="43"/>
        <v>189</v>
      </c>
      <c r="M238" s="6">
        <f t="shared" si="44"/>
        <v>0.97772657450076861</v>
      </c>
      <c r="N238" s="13">
        <f t="shared" si="39"/>
        <v>0.99953057590172734</v>
      </c>
      <c r="O238" s="6">
        <f t="shared" si="49"/>
        <v>204.12295361204031</v>
      </c>
      <c r="P238" s="6">
        <f t="shared" si="49"/>
        <v>203.58570189537076</v>
      </c>
      <c r="Q238" s="6">
        <f t="shared" si="45"/>
        <v>0.99953057590172734</v>
      </c>
      <c r="T238" s="6">
        <f t="shared" si="37"/>
        <v>0.99953057590172734</v>
      </c>
    </row>
    <row r="239" spans="2:20">
      <c r="B239">
        <f t="shared" si="46"/>
        <v>236</v>
      </c>
      <c r="C239">
        <f t="shared" si="40"/>
        <v>30</v>
      </c>
      <c r="D239">
        <v>214</v>
      </c>
      <c r="E239">
        <v>244</v>
      </c>
      <c r="F239">
        <f>KcSPLINE!F$11</f>
        <v>0.78650793650793671</v>
      </c>
      <c r="G239">
        <f>KcSPLINE!F$12</f>
        <v>1.0596774193548395</v>
      </c>
      <c r="H239" s="5">
        <f>KcSPLINE!K$11</f>
        <v>1.0393895878092166E-4</v>
      </c>
      <c r="I239" s="5">
        <f>KcSPLINE!K$12</f>
        <v>-4.8665362769444414E-4</v>
      </c>
      <c r="J239">
        <f t="shared" si="41"/>
        <v>0.26666666666666666</v>
      </c>
      <c r="K239">
        <f t="shared" si="42"/>
        <v>0.73333333333333328</v>
      </c>
      <c r="L239">
        <f t="shared" si="43"/>
        <v>190</v>
      </c>
      <c r="M239" s="6">
        <f t="shared" si="44"/>
        <v>0.98683222392899872</v>
      </c>
      <c r="N239" s="13">
        <f t="shared" si="39"/>
        <v>1.0077139475086252</v>
      </c>
      <c r="O239" s="6">
        <f t="shared" si="49"/>
        <v>205.10978583596929</v>
      </c>
      <c r="P239" s="6">
        <f t="shared" si="49"/>
        <v>204.59341584287938</v>
      </c>
      <c r="Q239" s="6">
        <f t="shared" si="45"/>
        <v>1.0077139475086252</v>
      </c>
      <c r="T239" s="6">
        <f t="shared" si="37"/>
        <v>1.0077139475086252</v>
      </c>
    </row>
    <row r="240" spans="2:20">
      <c r="B240">
        <f t="shared" si="46"/>
        <v>237</v>
      </c>
      <c r="C240">
        <f t="shared" si="40"/>
        <v>30</v>
      </c>
      <c r="D240">
        <v>214</v>
      </c>
      <c r="E240">
        <v>244</v>
      </c>
      <c r="F240">
        <f>KcSPLINE!F$11</f>
        <v>0.78650793650793671</v>
      </c>
      <c r="G240">
        <f>KcSPLINE!F$12</f>
        <v>1.0596774193548395</v>
      </c>
      <c r="H240" s="5">
        <f>KcSPLINE!K$11</f>
        <v>1.0393895878092166E-4</v>
      </c>
      <c r="I240" s="5">
        <f>KcSPLINE!K$12</f>
        <v>-4.8665362769444414E-4</v>
      </c>
      <c r="J240">
        <f t="shared" si="41"/>
        <v>0.23333333333333334</v>
      </c>
      <c r="K240">
        <f t="shared" si="42"/>
        <v>0.76666666666666672</v>
      </c>
      <c r="L240">
        <f t="shared" si="43"/>
        <v>191</v>
      </c>
      <c r="M240" s="6">
        <f t="shared" si="44"/>
        <v>0.99593787335722883</v>
      </c>
      <c r="N240" s="13">
        <f t="shared" si="39"/>
        <v>1.0155681568442219</v>
      </c>
      <c r="O240" s="6">
        <f t="shared" si="49"/>
        <v>206.10572370932653</v>
      </c>
      <c r="P240" s="6">
        <f t="shared" si="49"/>
        <v>205.60898399972359</v>
      </c>
      <c r="Q240" s="6">
        <f t="shared" si="45"/>
        <v>1.0155681568442219</v>
      </c>
      <c r="T240" s="6">
        <f t="shared" si="37"/>
        <v>1.0155681568442219</v>
      </c>
    </row>
    <row r="241" spans="1:20">
      <c r="B241">
        <f t="shared" si="46"/>
        <v>238</v>
      </c>
      <c r="C241">
        <f t="shared" si="40"/>
        <v>30</v>
      </c>
      <c r="D241">
        <v>214</v>
      </c>
      <c r="E241">
        <v>244</v>
      </c>
      <c r="F241">
        <f>KcSPLINE!F$11</f>
        <v>0.78650793650793671</v>
      </c>
      <c r="G241">
        <f>KcSPLINE!F$12</f>
        <v>1.0596774193548395</v>
      </c>
      <c r="H241" s="5">
        <f>KcSPLINE!K$11</f>
        <v>1.0393895878092166E-4</v>
      </c>
      <c r="I241" s="5">
        <f>KcSPLINE!K$12</f>
        <v>-4.8665362769444414E-4</v>
      </c>
      <c r="J241">
        <f t="shared" si="41"/>
        <v>0.2</v>
      </c>
      <c r="K241">
        <f t="shared" si="42"/>
        <v>0.8</v>
      </c>
      <c r="L241">
        <f t="shared" si="43"/>
        <v>192</v>
      </c>
      <c r="M241" s="6">
        <f t="shared" si="44"/>
        <v>1.0050435227854591</v>
      </c>
      <c r="N241" s="13">
        <f t="shared" si="39"/>
        <v>1.0230735174889685</v>
      </c>
      <c r="O241" s="6">
        <f t="shared" si="49"/>
        <v>207.11076723211198</v>
      </c>
      <c r="P241" s="6">
        <f t="shared" si="49"/>
        <v>206.63205751721256</v>
      </c>
      <c r="Q241" s="6">
        <f t="shared" si="45"/>
        <v>1.0230735174889685</v>
      </c>
      <c r="T241" s="6">
        <f t="shared" si="37"/>
        <v>1.0230735174889685</v>
      </c>
    </row>
    <row r="242" spans="1:20">
      <c r="B242">
        <f t="shared" si="46"/>
        <v>239</v>
      </c>
      <c r="C242">
        <f t="shared" si="40"/>
        <v>30</v>
      </c>
      <c r="D242">
        <v>214</v>
      </c>
      <c r="E242">
        <v>244</v>
      </c>
      <c r="F242">
        <f>KcSPLINE!F$11</f>
        <v>0.78650793650793671</v>
      </c>
      <c r="G242">
        <f>KcSPLINE!F$12</f>
        <v>1.0596774193548395</v>
      </c>
      <c r="H242" s="5">
        <f>KcSPLINE!K$11</f>
        <v>1.0393895878092166E-4</v>
      </c>
      <c r="I242" s="5">
        <f>KcSPLINE!K$12</f>
        <v>-4.8665362769444414E-4</v>
      </c>
      <c r="J242">
        <f t="shared" si="41"/>
        <v>0.16666666666666666</v>
      </c>
      <c r="K242">
        <f t="shared" si="42"/>
        <v>0.83333333333333337</v>
      </c>
      <c r="L242">
        <f t="shared" si="43"/>
        <v>193</v>
      </c>
      <c r="M242" s="6">
        <f t="shared" si="44"/>
        <v>1.0141491722136891</v>
      </c>
      <c r="N242" s="13">
        <f t="shared" si="39"/>
        <v>1.0302103430233156</v>
      </c>
      <c r="O242" s="6">
        <f t="shared" si="49"/>
        <v>208.12491640432566</v>
      </c>
      <c r="P242" s="6">
        <f t="shared" si="49"/>
        <v>207.66226786023589</v>
      </c>
      <c r="Q242" s="6">
        <f t="shared" si="45"/>
        <v>1.0302103430233156</v>
      </c>
      <c r="T242" s="6">
        <f t="shared" ref="T242:T305" si="50">N242</f>
        <v>1.0302103430233156</v>
      </c>
    </row>
    <row r="243" spans="1:20">
      <c r="B243">
        <f t="shared" si="46"/>
        <v>240</v>
      </c>
      <c r="C243">
        <f t="shared" si="40"/>
        <v>30</v>
      </c>
      <c r="D243">
        <v>214</v>
      </c>
      <c r="E243">
        <v>244</v>
      </c>
      <c r="F243">
        <f>KcSPLINE!F$11</f>
        <v>0.78650793650793671</v>
      </c>
      <c r="G243">
        <f>KcSPLINE!F$12</f>
        <v>1.0596774193548395</v>
      </c>
      <c r="H243" s="5">
        <f>KcSPLINE!K$11</f>
        <v>1.0393895878092166E-4</v>
      </c>
      <c r="I243" s="5">
        <f>KcSPLINE!K$12</f>
        <v>-4.8665362769444414E-4</v>
      </c>
      <c r="J243">
        <f t="shared" si="41"/>
        <v>0.13333333333333333</v>
      </c>
      <c r="K243">
        <f t="shared" si="42"/>
        <v>0.8666666666666667</v>
      </c>
      <c r="L243">
        <f t="shared" si="43"/>
        <v>194</v>
      </c>
      <c r="M243" s="6">
        <f t="shared" si="44"/>
        <v>1.0232548216419191</v>
      </c>
      <c r="N243" s="13">
        <f t="shared" si="39"/>
        <v>1.0369589470277141</v>
      </c>
      <c r="O243" s="6">
        <f t="shared" si="49"/>
        <v>209.14817122596759</v>
      </c>
      <c r="P243" s="6">
        <f t="shared" si="49"/>
        <v>208.69922680726361</v>
      </c>
      <c r="Q243" s="6">
        <f t="shared" si="45"/>
        <v>1.0369589470277141</v>
      </c>
      <c r="T243" s="6">
        <f t="shared" si="50"/>
        <v>1.0369589470277141</v>
      </c>
    </row>
    <row r="244" spans="1:20">
      <c r="B244">
        <f t="shared" si="46"/>
        <v>241</v>
      </c>
      <c r="C244">
        <f t="shared" si="40"/>
        <v>30</v>
      </c>
      <c r="D244">
        <v>214</v>
      </c>
      <c r="E244">
        <v>244</v>
      </c>
      <c r="F244">
        <f>KcSPLINE!F$11</f>
        <v>0.78650793650793671</v>
      </c>
      <c r="G244">
        <f>KcSPLINE!F$12</f>
        <v>1.0596774193548395</v>
      </c>
      <c r="H244" s="5">
        <f>KcSPLINE!K$11</f>
        <v>1.0393895878092166E-4</v>
      </c>
      <c r="I244" s="5">
        <f>KcSPLINE!K$12</f>
        <v>-4.8665362769444414E-4</v>
      </c>
      <c r="J244">
        <f t="shared" si="41"/>
        <v>0.1</v>
      </c>
      <c r="K244">
        <f t="shared" si="42"/>
        <v>0.9</v>
      </c>
      <c r="L244">
        <f t="shared" si="43"/>
        <v>195</v>
      </c>
      <c r="M244" s="6">
        <f t="shared" si="44"/>
        <v>1.0323604710701493</v>
      </c>
      <c r="N244" s="13">
        <f t="shared" si="39"/>
        <v>1.0432996430826151</v>
      </c>
      <c r="O244" s="6">
        <f t="shared" si="49"/>
        <v>210.18053169703774</v>
      </c>
      <c r="P244" s="6">
        <f t="shared" si="49"/>
        <v>209.74252645034622</v>
      </c>
      <c r="Q244" s="6">
        <f t="shared" si="45"/>
        <v>1.0432996430826151</v>
      </c>
      <c r="T244" s="6">
        <f t="shared" si="50"/>
        <v>1.0432996430826151</v>
      </c>
    </row>
    <row r="245" spans="1:20">
      <c r="B245">
        <f t="shared" si="46"/>
        <v>242</v>
      </c>
      <c r="C245">
        <f t="shared" si="40"/>
        <v>30</v>
      </c>
      <c r="D245">
        <v>214</v>
      </c>
      <c r="E245">
        <v>244</v>
      </c>
      <c r="F245">
        <f>KcSPLINE!F$11</f>
        <v>0.78650793650793671</v>
      </c>
      <c r="G245">
        <f>KcSPLINE!F$12</f>
        <v>1.0596774193548395</v>
      </c>
      <c r="H245" s="5">
        <f>KcSPLINE!K$11</f>
        <v>1.0393895878092166E-4</v>
      </c>
      <c r="I245" s="5">
        <f>KcSPLINE!K$12</f>
        <v>-4.8665362769444414E-4</v>
      </c>
      <c r="J245">
        <f t="shared" si="41"/>
        <v>6.6666666666666666E-2</v>
      </c>
      <c r="K245">
        <f t="shared" si="42"/>
        <v>0.93333333333333335</v>
      </c>
      <c r="L245">
        <f t="shared" si="43"/>
        <v>196</v>
      </c>
      <c r="M245" s="6">
        <f t="shared" si="44"/>
        <v>1.0414661204983793</v>
      </c>
      <c r="N245" s="13">
        <f t="shared" si="39"/>
        <v>1.0492127447684689</v>
      </c>
      <c r="O245" s="6">
        <f t="shared" ref="O245:P260" si="51">O244+M245</f>
        <v>211.22199781753611</v>
      </c>
      <c r="P245" s="6">
        <f t="shared" si="51"/>
        <v>210.7917391951147</v>
      </c>
      <c r="Q245" s="6">
        <f t="shared" si="45"/>
        <v>1.0492127447684689</v>
      </c>
      <c r="T245" s="6">
        <f t="shared" si="50"/>
        <v>1.0492127447684689</v>
      </c>
    </row>
    <row r="246" spans="1:20">
      <c r="B246">
        <f t="shared" si="46"/>
        <v>243</v>
      </c>
      <c r="C246">
        <f t="shared" si="40"/>
        <v>30</v>
      </c>
      <c r="D246">
        <v>214</v>
      </c>
      <c r="E246">
        <v>244</v>
      </c>
      <c r="F246">
        <f>KcSPLINE!F$11</f>
        <v>0.78650793650793671</v>
      </c>
      <c r="G246">
        <f>KcSPLINE!F$12</f>
        <v>1.0596774193548395</v>
      </c>
      <c r="H246" s="5">
        <f>KcSPLINE!K$11</f>
        <v>1.0393895878092166E-4</v>
      </c>
      <c r="I246" s="5">
        <f>KcSPLINE!K$12</f>
        <v>-4.8665362769444414E-4</v>
      </c>
      <c r="J246">
        <f t="shared" si="41"/>
        <v>3.3333333333333333E-2</v>
      </c>
      <c r="K246">
        <f t="shared" si="42"/>
        <v>0.96666666666666667</v>
      </c>
      <c r="L246">
        <f t="shared" si="43"/>
        <v>197</v>
      </c>
      <c r="M246" s="6">
        <f t="shared" si="44"/>
        <v>1.0505717699266093</v>
      </c>
      <c r="N246" s="13">
        <f t="shared" si="39"/>
        <v>1.0546785656657267</v>
      </c>
      <c r="O246" s="6">
        <f t="shared" si="51"/>
        <v>212.27256958746273</v>
      </c>
      <c r="P246" s="6">
        <f t="shared" si="51"/>
        <v>211.84641776078044</v>
      </c>
      <c r="Q246" s="6">
        <f t="shared" si="45"/>
        <v>1.0546785656657267</v>
      </c>
      <c r="T246" s="6">
        <f t="shared" si="50"/>
        <v>1.0546785656657267</v>
      </c>
    </row>
    <row r="247" spans="1:20">
      <c r="A247">
        <v>244</v>
      </c>
      <c r="B247">
        <f t="shared" si="46"/>
        <v>244</v>
      </c>
      <c r="C247">
        <f t="shared" si="40"/>
        <v>30</v>
      </c>
      <c r="D247">
        <v>214</v>
      </c>
      <c r="E247">
        <v>244</v>
      </c>
      <c r="F247">
        <f>KcSPLINE!F$11</f>
        <v>0.78650793650793671</v>
      </c>
      <c r="G247">
        <f>KcSPLINE!F$12</f>
        <v>1.0596774193548395</v>
      </c>
      <c r="H247" s="5">
        <f>KcSPLINE!K$11</f>
        <v>1.0393895878092166E-4</v>
      </c>
      <c r="I247" s="5">
        <f>KcSPLINE!K$12</f>
        <v>-4.8665362769444414E-4</v>
      </c>
      <c r="J247">
        <f t="shared" si="41"/>
        <v>0</v>
      </c>
      <c r="K247">
        <f t="shared" si="42"/>
        <v>1</v>
      </c>
      <c r="L247">
        <f t="shared" si="43"/>
        <v>198</v>
      </c>
      <c r="M247" s="6">
        <f t="shared" si="44"/>
        <v>1.0596774193548395</v>
      </c>
      <c r="N247" s="13">
        <f t="shared" ref="N247:N310" si="52">Q247</f>
        <v>1.0596774193548395</v>
      </c>
      <c r="O247" s="6">
        <f t="shared" si="51"/>
        <v>213.33224700681757</v>
      </c>
      <c r="P247" s="6">
        <f t="shared" si="51"/>
        <v>212.90609518013528</v>
      </c>
      <c r="Q247" s="6">
        <f t="shared" si="45"/>
        <v>1.0596774193548395</v>
      </c>
      <c r="T247" s="6">
        <f t="shared" si="50"/>
        <v>1.0596774193548395</v>
      </c>
    </row>
    <row r="248" spans="1:20">
      <c r="B248">
        <f t="shared" si="46"/>
        <v>245</v>
      </c>
      <c r="C248">
        <f t="shared" si="40"/>
        <v>31</v>
      </c>
      <c r="D248">
        <v>244</v>
      </c>
      <c r="E248">
        <v>275</v>
      </c>
      <c r="F248">
        <f>KcSPLINE!F$12</f>
        <v>1.0596774193548395</v>
      </c>
      <c r="G248">
        <f>KcSPLINE!F$13</f>
        <v>1.0230414746543786</v>
      </c>
      <c r="H248" s="5">
        <f>KcSPLINE!K$12</f>
        <v>-4.8665362769444414E-4</v>
      </c>
      <c r="I248" s="5">
        <f>KcSPLINE!K$13</f>
        <v>-1.7648873421376962E-4</v>
      </c>
      <c r="J248">
        <f t="shared" si="41"/>
        <v>0.967741935483871</v>
      </c>
      <c r="K248">
        <f t="shared" si="42"/>
        <v>3.2258064516129031E-2</v>
      </c>
      <c r="L248">
        <f t="shared" si="43"/>
        <v>199</v>
      </c>
      <c r="M248" s="6">
        <f t="shared" si="44"/>
        <v>1.0584956146870828</v>
      </c>
      <c r="N248" s="13">
        <f t="shared" si="52"/>
        <v>1.0641945680393734</v>
      </c>
      <c r="O248" s="6">
        <f t="shared" si="51"/>
        <v>214.39074262150464</v>
      </c>
      <c r="P248" s="6">
        <f t="shared" si="51"/>
        <v>213.97028974817465</v>
      </c>
      <c r="Q248" s="6">
        <f t="shared" si="45"/>
        <v>1.0641945680393734</v>
      </c>
      <c r="T248" s="6">
        <f t="shared" si="50"/>
        <v>1.0641945680393734</v>
      </c>
    </row>
    <row r="249" spans="1:20">
      <c r="B249">
        <f t="shared" si="46"/>
        <v>246</v>
      </c>
      <c r="C249">
        <f t="shared" si="40"/>
        <v>31</v>
      </c>
      <c r="D249">
        <v>244</v>
      </c>
      <c r="E249">
        <v>275</v>
      </c>
      <c r="F249">
        <f>KcSPLINE!F$12</f>
        <v>1.0596774193548395</v>
      </c>
      <c r="G249">
        <f>KcSPLINE!F$13</f>
        <v>1.0230414746543786</v>
      </c>
      <c r="H249" s="5">
        <f>KcSPLINE!K$12</f>
        <v>-4.8665362769444414E-4</v>
      </c>
      <c r="I249" s="5">
        <f>KcSPLINE!K$13</f>
        <v>-1.7648873421376962E-4</v>
      </c>
      <c r="J249">
        <f t="shared" si="41"/>
        <v>0.93548387096774188</v>
      </c>
      <c r="K249">
        <f t="shared" si="42"/>
        <v>6.4516129032258063E-2</v>
      </c>
      <c r="L249">
        <f t="shared" si="43"/>
        <v>200</v>
      </c>
      <c r="M249" s="6">
        <f t="shared" si="44"/>
        <v>1.0573138100193258</v>
      </c>
      <c r="N249" s="13">
        <f t="shared" si="52"/>
        <v>1.068235068415357</v>
      </c>
      <c r="O249" s="6">
        <f t="shared" si="51"/>
        <v>215.44805643152398</v>
      </c>
      <c r="P249" s="6">
        <f t="shared" si="51"/>
        <v>215.03852481659001</v>
      </c>
      <c r="Q249" s="6">
        <f t="shared" si="45"/>
        <v>1.068235068415357</v>
      </c>
      <c r="T249" s="6">
        <f t="shared" si="50"/>
        <v>1.068235068415357</v>
      </c>
    </row>
    <row r="250" spans="1:20">
      <c r="B250">
        <f t="shared" si="46"/>
        <v>247</v>
      </c>
      <c r="C250">
        <f t="shared" si="40"/>
        <v>31</v>
      </c>
      <c r="D250">
        <v>244</v>
      </c>
      <c r="E250">
        <v>275</v>
      </c>
      <c r="F250">
        <f>KcSPLINE!F$12</f>
        <v>1.0596774193548395</v>
      </c>
      <c r="G250">
        <f>KcSPLINE!F$13</f>
        <v>1.0230414746543786</v>
      </c>
      <c r="H250" s="5">
        <f>KcSPLINE!K$12</f>
        <v>-4.8665362769444414E-4</v>
      </c>
      <c r="I250" s="5">
        <f>KcSPLINE!K$13</f>
        <v>-1.7648873421376962E-4</v>
      </c>
      <c r="J250">
        <f t="shared" si="41"/>
        <v>0.90322580645161288</v>
      </c>
      <c r="K250">
        <f t="shared" si="42"/>
        <v>9.6774193548387094E-2</v>
      </c>
      <c r="L250">
        <f t="shared" si="43"/>
        <v>201</v>
      </c>
      <c r="M250" s="6">
        <f t="shared" si="44"/>
        <v>1.056132005351569</v>
      </c>
      <c r="N250" s="13">
        <f t="shared" si="52"/>
        <v>1.0718089258019357</v>
      </c>
      <c r="O250" s="6">
        <f t="shared" si="51"/>
        <v>216.50418843687555</v>
      </c>
      <c r="P250" s="6">
        <f t="shared" si="51"/>
        <v>216.11033374239196</v>
      </c>
      <c r="Q250" s="6">
        <f t="shared" si="45"/>
        <v>1.0718089258019357</v>
      </c>
      <c r="T250" s="6">
        <f t="shared" si="50"/>
        <v>1.0718089258019357</v>
      </c>
    </row>
    <row r="251" spans="1:20">
      <c r="B251">
        <f t="shared" si="46"/>
        <v>248</v>
      </c>
      <c r="C251">
        <f t="shared" si="40"/>
        <v>31</v>
      </c>
      <c r="D251">
        <v>244</v>
      </c>
      <c r="E251">
        <v>275</v>
      </c>
      <c r="F251">
        <f>KcSPLINE!F$12</f>
        <v>1.0596774193548395</v>
      </c>
      <c r="G251">
        <f>KcSPLINE!F$13</f>
        <v>1.0230414746543786</v>
      </c>
      <c r="H251" s="5">
        <f>KcSPLINE!K$12</f>
        <v>-4.8665362769444414E-4</v>
      </c>
      <c r="I251" s="5">
        <f>KcSPLINE!K$13</f>
        <v>-1.7648873421376962E-4</v>
      </c>
      <c r="J251">
        <f t="shared" si="41"/>
        <v>0.87096774193548387</v>
      </c>
      <c r="K251">
        <f t="shared" si="42"/>
        <v>0.12903225806451613</v>
      </c>
      <c r="L251">
        <f t="shared" si="43"/>
        <v>202</v>
      </c>
      <c r="M251" s="6">
        <f t="shared" si="44"/>
        <v>1.0549502006838123</v>
      </c>
      <c r="N251" s="13">
        <f t="shared" si="52"/>
        <v>1.0749261455182535</v>
      </c>
      <c r="O251" s="6">
        <f t="shared" si="51"/>
        <v>217.55913863755936</v>
      </c>
      <c r="P251" s="6">
        <f t="shared" si="51"/>
        <v>217.18525988791021</v>
      </c>
      <c r="Q251" s="6">
        <f t="shared" si="45"/>
        <v>1.0749261455182535</v>
      </c>
      <c r="T251" s="6">
        <f t="shared" si="50"/>
        <v>1.0749261455182535</v>
      </c>
    </row>
    <row r="252" spans="1:20">
      <c r="B252">
        <f t="shared" si="46"/>
        <v>249</v>
      </c>
      <c r="C252">
        <f t="shared" si="40"/>
        <v>31</v>
      </c>
      <c r="D252">
        <v>244</v>
      </c>
      <c r="E252">
        <v>275</v>
      </c>
      <c r="F252">
        <f>KcSPLINE!F$12</f>
        <v>1.0596774193548395</v>
      </c>
      <c r="G252">
        <f>KcSPLINE!F$13</f>
        <v>1.0230414746543786</v>
      </c>
      <c r="H252" s="5">
        <f>KcSPLINE!K$12</f>
        <v>-4.8665362769444414E-4</v>
      </c>
      <c r="I252" s="5">
        <f>KcSPLINE!K$13</f>
        <v>-1.7648873421376962E-4</v>
      </c>
      <c r="J252">
        <f t="shared" si="41"/>
        <v>0.83870967741935487</v>
      </c>
      <c r="K252">
        <f t="shared" si="42"/>
        <v>0.16129032258064516</v>
      </c>
      <c r="L252">
        <f t="shared" si="43"/>
        <v>203</v>
      </c>
      <c r="M252" s="6">
        <f t="shared" si="44"/>
        <v>1.0537683960160555</v>
      </c>
      <c r="N252" s="13">
        <f t="shared" si="52"/>
        <v>1.0775967328834548</v>
      </c>
      <c r="O252" s="6">
        <f t="shared" si="51"/>
        <v>218.61290703357542</v>
      </c>
      <c r="P252" s="6">
        <f t="shared" si="51"/>
        <v>218.26285662079366</v>
      </c>
      <c r="Q252" s="6">
        <f t="shared" si="45"/>
        <v>1.0775967328834548</v>
      </c>
      <c r="T252" s="6">
        <f t="shared" si="50"/>
        <v>1.0775967328834548</v>
      </c>
    </row>
    <row r="253" spans="1:20">
      <c r="B253">
        <f t="shared" si="46"/>
        <v>250</v>
      </c>
      <c r="C253">
        <f t="shared" si="40"/>
        <v>31</v>
      </c>
      <c r="D253">
        <v>244</v>
      </c>
      <c r="E253">
        <v>275</v>
      </c>
      <c r="F253">
        <f>KcSPLINE!F$12</f>
        <v>1.0596774193548395</v>
      </c>
      <c r="G253">
        <f>KcSPLINE!F$13</f>
        <v>1.0230414746543786</v>
      </c>
      <c r="H253" s="5">
        <f>KcSPLINE!K$12</f>
        <v>-4.8665362769444414E-4</v>
      </c>
      <c r="I253" s="5">
        <f>KcSPLINE!K$13</f>
        <v>-1.7648873421376962E-4</v>
      </c>
      <c r="J253">
        <f t="shared" si="41"/>
        <v>0.80645161290322576</v>
      </c>
      <c r="K253">
        <f t="shared" si="42"/>
        <v>0.19354838709677419</v>
      </c>
      <c r="L253">
        <f t="shared" si="43"/>
        <v>204</v>
      </c>
      <c r="M253" s="6">
        <f t="shared" si="44"/>
        <v>1.0525865913482986</v>
      </c>
      <c r="N253" s="13">
        <f t="shared" si="52"/>
        <v>1.0798306932166843</v>
      </c>
      <c r="O253" s="6">
        <f t="shared" si="51"/>
        <v>219.66549362492373</v>
      </c>
      <c r="P253" s="6">
        <f t="shared" si="51"/>
        <v>219.34268731401033</v>
      </c>
      <c r="Q253" s="6">
        <f t="shared" si="45"/>
        <v>1.0798306932166843</v>
      </c>
      <c r="T253" s="6">
        <f t="shared" si="50"/>
        <v>1.0798306932166843</v>
      </c>
    </row>
    <row r="254" spans="1:20">
      <c r="B254">
        <f t="shared" si="46"/>
        <v>251</v>
      </c>
      <c r="C254">
        <f t="shared" si="40"/>
        <v>31</v>
      </c>
      <c r="D254">
        <v>244</v>
      </c>
      <c r="E254">
        <v>275</v>
      </c>
      <c r="F254">
        <f>KcSPLINE!F$12</f>
        <v>1.0596774193548395</v>
      </c>
      <c r="G254">
        <f>KcSPLINE!F$13</f>
        <v>1.0230414746543786</v>
      </c>
      <c r="H254" s="5">
        <f>KcSPLINE!K$12</f>
        <v>-4.8665362769444414E-4</v>
      </c>
      <c r="I254" s="5">
        <f>KcSPLINE!K$13</f>
        <v>-1.7648873421376962E-4</v>
      </c>
      <c r="J254">
        <f t="shared" si="41"/>
        <v>0.77419354838709675</v>
      </c>
      <c r="K254">
        <f t="shared" si="42"/>
        <v>0.22580645161290322</v>
      </c>
      <c r="L254">
        <f t="shared" si="43"/>
        <v>205</v>
      </c>
      <c r="M254" s="6">
        <f t="shared" si="44"/>
        <v>1.0514047866805418</v>
      </c>
      <c r="N254" s="13">
        <f t="shared" si="52"/>
        <v>1.0816380318370868</v>
      </c>
      <c r="O254" s="6">
        <f t="shared" si="51"/>
        <v>220.71689841160426</v>
      </c>
      <c r="P254" s="6">
        <f t="shared" si="51"/>
        <v>220.42432534584742</v>
      </c>
      <c r="Q254" s="6">
        <f t="shared" si="45"/>
        <v>1.0816380318370868</v>
      </c>
      <c r="T254" s="6">
        <f t="shared" si="50"/>
        <v>1.0816380318370868</v>
      </c>
    </row>
    <row r="255" spans="1:20">
      <c r="B255">
        <f t="shared" si="46"/>
        <v>252</v>
      </c>
      <c r="C255">
        <f t="shared" si="40"/>
        <v>31</v>
      </c>
      <c r="D255">
        <v>244</v>
      </c>
      <c r="E255">
        <v>275</v>
      </c>
      <c r="F255">
        <f>KcSPLINE!F$12</f>
        <v>1.0596774193548395</v>
      </c>
      <c r="G255">
        <f>KcSPLINE!F$13</f>
        <v>1.0230414746543786</v>
      </c>
      <c r="H255" s="5">
        <f>KcSPLINE!K$12</f>
        <v>-4.8665362769444414E-4</v>
      </c>
      <c r="I255" s="5">
        <f>KcSPLINE!K$13</f>
        <v>-1.7648873421376962E-4</v>
      </c>
      <c r="J255">
        <f t="shared" si="41"/>
        <v>0.74193548387096775</v>
      </c>
      <c r="K255">
        <f t="shared" si="42"/>
        <v>0.25806451612903225</v>
      </c>
      <c r="L255">
        <f t="shared" si="43"/>
        <v>206</v>
      </c>
      <c r="M255" s="6">
        <f t="shared" si="44"/>
        <v>1.0502229820127851</v>
      </c>
      <c r="N255" s="13">
        <f t="shared" si="52"/>
        <v>1.0830287540638066</v>
      </c>
      <c r="O255" s="6">
        <f t="shared" si="51"/>
        <v>221.76712139361706</v>
      </c>
      <c r="P255" s="6">
        <f t="shared" si="51"/>
        <v>221.50735409991123</v>
      </c>
      <c r="Q255" s="6">
        <f t="shared" si="45"/>
        <v>1.0830287540638066</v>
      </c>
      <c r="T255" s="6">
        <f t="shared" si="50"/>
        <v>1.0830287540638066</v>
      </c>
    </row>
    <row r="256" spans="1:20">
      <c r="B256">
        <f t="shared" si="46"/>
        <v>253</v>
      </c>
      <c r="C256">
        <f t="shared" si="40"/>
        <v>31</v>
      </c>
      <c r="D256">
        <v>244</v>
      </c>
      <c r="E256">
        <v>275</v>
      </c>
      <c r="F256">
        <f>KcSPLINE!F$12</f>
        <v>1.0596774193548395</v>
      </c>
      <c r="G256">
        <f>KcSPLINE!F$13</f>
        <v>1.0230414746543786</v>
      </c>
      <c r="H256" s="5">
        <f>KcSPLINE!K$12</f>
        <v>-4.8665362769444414E-4</v>
      </c>
      <c r="I256" s="5">
        <f>KcSPLINE!K$13</f>
        <v>-1.7648873421376962E-4</v>
      </c>
      <c r="J256">
        <f t="shared" si="41"/>
        <v>0.70967741935483875</v>
      </c>
      <c r="K256">
        <f t="shared" si="42"/>
        <v>0.29032258064516131</v>
      </c>
      <c r="L256">
        <f t="shared" si="43"/>
        <v>207</v>
      </c>
      <c r="M256" s="6">
        <f t="shared" si="44"/>
        <v>1.0490411773450283</v>
      </c>
      <c r="N256" s="13">
        <f t="shared" si="52"/>
        <v>1.0840128652159884</v>
      </c>
      <c r="O256" s="6">
        <f t="shared" si="51"/>
        <v>222.81616257096209</v>
      </c>
      <c r="P256" s="6">
        <f t="shared" si="51"/>
        <v>222.59136696512721</v>
      </c>
      <c r="Q256" s="6">
        <f t="shared" si="45"/>
        <v>1.0840128652159884</v>
      </c>
      <c r="T256" s="6">
        <f t="shared" si="50"/>
        <v>1.0840128652159884</v>
      </c>
    </row>
    <row r="257" spans="2:20">
      <c r="B257">
        <f t="shared" si="46"/>
        <v>254</v>
      </c>
      <c r="C257">
        <f t="shared" si="40"/>
        <v>31</v>
      </c>
      <c r="D257">
        <v>244</v>
      </c>
      <c r="E257">
        <v>275</v>
      </c>
      <c r="F257">
        <f>KcSPLINE!F$12</f>
        <v>1.0596774193548395</v>
      </c>
      <c r="G257">
        <f>KcSPLINE!F$13</f>
        <v>1.0230414746543786</v>
      </c>
      <c r="H257" s="5">
        <f>KcSPLINE!K$12</f>
        <v>-4.8665362769444414E-4</v>
      </c>
      <c r="I257" s="5">
        <f>KcSPLINE!K$13</f>
        <v>-1.7648873421376962E-4</v>
      </c>
      <c r="J257">
        <f t="shared" si="41"/>
        <v>0.67741935483870963</v>
      </c>
      <c r="K257">
        <f t="shared" si="42"/>
        <v>0.32258064516129031</v>
      </c>
      <c r="L257">
        <f t="shared" si="43"/>
        <v>208</v>
      </c>
      <c r="M257" s="6">
        <f t="shared" si="44"/>
        <v>1.0478593726772714</v>
      </c>
      <c r="N257" s="13">
        <f t="shared" si="52"/>
        <v>1.084600370612776</v>
      </c>
      <c r="O257" s="6">
        <f t="shared" si="51"/>
        <v>223.86402194363936</v>
      </c>
      <c r="P257" s="6">
        <f t="shared" si="51"/>
        <v>223.67596733573998</v>
      </c>
      <c r="Q257" s="6">
        <f t="shared" si="45"/>
        <v>1.084600370612776</v>
      </c>
      <c r="T257" s="6">
        <f t="shared" si="50"/>
        <v>1.084600370612776</v>
      </c>
    </row>
    <row r="258" spans="2:20">
      <c r="B258">
        <f t="shared" si="46"/>
        <v>255</v>
      </c>
      <c r="C258">
        <f t="shared" si="40"/>
        <v>31</v>
      </c>
      <c r="D258">
        <v>244</v>
      </c>
      <c r="E258">
        <v>275</v>
      </c>
      <c r="F258">
        <f>KcSPLINE!F$12</f>
        <v>1.0596774193548395</v>
      </c>
      <c r="G258">
        <f>KcSPLINE!F$13</f>
        <v>1.0230414746543786</v>
      </c>
      <c r="H258" s="5">
        <f>KcSPLINE!K$12</f>
        <v>-4.8665362769444414E-4</v>
      </c>
      <c r="I258" s="5">
        <f>KcSPLINE!K$13</f>
        <v>-1.7648873421376962E-4</v>
      </c>
      <c r="J258">
        <f t="shared" si="41"/>
        <v>0.64516129032258063</v>
      </c>
      <c r="K258">
        <f t="shared" si="42"/>
        <v>0.35483870967741937</v>
      </c>
      <c r="L258">
        <f t="shared" si="43"/>
        <v>209</v>
      </c>
      <c r="M258" s="6">
        <f t="shared" si="44"/>
        <v>1.0466775680095146</v>
      </c>
      <c r="N258" s="13">
        <f t="shared" si="52"/>
        <v>1.0848012755733152</v>
      </c>
      <c r="O258" s="6">
        <f t="shared" si="51"/>
        <v>224.91069951164889</v>
      </c>
      <c r="P258" s="6">
        <f t="shared" si="51"/>
        <v>224.7607686113133</v>
      </c>
      <c r="Q258" s="6">
        <f t="shared" si="45"/>
        <v>1.0848012755733152</v>
      </c>
      <c r="T258" s="6">
        <f t="shared" si="50"/>
        <v>1.0848012755733152</v>
      </c>
    </row>
    <row r="259" spans="2:20">
      <c r="B259">
        <f t="shared" si="46"/>
        <v>256</v>
      </c>
      <c r="C259">
        <f t="shared" si="40"/>
        <v>31</v>
      </c>
      <c r="D259">
        <v>244</v>
      </c>
      <c r="E259">
        <v>275</v>
      </c>
      <c r="F259">
        <f>KcSPLINE!F$12</f>
        <v>1.0596774193548395</v>
      </c>
      <c r="G259">
        <f>KcSPLINE!F$13</f>
        <v>1.0230414746543786</v>
      </c>
      <c r="H259" s="5">
        <f>KcSPLINE!K$12</f>
        <v>-4.8665362769444414E-4</v>
      </c>
      <c r="I259" s="5">
        <f>KcSPLINE!K$13</f>
        <v>-1.7648873421376962E-4</v>
      </c>
      <c r="J259">
        <f t="shared" si="41"/>
        <v>0.61290322580645162</v>
      </c>
      <c r="K259">
        <f t="shared" si="42"/>
        <v>0.38709677419354838</v>
      </c>
      <c r="L259">
        <f t="shared" si="43"/>
        <v>210</v>
      </c>
      <c r="M259" s="6">
        <f t="shared" si="44"/>
        <v>1.0454957633417579</v>
      </c>
      <c r="N259" s="13">
        <f t="shared" si="52"/>
        <v>1.0846255854167497</v>
      </c>
      <c r="O259" s="6">
        <f t="shared" si="51"/>
        <v>225.95619527499065</v>
      </c>
      <c r="P259" s="6">
        <f t="shared" si="51"/>
        <v>225.84539419673004</v>
      </c>
      <c r="Q259" s="6">
        <f t="shared" si="45"/>
        <v>1.0846255854167497</v>
      </c>
      <c r="T259" s="6">
        <f t="shared" si="50"/>
        <v>1.0846255854167497</v>
      </c>
    </row>
    <row r="260" spans="2:20">
      <c r="B260">
        <f t="shared" si="46"/>
        <v>257</v>
      </c>
      <c r="C260">
        <f t="shared" ref="C260:C323" si="53">E260-D260</f>
        <v>31</v>
      </c>
      <c r="D260">
        <v>244</v>
      </c>
      <c r="E260">
        <v>275</v>
      </c>
      <c r="F260">
        <f>KcSPLINE!F$12</f>
        <v>1.0596774193548395</v>
      </c>
      <c r="G260">
        <f>KcSPLINE!F$13</f>
        <v>1.0230414746543786</v>
      </c>
      <c r="H260" s="5">
        <f>KcSPLINE!K$12</f>
        <v>-4.8665362769444414E-4</v>
      </c>
      <c r="I260" s="5">
        <f>KcSPLINE!K$13</f>
        <v>-1.7648873421376962E-4</v>
      </c>
      <c r="J260">
        <f t="shared" ref="J260:J323" si="54">(E260-B260)/C260</f>
        <v>0.58064516129032262</v>
      </c>
      <c r="K260">
        <f t="shared" ref="K260:K323" si="55">(B260-D260)/C260</f>
        <v>0.41935483870967744</v>
      </c>
      <c r="L260">
        <f t="shared" ref="L260:L323" si="56">B260-46</f>
        <v>211</v>
      </c>
      <c r="M260" s="6">
        <f t="shared" ref="M260:M323" si="57">J260*F260+K260*G260</f>
        <v>1.0443139586740011</v>
      </c>
      <c r="N260" s="13">
        <f t="shared" si="52"/>
        <v>1.0840833054622241</v>
      </c>
      <c r="O260" s="6">
        <f t="shared" si="51"/>
        <v>227.00050923366464</v>
      </c>
      <c r="P260" s="6">
        <f t="shared" si="51"/>
        <v>226.92947750219227</v>
      </c>
      <c r="Q260" s="6">
        <f t="shared" ref="Q260:Q323" si="58">M260+(((J260^3-J260)*H260+(K260^3-K260)*I260))*(C260^2)/6</f>
        <v>1.0840833054622241</v>
      </c>
      <c r="T260" s="6">
        <f t="shared" si="50"/>
        <v>1.0840833054622241</v>
      </c>
    </row>
    <row r="261" spans="2:20">
      <c r="B261">
        <f t="shared" ref="B261:B324" si="59">B260+1</f>
        <v>258</v>
      </c>
      <c r="C261">
        <f t="shared" si="53"/>
        <v>31</v>
      </c>
      <c r="D261">
        <v>244</v>
      </c>
      <c r="E261">
        <v>275</v>
      </c>
      <c r="F261">
        <f>KcSPLINE!F$12</f>
        <v>1.0596774193548395</v>
      </c>
      <c r="G261">
        <f>KcSPLINE!F$13</f>
        <v>1.0230414746543786</v>
      </c>
      <c r="H261" s="5">
        <f>KcSPLINE!K$12</f>
        <v>-4.8665362769444414E-4</v>
      </c>
      <c r="I261" s="5">
        <f>KcSPLINE!K$13</f>
        <v>-1.7648873421376962E-4</v>
      </c>
      <c r="J261">
        <f t="shared" si="54"/>
        <v>0.54838709677419351</v>
      </c>
      <c r="K261">
        <f t="shared" si="55"/>
        <v>0.45161290322580644</v>
      </c>
      <c r="L261">
        <f t="shared" si="56"/>
        <v>212</v>
      </c>
      <c r="M261" s="6">
        <f t="shared" si="57"/>
        <v>1.0431321540062441</v>
      </c>
      <c r="N261" s="13">
        <f t="shared" si="52"/>
        <v>1.0831844410288829</v>
      </c>
      <c r="O261" s="6">
        <f t="shared" ref="O261:P276" si="60">O260+M261</f>
        <v>228.0436413876709</v>
      </c>
      <c r="P261" s="6">
        <f t="shared" si="60"/>
        <v>228.01266194322116</v>
      </c>
      <c r="Q261" s="6">
        <f t="shared" si="58"/>
        <v>1.0831844410288829</v>
      </c>
      <c r="T261" s="6">
        <f t="shared" si="50"/>
        <v>1.0831844410288829</v>
      </c>
    </row>
    <row r="262" spans="2:20">
      <c r="B262">
        <f t="shared" si="59"/>
        <v>259</v>
      </c>
      <c r="C262">
        <f t="shared" si="53"/>
        <v>31</v>
      </c>
      <c r="D262">
        <v>244</v>
      </c>
      <c r="E262">
        <v>275</v>
      </c>
      <c r="F262">
        <f>KcSPLINE!F$12</f>
        <v>1.0596774193548395</v>
      </c>
      <c r="G262">
        <f>KcSPLINE!F$13</f>
        <v>1.0230414746543786</v>
      </c>
      <c r="H262" s="5">
        <f>KcSPLINE!K$12</f>
        <v>-4.8665362769444414E-4</v>
      </c>
      <c r="I262" s="5">
        <f>KcSPLINE!K$13</f>
        <v>-1.7648873421376962E-4</v>
      </c>
      <c r="J262">
        <f t="shared" si="54"/>
        <v>0.5161290322580645</v>
      </c>
      <c r="K262">
        <f t="shared" si="55"/>
        <v>0.4838709677419355</v>
      </c>
      <c r="L262">
        <f t="shared" si="56"/>
        <v>213</v>
      </c>
      <c r="M262" s="6">
        <f t="shared" si="57"/>
        <v>1.0419503493384874</v>
      </c>
      <c r="N262" s="13">
        <f t="shared" si="52"/>
        <v>1.0819389974358711</v>
      </c>
      <c r="O262" s="6">
        <f t="shared" si="60"/>
        <v>229.08559173700939</v>
      </c>
      <c r="P262" s="6">
        <f t="shared" si="60"/>
        <v>229.09460094065705</v>
      </c>
      <c r="Q262" s="6">
        <f t="shared" si="58"/>
        <v>1.0819389974358711</v>
      </c>
      <c r="T262" s="6">
        <f t="shared" si="50"/>
        <v>1.0819389974358711</v>
      </c>
    </row>
    <row r="263" spans="2:20">
      <c r="B263">
        <f t="shared" si="59"/>
        <v>260</v>
      </c>
      <c r="C263">
        <f t="shared" si="53"/>
        <v>31</v>
      </c>
      <c r="D263">
        <v>244</v>
      </c>
      <c r="E263">
        <v>275</v>
      </c>
      <c r="F263">
        <f>KcSPLINE!F$12</f>
        <v>1.0596774193548395</v>
      </c>
      <c r="G263">
        <f>KcSPLINE!F$13</f>
        <v>1.0230414746543786</v>
      </c>
      <c r="H263" s="5">
        <f>KcSPLINE!K$12</f>
        <v>-4.8665362769444414E-4</v>
      </c>
      <c r="I263" s="5">
        <f>KcSPLINE!K$13</f>
        <v>-1.7648873421376962E-4</v>
      </c>
      <c r="J263">
        <f t="shared" si="54"/>
        <v>0.4838709677419355</v>
      </c>
      <c r="K263">
        <f t="shared" si="55"/>
        <v>0.5161290322580645</v>
      </c>
      <c r="L263">
        <f t="shared" si="56"/>
        <v>214</v>
      </c>
      <c r="M263" s="6">
        <f t="shared" si="57"/>
        <v>1.0407685446707307</v>
      </c>
      <c r="N263" s="13">
        <f t="shared" si="52"/>
        <v>1.0803569800023327</v>
      </c>
      <c r="O263" s="6">
        <f t="shared" si="60"/>
        <v>230.12636028168012</v>
      </c>
      <c r="P263" s="6">
        <f t="shared" si="60"/>
        <v>230.17495792065938</v>
      </c>
      <c r="Q263" s="6">
        <f t="shared" si="58"/>
        <v>1.0803569800023327</v>
      </c>
      <c r="T263" s="6">
        <f t="shared" si="50"/>
        <v>1.0803569800023327</v>
      </c>
    </row>
    <row r="264" spans="2:20">
      <c r="B264">
        <f t="shared" si="59"/>
        <v>261</v>
      </c>
      <c r="C264">
        <f t="shared" si="53"/>
        <v>31</v>
      </c>
      <c r="D264">
        <v>244</v>
      </c>
      <c r="E264">
        <v>275</v>
      </c>
      <c r="F264">
        <f>KcSPLINE!F$12</f>
        <v>1.0596774193548395</v>
      </c>
      <c r="G264">
        <f>KcSPLINE!F$13</f>
        <v>1.0230414746543786</v>
      </c>
      <c r="H264" s="5">
        <f>KcSPLINE!K$12</f>
        <v>-4.8665362769444414E-4</v>
      </c>
      <c r="I264" s="5">
        <f>KcSPLINE!K$13</f>
        <v>-1.7648873421376962E-4</v>
      </c>
      <c r="J264">
        <f t="shared" si="54"/>
        <v>0.45161290322580644</v>
      </c>
      <c r="K264">
        <f t="shared" si="55"/>
        <v>0.54838709677419351</v>
      </c>
      <c r="L264">
        <f t="shared" si="56"/>
        <v>215</v>
      </c>
      <c r="M264" s="6">
        <f t="shared" si="57"/>
        <v>1.0395867400029737</v>
      </c>
      <c r="N264" s="13">
        <f t="shared" si="52"/>
        <v>1.0784483940474123</v>
      </c>
      <c r="O264" s="6">
        <f t="shared" si="60"/>
        <v>231.16594702168308</v>
      </c>
      <c r="P264" s="6">
        <f t="shared" si="60"/>
        <v>231.25340631470678</v>
      </c>
      <c r="Q264" s="6">
        <f t="shared" si="58"/>
        <v>1.0784483940474123</v>
      </c>
      <c r="T264" s="6">
        <f t="shared" si="50"/>
        <v>1.0784483940474123</v>
      </c>
    </row>
    <row r="265" spans="2:20">
      <c r="B265">
        <f t="shared" si="59"/>
        <v>262</v>
      </c>
      <c r="C265">
        <f t="shared" si="53"/>
        <v>31</v>
      </c>
      <c r="D265">
        <v>244</v>
      </c>
      <c r="E265">
        <v>275</v>
      </c>
      <c r="F265">
        <f>KcSPLINE!F$12</f>
        <v>1.0596774193548395</v>
      </c>
      <c r="G265">
        <f>KcSPLINE!F$13</f>
        <v>1.0230414746543786</v>
      </c>
      <c r="H265" s="5">
        <f>KcSPLINE!K$12</f>
        <v>-4.8665362769444414E-4</v>
      </c>
      <c r="I265" s="5">
        <f>KcSPLINE!K$13</f>
        <v>-1.7648873421376962E-4</v>
      </c>
      <c r="J265">
        <f t="shared" si="54"/>
        <v>0.41935483870967744</v>
      </c>
      <c r="K265">
        <f t="shared" si="55"/>
        <v>0.58064516129032262</v>
      </c>
      <c r="L265">
        <f t="shared" si="56"/>
        <v>216</v>
      </c>
      <c r="M265" s="6">
        <f t="shared" si="57"/>
        <v>1.0384049353352172</v>
      </c>
      <c r="N265" s="13">
        <f t="shared" si="52"/>
        <v>1.0762232448902551</v>
      </c>
      <c r="O265" s="6">
        <f t="shared" si="60"/>
        <v>232.2043519570183</v>
      </c>
      <c r="P265" s="6">
        <f t="shared" si="60"/>
        <v>232.32962955959704</v>
      </c>
      <c r="Q265" s="6">
        <f t="shared" si="58"/>
        <v>1.0762232448902551</v>
      </c>
      <c r="T265" s="6">
        <f t="shared" si="50"/>
        <v>1.0762232448902551</v>
      </c>
    </row>
    <row r="266" spans="2:20">
      <c r="B266">
        <f t="shared" si="59"/>
        <v>263</v>
      </c>
      <c r="C266">
        <f t="shared" si="53"/>
        <v>31</v>
      </c>
      <c r="D266">
        <v>244</v>
      </c>
      <c r="E266">
        <v>275</v>
      </c>
      <c r="F266">
        <f>KcSPLINE!F$12</f>
        <v>1.0596774193548395</v>
      </c>
      <c r="G266">
        <f>KcSPLINE!F$13</f>
        <v>1.0230414746543786</v>
      </c>
      <c r="H266" s="5">
        <f>KcSPLINE!K$12</f>
        <v>-4.8665362769444414E-4</v>
      </c>
      <c r="I266" s="5">
        <f>KcSPLINE!K$13</f>
        <v>-1.7648873421376962E-4</v>
      </c>
      <c r="J266">
        <f t="shared" si="54"/>
        <v>0.38709677419354838</v>
      </c>
      <c r="K266">
        <f t="shared" si="55"/>
        <v>0.61290322580645162</v>
      </c>
      <c r="L266">
        <f t="shared" si="56"/>
        <v>217</v>
      </c>
      <c r="M266" s="6">
        <f t="shared" si="57"/>
        <v>1.0372231306674602</v>
      </c>
      <c r="N266" s="13">
        <f t="shared" si="52"/>
        <v>1.0736915378500049</v>
      </c>
      <c r="O266" s="6">
        <f t="shared" si="60"/>
        <v>233.24157508768576</v>
      </c>
      <c r="P266" s="6">
        <f t="shared" si="60"/>
        <v>233.40332109744705</v>
      </c>
      <c r="Q266" s="6">
        <f t="shared" si="58"/>
        <v>1.0736915378500049</v>
      </c>
      <c r="T266" s="6">
        <f t="shared" si="50"/>
        <v>1.0736915378500049</v>
      </c>
    </row>
    <row r="267" spans="2:20">
      <c r="B267">
        <f t="shared" si="59"/>
        <v>264</v>
      </c>
      <c r="C267">
        <f t="shared" si="53"/>
        <v>31</v>
      </c>
      <c r="D267">
        <v>244</v>
      </c>
      <c r="E267">
        <v>275</v>
      </c>
      <c r="F267">
        <f>KcSPLINE!F$12</f>
        <v>1.0596774193548395</v>
      </c>
      <c r="G267">
        <f>KcSPLINE!F$13</f>
        <v>1.0230414746543786</v>
      </c>
      <c r="H267" s="5">
        <f>KcSPLINE!K$12</f>
        <v>-4.8665362769444414E-4</v>
      </c>
      <c r="I267" s="5">
        <f>KcSPLINE!K$13</f>
        <v>-1.7648873421376962E-4</v>
      </c>
      <c r="J267">
        <f t="shared" si="54"/>
        <v>0.35483870967741937</v>
      </c>
      <c r="K267">
        <f t="shared" si="55"/>
        <v>0.64516129032258063</v>
      </c>
      <c r="L267">
        <f t="shared" si="56"/>
        <v>218</v>
      </c>
      <c r="M267" s="6">
        <f t="shared" si="57"/>
        <v>1.0360413259997034</v>
      </c>
      <c r="N267" s="13">
        <f t="shared" si="52"/>
        <v>1.0708632782458065</v>
      </c>
      <c r="O267" s="6">
        <f t="shared" si="60"/>
        <v>234.27761641368545</v>
      </c>
      <c r="P267" s="6">
        <f t="shared" si="60"/>
        <v>234.47418437569286</v>
      </c>
      <c r="Q267" s="6">
        <f t="shared" si="58"/>
        <v>1.0708632782458065</v>
      </c>
      <c r="T267" s="6">
        <f t="shared" si="50"/>
        <v>1.0708632782458065</v>
      </c>
    </row>
    <row r="268" spans="2:20">
      <c r="B268">
        <f t="shared" si="59"/>
        <v>265</v>
      </c>
      <c r="C268">
        <f t="shared" si="53"/>
        <v>31</v>
      </c>
      <c r="D268">
        <v>244</v>
      </c>
      <c r="E268">
        <v>275</v>
      </c>
      <c r="F268">
        <f>KcSPLINE!F$12</f>
        <v>1.0596774193548395</v>
      </c>
      <c r="G268">
        <f>KcSPLINE!F$13</f>
        <v>1.0230414746543786</v>
      </c>
      <c r="H268" s="5">
        <f>KcSPLINE!K$12</f>
        <v>-4.8665362769444414E-4</v>
      </c>
      <c r="I268" s="5">
        <f>KcSPLINE!K$13</f>
        <v>-1.7648873421376962E-4</v>
      </c>
      <c r="J268">
        <f t="shared" si="54"/>
        <v>0.32258064516129031</v>
      </c>
      <c r="K268">
        <f t="shared" si="55"/>
        <v>0.67741935483870963</v>
      </c>
      <c r="L268">
        <f t="shared" si="56"/>
        <v>219</v>
      </c>
      <c r="M268" s="6">
        <f t="shared" si="57"/>
        <v>1.0348595213319465</v>
      </c>
      <c r="N268" s="13">
        <f t="shared" si="52"/>
        <v>1.0677484713968042</v>
      </c>
      <c r="O268" s="6">
        <f t="shared" si="60"/>
        <v>235.3124759350174</v>
      </c>
      <c r="P268" s="6">
        <f t="shared" si="60"/>
        <v>235.54193284708967</v>
      </c>
      <c r="Q268" s="6">
        <f t="shared" si="58"/>
        <v>1.0677484713968042</v>
      </c>
      <c r="T268" s="6">
        <f t="shared" si="50"/>
        <v>1.0677484713968042</v>
      </c>
    </row>
    <row r="269" spans="2:20">
      <c r="B269">
        <f t="shared" si="59"/>
        <v>266</v>
      </c>
      <c r="C269">
        <f t="shared" si="53"/>
        <v>31</v>
      </c>
      <c r="D269">
        <v>244</v>
      </c>
      <c r="E269">
        <v>275</v>
      </c>
      <c r="F269">
        <f>KcSPLINE!F$12</f>
        <v>1.0596774193548395</v>
      </c>
      <c r="G269">
        <f>KcSPLINE!F$13</f>
        <v>1.0230414746543786</v>
      </c>
      <c r="H269" s="5">
        <f>KcSPLINE!K$12</f>
        <v>-4.8665362769444414E-4</v>
      </c>
      <c r="I269" s="5">
        <f>KcSPLINE!K$13</f>
        <v>-1.7648873421376962E-4</v>
      </c>
      <c r="J269">
        <f t="shared" si="54"/>
        <v>0.29032258064516131</v>
      </c>
      <c r="K269">
        <f t="shared" si="55"/>
        <v>0.70967741935483875</v>
      </c>
      <c r="L269">
        <f t="shared" si="56"/>
        <v>220</v>
      </c>
      <c r="M269" s="6">
        <f t="shared" si="57"/>
        <v>1.0336777166641899</v>
      </c>
      <c r="N269" s="13">
        <f t="shared" si="52"/>
        <v>1.0643571226221431</v>
      </c>
      <c r="O269" s="6">
        <f t="shared" si="60"/>
        <v>236.34615365168159</v>
      </c>
      <c r="P269" s="6">
        <f t="shared" si="60"/>
        <v>236.60628996971181</v>
      </c>
      <c r="Q269" s="6">
        <f t="shared" si="58"/>
        <v>1.0643571226221431</v>
      </c>
      <c r="T269" s="6">
        <f t="shared" si="50"/>
        <v>1.0643571226221431</v>
      </c>
    </row>
    <row r="270" spans="2:20">
      <c r="B270">
        <f t="shared" si="59"/>
        <v>267</v>
      </c>
      <c r="C270">
        <f t="shared" si="53"/>
        <v>31</v>
      </c>
      <c r="D270">
        <v>244</v>
      </c>
      <c r="E270">
        <v>275</v>
      </c>
      <c r="F270">
        <f>KcSPLINE!F$12</f>
        <v>1.0596774193548395</v>
      </c>
      <c r="G270">
        <f>KcSPLINE!F$13</f>
        <v>1.0230414746543786</v>
      </c>
      <c r="H270" s="5">
        <f>KcSPLINE!K$12</f>
        <v>-4.8665362769444414E-4</v>
      </c>
      <c r="I270" s="5">
        <f>KcSPLINE!K$13</f>
        <v>-1.7648873421376962E-4</v>
      </c>
      <c r="J270">
        <f t="shared" si="54"/>
        <v>0.25806451612903225</v>
      </c>
      <c r="K270">
        <f t="shared" si="55"/>
        <v>0.74193548387096775</v>
      </c>
      <c r="L270">
        <f t="shared" si="56"/>
        <v>221</v>
      </c>
      <c r="M270" s="6">
        <f t="shared" si="57"/>
        <v>1.032495911996433</v>
      </c>
      <c r="N270" s="13">
        <f t="shared" si="52"/>
        <v>1.0606992372409672</v>
      </c>
      <c r="O270" s="6">
        <f t="shared" si="60"/>
        <v>237.37864956367801</v>
      </c>
      <c r="P270" s="6">
        <f t="shared" si="60"/>
        <v>237.66698920695276</v>
      </c>
      <c r="Q270" s="6">
        <f t="shared" si="58"/>
        <v>1.0606992372409672</v>
      </c>
      <c r="T270" s="6">
        <f t="shared" si="50"/>
        <v>1.0606992372409672</v>
      </c>
    </row>
    <row r="271" spans="2:20">
      <c r="B271">
        <f t="shared" si="59"/>
        <v>268</v>
      </c>
      <c r="C271">
        <f t="shared" si="53"/>
        <v>31</v>
      </c>
      <c r="D271">
        <v>244</v>
      </c>
      <c r="E271">
        <v>275</v>
      </c>
      <c r="F271">
        <f>KcSPLINE!F$12</f>
        <v>1.0596774193548395</v>
      </c>
      <c r="G271">
        <f>KcSPLINE!F$13</f>
        <v>1.0230414746543786</v>
      </c>
      <c r="H271" s="5">
        <f>KcSPLINE!K$12</f>
        <v>-4.8665362769444414E-4</v>
      </c>
      <c r="I271" s="5">
        <f>KcSPLINE!K$13</f>
        <v>-1.7648873421376962E-4</v>
      </c>
      <c r="J271">
        <f t="shared" si="54"/>
        <v>0.22580645161290322</v>
      </c>
      <c r="K271">
        <f t="shared" si="55"/>
        <v>0.77419354838709675</v>
      </c>
      <c r="L271">
        <f t="shared" si="56"/>
        <v>222</v>
      </c>
      <c r="M271" s="6">
        <f t="shared" si="57"/>
        <v>1.0313141073286762</v>
      </c>
      <c r="N271" s="13">
        <f t="shared" si="52"/>
        <v>1.0567848205724213</v>
      </c>
      <c r="O271" s="6">
        <f t="shared" si="60"/>
        <v>238.40996367100669</v>
      </c>
      <c r="P271" s="6">
        <f t="shared" si="60"/>
        <v>238.7237740275252</v>
      </c>
      <c r="Q271" s="6">
        <f t="shared" si="58"/>
        <v>1.0567848205724213</v>
      </c>
      <c r="T271" s="6">
        <f t="shared" si="50"/>
        <v>1.0567848205724213</v>
      </c>
    </row>
    <row r="272" spans="2:20">
      <c r="B272">
        <f t="shared" si="59"/>
        <v>269</v>
      </c>
      <c r="C272">
        <f t="shared" si="53"/>
        <v>31</v>
      </c>
      <c r="D272">
        <v>244</v>
      </c>
      <c r="E272">
        <v>275</v>
      </c>
      <c r="F272">
        <f>KcSPLINE!F$12</f>
        <v>1.0596774193548395</v>
      </c>
      <c r="G272">
        <f>KcSPLINE!F$13</f>
        <v>1.0230414746543786</v>
      </c>
      <c r="H272" s="5">
        <f>KcSPLINE!K$12</f>
        <v>-4.8665362769444414E-4</v>
      </c>
      <c r="I272" s="5">
        <f>KcSPLINE!K$13</f>
        <v>-1.7648873421376962E-4</v>
      </c>
      <c r="J272">
        <f t="shared" si="54"/>
        <v>0.19354838709677419</v>
      </c>
      <c r="K272">
        <f t="shared" si="55"/>
        <v>0.80645161290322576</v>
      </c>
      <c r="L272">
        <f t="shared" si="56"/>
        <v>223</v>
      </c>
      <c r="M272" s="6">
        <f t="shared" si="57"/>
        <v>1.0301323026609195</v>
      </c>
      <c r="N272" s="13">
        <f t="shared" si="52"/>
        <v>1.0526238779356498</v>
      </c>
      <c r="O272" s="6">
        <f t="shared" si="60"/>
        <v>239.44009597366761</v>
      </c>
      <c r="P272" s="6">
        <f t="shared" si="60"/>
        <v>239.77639790546084</v>
      </c>
      <c r="Q272" s="6">
        <f t="shared" si="58"/>
        <v>1.0526238779356498</v>
      </c>
      <c r="T272" s="6">
        <f t="shared" si="50"/>
        <v>1.0526238779356498</v>
      </c>
    </row>
    <row r="273" spans="1:20">
      <c r="B273">
        <f t="shared" si="59"/>
        <v>270</v>
      </c>
      <c r="C273">
        <f t="shared" si="53"/>
        <v>31</v>
      </c>
      <c r="D273">
        <v>244</v>
      </c>
      <c r="E273">
        <v>275</v>
      </c>
      <c r="F273">
        <f>KcSPLINE!F$12</f>
        <v>1.0596774193548395</v>
      </c>
      <c r="G273">
        <f>KcSPLINE!F$13</f>
        <v>1.0230414746543786</v>
      </c>
      <c r="H273" s="5">
        <f>KcSPLINE!K$12</f>
        <v>-4.8665362769444414E-4</v>
      </c>
      <c r="I273" s="5">
        <f>KcSPLINE!K$13</f>
        <v>-1.7648873421376962E-4</v>
      </c>
      <c r="J273">
        <f t="shared" si="54"/>
        <v>0.16129032258064516</v>
      </c>
      <c r="K273">
        <f t="shared" si="55"/>
        <v>0.83870967741935487</v>
      </c>
      <c r="L273">
        <f t="shared" si="56"/>
        <v>224</v>
      </c>
      <c r="M273" s="6">
        <f t="shared" si="57"/>
        <v>1.0289504979931625</v>
      </c>
      <c r="N273" s="13">
        <f t="shared" si="52"/>
        <v>1.048226414649797</v>
      </c>
      <c r="O273" s="6">
        <f t="shared" si="60"/>
        <v>240.46904647166076</v>
      </c>
      <c r="P273" s="6">
        <f t="shared" si="60"/>
        <v>240.82462432011064</v>
      </c>
      <c r="Q273" s="6">
        <f t="shared" si="58"/>
        <v>1.048226414649797</v>
      </c>
      <c r="T273" s="6">
        <f t="shared" si="50"/>
        <v>1.048226414649797</v>
      </c>
    </row>
    <row r="274" spans="1:20">
      <c r="B274">
        <f t="shared" si="59"/>
        <v>271</v>
      </c>
      <c r="C274">
        <f t="shared" si="53"/>
        <v>31</v>
      </c>
      <c r="D274">
        <v>244</v>
      </c>
      <c r="E274">
        <v>275</v>
      </c>
      <c r="F274">
        <f>KcSPLINE!F$12</f>
        <v>1.0596774193548395</v>
      </c>
      <c r="G274">
        <f>KcSPLINE!F$13</f>
        <v>1.0230414746543786</v>
      </c>
      <c r="H274" s="5">
        <f>KcSPLINE!K$12</f>
        <v>-4.8665362769444414E-4</v>
      </c>
      <c r="I274" s="5">
        <f>KcSPLINE!K$13</f>
        <v>-1.7648873421376962E-4</v>
      </c>
      <c r="J274">
        <f t="shared" si="54"/>
        <v>0.12903225806451613</v>
      </c>
      <c r="K274">
        <f t="shared" si="55"/>
        <v>0.87096774193548387</v>
      </c>
      <c r="L274">
        <f t="shared" si="56"/>
        <v>225</v>
      </c>
      <c r="M274" s="6">
        <f t="shared" si="57"/>
        <v>1.0277686933254058</v>
      </c>
      <c r="N274" s="13">
        <f t="shared" si="52"/>
        <v>1.0436024360340082</v>
      </c>
      <c r="O274" s="6">
        <f t="shared" si="60"/>
        <v>241.49681516498617</v>
      </c>
      <c r="P274" s="6">
        <f t="shared" si="60"/>
        <v>241.86822675614465</v>
      </c>
      <c r="Q274" s="6">
        <f t="shared" si="58"/>
        <v>1.0436024360340082</v>
      </c>
      <c r="T274" s="6">
        <f t="shared" si="50"/>
        <v>1.0436024360340082</v>
      </c>
    </row>
    <row r="275" spans="1:20">
      <c r="B275">
        <f t="shared" si="59"/>
        <v>272</v>
      </c>
      <c r="C275">
        <f t="shared" si="53"/>
        <v>31</v>
      </c>
      <c r="D275">
        <v>244</v>
      </c>
      <c r="E275">
        <v>275</v>
      </c>
      <c r="F275">
        <f>KcSPLINE!F$12</f>
        <v>1.0596774193548395</v>
      </c>
      <c r="G275">
        <f>KcSPLINE!F$13</f>
        <v>1.0230414746543786</v>
      </c>
      <c r="H275" s="5">
        <f>KcSPLINE!K$12</f>
        <v>-4.8665362769444414E-4</v>
      </c>
      <c r="I275" s="5">
        <f>KcSPLINE!K$13</f>
        <v>-1.7648873421376962E-4</v>
      </c>
      <c r="J275">
        <f t="shared" si="54"/>
        <v>9.6774193548387094E-2</v>
      </c>
      <c r="K275">
        <f t="shared" si="55"/>
        <v>0.90322580645161288</v>
      </c>
      <c r="L275">
        <f t="shared" si="56"/>
        <v>226</v>
      </c>
      <c r="M275" s="6">
        <f t="shared" si="57"/>
        <v>1.0265868886576488</v>
      </c>
      <c r="N275" s="13">
        <f t="shared" si="52"/>
        <v>1.0387619474074272</v>
      </c>
      <c r="O275" s="6">
        <f t="shared" si="60"/>
        <v>242.52340205364382</v>
      </c>
      <c r="P275" s="6">
        <f t="shared" si="60"/>
        <v>242.90698870355209</v>
      </c>
      <c r="Q275" s="6">
        <f t="shared" si="58"/>
        <v>1.0387619474074272</v>
      </c>
      <c r="T275" s="6">
        <f t="shared" si="50"/>
        <v>1.0387619474074272</v>
      </c>
    </row>
    <row r="276" spans="1:20">
      <c r="B276">
        <f t="shared" si="59"/>
        <v>273</v>
      </c>
      <c r="C276">
        <f t="shared" si="53"/>
        <v>31</v>
      </c>
      <c r="D276">
        <v>244</v>
      </c>
      <c r="E276">
        <v>275</v>
      </c>
      <c r="F276">
        <f>KcSPLINE!F$12</f>
        <v>1.0596774193548395</v>
      </c>
      <c r="G276">
        <f>KcSPLINE!F$13</f>
        <v>1.0230414746543786</v>
      </c>
      <c r="H276" s="5">
        <f>KcSPLINE!K$12</f>
        <v>-4.8665362769444414E-4</v>
      </c>
      <c r="I276" s="5">
        <f>KcSPLINE!K$13</f>
        <v>-1.7648873421376962E-4</v>
      </c>
      <c r="J276">
        <f t="shared" si="54"/>
        <v>6.4516129032258063E-2</v>
      </c>
      <c r="K276">
        <f t="shared" si="55"/>
        <v>0.93548387096774188</v>
      </c>
      <c r="L276">
        <f t="shared" si="56"/>
        <v>227</v>
      </c>
      <c r="M276" s="6">
        <f t="shared" si="57"/>
        <v>1.0254050839898921</v>
      </c>
      <c r="N276" s="13">
        <f t="shared" si="52"/>
        <v>1.033714954089199</v>
      </c>
      <c r="O276" s="6">
        <f t="shared" si="60"/>
        <v>243.5488071376337</v>
      </c>
      <c r="P276" s="6">
        <f t="shared" si="60"/>
        <v>243.94070365764128</v>
      </c>
      <c r="Q276" s="6">
        <f t="shared" si="58"/>
        <v>1.033714954089199</v>
      </c>
      <c r="T276" s="6">
        <f t="shared" si="50"/>
        <v>1.033714954089199</v>
      </c>
    </row>
    <row r="277" spans="1:20">
      <c r="B277">
        <f t="shared" si="59"/>
        <v>274</v>
      </c>
      <c r="C277">
        <f t="shared" si="53"/>
        <v>31</v>
      </c>
      <c r="D277">
        <v>244</v>
      </c>
      <c r="E277">
        <v>275</v>
      </c>
      <c r="F277">
        <f>KcSPLINE!F$12</f>
        <v>1.0596774193548395</v>
      </c>
      <c r="G277">
        <f>KcSPLINE!F$13</f>
        <v>1.0230414746543786</v>
      </c>
      <c r="H277" s="5">
        <f>KcSPLINE!K$12</f>
        <v>-4.8665362769444414E-4</v>
      </c>
      <c r="I277" s="5">
        <f>KcSPLINE!K$13</f>
        <v>-1.7648873421376962E-4</v>
      </c>
      <c r="J277">
        <f t="shared" si="54"/>
        <v>3.2258064516129031E-2</v>
      </c>
      <c r="K277">
        <f t="shared" si="55"/>
        <v>0.967741935483871</v>
      </c>
      <c r="L277">
        <f t="shared" si="56"/>
        <v>228</v>
      </c>
      <c r="M277" s="6">
        <f t="shared" si="57"/>
        <v>1.0242232793221353</v>
      </c>
      <c r="N277" s="13">
        <f t="shared" si="52"/>
        <v>1.028471461398468</v>
      </c>
      <c r="O277" s="6">
        <f t="shared" ref="O277:P292" si="61">O276+M277</f>
        <v>244.57303041695585</v>
      </c>
      <c r="P277" s="6">
        <f t="shared" si="61"/>
        <v>244.96917511903976</v>
      </c>
      <c r="Q277" s="6">
        <f t="shared" si="58"/>
        <v>1.028471461398468</v>
      </c>
      <c r="T277" s="6">
        <f t="shared" si="50"/>
        <v>1.028471461398468</v>
      </c>
    </row>
    <row r="278" spans="1:20">
      <c r="A278">
        <v>275</v>
      </c>
      <c r="B278">
        <f t="shared" si="59"/>
        <v>275</v>
      </c>
      <c r="C278">
        <f t="shared" si="53"/>
        <v>31</v>
      </c>
      <c r="D278">
        <v>244</v>
      </c>
      <c r="E278">
        <v>275</v>
      </c>
      <c r="F278">
        <f>KcSPLINE!F$12</f>
        <v>1.0596774193548395</v>
      </c>
      <c r="G278">
        <f>KcSPLINE!F$13</f>
        <v>1.0230414746543786</v>
      </c>
      <c r="H278" s="5">
        <f>KcSPLINE!K$12</f>
        <v>-4.8665362769444414E-4</v>
      </c>
      <c r="I278" s="5">
        <f>KcSPLINE!K$13</f>
        <v>-1.7648873421376962E-4</v>
      </c>
      <c r="J278">
        <f t="shared" si="54"/>
        <v>0</v>
      </c>
      <c r="K278">
        <f t="shared" si="55"/>
        <v>1</v>
      </c>
      <c r="L278">
        <f t="shared" si="56"/>
        <v>229</v>
      </c>
      <c r="M278" s="6">
        <f t="shared" si="57"/>
        <v>1.0230414746543786</v>
      </c>
      <c r="N278" s="13">
        <f t="shared" si="52"/>
        <v>1.0230414746543786</v>
      </c>
      <c r="O278" s="6">
        <f t="shared" si="61"/>
        <v>245.59607189161022</v>
      </c>
      <c r="P278" s="6">
        <f t="shared" si="61"/>
        <v>245.99221659369414</v>
      </c>
      <c r="Q278" s="6">
        <f t="shared" si="58"/>
        <v>1.0230414746543786</v>
      </c>
      <c r="T278" s="6">
        <f t="shared" si="50"/>
        <v>1.0230414746543786</v>
      </c>
    </row>
    <row r="279" spans="1:20">
      <c r="B279">
        <f t="shared" si="59"/>
        <v>276</v>
      </c>
      <c r="C279">
        <f t="shared" si="53"/>
        <v>30</v>
      </c>
      <c r="D279">
        <v>275</v>
      </c>
      <c r="E279">
        <v>305</v>
      </c>
      <c r="F279">
        <f>KcSPLINE!F$13</f>
        <v>1.0230414746543786</v>
      </c>
      <c r="G279">
        <f>KcSPLINE!F$14</f>
        <v>0.86773499699131917</v>
      </c>
      <c r="H279" s="5">
        <f>KcSPLINE!K$13</f>
        <v>-1.7648873421376962E-4</v>
      </c>
      <c r="I279" s="5">
        <f>KcSPLINE!K$14</f>
        <v>4.2158068355122047E-4</v>
      </c>
      <c r="J279">
        <f t="shared" si="54"/>
        <v>0.96666666666666667</v>
      </c>
      <c r="K279">
        <f t="shared" si="55"/>
        <v>3.3333333333333333E-2</v>
      </c>
      <c r="L279">
        <f t="shared" si="56"/>
        <v>230</v>
      </c>
      <c r="M279" s="6">
        <f t="shared" si="57"/>
        <v>1.01786459206561</v>
      </c>
      <c r="N279" s="13">
        <f t="shared" si="52"/>
        <v>1.0174366542307611</v>
      </c>
      <c r="O279" s="6">
        <f t="shared" si="61"/>
        <v>246.61393648367584</v>
      </c>
      <c r="P279" s="6">
        <f t="shared" si="61"/>
        <v>247.00965324792489</v>
      </c>
      <c r="Q279" s="6">
        <f t="shared" si="58"/>
        <v>1.0174366542307611</v>
      </c>
      <c r="T279" s="6">
        <f t="shared" si="50"/>
        <v>1.0174366542307611</v>
      </c>
    </row>
    <row r="280" spans="1:20">
      <c r="B280">
        <f t="shared" si="59"/>
        <v>277</v>
      </c>
      <c r="C280">
        <f t="shared" si="53"/>
        <v>30</v>
      </c>
      <c r="D280">
        <v>275</v>
      </c>
      <c r="E280">
        <v>305</v>
      </c>
      <c r="F280">
        <f>KcSPLINE!F$13</f>
        <v>1.0230414746543786</v>
      </c>
      <c r="G280">
        <f>KcSPLINE!F$14</f>
        <v>0.86773499699131917</v>
      </c>
      <c r="H280" s="5">
        <f>KcSPLINE!K$13</f>
        <v>-1.7648873421376962E-4</v>
      </c>
      <c r="I280" s="5">
        <f>KcSPLINE!K$14</f>
        <v>4.2158068355122047E-4</v>
      </c>
      <c r="J280">
        <f t="shared" si="54"/>
        <v>0.93333333333333335</v>
      </c>
      <c r="K280">
        <f t="shared" si="55"/>
        <v>6.6666666666666666E-2</v>
      </c>
      <c r="L280">
        <f t="shared" si="56"/>
        <v>231</v>
      </c>
      <c r="M280" s="6">
        <f t="shared" si="57"/>
        <v>1.0126877094768414</v>
      </c>
      <c r="N280" s="13">
        <f t="shared" si="52"/>
        <v>1.0116752807201888</v>
      </c>
      <c r="O280" s="6">
        <f t="shared" si="61"/>
        <v>247.62662419315268</v>
      </c>
      <c r="P280" s="6">
        <f t="shared" si="61"/>
        <v>248.02132852864509</v>
      </c>
      <c r="Q280" s="6">
        <f t="shared" si="58"/>
        <v>1.0116752807201888</v>
      </c>
      <c r="T280" s="6">
        <f t="shared" si="50"/>
        <v>1.0116752807201888</v>
      </c>
    </row>
    <row r="281" spans="1:20">
      <c r="B281">
        <f t="shared" si="59"/>
        <v>278</v>
      </c>
      <c r="C281">
        <f t="shared" si="53"/>
        <v>30</v>
      </c>
      <c r="D281">
        <v>275</v>
      </c>
      <c r="E281">
        <v>305</v>
      </c>
      <c r="F281">
        <f>KcSPLINE!F$13</f>
        <v>1.0230414746543786</v>
      </c>
      <c r="G281">
        <f>KcSPLINE!F$14</f>
        <v>0.86773499699131917</v>
      </c>
      <c r="H281" s="5">
        <f>KcSPLINE!K$13</f>
        <v>-1.7648873421376962E-4</v>
      </c>
      <c r="I281" s="5">
        <f>KcSPLINE!K$14</f>
        <v>4.2158068355122047E-4</v>
      </c>
      <c r="J281">
        <f t="shared" si="54"/>
        <v>0.9</v>
      </c>
      <c r="K281">
        <f t="shared" si="55"/>
        <v>0.1</v>
      </c>
      <c r="L281">
        <f t="shared" si="56"/>
        <v>232</v>
      </c>
      <c r="M281" s="6">
        <f t="shared" si="57"/>
        <v>1.0075108268880726</v>
      </c>
      <c r="N281" s="13">
        <f t="shared" si="52"/>
        <v>1.0057772897699202</v>
      </c>
      <c r="O281" s="6">
        <f t="shared" si="61"/>
        <v>248.63413502004076</v>
      </c>
      <c r="P281" s="6">
        <f t="shared" si="61"/>
        <v>249.02710581841501</v>
      </c>
      <c r="Q281" s="6">
        <f t="shared" si="58"/>
        <v>1.0057772897699202</v>
      </c>
      <c r="T281" s="6">
        <f t="shared" si="50"/>
        <v>1.0057772897699202</v>
      </c>
    </row>
    <row r="282" spans="1:20">
      <c r="B282">
        <f t="shared" si="59"/>
        <v>279</v>
      </c>
      <c r="C282">
        <f t="shared" si="53"/>
        <v>30</v>
      </c>
      <c r="D282">
        <v>275</v>
      </c>
      <c r="E282">
        <v>305</v>
      </c>
      <c r="F282">
        <f>KcSPLINE!F$13</f>
        <v>1.0230414746543786</v>
      </c>
      <c r="G282">
        <f>KcSPLINE!F$14</f>
        <v>0.86773499699131917</v>
      </c>
      <c r="H282" s="5">
        <f>KcSPLINE!K$13</f>
        <v>-1.7648873421376962E-4</v>
      </c>
      <c r="I282" s="5">
        <f>KcSPLINE!K$14</f>
        <v>4.2158068355122047E-4</v>
      </c>
      <c r="J282">
        <f t="shared" si="54"/>
        <v>0.8666666666666667</v>
      </c>
      <c r="K282">
        <f t="shared" si="55"/>
        <v>0.13333333333333333</v>
      </c>
      <c r="L282">
        <f t="shared" si="56"/>
        <v>233</v>
      </c>
      <c r="M282" s="6">
        <f t="shared" si="57"/>
        <v>1.002333944299304</v>
      </c>
      <c r="N282" s="13">
        <f t="shared" si="52"/>
        <v>0.99976261702721447</v>
      </c>
      <c r="O282" s="6">
        <f t="shared" si="61"/>
        <v>249.63646896434005</v>
      </c>
      <c r="P282" s="6">
        <f t="shared" si="61"/>
        <v>250.02686843544222</v>
      </c>
      <c r="Q282" s="6">
        <f t="shared" si="58"/>
        <v>0.99976261702721447</v>
      </c>
      <c r="T282" s="6">
        <f t="shared" si="50"/>
        <v>0.99976261702721447</v>
      </c>
    </row>
    <row r="283" spans="1:20">
      <c r="B283">
        <f t="shared" si="59"/>
        <v>280</v>
      </c>
      <c r="C283">
        <f t="shared" si="53"/>
        <v>30</v>
      </c>
      <c r="D283">
        <v>275</v>
      </c>
      <c r="E283">
        <v>305</v>
      </c>
      <c r="F283">
        <f>KcSPLINE!F$13</f>
        <v>1.0230414746543786</v>
      </c>
      <c r="G283">
        <f>KcSPLINE!F$14</f>
        <v>0.86773499699131917</v>
      </c>
      <c r="H283" s="5">
        <f>KcSPLINE!K$13</f>
        <v>-1.7648873421376962E-4</v>
      </c>
      <c r="I283" s="5">
        <f>KcSPLINE!K$14</f>
        <v>4.2158068355122047E-4</v>
      </c>
      <c r="J283">
        <f t="shared" si="54"/>
        <v>0.83333333333333337</v>
      </c>
      <c r="K283">
        <f t="shared" si="55"/>
        <v>0.16666666666666666</v>
      </c>
      <c r="L283">
        <f t="shared" si="56"/>
        <v>234</v>
      </c>
      <c r="M283" s="6">
        <f t="shared" si="57"/>
        <v>0.99715706171053542</v>
      </c>
      <c r="N283" s="13">
        <f t="shared" si="52"/>
        <v>0.99365119813933034</v>
      </c>
      <c r="O283" s="6">
        <f t="shared" si="61"/>
        <v>250.63362602605059</v>
      </c>
      <c r="P283" s="6">
        <f t="shared" si="61"/>
        <v>251.02051963358156</v>
      </c>
      <c r="Q283" s="6">
        <f t="shared" si="58"/>
        <v>0.99365119813933034</v>
      </c>
      <c r="T283" s="6">
        <f t="shared" si="50"/>
        <v>0.99365119813933034</v>
      </c>
    </row>
    <row r="284" spans="1:20">
      <c r="B284">
        <f t="shared" si="59"/>
        <v>281</v>
      </c>
      <c r="C284">
        <f t="shared" si="53"/>
        <v>30</v>
      </c>
      <c r="D284">
        <v>275</v>
      </c>
      <c r="E284">
        <v>305</v>
      </c>
      <c r="F284">
        <f>KcSPLINE!F$13</f>
        <v>1.0230414746543786</v>
      </c>
      <c r="G284">
        <f>KcSPLINE!F$14</f>
        <v>0.86773499699131917</v>
      </c>
      <c r="H284" s="5">
        <f>KcSPLINE!K$13</f>
        <v>-1.7648873421376962E-4</v>
      </c>
      <c r="I284" s="5">
        <f>KcSPLINE!K$14</f>
        <v>4.2158068355122047E-4</v>
      </c>
      <c r="J284">
        <f t="shared" si="54"/>
        <v>0.8</v>
      </c>
      <c r="K284">
        <f t="shared" si="55"/>
        <v>0.2</v>
      </c>
      <c r="L284">
        <f t="shared" si="56"/>
        <v>235</v>
      </c>
      <c r="M284" s="6">
        <f t="shared" si="57"/>
        <v>0.99198017912176684</v>
      </c>
      <c r="N284" s="13">
        <f t="shared" si="52"/>
        <v>0.98746296875352657</v>
      </c>
      <c r="O284" s="6">
        <f t="shared" si="61"/>
        <v>251.62560620517235</v>
      </c>
      <c r="P284" s="6">
        <f t="shared" si="61"/>
        <v>252.00798260233509</v>
      </c>
      <c r="Q284" s="6">
        <f t="shared" si="58"/>
        <v>0.98746296875352657</v>
      </c>
      <c r="T284" s="6">
        <f t="shared" si="50"/>
        <v>0.98746296875352657</v>
      </c>
    </row>
    <row r="285" spans="1:20">
      <c r="B285">
        <f t="shared" si="59"/>
        <v>282</v>
      </c>
      <c r="C285">
        <f t="shared" si="53"/>
        <v>30</v>
      </c>
      <c r="D285">
        <v>275</v>
      </c>
      <c r="E285">
        <v>305</v>
      </c>
      <c r="F285">
        <f>KcSPLINE!F$13</f>
        <v>1.0230414746543786</v>
      </c>
      <c r="G285">
        <f>KcSPLINE!F$14</f>
        <v>0.86773499699131917</v>
      </c>
      <c r="H285" s="5">
        <f>KcSPLINE!K$13</f>
        <v>-1.7648873421376962E-4</v>
      </c>
      <c r="I285" s="5">
        <f>KcSPLINE!K$14</f>
        <v>4.2158068355122047E-4</v>
      </c>
      <c r="J285">
        <f t="shared" si="54"/>
        <v>0.76666666666666672</v>
      </c>
      <c r="K285">
        <f t="shared" si="55"/>
        <v>0.23333333333333334</v>
      </c>
      <c r="L285">
        <f t="shared" si="56"/>
        <v>236</v>
      </c>
      <c r="M285" s="6">
        <f t="shared" si="57"/>
        <v>0.98680329653299814</v>
      </c>
      <c r="N285" s="13">
        <f t="shared" si="52"/>
        <v>0.98121786451706194</v>
      </c>
      <c r="O285" s="6">
        <f t="shared" si="61"/>
        <v>252.61240950170534</v>
      </c>
      <c r="P285" s="6">
        <f t="shared" si="61"/>
        <v>252.98920046685214</v>
      </c>
      <c r="Q285" s="6">
        <f t="shared" si="58"/>
        <v>0.98121786451706194</v>
      </c>
      <c r="T285" s="6">
        <f t="shared" si="50"/>
        <v>0.98121786451706194</v>
      </c>
    </row>
    <row r="286" spans="1:20">
      <c r="B286">
        <f t="shared" si="59"/>
        <v>283</v>
      </c>
      <c r="C286">
        <f t="shared" si="53"/>
        <v>30</v>
      </c>
      <c r="D286">
        <v>275</v>
      </c>
      <c r="E286">
        <v>305</v>
      </c>
      <c r="F286">
        <f>KcSPLINE!F$13</f>
        <v>1.0230414746543786</v>
      </c>
      <c r="G286">
        <f>KcSPLINE!F$14</f>
        <v>0.86773499699131917</v>
      </c>
      <c r="H286" s="5">
        <f>KcSPLINE!K$13</f>
        <v>-1.7648873421376962E-4</v>
      </c>
      <c r="I286" s="5">
        <f>KcSPLINE!K$14</f>
        <v>4.2158068355122047E-4</v>
      </c>
      <c r="J286">
        <f t="shared" si="54"/>
        <v>0.73333333333333328</v>
      </c>
      <c r="K286">
        <f t="shared" si="55"/>
        <v>0.26666666666666666</v>
      </c>
      <c r="L286">
        <f t="shared" si="56"/>
        <v>237</v>
      </c>
      <c r="M286" s="6">
        <f t="shared" si="57"/>
        <v>0.98162641394422923</v>
      </c>
      <c r="N286" s="13">
        <f t="shared" si="52"/>
        <v>0.97493582107719512</v>
      </c>
      <c r="O286" s="6">
        <f t="shared" si="61"/>
        <v>253.59403591564958</v>
      </c>
      <c r="P286" s="6">
        <f t="shared" si="61"/>
        <v>253.96413628792934</v>
      </c>
      <c r="Q286" s="6">
        <f t="shared" si="58"/>
        <v>0.97493582107719512</v>
      </c>
      <c r="T286" s="6">
        <f t="shared" si="50"/>
        <v>0.97493582107719512</v>
      </c>
    </row>
    <row r="287" spans="1:20">
      <c r="B287">
        <f t="shared" si="59"/>
        <v>284</v>
      </c>
      <c r="C287">
        <f t="shared" si="53"/>
        <v>30</v>
      </c>
      <c r="D287">
        <v>275</v>
      </c>
      <c r="E287">
        <v>305</v>
      </c>
      <c r="F287">
        <f>KcSPLINE!F$13</f>
        <v>1.0230414746543786</v>
      </c>
      <c r="G287">
        <f>KcSPLINE!F$14</f>
        <v>0.86773499699131917</v>
      </c>
      <c r="H287" s="5">
        <f>KcSPLINE!K$13</f>
        <v>-1.7648873421376962E-4</v>
      </c>
      <c r="I287" s="5">
        <f>KcSPLINE!K$14</f>
        <v>4.2158068355122047E-4</v>
      </c>
      <c r="J287">
        <f t="shared" si="54"/>
        <v>0.7</v>
      </c>
      <c r="K287">
        <f t="shared" si="55"/>
        <v>0.3</v>
      </c>
      <c r="L287">
        <f t="shared" si="56"/>
        <v>238</v>
      </c>
      <c r="M287" s="6">
        <f t="shared" si="57"/>
        <v>0.97644953135546064</v>
      </c>
      <c r="N287" s="13">
        <f t="shared" si="52"/>
        <v>0.96863677408118554</v>
      </c>
      <c r="O287" s="6">
        <f t="shared" si="61"/>
        <v>254.57048544700504</v>
      </c>
      <c r="P287" s="6">
        <f t="shared" si="61"/>
        <v>254.93277306201051</v>
      </c>
      <c r="Q287" s="6">
        <f t="shared" si="58"/>
        <v>0.96863677408118554</v>
      </c>
      <c r="T287" s="6">
        <f t="shared" si="50"/>
        <v>0.96863677408118554</v>
      </c>
    </row>
    <row r="288" spans="1:20">
      <c r="B288">
        <f t="shared" si="59"/>
        <v>285</v>
      </c>
      <c r="C288">
        <f t="shared" si="53"/>
        <v>30</v>
      </c>
      <c r="D288">
        <v>275</v>
      </c>
      <c r="E288">
        <v>305</v>
      </c>
      <c r="F288">
        <f>KcSPLINE!F$13</f>
        <v>1.0230414746543786</v>
      </c>
      <c r="G288">
        <f>KcSPLINE!F$14</f>
        <v>0.86773499699131917</v>
      </c>
      <c r="H288" s="5">
        <f>KcSPLINE!K$13</f>
        <v>-1.7648873421376962E-4</v>
      </c>
      <c r="I288" s="5">
        <f>KcSPLINE!K$14</f>
        <v>4.2158068355122047E-4</v>
      </c>
      <c r="J288">
        <f t="shared" si="54"/>
        <v>0.66666666666666663</v>
      </c>
      <c r="K288">
        <f t="shared" si="55"/>
        <v>0.33333333333333331</v>
      </c>
      <c r="L288">
        <f t="shared" si="56"/>
        <v>239</v>
      </c>
      <c r="M288" s="6">
        <f t="shared" si="57"/>
        <v>0.97127264876669206</v>
      </c>
      <c r="N288" s="13">
        <f t="shared" si="52"/>
        <v>0.96234065917629164</v>
      </c>
      <c r="O288" s="6">
        <f t="shared" si="61"/>
        <v>255.54175809577174</v>
      </c>
      <c r="P288" s="6">
        <f t="shared" si="61"/>
        <v>255.89511372118682</v>
      </c>
      <c r="Q288" s="6">
        <f t="shared" si="58"/>
        <v>0.96234065917629164</v>
      </c>
      <c r="T288" s="6">
        <f t="shared" si="50"/>
        <v>0.96234065917629164</v>
      </c>
    </row>
    <row r="289" spans="2:20">
      <c r="B289">
        <f t="shared" si="59"/>
        <v>286</v>
      </c>
      <c r="C289">
        <f t="shared" si="53"/>
        <v>30</v>
      </c>
      <c r="D289">
        <v>275</v>
      </c>
      <c r="E289">
        <v>305</v>
      </c>
      <c r="F289">
        <f>KcSPLINE!F$13</f>
        <v>1.0230414746543786</v>
      </c>
      <c r="G289">
        <f>KcSPLINE!F$14</f>
        <v>0.86773499699131917</v>
      </c>
      <c r="H289" s="5">
        <f>KcSPLINE!K$13</f>
        <v>-1.7648873421376962E-4</v>
      </c>
      <c r="I289" s="5">
        <f>KcSPLINE!K$14</f>
        <v>4.2158068355122047E-4</v>
      </c>
      <c r="J289">
        <f t="shared" si="54"/>
        <v>0.6333333333333333</v>
      </c>
      <c r="K289">
        <f t="shared" si="55"/>
        <v>0.36666666666666664</v>
      </c>
      <c r="L289">
        <f t="shared" si="56"/>
        <v>240</v>
      </c>
      <c r="M289" s="6">
        <f t="shared" si="57"/>
        <v>0.96609576617792337</v>
      </c>
      <c r="N289" s="13">
        <f t="shared" si="52"/>
        <v>0.9560674120097723</v>
      </c>
      <c r="O289" s="6">
        <f t="shared" si="61"/>
        <v>256.50785386194968</v>
      </c>
      <c r="P289" s="6">
        <f t="shared" si="61"/>
        <v>256.85118113319658</v>
      </c>
      <c r="Q289" s="6">
        <f t="shared" si="58"/>
        <v>0.9560674120097723</v>
      </c>
      <c r="T289" s="6">
        <f t="shared" si="50"/>
        <v>0.9560674120097723</v>
      </c>
    </row>
    <row r="290" spans="2:20">
      <c r="B290">
        <f t="shared" si="59"/>
        <v>287</v>
      </c>
      <c r="C290">
        <f t="shared" si="53"/>
        <v>30</v>
      </c>
      <c r="D290">
        <v>275</v>
      </c>
      <c r="E290">
        <v>305</v>
      </c>
      <c r="F290">
        <f>KcSPLINE!F$13</f>
        <v>1.0230414746543786</v>
      </c>
      <c r="G290">
        <f>KcSPLINE!F$14</f>
        <v>0.86773499699131917</v>
      </c>
      <c r="H290" s="5">
        <f>KcSPLINE!K$13</f>
        <v>-1.7648873421376962E-4</v>
      </c>
      <c r="I290" s="5">
        <f>KcSPLINE!K$14</f>
        <v>4.2158068355122047E-4</v>
      </c>
      <c r="J290">
        <f t="shared" si="54"/>
        <v>0.6</v>
      </c>
      <c r="K290">
        <f t="shared" si="55"/>
        <v>0.4</v>
      </c>
      <c r="L290">
        <f t="shared" si="56"/>
        <v>241</v>
      </c>
      <c r="M290" s="6">
        <f t="shared" si="57"/>
        <v>0.96091888358915478</v>
      </c>
      <c r="N290" s="13">
        <f t="shared" si="52"/>
        <v>0.94983696822888641</v>
      </c>
      <c r="O290" s="6">
        <f t="shared" si="61"/>
        <v>257.46877274553884</v>
      </c>
      <c r="P290" s="6">
        <f t="shared" si="61"/>
        <v>257.80101810142548</v>
      </c>
      <c r="Q290" s="6">
        <f t="shared" si="58"/>
        <v>0.94983696822888641</v>
      </c>
      <c r="T290" s="6">
        <f t="shared" si="50"/>
        <v>0.94983696822888641</v>
      </c>
    </row>
    <row r="291" spans="2:20">
      <c r="B291">
        <f t="shared" si="59"/>
        <v>288</v>
      </c>
      <c r="C291">
        <f t="shared" si="53"/>
        <v>30</v>
      </c>
      <c r="D291">
        <v>275</v>
      </c>
      <c r="E291">
        <v>305</v>
      </c>
      <c r="F291">
        <f>KcSPLINE!F$13</f>
        <v>1.0230414746543786</v>
      </c>
      <c r="G291">
        <f>KcSPLINE!F$14</f>
        <v>0.86773499699131917</v>
      </c>
      <c r="H291" s="5">
        <f>KcSPLINE!K$13</f>
        <v>-1.7648873421376962E-4</v>
      </c>
      <c r="I291" s="5">
        <f>KcSPLINE!K$14</f>
        <v>4.2158068355122047E-4</v>
      </c>
      <c r="J291">
        <f t="shared" si="54"/>
        <v>0.56666666666666665</v>
      </c>
      <c r="K291">
        <f t="shared" si="55"/>
        <v>0.43333333333333335</v>
      </c>
      <c r="L291">
        <f t="shared" si="56"/>
        <v>242</v>
      </c>
      <c r="M291" s="6">
        <f t="shared" si="57"/>
        <v>0.95574200100038609</v>
      </c>
      <c r="N291" s="13">
        <f t="shared" si="52"/>
        <v>0.94366926348089264</v>
      </c>
      <c r="O291" s="6">
        <f t="shared" si="61"/>
        <v>258.42451474653922</v>
      </c>
      <c r="P291" s="6">
        <f t="shared" si="61"/>
        <v>258.74468736490638</v>
      </c>
      <c r="Q291" s="6">
        <f t="shared" si="58"/>
        <v>0.94366926348089264</v>
      </c>
      <c r="T291" s="6">
        <f t="shared" si="50"/>
        <v>0.94366926348089264</v>
      </c>
    </row>
    <row r="292" spans="2:20">
      <c r="B292">
        <f t="shared" si="59"/>
        <v>289</v>
      </c>
      <c r="C292">
        <f t="shared" si="53"/>
        <v>30</v>
      </c>
      <c r="D292">
        <v>275</v>
      </c>
      <c r="E292">
        <v>305</v>
      </c>
      <c r="F292">
        <f>KcSPLINE!F$13</f>
        <v>1.0230414746543786</v>
      </c>
      <c r="G292">
        <f>KcSPLINE!F$14</f>
        <v>0.86773499699131917</v>
      </c>
      <c r="H292" s="5">
        <f>KcSPLINE!K$13</f>
        <v>-1.7648873421376962E-4</v>
      </c>
      <c r="I292" s="5">
        <f>KcSPLINE!K$14</f>
        <v>4.2158068355122047E-4</v>
      </c>
      <c r="J292">
        <f t="shared" si="54"/>
        <v>0.53333333333333333</v>
      </c>
      <c r="K292">
        <f t="shared" si="55"/>
        <v>0.46666666666666667</v>
      </c>
      <c r="L292">
        <f t="shared" si="56"/>
        <v>243</v>
      </c>
      <c r="M292" s="6">
        <f t="shared" si="57"/>
        <v>0.9505651184116175</v>
      </c>
      <c r="N292" s="13">
        <f t="shared" si="52"/>
        <v>0.93758423341304997</v>
      </c>
      <c r="O292" s="6">
        <f t="shared" si="61"/>
        <v>259.37507986495086</v>
      </c>
      <c r="P292" s="6">
        <f t="shared" si="61"/>
        <v>259.68227159831946</v>
      </c>
      <c r="Q292" s="6">
        <f t="shared" si="58"/>
        <v>0.93758423341304997</v>
      </c>
      <c r="T292" s="6">
        <f t="shared" si="50"/>
        <v>0.93758423341304997</v>
      </c>
    </row>
    <row r="293" spans="2:20">
      <c r="B293">
        <f t="shared" si="59"/>
        <v>290</v>
      </c>
      <c r="C293">
        <f t="shared" si="53"/>
        <v>30</v>
      </c>
      <c r="D293">
        <v>275</v>
      </c>
      <c r="E293">
        <v>305</v>
      </c>
      <c r="F293">
        <f>KcSPLINE!F$13</f>
        <v>1.0230414746543786</v>
      </c>
      <c r="G293">
        <f>KcSPLINE!F$14</f>
        <v>0.86773499699131917</v>
      </c>
      <c r="H293" s="5">
        <f>KcSPLINE!K$13</f>
        <v>-1.7648873421376962E-4</v>
      </c>
      <c r="I293" s="5">
        <f>KcSPLINE!K$14</f>
        <v>4.2158068355122047E-4</v>
      </c>
      <c r="J293">
        <f t="shared" si="54"/>
        <v>0.5</v>
      </c>
      <c r="K293">
        <f t="shared" si="55"/>
        <v>0.5</v>
      </c>
      <c r="L293">
        <f t="shared" si="56"/>
        <v>244</v>
      </c>
      <c r="M293" s="6">
        <f t="shared" si="57"/>
        <v>0.94538823582284892</v>
      </c>
      <c r="N293" s="13">
        <f t="shared" si="52"/>
        <v>0.9316018136726173</v>
      </c>
      <c r="O293" s="6">
        <f t="shared" ref="O293:P308" si="62">O292+M293</f>
        <v>260.32046810077372</v>
      </c>
      <c r="P293" s="6">
        <f t="shared" si="62"/>
        <v>260.61387341199207</v>
      </c>
      <c r="Q293" s="6">
        <f t="shared" si="58"/>
        <v>0.9316018136726173</v>
      </c>
      <c r="T293" s="6">
        <f t="shared" si="50"/>
        <v>0.9316018136726173</v>
      </c>
    </row>
    <row r="294" spans="2:20">
      <c r="B294">
        <f t="shared" si="59"/>
        <v>291</v>
      </c>
      <c r="C294">
        <f t="shared" si="53"/>
        <v>30</v>
      </c>
      <c r="D294">
        <v>275</v>
      </c>
      <c r="E294">
        <v>305</v>
      </c>
      <c r="F294">
        <f>KcSPLINE!F$13</f>
        <v>1.0230414746543786</v>
      </c>
      <c r="G294">
        <f>KcSPLINE!F$14</f>
        <v>0.86773499699131917</v>
      </c>
      <c r="H294" s="5">
        <f>KcSPLINE!K$13</f>
        <v>-1.7648873421376962E-4</v>
      </c>
      <c r="I294" s="5">
        <f>KcSPLINE!K$14</f>
        <v>4.2158068355122047E-4</v>
      </c>
      <c r="J294">
        <f t="shared" si="54"/>
        <v>0.46666666666666667</v>
      </c>
      <c r="K294">
        <f t="shared" si="55"/>
        <v>0.53333333333333333</v>
      </c>
      <c r="L294">
        <f t="shared" si="56"/>
        <v>245</v>
      </c>
      <c r="M294" s="6">
        <f t="shared" si="57"/>
        <v>0.94021135323408023</v>
      </c>
      <c r="N294" s="13">
        <f t="shared" si="52"/>
        <v>0.92574193990685316</v>
      </c>
      <c r="O294" s="6">
        <f t="shared" si="62"/>
        <v>261.2606794540078</v>
      </c>
      <c r="P294" s="6">
        <f t="shared" si="62"/>
        <v>261.53961535189893</v>
      </c>
      <c r="Q294" s="6">
        <f t="shared" si="58"/>
        <v>0.92574193990685316</v>
      </c>
      <c r="T294" s="6">
        <f t="shared" si="50"/>
        <v>0.92574193990685316</v>
      </c>
    </row>
    <row r="295" spans="2:20">
      <c r="B295">
        <f t="shared" si="59"/>
        <v>292</v>
      </c>
      <c r="C295">
        <f t="shared" si="53"/>
        <v>30</v>
      </c>
      <c r="D295">
        <v>275</v>
      </c>
      <c r="E295">
        <v>305</v>
      </c>
      <c r="F295">
        <f>KcSPLINE!F$13</f>
        <v>1.0230414746543786</v>
      </c>
      <c r="G295">
        <f>KcSPLINE!F$14</f>
        <v>0.86773499699131917</v>
      </c>
      <c r="H295" s="5">
        <f>KcSPLINE!K$13</f>
        <v>-1.7648873421376962E-4</v>
      </c>
      <c r="I295" s="5">
        <f>KcSPLINE!K$14</f>
        <v>4.2158068355122047E-4</v>
      </c>
      <c r="J295">
        <f t="shared" si="54"/>
        <v>0.43333333333333335</v>
      </c>
      <c r="K295">
        <f t="shared" si="55"/>
        <v>0.56666666666666665</v>
      </c>
      <c r="L295">
        <f t="shared" si="56"/>
        <v>246</v>
      </c>
      <c r="M295" s="6">
        <f t="shared" si="57"/>
        <v>0.93503447064531153</v>
      </c>
      <c r="N295" s="13">
        <f t="shared" si="52"/>
        <v>0.92002454776301668</v>
      </c>
      <c r="O295" s="6">
        <f t="shared" si="62"/>
        <v>262.19571392465309</v>
      </c>
      <c r="P295" s="6">
        <f t="shared" si="62"/>
        <v>262.45963989966197</v>
      </c>
      <c r="Q295" s="6">
        <f t="shared" si="58"/>
        <v>0.92002454776301668</v>
      </c>
      <c r="T295" s="6">
        <f t="shared" si="50"/>
        <v>0.92002454776301668</v>
      </c>
    </row>
    <row r="296" spans="2:20">
      <c r="B296">
        <f t="shared" si="59"/>
        <v>293</v>
      </c>
      <c r="C296">
        <f t="shared" si="53"/>
        <v>30</v>
      </c>
      <c r="D296">
        <v>275</v>
      </c>
      <c r="E296">
        <v>305</v>
      </c>
      <c r="F296">
        <f>KcSPLINE!F$13</f>
        <v>1.0230414746543786</v>
      </c>
      <c r="G296">
        <f>KcSPLINE!F$14</f>
        <v>0.86773499699131917</v>
      </c>
      <c r="H296" s="5">
        <f>KcSPLINE!K$13</f>
        <v>-1.7648873421376962E-4</v>
      </c>
      <c r="I296" s="5">
        <f>KcSPLINE!K$14</f>
        <v>4.2158068355122047E-4</v>
      </c>
      <c r="J296">
        <f t="shared" si="54"/>
        <v>0.4</v>
      </c>
      <c r="K296">
        <f t="shared" si="55"/>
        <v>0.6</v>
      </c>
      <c r="L296">
        <f t="shared" si="56"/>
        <v>247</v>
      </c>
      <c r="M296" s="6">
        <f t="shared" si="57"/>
        <v>0.92985758805654295</v>
      </c>
      <c r="N296" s="13">
        <f t="shared" si="52"/>
        <v>0.91446957288836661</v>
      </c>
      <c r="O296" s="6">
        <f t="shared" si="62"/>
        <v>263.12557151270966</v>
      </c>
      <c r="P296" s="6">
        <f t="shared" si="62"/>
        <v>263.37410947255034</v>
      </c>
      <c r="Q296" s="6">
        <f t="shared" si="58"/>
        <v>0.91446957288836661</v>
      </c>
      <c r="T296" s="6">
        <f t="shared" si="50"/>
        <v>0.91446957288836661</v>
      </c>
    </row>
    <row r="297" spans="2:20">
      <c r="B297">
        <f t="shared" si="59"/>
        <v>294</v>
      </c>
      <c r="C297">
        <f t="shared" si="53"/>
        <v>30</v>
      </c>
      <c r="D297">
        <v>275</v>
      </c>
      <c r="E297">
        <v>305</v>
      </c>
      <c r="F297">
        <f>KcSPLINE!F$13</f>
        <v>1.0230414746543786</v>
      </c>
      <c r="G297">
        <f>KcSPLINE!F$14</f>
        <v>0.86773499699131917</v>
      </c>
      <c r="H297" s="5">
        <f>KcSPLINE!K$13</f>
        <v>-1.7648873421376962E-4</v>
      </c>
      <c r="I297" s="5">
        <f>KcSPLINE!K$14</f>
        <v>4.2158068355122047E-4</v>
      </c>
      <c r="J297">
        <f t="shared" si="54"/>
        <v>0.36666666666666664</v>
      </c>
      <c r="K297">
        <f t="shared" si="55"/>
        <v>0.6333333333333333</v>
      </c>
      <c r="L297">
        <f t="shared" si="56"/>
        <v>248</v>
      </c>
      <c r="M297" s="6">
        <f t="shared" si="57"/>
        <v>0.92468070546777426</v>
      </c>
      <c r="N297" s="13">
        <f t="shared" si="52"/>
        <v>0.90909695093016174</v>
      </c>
      <c r="O297" s="6">
        <f t="shared" si="62"/>
        <v>264.05025221817743</v>
      </c>
      <c r="P297" s="6">
        <f t="shared" si="62"/>
        <v>264.28320642348052</v>
      </c>
      <c r="Q297" s="6">
        <f t="shared" si="58"/>
        <v>0.90909695093016174</v>
      </c>
      <c r="T297" s="6">
        <f t="shared" si="50"/>
        <v>0.90909695093016174</v>
      </c>
    </row>
    <row r="298" spans="2:20">
      <c r="B298">
        <f t="shared" si="59"/>
        <v>295</v>
      </c>
      <c r="C298">
        <f t="shared" si="53"/>
        <v>30</v>
      </c>
      <c r="D298">
        <v>275</v>
      </c>
      <c r="E298">
        <v>305</v>
      </c>
      <c r="F298">
        <f>KcSPLINE!F$13</f>
        <v>1.0230414746543786</v>
      </c>
      <c r="G298">
        <f>KcSPLINE!F$14</f>
        <v>0.86773499699131917</v>
      </c>
      <c r="H298" s="5">
        <f>KcSPLINE!K$13</f>
        <v>-1.7648873421376962E-4</v>
      </c>
      <c r="I298" s="5">
        <f>KcSPLINE!K$14</f>
        <v>4.2158068355122047E-4</v>
      </c>
      <c r="J298">
        <f t="shared" si="54"/>
        <v>0.33333333333333331</v>
      </c>
      <c r="K298">
        <f t="shared" si="55"/>
        <v>0.66666666666666663</v>
      </c>
      <c r="L298">
        <f t="shared" si="56"/>
        <v>249</v>
      </c>
      <c r="M298" s="6">
        <f t="shared" si="57"/>
        <v>0.91950382287900556</v>
      </c>
      <c r="N298" s="13">
        <f t="shared" si="52"/>
        <v>0.90392661753566084</v>
      </c>
      <c r="O298" s="6">
        <f t="shared" si="62"/>
        <v>264.96975604105643</v>
      </c>
      <c r="P298" s="6">
        <f t="shared" si="62"/>
        <v>265.18713304101618</v>
      </c>
      <c r="Q298" s="6">
        <f t="shared" si="58"/>
        <v>0.90392661753566084</v>
      </c>
      <c r="T298" s="6">
        <f t="shared" si="50"/>
        <v>0.90392661753566084</v>
      </c>
    </row>
    <row r="299" spans="2:20">
      <c r="B299">
        <f t="shared" si="59"/>
        <v>296</v>
      </c>
      <c r="C299">
        <f t="shared" si="53"/>
        <v>30</v>
      </c>
      <c r="D299">
        <v>275</v>
      </c>
      <c r="E299">
        <v>305</v>
      </c>
      <c r="F299">
        <f>KcSPLINE!F$13</f>
        <v>1.0230414746543786</v>
      </c>
      <c r="G299">
        <f>KcSPLINE!F$14</f>
        <v>0.86773499699131917</v>
      </c>
      <c r="H299" s="5">
        <f>KcSPLINE!K$13</f>
        <v>-1.7648873421376962E-4</v>
      </c>
      <c r="I299" s="5">
        <f>KcSPLINE!K$14</f>
        <v>4.2158068355122047E-4</v>
      </c>
      <c r="J299">
        <f t="shared" si="54"/>
        <v>0.3</v>
      </c>
      <c r="K299">
        <f t="shared" si="55"/>
        <v>0.7</v>
      </c>
      <c r="L299">
        <f t="shared" si="56"/>
        <v>250</v>
      </c>
      <c r="M299" s="6">
        <f t="shared" si="57"/>
        <v>0.91432694029023698</v>
      </c>
      <c r="N299" s="13">
        <f t="shared" si="52"/>
        <v>0.89897850835212301</v>
      </c>
      <c r="O299" s="6">
        <f t="shared" si="62"/>
        <v>265.88408298134664</v>
      </c>
      <c r="P299" s="6">
        <f t="shared" si="62"/>
        <v>266.0861115493683</v>
      </c>
      <c r="Q299" s="6">
        <f t="shared" si="58"/>
        <v>0.89897850835212301</v>
      </c>
      <c r="T299" s="6">
        <f t="shared" si="50"/>
        <v>0.89897850835212301</v>
      </c>
    </row>
    <row r="300" spans="2:20">
      <c r="B300">
        <f t="shared" si="59"/>
        <v>297</v>
      </c>
      <c r="C300">
        <f t="shared" si="53"/>
        <v>30</v>
      </c>
      <c r="D300">
        <v>275</v>
      </c>
      <c r="E300">
        <v>305</v>
      </c>
      <c r="F300">
        <f>KcSPLINE!F$13</f>
        <v>1.0230414746543786</v>
      </c>
      <c r="G300">
        <f>KcSPLINE!F$14</f>
        <v>0.86773499699131917</v>
      </c>
      <c r="H300" s="5">
        <f>KcSPLINE!K$13</f>
        <v>-1.7648873421376962E-4</v>
      </c>
      <c r="I300" s="5">
        <f>KcSPLINE!K$14</f>
        <v>4.2158068355122047E-4</v>
      </c>
      <c r="J300">
        <f t="shared" si="54"/>
        <v>0.26666666666666666</v>
      </c>
      <c r="K300">
        <f t="shared" si="55"/>
        <v>0.73333333333333328</v>
      </c>
      <c r="L300">
        <f t="shared" si="56"/>
        <v>251</v>
      </c>
      <c r="M300" s="6">
        <f t="shared" si="57"/>
        <v>0.90915005770146828</v>
      </c>
      <c r="N300" s="13">
        <f t="shared" si="52"/>
        <v>0.89427255902680669</v>
      </c>
      <c r="O300" s="6">
        <f t="shared" si="62"/>
        <v>266.79323303904812</v>
      </c>
      <c r="P300" s="6">
        <f t="shared" si="62"/>
        <v>266.98038410839513</v>
      </c>
      <c r="Q300" s="6">
        <f t="shared" si="58"/>
        <v>0.89427255902680669</v>
      </c>
      <c r="T300" s="6">
        <f t="shared" si="50"/>
        <v>0.89427255902680669</v>
      </c>
    </row>
    <row r="301" spans="2:20">
      <c r="B301">
        <f t="shared" si="59"/>
        <v>298</v>
      </c>
      <c r="C301">
        <f t="shared" si="53"/>
        <v>30</v>
      </c>
      <c r="D301">
        <v>275</v>
      </c>
      <c r="E301">
        <v>305</v>
      </c>
      <c r="F301">
        <f>KcSPLINE!F$13</f>
        <v>1.0230414746543786</v>
      </c>
      <c r="G301">
        <f>KcSPLINE!F$14</f>
        <v>0.86773499699131917</v>
      </c>
      <c r="H301" s="5">
        <f>KcSPLINE!K$13</f>
        <v>-1.7648873421376962E-4</v>
      </c>
      <c r="I301" s="5">
        <f>KcSPLINE!K$14</f>
        <v>4.2158068355122047E-4</v>
      </c>
      <c r="J301">
        <f t="shared" si="54"/>
        <v>0.23333333333333334</v>
      </c>
      <c r="K301">
        <f t="shared" si="55"/>
        <v>0.76666666666666672</v>
      </c>
      <c r="L301">
        <f t="shared" si="56"/>
        <v>252</v>
      </c>
      <c r="M301" s="6">
        <f t="shared" si="57"/>
        <v>0.9039731751126997</v>
      </c>
      <c r="N301" s="13">
        <f t="shared" si="52"/>
        <v>0.8898287052069711</v>
      </c>
      <c r="O301" s="6">
        <f t="shared" si="62"/>
        <v>267.69720621416081</v>
      </c>
      <c r="P301" s="6">
        <f t="shared" si="62"/>
        <v>267.87021281360211</v>
      </c>
      <c r="Q301" s="6">
        <f t="shared" si="58"/>
        <v>0.8898287052069711</v>
      </c>
      <c r="T301" s="6">
        <f t="shared" si="50"/>
        <v>0.8898287052069711</v>
      </c>
    </row>
    <row r="302" spans="2:20">
      <c r="B302">
        <f t="shared" si="59"/>
        <v>299</v>
      </c>
      <c r="C302">
        <f t="shared" si="53"/>
        <v>30</v>
      </c>
      <c r="D302">
        <v>275</v>
      </c>
      <c r="E302">
        <v>305</v>
      </c>
      <c r="F302">
        <f>KcSPLINE!F$13</f>
        <v>1.0230414746543786</v>
      </c>
      <c r="G302">
        <f>KcSPLINE!F$14</f>
        <v>0.86773499699131917</v>
      </c>
      <c r="H302" s="5">
        <f>KcSPLINE!K$13</f>
        <v>-1.7648873421376962E-4</v>
      </c>
      <c r="I302" s="5">
        <f>KcSPLINE!K$14</f>
        <v>4.2158068355122047E-4</v>
      </c>
      <c r="J302">
        <f t="shared" si="54"/>
        <v>0.2</v>
      </c>
      <c r="K302">
        <f t="shared" si="55"/>
        <v>0.8</v>
      </c>
      <c r="L302">
        <f t="shared" si="56"/>
        <v>253</v>
      </c>
      <c r="M302" s="6">
        <f t="shared" si="57"/>
        <v>0.89879629252393112</v>
      </c>
      <c r="N302" s="13">
        <f t="shared" si="52"/>
        <v>0.88566688253987491</v>
      </c>
      <c r="O302" s="6">
        <f t="shared" si="62"/>
        <v>268.59600250668473</v>
      </c>
      <c r="P302" s="6">
        <f t="shared" si="62"/>
        <v>268.75587969614196</v>
      </c>
      <c r="Q302" s="6">
        <f t="shared" si="58"/>
        <v>0.88566688253987491</v>
      </c>
      <c r="T302" s="6">
        <f t="shared" si="50"/>
        <v>0.88566688253987491</v>
      </c>
    </row>
    <row r="303" spans="2:20">
      <c r="B303">
        <f t="shared" si="59"/>
        <v>300</v>
      </c>
      <c r="C303">
        <f t="shared" si="53"/>
        <v>30</v>
      </c>
      <c r="D303">
        <v>275</v>
      </c>
      <c r="E303">
        <v>305</v>
      </c>
      <c r="F303">
        <f>KcSPLINE!F$13</f>
        <v>1.0230414746543786</v>
      </c>
      <c r="G303">
        <f>KcSPLINE!F$14</f>
        <v>0.86773499699131917</v>
      </c>
      <c r="H303" s="5">
        <f>KcSPLINE!K$13</f>
        <v>-1.7648873421376962E-4</v>
      </c>
      <c r="I303" s="5">
        <f>KcSPLINE!K$14</f>
        <v>4.2158068355122047E-4</v>
      </c>
      <c r="J303">
        <f t="shared" si="54"/>
        <v>0.16666666666666666</v>
      </c>
      <c r="K303">
        <f t="shared" si="55"/>
        <v>0.83333333333333337</v>
      </c>
      <c r="L303">
        <f t="shared" si="56"/>
        <v>254</v>
      </c>
      <c r="M303" s="6">
        <f t="shared" si="57"/>
        <v>0.89361940993516242</v>
      </c>
      <c r="N303" s="13">
        <f t="shared" si="52"/>
        <v>0.88180702667277688</v>
      </c>
      <c r="O303" s="6">
        <f t="shared" si="62"/>
        <v>269.48962191661991</v>
      </c>
      <c r="P303" s="6">
        <f t="shared" si="62"/>
        <v>269.63768672281475</v>
      </c>
      <c r="Q303" s="6">
        <f t="shared" si="58"/>
        <v>0.88180702667277688</v>
      </c>
      <c r="T303" s="6">
        <f t="shared" si="50"/>
        <v>0.88180702667277688</v>
      </c>
    </row>
    <row r="304" spans="2:20">
      <c r="B304">
        <f t="shared" si="59"/>
        <v>301</v>
      </c>
      <c r="C304">
        <f t="shared" si="53"/>
        <v>30</v>
      </c>
      <c r="D304">
        <v>275</v>
      </c>
      <c r="E304">
        <v>305</v>
      </c>
      <c r="F304">
        <f>KcSPLINE!F$13</f>
        <v>1.0230414746543786</v>
      </c>
      <c r="G304">
        <f>KcSPLINE!F$14</f>
        <v>0.86773499699131917</v>
      </c>
      <c r="H304" s="5">
        <f>KcSPLINE!K$13</f>
        <v>-1.7648873421376962E-4</v>
      </c>
      <c r="I304" s="5">
        <f>KcSPLINE!K$14</f>
        <v>4.2158068355122047E-4</v>
      </c>
      <c r="J304">
        <f t="shared" si="54"/>
        <v>0.13333333333333333</v>
      </c>
      <c r="K304">
        <f t="shared" si="55"/>
        <v>0.8666666666666667</v>
      </c>
      <c r="L304">
        <f t="shared" si="56"/>
        <v>255</v>
      </c>
      <c r="M304" s="6">
        <f t="shared" si="57"/>
        <v>0.88844252734639384</v>
      </c>
      <c r="N304" s="13">
        <f t="shared" si="52"/>
        <v>0.87826907325293602</v>
      </c>
      <c r="O304" s="6">
        <f t="shared" si="62"/>
        <v>270.37806444396631</v>
      </c>
      <c r="P304" s="6">
        <f t="shared" si="62"/>
        <v>270.51595579606766</v>
      </c>
      <c r="Q304" s="6">
        <f t="shared" si="58"/>
        <v>0.87826907325293602</v>
      </c>
      <c r="T304" s="6">
        <f t="shared" si="50"/>
        <v>0.87826907325293602</v>
      </c>
    </row>
    <row r="305" spans="1:20">
      <c r="B305">
        <f t="shared" si="59"/>
        <v>302</v>
      </c>
      <c r="C305">
        <f t="shared" si="53"/>
        <v>30</v>
      </c>
      <c r="D305">
        <v>275</v>
      </c>
      <c r="E305">
        <v>305</v>
      </c>
      <c r="F305">
        <f>KcSPLINE!F$13</f>
        <v>1.0230414746543786</v>
      </c>
      <c r="G305">
        <f>KcSPLINE!F$14</f>
        <v>0.86773499699131917</v>
      </c>
      <c r="H305" s="5">
        <f>KcSPLINE!K$13</f>
        <v>-1.7648873421376962E-4</v>
      </c>
      <c r="I305" s="5">
        <f>KcSPLINE!K$14</f>
        <v>4.2158068355122047E-4</v>
      </c>
      <c r="J305">
        <f t="shared" si="54"/>
        <v>0.1</v>
      </c>
      <c r="K305">
        <f t="shared" si="55"/>
        <v>0.9</v>
      </c>
      <c r="L305">
        <f t="shared" si="56"/>
        <v>256</v>
      </c>
      <c r="M305" s="6">
        <f t="shared" si="57"/>
        <v>0.88326564475762503</v>
      </c>
      <c r="N305" s="13">
        <f t="shared" si="52"/>
        <v>0.87507295792761075</v>
      </c>
      <c r="O305" s="6">
        <f t="shared" si="62"/>
        <v>271.26133008872392</v>
      </c>
      <c r="P305" s="6">
        <f t="shared" si="62"/>
        <v>271.39102875399527</v>
      </c>
      <c r="Q305" s="6">
        <f t="shared" si="58"/>
        <v>0.87507295792761075</v>
      </c>
      <c r="T305" s="6">
        <f t="shared" si="50"/>
        <v>0.87507295792761075</v>
      </c>
    </row>
    <row r="306" spans="1:20">
      <c r="B306">
        <f t="shared" si="59"/>
        <v>303</v>
      </c>
      <c r="C306">
        <f t="shared" si="53"/>
        <v>30</v>
      </c>
      <c r="D306">
        <v>275</v>
      </c>
      <c r="E306">
        <v>305</v>
      </c>
      <c r="F306">
        <f>KcSPLINE!F$13</f>
        <v>1.0230414746543786</v>
      </c>
      <c r="G306">
        <f>KcSPLINE!F$14</f>
        <v>0.86773499699131917</v>
      </c>
      <c r="H306" s="5">
        <f>KcSPLINE!K$13</f>
        <v>-1.7648873421376962E-4</v>
      </c>
      <c r="I306" s="5">
        <f>KcSPLINE!K$14</f>
        <v>4.2158068355122047E-4</v>
      </c>
      <c r="J306">
        <f t="shared" si="54"/>
        <v>6.6666666666666666E-2</v>
      </c>
      <c r="K306">
        <f t="shared" si="55"/>
        <v>0.93333333333333335</v>
      </c>
      <c r="L306">
        <f t="shared" si="56"/>
        <v>257</v>
      </c>
      <c r="M306" s="6">
        <f t="shared" si="57"/>
        <v>0.87808876216885645</v>
      </c>
      <c r="N306" s="13">
        <f t="shared" si="52"/>
        <v>0.87223861634406041</v>
      </c>
      <c r="O306" s="6">
        <f t="shared" si="62"/>
        <v>272.13941885089275</v>
      </c>
      <c r="P306" s="6">
        <f t="shared" si="62"/>
        <v>272.26326737033935</v>
      </c>
      <c r="Q306" s="6">
        <f t="shared" si="58"/>
        <v>0.87223861634406041</v>
      </c>
      <c r="T306" s="6">
        <f t="shared" ref="T306:T369" si="63">N306</f>
        <v>0.87223861634406041</v>
      </c>
    </row>
    <row r="307" spans="1:20">
      <c r="B307">
        <f t="shared" si="59"/>
        <v>304</v>
      </c>
      <c r="C307">
        <f t="shared" si="53"/>
        <v>30</v>
      </c>
      <c r="D307">
        <v>275</v>
      </c>
      <c r="E307">
        <v>305</v>
      </c>
      <c r="F307">
        <f>KcSPLINE!F$13</f>
        <v>1.0230414746543786</v>
      </c>
      <c r="G307">
        <f>KcSPLINE!F$14</f>
        <v>0.86773499699131917</v>
      </c>
      <c r="H307" s="5">
        <f>KcSPLINE!K$13</f>
        <v>-1.7648873421376962E-4</v>
      </c>
      <c r="I307" s="5">
        <f>KcSPLINE!K$14</f>
        <v>4.2158068355122047E-4</v>
      </c>
      <c r="J307">
        <f t="shared" si="54"/>
        <v>3.3333333333333333E-2</v>
      </c>
      <c r="K307">
        <f t="shared" si="55"/>
        <v>0.96666666666666667</v>
      </c>
      <c r="L307">
        <f t="shared" si="56"/>
        <v>258</v>
      </c>
      <c r="M307" s="6">
        <f t="shared" si="57"/>
        <v>0.87291187958008776</v>
      </c>
      <c r="N307" s="13">
        <f t="shared" si="52"/>
        <v>0.86978598414954356</v>
      </c>
      <c r="O307" s="6">
        <f t="shared" si="62"/>
        <v>273.01233073047285</v>
      </c>
      <c r="P307" s="6">
        <f t="shared" si="62"/>
        <v>273.13305335448888</v>
      </c>
      <c r="Q307" s="6">
        <f t="shared" si="58"/>
        <v>0.86978598414954356</v>
      </c>
      <c r="T307" s="6">
        <f t="shared" si="63"/>
        <v>0.86978598414954356</v>
      </c>
    </row>
    <row r="308" spans="1:20">
      <c r="A308">
        <v>305</v>
      </c>
      <c r="B308">
        <f t="shared" si="59"/>
        <v>305</v>
      </c>
      <c r="C308">
        <f t="shared" si="53"/>
        <v>30</v>
      </c>
      <c r="D308">
        <v>275</v>
      </c>
      <c r="E308">
        <v>305</v>
      </c>
      <c r="F308">
        <f>KcSPLINE!F$13</f>
        <v>1.0230414746543786</v>
      </c>
      <c r="G308">
        <f>KcSPLINE!F$14</f>
        <v>0.86773499699131917</v>
      </c>
      <c r="H308" s="5">
        <f>KcSPLINE!K$13</f>
        <v>-1.7648873421376962E-4</v>
      </c>
      <c r="I308" s="5">
        <f>KcSPLINE!K$14</f>
        <v>4.2158068355122047E-4</v>
      </c>
      <c r="J308">
        <f t="shared" si="54"/>
        <v>0</v>
      </c>
      <c r="K308">
        <f t="shared" si="55"/>
        <v>1</v>
      </c>
      <c r="L308">
        <f t="shared" si="56"/>
        <v>259</v>
      </c>
      <c r="M308" s="6">
        <f t="shared" si="57"/>
        <v>0.86773499699131917</v>
      </c>
      <c r="N308" s="13">
        <f t="shared" si="52"/>
        <v>0.86773499699131917</v>
      </c>
      <c r="O308" s="6">
        <f t="shared" si="62"/>
        <v>273.88006572746417</v>
      </c>
      <c r="P308" s="6">
        <f t="shared" si="62"/>
        <v>274.0007883514802</v>
      </c>
      <c r="Q308" s="6">
        <f t="shared" si="58"/>
        <v>0.86773499699131917</v>
      </c>
      <c r="T308" s="6">
        <f t="shared" si="63"/>
        <v>0.86773499699131917</v>
      </c>
    </row>
    <row r="309" spans="1:20">
      <c r="B309">
        <f t="shared" si="59"/>
        <v>306</v>
      </c>
      <c r="C309">
        <f t="shared" si="53"/>
        <v>31</v>
      </c>
      <c r="D309">
        <v>305</v>
      </c>
      <c r="E309">
        <v>336</v>
      </c>
      <c r="F309">
        <f>KcSPLINE!F$14</f>
        <v>0.86773499699131917</v>
      </c>
      <c r="G309">
        <f>KcSPLINE!F$15</f>
        <v>0.97580164046852269</v>
      </c>
      <c r="H309" s="5">
        <f>KcSPLINE!K$14</f>
        <v>4.2158068355122047E-4</v>
      </c>
      <c r="I309" s="5">
        <f>KcSPLINE!K$15</f>
        <v>1.8836253902422418E-4</v>
      </c>
      <c r="J309">
        <f t="shared" si="54"/>
        <v>0.967741935483871</v>
      </c>
      <c r="K309">
        <f t="shared" si="55"/>
        <v>3.2258064516129031E-2</v>
      </c>
      <c r="L309">
        <f t="shared" si="56"/>
        <v>260</v>
      </c>
      <c r="M309" s="6">
        <f t="shared" si="57"/>
        <v>0.87122101774864835</v>
      </c>
      <c r="N309" s="13">
        <f t="shared" si="52"/>
        <v>0.8661010140477774</v>
      </c>
      <c r="O309" s="6">
        <f t="shared" ref="O309:P324" si="64">O308+M309</f>
        <v>274.75128674521284</v>
      </c>
      <c r="P309" s="6">
        <f t="shared" si="64"/>
        <v>274.86688936552798</v>
      </c>
      <c r="Q309" s="6">
        <f t="shared" si="58"/>
        <v>0.8661010140477774</v>
      </c>
      <c r="T309" s="6">
        <f t="shared" si="63"/>
        <v>0.8661010140477774</v>
      </c>
    </row>
    <row r="310" spans="1:20">
      <c r="B310">
        <f t="shared" si="59"/>
        <v>307</v>
      </c>
      <c r="C310">
        <f t="shared" si="53"/>
        <v>31</v>
      </c>
      <c r="D310">
        <v>305</v>
      </c>
      <c r="E310">
        <v>336</v>
      </c>
      <c r="F310">
        <f>KcSPLINE!F$14</f>
        <v>0.86773499699131917</v>
      </c>
      <c r="G310">
        <f>KcSPLINE!F$15</f>
        <v>0.97580164046852269</v>
      </c>
      <c r="H310" s="5">
        <f>KcSPLINE!K$14</f>
        <v>4.2158068355122047E-4</v>
      </c>
      <c r="I310" s="5">
        <f>KcSPLINE!K$15</f>
        <v>1.8836253902422418E-4</v>
      </c>
      <c r="J310">
        <f t="shared" si="54"/>
        <v>0.93548387096774188</v>
      </c>
      <c r="K310">
        <f t="shared" si="55"/>
        <v>6.4516129032258063E-2</v>
      </c>
      <c r="L310">
        <f t="shared" si="56"/>
        <v>261</v>
      </c>
      <c r="M310" s="6">
        <f t="shared" si="57"/>
        <v>0.87470703850597742</v>
      </c>
      <c r="N310" s="13">
        <f t="shared" si="52"/>
        <v>0.86488108862183433</v>
      </c>
      <c r="O310" s="6">
        <f t="shared" si="64"/>
        <v>275.6259937837188</v>
      </c>
      <c r="P310" s="6">
        <f t="shared" si="64"/>
        <v>275.7317704541498</v>
      </c>
      <c r="Q310" s="6">
        <f t="shared" si="58"/>
        <v>0.86488108862183433</v>
      </c>
      <c r="T310" s="6">
        <f t="shared" si="63"/>
        <v>0.86488108862183433</v>
      </c>
    </row>
    <row r="311" spans="1:20">
      <c r="B311">
        <f t="shared" si="59"/>
        <v>308</v>
      </c>
      <c r="C311">
        <f t="shared" si="53"/>
        <v>31</v>
      </c>
      <c r="D311">
        <v>305</v>
      </c>
      <c r="E311">
        <v>336</v>
      </c>
      <c r="F311">
        <f>KcSPLINE!F$14</f>
        <v>0.86773499699131917</v>
      </c>
      <c r="G311">
        <f>KcSPLINE!F$15</f>
        <v>0.97580164046852269</v>
      </c>
      <c r="H311" s="5">
        <f>KcSPLINE!K$14</f>
        <v>4.2158068355122047E-4</v>
      </c>
      <c r="I311" s="5">
        <f>KcSPLINE!K$15</f>
        <v>1.8836253902422418E-4</v>
      </c>
      <c r="J311">
        <f t="shared" si="54"/>
        <v>0.90322580645161288</v>
      </c>
      <c r="K311">
        <f t="shared" si="55"/>
        <v>9.6774193548387094E-2</v>
      </c>
      <c r="L311">
        <f t="shared" si="56"/>
        <v>262</v>
      </c>
      <c r="M311" s="6">
        <f t="shared" si="57"/>
        <v>0.87819305926330649</v>
      </c>
      <c r="N311" s="13">
        <f t="shared" ref="N311:N374" si="65">Q311</f>
        <v>0.86406769754753754</v>
      </c>
      <c r="O311" s="6">
        <f t="shared" si="64"/>
        <v>276.50418684298211</v>
      </c>
      <c r="P311" s="6">
        <f t="shared" si="64"/>
        <v>276.59583815169731</v>
      </c>
      <c r="Q311" s="6">
        <f t="shared" si="58"/>
        <v>0.86406769754753754</v>
      </c>
      <c r="T311" s="6">
        <f t="shared" si="63"/>
        <v>0.86406769754753754</v>
      </c>
    </row>
    <row r="312" spans="1:20">
      <c r="B312">
        <f t="shared" si="59"/>
        <v>309</v>
      </c>
      <c r="C312">
        <f t="shared" si="53"/>
        <v>31</v>
      </c>
      <c r="D312">
        <v>305</v>
      </c>
      <c r="E312">
        <v>336</v>
      </c>
      <c r="F312">
        <f>KcSPLINE!F$14</f>
        <v>0.86773499699131917</v>
      </c>
      <c r="G312">
        <f>KcSPLINE!F$15</f>
        <v>0.97580164046852269</v>
      </c>
      <c r="H312" s="5">
        <f>KcSPLINE!K$14</f>
        <v>4.2158068355122047E-4</v>
      </c>
      <c r="I312" s="5">
        <f>KcSPLINE!K$15</f>
        <v>1.8836253902422418E-4</v>
      </c>
      <c r="J312">
        <f t="shared" si="54"/>
        <v>0.87096774193548387</v>
      </c>
      <c r="K312">
        <f t="shared" si="55"/>
        <v>0.12903225806451613</v>
      </c>
      <c r="L312">
        <f t="shared" si="56"/>
        <v>263</v>
      </c>
      <c r="M312" s="6">
        <f t="shared" si="57"/>
        <v>0.88167908002063577</v>
      </c>
      <c r="N312" s="13">
        <f t="shared" si="65"/>
        <v>0.86365331765893461</v>
      </c>
      <c r="O312" s="6">
        <f t="shared" si="64"/>
        <v>277.38586592300277</v>
      </c>
      <c r="P312" s="6">
        <f t="shared" si="64"/>
        <v>277.45949146935624</v>
      </c>
      <c r="Q312" s="6">
        <f t="shared" si="58"/>
        <v>0.86365331765893461</v>
      </c>
      <c r="T312" s="6">
        <f t="shared" si="63"/>
        <v>0.86365331765893461</v>
      </c>
    </row>
    <row r="313" spans="1:20">
      <c r="B313">
        <f t="shared" si="59"/>
        <v>310</v>
      </c>
      <c r="C313">
        <f t="shared" si="53"/>
        <v>31</v>
      </c>
      <c r="D313">
        <v>305</v>
      </c>
      <c r="E313">
        <v>336</v>
      </c>
      <c r="F313">
        <f>KcSPLINE!F$14</f>
        <v>0.86773499699131917</v>
      </c>
      <c r="G313">
        <f>KcSPLINE!F$15</f>
        <v>0.97580164046852269</v>
      </c>
      <c r="H313" s="5">
        <f>KcSPLINE!K$14</f>
        <v>4.2158068355122047E-4</v>
      </c>
      <c r="I313" s="5">
        <f>KcSPLINE!K$15</f>
        <v>1.8836253902422418E-4</v>
      </c>
      <c r="J313">
        <f t="shared" si="54"/>
        <v>0.83870967741935487</v>
      </c>
      <c r="K313">
        <f t="shared" si="55"/>
        <v>0.16129032258064516</v>
      </c>
      <c r="L313">
        <f t="shared" si="56"/>
        <v>264</v>
      </c>
      <c r="M313" s="6">
        <f t="shared" si="57"/>
        <v>0.88516510077796484</v>
      </c>
      <c r="N313" s="13">
        <f t="shared" si="65"/>
        <v>0.86363042579007288</v>
      </c>
      <c r="O313" s="6">
        <f t="shared" si="64"/>
        <v>278.27103102378072</v>
      </c>
      <c r="P313" s="6">
        <f t="shared" si="64"/>
        <v>278.3231218951463</v>
      </c>
      <c r="Q313" s="6">
        <f t="shared" si="58"/>
        <v>0.86363042579007288</v>
      </c>
      <c r="T313" s="6">
        <f t="shared" si="63"/>
        <v>0.86363042579007288</v>
      </c>
    </row>
    <row r="314" spans="1:20">
      <c r="B314">
        <f t="shared" si="59"/>
        <v>311</v>
      </c>
      <c r="C314">
        <f t="shared" si="53"/>
        <v>31</v>
      </c>
      <c r="D314">
        <v>305</v>
      </c>
      <c r="E314">
        <v>336</v>
      </c>
      <c r="F314">
        <f>KcSPLINE!F$14</f>
        <v>0.86773499699131917</v>
      </c>
      <c r="G314">
        <f>KcSPLINE!F$15</f>
        <v>0.97580164046852269</v>
      </c>
      <c r="H314" s="5">
        <f>KcSPLINE!K$14</f>
        <v>4.2158068355122047E-4</v>
      </c>
      <c r="I314" s="5">
        <f>KcSPLINE!K$15</f>
        <v>1.8836253902422418E-4</v>
      </c>
      <c r="J314">
        <f t="shared" si="54"/>
        <v>0.80645161290322576</v>
      </c>
      <c r="K314">
        <f t="shared" si="55"/>
        <v>0.19354838709677419</v>
      </c>
      <c r="L314">
        <f t="shared" si="56"/>
        <v>265</v>
      </c>
      <c r="M314" s="6">
        <f t="shared" si="57"/>
        <v>0.88865112153529402</v>
      </c>
      <c r="N314" s="13">
        <f t="shared" si="65"/>
        <v>0.86399149877499992</v>
      </c>
      <c r="O314" s="6">
        <f t="shared" si="64"/>
        <v>279.15968214531603</v>
      </c>
      <c r="P314" s="6">
        <f t="shared" si="64"/>
        <v>279.18711339392132</v>
      </c>
      <c r="Q314" s="6">
        <f t="shared" si="58"/>
        <v>0.86399149877499992</v>
      </c>
      <c r="T314" s="6">
        <f t="shared" si="63"/>
        <v>0.86399149877499992</v>
      </c>
    </row>
    <row r="315" spans="1:20">
      <c r="B315">
        <f t="shared" si="59"/>
        <v>312</v>
      </c>
      <c r="C315">
        <f t="shared" si="53"/>
        <v>31</v>
      </c>
      <c r="D315">
        <v>305</v>
      </c>
      <c r="E315">
        <v>336</v>
      </c>
      <c r="F315">
        <f>KcSPLINE!F$14</f>
        <v>0.86773499699131917</v>
      </c>
      <c r="G315">
        <f>KcSPLINE!F$15</f>
        <v>0.97580164046852269</v>
      </c>
      <c r="H315" s="5">
        <f>KcSPLINE!K$14</f>
        <v>4.2158068355122047E-4</v>
      </c>
      <c r="I315" s="5">
        <f>KcSPLINE!K$15</f>
        <v>1.8836253902422418E-4</v>
      </c>
      <c r="J315">
        <f t="shared" si="54"/>
        <v>0.77419354838709675</v>
      </c>
      <c r="K315">
        <f t="shared" si="55"/>
        <v>0.22580645161290322</v>
      </c>
      <c r="L315">
        <f t="shared" si="56"/>
        <v>266</v>
      </c>
      <c r="M315" s="6">
        <f t="shared" si="57"/>
        <v>0.89213714229262309</v>
      </c>
      <c r="N315" s="13">
        <f t="shared" si="65"/>
        <v>0.86472901344776332</v>
      </c>
      <c r="O315" s="6">
        <f t="shared" si="64"/>
        <v>280.05181928760862</v>
      </c>
      <c r="P315" s="6">
        <f t="shared" si="64"/>
        <v>280.05184240736907</v>
      </c>
      <c r="Q315" s="6">
        <f t="shared" si="58"/>
        <v>0.86472901344776332</v>
      </c>
      <c r="T315" s="6">
        <f t="shared" si="63"/>
        <v>0.86472901344776332</v>
      </c>
    </row>
    <row r="316" spans="1:20">
      <c r="B316">
        <f t="shared" si="59"/>
        <v>313</v>
      </c>
      <c r="C316">
        <f t="shared" si="53"/>
        <v>31</v>
      </c>
      <c r="D316">
        <v>305</v>
      </c>
      <c r="E316">
        <v>336</v>
      </c>
      <c r="F316">
        <f>KcSPLINE!F$14</f>
        <v>0.86773499699131917</v>
      </c>
      <c r="G316">
        <f>KcSPLINE!F$15</f>
        <v>0.97580164046852269</v>
      </c>
      <c r="H316" s="5">
        <f>KcSPLINE!K$14</f>
        <v>4.2158068355122047E-4</v>
      </c>
      <c r="I316" s="5">
        <f>KcSPLINE!K$15</f>
        <v>1.8836253902422418E-4</v>
      </c>
      <c r="J316">
        <f t="shared" si="54"/>
        <v>0.74193548387096775</v>
      </c>
      <c r="K316">
        <f t="shared" si="55"/>
        <v>0.25806451612903225</v>
      </c>
      <c r="L316">
        <f t="shared" si="56"/>
        <v>267</v>
      </c>
      <c r="M316" s="6">
        <f t="shared" si="57"/>
        <v>0.89562316304995238</v>
      </c>
      <c r="N316" s="13">
        <f t="shared" si="65"/>
        <v>0.86583544664241063</v>
      </c>
      <c r="O316" s="6">
        <f t="shared" si="64"/>
        <v>280.94744245065857</v>
      </c>
      <c r="P316" s="6">
        <f t="shared" si="64"/>
        <v>280.91767785401146</v>
      </c>
      <c r="Q316" s="6">
        <f t="shared" si="58"/>
        <v>0.86583544664241063</v>
      </c>
      <c r="T316" s="6">
        <f t="shared" si="63"/>
        <v>0.86583544664241063</v>
      </c>
    </row>
    <row r="317" spans="1:20">
      <c r="B317">
        <f t="shared" si="59"/>
        <v>314</v>
      </c>
      <c r="C317">
        <f t="shared" si="53"/>
        <v>31</v>
      </c>
      <c r="D317">
        <v>305</v>
      </c>
      <c r="E317">
        <v>336</v>
      </c>
      <c r="F317">
        <f>KcSPLINE!F$14</f>
        <v>0.86773499699131917</v>
      </c>
      <c r="G317">
        <f>KcSPLINE!F$15</f>
        <v>0.97580164046852269</v>
      </c>
      <c r="H317" s="5">
        <f>KcSPLINE!K$14</f>
        <v>4.2158068355122047E-4</v>
      </c>
      <c r="I317" s="5">
        <f>KcSPLINE!K$15</f>
        <v>1.8836253902422418E-4</v>
      </c>
      <c r="J317">
        <f t="shared" si="54"/>
        <v>0.70967741935483875</v>
      </c>
      <c r="K317">
        <f t="shared" si="55"/>
        <v>0.29032258064516131</v>
      </c>
      <c r="L317">
        <f t="shared" si="56"/>
        <v>268</v>
      </c>
      <c r="M317" s="6">
        <f t="shared" si="57"/>
        <v>0.89910918380728155</v>
      </c>
      <c r="N317" s="13">
        <f t="shared" si="65"/>
        <v>0.86730327519298933</v>
      </c>
      <c r="O317" s="6">
        <f t="shared" si="64"/>
        <v>281.84655163446587</v>
      </c>
      <c r="P317" s="6">
        <f t="shared" si="64"/>
        <v>281.78498112920443</v>
      </c>
      <c r="Q317" s="6">
        <f t="shared" si="58"/>
        <v>0.86730327519298933</v>
      </c>
      <c r="T317" s="6">
        <f t="shared" si="63"/>
        <v>0.86730327519298933</v>
      </c>
    </row>
    <row r="318" spans="1:20">
      <c r="B318">
        <f t="shared" si="59"/>
        <v>315</v>
      </c>
      <c r="C318">
        <f t="shared" si="53"/>
        <v>31</v>
      </c>
      <c r="D318">
        <v>305</v>
      </c>
      <c r="E318">
        <v>336</v>
      </c>
      <c r="F318">
        <f>KcSPLINE!F$14</f>
        <v>0.86773499699131917</v>
      </c>
      <c r="G318">
        <f>KcSPLINE!F$15</f>
        <v>0.97580164046852269</v>
      </c>
      <c r="H318" s="5">
        <f>KcSPLINE!K$14</f>
        <v>4.2158068355122047E-4</v>
      </c>
      <c r="I318" s="5">
        <f>KcSPLINE!K$15</f>
        <v>1.8836253902422418E-4</v>
      </c>
      <c r="J318">
        <f t="shared" si="54"/>
        <v>0.67741935483870963</v>
      </c>
      <c r="K318">
        <f t="shared" si="55"/>
        <v>0.32258064516129031</v>
      </c>
      <c r="L318">
        <f t="shared" si="56"/>
        <v>269</v>
      </c>
      <c r="M318" s="6">
        <f t="shared" si="57"/>
        <v>0.90259520456461062</v>
      </c>
      <c r="N318" s="13">
        <f t="shared" si="65"/>
        <v>0.86912497593354665</v>
      </c>
      <c r="O318" s="6">
        <f t="shared" si="64"/>
        <v>282.74914683903046</v>
      </c>
      <c r="P318" s="6">
        <f t="shared" si="64"/>
        <v>282.654106105138</v>
      </c>
      <c r="Q318" s="6">
        <f t="shared" si="58"/>
        <v>0.86912497593354665</v>
      </c>
      <c r="T318" s="6">
        <f t="shared" si="63"/>
        <v>0.86912497593354665</v>
      </c>
    </row>
    <row r="319" spans="1:20">
      <c r="B319">
        <f t="shared" si="59"/>
        <v>316</v>
      </c>
      <c r="C319">
        <f t="shared" si="53"/>
        <v>31</v>
      </c>
      <c r="D319">
        <v>305</v>
      </c>
      <c r="E319">
        <v>336</v>
      </c>
      <c r="F319">
        <f>KcSPLINE!F$14</f>
        <v>0.86773499699131917</v>
      </c>
      <c r="G319">
        <f>KcSPLINE!F$15</f>
        <v>0.97580164046852269</v>
      </c>
      <c r="H319" s="5">
        <f>KcSPLINE!K$14</f>
        <v>4.2158068355122047E-4</v>
      </c>
      <c r="I319" s="5">
        <f>KcSPLINE!K$15</f>
        <v>1.8836253902422418E-4</v>
      </c>
      <c r="J319">
        <f t="shared" si="54"/>
        <v>0.64516129032258063</v>
      </c>
      <c r="K319">
        <f t="shared" si="55"/>
        <v>0.35483870967741937</v>
      </c>
      <c r="L319">
        <f t="shared" si="56"/>
        <v>270</v>
      </c>
      <c r="M319" s="6">
        <f t="shared" si="57"/>
        <v>0.90608122532193969</v>
      </c>
      <c r="N319" s="13">
        <f t="shared" si="65"/>
        <v>0.87129302569813039</v>
      </c>
      <c r="O319" s="6">
        <f t="shared" si="64"/>
        <v>283.6552280643524</v>
      </c>
      <c r="P319" s="6">
        <f t="shared" si="64"/>
        <v>283.52539913083615</v>
      </c>
      <c r="Q319" s="6">
        <f t="shared" si="58"/>
        <v>0.87129302569813039</v>
      </c>
      <c r="T319" s="6">
        <f t="shared" si="63"/>
        <v>0.87129302569813039</v>
      </c>
    </row>
    <row r="320" spans="1:20">
      <c r="B320">
        <f t="shared" si="59"/>
        <v>317</v>
      </c>
      <c r="C320">
        <f t="shared" si="53"/>
        <v>31</v>
      </c>
      <c r="D320">
        <v>305</v>
      </c>
      <c r="E320">
        <v>336</v>
      </c>
      <c r="F320">
        <f>KcSPLINE!F$14</f>
        <v>0.86773499699131917</v>
      </c>
      <c r="G320">
        <f>KcSPLINE!F$15</f>
        <v>0.97580164046852269</v>
      </c>
      <c r="H320" s="5">
        <f>KcSPLINE!K$14</f>
        <v>4.2158068355122047E-4</v>
      </c>
      <c r="I320" s="5">
        <f>KcSPLINE!K$15</f>
        <v>1.8836253902422418E-4</v>
      </c>
      <c r="J320">
        <f t="shared" si="54"/>
        <v>0.61290322580645162</v>
      </c>
      <c r="K320">
        <f t="shared" si="55"/>
        <v>0.38709677419354838</v>
      </c>
      <c r="L320">
        <f t="shared" si="56"/>
        <v>271</v>
      </c>
      <c r="M320" s="6">
        <f t="shared" si="57"/>
        <v>0.90956724607926898</v>
      </c>
      <c r="N320" s="13">
        <f t="shared" si="65"/>
        <v>0.87379990132078833</v>
      </c>
      <c r="O320" s="6">
        <f t="shared" si="64"/>
        <v>284.56479531043169</v>
      </c>
      <c r="P320" s="6">
        <f t="shared" si="64"/>
        <v>284.39919903215696</v>
      </c>
      <c r="Q320" s="6">
        <f t="shared" si="58"/>
        <v>0.87379990132078833</v>
      </c>
      <c r="T320" s="6">
        <f t="shared" si="63"/>
        <v>0.87379990132078833</v>
      </c>
    </row>
    <row r="321" spans="2:20">
      <c r="B321">
        <f t="shared" si="59"/>
        <v>318</v>
      </c>
      <c r="C321">
        <f t="shared" si="53"/>
        <v>31</v>
      </c>
      <c r="D321">
        <v>305</v>
      </c>
      <c r="E321">
        <v>336</v>
      </c>
      <c r="F321">
        <f>KcSPLINE!F$14</f>
        <v>0.86773499699131917</v>
      </c>
      <c r="G321">
        <f>KcSPLINE!F$15</f>
        <v>0.97580164046852269</v>
      </c>
      <c r="H321" s="5">
        <f>KcSPLINE!K$14</f>
        <v>4.2158068355122047E-4</v>
      </c>
      <c r="I321" s="5">
        <f>KcSPLINE!K$15</f>
        <v>1.8836253902422418E-4</v>
      </c>
      <c r="J321">
        <f t="shared" si="54"/>
        <v>0.58064516129032262</v>
      </c>
      <c r="K321">
        <f t="shared" si="55"/>
        <v>0.41935483870967744</v>
      </c>
      <c r="L321">
        <f t="shared" si="56"/>
        <v>272</v>
      </c>
      <c r="M321" s="6">
        <f t="shared" si="57"/>
        <v>0.91305326683659804</v>
      </c>
      <c r="N321" s="13">
        <f t="shared" si="65"/>
        <v>0.87663807963556739</v>
      </c>
      <c r="O321" s="6">
        <f t="shared" si="64"/>
        <v>285.47784857726828</v>
      </c>
      <c r="P321" s="6">
        <f t="shared" si="64"/>
        <v>285.2758371117925</v>
      </c>
      <c r="Q321" s="6">
        <f t="shared" si="58"/>
        <v>0.87663807963556739</v>
      </c>
      <c r="T321" s="6">
        <f t="shared" si="63"/>
        <v>0.87663807963556739</v>
      </c>
    </row>
    <row r="322" spans="2:20">
      <c r="B322">
        <f t="shared" si="59"/>
        <v>319</v>
      </c>
      <c r="C322">
        <f t="shared" si="53"/>
        <v>31</v>
      </c>
      <c r="D322">
        <v>305</v>
      </c>
      <c r="E322">
        <v>336</v>
      </c>
      <c r="F322">
        <f>KcSPLINE!F$14</f>
        <v>0.86773499699131917</v>
      </c>
      <c r="G322">
        <f>KcSPLINE!F$15</f>
        <v>0.97580164046852269</v>
      </c>
      <c r="H322" s="5">
        <f>KcSPLINE!K$14</f>
        <v>4.2158068355122047E-4</v>
      </c>
      <c r="I322" s="5">
        <f>KcSPLINE!K$15</f>
        <v>1.8836253902422418E-4</v>
      </c>
      <c r="J322">
        <f t="shared" si="54"/>
        <v>0.54838709677419351</v>
      </c>
      <c r="K322">
        <f t="shared" si="55"/>
        <v>0.45161290322580644</v>
      </c>
      <c r="L322">
        <f t="shared" si="56"/>
        <v>273</v>
      </c>
      <c r="M322" s="6">
        <f t="shared" si="57"/>
        <v>0.91653928759392711</v>
      </c>
      <c r="N322" s="13">
        <f t="shared" si="65"/>
        <v>0.87980003747651536</v>
      </c>
      <c r="O322" s="6">
        <f t="shared" si="64"/>
        <v>286.39438786486221</v>
      </c>
      <c r="P322" s="6">
        <f t="shared" si="64"/>
        <v>286.15563714926901</v>
      </c>
      <c r="Q322" s="6">
        <f t="shared" si="58"/>
        <v>0.87980003747651536</v>
      </c>
      <c r="T322" s="6">
        <f t="shared" si="63"/>
        <v>0.87980003747651536</v>
      </c>
    </row>
    <row r="323" spans="2:20">
      <c r="B323">
        <f t="shared" si="59"/>
        <v>320</v>
      </c>
      <c r="C323">
        <f t="shared" si="53"/>
        <v>31</v>
      </c>
      <c r="D323">
        <v>305</v>
      </c>
      <c r="E323">
        <v>336</v>
      </c>
      <c r="F323">
        <f>KcSPLINE!F$14</f>
        <v>0.86773499699131917</v>
      </c>
      <c r="G323">
        <f>KcSPLINE!F$15</f>
        <v>0.97580164046852269</v>
      </c>
      <c r="H323" s="5">
        <f>KcSPLINE!K$14</f>
        <v>4.2158068355122047E-4</v>
      </c>
      <c r="I323" s="5">
        <f>KcSPLINE!K$15</f>
        <v>1.8836253902422418E-4</v>
      </c>
      <c r="J323">
        <f t="shared" si="54"/>
        <v>0.5161290322580645</v>
      </c>
      <c r="K323">
        <f t="shared" si="55"/>
        <v>0.4838709677419355</v>
      </c>
      <c r="L323">
        <f t="shared" si="56"/>
        <v>274</v>
      </c>
      <c r="M323" s="6">
        <f t="shared" si="57"/>
        <v>0.9200253083512564</v>
      </c>
      <c r="N323" s="13">
        <f t="shared" si="65"/>
        <v>0.88327825167768004</v>
      </c>
      <c r="O323" s="6">
        <f t="shared" si="64"/>
        <v>287.31441317321344</v>
      </c>
      <c r="P323" s="6">
        <f t="shared" si="64"/>
        <v>287.03891540094668</v>
      </c>
      <c r="Q323" s="6">
        <f t="shared" si="58"/>
        <v>0.88327825167768004</v>
      </c>
      <c r="T323" s="6">
        <f t="shared" si="63"/>
        <v>0.88327825167768004</v>
      </c>
    </row>
    <row r="324" spans="2:20">
      <c r="B324">
        <f t="shared" si="59"/>
        <v>321</v>
      </c>
      <c r="C324">
        <f t="shared" ref="C324:C387" si="66">E324-D324</f>
        <v>31</v>
      </c>
      <c r="D324">
        <v>305</v>
      </c>
      <c r="E324">
        <v>336</v>
      </c>
      <c r="F324">
        <f>KcSPLINE!F$14</f>
        <v>0.86773499699131917</v>
      </c>
      <c r="G324">
        <f>KcSPLINE!F$15</f>
        <v>0.97580164046852269</v>
      </c>
      <c r="H324" s="5">
        <f>KcSPLINE!K$14</f>
        <v>4.2158068355122047E-4</v>
      </c>
      <c r="I324" s="5">
        <f>KcSPLINE!K$15</f>
        <v>1.8836253902422418E-4</v>
      </c>
      <c r="J324">
        <f t="shared" ref="J324:J387" si="67">(E324-B324)/C324</f>
        <v>0.4838709677419355</v>
      </c>
      <c r="K324">
        <f t="shared" ref="K324:K387" si="68">(B324-D324)/C324</f>
        <v>0.5161290322580645</v>
      </c>
      <c r="L324">
        <f t="shared" ref="L324:L387" si="69">B324-46</f>
        <v>275</v>
      </c>
      <c r="M324" s="6">
        <f t="shared" ref="M324:M387" si="70">J324*F324+K324*G324</f>
        <v>0.92351132910858547</v>
      </c>
      <c r="N324" s="13">
        <f t="shared" si="65"/>
        <v>0.88706519907310843</v>
      </c>
      <c r="O324" s="6">
        <f t="shared" si="64"/>
        <v>288.23792450232202</v>
      </c>
      <c r="P324" s="6">
        <f t="shared" si="64"/>
        <v>287.92598060001978</v>
      </c>
      <c r="Q324" s="6">
        <f t="shared" ref="Q324:Q387" si="71">M324+(((J324^3-J324)*H324+(K324^3-K324)*I324))*(C324^2)/6</f>
        <v>0.88706519907310843</v>
      </c>
      <c r="T324" s="6">
        <f t="shared" si="63"/>
        <v>0.88706519907310843</v>
      </c>
    </row>
    <row r="325" spans="2:20">
      <c r="B325">
        <f t="shared" ref="B325:B388" si="72">B324+1</f>
        <v>322</v>
      </c>
      <c r="C325">
        <f t="shared" si="66"/>
        <v>31</v>
      </c>
      <c r="D325">
        <v>305</v>
      </c>
      <c r="E325">
        <v>336</v>
      </c>
      <c r="F325">
        <f>KcSPLINE!F$14</f>
        <v>0.86773499699131917</v>
      </c>
      <c r="G325">
        <f>KcSPLINE!F$15</f>
        <v>0.97580164046852269</v>
      </c>
      <c r="H325" s="5">
        <f>KcSPLINE!K$14</f>
        <v>4.2158068355122047E-4</v>
      </c>
      <c r="I325" s="5">
        <f>KcSPLINE!K$15</f>
        <v>1.8836253902422418E-4</v>
      </c>
      <c r="J325">
        <f t="shared" si="67"/>
        <v>0.45161290322580644</v>
      </c>
      <c r="K325">
        <f t="shared" si="68"/>
        <v>0.54838709677419351</v>
      </c>
      <c r="L325">
        <f t="shared" si="69"/>
        <v>276</v>
      </c>
      <c r="M325" s="6">
        <f t="shared" si="70"/>
        <v>0.92699734986591453</v>
      </c>
      <c r="N325" s="13">
        <f t="shared" si="65"/>
        <v>0.89115335649684835</v>
      </c>
      <c r="O325" s="6">
        <f t="shared" ref="O325:P340" si="73">O324+M325</f>
        <v>289.16492185218794</v>
      </c>
      <c r="P325" s="6">
        <f t="shared" si="73"/>
        <v>288.81713395651661</v>
      </c>
      <c r="Q325" s="6">
        <f t="shared" si="71"/>
        <v>0.89115335649684835</v>
      </c>
      <c r="T325" s="6">
        <f t="shared" si="63"/>
        <v>0.89115335649684835</v>
      </c>
    </row>
    <row r="326" spans="2:20">
      <c r="B326">
        <f t="shared" si="72"/>
        <v>323</v>
      </c>
      <c r="C326">
        <f t="shared" si="66"/>
        <v>31</v>
      </c>
      <c r="D326">
        <v>305</v>
      </c>
      <c r="E326">
        <v>336</v>
      </c>
      <c r="F326">
        <f>KcSPLINE!F$14</f>
        <v>0.86773499699131917</v>
      </c>
      <c r="G326">
        <f>KcSPLINE!F$15</f>
        <v>0.97580164046852269</v>
      </c>
      <c r="H326" s="5">
        <f>KcSPLINE!K$14</f>
        <v>4.2158068355122047E-4</v>
      </c>
      <c r="I326" s="5">
        <f>KcSPLINE!K$15</f>
        <v>1.8836253902422418E-4</v>
      </c>
      <c r="J326">
        <f t="shared" si="67"/>
        <v>0.41935483870967744</v>
      </c>
      <c r="K326">
        <f t="shared" si="68"/>
        <v>0.58064516129032262</v>
      </c>
      <c r="L326">
        <f t="shared" si="69"/>
        <v>277</v>
      </c>
      <c r="M326" s="6">
        <f t="shared" si="70"/>
        <v>0.93048337062324382</v>
      </c>
      <c r="N326" s="13">
        <f t="shared" si="65"/>
        <v>0.89553520078294746</v>
      </c>
      <c r="O326" s="6">
        <f t="shared" si="73"/>
        <v>290.09540522281117</v>
      </c>
      <c r="P326" s="6">
        <f t="shared" si="73"/>
        <v>289.71266915729956</v>
      </c>
      <c r="Q326" s="6">
        <f t="shared" si="71"/>
        <v>0.89553520078294746</v>
      </c>
      <c r="T326" s="6">
        <f t="shared" si="63"/>
        <v>0.89553520078294746</v>
      </c>
    </row>
    <row r="327" spans="2:20">
      <c r="B327">
        <f t="shared" si="72"/>
        <v>324</v>
      </c>
      <c r="C327">
        <f t="shared" si="66"/>
        <v>31</v>
      </c>
      <c r="D327">
        <v>305</v>
      </c>
      <c r="E327">
        <v>336</v>
      </c>
      <c r="F327">
        <f>KcSPLINE!F$14</f>
        <v>0.86773499699131917</v>
      </c>
      <c r="G327">
        <f>KcSPLINE!F$15</f>
        <v>0.97580164046852269</v>
      </c>
      <c r="H327" s="5">
        <f>KcSPLINE!K$14</f>
        <v>4.2158068355122047E-4</v>
      </c>
      <c r="I327" s="5">
        <f>KcSPLINE!K$15</f>
        <v>1.8836253902422418E-4</v>
      </c>
      <c r="J327">
        <f t="shared" si="67"/>
        <v>0.38709677419354838</v>
      </c>
      <c r="K327">
        <f t="shared" si="68"/>
        <v>0.61290322580645162</v>
      </c>
      <c r="L327">
        <f t="shared" si="69"/>
        <v>278</v>
      </c>
      <c r="M327" s="6">
        <f t="shared" si="70"/>
        <v>0.93396939138057289</v>
      </c>
      <c r="N327" s="13">
        <f t="shared" si="65"/>
        <v>0.9002032087654529</v>
      </c>
      <c r="O327" s="6">
        <f t="shared" si="73"/>
        <v>291.02937461419174</v>
      </c>
      <c r="P327" s="6">
        <f t="shared" si="73"/>
        <v>290.61287236606501</v>
      </c>
      <c r="Q327" s="6">
        <f t="shared" si="71"/>
        <v>0.9002032087654529</v>
      </c>
      <c r="T327" s="6">
        <f t="shared" si="63"/>
        <v>0.9002032087654529</v>
      </c>
    </row>
    <row r="328" spans="2:20">
      <c r="B328">
        <f t="shared" si="72"/>
        <v>325</v>
      </c>
      <c r="C328">
        <f t="shared" si="66"/>
        <v>31</v>
      </c>
      <c r="D328">
        <v>305</v>
      </c>
      <c r="E328">
        <v>336</v>
      </c>
      <c r="F328">
        <f>KcSPLINE!F$14</f>
        <v>0.86773499699131917</v>
      </c>
      <c r="G328">
        <f>KcSPLINE!F$15</f>
        <v>0.97580164046852269</v>
      </c>
      <c r="H328" s="5">
        <f>KcSPLINE!K$14</f>
        <v>4.2158068355122047E-4</v>
      </c>
      <c r="I328" s="5">
        <f>KcSPLINE!K$15</f>
        <v>1.8836253902422418E-4</v>
      </c>
      <c r="J328">
        <f t="shared" si="67"/>
        <v>0.35483870967741937</v>
      </c>
      <c r="K328">
        <f t="shared" si="68"/>
        <v>0.64516129032258063</v>
      </c>
      <c r="L328">
        <f t="shared" si="69"/>
        <v>279</v>
      </c>
      <c r="M328" s="6">
        <f t="shared" si="70"/>
        <v>0.93745541213790218</v>
      </c>
      <c r="N328" s="13">
        <f t="shared" si="65"/>
        <v>0.90514985727841257</v>
      </c>
      <c r="O328" s="6">
        <f t="shared" si="73"/>
        <v>291.96683002632966</v>
      </c>
      <c r="P328" s="6">
        <f t="shared" si="73"/>
        <v>291.51802222334339</v>
      </c>
      <c r="Q328" s="6">
        <f t="shared" si="71"/>
        <v>0.90514985727841257</v>
      </c>
      <c r="T328" s="6">
        <f t="shared" si="63"/>
        <v>0.90514985727841257</v>
      </c>
    </row>
    <row r="329" spans="2:20">
      <c r="B329">
        <f t="shared" si="72"/>
        <v>326</v>
      </c>
      <c r="C329">
        <f t="shared" si="66"/>
        <v>31</v>
      </c>
      <c r="D329">
        <v>305</v>
      </c>
      <c r="E329">
        <v>336</v>
      </c>
      <c r="F329">
        <f>KcSPLINE!F$14</f>
        <v>0.86773499699131917</v>
      </c>
      <c r="G329">
        <f>KcSPLINE!F$15</f>
        <v>0.97580164046852269</v>
      </c>
      <c r="H329" s="5">
        <f>KcSPLINE!K$14</f>
        <v>4.2158068355122047E-4</v>
      </c>
      <c r="I329" s="5">
        <f>KcSPLINE!K$15</f>
        <v>1.8836253902422418E-4</v>
      </c>
      <c r="J329">
        <f t="shared" si="67"/>
        <v>0.32258064516129031</v>
      </c>
      <c r="K329">
        <f t="shared" si="68"/>
        <v>0.67741935483870963</v>
      </c>
      <c r="L329">
        <f t="shared" si="69"/>
        <v>280</v>
      </c>
      <c r="M329" s="6">
        <f t="shared" si="70"/>
        <v>0.94094143289523124</v>
      </c>
      <c r="N329" s="13">
        <f t="shared" si="65"/>
        <v>0.9103676231558735</v>
      </c>
      <c r="O329" s="6">
        <f t="shared" si="73"/>
        <v>292.90777145922488</v>
      </c>
      <c r="P329" s="6">
        <f t="shared" si="73"/>
        <v>292.42838984649927</v>
      </c>
      <c r="Q329" s="6">
        <f t="shared" si="71"/>
        <v>0.9103676231558735</v>
      </c>
      <c r="T329" s="6">
        <f t="shared" si="63"/>
        <v>0.9103676231558735</v>
      </c>
    </row>
    <row r="330" spans="2:20">
      <c r="B330">
        <f t="shared" si="72"/>
        <v>327</v>
      </c>
      <c r="C330">
        <f t="shared" si="66"/>
        <v>31</v>
      </c>
      <c r="D330">
        <v>305</v>
      </c>
      <c r="E330">
        <v>336</v>
      </c>
      <c r="F330">
        <f>KcSPLINE!F$14</f>
        <v>0.86773499699131917</v>
      </c>
      <c r="G330">
        <f>KcSPLINE!F$15</f>
        <v>0.97580164046852269</v>
      </c>
      <c r="H330" s="5">
        <f>KcSPLINE!K$14</f>
        <v>4.2158068355122047E-4</v>
      </c>
      <c r="I330" s="5">
        <f>KcSPLINE!K$15</f>
        <v>1.8836253902422418E-4</v>
      </c>
      <c r="J330">
        <f t="shared" si="67"/>
        <v>0.29032258064516131</v>
      </c>
      <c r="K330">
        <f t="shared" si="68"/>
        <v>0.70967741935483875</v>
      </c>
      <c r="L330">
        <f t="shared" si="69"/>
        <v>281</v>
      </c>
      <c r="M330" s="6">
        <f t="shared" si="70"/>
        <v>0.94442745365256042</v>
      </c>
      <c r="N330" s="13">
        <f t="shared" si="65"/>
        <v>0.91584898323188368</v>
      </c>
      <c r="O330" s="6">
        <f t="shared" si="73"/>
        <v>293.85219891287744</v>
      </c>
      <c r="P330" s="6">
        <f t="shared" si="73"/>
        <v>293.34423882973118</v>
      </c>
      <c r="Q330" s="6">
        <f t="shared" si="71"/>
        <v>0.91584898323188368</v>
      </c>
      <c r="T330" s="6">
        <f t="shared" si="63"/>
        <v>0.91584898323188368</v>
      </c>
    </row>
    <row r="331" spans="2:20">
      <c r="B331">
        <f t="shared" si="72"/>
        <v>328</v>
      </c>
      <c r="C331">
        <f t="shared" si="66"/>
        <v>31</v>
      </c>
      <c r="D331">
        <v>305</v>
      </c>
      <c r="E331">
        <v>336</v>
      </c>
      <c r="F331">
        <f>KcSPLINE!F$14</f>
        <v>0.86773499699131917</v>
      </c>
      <c r="G331">
        <f>KcSPLINE!F$15</f>
        <v>0.97580164046852269</v>
      </c>
      <c r="H331" s="5">
        <f>KcSPLINE!K$14</f>
        <v>4.2158068355122047E-4</v>
      </c>
      <c r="I331" s="5">
        <f>KcSPLINE!K$15</f>
        <v>1.8836253902422418E-4</v>
      </c>
      <c r="J331">
        <f t="shared" si="67"/>
        <v>0.25806451612903225</v>
      </c>
      <c r="K331">
        <f t="shared" si="68"/>
        <v>0.74193548387096775</v>
      </c>
      <c r="L331">
        <f t="shared" si="69"/>
        <v>282</v>
      </c>
      <c r="M331" s="6">
        <f t="shared" si="70"/>
        <v>0.94791347440988949</v>
      </c>
      <c r="N331" s="13">
        <f t="shared" si="65"/>
        <v>0.92158641434049027</v>
      </c>
      <c r="O331" s="6">
        <f t="shared" si="73"/>
        <v>294.80011238728736</v>
      </c>
      <c r="P331" s="6">
        <f t="shared" si="73"/>
        <v>294.26582524407166</v>
      </c>
      <c r="Q331" s="6">
        <f t="shared" si="71"/>
        <v>0.92158641434049027</v>
      </c>
      <c r="T331" s="6">
        <f t="shared" si="63"/>
        <v>0.92158641434049027</v>
      </c>
    </row>
    <row r="332" spans="2:20">
      <c r="B332">
        <f t="shared" si="72"/>
        <v>329</v>
      </c>
      <c r="C332">
        <f t="shared" si="66"/>
        <v>31</v>
      </c>
      <c r="D332">
        <v>305</v>
      </c>
      <c r="E332">
        <v>336</v>
      </c>
      <c r="F332">
        <f>KcSPLINE!F$14</f>
        <v>0.86773499699131917</v>
      </c>
      <c r="G332">
        <f>KcSPLINE!F$15</f>
        <v>0.97580164046852269</v>
      </c>
      <c r="H332" s="5">
        <f>KcSPLINE!K$14</f>
        <v>4.2158068355122047E-4</v>
      </c>
      <c r="I332" s="5">
        <f>KcSPLINE!K$15</f>
        <v>1.8836253902422418E-4</v>
      </c>
      <c r="J332">
        <f t="shared" si="67"/>
        <v>0.22580645161290322</v>
      </c>
      <c r="K332">
        <f t="shared" si="68"/>
        <v>0.77419354838709675</v>
      </c>
      <c r="L332">
        <f t="shared" si="69"/>
        <v>283</v>
      </c>
      <c r="M332" s="6">
        <f t="shared" si="70"/>
        <v>0.95139949516721856</v>
      </c>
      <c r="N332" s="13">
        <f t="shared" si="65"/>
        <v>0.92757239331574104</v>
      </c>
      <c r="O332" s="6">
        <f t="shared" si="73"/>
        <v>295.75151188245457</v>
      </c>
      <c r="P332" s="6">
        <f t="shared" si="73"/>
        <v>295.19339763738742</v>
      </c>
      <c r="Q332" s="6">
        <f t="shared" si="71"/>
        <v>0.92757239331574104</v>
      </c>
      <c r="T332" s="6">
        <f t="shared" si="63"/>
        <v>0.92757239331574104</v>
      </c>
    </row>
    <row r="333" spans="2:20">
      <c r="B333">
        <f t="shared" si="72"/>
        <v>330</v>
      </c>
      <c r="C333">
        <f t="shared" si="66"/>
        <v>31</v>
      </c>
      <c r="D333">
        <v>305</v>
      </c>
      <c r="E333">
        <v>336</v>
      </c>
      <c r="F333">
        <f>KcSPLINE!F$14</f>
        <v>0.86773499699131917</v>
      </c>
      <c r="G333">
        <f>KcSPLINE!F$15</f>
        <v>0.97580164046852269</v>
      </c>
      <c r="H333" s="5">
        <f>KcSPLINE!K$14</f>
        <v>4.2158068355122047E-4</v>
      </c>
      <c r="I333" s="5">
        <f>KcSPLINE!K$15</f>
        <v>1.8836253902422418E-4</v>
      </c>
      <c r="J333">
        <f t="shared" si="67"/>
        <v>0.19354838709677419</v>
      </c>
      <c r="K333">
        <f t="shared" si="68"/>
        <v>0.80645161290322576</v>
      </c>
      <c r="L333">
        <f t="shared" si="69"/>
        <v>284</v>
      </c>
      <c r="M333" s="6">
        <f t="shared" si="70"/>
        <v>0.95488551592454773</v>
      </c>
      <c r="N333" s="13">
        <f t="shared" si="65"/>
        <v>0.93379939699168346</v>
      </c>
      <c r="O333" s="6">
        <f t="shared" si="73"/>
        <v>296.70639739837912</v>
      </c>
      <c r="P333" s="6">
        <f t="shared" si="73"/>
        <v>296.12719703437909</v>
      </c>
      <c r="Q333" s="6">
        <f t="shared" si="71"/>
        <v>0.93379939699168346</v>
      </c>
      <c r="T333" s="6">
        <f t="shared" si="63"/>
        <v>0.93379939699168346</v>
      </c>
    </row>
    <row r="334" spans="2:20">
      <c r="B334">
        <f t="shared" si="72"/>
        <v>331</v>
      </c>
      <c r="C334">
        <f t="shared" si="66"/>
        <v>31</v>
      </c>
      <c r="D334">
        <v>305</v>
      </c>
      <c r="E334">
        <v>336</v>
      </c>
      <c r="F334">
        <f>KcSPLINE!F$14</f>
        <v>0.86773499699131917</v>
      </c>
      <c r="G334">
        <f>KcSPLINE!F$15</f>
        <v>0.97580164046852269</v>
      </c>
      <c r="H334" s="5">
        <f>KcSPLINE!K$14</f>
        <v>4.2158068355122047E-4</v>
      </c>
      <c r="I334" s="5">
        <f>KcSPLINE!K$15</f>
        <v>1.8836253902422418E-4</v>
      </c>
      <c r="J334">
        <f t="shared" si="67"/>
        <v>0.16129032258064516</v>
      </c>
      <c r="K334">
        <f t="shared" si="68"/>
        <v>0.83870967741935487</v>
      </c>
      <c r="L334">
        <f t="shared" si="69"/>
        <v>285</v>
      </c>
      <c r="M334" s="6">
        <f t="shared" si="70"/>
        <v>0.95837153668187702</v>
      </c>
      <c r="N334" s="13">
        <f t="shared" si="65"/>
        <v>0.94025990220236511</v>
      </c>
      <c r="O334" s="6">
        <f t="shared" si="73"/>
        <v>297.66476893506098</v>
      </c>
      <c r="P334" s="6">
        <f t="shared" si="73"/>
        <v>297.06745693658144</v>
      </c>
      <c r="Q334" s="6">
        <f t="shared" si="71"/>
        <v>0.94025990220236511</v>
      </c>
      <c r="T334" s="6">
        <f t="shared" si="63"/>
        <v>0.94025990220236511</v>
      </c>
    </row>
    <row r="335" spans="2:20">
      <c r="B335">
        <f t="shared" si="72"/>
        <v>332</v>
      </c>
      <c r="C335">
        <f t="shared" si="66"/>
        <v>31</v>
      </c>
      <c r="D335">
        <v>305</v>
      </c>
      <c r="E335">
        <v>336</v>
      </c>
      <c r="F335">
        <f>KcSPLINE!F$14</f>
        <v>0.86773499699131917</v>
      </c>
      <c r="G335">
        <f>KcSPLINE!F$15</f>
        <v>0.97580164046852269</v>
      </c>
      <c r="H335" s="5">
        <f>KcSPLINE!K$14</f>
        <v>4.2158068355122047E-4</v>
      </c>
      <c r="I335" s="5">
        <f>KcSPLINE!K$15</f>
        <v>1.8836253902422418E-4</v>
      </c>
      <c r="J335">
        <f t="shared" si="67"/>
        <v>0.12903225806451613</v>
      </c>
      <c r="K335">
        <f t="shared" si="68"/>
        <v>0.87096774193548387</v>
      </c>
      <c r="L335">
        <f t="shared" si="69"/>
        <v>286</v>
      </c>
      <c r="M335" s="6">
        <f t="shared" si="70"/>
        <v>0.96185755743920609</v>
      </c>
      <c r="N335" s="13">
        <f t="shared" si="65"/>
        <v>0.94694638578183321</v>
      </c>
      <c r="O335" s="6">
        <f t="shared" si="73"/>
        <v>298.62662649250018</v>
      </c>
      <c r="P335" s="6">
        <f t="shared" si="73"/>
        <v>298.01440332236325</v>
      </c>
      <c r="Q335" s="6">
        <f t="shared" si="71"/>
        <v>0.94694638578183321</v>
      </c>
      <c r="T335" s="6">
        <f t="shared" si="63"/>
        <v>0.94694638578183321</v>
      </c>
    </row>
    <row r="336" spans="2:20">
      <c r="B336">
        <f t="shared" si="72"/>
        <v>333</v>
      </c>
      <c r="C336">
        <f t="shared" si="66"/>
        <v>31</v>
      </c>
      <c r="D336">
        <v>305</v>
      </c>
      <c r="E336">
        <v>336</v>
      </c>
      <c r="F336">
        <f>KcSPLINE!F$14</f>
        <v>0.86773499699131917</v>
      </c>
      <c r="G336">
        <f>KcSPLINE!F$15</f>
        <v>0.97580164046852269</v>
      </c>
      <c r="H336" s="5">
        <f>KcSPLINE!K$14</f>
        <v>4.2158068355122047E-4</v>
      </c>
      <c r="I336" s="5">
        <f>KcSPLINE!K$15</f>
        <v>1.8836253902422418E-4</v>
      </c>
      <c r="J336">
        <f t="shared" si="67"/>
        <v>9.6774193548387094E-2</v>
      </c>
      <c r="K336">
        <f t="shared" si="68"/>
        <v>0.90322580645161288</v>
      </c>
      <c r="L336">
        <f t="shared" si="69"/>
        <v>287</v>
      </c>
      <c r="M336" s="6">
        <f t="shared" si="70"/>
        <v>0.96534357819653516</v>
      </c>
      <c r="N336" s="13">
        <f t="shared" si="65"/>
        <v>0.95385132456413546</v>
      </c>
      <c r="O336" s="6">
        <f t="shared" si="73"/>
        <v>299.59197007069673</v>
      </c>
      <c r="P336" s="6">
        <f t="shared" si="73"/>
        <v>298.96825464692739</v>
      </c>
      <c r="Q336" s="6">
        <f t="shared" si="71"/>
        <v>0.95385132456413546</v>
      </c>
      <c r="T336" s="6">
        <f t="shared" si="63"/>
        <v>0.95385132456413546</v>
      </c>
    </row>
    <row r="337" spans="1:20">
      <c r="B337">
        <f t="shared" si="72"/>
        <v>334</v>
      </c>
      <c r="C337">
        <f t="shared" si="66"/>
        <v>31</v>
      </c>
      <c r="D337">
        <v>305</v>
      </c>
      <c r="E337">
        <v>336</v>
      </c>
      <c r="F337">
        <f>KcSPLINE!F$14</f>
        <v>0.86773499699131917</v>
      </c>
      <c r="G337">
        <f>KcSPLINE!F$15</f>
        <v>0.97580164046852269</v>
      </c>
      <c r="H337" s="5">
        <f>KcSPLINE!K$14</f>
        <v>4.2158068355122047E-4</v>
      </c>
      <c r="I337" s="5">
        <f>KcSPLINE!K$15</f>
        <v>1.8836253902422418E-4</v>
      </c>
      <c r="J337">
        <f t="shared" si="67"/>
        <v>6.4516129032258063E-2</v>
      </c>
      <c r="K337">
        <f t="shared" si="68"/>
        <v>0.93548387096774188</v>
      </c>
      <c r="L337">
        <f t="shared" si="69"/>
        <v>288</v>
      </c>
      <c r="M337" s="6">
        <f t="shared" si="70"/>
        <v>0.96882959895386445</v>
      </c>
      <c r="N337" s="13">
        <f t="shared" si="65"/>
        <v>0.96096719538331965</v>
      </c>
      <c r="O337" s="6">
        <f t="shared" si="73"/>
        <v>300.56079966965058</v>
      </c>
      <c r="P337" s="6">
        <f t="shared" si="73"/>
        <v>299.92922184231071</v>
      </c>
      <c r="Q337" s="6">
        <f t="shared" si="71"/>
        <v>0.96096719538331965</v>
      </c>
      <c r="T337" s="6">
        <f t="shared" si="63"/>
        <v>0.96096719538331965</v>
      </c>
    </row>
    <row r="338" spans="1:20">
      <c r="B338">
        <f t="shared" si="72"/>
        <v>335</v>
      </c>
      <c r="C338">
        <f t="shared" si="66"/>
        <v>31</v>
      </c>
      <c r="D338">
        <v>305</v>
      </c>
      <c r="E338">
        <v>336</v>
      </c>
      <c r="F338">
        <f>KcSPLINE!F$14</f>
        <v>0.86773499699131917</v>
      </c>
      <c r="G338">
        <f>KcSPLINE!F$15</f>
        <v>0.97580164046852269</v>
      </c>
      <c r="H338" s="5">
        <f>KcSPLINE!K$14</f>
        <v>4.2158068355122047E-4</v>
      </c>
      <c r="I338" s="5">
        <f>KcSPLINE!K$15</f>
        <v>1.8836253902422418E-4</v>
      </c>
      <c r="J338">
        <f t="shared" si="67"/>
        <v>3.2258064516129031E-2</v>
      </c>
      <c r="K338">
        <f t="shared" si="68"/>
        <v>0.967741935483871</v>
      </c>
      <c r="L338">
        <f t="shared" si="69"/>
        <v>289</v>
      </c>
      <c r="M338" s="6">
        <f t="shared" si="70"/>
        <v>0.97231561971119362</v>
      </c>
      <c r="N338" s="13">
        <f t="shared" si="65"/>
        <v>0.96828647507343291</v>
      </c>
      <c r="O338" s="6">
        <f t="shared" si="73"/>
        <v>301.53311528936177</v>
      </c>
      <c r="P338" s="6">
        <f t="shared" si="73"/>
        <v>300.89750831738417</v>
      </c>
      <c r="Q338" s="6">
        <f t="shared" si="71"/>
        <v>0.96828647507343291</v>
      </c>
      <c r="T338" s="6">
        <f t="shared" si="63"/>
        <v>0.96828647507343291</v>
      </c>
    </row>
    <row r="339" spans="1:20">
      <c r="A339">
        <v>336</v>
      </c>
      <c r="B339">
        <f t="shared" si="72"/>
        <v>336</v>
      </c>
      <c r="C339">
        <f t="shared" si="66"/>
        <v>31</v>
      </c>
      <c r="D339">
        <v>305</v>
      </c>
      <c r="E339">
        <v>336</v>
      </c>
      <c r="F339">
        <f>KcSPLINE!F$14</f>
        <v>0.86773499699131917</v>
      </c>
      <c r="G339">
        <f>KcSPLINE!F$15</f>
        <v>0.97580164046852269</v>
      </c>
      <c r="H339" s="5">
        <f>KcSPLINE!K$14</f>
        <v>4.2158068355122047E-4</v>
      </c>
      <c r="I339" s="5">
        <f>KcSPLINE!K$15</f>
        <v>1.8836253902422418E-4</v>
      </c>
      <c r="J339">
        <f t="shared" si="67"/>
        <v>0</v>
      </c>
      <c r="K339">
        <f t="shared" si="68"/>
        <v>1</v>
      </c>
      <c r="L339">
        <f t="shared" si="69"/>
        <v>290</v>
      </c>
      <c r="M339" s="6">
        <f t="shared" si="70"/>
        <v>0.97580164046852269</v>
      </c>
      <c r="N339" s="13">
        <f t="shared" si="65"/>
        <v>0.97580164046852269</v>
      </c>
      <c r="O339" s="6">
        <f t="shared" si="73"/>
        <v>302.50891692983032</v>
      </c>
      <c r="P339" s="6">
        <f t="shared" si="73"/>
        <v>301.87330995785271</v>
      </c>
      <c r="Q339" s="6">
        <f t="shared" si="71"/>
        <v>0.97580164046852269</v>
      </c>
      <c r="T339" s="6">
        <f t="shared" si="63"/>
        <v>0.97580164046852269</v>
      </c>
    </row>
    <row r="340" spans="1:20">
      <c r="B340">
        <f t="shared" si="72"/>
        <v>337</v>
      </c>
      <c r="C340">
        <f t="shared" si="66"/>
        <v>30</v>
      </c>
      <c r="D340">
        <v>336</v>
      </c>
      <c r="E340">
        <v>366</v>
      </c>
      <c r="F340">
        <f>KcSPLINE!F$15</f>
        <v>0.97580164046852269</v>
      </c>
      <c r="G340">
        <f>KcSPLINE!F$16</f>
        <v>1.1917649599910223</v>
      </c>
      <c r="H340" s="5">
        <f>KcSPLINE!K$15</f>
        <v>1.8836253902422418E-4</v>
      </c>
      <c r="I340" s="5">
        <f>KcSPLINE!K$16</f>
        <v>-4.5908971968393808E-4</v>
      </c>
      <c r="J340">
        <f t="shared" si="67"/>
        <v>0.96666666666666667</v>
      </c>
      <c r="K340">
        <f t="shared" si="68"/>
        <v>3.3333333333333333E-2</v>
      </c>
      <c r="L340">
        <f t="shared" si="69"/>
        <v>291</v>
      </c>
      <c r="M340" s="6">
        <f t="shared" si="70"/>
        <v>0.98300041778593938</v>
      </c>
      <c r="N340" s="13">
        <f t="shared" si="65"/>
        <v>0.98350282530663613</v>
      </c>
      <c r="O340" s="6">
        <f t="shared" si="73"/>
        <v>303.49191734761627</v>
      </c>
      <c r="P340" s="6">
        <f t="shared" si="73"/>
        <v>302.85681278315934</v>
      </c>
      <c r="Q340" s="6">
        <f t="shared" si="71"/>
        <v>0.98350282530663613</v>
      </c>
      <c r="T340" s="6">
        <f t="shared" si="63"/>
        <v>0.98350282530663613</v>
      </c>
    </row>
    <row r="341" spans="1:20">
      <c r="B341">
        <f t="shared" si="72"/>
        <v>338</v>
      </c>
      <c r="C341">
        <f t="shared" si="66"/>
        <v>30</v>
      </c>
      <c r="D341">
        <v>336</v>
      </c>
      <c r="E341">
        <v>366</v>
      </c>
      <c r="F341">
        <f>KcSPLINE!F$15</f>
        <v>0.97580164046852269</v>
      </c>
      <c r="G341">
        <f>KcSPLINE!F$16</f>
        <v>1.1917649599910223</v>
      </c>
      <c r="H341" s="5">
        <f>KcSPLINE!K$15</f>
        <v>1.8836253902422418E-4</v>
      </c>
      <c r="I341" s="5">
        <f>KcSPLINE!K$16</f>
        <v>-4.5908971968393808E-4</v>
      </c>
      <c r="J341">
        <f t="shared" si="67"/>
        <v>0.93333333333333335</v>
      </c>
      <c r="K341">
        <f t="shared" si="68"/>
        <v>6.6666666666666666E-2</v>
      </c>
      <c r="L341">
        <f t="shared" si="69"/>
        <v>292</v>
      </c>
      <c r="M341" s="6">
        <f t="shared" si="70"/>
        <v>0.99019919510335608</v>
      </c>
      <c r="N341" s="13">
        <f t="shared" si="65"/>
        <v>0.99137079094181679</v>
      </c>
      <c r="O341" s="6">
        <f t="shared" ref="O341:P356" si="74">O340+M341</f>
        <v>304.48211654271961</v>
      </c>
      <c r="P341" s="6">
        <f t="shared" si="74"/>
        <v>303.84818357410114</v>
      </c>
      <c r="Q341" s="6">
        <f t="shared" si="71"/>
        <v>0.99137079094181679</v>
      </c>
      <c r="T341" s="6">
        <f t="shared" si="63"/>
        <v>0.99137079094181679</v>
      </c>
    </row>
    <row r="342" spans="1:20">
      <c r="B342">
        <f t="shared" si="72"/>
        <v>339</v>
      </c>
      <c r="C342">
        <f t="shared" si="66"/>
        <v>30</v>
      </c>
      <c r="D342">
        <v>336</v>
      </c>
      <c r="E342">
        <v>366</v>
      </c>
      <c r="F342">
        <f>KcSPLINE!F$15</f>
        <v>0.97580164046852269</v>
      </c>
      <c r="G342">
        <f>KcSPLINE!F$16</f>
        <v>1.1917649599910223</v>
      </c>
      <c r="H342" s="5">
        <f>KcSPLINE!K$15</f>
        <v>1.8836253902422418E-4</v>
      </c>
      <c r="I342" s="5">
        <f>KcSPLINE!K$16</f>
        <v>-4.5908971968393808E-4</v>
      </c>
      <c r="J342">
        <f t="shared" si="67"/>
        <v>0.9</v>
      </c>
      <c r="K342">
        <f t="shared" si="68"/>
        <v>0.1</v>
      </c>
      <c r="L342">
        <f t="shared" si="69"/>
        <v>293</v>
      </c>
      <c r="M342" s="6">
        <f t="shared" si="70"/>
        <v>0.99739797242077266</v>
      </c>
      <c r="N342" s="13">
        <f t="shared" si="65"/>
        <v>0.9993839556321078</v>
      </c>
      <c r="O342" s="6">
        <f t="shared" si="74"/>
        <v>305.47951451514041</v>
      </c>
      <c r="P342" s="6">
        <f t="shared" si="74"/>
        <v>304.84756752973323</v>
      </c>
      <c r="Q342" s="6">
        <f t="shared" si="71"/>
        <v>0.9993839556321078</v>
      </c>
      <c r="T342" s="6">
        <f t="shared" si="63"/>
        <v>0.9993839556321078</v>
      </c>
    </row>
    <row r="343" spans="1:20">
      <c r="B343">
        <f t="shared" si="72"/>
        <v>340</v>
      </c>
      <c r="C343">
        <f t="shared" si="66"/>
        <v>30</v>
      </c>
      <c r="D343">
        <v>336</v>
      </c>
      <c r="E343">
        <v>366</v>
      </c>
      <c r="F343">
        <f>KcSPLINE!F$15</f>
        <v>0.97580164046852269</v>
      </c>
      <c r="G343">
        <f>KcSPLINE!F$16</f>
        <v>1.1917649599910223</v>
      </c>
      <c r="H343" s="5">
        <f>KcSPLINE!K$15</f>
        <v>1.8836253902422418E-4</v>
      </c>
      <c r="I343" s="5">
        <f>KcSPLINE!K$16</f>
        <v>-4.5908971968393808E-4</v>
      </c>
      <c r="J343">
        <f t="shared" si="67"/>
        <v>0.8666666666666667</v>
      </c>
      <c r="K343">
        <f t="shared" si="68"/>
        <v>0.13333333333333333</v>
      </c>
      <c r="L343">
        <f t="shared" si="69"/>
        <v>294</v>
      </c>
      <c r="M343" s="6">
        <f t="shared" si="70"/>
        <v>1.0045967497381894</v>
      </c>
      <c r="N343" s="13">
        <f t="shared" si="65"/>
        <v>1.0075207376355522</v>
      </c>
      <c r="O343" s="6">
        <f t="shared" si="74"/>
        <v>306.48411126487861</v>
      </c>
      <c r="P343" s="6">
        <f t="shared" si="74"/>
        <v>305.85508826736879</v>
      </c>
      <c r="Q343" s="6">
        <f t="shared" si="71"/>
        <v>1.0075207376355522</v>
      </c>
      <c r="T343" s="6">
        <f t="shared" si="63"/>
        <v>1.0075207376355522</v>
      </c>
    </row>
    <row r="344" spans="1:20">
      <c r="B344">
        <f t="shared" si="72"/>
        <v>341</v>
      </c>
      <c r="C344">
        <f t="shared" si="66"/>
        <v>30</v>
      </c>
      <c r="D344">
        <v>336</v>
      </c>
      <c r="E344">
        <v>366</v>
      </c>
      <c r="F344">
        <f>KcSPLINE!F$15</f>
        <v>0.97580164046852269</v>
      </c>
      <c r="G344">
        <f>KcSPLINE!F$16</f>
        <v>1.1917649599910223</v>
      </c>
      <c r="H344" s="5">
        <f>KcSPLINE!K$15</f>
        <v>1.8836253902422418E-4</v>
      </c>
      <c r="I344" s="5">
        <f>KcSPLINE!K$16</f>
        <v>-4.5908971968393808E-4</v>
      </c>
      <c r="J344">
        <f t="shared" si="67"/>
        <v>0.83333333333333337</v>
      </c>
      <c r="K344">
        <f t="shared" si="68"/>
        <v>0.16666666666666666</v>
      </c>
      <c r="L344">
        <f t="shared" si="69"/>
        <v>295</v>
      </c>
      <c r="M344" s="6">
        <f t="shared" si="70"/>
        <v>1.011795527055606</v>
      </c>
      <c r="N344" s="13">
        <f t="shared" si="65"/>
        <v>1.0157595552101932</v>
      </c>
      <c r="O344" s="6">
        <f t="shared" si="74"/>
        <v>307.4959067919342</v>
      </c>
      <c r="P344" s="6">
        <f t="shared" si="74"/>
        <v>306.87084782257898</v>
      </c>
      <c r="Q344" s="6">
        <f t="shared" si="71"/>
        <v>1.0157595552101932</v>
      </c>
      <c r="T344" s="6">
        <f t="shared" si="63"/>
        <v>1.0157595552101932</v>
      </c>
    </row>
    <row r="345" spans="1:20">
      <c r="B345">
        <f t="shared" si="72"/>
        <v>342</v>
      </c>
      <c r="C345">
        <f t="shared" si="66"/>
        <v>30</v>
      </c>
      <c r="D345">
        <v>336</v>
      </c>
      <c r="E345">
        <v>366</v>
      </c>
      <c r="F345">
        <f>KcSPLINE!F$15</f>
        <v>0.97580164046852269</v>
      </c>
      <c r="G345">
        <f>KcSPLINE!F$16</f>
        <v>1.1917649599910223</v>
      </c>
      <c r="H345" s="5">
        <f>KcSPLINE!K$15</f>
        <v>1.8836253902422418E-4</v>
      </c>
      <c r="I345" s="5">
        <f>KcSPLINE!K$16</f>
        <v>-4.5908971968393808E-4</v>
      </c>
      <c r="J345">
        <f t="shared" si="67"/>
        <v>0.8</v>
      </c>
      <c r="K345">
        <f t="shared" si="68"/>
        <v>0.2</v>
      </c>
      <c r="L345">
        <f t="shared" si="69"/>
        <v>296</v>
      </c>
      <c r="M345" s="6">
        <f t="shared" si="70"/>
        <v>1.0189943043730225</v>
      </c>
      <c r="N345" s="13">
        <f t="shared" si="65"/>
        <v>1.0240788266140735</v>
      </c>
      <c r="O345" s="6">
        <f t="shared" si="74"/>
        <v>308.5149010963072</v>
      </c>
      <c r="P345" s="6">
        <f t="shared" si="74"/>
        <v>307.89492664919305</v>
      </c>
      <c r="Q345" s="6">
        <f t="shared" si="71"/>
        <v>1.0240788266140735</v>
      </c>
      <c r="T345" s="6">
        <f t="shared" si="63"/>
        <v>1.0240788266140735</v>
      </c>
    </row>
    <row r="346" spans="1:20">
      <c r="B346">
        <f t="shared" si="72"/>
        <v>343</v>
      </c>
      <c r="C346">
        <f t="shared" si="66"/>
        <v>30</v>
      </c>
      <c r="D346">
        <v>336</v>
      </c>
      <c r="E346">
        <v>366</v>
      </c>
      <c r="F346">
        <f>KcSPLINE!F$15</f>
        <v>0.97580164046852269</v>
      </c>
      <c r="G346">
        <f>KcSPLINE!F$16</f>
        <v>1.1917649599910223</v>
      </c>
      <c r="H346" s="5">
        <f>KcSPLINE!K$15</f>
        <v>1.8836253902422418E-4</v>
      </c>
      <c r="I346" s="5">
        <f>KcSPLINE!K$16</f>
        <v>-4.5908971968393808E-4</v>
      </c>
      <c r="J346">
        <f t="shared" si="67"/>
        <v>0.76666666666666672</v>
      </c>
      <c r="K346">
        <f t="shared" si="68"/>
        <v>0.23333333333333334</v>
      </c>
      <c r="L346">
        <f t="shared" si="69"/>
        <v>297</v>
      </c>
      <c r="M346" s="6">
        <f t="shared" si="70"/>
        <v>1.0261930816904392</v>
      </c>
      <c r="N346" s="13">
        <f t="shared" si="65"/>
        <v>1.0324569701052364</v>
      </c>
      <c r="O346" s="6">
        <f t="shared" si="74"/>
        <v>309.54109417799765</v>
      </c>
      <c r="P346" s="6">
        <f t="shared" si="74"/>
        <v>308.92738361929827</v>
      </c>
      <c r="Q346" s="6">
        <f t="shared" si="71"/>
        <v>1.0324569701052364</v>
      </c>
      <c r="T346" s="6">
        <f t="shared" si="63"/>
        <v>1.0324569701052364</v>
      </c>
    </row>
    <row r="347" spans="1:20">
      <c r="B347">
        <f t="shared" si="72"/>
        <v>344</v>
      </c>
      <c r="C347">
        <f t="shared" si="66"/>
        <v>30</v>
      </c>
      <c r="D347">
        <v>336</v>
      </c>
      <c r="E347">
        <v>366</v>
      </c>
      <c r="F347">
        <f>KcSPLINE!F$15</f>
        <v>0.97580164046852269</v>
      </c>
      <c r="G347">
        <f>KcSPLINE!F$16</f>
        <v>1.1917649599910223</v>
      </c>
      <c r="H347" s="5">
        <f>KcSPLINE!K$15</f>
        <v>1.8836253902422418E-4</v>
      </c>
      <c r="I347" s="5">
        <f>KcSPLINE!K$16</f>
        <v>-4.5908971968393808E-4</v>
      </c>
      <c r="J347">
        <f t="shared" si="67"/>
        <v>0.73333333333333328</v>
      </c>
      <c r="K347">
        <f t="shared" si="68"/>
        <v>0.26666666666666666</v>
      </c>
      <c r="L347">
        <f t="shared" si="69"/>
        <v>298</v>
      </c>
      <c r="M347" s="6">
        <f t="shared" si="70"/>
        <v>1.0333918590078559</v>
      </c>
      <c r="N347" s="13">
        <f t="shared" si="65"/>
        <v>1.0408724039417252</v>
      </c>
      <c r="O347" s="6">
        <f t="shared" si="74"/>
        <v>310.5744860370055</v>
      </c>
      <c r="P347" s="6">
        <f t="shared" si="74"/>
        <v>309.96825602323997</v>
      </c>
      <c r="Q347" s="6">
        <f t="shared" si="71"/>
        <v>1.0408724039417252</v>
      </c>
      <c r="T347" s="6">
        <f t="shared" si="63"/>
        <v>1.0408724039417252</v>
      </c>
    </row>
    <row r="348" spans="1:20">
      <c r="B348">
        <f t="shared" si="72"/>
        <v>345</v>
      </c>
      <c r="C348">
        <f t="shared" si="66"/>
        <v>30</v>
      </c>
      <c r="D348">
        <v>336</v>
      </c>
      <c r="E348">
        <v>366</v>
      </c>
      <c r="F348">
        <f>KcSPLINE!F$15</f>
        <v>0.97580164046852269</v>
      </c>
      <c r="G348">
        <f>KcSPLINE!F$16</f>
        <v>1.1917649599910223</v>
      </c>
      <c r="H348" s="5">
        <f>KcSPLINE!K$15</f>
        <v>1.8836253902422418E-4</v>
      </c>
      <c r="I348" s="5">
        <f>KcSPLINE!K$16</f>
        <v>-4.5908971968393808E-4</v>
      </c>
      <c r="J348">
        <f t="shared" si="67"/>
        <v>0.7</v>
      </c>
      <c r="K348">
        <f t="shared" si="68"/>
        <v>0.3</v>
      </c>
      <c r="L348">
        <f t="shared" si="69"/>
        <v>299</v>
      </c>
      <c r="M348" s="6">
        <f t="shared" si="70"/>
        <v>1.0405906363252724</v>
      </c>
      <c r="N348" s="13">
        <f t="shared" si="65"/>
        <v>1.0493035463815825</v>
      </c>
      <c r="O348" s="6">
        <f t="shared" si="74"/>
        <v>311.61507667333075</v>
      </c>
      <c r="P348" s="6">
        <f t="shared" si="74"/>
        <v>311.01755956962154</v>
      </c>
      <c r="Q348" s="6">
        <f t="shared" si="71"/>
        <v>1.0493035463815825</v>
      </c>
      <c r="T348" s="6">
        <f t="shared" si="63"/>
        <v>1.0493035463815825</v>
      </c>
    </row>
    <row r="349" spans="1:20">
      <c r="B349">
        <f t="shared" si="72"/>
        <v>346</v>
      </c>
      <c r="C349">
        <f t="shared" si="66"/>
        <v>30</v>
      </c>
      <c r="D349">
        <v>336</v>
      </c>
      <c r="E349">
        <v>366</v>
      </c>
      <c r="F349">
        <f>KcSPLINE!F$15</f>
        <v>0.97580164046852269</v>
      </c>
      <c r="G349">
        <f>KcSPLINE!F$16</f>
        <v>1.1917649599910223</v>
      </c>
      <c r="H349" s="5">
        <f>KcSPLINE!K$15</f>
        <v>1.8836253902422418E-4</v>
      </c>
      <c r="I349" s="5">
        <f>KcSPLINE!K$16</f>
        <v>-4.5908971968393808E-4</v>
      </c>
      <c r="J349">
        <f t="shared" si="67"/>
        <v>0.66666666666666663</v>
      </c>
      <c r="K349">
        <f t="shared" si="68"/>
        <v>0.33333333333333331</v>
      </c>
      <c r="L349">
        <f t="shared" si="69"/>
        <v>300</v>
      </c>
      <c r="M349" s="6">
        <f t="shared" si="70"/>
        <v>1.0477894136426893</v>
      </c>
      <c r="N349" s="13">
        <f t="shared" si="65"/>
        <v>1.0577288156828519</v>
      </c>
      <c r="O349" s="6">
        <f t="shared" si="74"/>
        <v>312.66286608697345</v>
      </c>
      <c r="P349" s="6">
        <f t="shared" si="74"/>
        <v>312.07528838530442</v>
      </c>
      <c r="Q349" s="6">
        <f t="shared" si="71"/>
        <v>1.0577288156828519</v>
      </c>
      <c r="T349" s="6">
        <f t="shared" si="63"/>
        <v>1.0577288156828519</v>
      </c>
    </row>
    <row r="350" spans="1:20">
      <c r="B350">
        <f t="shared" si="72"/>
        <v>347</v>
      </c>
      <c r="C350">
        <f t="shared" si="66"/>
        <v>30</v>
      </c>
      <c r="D350">
        <v>336</v>
      </c>
      <c r="E350">
        <v>366</v>
      </c>
      <c r="F350">
        <f>KcSPLINE!F$15</f>
        <v>0.97580164046852269</v>
      </c>
      <c r="G350">
        <f>KcSPLINE!F$16</f>
        <v>1.1917649599910223</v>
      </c>
      <c r="H350" s="5">
        <f>KcSPLINE!K$15</f>
        <v>1.8836253902422418E-4</v>
      </c>
      <c r="I350" s="5">
        <f>KcSPLINE!K$16</f>
        <v>-4.5908971968393808E-4</v>
      </c>
      <c r="J350">
        <f t="shared" si="67"/>
        <v>0.6333333333333333</v>
      </c>
      <c r="K350">
        <f t="shared" si="68"/>
        <v>0.36666666666666664</v>
      </c>
      <c r="L350">
        <f t="shared" si="69"/>
        <v>301</v>
      </c>
      <c r="M350" s="6">
        <f t="shared" si="70"/>
        <v>1.0549881909601058</v>
      </c>
      <c r="N350" s="13">
        <f t="shared" si="65"/>
        <v>1.0661266301035757</v>
      </c>
      <c r="O350" s="6">
        <f t="shared" si="74"/>
        <v>313.71785427793355</v>
      </c>
      <c r="P350" s="6">
        <f t="shared" si="74"/>
        <v>313.14141501540797</v>
      </c>
      <c r="Q350" s="6">
        <f t="shared" si="71"/>
        <v>1.0661266301035757</v>
      </c>
      <c r="T350" s="6">
        <f t="shared" si="63"/>
        <v>1.0661266301035757</v>
      </c>
    </row>
    <row r="351" spans="1:20">
      <c r="B351">
        <f t="shared" si="72"/>
        <v>348</v>
      </c>
      <c r="C351">
        <f t="shared" si="66"/>
        <v>30</v>
      </c>
      <c r="D351">
        <v>336</v>
      </c>
      <c r="E351">
        <v>366</v>
      </c>
      <c r="F351">
        <f>KcSPLINE!F$15</f>
        <v>0.97580164046852269</v>
      </c>
      <c r="G351">
        <f>KcSPLINE!F$16</f>
        <v>1.1917649599910223</v>
      </c>
      <c r="H351" s="5">
        <f>KcSPLINE!K$15</f>
        <v>1.8836253902422418E-4</v>
      </c>
      <c r="I351" s="5">
        <f>KcSPLINE!K$16</f>
        <v>-4.5908971968393808E-4</v>
      </c>
      <c r="J351">
        <f t="shared" si="67"/>
        <v>0.6</v>
      </c>
      <c r="K351">
        <f t="shared" si="68"/>
        <v>0.4</v>
      </c>
      <c r="L351">
        <f t="shared" si="69"/>
        <v>302</v>
      </c>
      <c r="M351" s="6">
        <f t="shared" si="70"/>
        <v>1.0621869682775227</v>
      </c>
      <c r="N351" s="13">
        <f t="shared" si="65"/>
        <v>1.0744754079017977</v>
      </c>
      <c r="O351" s="6">
        <f t="shared" si="74"/>
        <v>314.78004124621106</v>
      </c>
      <c r="P351" s="6">
        <f t="shared" si="74"/>
        <v>314.21589042330976</v>
      </c>
      <c r="Q351" s="6">
        <f t="shared" si="71"/>
        <v>1.0744754079017977</v>
      </c>
      <c r="T351" s="6">
        <f t="shared" si="63"/>
        <v>1.0744754079017977</v>
      </c>
    </row>
    <row r="352" spans="1:20">
      <c r="B352">
        <f t="shared" si="72"/>
        <v>349</v>
      </c>
      <c r="C352">
        <f t="shared" si="66"/>
        <v>30</v>
      </c>
      <c r="D352">
        <v>336</v>
      </c>
      <c r="E352">
        <v>366</v>
      </c>
      <c r="F352">
        <f>KcSPLINE!F$15</f>
        <v>0.97580164046852269</v>
      </c>
      <c r="G352">
        <f>KcSPLINE!F$16</f>
        <v>1.1917649599910223</v>
      </c>
      <c r="H352" s="5">
        <f>KcSPLINE!K$15</f>
        <v>1.8836253902422418E-4</v>
      </c>
      <c r="I352" s="5">
        <f>KcSPLINE!K$16</f>
        <v>-4.5908971968393808E-4</v>
      </c>
      <c r="J352">
        <f t="shared" si="67"/>
        <v>0.56666666666666665</v>
      </c>
      <c r="K352">
        <f t="shared" si="68"/>
        <v>0.43333333333333335</v>
      </c>
      <c r="L352">
        <f t="shared" si="69"/>
        <v>303</v>
      </c>
      <c r="M352" s="6">
        <f t="shared" si="70"/>
        <v>1.0693857455949392</v>
      </c>
      <c r="N352" s="13">
        <f t="shared" si="65"/>
        <v>1.0827535673355606</v>
      </c>
      <c r="O352" s="6">
        <f t="shared" si="74"/>
        <v>315.84942699180601</v>
      </c>
      <c r="P352" s="6">
        <f t="shared" si="74"/>
        <v>315.2986439906453</v>
      </c>
      <c r="Q352" s="6">
        <f t="shared" si="71"/>
        <v>1.0827535673355606</v>
      </c>
      <c r="T352" s="6">
        <f t="shared" si="63"/>
        <v>1.0827535673355606</v>
      </c>
    </row>
    <row r="353" spans="2:20">
      <c r="B353">
        <f t="shared" si="72"/>
        <v>350</v>
      </c>
      <c r="C353">
        <f t="shared" si="66"/>
        <v>30</v>
      </c>
      <c r="D353">
        <v>336</v>
      </c>
      <c r="E353">
        <v>366</v>
      </c>
      <c r="F353">
        <f>KcSPLINE!F$15</f>
        <v>0.97580164046852269</v>
      </c>
      <c r="G353">
        <f>KcSPLINE!F$16</f>
        <v>1.1917649599910223</v>
      </c>
      <c r="H353" s="5">
        <f>KcSPLINE!K$15</f>
        <v>1.8836253902422418E-4</v>
      </c>
      <c r="I353" s="5">
        <f>KcSPLINE!K$16</f>
        <v>-4.5908971968393808E-4</v>
      </c>
      <c r="J353">
        <f t="shared" si="67"/>
        <v>0.53333333333333333</v>
      </c>
      <c r="K353">
        <f t="shared" si="68"/>
        <v>0.46666666666666667</v>
      </c>
      <c r="L353">
        <f t="shared" si="69"/>
        <v>304</v>
      </c>
      <c r="M353" s="6">
        <f t="shared" si="70"/>
        <v>1.0765845229123558</v>
      </c>
      <c r="N353" s="13">
        <f t="shared" si="65"/>
        <v>1.0909395266629074</v>
      </c>
      <c r="O353" s="6">
        <f t="shared" si="74"/>
        <v>316.92601151471837</v>
      </c>
      <c r="P353" s="6">
        <f t="shared" si="74"/>
        <v>316.38958351730821</v>
      </c>
      <c r="Q353" s="6">
        <f t="shared" si="71"/>
        <v>1.0909395266629074</v>
      </c>
      <c r="T353" s="6">
        <f t="shared" si="63"/>
        <v>1.0909395266629074</v>
      </c>
    </row>
    <row r="354" spans="2:20">
      <c r="B354">
        <f t="shared" si="72"/>
        <v>351</v>
      </c>
      <c r="C354">
        <f t="shared" si="66"/>
        <v>30</v>
      </c>
      <c r="D354">
        <v>336</v>
      </c>
      <c r="E354">
        <v>366</v>
      </c>
      <c r="F354">
        <f>KcSPLINE!F$15</f>
        <v>0.97580164046852269</v>
      </c>
      <c r="G354">
        <f>KcSPLINE!F$16</f>
        <v>1.1917649599910223</v>
      </c>
      <c r="H354" s="5">
        <f>KcSPLINE!K$15</f>
        <v>1.8836253902422418E-4</v>
      </c>
      <c r="I354" s="5">
        <f>KcSPLINE!K$16</f>
        <v>-4.5908971968393808E-4</v>
      </c>
      <c r="J354">
        <f t="shared" si="67"/>
        <v>0.5</v>
      </c>
      <c r="K354">
        <f t="shared" si="68"/>
        <v>0.5</v>
      </c>
      <c r="L354">
        <f t="shared" si="69"/>
        <v>305</v>
      </c>
      <c r="M354" s="6">
        <f t="shared" si="70"/>
        <v>1.0837833002297725</v>
      </c>
      <c r="N354" s="13">
        <f t="shared" si="65"/>
        <v>1.0990117041418814</v>
      </c>
      <c r="O354" s="6">
        <f t="shared" si="74"/>
        <v>318.00979481494812</v>
      </c>
      <c r="P354" s="6">
        <f t="shared" si="74"/>
        <v>317.48859522145011</v>
      </c>
      <c r="Q354" s="6">
        <f t="shared" si="71"/>
        <v>1.0990117041418814</v>
      </c>
      <c r="T354" s="6">
        <f t="shared" si="63"/>
        <v>1.0990117041418814</v>
      </c>
    </row>
    <row r="355" spans="2:20">
      <c r="B355">
        <f t="shared" si="72"/>
        <v>352</v>
      </c>
      <c r="C355">
        <f t="shared" si="66"/>
        <v>30</v>
      </c>
      <c r="D355">
        <v>336</v>
      </c>
      <c r="E355">
        <v>366</v>
      </c>
      <c r="F355">
        <f>KcSPLINE!F$15</f>
        <v>0.97580164046852269</v>
      </c>
      <c r="G355">
        <f>KcSPLINE!F$16</f>
        <v>1.1917649599910223</v>
      </c>
      <c r="H355" s="5">
        <f>KcSPLINE!K$15</f>
        <v>1.8836253902422418E-4</v>
      </c>
      <c r="I355" s="5">
        <f>KcSPLINE!K$16</f>
        <v>-4.5908971968393808E-4</v>
      </c>
      <c r="J355">
        <f t="shared" si="67"/>
        <v>0.46666666666666667</v>
      </c>
      <c r="K355">
        <f t="shared" si="68"/>
        <v>0.53333333333333333</v>
      </c>
      <c r="L355">
        <f t="shared" si="69"/>
        <v>306</v>
      </c>
      <c r="M355" s="6">
        <f t="shared" si="70"/>
        <v>1.0909820775471892</v>
      </c>
      <c r="N355" s="13">
        <f t="shared" si="65"/>
        <v>1.1069485180305256</v>
      </c>
      <c r="O355" s="6">
        <f t="shared" si="74"/>
        <v>319.10077689249533</v>
      </c>
      <c r="P355" s="6">
        <f t="shared" si="74"/>
        <v>318.59554373948066</v>
      </c>
      <c r="Q355" s="6">
        <f t="shared" si="71"/>
        <v>1.1069485180305256</v>
      </c>
      <c r="T355" s="6">
        <f t="shared" si="63"/>
        <v>1.1069485180305256</v>
      </c>
    </row>
    <row r="356" spans="2:20">
      <c r="B356">
        <f t="shared" si="72"/>
        <v>353</v>
      </c>
      <c r="C356">
        <f t="shared" si="66"/>
        <v>30</v>
      </c>
      <c r="D356">
        <v>336</v>
      </c>
      <c r="E356">
        <v>366</v>
      </c>
      <c r="F356">
        <f>KcSPLINE!F$15</f>
        <v>0.97580164046852269</v>
      </c>
      <c r="G356">
        <f>KcSPLINE!F$16</f>
        <v>1.1917649599910223</v>
      </c>
      <c r="H356" s="5">
        <f>KcSPLINE!K$15</f>
        <v>1.8836253902422418E-4</v>
      </c>
      <c r="I356" s="5">
        <f>KcSPLINE!K$16</f>
        <v>-4.5908971968393808E-4</v>
      </c>
      <c r="J356">
        <f t="shared" si="67"/>
        <v>0.43333333333333335</v>
      </c>
      <c r="K356">
        <f t="shared" si="68"/>
        <v>0.56666666666666665</v>
      </c>
      <c r="L356">
        <f t="shared" si="69"/>
        <v>307</v>
      </c>
      <c r="M356" s="6">
        <f t="shared" si="70"/>
        <v>1.0981808548646057</v>
      </c>
      <c r="N356" s="13">
        <f t="shared" si="65"/>
        <v>1.1147283865868827</v>
      </c>
      <c r="O356" s="6">
        <f t="shared" si="74"/>
        <v>320.19895774735994</v>
      </c>
      <c r="P356" s="6">
        <f t="shared" si="74"/>
        <v>319.71027212606754</v>
      </c>
      <c r="Q356" s="6">
        <f t="shared" si="71"/>
        <v>1.1147283865868827</v>
      </c>
      <c r="T356" s="6">
        <f t="shared" si="63"/>
        <v>1.1147283865868827</v>
      </c>
    </row>
    <row r="357" spans="2:20">
      <c r="B357">
        <f t="shared" si="72"/>
        <v>354</v>
      </c>
      <c r="C357">
        <f t="shared" si="66"/>
        <v>30</v>
      </c>
      <c r="D357">
        <v>336</v>
      </c>
      <c r="E357">
        <v>366</v>
      </c>
      <c r="F357">
        <f>KcSPLINE!F$15</f>
        <v>0.97580164046852269</v>
      </c>
      <c r="G357">
        <f>KcSPLINE!F$16</f>
        <v>1.1917649599910223</v>
      </c>
      <c r="H357" s="5">
        <f>KcSPLINE!K$15</f>
        <v>1.8836253902422418E-4</v>
      </c>
      <c r="I357" s="5">
        <f>KcSPLINE!K$16</f>
        <v>-4.5908971968393808E-4</v>
      </c>
      <c r="J357">
        <f t="shared" si="67"/>
        <v>0.4</v>
      </c>
      <c r="K357">
        <f t="shared" si="68"/>
        <v>0.6</v>
      </c>
      <c r="L357">
        <f t="shared" si="69"/>
        <v>308</v>
      </c>
      <c r="M357" s="6">
        <f t="shared" si="70"/>
        <v>1.1053796321820224</v>
      </c>
      <c r="N357" s="13">
        <f t="shared" si="65"/>
        <v>1.1223297280689963</v>
      </c>
      <c r="O357" s="6">
        <f t="shared" ref="O357:P372" si="75">O356+M357</f>
        <v>321.30433737954195</v>
      </c>
      <c r="P357" s="6">
        <f t="shared" si="75"/>
        <v>320.83260185413656</v>
      </c>
      <c r="Q357" s="6">
        <f t="shared" si="71"/>
        <v>1.1223297280689963</v>
      </c>
      <c r="T357" s="6">
        <f t="shared" si="63"/>
        <v>1.1223297280689963</v>
      </c>
    </row>
    <row r="358" spans="2:20">
      <c r="B358">
        <f t="shared" si="72"/>
        <v>355</v>
      </c>
      <c r="C358">
        <f t="shared" si="66"/>
        <v>30</v>
      </c>
      <c r="D358">
        <v>336</v>
      </c>
      <c r="E358">
        <v>366</v>
      </c>
      <c r="F358">
        <f>KcSPLINE!F$15</f>
        <v>0.97580164046852269</v>
      </c>
      <c r="G358">
        <f>KcSPLINE!F$16</f>
        <v>1.1917649599910223</v>
      </c>
      <c r="H358" s="5">
        <f>KcSPLINE!K$15</f>
        <v>1.8836253902422418E-4</v>
      </c>
      <c r="I358" s="5">
        <f>KcSPLINE!K$16</f>
        <v>-4.5908971968393808E-4</v>
      </c>
      <c r="J358">
        <f t="shared" si="67"/>
        <v>0.36666666666666664</v>
      </c>
      <c r="K358">
        <f t="shared" si="68"/>
        <v>0.6333333333333333</v>
      </c>
      <c r="L358">
        <f t="shared" si="69"/>
        <v>309</v>
      </c>
      <c r="M358" s="6">
        <f t="shared" si="70"/>
        <v>1.1125784094994391</v>
      </c>
      <c r="N358" s="13">
        <f t="shared" si="65"/>
        <v>1.1297309607349093</v>
      </c>
      <c r="O358" s="6">
        <f t="shared" si="75"/>
        <v>322.41691578904141</v>
      </c>
      <c r="P358" s="6">
        <f t="shared" si="75"/>
        <v>321.96233281487144</v>
      </c>
      <c r="Q358" s="6">
        <f t="shared" si="71"/>
        <v>1.1297309607349093</v>
      </c>
      <c r="T358" s="6">
        <f t="shared" si="63"/>
        <v>1.1297309607349093</v>
      </c>
    </row>
    <row r="359" spans="2:20">
      <c r="B359">
        <f t="shared" si="72"/>
        <v>356</v>
      </c>
      <c r="C359">
        <f t="shared" si="66"/>
        <v>30</v>
      </c>
      <c r="D359">
        <v>336</v>
      </c>
      <c r="E359">
        <v>366</v>
      </c>
      <c r="F359">
        <f>KcSPLINE!F$15</f>
        <v>0.97580164046852269</v>
      </c>
      <c r="G359">
        <f>KcSPLINE!F$16</f>
        <v>1.1917649599910223</v>
      </c>
      <c r="H359" s="5">
        <f>KcSPLINE!K$15</f>
        <v>1.8836253902422418E-4</v>
      </c>
      <c r="I359" s="5">
        <f>KcSPLINE!K$16</f>
        <v>-4.5908971968393808E-4</v>
      </c>
      <c r="J359">
        <f t="shared" si="67"/>
        <v>0.33333333333333331</v>
      </c>
      <c r="K359">
        <f t="shared" si="68"/>
        <v>0.66666666666666663</v>
      </c>
      <c r="L359">
        <f t="shared" si="69"/>
        <v>310</v>
      </c>
      <c r="M359" s="6">
        <f t="shared" si="70"/>
        <v>1.1197771868168558</v>
      </c>
      <c r="N359" s="13">
        <f t="shared" si="65"/>
        <v>1.1369105028426647</v>
      </c>
      <c r="O359" s="6">
        <f t="shared" si="75"/>
        <v>323.53669297585827</v>
      </c>
      <c r="P359" s="6">
        <f t="shared" si="75"/>
        <v>323.09924331771413</v>
      </c>
      <c r="Q359" s="6">
        <f t="shared" si="71"/>
        <v>1.1369105028426647</v>
      </c>
      <c r="T359" s="6">
        <f t="shared" si="63"/>
        <v>1.1369105028426647</v>
      </c>
    </row>
    <row r="360" spans="2:20">
      <c r="B360">
        <f t="shared" si="72"/>
        <v>357</v>
      </c>
      <c r="C360">
        <f t="shared" si="66"/>
        <v>30</v>
      </c>
      <c r="D360">
        <v>336</v>
      </c>
      <c r="E360">
        <v>366</v>
      </c>
      <c r="F360">
        <f>KcSPLINE!F$15</f>
        <v>0.97580164046852269</v>
      </c>
      <c r="G360">
        <f>KcSPLINE!F$16</f>
        <v>1.1917649599910223</v>
      </c>
      <c r="H360" s="5">
        <f>KcSPLINE!K$15</f>
        <v>1.8836253902422418E-4</v>
      </c>
      <c r="I360" s="5">
        <f>KcSPLINE!K$16</f>
        <v>-4.5908971968393808E-4</v>
      </c>
      <c r="J360">
        <f t="shared" si="67"/>
        <v>0.3</v>
      </c>
      <c r="K360">
        <f t="shared" si="68"/>
        <v>0.7</v>
      </c>
      <c r="L360">
        <f t="shared" si="69"/>
        <v>311</v>
      </c>
      <c r="M360" s="6">
        <f t="shared" si="70"/>
        <v>1.1269759641342723</v>
      </c>
      <c r="N360" s="13">
        <f t="shared" si="65"/>
        <v>1.1438467726503052</v>
      </c>
      <c r="O360" s="6">
        <f t="shared" si="75"/>
        <v>324.66366893999253</v>
      </c>
      <c r="P360" s="6">
        <f t="shared" si="75"/>
        <v>324.24309009036443</v>
      </c>
      <c r="Q360" s="6">
        <f t="shared" si="71"/>
        <v>1.1438467726503052</v>
      </c>
      <c r="T360" s="6">
        <f t="shared" si="63"/>
        <v>1.1438467726503052</v>
      </c>
    </row>
    <row r="361" spans="2:20">
      <c r="B361">
        <f t="shared" si="72"/>
        <v>358</v>
      </c>
      <c r="C361">
        <f t="shared" si="66"/>
        <v>30</v>
      </c>
      <c r="D361">
        <v>336</v>
      </c>
      <c r="E361">
        <v>366</v>
      </c>
      <c r="F361">
        <f>KcSPLINE!F$15</f>
        <v>0.97580164046852269</v>
      </c>
      <c r="G361">
        <f>KcSPLINE!F$16</f>
        <v>1.1917649599910223</v>
      </c>
      <c r="H361" s="5">
        <f>KcSPLINE!K$15</f>
        <v>1.8836253902422418E-4</v>
      </c>
      <c r="I361" s="5">
        <f>KcSPLINE!K$16</f>
        <v>-4.5908971968393808E-4</v>
      </c>
      <c r="J361">
        <f t="shared" si="67"/>
        <v>0.26666666666666666</v>
      </c>
      <c r="K361">
        <f t="shared" si="68"/>
        <v>0.73333333333333328</v>
      </c>
      <c r="L361">
        <f t="shared" si="69"/>
        <v>312</v>
      </c>
      <c r="M361" s="6">
        <f t="shared" si="70"/>
        <v>1.134174741451689</v>
      </c>
      <c r="N361" s="13">
        <f t="shared" si="65"/>
        <v>1.1505181884158744</v>
      </c>
      <c r="O361" s="6">
        <f t="shared" si="75"/>
        <v>325.79784368144425</v>
      </c>
      <c r="P361" s="6">
        <f t="shared" si="75"/>
        <v>325.39360827878033</v>
      </c>
      <c r="Q361" s="6">
        <f t="shared" si="71"/>
        <v>1.1505181884158744</v>
      </c>
      <c r="T361" s="6">
        <f t="shared" si="63"/>
        <v>1.1505181884158744</v>
      </c>
    </row>
    <row r="362" spans="2:20">
      <c r="B362">
        <f t="shared" si="72"/>
        <v>359</v>
      </c>
      <c r="C362">
        <f t="shared" si="66"/>
        <v>30</v>
      </c>
      <c r="D362">
        <v>336</v>
      </c>
      <c r="E362">
        <v>366</v>
      </c>
      <c r="F362">
        <f>KcSPLINE!F$15</f>
        <v>0.97580164046852269</v>
      </c>
      <c r="G362">
        <f>KcSPLINE!F$16</f>
        <v>1.1917649599910223</v>
      </c>
      <c r="H362" s="5">
        <f>KcSPLINE!K$15</f>
        <v>1.8836253902422418E-4</v>
      </c>
      <c r="I362" s="5">
        <f>KcSPLINE!K$16</f>
        <v>-4.5908971968393808E-4</v>
      </c>
      <c r="J362">
        <f t="shared" si="67"/>
        <v>0.23333333333333334</v>
      </c>
      <c r="K362">
        <f t="shared" si="68"/>
        <v>0.76666666666666672</v>
      </c>
      <c r="L362">
        <f t="shared" si="69"/>
        <v>313</v>
      </c>
      <c r="M362" s="6">
        <f t="shared" si="70"/>
        <v>1.1413735187691059</v>
      </c>
      <c r="N362" s="13">
        <f t="shared" si="65"/>
        <v>1.1569031683974156</v>
      </c>
      <c r="O362" s="6">
        <f t="shared" si="75"/>
        <v>326.93921720021336</v>
      </c>
      <c r="P362" s="6">
        <f t="shared" si="75"/>
        <v>326.55051144717777</v>
      </c>
      <c r="Q362" s="6">
        <f t="shared" si="71"/>
        <v>1.1569031683974156</v>
      </c>
      <c r="T362" s="6">
        <f t="shared" si="63"/>
        <v>1.1569031683974156</v>
      </c>
    </row>
    <row r="363" spans="2:20">
      <c r="B363">
        <f t="shared" si="72"/>
        <v>360</v>
      </c>
      <c r="C363">
        <f t="shared" si="66"/>
        <v>30</v>
      </c>
      <c r="D363">
        <v>336</v>
      </c>
      <c r="E363">
        <v>366</v>
      </c>
      <c r="F363">
        <f>KcSPLINE!F$15</f>
        <v>0.97580164046852269</v>
      </c>
      <c r="G363">
        <f>KcSPLINE!F$16</f>
        <v>1.1917649599910223</v>
      </c>
      <c r="H363" s="5">
        <f>KcSPLINE!K$15</f>
        <v>1.8836253902422418E-4</v>
      </c>
      <c r="I363" s="5">
        <f>KcSPLINE!K$16</f>
        <v>-4.5908971968393808E-4</v>
      </c>
      <c r="J363">
        <f t="shared" si="67"/>
        <v>0.2</v>
      </c>
      <c r="K363">
        <f t="shared" si="68"/>
        <v>0.8</v>
      </c>
      <c r="L363">
        <f t="shared" si="69"/>
        <v>314</v>
      </c>
      <c r="M363" s="6">
        <f t="shared" si="70"/>
        <v>1.1485722960865226</v>
      </c>
      <c r="N363" s="13">
        <f t="shared" si="65"/>
        <v>1.162980130852971</v>
      </c>
      <c r="O363" s="6">
        <f t="shared" si="75"/>
        <v>328.08778949629988</v>
      </c>
      <c r="P363" s="6">
        <f t="shared" si="75"/>
        <v>327.71349157803076</v>
      </c>
      <c r="Q363" s="6">
        <f t="shared" si="71"/>
        <v>1.162980130852971</v>
      </c>
      <c r="T363" s="6">
        <f t="shared" si="63"/>
        <v>1.162980130852971</v>
      </c>
    </row>
    <row r="364" spans="2:20">
      <c r="B364">
        <f t="shared" si="72"/>
        <v>361</v>
      </c>
      <c r="C364">
        <f t="shared" si="66"/>
        <v>30</v>
      </c>
      <c r="D364">
        <v>336</v>
      </c>
      <c r="E364">
        <v>366</v>
      </c>
      <c r="F364">
        <f>KcSPLINE!F$15</f>
        <v>0.97580164046852269</v>
      </c>
      <c r="G364">
        <f>KcSPLINE!F$16</f>
        <v>1.1917649599910223</v>
      </c>
      <c r="H364" s="5">
        <f>KcSPLINE!K$15</f>
        <v>1.8836253902422418E-4</v>
      </c>
      <c r="I364" s="5">
        <f>KcSPLINE!K$16</f>
        <v>-4.5908971968393808E-4</v>
      </c>
      <c r="J364">
        <f t="shared" si="67"/>
        <v>0.16666666666666666</v>
      </c>
      <c r="K364">
        <f t="shared" si="68"/>
        <v>0.83333333333333337</v>
      </c>
      <c r="L364">
        <f t="shared" si="69"/>
        <v>315</v>
      </c>
      <c r="M364" s="6">
        <f t="shared" si="70"/>
        <v>1.155771073403939</v>
      </c>
      <c r="N364" s="13">
        <f t="shared" si="65"/>
        <v>1.1687274940405841</v>
      </c>
      <c r="O364" s="6">
        <f t="shared" si="75"/>
        <v>329.24356056970379</v>
      </c>
      <c r="P364" s="6">
        <f t="shared" si="75"/>
        <v>328.88221907207134</v>
      </c>
      <c r="Q364" s="6">
        <f t="shared" si="71"/>
        <v>1.1687274940405841</v>
      </c>
      <c r="T364" s="6">
        <f t="shared" si="63"/>
        <v>1.1687274940405841</v>
      </c>
    </row>
    <row r="365" spans="2:20">
      <c r="B365">
        <f t="shared" si="72"/>
        <v>362</v>
      </c>
      <c r="C365">
        <f t="shared" si="66"/>
        <v>30</v>
      </c>
      <c r="D365">
        <v>336</v>
      </c>
      <c r="E365">
        <v>366</v>
      </c>
      <c r="F365">
        <f>KcSPLINE!F$15</f>
        <v>0.97580164046852269</v>
      </c>
      <c r="G365">
        <f>KcSPLINE!F$16</f>
        <v>1.1917649599910223</v>
      </c>
      <c r="H365" s="5">
        <f>KcSPLINE!K$15</f>
        <v>1.8836253902422418E-4</v>
      </c>
      <c r="I365" s="5">
        <f>KcSPLINE!K$16</f>
        <v>-4.5908971968393808E-4</v>
      </c>
      <c r="J365">
        <f t="shared" si="67"/>
        <v>0.13333333333333333</v>
      </c>
      <c r="K365">
        <f t="shared" si="68"/>
        <v>0.8666666666666667</v>
      </c>
      <c r="L365">
        <f t="shared" si="69"/>
        <v>316</v>
      </c>
      <c r="M365" s="6">
        <f t="shared" si="70"/>
        <v>1.1629698507213557</v>
      </c>
      <c r="N365" s="13">
        <f t="shared" si="65"/>
        <v>1.1741236762182978</v>
      </c>
      <c r="O365" s="6">
        <f t="shared" si="75"/>
        <v>330.40653042042516</v>
      </c>
      <c r="P365" s="6">
        <f t="shared" si="75"/>
        <v>330.05634274828964</v>
      </c>
      <c r="Q365" s="6">
        <f t="shared" si="71"/>
        <v>1.1741236762182978</v>
      </c>
      <c r="T365" s="6">
        <f t="shared" si="63"/>
        <v>1.1741236762182978</v>
      </c>
    </row>
    <row r="366" spans="2:20">
      <c r="B366">
        <f t="shared" si="72"/>
        <v>363</v>
      </c>
      <c r="C366">
        <f t="shared" si="66"/>
        <v>30</v>
      </c>
      <c r="D366">
        <v>336</v>
      </c>
      <c r="E366">
        <v>366</v>
      </c>
      <c r="F366">
        <f>KcSPLINE!F$15</f>
        <v>0.97580164046852269</v>
      </c>
      <c r="G366">
        <f>KcSPLINE!F$16</f>
        <v>1.1917649599910223</v>
      </c>
      <c r="H366" s="5">
        <f>KcSPLINE!K$15</f>
        <v>1.8836253902422418E-4</v>
      </c>
      <c r="I366" s="5">
        <f>KcSPLINE!K$16</f>
        <v>-4.5908971968393808E-4</v>
      </c>
      <c r="J366">
        <f t="shared" si="67"/>
        <v>0.1</v>
      </c>
      <c r="K366">
        <f t="shared" si="68"/>
        <v>0.9</v>
      </c>
      <c r="L366">
        <f t="shared" si="69"/>
        <v>317</v>
      </c>
      <c r="M366" s="6">
        <f t="shared" si="70"/>
        <v>1.1701686280387724</v>
      </c>
      <c r="N366" s="13">
        <f t="shared" si="65"/>
        <v>1.1791470956441557</v>
      </c>
      <c r="O366" s="6">
        <f t="shared" si="75"/>
        <v>331.57669904846392</v>
      </c>
      <c r="P366" s="6">
        <f t="shared" si="75"/>
        <v>331.23548984393381</v>
      </c>
      <c r="Q366" s="6">
        <f t="shared" si="71"/>
        <v>1.1791470956441557</v>
      </c>
      <c r="T366" s="6">
        <f t="shared" si="63"/>
        <v>1.1791470956441557</v>
      </c>
    </row>
    <row r="367" spans="2:20">
      <c r="B367">
        <f t="shared" si="72"/>
        <v>364</v>
      </c>
      <c r="C367">
        <f t="shared" si="66"/>
        <v>30</v>
      </c>
      <c r="D367">
        <v>336</v>
      </c>
      <c r="E367">
        <v>366</v>
      </c>
      <c r="F367">
        <f>KcSPLINE!F$15</f>
        <v>0.97580164046852269</v>
      </c>
      <c r="G367">
        <f>KcSPLINE!F$16</f>
        <v>1.1917649599910223</v>
      </c>
      <c r="H367" s="5">
        <f>KcSPLINE!K$15</f>
        <v>1.8836253902422418E-4</v>
      </c>
      <c r="I367" s="5">
        <f>KcSPLINE!K$16</f>
        <v>-4.5908971968393808E-4</v>
      </c>
      <c r="J367">
        <f t="shared" si="67"/>
        <v>6.6666666666666666E-2</v>
      </c>
      <c r="K367">
        <f t="shared" si="68"/>
        <v>0.93333333333333335</v>
      </c>
      <c r="L367">
        <f t="shared" si="69"/>
        <v>318</v>
      </c>
      <c r="M367" s="6">
        <f t="shared" si="70"/>
        <v>1.1773674053561889</v>
      </c>
      <c r="N367" s="13">
        <f t="shared" si="65"/>
        <v>1.1837761705762002</v>
      </c>
      <c r="O367" s="6">
        <f t="shared" si="75"/>
        <v>332.75406645382009</v>
      </c>
      <c r="P367" s="6">
        <f t="shared" si="75"/>
        <v>332.41926601451001</v>
      </c>
      <c r="Q367" s="6">
        <f t="shared" si="71"/>
        <v>1.1837761705762002</v>
      </c>
      <c r="T367" s="6">
        <f t="shared" si="63"/>
        <v>1.1837761705762002</v>
      </c>
    </row>
    <row r="368" spans="2:20">
      <c r="B368">
        <f t="shared" si="72"/>
        <v>365</v>
      </c>
      <c r="C368">
        <f t="shared" si="66"/>
        <v>30</v>
      </c>
      <c r="D368">
        <v>336</v>
      </c>
      <c r="E368">
        <v>366</v>
      </c>
      <c r="F368">
        <f>KcSPLINE!F$15</f>
        <v>0.97580164046852269</v>
      </c>
      <c r="G368">
        <f>KcSPLINE!F$16</f>
        <v>1.1917649599910223</v>
      </c>
      <c r="H368" s="5">
        <f>KcSPLINE!K$15</f>
        <v>1.8836253902422418E-4</v>
      </c>
      <c r="I368" s="5">
        <f>KcSPLINE!K$16</f>
        <v>-4.5908971968393808E-4</v>
      </c>
      <c r="J368">
        <f t="shared" si="67"/>
        <v>3.3333333333333333E-2</v>
      </c>
      <c r="K368">
        <f t="shared" si="68"/>
        <v>0.96666666666666667</v>
      </c>
      <c r="L368">
        <f t="shared" si="69"/>
        <v>319</v>
      </c>
      <c r="M368" s="6">
        <f t="shared" si="70"/>
        <v>1.1845661826736058</v>
      </c>
      <c r="N368" s="13">
        <f t="shared" si="65"/>
        <v>1.1879893192724749</v>
      </c>
      <c r="O368" s="6">
        <f t="shared" si="75"/>
        <v>333.93863263649371</v>
      </c>
      <c r="P368" s="6">
        <f t="shared" si="75"/>
        <v>333.60725533378246</v>
      </c>
      <c r="Q368" s="6">
        <f t="shared" si="71"/>
        <v>1.1879893192724749</v>
      </c>
      <c r="T368" s="6">
        <f t="shared" si="63"/>
        <v>1.1879893192724749</v>
      </c>
    </row>
    <row r="369" spans="1:20">
      <c r="A369">
        <v>366</v>
      </c>
      <c r="B369">
        <f t="shared" si="72"/>
        <v>366</v>
      </c>
      <c r="C369">
        <f t="shared" si="66"/>
        <v>30</v>
      </c>
      <c r="D369">
        <v>336</v>
      </c>
      <c r="E369">
        <v>366</v>
      </c>
      <c r="F369">
        <f>KcSPLINE!F$15</f>
        <v>0.97580164046852269</v>
      </c>
      <c r="G369">
        <f>KcSPLINE!F$16</f>
        <v>1.1917649599910223</v>
      </c>
      <c r="H369" s="5">
        <f>KcSPLINE!K$15</f>
        <v>1.8836253902422418E-4</v>
      </c>
      <c r="I369" s="5">
        <f>KcSPLINE!K$16</f>
        <v>-4.5908971968393808E-4</v>
      </c>
      <c r="J369">
        <f t="shared" si="67"/>
        <v>0</v>
      </c>
      <c r="K369">
        <f t="shared" si="68"/>
        <v>1</v>
      </c>
      <c r="L369">
        <f t="shared" si="69"/>
        <v>320</v>
      </c>
      <c r="M369" s="6">
        <f t="shared" si="70"/>
        <v>1.1917649599910223</v>
      </c>
      <c r="N369" s="13">
        <f t="shared" si="65"/>
        <v>1.1917649599910223</v>
      </c>
      <c r="O369" s="6">
        <f t="shared" si="75"/>
        <v>335.13039759648473</v>
      </c>
      <c r="P369" s="6">
        <f t="shared" si="75"/>
        <v>334.79902029377348</v>
      </c>
      <c r="Q369" s="6">
        <f t="shared" si="71"/>
        <v>1.1917649599910223</v>
      </c>
      <c r="T369" s="6">
        <f t="shared" si="63"/>
        <v>1.1917649599910223</v>
      </c>
    </row>
    <row r="370" spans="1:20">
      <c r="B370">
        <f t="shared" si="72"/>
        <v>367</v>
      </c>
      <c r="C370">
        <f t="shared" si="66"/>
        <v>31</v>
      </c>
      <c r="D370">
        <v>366</v>
      </c>
      <c r="E370">
        <v>397</v>
      </c>
      <c r="F370">
        <f>KcSPLINE!F$16</f>
        <v>1.1917649599910223</v>
      </c>
      <c r="G370">
        <f>KcSPLINE!F$17</f>
        <v>1.2000000000000002</v>
      </c>
      <c r="H370" s="5">
        <f>KcSPLINE!K$16</f>
        <v>-4.5908971968393808E-4</v>
      </c>
      <c r="I370" s="5">
        <f>KcSPLINE!K$17</f>
        <v>2.825575625041572E-4</v>
      </c>
      <c r="J370">
        <f t="shared" si="67"/>
        <v>0.967741935483871</v>
      </c>
      <c r="K370">
        <f t="shared" si="68"/>
        <v>3.2258064516129031E-2</v>
      </c>
      <c r="L370">
        <f t="shared" si="69"/>
        <v>321</v>
      </c>
      <c r="M370" s="6">
        <f t="shared" si="70"/>
        <v>1.1920306064429249</v>
      </c>
      <c r="N370" s="13">
        <f t="shared" si="65"/>
        <v>1.1950890952978583</v>
      </c>
      <c r="O370" s="6">
        <f t="shared" si="75"/>
        <v>336.32242820292765</v>
      </c>
      <c r="P370" s="6">
        <f t="shared" si="75"/>
        <v>335.99410938907135</v>
      </c>
      <c r="Q370" s="6">
        <f t="shared" si="71"/>
        <v>1.1950890952978583</v>
      </c>
      <c r="T370" s="6">
        <f t="shared" ref="T370:T414" si="76">N370</f>
        <v>1.1950890952978583</v>
      </c>
    </row>
    <row r="371" spans="1:20">
      <c r="B371">
        <f t="shared" si="72"/>
        <v>368</v>
      </c>
      <c r="C371">
        <f t="shared" si="66"/>
        <v>31</v>
      </c>
      <c r="D371">
        <v>366</v>
      </c>
      <c r="E371">
        <v>397</v>
      </c>
      <c r="F371">
        <f>KcSPLINE!F$16</f>
        <v>1.1917649599910223</v>
      </c>
      <c r="G371">
        <f>KcSPLINE!F$17</f>
        <v>1.2000000000000002</v>
      </c>
      <c r="H371" s="5">
        <f>KcSPLINE!K$16</f>
        <v>-4.5908971968393808E-4</v>
      </c>
      <c r="I371" s="5">
        <f>KcSPLINE!K$17</f>
        <v>2.825575625041572E-4</v>
      </c>
      <c r="J371">
        <f t="shared" si="67"/>
        <v>0.93548387096774188</v>
      </c>
      <c r="K371">
        <f t="shared" si="68"/>
        <v>6.4516129032258063E-2</v>
      </c>
      <c r="L371">
        <f t="shared" si="69"/>
        <v>322</v>
      </c>
      <c r="M371" s="6">
        <f t="shared" si="70"/>
        <v>1.1922962528948271</v>
      </c>
      <c r="N371" s="13">
        <f t="shared" si="65"/>
        <v>1.1979780649908871</v>
      </c>
      <c r="O371" s="6">
        <f t="shared" si="75"/>
        <v>337.51472445582249</v>
      </c>
      <c r="P371" s="6">
        <f t="shared" si="75"/>
        <v>337.19208745406223</v>
      </c>
      <c r="Q371" s="6">
        <f t="shared" si="71"/>
        <v>1.1979780649908871</v>
      </c>
      <c r="T371" s="6">
        <f t="shared" si="76"/>
        <v>1.1979780649908871</v>
      </c>
    </row>
    <row r="372" spans="1:20">
      <c r="B372">
        <f t="shared" si="72"/>
        <v>369</v>
      </c>
      <c r="C372">
        <f t="shared" si="66"/>
        <v>31</v>
      </c>
      <c r="D372">
        <v>366</v>
      </c>
      <c r="E372">
        <v>397</v>
      </c>
      <c r="F372">
        <f>KcSPLINE!F$16</f>
        <v>1.1917649599910223</v>
      </c>
      <c r="G372">
        <f>KcSPLINE!F$17</f>
        <v>1.2000000000000002</v>
      </c>
      <c r="H372" s="5">
        <f>KcSPLINE!K$16</f>
        <v>-4.5908971968393808E-4</v>
      </c>
      <c r="I372" s="5">
        <f>KcSPLINE!K$17</f>
        <v>2.825575625041572E-4</v>
      </c>
      <c r="J372">
        <f t="shared" si="67"/>
        <v>0.90322580645161288</v>
      </c>
      <c r="K372">
        <f t="shared" si="68"/>
        <v>9.6774193548387094E-2</v>
      </c>
      <c r="L372">
        <f t="shared" si="69"/>
        <v>323</v>
      </c>
      <c r="M372" s="6">
        <f t="shared" si="70"/>
        <v>1.1925618993467297</v>
      </c>
      <c r="N372" s="13">
        <f t="shared" si="65"/>
        <v>1.2004557931759863</v>
      </c>
      <c r="O372" s="6">
        <f t="shared" si="75"/>
        <v>338.70728635516923</v>
      </c>
      <c r="P372" s="6">
        <f t="shared" si="75"/>
        <v>338.39254324723822</v>
      </c>
      <c r="Q372" s="6">
        <f t="shared" si="71"/>
        <v>1.2004557931759863</v>
      </c>
      <c r="T372" s="6">
        <f t="shared" si="76"/>
        <v>1.2004557931759863</v>
      </c>
    </row>
    <row r="373" spans="1:20">
      <c r="B373">
        <f t="shared" si="72"/>
        <v>370</v>
      </c>
      <c r="C373">
        <f t="shared" si="66"/>
        <v>31</v>
      </c>
      <c r="D373">
        <v>366</v>
      </c>
      <c r="E373">
        <v>397</v>
      </c>
      <c r="F373">
        <f>KcSPLINE!F$16</f>
        <v>1.1917649599910223</v>
      </c>
      <c r="G373">
        <f>KcSPLINE!F$17</f>
        <v>1.2000000000000002</v>
      </c>
      <c r="H373" s="5">
        <f>KcSPLINE!K$16</f>
        <v>-4.5908971968393808E-4</v>
      </c>
      <c r="I373" s="5">
        <f>KcSPLINE!K$17</f>
        <v>2.825575625041572E-4</v>
      </c>
      <c r="J373">
        <f t="shared" si="67"/>
        <v>0.87096774193548387</v>
      </c>
      <c r="K373">
        <f t="shared" si="68"/>
        <v>0.12903225806451613</v>
      </c>
      <c r="L373">
        <f t="shared" si="69"/>
        <v>324</v>
      </c>
      <c r="M373" s="6">
        <f t="shared" si="70"/>
        <v>1.1928275457986324</v>
      </c>
      <c r="N373" s="13">
        <f t="shared" si="65"/>
        <v>1.2025462039590327</v>
      </c>
      <c r="O373" s="6">
        <f t="shared" ref="O373:P388" si="77">O372+M373</f>
        <v>339.90011390096788</v>
      </c>
      <c r="P373" s="6">
        <f t="shared" si="77"/>
        <v>339.59508945119728</v>
      </c>
      <c r="Q373" s="6">
        <f t="shared" si="71"/>
        <v>1.2025462039590327</v>
      </c>
      <c r="T373" s="6">
        <f t="shared" si="76"/>
        <v>1.2025462039590327</v>
      </c>
    </row>
    <row r="374" spans="1:20">
      <c r="B374">
        <f t="shared" si="72"/>
        <v>371</v>
      </c>
      <c r="C374">
        <f t="shared" si="66"/>
        <v>31</v>
      </c>
      <c r="D374">
        <v>366</v>
      </c>
      <c r="E374">
        <v>397</v>
      </c>
      <c r="F374">
        <f>KcSPLINE!F$16</f>
        <v>1.1917649599910223</v>
      </c>
      <c r="G374">
        <f>KcSPLINE!F$17</f>
        <v>1.2000000000000002</v>
      </c>
      <c r="H374" s="5">
        <f>KcSPLINE!K$16</f>
        <v>-4.5908971968393808E-4</v>
      </c>
      <c r="I374" s="5">
        <f>KcSPLINE!K$17</f>
        <v>2.825575625041572E-4</v>
      </c>
      <c r="J374">
        <f t="shared" si="67"/>
        <v>0.83870967741935487</v>
      </c>
      <c r="K374">
        <f t="shared" si="68"/>
        <v>0.16129032258064516</v>
      </c>
      <c r="L374">
        <f t="shared" si="69"/>
        <v>325</v>
      </c>
      <c r="M374" s="6">
        <f t="shared" si="70"/>
        <v>1.1930931922505348</v>
      </c>
      <c r="N374" s="13">
        <f t="shared" si="65"/>
        <v>1.2042732214459031</v>
      </c>
      <c r="O374" s="6">
        <f t="shared" si="77"/>
        <v>341.09320709321844</v>
      </c>
      <c r="P374" s="6">
        <f t="shared" si="77"/>
        <v>340.79936267264321</v>
      </c>
      <c r="Q374" s="6">
        <f t="shared" si="71"/>
        <v>1.2042732214459031</v>
      </c>
      <c r="T374" s="6">
        <f t="shared" si="76"/>
        <v>1.2042732214459031</v>
      </c>
    </row>
    <row r="375" spans="1:20">
      <c r="B375">
        <f t="shared" si="72"/>
        <v>372</v>
      </c>
      <c r="C375">
        <f t="shared" si="66"/>
        <v>31</v>
      </c>
      <c r="D375">
        <v>366</v>
      </c>
      <c r="E375">
        <v>397</v>
      </c>
      <c r="F375">
        <f>KcSPLINE!F$16</f>
        <v>1.1917649599910223</v>
      </c>
      <c r="G375">
        <f>KcSPLINE!F$17</f>
        <v>1.2000000000000002</v>
      </c>
      <c r="H375" s="5">
        <f>KcSPLINE!K$16</f>
        <v>-4.5908971968393808E-4</v>
      </c>
      <c r="I375" s="5">
        <f>KcSPLINE!K$17</f>
        <v>2.825575625041572E-4</v>
      </c>
      <c r="J375">
        <f t="shared" si="67"/>
        <v>0.80645161290322576</v>
      </c>
      <c r="K375">
        <f t="shared" si="68"/>
        <v>0.19354838709677419</v>
      </c>
      <c r="L375">
        <f t="shared" si="69"/>
        <v>326</v>
      </c>
      <c r="M375" s="6">
        <f t="shared" si="70"/>
        <v>1.1933588387024372</v>
      </c>
      <c r="N375" s="13">
        <f t="shared" ref="N375:N408" si="78">Q375</f>
        <v>1.2056607697424748</v>
      </c>
      <c r="O375" s="6">
        <f t="shared" si="77"/>
        <v>342.2865659319209</v>
      </c>
      <c r="P375" s="6">
        <f t="shared" si="77"/>
        <v>342.00502344238566</v>
      </c>
      <c r="Q375" s="6">
        <f t="shared" si="71"/>
        <v>1.2056607697424748</v>
      </c>
      <c r="T375" s="6">
        <f t="shared" si="76"/>
        <v>1.2056607697424748</v>
      </c>
    </row>
    <row r="376" spans="1:20">
      <c r="B376">
        <f t="shared" si="72"/>
        <v>373</v>
      </c>
      <c r="C376">
        <f t="shared" si="66"/>
        <v>31</v>
      </c>
      <c r="D376">
        <v>366</v>
      </c>
      <c r="E376">
        <v>397</v>
      </c>
      <c r="F376">
        <f>KcSPLINE!F$16</f>
        <v>1.1917649599910223</v>
      </c>
      <c r="G376">
        <f>KcSPLINE!F$17</f>
        <v>1.2000000000000002</v>
      </c>
      <c r="H376" s="5">
        <f>KcSPLINE!K$16</f>
        <v>-4.5908971968393808E-4</v>
      </c>
      <c r="I376" s="5">
        <f>KcSPLINE!K$17</f>
        <v>2.825575625041572E-4</v>
      </c>
      <c r="J376">
        <f t="shared" si="67"/>
        <v>0.77419354838709675</v>
      </c>
      <c r="K376">
        <f t="shared" si="68"/>
        <v>0.22580645161290322</v>
      </c>
      <c r="L376">
        <f t="shared" si="69"/>
        <v>327</v>
      </c>
      <c r="M376" s="6">
        <f t="shared" si="70"/>
        <v>1.1936244851543398</v>
      </c>
      <c r="N376" s="13">
        <f t="shared" si="78"/>
        <v>1.2067327729546251</v>
      </c>
      <c r="O376" s="6">
        <f t="shared" si="77"/>
        <v>343.48019041707522</v>
      </c>
      <c r="P376" s="6">
        <f t="shared" si="77"/>
        <v>343.2117562153403</v>
      </c>
      <c r="Q376" s="6">
        <f t="shared" si="71"/>
        <v>1.2067327729546251</v>
      </c>
      <c r="T376" s="6">
        <f t="shared" si="76"/>
        <v>1.2067327729546251</v>
      </c>
    </row>
    <row r="377" spans="1:20">
      <c r="B377">
        <f t="shared" si="72"/>
        <v>374</v>
      </c>
      <c r="C377">
        <f t="shared" si="66"/>
        <v>31</v>
      </c>
      <c r="D377">
        <v>366</v>
      </c>
      <c r="E377">
        <v>397</v>
      </c>
      <c r="F377">
        <f>KcSPLINE!F$16</f>
        <v>1.1917649599910223</v>
      </c>
      <c r="G377">
        <f>KcSPLINE!F$17</f>
        <v>1.2000000000000002</v>
      </c>
      <c r="H377" s="5">
        <f>KcSPLINE!K$16</f>
        <v>-4.5908971968393808E-4</v>
      </c>
      <c r="I377" s="5">
        <f>KcSPLINE!K$17</f>
        <v>2.825575625041572E-4</v>
      </c>
      <c r="J377">
        <f t="shared" si="67"/>
        <v>0.74193548387096775</v>
      </c>
      <c r="K377">
        <f t="shared" si="68"/>
        <v>0.25806451612903225</v>
      </c>
      <c r="L377">
        <f t="shared" si="69"/>
        <v>328</v>
      </c>
      <c r="M377" s="6">
        <f t="shared" si="70"/>
        <v>1.1938901316062425</v>
      </c>
      <c r="N377" s="13">
        <f t="shared" si="78"/>
        <v>1.2075131551882305</v>
      </c>
      <c r="O377" s="6">
        <f t="shared" si="77"/>
        <v>344.67408054868145</v>
      </c>
      <c r="P377" s="6">
        <f t="shared" si="77"/>
        <v>344.41926937052853</v>
      </c>
      <c r="Q377" s="6">
        <f t="shared" si="71"/>
        <v>1.2075131551882305</v>
      </c>
      <c r="T377" s="6">
        <f t="shared" si="76"/>
        <v>1.2075131551882305</v>
      </c>
    </row>
    <row r="378" spans="1:20">
      <c r="B378">
        <f t="shared" si="72"/>
        <v>375</v>
      </c>
      <c r="C378">
        <f t="shared" si="66"/>
        <v>31</v>
      </c>
      <c r="D378">
        <v>366</v>
      </c>
      <c r="E378">
        <v>397</v>
      </c>
      <c r="F378">
        <f>KcSPLINE!F$16</f>
        <v>1.1917649599910223</v>
      </c>
      <c r="G378">
        <f>KcSPLINE!F$17</f>
        <v>1.2000000000000002</v>
      </c>
      <c r="H378" s="5">
        <f>KcSPLINE!K$16</f>
        <v>-4.5908971968393808E-4</v>
      </c>
      <c r="I378" s="5">
        <f>KcSPLINE!K$17</f>
        <v>2.825575625041572E-4</v>
      </c>
      <c r="J378">
        <f t="shared" si="67"/>
        <v>0.70967741935483875</v>
      </c>
      <c r="K378">
        <f t="shared" si="68"/>
        <v>0.29032258064516131</v>
      </c>
      <c r="L378">
        <f t="shared" si="69"/>
        <v>329</v>
      </c>
      <c r="M378" s="6">
        <f t="shared" si="70"/>
        <v>1.1941557780581449</v>
      </c>
      <c r="N378" s="13">
        <f t="shared" si="78"/>
        <v>1.2080258405491682</v>
      </c>
      <c r="O378" s="6">
        <f t="shared" si="77"/>
        <v>345.86823632673958</v>
      </c>
      <c r="P378" s="6">
        <f t="shared" si="77"/>
        <v>345.62729521107769</v>
      </c>
      <c r="Q378" s="6">
        <f t="shared" si="71"/>
        <v>1.2080258405491682</v>
      </c>
      <c r="T378" s="6">
        <f t="shared" si="76"/>
        <v>1.2080258405491682</v>
      </c>
    </row>
    <row r="379" spans="1:20">
      <c r="B379">
        <f t="shared" si="72"/>
        <v>376</v>
      </c>
      <c r="C379">
        <f t="shared" si="66"/>
        <v>31</v>
      </c>
      <c r="D379">
        <v>366</v>
      </c>
      <c r="E379">
        <v>397</v>
      </c>
      <c r="F379">
        <f>KcSPLINE!F$16</f>
        <v>1.1917649599910223</v>
      </c>
      <c r="G379">
        <f>KcSPLINE!F$17</f>
        <v>1.2000000000000002</v>
      </c>
      <c r="H379" s="5">
        <f>KcSPLINE!K$16</f>
        <v>-4.5908971968393808E-4</v>
      </c>
      <c r="I379" s="5">
        <f>KcSPLINE!K$17</f>
        <v>2.825575625041572E-4</v>
      </c>
      <c r="J379">
        <f t="shared" si="67"/>
        <v>0.67741935483870963</v>
      </c>
      <c r="K379">
        <f t="shared" si="68"/>
        <v>0.32258064516129031</v>
      </c>
      <c r="L379">
        <f t="shared" si="69"/>
        <v>330</v>
      </c>
      <c r="M379" s="6">
        <f t="shared" si="70"/>
        <v>1.1944214245100473</v>
      </c>
      <c r="N379" s="13">
        <f t="shared" si="78"/>
        <v>1.208294753143315</v>
      </c>
      <c r="O379" s="6">
        <f t="shared" si="77"/>
        <v>347.06265775124962</v>
      </c>
      <c r="P379" s="6">
        <f t="shared" si="77"/>
        <v>346.83558996422101</v>
      </c>
      <c r="Q379" s="6">
        <f t="shared" si="71"/>
        <v>1.208294753143315</v>
      </c>
      <c r="T379" s="6">
        <f t="shared" si="76"/>
        <v>1.208294753143315</v>
      </c>
    </row>
    <row r="380" spans="1:20">
      <c r="B380">
        <f t="shared" si="72"/>
        <v>377</v>
      </c>
      <c r="C380">
        <f t="shared" si="66"/>
        <v>31</v>
      </c>
      <c r="D380">
        <v>366</v>
      </c>
      <c r="E380">
        <v>397</v>
      </c>
      <c r="F380">
        <f>KcSPLINE!F$16</f>
        <v>1.1917649599910223</v>
      </c>
      <c r="G380">
        <f>KcSPLINE!F$17</f>
        <v>1.2000000000000002</v>
      </c>
      <c r="H380" s="5">
        <f>KcSPLINE!K$16</f>
        <v>-4.5908971968393808E-4</v>
      </c>
      <c r="I380" s="5">
        <f>KcSPLINE!K$17</f>
        <v>2.825575625041572E-4</v>
      </c>
      <c r="J380">
        <f t="shared" si="67"/>
        <v>0.64516129032258063</v>
      </c>
      <c r="K380">
        <f t="shared" si="68"/>
        <v>0.35483870967741937</v>
      </c>
      <c r="L380">
        <f t="shared" si="69"/>
        <v>331</v>
      </c>
      <c r="M380" s="6">
        <f t="shared" si="70"/>
        <v>1.1946870709619499</v>
      </c>
      <c r="N380" s="13">
        <f t="shared" si="78"/>
        <v>1.2083438170765488</v>
      </c>
      <c r="O380" s="6">
        <f t="shared" si="77"/>
        <v>348.25734482221156</v>
      </c>
      <c r="P380" s="6">
        <f t="shared" si="77"/>
        <v>348.04393378129754</v>
      </c>
      <c r="Q380" s="6">
        <f t="shared" si="71"/>
        <v>1.2083438170765488</v>
      </c>
      <c r="T380" s="6">
        <f t="shared" si="76"/>
        <v>1.2083438170765488</v>
      </c>
    </row>
    <row r="381" spans="1:20">
      <c r="B381">
        <f t="shared" si="72"/>
        <v>378</v>
      </c>
      <c r="C381">
        <f t="shared" si="66"/>
        <v>31</v>
      </c>
      <c r="D381">
        <v>366</v>
      </c>
      <c r="E381">
        <v>397</v>
      </c>
      <c r="F381">
        <f>KcSPLINE!F$16</f>
        <v>1.1917649599910223</v>
      </c>
      <c r="G381">
        <f>KcSPLINE!F$17</f>
        <v>1.2000000000000002</v>
      </c>
      <c r="H381" s="5">
        <f>KcSPLINE!K$16</f>
        <v>-4.5908971968393808E-4</v>
      </c>
      <c r="I381" s="5">
        <f>KcSPLINE!K$17</f>
        <v>2.825575625041572E-4</v>
      </c>
      <c r="J381">
        <f t="shared" si="67"/>
        <v>0.61290322580645162</v>
      </c>
      <c r="K381">
        <f t="shared" si="68"/>
        <v>0.38709677419354838</v>
      </c>
      <c r="L381">
        <f t="shared" si="69"/>
        <v>332</v>
      </c>
      <c r="M381" s="6">
        <f t="shared" si="70"/>
        <v>1.1949527174138526</v>
      </c>
      <c r="N381" s="13">
        <f t="shared" si="78"/>
        <v>1.2081969564547457</v>
      </c>
      <c r="O381" s="6">
        <f t="shared" si="77"/>
        <v>349.45229753962542</v>
      </c>
      <c r="P381" s="6">
        <f t="shared" si="77"/>
        <v>349.25213073775228</v>
      </c>
      <c r="Q381" s="6">
        <f t="shared" si="71"/>
        <v>1.2081969564547457</v>
      </c>
      <c r="T381" s="6">
        <f t="shared" si="76"/>
        <v>1.2081969564547457</v>
      </c>
    </row>
    <row r="382" spans="1:20">
      <c r="B382">
        <f t="shared" si="72"/>
        <v>379</v>
      </c>
      <c r="C382">
        <f t="shared" si="66"/>
        <v>31</v>
      </c>
      <c r="D382">
        <v>366</v>
      </c>
      <c r="E382">
        <v>397</v>
      </c>
      <c r="F382">
        <f>KcSPLINE!F$16</f>
        <v>1.1917649599910223</v>
      </c>
      <c r="G382">
        <f>KcSPLINE!F$17</f>
        <v>1.2000000000000002</v>
      </c>
      <c r="H382" s="5">
        <f>KcSPLINE!K$16</f>
        <v>-4.5908971968393808E-4</v>
      </c>
      <c r="I382" s="5">
        <f>KcSPLINE!K$17</f>
        <v>2.825575625041572E-4</v>
      </c>
      <c r="J382">
        <f t="shared" si="67"/>
        <v>0.58064516129032262</v>
      </c>
      <c r="K382">
        <f t="shared" si="68"/>
        <v>0.41935483870967744</v>
      </c>
      <c r="L382">
        <f t="shared" si="69"/>
        <v>333</v>
      </c>
      <c r="M382" s="6">
        <f t="shared" si="70"/>
        <v>1.195218363865755</v>
      </c>
      <c r="N382" s="13">
        <f t="shared" si="78"/>
        <v>1.2078780953837831</v>
      </c>
      <c r="O382" s="6">
        <f t="shared" si="77"/>
        <v>350.64751590349118</v>
      </c>
      <c r="P382" s="6">
        <f t="shared" si="77"/>
        <v>350.46000883313604</v>
      </c>
      <c r="Q382" s="6">
        <f t="shared" si="71"/>
        <v>1.2078780953837831</v>
      </c>
      <c r="T382" s="6">
        <f t="shared" si="76"/>
        <v>1.2078780953837831</v>
      </c>
    </row>
    <row r="383" spans="1:20">
      <c r="B383">
        <f t="shared" si="72"/>
        <v>380</v>
      </c>
      <c r="C383">
        <f t="shared" si="66"/>
        <v>31</v>
      </c>
      <c r="D383">
        <v>366</v>
      </c>
      <c r="E383">
        <v>397</v>
      </c>
      <c r="F383">
        <f>KcSPLINE!F$16</f>
        <v>1.1917649599910223</v>
      </c>
      <c r="G383">
        <f>KcSPLINE!F$17</f>
        <v>1.2000000000000002</v>
      </c>
      <c r="H383" s="5">
        <f>KcSPLINE!K$16</f>
        <v>-4.5908971968393808E-4</v>
      </c>
      <c r="I383" s="5">
        <f>KcSPLINE!K$17</f>
        <v>2.825575625041572E-4</v>
      </c>
      <c r="J383">
        <f t="shared" si="67"/>
        <v>0.54838709677419351</v>
      </c>
      <c r="K383">
        <f t="shared" si="68"/>
        <v>0.45161290322580644</v>
      </c>
      <c r="L383">
        <f t="shared" si="69"/>
        <v>334</v>
      </c>
      <c r="M383" s="6">
        <f t="shared" si="70"/>
        <v>1.1954840103176574</v>
      </c>
      <c r="N383" s="13">
        <f t="shared" si="78"/>
        <v>1.2074111579695379</v>
      </c>
      <c r="O383" s="6">
        <f t="shared" si="77"/>
        <v>351.84299991380885</v>
      </c>
      <c r="P383" s="6">
        <f t="shared" si="77"/>
        <v>351.66741999110559</v>
      </c>
      <c r="Q383" s="6">
        <f t="shared" si="71"/>
        <v>1.2074111579695379</v>
      </c>
      <c r="T383" s="6">
        <f t="shared" si="76"/>
        <v>1.2074111579695379</v>
      </c>
    </row>
    <row r="384" spans="1:20">
      <c r="B384">
        <f t="shared" si="72"/>
        <v>381</v>
      </c>
      <c r="C384">
        <f t="shared" si="66"/>
        <v>31</v>
      </c>
      <c r="D384">
        <v>366</v>
      </c>
      <c r="E384">
        <v>397</v>
      </c>
      <c r="F384">
        <f>KcSPLINE!F$16</f>
        <v>1.1917649599910223</v>
      </c>
      <c r="G384">
        <f>KcSPLINE!F$17</f>
        <v>1.2000000000000002</v>
      </c>
      <c r="H384" s="5">
        <f>KcSPLINE!K$16</f>
        <v>-4.5908971968393808E-4</v>
      </c>
      <c r="I384" s="5">
        <f>KcSPLINE!K$17</f>
        <v>2.825575625041572E-4</v>
      </c>
      <c r="J384">
        <f t="shared" si="67"/>
        <v>0.5161290322580645</v>
      </c>
      <c r="K384">
        <f t="shared" si="68"/>
        <v>0.4838709677419355</v>
      </c>
      <c r="L384">
        <f t="shared" si="69"/>
        <v>335</v>
      </c>
      <c r="M384" s="6">
        <f t="shared" si="70"/>
        <v>1.19574965676956</v>
      </c>
      <c r="N384" s="13">
        <f t="shared" si="78"/>
        <v>1.2068200683178876</v>
      </c>
      <c r="O384" s="6">
        <f t="shared" si="77"/>
        <v>353.03874957057843</v>
      </c>
      <c r="P384" s="6">
        <f t="shared" si="77"/>
        <v>352.87424005942347</v>
      </c>
      <c r="Q384" s="6">
        <f t="shared" si="71"/>
        <v>1.2068200683178876</v>
      </c>
      <c r="T384" s="6">
        <f t="shared" si="76"/>
        <v>1.2068200683178876</v>
      </c>
    </row>
    <row r="385" spans="1:20">
      <c r="B385">
        <f t="shared" si="72"/>
        <v>382</v>
      </c>
      <c r="C385">
        <f t="shared" si="66"/>
        <v>31</v>
      </c>
      <c r="D385">
        <v>366</v>
      </c>
      <c r="E385">
        <v>397</v>
      </c>
      <c r="F385">
        <f>KcSPLINE!F$16</f>
        <v>1.1917649599910223</v>
      </c>
      <c r="G385">
        <f>KcSPLINE!F$17</f>
        <v>1.2000000000000002</v>
      </c>
      <c r="H385" s="5">
        <f>KcSPLINE!K$16</f>
        <v>-4.5908971968393808E-4</v>
      </c>
      <c r="I385" s="5">
        <f>KcSPLINE!K$17</f>
        <v>2.825575625041572E-4</v>
      </c>
      <c r="J385">
        <f t="shared" si="67"/>
        <v>0.4838709677419355</v>
      </c>
      <c r="K385">
        <f t="shared" si="68"/>
        <v>0.5161290322580645</v>
      </c>
      <c r="L385">
        <f t="shared" si="69"/>
        <v>336</v>
      </c>
      <c r="M385" s="6">
        <f t="shared" si="70"/>
        <v>1.1960153032214624</v>
      </c>
      <c r="N385" s="13">
        <f t="shared" si="78"/>
        <v>1.2061287505347085</v>
      </c>
      <c r="O385" s="6">
        <f t="shared" si="77"/>
        <v>354.23476487379992</v>
      </c>
      <c r="P385" s="6">
        <f t="shared" si="77"/>
        <v>354.0803688099582</v>
      </c>
      <c r="Q385" s="6">
        <f t="shared" si="71"/>
        <v>1.2061287505347085</v>
      </c>
      <c r="T385" s="6">
        <f t="shared" si="76"/>
        <v>1.2061287505347085</v>
      </c>
    </row>
    <row r="386" spans="1:20">
      <c r="B386">
        <f t="shared" si="72"/>
        <v>383</v>
      </c>
      <c r="C386">
        <f t="shared" si="66"/>
        <v>31</v>
      </c>
      <c r="D386">
        <v>366</v>
      </c>
      <c r="E386">
        <v>397</v>
      </c>
      <c r="F386">
        <f>KcSPLINE!F$16</f>
        <v>1.1917649599910223</v>
      </c>
      <c r="G386">
        <f>KcSPLINE!F$17</f>
        <v>1.2000000000000002</v>
      </c>
      <c r="H386" s="5">
        <f>KcSPLINE!K$16</f>
        <v>-4.5908971968393808E-4</v>
      </c>
      <c r="I386" s="5">
        <f>KcSPLINE!K$17</f>
        <v>2.825575625041572E-4</v>
      </c>
      <c r="J386">
        <f t="shared" si="67"/>
        <v>0.45161290322580644</v>
      </c>
      <c r="K386">
        <f t="shared" si="68"/>
        <v>0.54838709677419351</v>
      </c>
      <c r="L386">
        <f t="shared" si="69"/>
        <v>337</v>
      </c>
      <c r="M386" s="6">
        <f t="shared" si="70"/>
        <v>1.1962809496733648</v>
      </c>
      <c r="N386" s="13">
        <f t="shared" si="78"/>
        <v>1.2053611287258783</v>
      </c>
      <c r="O386" s="6">
        <f t="shared" si="77"/>
        <v>355.43104582347326</v>
      </c>
      <c r="P386" s="6">
        <f t="shared" si="77"/>
        <v>355.28572993868409</v>
      </c>
      <c r="Q386" s="6">
        <f t="shared" si="71"/>
        <v>1.2053611287258783</v>
      </c>
      <c r="T386" s="6">
        <f t="shared" si="76"/>
        <v>1.2053611287258783</v>
      </c>
    </row>
    <row r="387" spans="1:20">
      <c r="B387">
        <f t="shared" si="72"/>
        <v>384</v>
      </c>
      <c r="C387">
        <f t="shared" si="66"/>
        <v>31</v>
      </c>
      <c r="D387">
        <v>366</v>
      </c>
      <c r="E387">
        <v>397</v>
      </c>
      <c r="F387">
        <f>KcSPLINE!F$16</f>
        <v>1.1917649599910223</v>
      </c>
      <c r="G387">
        <f>KcSPLINE!F$17</f>
        <v>1.2000000000000002</v>
      </c>
      <c r="H387" s="5">
        <f>KcSPLINE!K$16</f>
        <v>-4.5908971968393808E-4</v>
      </c>
      <c r="I387" s="5">
        <f>KcSPLINE!K$17</f>
        <v>2.825575625041572E-4</v>
      </c>
      <c r="J387">
        <f t="shared" si="67"/>
        <v>0.41935483870967744</v>
      </c>
      <c r="K387">
        <f t="shared" si="68"/>
        <v>0.58064516129032262</v>
      </c>
      <c r="L387">
        <f t="shared" si="69"/>
        <v>338</v>
      </c>
      <c r="M387" s="6">
        <f t="shared" si="70"/>
        <v>1.1965465961252675</v>
      </c>
      <c r="N387" s="13">
        <f t="shared" si="78"/>
        <v>1.2045411269972737</v>
      </c>
      <c r="O387" s="6">
        <f t="shared" si="77"/>
        <v>356.6275924195985</v>
      </c>
      <c r="P387" s="6">
        <f t="shared" si="77"/>
        <v>356.49027106568138</v>
      </c>
      <c r="Q387" s="6">
        <f t="shared" si="71"/>
        <v>1.2045411269972737</v>
      </c>
      <c r="T387" s="6">
        <f t="shared" si="76"/>
        <v>1.2045411269972737</v>
      </c>
    </row>
    <row r="388" spans="1:20">
      <c r="B388">
        <f t="shared" si="72"/>
        <v>385</v>
      </c>
      <c r="C388">
        <f t="shared" ref="C388:C451" si="79">E388-D388</f>
        <v>31</v>
      </c>
      <c r="D388">
        <v>366</v>
      </c>
      <c r="E388">
        <v>397</v>
      </c>
      <c r="F388">
        <f>KcSPLINE!F$16</f>
        <v>1.1917649599910223</v>
      </c>
      <c r="G388">
        <f>KcSPLINE!F$17</f>
        <v>1.2000000000000002</v>
      </c>
      <c r="H388" s="5">
        <f>KcSPLINE!K$16</f>
        <v>-4.5908971968393808E-4</v>
      </c>
      <c r="I388" s="5">
        <f>KcSPLINE!K$17</f>
        <v>2.825575625041572E-4</v>
      </c>
      <c r="J388">
        <f t="shared" ref="J388:J451" si="80">(E388-B388)/C388</f>
        <v>0.38709677419354838</v>
      </c>
      <c r="K388">
        <f t="shared" ref="K388:K451" si="81">(B388-D388)/C388</f>
        <v>0.61290322580645162</v>
      </c>
      <c r="L388">
        <f t="shared" ref="L388:L414" si="82">B388-46</f>
        <v>339</v>
      </c>
      <c r="M388" s="6">
        <f t="shared" ref="M388:M451" si="83">J388*F388+K388*G388</f>
        <v>1.1968122425771699</v>
      </c>
      <c r="N388" s="13">
        <f t="shared" si="78"/>
        <v>1.2036926694547716</v>
      </c>
      <c r="O388" s="6">
        <f t="shared" si="77"/>
        <v>357.82440466217565</v>
      </c>
      <c r="P388" s="6">
        <f t="shared" si="77"/>
        <v>357.69396373513615</v>
      </c>
      <c r="Q388" s="6">
        <f t="shared" ref="Q388:Q451" si="84">M388+(((J388^3-J388)*H388+(K388^3-K388)*I388))*(C388^2)/6</f>
        <v>1.2036926694547716</v>
      </c>
      <c r="T388" s="6">
        <f t="shared" si="76"/>
        <v>1.2036926694547716</v>
      </c>
    </row>
    <row r="389" spans="1:20">
      <c r="B389">
        <f t="shared" ref="B389:B452" si="85">B388+1</f>
        <v>386</v>
      </c>
      <c r="C389">
        <f t="shared" si="79"/>
        <v>31</v>
      </c>
      <c r="D389">
        <v>366</v>
      </c>
      <c r="E389">
        <v>397</v>
      </c>
      <c r="F389">
        <f>KcSPLINE!F$16</f>
        <v>1.1917649599910223</v>
      </c>
      <c r="G389">
        <f>KcSPLINE!F$17</f>
        <v>1.2000000000000002</v>
      </c>
      <c r="H389" s="5">
        <f>KcSPLINE!K$16</f>
        <v>-4.5908971968393808E-4</v>
      </c>
      <c r="I389" s="5">
        <f>KcSPLINE!K$17</f>
        <v>2.825575625041572E-4</v>
      </c>
      <c r="J389">
        <f t="shared" si="80"/>
        <v>0.35483870967741937</v>
      </c>
      <c r="K389">
        <f t="shared" si="81"/>
        <v>0.64516129032258063</v>
      </c>
      <c r="L389">
        <f t="shared" si="82"/>
        <v>340</v>
      </c>
      <c r="M389" s="6">
        <f t="shared" si="83"/>
        <v>1.1970778890290725</v>
      </c>
      <c r="N389" s="13">
        <f t="shared" si="78"/>
        <v>1.2028396802042496</v>
      </c>
      <c r="O389" s="6">
        <f t="shared" ref="O389:P404" si="86">O388+M389</f>
        <v>359.02148255120471</v>
      </c>
      <c r="P389" s="6">
        <f t="shared" si="86"/>
        <v>358.8968034153404</v>
      </c>
      <c r="Q389" s="6">
        <f t="shared" si="84"/>
        <v>1.2028396802042496</v>
      </c>
      <c r="T389" s="6">
        <f t="shared" si="76"/>
        <v>1.2028396802042496</v>
      </c>
    </row>
    <row r="390" spans="1:20">
      <c r="B390">
        <f t="shared" si="85"/>
        <v>387</v>
      </c>
      <c r="C390">
        <f t="shared" si="79"/>
        <v>31</v>
      </c>
      <c r="D390">
        <v>366</v>
      </c>
      <c r="E390">
        <v>397</v>
      </c>
      <c r="F390">
        <f>KcSPLINE!F$16</f>
        <v>1.1917649599910223</v>
      </c>
      <c r="G390">
        <f>KcSPLINE!F$17</f>
        <v>1.2000000000000002</v>
      </c>
      <c r="H390" s="5">
        <f>KcSPLINE!K$16</f>
        <v>-4.5908971968393808E-4</v>
      </c>
      <c r="I390" s="5">
        <f>KcSPLINE!K$17</f>
        <v>2.825575625041572E-4</v>
      </c>
      <c r="J390">
        <f t="shared" si="80"/>
        <v>0.32258064516129031</v>
      </c>
      <c r="K390">
        <f t="shared" si="81"/>
        <v>0.67741935483870963</v>
      </c>
      <c r="L390">
        <f t="shared" si="82"/>
        <v>341</v>
      </c>
      <c r="M390" s="6">
        <f t="shared" si="83"/>
        <v>1.1973435354809749</v>
      </c>
      <c r="N390" s="13">
        <f t="shared" si="78"/>
        <v>1.2020060833515842</v>
      </c>
      <c r="O390" s="6">
        <f t="shared" si="86"/>
        <v>360.21882608668568</v>
      </c>
      <c r="P390" s="6">
        <f t="shared" si="86"/>
        <v>360.09880949869199</v>
      </c>
      <c r="Q390" s="6">
        <f t="shared" si="84"/>
        <v>1.2020060833515842</v>
      </c>
      <c r="T390" s="6">
        <f t="shared" si="76"/>
        <v>1.2020060833515842</v>
      </c>
    </row>
    <row r="391" spans="1:20">
      <c r="B391">
        <f t="shared" si="85"/>
        <v>388</v>
      </c>
      <c r="C391">
        <f t="shared" si="79"/>
        <v>31</v>
      </c>
      <c r="D391">
        <v>366</v>
      </c>
      <c r="E391">
        <v>397</v>
      </c>
      <c r="F391">
        <f>KcSPLINE!F$16</f>
        <v>1.1917649599910223</v>
      </c>
      <c r="G391">
        <f>KcSPLINE!F$17</f>
        <v>1.2000000000000002</v>
      </c>
      <c r="H391" s="5">
        <f>KcSPLINE!K$16</f>
        <v>-4.5908971968393808E-4</v>
      </c>
      <c r="I391" s="5">
        <f>KcSPLINE!K$17</f>
        <v>2.825575625041572E-4</v>
      </c>
      <c r="J391">
        <f t="shared" si="80"/>
        <v>0.29032258064516131</v>
      </c>
      <c r="K391">
        <f t="shared" si="81"/>
        <v>0.70967741935483875</v>
      </c>
      <c r="L391">
        <f t="shared" si="82"/>
        <v>342</v>
      </c>
      <c r="M391" s="6">
        <f t="shared" si="83"/>
        <v>1.1976091819328776</v>
      </c>
      <c r="N391" s="13">
        <f t="shared" si="78"/>
        <v>1.2012158030026527</v>
      </c>
      <c r="O391" s="6">
        <f t="shared" si="86"/>
        <v>361.41643526861856</v>
      </c>
      <c r="P391" s="6">
        <f t="shared" si="86"/>
        <v>361.30002530169463</v>
      </c>
      <c r="Q391" s="6">
        <f t="shared" si="84"/>
        <v>1.2012158030026527</v>
      </c>
      <c r="T391" s="6">
        <f t="shared" si="76"/>
        <v>1.2012158030026527</v>
      </c>
    </row>
    <row r="392" spans="1:20">
      <c r="B392">
        <f t="shared" si="85"/>
        <v>389</v>
      </c>
      <c r="C392">
        <f t="shared" si="79"/>
        <v>31</v>
      </c>
      <c r="D392">
        <v>366</v>
      </c>
      <c r="E392">
        <v>397</v>
      </c>
      <c r="F392">
        <f>KcSPLINE!F$16</f>
        <v>1.1917649599910223</v>
      </c>
      <c r="G392">
        <f>KcSPLINE!F$17</f>
        <v>1.2000000000000002</v>
      </c>
      <c r="H392" s="5">
        <f>KcSPLINE!K$16</f>
        <v>-4.5908971968393808E-4</v>
      </c>
      <c r="I392" s="5">
        <f>KcSPLINE!K$17</f>
        <v>2.825575625041572E-4</v>
      </c>
      <c r="J392">
        <f t="shared" si="80"/>
        <v>0.25806451612903225</v>
      </c>
      <c r="K392">
        <f t="shared" si="81"/>
        <v>0.74193548387096775</v>
      </c>
      <c r="L392">
        <f t="shared" si="82"/>
        <v>343</v>
      </c>
      <c r="M392" s="6">
        <f t="shared" si="83"/>
        <v>1.19787482838478</v>
      </c>
      <c r="N392" s="13">
        <f t="shared" si="78"/>
        <v>1.2004927632633318</v>
      </c>
      <c r="O392" s="6">
        <f t="shared" si="86"/>
        <v>362.61431009700334</v>
      </c>
      <c r="P392" s="6">
        <f t="shared" si="86"/>
        <v>362.50051806495799</v>
      </c>
      <c r="Q392" s="6">
        <f t="shared" si="84"/>
        <v>1.2004927632633318</v>
      </c>
      <c r="T392" s="6">
        <f t="shared" si="76"/>
        <v>1.2004927632633318</v>
      </c>
    </row>
    <row r="393" spans="1:20">
      <c r="B393">
        <f t="shared" si="85"/>
        <v>390</v>
      </c>
      <c r="C393">
        <f t="shared" si="79"/>
        <v>31</v>
      </c>
      <c r="D393">
        <v>366</v>
      </c>
      <c r="E393">
        <v>397</v>
      </c>
      <c r="F393">
        <f>KcSPLINE!F$16</f>
        <v>1.1917649599910223</v>
      </c>
      <c r="G393">
        <f>KcSPLINE!F$17</f>
        <v>1.2000000000000002</v>
      </c>
      <c r="H393" s="5">
        <f>KcSPLINE!K$16</f>
        <v>-4.5908971968393808E-4</v>
      </c>
      <c r="I393" s="5">
        <f>KcSPLINE!K$17</f>
        <v>2.825575625041572E-4</v>
      </c>
      <c r="J393">
        <f t="shared" si="80"/>
        <v>0.22580645161290322</v>
      </c>
      <c r="K393">
        <f t="shared" si="81"/>
        <v>0.77419354838709675</v>
      </c>
      <c r="L393">
        <f t="shared" si="82"/>
        <v>344</v>
      </c>
      <c r="M393" s="6">
        <f t="shared" si="83"/>
        <v>1.1981404748366826</v>
      </c>
      <c r="N393" s="13">
        <f t="shared" si="78"/>
        <v>1.199860888239499</v>
      </c>
      <c r="O393" s="6">
        <f t="shared" si="86"/>
        <v>363.81245057184003</v>
      </c>
      <c r="P393" s="6">
        <f t="shared" si="86"/>
        <v>363.70037895319751</v>
      </c>
      <c r="Q393" s="6">
        <f t="shared" si="84"/>
        <v>1.199860888239499</v>
      </c>
      <c r="T393" s="6">
        <f t="shared" si="76"/>
        <v>1.199860888239499</v>
      </c>
    </row>
    <row r="394" spans="1:20">
      <c r="B394">
        <f t="shared" si="85"/>
        <v>391</v>
      </c>
      <c r="C394">
        <f t="shared" si="79"/>
        <v>31</v>
      </c>
      <c r="D394">
        <v>366</v>
      </c>
      <c r="E394">
        <v>397</v>
      </c>
      <c r="F394">
        <f>KcSPLINE!F$16</f>
        <v>1.1917649599910223</v>
      </c>
      <c r="G394">
        <f>KcSPLINE!F$17</f>
        <v>1.2000000000000002</v>
      </c>
      <c r="H394" s="5">
        <f>KcSPLINE!K$16</f>
        <v>-4.5908971968393808E-4</v>
      </c>
      <c r="I394" s="5">
        <f>KcSPLINE!K$17</f>
        <v>2.825575625041572E-4</v>
      </c>
      <c r="J394">
        <f t="shared" si="80"/>
        <v>0.19354838709677419</v>
      </c>
      <c r="K394">
        <f t="shared" si="81"/>
        <v>0.80645161290322576</v>
      </c>
      <c r="L394">
        <f t="shared" si="82"/>
        <v>345</v>
      </c>
      <c r="M394" s="6">
        <f t="shared" si="83"/>
        <v>1.198406121288585</v>
      </c>
      <c r="N394" s="13">
        <f t="shared" si="78"/>
        <v>1.199344102037031</v>
      </c>
      <c r="O394" s="6">
        <f t="shared" si="86"/>
        <v>365.01085669312863</v>
      </c>
      <c r="P394" s="6">
        <f t="shared" si="86"/>
        <v>364.89972305523452</v>
      </c>
      <c r="Q394" s="6">
        <f t="shared" si="84"/>
        <v>1.199344102037031</v>
      </c>
      <c r="T394" s="6">
        <f t="shared" si="76"/>
        <v>1.199344102037031</v>
      </c>
    </row>
    <row r="395" spans="1:20">
      <c r="B395">
        <f t="shared" si="85"/>
        <v>392</v>
      </c>
      <c r="C395">
        <f t="shared" si="79"/>
        <v>31</v>
      </c>
      <c r="D395">
        <v>366</v>
      </c>
      <c r="E395">
        <v>397</v>
      </c>
      <c r="F395">
        <f>KcSPLINE!F$16</f>
        <v>1.1917649599910223</v>
      </c>
      <c r="G395">
        <f>KcSPLINE!F$17</f>
        <v>1.2000000000000002</v>
      </c>
      <c r="H395" s="5">
        <f>KcSPLINE!K$16</f>
        <v>-4.5908971968393808E-4</v>
      </c>
      <c r="I395" s="5">
        <f>KcSPLINE!K$17</f>
        <v>2.825575625041572E-4</v>
      </c>
      <c r="J395">
        <f t="shared" si="80"/>
        <v>0.16129032258064516</v>
      </c>
      <c r="K395">
        <f t="shared" si="81"/>
        <v>0.83870967741935487</v>
      </c>
      <c r="L395">
        <f t="shared" si="82"/>
        <v>346</v>
      </c>
      <c r="M395" s="6">
        <f t="shared" si="83"/>
        <v>1.1986717677404877</v>
      </c>
      <c r="N395" s="13">
        <f t="shared" si="78"/>
        <v>1.1989663287618051</v>
      </c>
      <c r="O395" s="6">
        <f t="shared" si="86"/>
        <v>366.20952846086914</v>
      </c>
      <c r="P395" s="6">
        <f t="shared" si="86"/>
        <v>366.09868938399632</v>
      </c>
      <c r="Q395" s="6">
        <f t="shared" si="84"/>
        <v>1.1989663287618051</v>
      </c>
      <c r="T395" s="6">
        <f t="shared" si="76"/>
        <v>1.1989663287618051</v>
      </c>
    </row>
    <row r="396" spans="1:20">
      <c r="B396">
        <f t="shared" si="85"/>
        <v>393</v>
      </c>
      <c r="C396">
        <f t="shared" si="79"/>
        <v>31</v>
      </c>
      <c r="D396">
        <v>366</v>
      </c>
      <c r="E396">
        <v>397</v>
      </c>
      <c r="F396">
        <f>KcSPLINE!F$16</f>
        <v>1.1917649599910223</v>
      </c>
      <c r="G396">
        <f>KcSPLINE!F$17</f>
        <v>1.2000000000000002</v>
      </c>
      <c r="H396" s="5">
        <f>KcSPLINE!K$16</f>
        <v>-4.5908971968393808E-4</v>
      </c>
      <c r="I396" s="5">
        <f>KcSPLINE!K$17</f>
        <v>2.825575625041572E-4</v>
      </c>
      <c r="J396">
        <f t="shared" si="80"/>
        <v>0.12903225806451613</v>
      </c>
      <c r="K396">
        <f t="shared" si="81"/>
        <v>0.87096774193548387</v>
      </c>
      <c r="L396">
        <f t="shared" si="82"/>
        <v>347</v>
      </c>
      <c r="M396" s="6">
        <f t="shared" si="83"/>
        <v>1.1989374141923901</v>
      </c>
      <c r="N396" s="13">
        <f t="shared" si="78"/>
        <v>1.1987514925196978</v>
      </c>
      <c r="O396" s="6">
        <f t="shared" si="86"/>
        <v>367.40846587506155</v>
      </c>
      <c r="P396" s="6">
        <f t="shared" si="86"/>
        <v>367.29744087651602</v>
      </c>
      <c r="Q396" s="6">
        <f t="shared" si="84"/>
        <v>1.1987514925196978</v>
      </c>
      <c r="T396" s="6">
        <f t="shared" si="76"/>
        <v>1.1987514925196978</v>
      </c>
    </row>
    <row r="397" spans="1:20">
      <c r="B397">
        <f t="shared" si="85"/>
        <v>394</v>
      </c>
      <c r="C397">
        <f t="shared" si="79"/>
        <v>31</v>
      </c>
      <c r="D397">
        <v>366</v>
      </c>
      <c r="E397">
        <v>397</v>
      </c>
      <c r="F397">
        <f>KcSPLINE!F$16</f>
        <v>1.1917649599910223</v>
      </c>
      <c r="G397">
        <f>KcSPLINE!F$17</f>
        <v>1.2000000000000002</v>
      </c>
      <c r="H397" s="5">
        <f>KcSPLINE!K$16</f>
        <v>-4.5908971968393808E-4</v>
      </c>
      <c r="I397" s="5">
        <f>KcSPLINE!K$17</f>
        <v>2.825575625041572E-4</v>
      </c>
      <c r="J397">
        <f t="shared" si="80"/>
        <v>9.6774193548387094E-2</v>
      </c>
      <c r="K397">
        <f t="shared" si="81"/>
        <v>0.90322580645161288</v>
      </c>
      <c r="L397">
        <f t="shared" si="82"/>
        <v>348</v>
      </c>
      <c r="M397" s="6">
        <f t="shared" si="83"/>
        <v>1.1992030606442925</v>
      </c>
      <c r="N397" s="13">
        <f t="shared" si="78"/>
        <v>1.1987235174165867</v>
      </c>
      <c r="O397" s="6">
        <f t="shared" si="86"/>
        <v>368.60766893570582</v>
      </c>
      <c r="P397" s="6">
        <f t="shared" si="86"/>
        <v>368.49616439393259</v>
      </c>
      <c r="Q397" s="6">
        <f t="shared" si="84"/>
        <v>1.1987235174165867</v>
      </c>
      <c r="T397" s="6">
        <f t="shared" si="76"/>
        <v>1.1987235174165867</v>
      </c>
    </row>
    <row r="398" spans="1:20">
      <c r="B398">
        <f t="shared" si="85"/>
        <v>395</v>
      </c>
      <c r="C398">
        <f t="shared" si="79"/>
        <v>31</v>
      </c>
      <c r="D398">
        <v>366</v>
      </c>
      <c r="E398">
        <v>397</v>
      </c>
      <c r="F398">
        <f>KcSPLINE!F$16</f>
        <v>1.1917649599910223</v>
      </c>
      <c r="G398">
        <f>KcSPLINE!F$17</f>
        <v>1.2000000000000002</v>
      </c>
      <c r="H398" s="5">
        <f>KcSPLINE!K$16</f>
        <v>-4.5908971968393808E-4</v>
      </c>
      <c r="I398" s="5">
        <f>KcSPLINE!K$17</f>
        <v>2.825575625041572E-4</v>
      </c>
      <c r="J398">
        <f t="shared" si="80"/>
        <v>6.4516129032258063E-2</v>
      </c>
      <c r="K398">
        <f t="shared" si="81"/>
        <v>0.93548387096774188</v>
      </c>
      <c r="L398">
        <f t="shared" si="82"/>
        <v>349</v>
      </c>
      <c r="M398" s="6">
        <f t="shared" si="83"/>
        <v>1.1994687070961951</v>
      </c>
      <c r="N398" s="13">
        <f t="shared" si="78"/>
        <v>1.1989063275583489</v>
      </c>
      <c r="O398" s="6">
        <f t="shared" si="86"/>
        <v>369.80713764280199</v>
      </c>
      <c r="P398" s="6">
        <f t="shared" si="86"/>
        <v>369.69507072149094</v>
      </c>
      <c r="Q398" s="6">
        <f t="shared" si="84"/>
        <v>1.1989063275583489</v>
      </c>
      <c r="T398" s="6">
        <f t="shared" si="76"/>
        <v>1.1989063275583489</v>
      </c>
    </row>
    <row r="399" spans="1:20">
      <c r="B399">
        <f t="shared" si="85"/>
        <v>396</v>
      </c>
      <c r="C399">
        <f t="shared" si="79"/>
        <v>31</v>
      </c>
      <c r="D399">
        <v>366</v>
      </c>
      <c r="E399">
        <v>397</v>
      </c>
      <c r="F399">
        <f>KcSPLINE!F$16</f>
        <v>1.1917649599910223</v>
      </c>
      <c r="G399">
        <f>KcSPLINE!F$17</f>
        <v>1.2000000000000002</v>
      </c>
      <c r="H399" s="5">
        <f>KcSPLINE!K$16</f>
        <v>-4.5908971968393808E-4</v>
      </c>
      <c r="I399" s="5">
        <f>KcSPLINE!K$17</f>
        <v>2.825575625041572E-4</v>
      </c>
      <c r="J399">
        <f t="shared" si="80"/>
        <v>3.2258064516129031E-2</v>
      </c>
      <c r="K399">
        <f t="shared" si="81"/>
        <v>0.967741935483871</v>
      </c>
      <c r="L399">
        <f t="shared" si="82"/>
        <v>350</v>
      </c>
      <c r="M399" s="6">
        <f t="shared" si="83"/>
        <v>1.1997343535480978</v>
      </c>
      <c r="N399" s="13">
        <f t="shared" si="78"/>
        <v>1.1993238470508611</v>
      </c>
      <c r="O399" s="6">
        <f t="shared" si="86"/>
        <v>371.00687199635007</v>
      </c>
      <c r="P399" s="6">
        <f t="shared" si="86"/>
        <v>370.89439456854177</v>
      </c>
      <c r="Q399" s="6">
        <f t="shared" si="84"/>
        <v>1.1993238470508611</v>
      </c>
      <c r="T399" s="6">
        <f t="shared" si="76"/>
        <v>1.1993238470508611</v>
      </c>
    </row>
    <row r="400" spans="1:20">
      <c r="A400">
        <v>397</v>
      </c>
      <c r="B400">
        <f t="shared" si="85"/>
        <v>397</v>
      </c>
      <c r="C400">
        <f t="shared" si="79"/>
        <v>31</v>
      </c>
      <c r="D400">
        <v>366</v>
      </c>
      <c r="E400">
        <v>397</v>
      </c>
      <c r="F400">
        <f>KcSPLINE!F$16</f>
        <v>1.1917649599910223</v>
      </c>
      <c r="G400">
        <f>KcSPLINE!F$17</f>
        <v>1.2000000000000002</v>
      </c>
      <c r="H400" s="5">
        <f>KcSPLINE!K$16</f>
        <v>-4.5908971968393808E-4</v>
      </c>
      <c r="I400" s="5">
        <f>KcSPLINE!K$17</f>
        <v>2.825575625041572E-4</v>
      </c>
      <c r="J400">
        <f t="shared" si="80"/>
        <v>0</v>
      </c>
      <c r="K400">
        <f t="shared" si="81"/>
        <v>1</v>
      </c>
      <c r="L400">
        <f t="shared" si="82"/>
        <v>351</v>
      </c>
      <c r="M400" s="6">
        <f t="shared" si="83"/>
        <v>1.2000000000000002</v>
      </c>
      <c r="N400" s="13">
        <f t="shared" si="78"/>
        <v>1.2000000000000002</v>
      </c>
      <c r="O400" s="6">
        <f t="shared" si="86"/>
        <v>372.20687199635006</v>
      </c>
      <c r="P400" s="6">
        <f t="shared" si="86"/>
        <v>372.09439456854176</v>
      </c>
      <c r="Q400" s="6">
        <f t="shared" si="84"/>
        <v>1.2000000000000002</v>
      </c>
      <c r="T400" s="6">
        <f t="shared" si="76"/>
        <v>1.2000000000000002</v>
      </c>
    </row>
    <row r="401" spans="1:20">
      <c r="B401">
        <f t="shared" si="85"/>
        <v>398</v>
      </c>
      <c r="C401">
        <f t="shared" si="79"/>
        <v>29</v>
      </c>
      <c r="D401">
        <v>397</v>
      </c>
      <c r="E401">
        <v>426</v>
      </c>
      <c r="F401">
        <f>KcSPLINE!F$17</f>
        <v>1.2000000000000002</v>
      </c>
      <c r="G401">
        <f>KcSPLINE!F$18</f>
        <v>1.1536309284926189</v>
      </c>
      <c r="H401" s="5">
        <f>KcSPLINE!K$17</f>
        <v>2.825575625041572E-4</v>
      </c>
      <c r="I401" s="5">
        <f>KcSPLINE!K$18</f>
        <v>-1.0642277897668626E-3</v>
      </c>
      <c r="J401">
        <f t="shared" si="80"/>
        <v>0.96551724137931039</v>
      </c>
      <c r="K401">
        <f t="shared" si="81"/>
        <v>3.4482758620689655E-2</v>
      </c>
      <c r="L401">
        <f t="shared" si="82"/>
        <v>352</v>
      </c>
      <c r="M401" s="6">
        <f t="shared" si="83"/>
        <v>1.1984010664997458</v>
      </c>
      <c r="N401" s="13">
        <f t="shared" si="78"/>
        <v>1.2009469830149615</v>
      </c>
      <c r="O401" s="6">
        <f t="shared" si="86"/>
        <v>373.4052730628498</v>
      </c>
      <c r="P401" s="6">
        <f t="shared" si="86"/>
        <v>373.2953415515567</v>
      </c>
      <c r="Q401" s="6">
        <f t="shared" si="84"/>
        <v>1.2009469830149615</v>
      </c>
      <c r="T401" s="6">
        <f t="shared" si="76"/>
        <v>1.2009469830149615</v>
      </c>
    </row>
    <row r="402" spans="1:20">
      <c r="B402">
        <f t="shared" si="85"/>
        <v>399</v>
      </c>
      <c r="C402">
        <f t="shared" si="79"/>
        <v>29</v>
      </c>
      <c r="D402">
        <v>397</v>
      </c>
      <c r="E402">
        <v>426</v>
      </c>
      <c r="F402">
        <f>KcSPLINE!F$17</f>
        <v>1.2000000000000002</v>
      </c>
      <c r="G402">
        <f>KcSPLINE!F$18</f>
        <v>1.1536309284926189</v>
      </c>
      <c r="H402" s="5">
        <f>KcSPLINE!K$17</f>
        <v>2.825575625041572E-4</v>
      </c>
      <c r="I402" s="5">
        <f>KcSPLINE!K$18</f>
        <v>-1.0642277897668626E-3</v>
      </c>
      <c r="J402">
        <f t="shared" si="80"/>
        <v>0.93103448275862066</v>
      </c>
      <c r="K402">
        <f t="shared" si="81"/>
        <v>6.8965517241379309E-2</v>
      </c>
      <c r="L402">
        <f t="shared" si="82"/>
        <v>353</v>
      </c>
      <c r="M402" s="6">
        <f t="shared" si="83"/>
        <v>1.1968021329994911</v>
      </c>
      <c r="N402" s="13">
        <f t="shared" si="78"/>
        <v>1.2021300827182104</v>
      </c>
      <c r="O402" s="6">
        <f t="shared" si="86"/>
        <v>374.6020751958493</v>
      </c>
      <c r="P402" s="6">
        <f t="shared" si="86"/>
        <v>374.49747163427492</v>
      </c>
      <c r="Q402" s="6">
        <f t="shared" si="84"/>
        <v>1.2021300827182104</v>
      </c>
      <c r="T402" s="6">
        <f t="shared" si="76"/>
        <v>1.2021300827182104</v>
      </c>
    </row>
    <row r="403" spans="1:20">
      <c r="B403">
        <f t="shared" si="85"/>
        <v>400</v>
      </c>
      <c r="C403">
        <f t="shared" si="79"/>
        <v>29</v>
      </c>
      <c r="D403">
        <v>397</v>
      </c>
      <c r="E403">
        <v>426</v>
      </c>
      <c r="F403">
        <f>KcSPLINE!F$17</f>
        <v>1.2000000000000002</v>
      </c>
      <c r="G403">
        <f>KcSPLINE!F$18</f>
        <v>1.1536309284926189</v>
      </c>
      <c r="H403" s="5">
        <f>KcSPLINE!K$17</f>
        <v>2.825575625041572E-4</v>
      </c>
      <c r="I403" s="5">
        <f>KcSPLINE!K$18</f>
        <v>-1.0642277897668626E-3</v>
      </c>
      <c r="J403">
        <f t="shared" si="80"/>
        <v>0.89655172413793105</v>
      </c>
      <c r="K403">
        <f t="shared" si="81"/>
        <v>0.10344827586206896</v>
      </c>
      <c r="L403">
        <f t="shared" si="82"/>
        <v>354</v>
      </c>
      <c r="M403" s="6">
        <f t="shared" si="83"/>
        <v>1.1952031994992365</v>
      </c>
      <c r="N403" s="13">
        <f t="shared" si="78"/>
        <v>1.2035028582355312</v>
      </c>
      <c r="O403" s="6">
        <f t="shared" si="86"/>
        <v>375.79727839534854</v>
      </c>
      <c r="P403" s="6">
        <f t="shared" si="86"/>
        <v>375.70097449251045</v>
      </c>
      <c r="Q403" s="6">
        <f t="shared" si="84"/>
        <v>1.2035028582355312</v>
      </c>
      <c r="T403" s="6">
        <f t="shared" si="76"/>
        <v>1.2035028582355312</v>
      </c>
    </row>
    <row r="404" spans="1:20">
      <c r="B404">
        <f t="shared" si="85"/>
        <v>401</v>
      </c>
      <c r="C404">
        <f t="shared" si="79"/>
        <v>29</v>
      </c>
      <c r="D404">
        <v>397</v>
      </c>
      <c r="E404">
        <v>426</v>
      </c>
      <c r="F404">
        <f>KcSPLINE!F$17</f>
        <v>1.2000000000000002</v>
      </c>
      <c r="G404">
        <f>KcSPLINE!F$18</f>
        <v>1.1536309284926189</v>
      </c>
      <c r="H404" s="5">
        <f>KcSPLINE!K$17</f>
        <v>2.825575625041572E-4</v>
      </c>
      <c r="I404" s="5">
        <f>KcSPLINE!K$18</f>
        <v>-1.0642277897668626E-3</v>
      </c>
      <c r="J404">
        <f t="shared" si="80"/>
        <v>0.86206896551724133</v>
      </c>
      <c r="K404">
        <f t="shared" si="81"/>
        <v>0.13793103448275862</v>
      </c>
      <c r="L404">
        <f t="shared" si="82"/>
        <v>355</v>
      </c>
      <c r="M404" s="6">
        <f t="shared" si="83"/>
        <v>1.1936042659989821</v>
      </c>
      <c r="N404" s="13">
        <f t="shared" si="78"/>
        <v>1.2050188686927072</v>
      </c>
      <c r="O404" s="6">
        <f t="shared" si="86"/>
        <v>376.99088266134754</v>
      </c>
      <c r="P404" s="6">
        <f t="shared" si="86"/>
        <v>376.90599336120317</v>
      </c>
      <c r="Q404" s="6">
        <f t="shared" si="84"/>
        <v>1.2050188686927072</v>
      </c>
      <c r="T404" s="6">
        <f t="shared" si="76"/>
        <v>1.2050188686927072</v>
      </c>
    </row>
    <row r="405" spans="1:20">
      <c r="B405">
        <f t="shared" si="85"/>
        <v>402</v>
      </c>
      <c r="C405">
        <f t="shared" si="79"/>
        <v>29</v>
      </c>
      <c r="D405">
        <v>397</v>
      </c>
      <c r="E405">
        <v>426</v>
      </c>
      <c r="F405">
        <f>KcSPLINE!F$17</f>
        <v>1.2000000000000002</v>
      </c>
      <c r="G405">
        <f>KcSPLINE!F$18</f>
        <v>1.1536309284926189</v>
      </c>
      <c r="H405" s="5">
        <f>KcSPLINE!K$17</f>
        <v>2.825575625041572E-4</v>
      </c>
      <c r="I405" s="5">
        <f>KcSPLINE!K$18</f>
        <v>-1.0642277897668626E-3</v>
      </c>
      <c r="J405">
        <f t="shared" si="80"/>
        <v>0.82758620689655171</v>
      </c>
      <c r="K405">
        <f t="shared" si="81"/>
        <v>0.17241379310344829</v>
      </c>
      <c r="L405">
        <f t="shared" si="82"/>
        <v>356</v>
      </c>
      <c r="M405" s="6">
        <f t="shared" si="83"/>
        <v>1.1920053324987274</v>
      </c>
      <c r="N405" s="13">
        <f t="shared" si="78"/>
        <v>1.2066316732155227</v>
      </c>
      <c r="O405" s="6">
        <f t="shared" ref="O405:P420" si="87">O404+M405</f>
        <v>378.18288799384629</v>
      </c>
      <c r="P405" s="6">
        <f t="shared" si="87"/>
        <v>378.11262503441867</v>
      </c>
      <c r="Q405" s="6">
        <f t="shared" si="84"/>
        <v>1.2066316732155227</v>
      </c>
      <c r="T405" s="6">
        <f t="shared" si="76"/>
        <v>1.2066316732155227</v>
      </c>
    </row>
    <row r="406" spans="1:20">
      <c r="B406">
        <f t="shared" si="85"/>
        <v>403</v>
      </c>
      <c r="C406">
        <f t="shared" si="79"/>
        <v>29</v>
      </c>
      <c r="D406">
        <v>397</v>
      </c>
      <c r="E406">
        <v>426</v>
      </c>
      <c r="F406">
        <f>KcSPLINE!F$17</f>
        <v>1.2000000000000002</v>
      </c>
      <c r="G406">
        <f>KcSPLINE!F$18</f>
        <v>1.1536309284926189</v>
      </c>
      <c r="H406" s="5">
        <f>KcSPLINE!K$17</f>
        <v>2.825575625041572E-4</v>
      </c>
      <c r="I406" s="5">
        <f>KcSPLINE!K$18</f>
        <v>-1.0642277897668626E-3</v>
      </c>
      <c r="J406">
        <f t="shared" si="80"/>
        <v>0.7931034482758621</v>
      </c>
      <c r="K406">
        <f t="shared" si="81"/>
        <v>0.20689655172413793</v>
      </c>
      <c r="L406">
        <f t="shared" si="82"/>
        <v>357</v>
      </c>
      <c r="M406" s="6">
        <f t="shared" si="83"/>
        <v>1.190406398998473</v>
      </c>
      <c r="N406" s="13">
        <f t="shared" si="78"/>
        <v>1.208294830929761</v>
      </c>
      <c r="O406" s="6">
        <f t="shared" si="87"/>
        <v>379.37329439284474</v>
      </c>
      <c r="P406" s="6">
        <f t="shared" si="87"/>
        <v>379.32091986534846</v>
      </c>
      <c r="Q406" s="6">
        <f t="shared" si="84"/>
        <v>1.208294830929761</v>
      </c>
      <c r="T406" s="6">
        <f t="shared" si="76"/>
        <v>1.208294830929761</v>
      </c>
    </row>
    <row r="407" spans="1:20">
      <c r="B407">
        <f t="shared" si="85"/>
        <v>404</v>
      </c>
      <c r="C407">
        <f t="shared" si="79"/>
        <v>29</v>
      </c>
      <c r="D407">
        <v>397</v>
      </c>
      <c r="E407">
        <v>426</v>
      </c>
      <c r="F407">
        <f>KcSPLINE!F$17</f>
        <v>1.2000000000000002</v>
      </c>
      <c r="G407">
        <f>KcSPLINE!F$18</f>
        <v>1.1536309284926189</v>
      </c>
      <c r="H407" s="5">
        <f>KcSPLINE!K$17</f>
        <v>2.825575625041572E-4</v>
      </c>
      <c r="I407" s="5">
        <f>KcSPLINE!K$18</f>
        <v>-1.0642277897668626E-3</v>
      </c>
      <c r="J407">
        <f t="shared" si="80"/>
        <v>0.75862068965517238</v>
      </c>
      <c r="K407">
        <f t="shared" si="81"/>
        <v>0.2413793103448276</v>
      </c>
      <c r="L407">
        <f t="shared" si="82"/>
        <v>358</v>
      </c>
      <c r="M407" s="6">
        <f t="shared" si="83"/>
        <v>1.1888074654982184</v>
      </c>
      <c r="N407" s="13">
        <f t="shared" si="78"/>
        <v>1.2099619009612059</v>
      </c>
      <c r="O407" s="6">
        <f t="shared" si="87"/>
        <v>380.56210185834294</v>
      </c>
      <c r="P407" s="6">
        <f t="shared" si="87"/>
        <v>380.53088176630968</v>
      </c>
      <c r="Q407" s="6">
        <f t="shared" si="84"/>
        <v>1.2099619009612059</v>
      </c>
      <c r="T407" s="6">
        <f t="shared" si="76"/>
        <v>1.2099619009612059</v>
      </c>
    </row>
    <row r="408" spans="1:20">
      <c r="B408">
        <f t="shared" si="85"/>
        <v>405</v>
      </c>
      <c r="C408">
        <f t="shared" si="79"/>
        <v>29</v>
      </c>
      <c r="D408">
        <v>397</v>
      </c>
      <c r="E408">
        <v>426</v>
      </c>
      <c r="F408">
        <f>KcSPLINE!F$17</f>
        <v>1.2000000000000002</v>
      </c>
      <c r="G408">
        <f>KcSPLINE!F$18</f>
        <v>1.1536309284926189</v>
      </c>
      <c r="H408" s="5">
        <f>KcSPLINE!K$17</f>
        <v>2.825575625041572E-4</v>
      </c>
      <c r="I408" s="5">
        <f>KcSPLINE!K$18</f>
        <v>-1.0642277897668626E-3</v>
      </c>
      <c r="J408">
        <f t="shared" si="80"/>
        <v>0.72413793103448276</v>
      </c>
      <c r="K408">
        <f t="shared" si="81"/>
        <v>0.27586206896551724</v>
      </c>
      <c r="L408">
        <f t="shared" si="82"/>
        <v>359</v>
      </c>
      <c r="M408" s="6">
        <f t="shared" si="83"/>
        <v>1.1872085319979639</v>
      </c>
      <c r="N408" s="13">
        <f t="shared" si="78"/>
        <v>1.2115864424356415</v>
      </c>
      <c r="O408" s="6">
        <f t="shared" si="87"/>
        <v>381.7493103903409</v>
      </c>
      <c r="P408" s="6">
        <f t="shared" si="87"/>
        <v>381.74246820874532</v>
      </c>
      <c r="Q408" s="6">
        <f t="shared" si="84"/>
        <v>1.2115864424356415</v>
      </c>
      <c r="T408" s="6">
        <f t="shared" si="76"/>
        <v>1.2115864424356415</v>
      </c>
    </row>
    <row r="409" spans="1:20">
      <c r="B409">
        <f t="shared" si="85"/>
        <v>406</v>
      </c>
      <c r="C409">
        <f t="shared" si="79"/>
        <v>29</v>
      </c>
      <c r="D409">
        <v>397</v>
      </c>
      <c r="E409">
        <v>426</v>
      </c>
      <c r="F409">
        <f>KcSPLINE!F$17</f>
        <v>1.2000000000000002</v>
      </c>
      <c r="G409">
        <f>KcSPLINE!F$18</f>
        <v>1.1536309284926189</v>
      </c>
      <c r="H409" s="5">
        <f>KcSPLINE!K$17</f>
        <v>2.825575625041572E-4</v>
      </c>
      <c r="I409" s="5">
        <f>KcSPLINE!K$18</f>
        <v>-1.0642277897668626E-3</v>
      </c>
      <c r="J409">
        <f t="shared" si="80"/>
        <v>0.68965517241379315</v>
      </c>
      <c r="K409">
        <f t="shared" si="81"/>
        <v>0.31034482758620691</v>
      </c>
      <c r="L409">
        <f t="shared" si="82"/>
        <v>360</v>
      </c>
      <c r="M409" s="6">
        <f t="shared" si="83"/>
        <v>1.1856095984977095</v>
      </c>
      <c r="N409" s="14">
        <f>N408+R$414</f>
        <v>1.2117090355647429</v>
      </c>
      <c r="O409" s="6">
        <f t="shared" si="87"/>
        <v>382.9349199888386</v>
      </c>
      <c r="P409" s="6">
        <f t="shared" si="87"/>
        <v>382.95417724431007</v>
      </c>
      <c r="Q409" s="6">
        <f t="shared" si="84"/>
        <v>1.2131220144788513</v>
      </c>
      <c r="T409" s="6">
        <f t="shared" si="76"/>
        <v>1.2117090355647429</v>
      </c>
    </row>
    <row r="410" spans="1:20">
      <c r="B410">
        <f t="shared" si="85"/>
        <v>407</v>
      </c>
      <c r="C410">
        <f t="shared" si="79"/>
        <v>29</v>
      </c>
      <c r="D410">
        <v>397</v>
      </c>
      <c r="E410">
        <v>426</v>
      </c>
      <c r="F410">
        <f>KcSPLINE!F$17</f>
        <v>1.2000000000000002</v>
      </c>
      <c r="G410">
        <f>KcSPLINE!F$18</f>
        <v>1.1536309284926189</v>
      </c>
      <c r="H410" s="5">
        <f>KcSPLINE!K$17</f>
        <v>2.825575625041572E-4</v>
      </c>
      <c r="I410" s="5">
        <f>KcSPLINE!K$18</f>
        <v>-1.0642277897668626E-3</v>
      </c>
      <c r="J410">
        <f t="shared" si="80"/>
        <v>0.65517241379310343</v>
      </c>
      <c r="K410">
        <f t="shared" si="81"/>
        <v>0.34482758620689657</v>
      </c>
      <c r="L410">
        <f t="shared" si="82"/>
        <v>361</v>
      </c>
      <c r="M410" s="6">
        <f t="shared" si="83"/>
        <v>1.1840106649974549</v>
      </c>
      <c r="N410" s="14">
        <f>N409+R$414</f>
        <v>1.2118316286938442</v>
      </c>
      <c r="O410" s="6">
        <f t="shared" si="87"/>
        <v>384.11893065383606</v>
      </c>
      <c r="P410" s="6">
        <f t="shared" si="87"/>
        <v>384.16600887300393</v>
      </c>
      <c r="Q410" s="6">
        <f t="shared" si="84"/>
        <v>1.214522176216619</v>
      </c>
      <c r="T410" s="6">
        <f t="shared" si="76"/>
        <v>1.2118316286938442</v>
      </c>
    </row>
    <row r="411" spans="1:20">
      <c r="B411">
        <f t="shared" si="85"/>
        <v>408</v>
      </c>
      <c r="C411">
        <f t="shared" si="79"/>
        <v>29</v>
      </c>
      <c r="D411">
        <v>397</v>
      </c>
      <c r="E411">
        <v>426</v>
      </c>
      <c r="F411">
        <f>KcSPLINE!F$17</f>
        <v>1.2000000000000002</v>
      </c>
      <c r="G411">
        <f>KcSPLINE!F$18</f>
        <v>1.1536309284926189</v>
      </c>
      <c r="H411" s="5">
        <f>KcSPLINE!K$17</f>
        <v>2.825575625041572E-4</v>
      </c>
      <c r="I411" s="5">
        <f>KcSPLINE!K$18</f>
        <v>-1.0642277897668626E-3</v>
      </c>
      <c r="J411">
        <f t="shared" si="80"/>
        <v>0.62068965517241381</v>
      </c>
      <c r="K411">
        <f t="shared" si="81"/>
        <v>0.37931034482758619</v>
      </c>
      <c r="L411">
        <f t="shared" si="82"/>
        <v>362</v>
      </c>
      <c r="M411" s="6">
        <f t="shared" si="83"/>
        <v>1.1824117314972005</v>
      </c>
      <c r="N411" s="14">
        <f>N410+R$414</f>
        <v>1.2119542218229455</v>
      </c>
      <c r="O411" s="6">
        <f t="shared" si="87"/>
        <v>385.30134238533327</v>
      </c>
      <c r="P411" s="6">
        <f t="shared" si="87"/>
        <v>385.3779630948269</v>
      </c>
      <c r="Q411" s="6">
        <f t="shared" si="84"/>
        <v>1.2157404867747283</v>
      </c>
      <c r="T411" s="6">
        <f t="shared" si="76"/>
        <v>1.2119542218229455</v>
      </c>
    </row>
    <row r="412" spans="1:20">
      <c r="B412">
        <f t="shared" si="85"/>
        <v>409</v>
      </c>
      <c r="C412">
        <f t="shared" si="79"/>
        <v>29</v>
      </c>
      <c r="D412">
        <v>397</v>
      </c>
      <c r="E412">
        <v>426</v>
      </c>
      <c r="F412">
        <f>KcSPLINE!F$17</f>
        <v>1.2000000000000002</v>
      </c>
      <c r="G412">
        <f>KcSPLINE!F$18</f>
        <v>1.1536309284926189</v>
      </c>
      <c r="H412" s="5">
        <f>KcSPLINE!K$17</f>
        <v>2.825575625041572E-4</v>
      </c>
      <c r="I412" s="5">
        <f>KcSPLINE!K$18</f>
        <v>-1.0642277897668626E-3</v>
      </c>
      <c r="J412">
        <f t="shared" si="80"/>
        <v>0.58620689655172409</v>
      </c>
      <c r="K412">
        <f t="shared" si="81"/>
        <v>0.41379310344827586</v>
      </c>
      <c r="L412">
        <f t="shared" si="82"/>
        <v>363</v>
      </c>
      <c r="M412" s="6">
        <f t="shared" si="83"/>
        <v>1.1808127979969458</v>
      </c>
      <c r="N412" s="14">
        <f>N411+R$414</f>
        <v>1.2120768149520469</v>
      </c>
      <c r="O412" s="6">
        <f t="shared" si="87"/>
        <v>386.48215518333024</v>
      </c>
      <c r="P412" s="6">
        <f t="shared" si="87"/>
        <v>386.59003990977897</v>
      </c>
      <c r="Q412" s="6">
        <f t="shared" si="84"/>
        <v>1.2167305052789632</v>
      </c>
      <c r="T412" s="6">
        <f t="shared" si="76"/>
        <v>1.2120768149520469</v>
      </c>
    </row>
    <row r="413" spans="1:20">
      <c r="B413">
        <f t="shared" si="85"/>
        <v>410</v>
      </c>
      <c r="C413">
        <f t="shared" si="79"/>
        <v>29</v>
      </c>
      <c r="D413">
        <v>397</v>
      </c>
      <c r="E413">
        <v>426</v>
      </c>
      <c r="F413">
        <f>KcSPLINE!F$17</f>
        <v>1.2000000000000002</v>
      </c>
      <c r="G413">
        <f>KcSPLINE!F$18</f>
        <v>1.1536309284926189</v>
      </c>
      <c r="H413" s="5">
        <f>KcSPLINE!K$17</f>
        <v>2.825575625041572E-4</v>
      </c>
      <c r="I413" s="5">
        <f>KcSPLINE!K$18</f>
        <v>-1.0642277897668626E-3</v>
      </c>
      <c r="J413">
        <f t="shared" si="80"/>
        <v>0.55172413793103448</v>
      </c>
      <c r="K413">
        <f t="shared" si="81"/>
        <v>0.44827586206896552</v>
      </c>
      <c r="L413">
        <f t="shared" si="82"/>
        <v>364</v>
      </c>
      <c r="M413" s="6">
        <f t="shared" si="83"/>
        <v>1.1792138644966914</v>
      </c>
      <c r="N413" s="14">
        <f>N412+R$414</f>
        <v>1.2121994080811482</v>
      </c>
      <c r="O413" s="6">
        <f t="shared" si="87"/>
        <v>387.66136904782695</v>
      </c>
      <c r="P413" s="6">
        <f t="shared" si="87"/>
        <v>387.80223931786014</v>
      </c>
      <c r="Q413" s="6">
        <f t="shared" si="84"/>
        <v>1.2174457908551075</v>
      </c>
      <c r="T413" s="6">
        <f t="shared" si="76"/>
        <v>1.2121994080811482</v>
      </c>
    </row>
    <row r="414" spans="1:20">
      <c r="A414" s="10"/>
      <c r="B414" s="10">
        <f t="shared" si="85"/>
        <v>411</v>
      </c>
      <c r="C414" s="10">
        <f t="shared" si="79"/>
        <v>29</v>
      </c>
      <c r="D414" s="10">
        <v>397</v>
      </c>
      <c r="E414" s="10">
        <v>426</v>
      </c>
      <c r="F414" s="10">
        <f>KcSPLINE!F$17</f>
        <v>1.2000000000000002</v>
      </c>
      <c r="G414" s="10">
        <f>KcSPLINE!F$18</f>
        <v>1.1536309284926189</v>
      </c>
      <c r="H414" s="15">
        <f>KcSPLINE!K$17</f>
        <v>2.825575625041572E-4</v>
      </c>
      <c r="I414" s="15">
        <f>KcSPLINE!K$18</f>
        <v>-1.0642277897668626E-3</v>
      </c>
      <c r="J414" s="10">
        <f t="shared" si="80"/>
        <v>0.51724137931034486</v>
      </c>
      <c r="K414" s="10">
        <f t="shared" si="81"/>
        <v>0.48275862068965519</v>
      </c>
      <c r="L414" s="10">
        <f t="shared" si="82"/>
        <v>365</v>
      </c>
      <c r="M414" s="11">
        <f t="shared" si="83"/>
        <v>1.177614930996437</v>
      </c>
      <c r="N414" s="11">
        <f>(Q50+Q414)/2</f>
        <v>1.2121994080811485</v>
      </c>
      <c r="O414" s="11">
        <f t="shared" si="87"/>
        <v>388.83898397882336</v>
      </c>
      <c r="P414" s="11">
        <f t="shared" si="87"/>
        <v>389.01443872594132</v>
      </c>
      <c r="Q414" s="11">
        <f t="shared" si="84"/>
        <v>1.2178399026289448</v>
      </c>
      <c r="R414" s="12">
        <f>(N414-Q408)/5</f>
        <v>1.225931291013893E-4</v>
      </c>
      <c r="T414" s="6">
        <f t="shared" si="76"/>
        <v>1.2121994080811485</v>
      </c>
    </row>
    <row r="415" spans="1:20">
      <c r="B415">
        <f t="shared" si="85"/>
        <v>412</v>
      </c>
      <c r="C415">
        <f t="shared" si="79"/>
        <v>29</v>
      </c>
      <c r="D415">
        <v>397</v>
      </c>
      <c r="E415">
        <v>426</v>
      </c>
      <c r="F415">
        <f>KcSPLINE!F$17</f>
        <v>1.2000000000000002</v>
      </c>
      <c r="G415">
        <f>KcSPLINE!F$18</f>
        <v>1.1536309284926189</v>
      </c>
      <c r="H415" s="5">
        <f>KcSPLINE!K$17</f>
        <v>2.825575625041572E-4</v>
      </c>
      <c r="I415" s="5">
        <f>KcSPLINE!K$18</f>
        <v>-1.0642277897668626E-3</v>
      </c>
      <c r="J415">
        <f t="shared" si="80"/>
        <v>0.48275862068965519</v>
      </c>
      <c r="K415">
        <f t="shared" si="81"/>
        <v>0.51724137931034486</v>
      </c>
      <c r="M415" s="6">
        <f t="shared" si="83"/>
        <v>1.1760159974961826</v>
      </c>
      <c r="N415" s="11">
        <f>(Q51+Q415)/2</f>
        <v>1.2116776498888964</v>
      </c>
      <c r="O415" s="6">
        <f t="shared" si="87"/>
        <v>390.01499997631953</v>
      </c>
      <c r="P415" s="6">
        <f t="shared" si="87"/>
        <v>390.2261163758302</v>
      </c>
      <c r="Q415" s="6">
        <f t="shared" si="84"/>
        <v>1.2178663997262589</v>
      </c>
      <c r="T415" s="16">
        <f>N414</f>
        <v>1.2121994080811485</v>
      </c>
    </row>
    <row r="416" spans="1:20">
      <c r="B416">
        <f t="shared" si="85"/>
        <v>413</v>
      </c>
      <c r="C416">
        <f t="shared" si="79"/>
        <v>29</v>
      </c>
      <c r="D416">
        <v>397</v>
      </c>
      <c r="E416">
        <v>426</v>
      </c>
      <c r="F416">
        <f>KcSPLINE!F$17</f>
        <v>1.2000000000000002</v>
      </c>
      <c r="G416">
        <f>KcSPLINE!F$18</f>
        <v>1.1536309284926189</v>
      </c>
      <c r="H416" s="5">
        <f>KcSPLINE!K$17</f>
        <v>2.825575625041572E-4</v>
      </c>
      <c r="I416" s="5">
        <f>KcSPLINE!K$18</f>
        <v>-1.0642277897668626E-3</v>
      </c>
      <c r="J416">
        <f t="shared" si="80"/>
        <v>0.44827586206896552</v>
      </c>
      <c r="K416">
        <f t="shared" si="81"/>
        <v>0.55172413793103448</v>
      </c>
      <c r="M416" s="6">
        <f t="shared" si="83"/>
        <v>1.1744170639959277</v>
      </c>
      <c r="N416" s="6">
        <f t="shared" ref="N416:N460" si="88">M416+(((J416^3-J416)*H416+(K416^3-K416)*I416))*(C416^2)/6</f>
        <v>1.217478841272833</v>
      </c>
      <c r="O416" s="6">
        <f t="shared" si="87"/>
        <v>391.18941704031545</v>
      </c>
      <c r="P416" s="6">
        <f t="shared" si="87"/>
        <v>391.44359521710305</v>
      </c>
      <c r="Q416" s="6">
        <f t="shared" si="84"/>
        <v>1.217478841272833</v>
      </c>
    </row>
    <row r="417" spans="1:17">
      <c r="A417" s="8"/>
      <c r="B417" s="8">
        <f t="shared" si="85"/>
        <v>414</v>
      </c>
      <c r="C417" s="8">
        <f t="shared" si="79"/>
        <v>29</v>
      </c>
      <c r="D417" s="8">
        <v>397</v>
      </c>
      <c r="E417" s="8">
        <v>426</v>
      </c>
      <c r="F417" s="8">
        <f>KcSPLINE!F$17</f>
        <v>1.2000000000000002</v>
      </c>
      <c r="G417" s="8">
        <f>KcSPLINE!F$18</f>
        <v>1.1536309284926189</v>
      </c>
      <c r="H417" s="3">
        <f>KcSPLINE!K$17</f>
        <v>2.825575625041572E-4</v>
      </c>
      <c r="I417" s="3">
        <f>KcSPLINE!K$18</f>
        <v>-1.0642277897668626E-3</v>
      </c>
      <c r="J417" s="8">
        <f t="shared" si="80"/>
        <v>0.41379310344827586</v>
      </c>
      <c r="K417" s="8">
        <f t="shared" si="81"/>
        <v>0.58620689655172409</v>
      </c>
      <c r="L417" s="8"/>
      <c r="M417" s="13">
        <f t="shared" si="83"/>
        <v>1.1728181304956731</v>
      </c>
      <c r="N417" s="13">
        <f t="shared" si="88"/>
        <v>1.2166307863944517</v>
      </c>
      <c r="O417" s="13">
        <f t="shared" si="87"/>
        <v>392.36223517081112</v>
      </c>
      <c r="P417" s="13">
        <f t="shared" si="87"/>
        <v>392.66022600349748</v>
      </c>
      <c r="Q417" s="13">
        <f t="shared" si="84"/>
        <v>1.2166307863944517</v>
      </c>
    </row>
    <row r="418" spans="1:17">
      <c r="B418">
        <f t="shared" si="85"/>
        <v>415</v>
      </c>
      <c r="C418">
        <f t="shared" si="79"/>
        <v>29</v>
      </c>
      <c r="D418">
        <v>397</v>
      </c>
      <c r="E418">
        <v>426</v>
      </c>
      <c r="F418">
        <f>KcSPLINE!F$17</f>
        <v>1.2000000000000002</v>
      </c>
      <c r="G418">
        <f>KcSPLINE!F$18</f>
        <v>1.1536309284926189</v>
      </c>
      <c r="H418" s="5">
        <f>KcSPLINE!K$17</f>
        <v>2.825575625041572E-4</v>
      </c>
      <c r="I418" s="5">
        <f>KcSPLINE!K$18</f>
        <v>-1.0642277897668626E-3</v>
      </c>
      <c r="J418">
        <f t="shared" si="80"/>
        <v>0.37931034482758619</v>
      </c>
      <c r="K418">
        <f t="shared" si="81"/>
        <v>0.62068965517241381</v>
      </c>
      <c r="M418" s="6">
        <f t="shared" si="83"/>
        <v>1.1712191969954187</v>
      </c>
      <c r="N418" s="6">
        <f t="shared" si="88"/>
        <v>1.2152757942168986</v>
      </c>
      <c r="O418" s="6">
        <f t="shared" si="87"/>
        <v>393.53345436780654</v>
      </c>
      <c r="P418" s="6">
        <f t="shared" si="87"/>
        <v>393.87550179771438</v>
      </c>
      <c r="Q418" s="6">
        <f t="shared" si="84"/>
        <v>1.2152757942168986</v>
      </c>
    </row>
    <row r="419" spans="1:17">
      <c r="B419">
        <f t="shared" si="85"/>
        <v>416</v>
      </c>
      <c r="C419">
        <f t="shared" si="79"/>
        <v>29</v>
      </c>
      <c r="D419">
        <v>397</v>
      </c>
      <c r="E419">
        <v>426</v>
      </c>
      <c r="F419">
        <f>KcSPLINE!F$17</f>
        <v>1.2000000000000002</v>
      </c>
      <c r="G419">
        <f>KcSPLINE!F$18</f>
        <v>1.1536309284926189</v>
      </c>
      <c r="H419" s="5">
        <f>KcSPLINE!K$17</f>
        <v>2.825575625041572E-4</v>
      </c>
      <c r="I419" s="5">
        <f>KcSPLINE!K$18</f>
        <v>-1.0642277897668626E-3</v>
      </c>
      <c r="J419">
        <f t="shared" si="80"/>
        <v>0.34482758620689657</v>
      </c>
      <c r="K419">
        <f t="shared" si="81"/>
        <v>0.65517241379310343</v>
      </c>
      <c r="M419" s="6">
        <f t="shared" si="83"/>
        <v>1.1696202634951642</v>
      </c>
      <c r="N419" s="6">
        <f t="shared" si="88"/>
        <v>1.2133674238659573</v>
      </c>
      <c r="O419" s="6">
        <f t="shared" si="87"/>
        <v>394.70307463130172</v>
      </c>
      <c r="P419" s="6">
        <f t="shared" si="87"/>
        <v>395.08886922158035</v>
      </c>
      <c r="Q419" s="6">
        <f t="shared" si="84"/>
        <v>1.2133674238659573</v>
      </c>
    </row>
    <row r="420" spans="1:17">
      <c r="B420">
        <f t="shared" si="85"/>
        <v>417</v>
      </c>
      <c r="C420">
        <f t="shared" si="79"/>
        <v>29</v>
      </c>
      <c r="D420">
        <v>397</v>
      </c>
      <c r="E420">
        <v>426</v>
      </c>
      <c r="F420">
        <f>KcSPLINE!F$17</f>
        <v>1.2000000000000002</v>
      </c>
      <c r="G420">
        <f>KcSPLINE!F$18</f>
        <v>1.1536309284926189</v>
      </c>
      <c r="H420" s="5">
        <f>KcSPLINE!K$17</f>
        <v>2.825575625041572E-4</v>
      </c>
      <c r="I420" s="5">
        <f>KcSPLINE!K$18</f>
        <v>-1.0642277897668626E-3</v>
      </c>
      <c r="J420">
        <f t="shared" si="80"/>
        <v>0.31034482758620691</v>
      </c>
      <c r="K420">
        <f t="shared" si="81"/>
        <v>0.68965517241379315</v>
      </c>
      <c r="M420" s="6">
        <f t="shared" si="83"/>
        <v>1.1680213299949096</v>
      </c>
      <c r="N420" s="6">
        <f t="shared" si="88"/>
        <v>1.2108592344674114</v>
      </c>
      <c r="O420" s="6">
        <f t="shared" si="87"/>
        <v>395.87109596129665</v>
      </c>
      <c r="P420" s="6">
        <f t="shared" si="87"/>
        <v>396.29972845604777</v>
      </c>
      <c r="Q420" s="6">
        <f t="shared" si="84"/>
        <v>1.2108592344674114</v>
      </c>
    </row>
    <row r="421" spans="1:17">
      <c r="B421">
        <f t="shared" si="85"/>
        <v>418</v>
      </c>
      <c r="C421">
        <f t="shared" si="79"/>
        <v>29</v>
      </c>
      <c r="D421">
        <v>397</v>
      </c>
      <c r="E421">
        <v>426</v>
      </c>
      <c r="F421">
        <f>KcSPLINE!F$17</f>
        <v>1.2000000000000002</v>
      </c>
      <c r="G421">
        <f>KcSPLINE!F$18</f>
        <v>1.1536309284926189</v>
      </c>
      <c r="H421" s="5">
        <f>KcSPLINE!K$17</f>
        <v>2.825575625041572E-4</v>
      </c>
      <c r="I421" s="5">
        <f>KcSPLINE!K$18</f>
        <v>-1.0642277897668626E-3</v>
      </c>
      <c r="J421">
        <f t="shared" si="80"/>
        <v>0.27586206896551724</v>
      </c>
      <c r="K421">
        <f t="shared" si="81"/>
        <v>0.72413793103448276</v>
      </c>
      <c r="M421" s="6">
        <f t="shared" si="83"/>
        <v>1.1664223964946552</v>
      </c>
      <c r="N421" s="6">
        <f t="shared" si="88"/>
        <v>1.2077047851470448</v>
      </c>
      <c r="O421" s="6">
        <f t="shared" ref="O421:P436" si="89">O420+M421</f>
        <v>397.03751835779133</v>
      </c>
      <c r="P421" s="6">
        <f t="shared" si="89"/>
        <v>397.5074332411948</v>
      </c>
      <c r="Q421" s="6">
        <f t="shared" si="84"/>
        <v>1.2077047851470448</v>
      </c>
    </row>
    <row r="422" spans="1:17">
      <c r="B422">
        <f t="shared" si="85"/>
        <v>419</v>
      </c>
      <c r="C422">
        <f t="shared" si="79"/>
        <v>29</v>
      </c>
      <c r="D422">
        <v>397</v>
      </c>
      <c r="E422">
        <v>426</v>
      </c>
      <c r="F422">
        <f>KcSPLINE!F$17</f>
        <v>1.2000000000000002</v>
      </c>
      <c r="G422">
        <f>KcSPLINE!F$18</f>
        <v>1.1536309284926189</v>
      </c>
      <c r="H422" s="5">
        <f>KcSPLINE!K$17</f>
        <v>2.825575625041572E-4</v>
      </c>
      <c r="I422" s="5">
        <f>KcSPLINE!K$18</f>
        <v>-1.0642277897668626E-3</v>
      </c>
      <c r="J422">
        <f t="shared" si="80"/>
        <v>0.2413793103448276</v>
      </c>
      <c r="K422">
        <f t="shared" si="81"/>
        <v>0.75862068965517238</v>
      </c>
      <c r="M422" s="6">
        <f t="shared" si="83"/>
        <v>1.1648234629944005</v>
      </c>
      <c r="N422" s="6">
        <f t="shared" si="88"/>
        <v>1.2038576350306414</v>
      </c>
      <c r="O422" s="6">
        <f t="shared" si="89"/>
        <v>398.2023418207857</v>
      </c>
      <c r="P422" s="6">
        <f t="shared" si="89"/>
        <v>398.71129087622546</v>
      </c>
      <c r="Q422" s="6">
        <f t="shared" si="84"/>
        <v>1.2038576350306414</v>
      </c>
    </row>
    <row r="423" spans="1:17">
      <c r="B423">
        <f t="shared" si="85"/>
        <v>420</v>
      </c>
      <c r="C423">
        <f t="shared" si="79"/>
        <v>29</v>
      </c>
      <c r="D423">
        <v>397</v>
      </c>
      <c r="E423">
        <v>426</v>
      </c>
      <c r="F423">
        <f>KcSPLINE!F$17</f>
        <v>1.2000000000000002</v>
      </c>
      <c r="G423">
        <f>KcSPLINE!F$18</f>
        <v>1.1536309284926189</v>
      </c>
      <c r="H423" s="5">
        <f>KcSPLINE!K$17</f>
        <v>2.825575625041572E-4</v>
      </c>
      <c r="I423" s="5">
        <f>KcSPLINE!K$18</f>
        <v>-1.0642277897668626E-3</v>
      </c>
      <c r="J423">
        <f t="shared" si="80"/>
        <v>0.20689655172413793</v>
      </c>
      <c r="K423">
        <f t="shared" si="81"/>
        <v>0.7931034482758621</v>
      </c>
      <c r="M423" s="6">
        <f t="shared" si="83"/>
        <v>1.1632245294941461</v>
      </c>
      <c r="N423" s="6">
        <f t="shared" si="88"/>
        <v>1.1992713432439848</v>
      </c>
      <c r="O423" s="6">
        <f t="shared" si="89"/>
        <v>399.36556635027983</v>
      </c>
      <c r="P423" s="6">
        <f t="shared" si="89"/>
        <v>399.91056221946945</v>
      </c>
      <c r="Q423" s="6">
        <f t="shared" si="84"/>
        <v>1.1992713432439848</v>
      </c>
    </row>
    <row r="424" spans="1:17">
      <c r="B424">
        <f t="shared" si="85"/>
        <v>421</v>
      </c>
      <c r="C424">
        <f t="shared" si="79"/>
        <v>29</v>
      </c>
      <c r="D424">
        <v>397</v>
      </c>
      <c r="E424">
        <v>426</v>
      </c>
      <c r="F424">
        <f>KcSPLINE!F$17</f>
        <v>1.2000000000000002</v>
      </c>
      <c r="G424">
        <f>KcSPLINE!F$18</f>
        <v>1.1536309284926189</v>
      </c>
      <c r="H424" s="5">
        <f>KcSPLINE!K$17</f>
        <v>2.825575625041572E-4</v>
      </c>
      <c r="I424" s="5">
        <f>KcSPLINE!K$18</f>
        <v>-1.0642277897668626E-3</v>
      </c>
      <c r="J424">
        <f t="shared" si="80"/>
        <v>0.17241379310344829</v>
      </c>
      <c r="K424">
        <f t="shared" si="81"/>
        <v>0.82758620689655171</v>
      </c>
      <c r="M424" s="6">
        <f t="shared" si="83"/>
        <v>1.1616255959938915</v>
      </c>
      <c r="N424" s="6">
        <f t="shared" si="88"/>
        <v>1.1938994689128586</v>
      </c>
      <c r="O424" s="6">
        <f t="shared" si="89"/>
        <v>400.52719194627372</v>
      </c>
      <c r="P424" s="6">
        <f t="shared" si="89"/>
        <v>401.10446168838229</v>
      </c>
      <c r="Q424" s="6">
        <f t="shared" si="84"/>
        <v>1.1938994689128586</v>
      </c>
    </row>
    <row r="425" spans="1:17">
      <c r="B425">
        <f t="shared" si="85"/>
        <v>422</v>
      </c>
      <c r="C425">
        <f t="shared" si="79"/>
        <v>29</v>
      </c>
      <c r="D425">
        <v>397</v>
      </c>
      <c r="E425">
        <v>426</v>
      </c>
      <c r="F425">
        <f>KcSPLINE!F$17</f>
        <v>1.2000000000000002</v>
      </c>
      <c r="G425">
        <f>KcSPLINE!F$18</f>
        <v>1.1536309284926189</v>
      </c>
      <c r="H425" s="5">
        <f>KcSPLINE!K$17</f>
        <v>2.825575625041572E-4</v>
      </c>
      <c r="I425" s="5">
        <f>KcSPLINE!K$18</f>
        <v>-1.0642277897668626E-3</v>
      </c>
      <c r="J425">
        <f t="shared" si="80"/>
        <v>0.13793103448275862</v>
      </c>
      <c r="K425">
        <f t="shared" si="81"/>
        <v>0.86206896551724133</v>
      </c>
      <c r="M425" s="6">
        <f t="shared" si="83"/>
        <v>1.1600266624936371</v>
      </c>
      <c r="N425" s="6">
        <f t="shared" si="88"/>
        <v>1.187695571163047</v>
      </c>
      <c r="O425" s="6">
        <f t="shared" si="89"/>
        <v>401.68721860876735</v>
      </c>
      <c r="P425" s="6">
        <f t="shared" si="89"/>
        <v>402.29215725954532</v>
      </c>
      <c r="Q425" s="6">
        <f t="shared" si="84"/>
        <v>1.187695571163047</v>
      </c>
    </row>
    <row r="426" spans="1:17">
      <c r="B426">
        <f t="shared" si="85"/>
        <v>423</v>
      </c>
      <c r="C426">
        <f t="shared" si="79"/>
        <v>29</v>
      </c>
      <c r="D426">
        <v>397</v>
      </c>
      <c r="E426">
        <v>426</v>
      </c>
      <c r="F426">
        <f>KcSPLINE!F$17</f>
        <v>1.2000000000000002</v>
      </c>
      <c r="G426">
        <f>KcSPLINE!F$18</f>
        <v>1.1536309284926189</v>
      </c>
      <c r="H426" s="5">
        <f>KcSPLINE!K$17</f>
        <v>2.825575625041572E-4</v>
      </c>
      <c r="I426" s="5">
        <f>KcSPLINE!K$18</f>
        <v>-1.0642277897668626E-3</v>
      </c>
      <c r="J426">
        <f t="shared" si="80"/>
        <v>0.10344827586206896</v>
      </c>
      <c r="K426">
        <f t="shared" si="81"/>
        <v>0.89655172413793105</v>
      </c>
      <c r="M426" s="6">
        <f t="shared" si="83"/>
        <v>1.1584277289933826</v>
      </c>
      <c r="N426" s="6">
        <f t="shared" si="88"/>
        <v>1.1806132091203336</v>
      </c>
      <c r="O426" s="6">
        <f t="shared" si="89"/>
        <v>402.84564633776074</v>
      </c>
      <c r="P426" s="6">
        <f t="shared" si="89"/>
        <v>403.47277046866566</v>
      </c>
      <c r="Q426" s="6">
        <f t="shared" si="84"/>
        <v>1.1806132091203336</v>
      </c>
    </row>
    <row r="427" spans="1:17">
      <c r="B427">
        <f t="shared" si="85"/>
        <v>424</v>
      </c>
      <c r="C427">
        <f t="shared" si="79"/>
        <v>29</v>
      </c>
      <c r="D427">
        <v>397</v>
      </c>
      <c r="E427">
        <v>426</v>
      </c>
      <c r="F427">
        <f>KcSPLINE!F$17</f>
        <v>1.2000000000000002</v>
      </c>
      <c r="G427">
        <f>KcSPLINE!F$18</f>
        <v>1.1536309284926189</v>
      </c>
      <c r="H427" s="5">
        <f>KcSPLINE!K$17</f>
        <v>2.825575625041572E-4</v>
      </c>
      <c r="I427" s="5">
        <f>KcSPLINE!K$18</f>
        <v>-1.0642277897668626E-3</v>
      </c>
      <c r="J427">
        <f t="shared" si="80"/>
        <v>6.8965517241379309E-2</v>
      </c>
      <c r="K427">
        <f t="shared" si="81"/>
        <v>0.93103448275862066</v>
      </c>
      <c r="M427" s="6">
        <f t="shared" si="83"/>
        <v>1.156828795493128</v>
      </c>
      <c r="N427" s="6">
        <f t="shared" si="88"/>
        <v>1.1726059419105017</v>
      </c>
      <c r="O427" s="6">
        <f t="shared" si="89"/>
        <v>404.00247513325388</v>
      </c>
      <c r="P427" s="6">
        <f t="shared" si="89"/>
        <v>404.64537641057615</v>
      </c>
      <c r="Q427" s="6">
        <f t="shared" si="84"/>
        <v>1.1726059419105017</v>
      </c>
    </row>
    <row r="428" spans="1:17">
      <c r="B428">
        <f t="shared" si="85"/>
        <v>425</v>
      </c>
      <c r="C428">
        <f t="shared" si="79"/>
        <v>29</v>
      </c>
      <c r="D428">
        <v>397</v>
      </c>
      <c r="E428">
        <v>426</v>
      </c>
      <c r="F428">
        <f>KcSPLINE!F$17</f>
        <v>1.2000000000000002</v>
      </c>
      <c r="G428">
        <f>KcSPLINE!F$18</f>
        <v>1.1536309284926189</v>
      </c>
      <c r="H428" s="5">
        <f>KcSPLINE!K$17</f>
        <v>2.825575625041572E-4</v>
      </c>
      <c r="I428" s="5">
        <f>KcSPLINE!K$18</f>
        <v>-1.0642277897668626E-3</v>
      </c>
      <c r="J428">
        <f t="shared" si="80"/>
        <v>3.4482758620689655E-2</v>
      </c>
      <c r="K428">
        <f t="shared" si="81"/>
        <v>0.96551724137931039</v>
      </c>
      <c r="M428" s="6">
        <f t="shared" si="83"/>
        <v>1.1552298619928736</v>
      </c>
      <c r="N428" s="6">
        <f t="shared" si="88"/>
        <v>1.1636273286593357</v>
      </c>
      <c r="O428" s="6">
        <f t="shared" si="89"/>
        <v>405.15770499524677</v>
      </c>
      <c r="P428" s="6">
        <f t="shared" si="89"/>
        <v>405.80900373923549</v>
      </c>
      <c r="Q428" s="6">
        <f t="shared" si="84"/>
        <v>1.1636273286593357</v>
      </c>
    </row>
    <row r="429" spans="1:17">
      <c r="A429">
        <v>426</v>
      </c>
      <c r="B429">
        <f t="shared" si="85"/>
        <v>426</v>
      </c>
      <c r="C429">
        <f t="shared" si="79"/>
        <v>29</v>
      </c>
      <c r="D429">
        <v>397</v>
      </c>
      <c r="E429">
        <v>426</v>
      </c>
      <c r="F429">
        <f>KcSPLINE!F$17</f>
        <v>1.2000000000000002</v>
      </c>
      <c r="G429">
        <f>KcSPLINE!F$18</f>
        <v>1.1536309284926189</v>
      </c>
      <c r="H429" s="5">
        <f>KcSPLINE!K$17</f>
        <v>2.825575625041572E-4</v>
      </c>
      <c r="I429" s="5">
        <f>KcSPLINE!K$18</f>
        <v>-1.0642277897668626E-3</v>
      </c>
      <c r="J429">
        <f t="shared" si="80"/>
        <v>0</v>
      </c>
      <c r="K429">
        <f t="shared" si="81"/>
        <v>1</v>
      </c>
      <c r="M429" s="6">
        <f t="shared" si="83"/>
        <v>1.1536309284926189</v>
      </c>
      <c r="N429" s="6">
        <f t="shared" si="88"/>
        <v>1.1536309284926189</v>
      </c>
      <c r="O429" s="6">
        <f t="shared" si="89"/>
        <v>406.31133592373942</v>
      </c>
      <c r="P429" s="6">
        <f t="shared" si="89"/>
        <v>406.96263466772814</v>
      </c>
      <c r="Q429" s="6">
        <f t="shared" si="84"/>
        <v>1.1536309284926189</v>
      </c>
    </row>
    <row r="430" spans="1:17">
      <c r="B430">
        <f t="shared" si="85"/>
        <v>427</v>
      </c>
      <c r="C430">
        <f t="shared" si="79"/>
        <v>31</v>
      </c>
      <c r="D430">
        <v>426</v>
      </c>
      <c r="E430">
        <v>457</v>
      </c>
      <c r="F430">
        <f>KcSPLINE!F$18</f>
        <v>1.1536309284926189</v>
      </c>
      <c r="G430">
        <f>KcSPLINE!F$19</f>
        <v>0.70892984401608183</v>
      </c>
      <c r="H430" s="5">
        <f>KcSPLINE!K$18</f>
        <v>-1.0642277897668626E-3</v>
      </c>
      <c r="I430" s="5">
        <f>KcSPLINE!K$19</f>
        <v>1.3882448006551627E-3</v>
      </c>
      <c r="J430">
        <f t="shared" si="80"/>
        <v>0.967741935483871</v>
      </c>
      <c r="K430">
        <f t="shared" si="81"/>
        <v>3.2258064516129031E-2</v>
      </c>
      <c r="M430" s="6">
        <f t="shared" si="83"/>
        <v>1.1392857322191823</v>
      </c>
      <c r="N430" s="6">
        <f t="shared" si="88"/>
        <v>1.1425912260183457</v>
      </c>
      <c r="O430" s="6">
        <f t="shared" si="89"/>
        <v>407.45062165595863</v>
      </c>
      <c r="P430" s="6">
        <f t="shared" si="89"/>
        <v>408.10522589374648</v>
      </c>
      <c r="Q430" s="6">
        <f t="shared" si="84"/>
        <v>1.1425912260183457</v>
      </c>
    </row>
    <row r="431" spans="1:17">
      <c r="B431">
        <f t="shared" si="85"/>
        <v>428</v>
      </c>
      <c r="C431">
        <f t="shared" si="79"/>
        <v>31</v>
      </c>
      <c r="D431">
        <v>426</v>
      </c>
      <c r="E431">
        <v>457</v>
      </c>
      <c r="F431">
        <f>KcSPLINE!F$18</f>
        <v>1.1536309284926189</v>
      </c>
      <c r="G431">
        <f>KcSPLINE!F$19</f>
        <v>0.70892984401608183</v>
      </c>
      <c r="H431" s="5">
        <f>KcSPLINE!K$18</f>
        <v>-1.0642277897668626E-3</v>
      </c>
      <c r="I431" s="5">
        <f>KcSPLINE!K$19</f>
        <v>1.3882448006551627E-3</v>
      </c>
      <c r="J431">
        <f t="shared" si="80"/>
        <v>0.93548387096774188</v>
      </c>
      <c r="K431">
        <f t="shared" si="81"/>
        <v>6.4516129032258063E-2</v>
      </c>
      <c r="M431" s="6">
        <f t="shared" si="83"/>
        <v>1.1249405359457454</v>
      </c>
      <c r="N431" s="6">
        <f t="shared" si="88"/>
        <v>1.1305664077733513</v>
      </c>
      <c r="O431" s="6">
        <f t="shared" si="89"/>
        <v>408.5755621919044</v>
      </c>
      <c r="P431" s="6">
        <f t="shared" si="89"/>
        <v>409.23579230151984</v>
      </c>
      <c r="Q431" s="6">
        <f t="shared" si="84"/>
        <v>1.1305664077733513</v>
      </c>
    </row>
    <row r="432" spans="1:17">
      <c r="B432">
        <f t="shared" si="85"/>
        <v>429</v>
      </c>
      <c r="C432">
        <f t="shared" si="79"/>
        <v>31</v>
      </c>
      <c r="D432">
        <v>426</v>
      </c>
      <c r="E432">
        <v>457</v>
      </c>
      <c r="F432">
        <f>KcSPLINE!F$18</f>
        <v>1.1536309284926189</v>
      </c>
      <c r="G432">
        <f>KcSPLINE!F$19</f>
        <v>0.70892984401608183</v>
      </c>
      <c r="H432" s="5">
        <f>KcSPLINE!K$18</f>
        <v>-1.0642277897668626E-3</v>
      </c>
      <c r="I432" s="5">
        <f>KcSPLINE!K$19</f>
        <v>1.3882448006551627E-3</v>
      </c>
      <c r="J432">
        <f t="shared" si="80"/>
        <v>0.90322580645161288</v>
      </c>
      <c r="K432">
        <f t="shared" si="81"/>
        <v>9.6774193548387094E-2</v>
      </c>
      <c r="M432" s="6">
        <f t="shared" si="83"/>
        <v>1.1105953396723089</v>
      </c>
      <c r="N432" s="6">
        <f t="shared" si="88"/>
        <v>1.1176355857766822</v>
      </c>
      <c r="O432" s="6">
        <f t="shared" si="89"/>
        <v>409.68615753157673</v>
      </c>
      <c r="P432" s="6">
        <f t="shared" si="89"/>
        <v>410.3534278872965</v>
      </c>
      <c r="Q432" s="6">
        <f t="shared" si="84"/>
        <v>1.1176355857766822</v>
      </c>
    </row>
    <row r="433" spans="2:17">
      <c r="B433">
        <f t="shared" si="85"/>
        <v>430</v>
      </c>
      <c r="C433">
        <f t="shared" si="79"/>
        <v>31</v>
      </c>
      <c r="D433">
        <v>426</v>
      </c>
      <c r="E433">
        <v>457</v>
      </c>
      <c r="F433">
        <f>KcSPLINE!F$18</f>
        <v>1.1536309284926189</v>
      </c>
      <c r="G433">
        <f>KcSPLINE!F$19</f>
        <v>0.70892984401608183</v>
      </c>
      <c r="H433" s="5">
        <f>KcSPLINE!K$18</f>
        <v>-1.0642277897668626E-3</v>
      </c>
      <c r="I433" s="5">
        <f>KcSPLINE!K$19</f>
        <v>1.3882448006551627E-3</v>
      </c>
      <c r="J433">
        <f t="shared" si="80"/>
        <v>0.87096774193548387</v>
      </c>
      <c r="K433">
        <f t="shared" si="81"/>
        <v>0.12903225806451613</v>
      </c>
      <c r="M433" s="6">
        <f t="shared" si="83"/>
        <v>1.0962501433988723</v>
      </c>
      <c r="N433" s="6">
        <f t="shared" si="88"/>
        <v>1.1038778720473836</v>
      </c>
      <c r="O433" s="6">
        <f t="shared" si="89"/>
        <v>410.78240767497562</v>
      </c>
      <c r="P433" s="6">
        <f t="shared" si="89"/>
        <v>411.45730575934391</v>
      </c>
      <c r="Q433" s="6">
        <f t="shared" si="84"/>
        <v>1.1038778720473836</v>
      </c>
    </row>
    <row r="434" spans="2:17">
      <c r="B434">
        <f t="shared" si="85"/>
        <v>431</v>
      </c>
      <c r="C434">
        <f t="shared" si="79"/>
        <v>31</v>
      </c>
      <c r="D434">
        <v>426</v>
      </c>
      <c r="E434">
        <v>457</v>
      </c>
      <c r="F434">
        <f>KcSPLINE!F$18</f>
        <v>1.1536309284926189</v>
      </c>
      <c r="G434">
        <f>KcSPLINE!F$19</f>
        <v>0.70892984401608183</v>
      </c>
      <c r="H434" s="5">
        <f>KcSPLINE!K$18</f>
        <v>-1.0642277897668626E-3</v>
      </c>
      <c r="I434" s="5">
        <f>KcSPLINE!K$19</f>
        <v>1.3882448006551627E-3</v>
      </c>
      <c r="J434">
        <f t="shared" si="80"/>
        <v>0.83870967741935487</v>
      </c>
      <c r="K434">
        <f t="shared" si="81"/>
        <v>0.16129032258064516</v>
      </c>
      <c r="M434" s="6">
        <f t="shared" si="83"/>
        <v>1.0819049471254356</v>
      </c>
      <c r="N434" s="6">
        <f t="shared" si="88"/>
        <v>1.0893723786045018</v>
      </c>
      <c r="O434" s="6">
        <f t="shared" si="89"/>
        <v>411.86431262210107</v>
      </c>
      <c r="P434" s="6">
        <f t="shared" si="89"/>
        <v>412.54667813794839</v>
      </c>
      <c r="Q434" s="6">
        <f t="shared" si="84"/>
        <v>1.0893723786045018</v>
      </c>
    </row>
    <row r="435" spans="2:17">
      <c r="B435">
        <f t="shared" si="85"/>
        <v>432</v>
      </c>
      <c r="C435">
        <f t="shared" si="79"/>
        <v>31</v>
      </c>
      <c r="D435">
        <v>426</v>
      </c>
      <c r="E435">
        <v>457</v>
      </c>
      <c r="F435">
        <f>KcSPLINE!F$18</f>
        <v>1.1536309284926189</v>
      </c>
      <c r="G435">
        <f>KcSPLINE!F$19</f>
        <v>0.70892984401608183</v>
      </c>
      <c r="H435" s="5">
        <f>KcSPLINE!K$18</f>
        <v>-1.0642277897668626E-3</v>
      </c>
      <c r="I435" s="5">
        <f>KcSPLINE!K$19</f>
        <v>1.3882448006551627E-3</v>
      </c>
      <c r="J435">
        <f t="shared" si="80"/>
        <v>0.80645161290322576</v>
      </c>
      <c r="K435">
        <f t="shared" si="81"/>
        <v>0.19354838709677419</v>
      </c>
      <c r="M435" s="6">
        <f t="shared" si="83"/>
        <v>1.0675597508519987</v>
      </c>
      <c r="N435" s="6">
        <f t="shared" si="88"/>
        <v>1.0741982174670821</v>
      </c>
      <c r="O435" s="6">
        <f t="shared" si="89"/>
        <v>412.93187237295308</v>
      </c>
      <c r="P435" s="6">
        <f t="shared" si="89"/>
        <v>413.62087635541548</v>
      </c>
      <c r="Q435" s="6">
        <f t="shared" si="84"/>
        <v>1.0741982174670821</v>
      </c>
    </row>
    <row r="436" spans="2:17">
      <c r="B436">
        <f t="shared" si="85"/>
        <v>433</v>
      </c>
      <c r="C436">
        <f t="shared" si="79"/>
        <v>31</v>
      </c>
      <c r="D436">
        <v>426</v>
      </c>
      <c r="E436">
        <v>457</v>
      </c>
      <c r="F436">
        <f>KcSPLINE!F$18</f>
        <v>1.1536309284926189</v>
      </c>
      <c r="G436">
        <f>KcSPLINE!F$19</f>
        <v>0.70892984401608183</v>
      </c>
      <c r="H436" s="5">
        <f>KcSPLINE!K$18</f>
        <v>-1.0642277897668626E-3</v>
      </c>
      <c r="I436" s="5">
        <f>KcSPLINE!K$19</f>
        <v>1.3882448006551627E-3</v>
      </c>
      <c r="J436">
        <f t="shared" si="80"/>
        <v>0.77419354838709675</v>
      </c>
      <c r="K436">
        <f t="shared" si="81"/>
        <v>0.22580645161290322</v>
      </c>
      <c r="M436" s="6">
        <f t="shared" si="83"/>
        <v>1.0532145545785623</v>
      </c>
      <c r="N436" s="6">
        <f t="shared" si="88"/>
        <v>1.0584345006541711</v>
      </c>
      <c r="O436" s="6">
        <f t="shared" si="89"/>
        <v>413.98508692753165</v>
      </c>
      <c r="P436" s="6">
        <f t="shared" si="89"/>
        <v>414.67931085606966</v>
      </c>
      <c r="Q436" s="6">
        <f t="shared" si="84"/>
        <v>1.0584345006541711</v>
      </c>
    </row>
    <row r="437" spans="2:17">
      <c r="B437">
        <f t="shared" si="85"/>
        <v>434</v>
      </c>
      <c r="C437">
        <f t="shared" si="79"/>
        <v>31</v>
      </c>
      <c r="D437">
        <v>426</v>
      </c>
      <c r="E437">
        <v>457</v>
      </c>
      <c r="F437">
        <f>KcSPLINE!F$18</f>
        <v>1.1536309284926189</v>
      </c>
      <c r="G437">
        <f>KcSPLINE!F$19</f>
        <v>0.70892984401608183</v>
      </c>
      <c r="H437" s="5">
        <f>KcSPLINE!K$18</f>
        <v>-1.0642277897668626E-3</v>
      </c>
      <c r="I437" s="5">
        <f>KcSPLINE!K$19</f>
        <v>1.3882448006551627E-3</v>
      </c>
      <c r="J437">
        <f t="shared" si="80"/>
        <v>0.74193548387096775</v>
      </c>
      <c r="K437">
        <f t="shared" si="81"/>
        <v>0.25806451612903225</v>
      </c>
      <c r="M437" s="6">
        <f t="shared" si="83"/>
        <v>1.0388693583051256</v>
      </c>
      <c r="N437" s="6">
        <f t="shared" si="88"/>
        <v>1.0421603401848143</v>
      </c>
      <c r="O437" s="6">
        <f t="shared" ref="O437:P452" si="90">O436+M437</f>
        <v>415.02395628583679</v>
      </c>
      <c r="P437" s="6">
        <f t="shared" si="90"/>
        <v>415.72147119625447</v>
      </c>
      <c r="Q437" s="6">
        <f t="shared" si="84"/>
        <v>1.0421603401848143</v>
      </c>
    </row>
    <row r="438" spans="2:17">
      <c r="B438">
        <f t="shared" si="85"/>
        <v>435</v>
      </c>
      <c r="C438">
        <f t="shared" si="79"/>
        <v>31</v>
      </c>
      <c r="D438">
        <v>426</v>
      </c>
      <c r="E438">
        <v>457</v>
      </c>
      <c r="F438">
        <f>KcSPLINE!F$18</f>
        <v>1.1536309284926189</v>
      </c>
      <c r="G438">
        <f>KcSPLINE!F$19</f>
        <v>0.70892984401608183</v>
      </c>
      <c r="H438" s="5">
        <f>KcSPLINE!K$18</f>
        <v>-1.0642277897668626E-3</v>
      </c>
      <c r="I438" s="5">
        <f>KcSPLINE!K$19</f>
        <v>1.3882448006551627E-3</v>
      </c>
      <c r="J438">
        <f t="shared" si="80"/>
        <v>0.70967741935483875</v>
      </c>
      <c r="K438">
        <f t="shared" si="81"/>
        <v>0.29032258064516131</v>
      </c>
      <c r="M438" s="6">
        <f t="shared" si="83"/>
        <v>1.0245241620316889</v>
      </c>
      <c r="N438" s="6">
        <f t="shared" si="88"/>
        <v>1.0254548480780576</v>
      </c>
      <c r="O438" s="6">
        <f t="shared" si="90"/>
        <v>416.04848044786849</v>
      </c>
      <c r="P438" s="6">
        <f t="shared" si="90"/>
        <v>416.74692604433255</v>
      </c>
      <c r="Q438" s="6">
        <f t="shared" si="84"/>
        <v>1.0254548480780576</v>
      </c>
    </row>
    <row r="439" spans="2:17">
      <c r="B439">
        <f t="shared" si="85"/>
        <v>436</v>
      </c>
      <c r="C439">
        <f t="shared" si="79"/>
        <v>31</v>
      </c>
      <c r="D439">
        <v>426</v>
      </c>
      <c r="E439">
        <v>457</v>
      </c>
      <c r="F439">
        <f>KcSPLINE!F$18</f>
        <v>1.1536309284926189</v>
      </c>
      <c r="G439">
        <f>KcSPLINE!F$19</f>
        <v>0.70892984401608183</v>
      </c>
      <c r="H439" s="5">
        <f>KcSPLINE!K$18</f>
        <v>-1.0642277897668626E-3</v>
      </c>
      <c r="I439" s="5">
        <f>KcSPLINE!K$19</f>
        <v>1.3882448006551627E-3</v>
      </c>
      <c r="J439">
        <f t="shared" si="80"/>
        <v>0.67741935483870963</v>
      </c>
      <c r="K439">
        <f t="shared" si="81"/>
        <v>0.32258064516129031</v>
      </c>
      <c r="M439" s="6">
        <f t="shared" si="83"/>
        <v>1.0101789657582521</v>
      </c>
      <c r="N439" s="6">
        <f t="shared" si="88"/>
        <v>1.0083971363529467</v>
      </c>
      <c r="O439" s="6">
        <f t="shared" si="90"/>
        <v>417.05865941362674</v>
      </c>
      <c r="P439" s="6">
        <f t="shared" si="90"/>
        <v>417.75532318068548</v>
      </c>
      <c r="Q439" s="6">
        <f t="shared" si="84"/>
        <v>1.0083971363529467</v>
      </c>
    </row>
    <row r="440" spans="2:17">
      <c r="B440">
        <f t="shared" si="85"/>
        <v>437</v>
      </c>
      <c r="C440">
        <f t="shared" si="79"/>
        <v>31</v>
      </c>
      <c r="D440">
        <v>426</v>
      </c>
      <c r="E440">
        <v>457</v>
      </c>
      <c r="F440">
        <f>KcSPLINE!F$18</f>
        <v>1.1536309284926189</v>
      </c>
      <c r="G440">
        <f>KcSPLINE!F$19</f>
        <v>0.70892984401608183</v>
      </c>
      <c r="H440" s="5">
        <f>KcSPLINE!K$18</f>
        <v>-1.0642277897668626E-3</v>
      </c>
      <c r="I440" s="5">
        <f>KcSPLINE!K$19</f>
        <v>1.3882448006551627E-3</v>
      </c>
      <c r="J440">
        <f t="shared" si="80"/>
        <v>0.64516129032258063</v>
      </c>
      <c r="K440">
        <f t="shared" si="81"/>
        <v>0.35483870967741937</v>
      </c>
      <c r="M440" s="6">
        <f t="shared" si="83"/>
        <v>0.99583376948481539</v>
      </c>
      <c r="N440" s="6">
        <f t="shared" si="88"/>
        <v>0.99106631702852777</v>
      </c>
      <c r="O440" s="6">
        <f t="shared" si="90"/>
        <v>418.05449318311156</v>
      </c>
      <c r="P440" s="6">
        <f t="shared" si="90"/>
        <v>418.74638949771401</v>
      </c>
      <c r="Q440" s="6">
        <f t="shared" si="84"/>
        <v>0.99106631702852777</v>
      </c>
    </row>
    <row r="441" spans="2:17">
      <c r="B441">
        <f t="shared" si="85"/>
        <v>438</v>
      </c>
      <c r="C441">
        <f t="shared" si="79"/>
        <v>31</v>
      </c>
      <c r="D441">
        <v>426</v>
      </c>
      <c r="E441">
        <v>457</v>
      </c>
      <c r="F441">
        <f>KcSPLINE!F$18</f>
        <v>1.1536309284926189</v>
      </c>
      <c r="G441">
        <f>KcSPLINE!F$19</f>
        <v>0.70892984401608183</v>
      </c>
      <c r="H441" s="5">
        <f>KcSPLINE!K$18</f>
        <v>-1.0642277897668626E-3</v>
      </c>
      <c r="I441" s="5">
        <f>KcSPLINE!K$19</f>
        <v>1.3882448006551627E-3</v>
      </c>
      <c r="J441">
        <f t="shared" si="80"/>
        <v>0.61290322580645162</v>
      </c>
      <c r="K441">
        <f t="shared" si="81"/>
        <v>0.38709677419354838</v>
      </c>
      <c r="M441" s="6">
        <f t="shared" si="83"/>
        <v>0.98148857321137872</v>
      </c>
      <c r="N441" s="6">
        <f t="shared" si="88"/>
        <v>0.9735415021238466</v>
      </c>
      <c r="O441" s="6">
        <f t="shared" si="90"/>
        <v>419.03598175632294</v>
      </c>
      <c r="P441" s="6">
        <f t="shared" si="90"/>
        <v>419.71993099983786</v>
      </c>
      <c r="Q441" s="6">
        <f t="shared" si="84"/>
        <v>0.9735415021238466</v>
      </c>
    </row>
    <row r="442" spans="2:17">
      <c r="B442">
        <f t="shared" si="85"/>
        <v>439</v>
      </c>
      <c r="C442">
        <f t="shared" si="79"/>
        <v>31</v>
      </c>
      <c r="D442">
        <v>426</v>
      </c>
      <c r="E442">
        <v>457</v>
      </c>
      <c r="F442">
        <f>KcSPLINE!F$18</f>
        <v>1.1536309284926189</v>
      </c>
      <c r="G442">
        <f>KcSPLINE!F$19</f>
        <v>0.70892984401608183</v>
      </c>
      <c r="H442" s="5">
        <f>KcSPLINE!K$18</f>
        <v>-1.0642277897668626E-3</v>
      </c>
      <c r="I442" s="5">
        <f>KcSPLINE!K$19</f>
        <v>1.3882448006551627E-3</v>
      </c>
      <c r="J442">
        <f t="shared" si="80"/>
        <v>0.58064516129032262</v>
      </c>
      <c r="K442">
        <f t="shared" si="81"/>
        <v>0.41935483870967744</v>
      </c>
      <c r="M442" s="6">
        <f t="shared" si="83"/>
        <v>0.96714337693794217</v>
      </c>
      <c r="N442" s="6">
        <f t="shared" si="88"/>
        <v>0.95590180365794908</v>
      </c>
      <c r="O442" s="6">
        <f t="shared" si="90"/>
        <v>420.00312513326088</v>
      </c>
      <c r="P442" s="6">
        <f t="shared" si="90"/>
        <v>420.67583280349578</v>
      </c>
      <c r="Q442" s="6">
        <f t="shared" si="84"/>
        <v>0.95590180365794908</v>
      </c>
    </row>
    <row r="443" spans="2:17">
      <c r="B443">
        <f t="shared" si="85"/>
        <v>440</v>
      </c>
      <c r="C443">
        <f t="shared" si="79"/>
        <v>31</v>
      </c>
      <c r="D443">
        <v>426</v>
      </c>
      <c r="E443">
        <v>457</v>
      </c>
      <c r="F443">
        <f>KcSPLINE!F$18</f>
        <v>1.1536309284926189</v>
      </c>
      <c r="G443">
        <f>KcSPLINE!F$19</f>
        <v>0.70892984401608183</v>
      </c>
      <c r="H443" s="5">
        <f>KcSPLINE!K$18</f>
        <v>-1.0642277897668626E-3</v>
      </c>
      <c r="I443" s="5">
        <f>KcSPLINE!K$19</f>
        <v>1.3882448006551627E-3</v>
      </c>
      <c r="J443">
        <f t="shared" si="80"/>
        <v>0.54838709677419351</v>
      </c>
      <c r="K443">
        <f t="shared" si="81"/>
        <v>0.45161290322580644</v>
      </c>
      <c r="M443" s="6">
        <f t="shared" si="83"/>
        <v>0.95279818066450539</v>
      </c>
      <c r="N443" s="6">
        <f t="shared" si="88"/>
        <v>0.93822633364988095</v>
      </c>
      <c r="O443" s="6">
        <f t="shared" si="90"/>
        <v>420.95592331392538</v>
      </c>
      <c r="P443" s="6">
        <f t="shared" si="90"/>
        <v>421.61405913714566</v>
      </c>
      <c r="Q443" s="6">
        <f t="shared" si="84"/>
        <v>0.93822633364988095</v>
      </c>
    </row>
    <row r="444" spans="2:17">
      <c r="B444">
        <f t="shared" si="85"/>
        <v>441</v>
      </c>
      <c r="C444">
        <f t="shared" si="79"/>
        <v>31</v>
      </c>
      <c r="D444">
        <v>426</v>
      </c>
      <c r="E444">
        <v>457</v>
      </c>
      <c r="F444">
        <f>KcSPLINE!F$18</f>
        <v>1.1536309284926189</v>
      </c>
      <c r="G444">
        <f>KcSPLINE!F$19</f>
        <v>0.70892984401608183</v>
      </c>
      <c r="H444" s="5">
        <f>KcSPLINE!K$18</f>
        <v>-1.0642277897668626E-3</v>
      </c>
      <c r="I444" s="5">
        <f>KcSPLINE!K$19</f>
        <v>1.3882448006551627E-3</v>
      </c>
      <c r="J444">
        <f t="shared" si="80"/>
        <v>0.5161290322580645</v>
      </c>
      <c r="K444">
        <f t="shared" si="81"/>
        <v>0.4838709677419355</v>
      </c>
      <c r="M444" s="6">
        <f t="shared" si="83"/>
        <v>0.93845298439106872</v>
      </c>
      <c r="N444" s="6">
        <f t="shared" si="88"/>
        <v>0.9205942041186882</v>
      </c>
      <c r="O444" s="6">
        <f t="shared" si="90"/>
        <v>421.89437629831644</v>
      </c>
      <c r="P444" s="6">
        <f t="shared" si="90"/>
        <v>422.53465334126435</v>
      </c>
      <c r="Q444" s="6">
        <f t="shared" si="84"/>
        <v>0.9205942041186882</v>
      </c>
    </row>
    <row r="445" spans="2:17">
      <c r="B445">
        <f t="shared" si="85"/>
        <v>442</v>
      </c>
      <c r="C445">
        <f t="shared" si="79"/>
        <v>31</v>
      </c>
      <c r="D445">
        <v>426</v>
      </c>
      <c r="E445">
        <v>457</v>
      </c>
      <c r="F445">
        <f>KcSPLINE!F$18</f>
        <v>1.1536309284926189</v>
      </c>
      <c r="G445">
        <f>KcSPLINE!F$19</f>
        <v>0.70892984401608183</v>
      </c>
      <c r="H445" s="5">
        <f>KcSPLINE!K$18</f>
        <v>-1.0642277897668626E-3</v>
      </c>
      <c r="I445" s="5">
        <f>KcSPLINE!K$19</f>
        <v>1.3882448006551627E-3</v>
      </c>
      <c r="J445">
        <f t="shared" si="80"/>
        <v>0.4838709677419355</v>
      </c>
      <c r="K445">
        <f t="shared" si="81"/>
        <v>0.5161290322580645</v>
      </c>
      <c r="M445" s="6">
        <f t="shared" si="83"/>
        <v>0.92410778811763206</v>
      </c>
      <c r="N445" s="6">
        <f t="shared" si="88"/>
        <v>0.90308452708341658</v>
      </c>
      <c r="O445" s="6">
        <f t="shared" si="90"/>
        <v>422.81848408643407</v>
      </c>
      <c r="P445" s="6">
        <f t="shared" si="90"/>
        <v>423.43773786834777</v>
      </c>
      <c r="Q445" s="6">
        <f t="shared" si="84"/>
        <v>0.90308452708341658</v>
      </c>
    </row>
    <row r="446" spans="2:17">
      <c r="B446">
        <f t="shared" si="85"/>
        <v>443</v>
      </c>
      <c r="C446">
        <f t="shared" si="79"/>
        <v>31</v>
      </c>
      <c r="D446">
        <v>426</v>
      </c>
      <c r="E446">
        <v>457</v>
      </c>
      <c r="F446">
        <f>KcSPLINE!F$18</f>
        <v>1.1536309284926189</v>
      </c>
      <c r="G446">
        <f>KcSPLINE!F$19</f>
        <v>0.70892984401608183</v>
      </c>
      <c r="H446" s="5">
        <f>KcSPLINE!K$18</f>
        <v>-1.0642277897668626E-3</v>
      </c>
      <c r="I446" s="5">
        <f>KcSPLINE!K$19</f>
        <v>1.3882448006551627E-3</v>
      </c>
      <c r="J446">
        <f t="shared" si="80"/>
        <v>0.45161290322580644</v>
      </c>
      <c r="K446">
        <f t="shared" si="81"/>
        <v>0.54838709677419351</v>
      </c>
      <c r="M446" s="6">
        <f t="shared" si="83"/>
        <v>0.90976259184419539</v>
      </c>
      <c r="N446" s="6">
        <f t="shared" si="88"/>
        <v>0.88577641456311218</v>
      </c>
      <c r="O446" s="6">
        <f t="shared" si="90"/>
        <v>423.72824667827825</v>
      </c>
      <c r="P446" s="6">
        <f t="shared" si="90"/>
        <v>424.32351428291088</v>
      </c>
      <c r="Q446" s="6">
        <f t="shared" si="84"/>
        <v>0.88577641456311218</v>
      </c>
    </row>
    <row r="447" spans="2:17">
      <c r="B447">
        <f t="shared" si="85"/>
        <v>444</v>
      </c>
      <c r="C447">
        <f t="shared" si="79"/>
        <v>31</v>
      </c>
      <c r="D447">
        <v>426</v>
      </c>
      <c r="E447">
        <v>457</v>
      </c>
      <c r="F447">
        <f>KcSPLINE!F$18</f>
        <v>1.1536309284926189</v>
      </c>
      <c r="G447">
        <f>KcSPLINE!F$19</f>
        <v>0.70892984401608183</v>
      </c>
      <c r="H447" s="5">
        <f>KcSPLINE!K$18</f>
        <v>-1.0642277897668626E-3</v>
      </c>
      <c r="I447" s="5">
        <f>KcSPLINE!K$19</f>
        <v>1.3882448006551627E-3</v>
      </c>
      <c r="J447">
        <f t="shared" si="80"/>
        <v>0.41935483870967744</v>
      </c>
      <c r="K447">
        <f t="shared" si="81"/>
        <v>0.58064516129032262</v>
      </c>
      <c r="M447" s="6">
        <f t="shared" si="83"/>
        <v>0.89541739557075872</v>
      </c>
      <c r="N447" s="6">
        <f t="shared" si="88"/>
        <v>0.86874897857682065</v>
      </c>
      <c r="O447" s="6">
        <f t="shared" si="90"/>
        <v>424.623664073849</v>
      </c>
      <c r="P447" s="6">
        <f t="shared" si="90"/>
        <v>425.19226326148771</v>
      </c>
      <c r="Q447" s="6">
        <f t="shared" si="84"/>
        <v>0.86874897857682065</v>
      </c>
    </row>
    <row r="448" spans="2:17">
      <c r="B448">
        <f t="shared" si="85"/>
        <v>445</v>
      </c>
      <c r="C448">
        <f t="shared" si="79"/>
        <v>31</v>
      </c>
      <c r="D448">
        <v>426</v>
      </c>
      <c r="E448">
        <v>457</v>
      </c>
      <c r="F448">
        <f>KcSPLINE!F$18</f>
        <v>1.1536309284926189</v>
      </c>
      <c r="G448">
        <f>KcSPLINE!F$19</f>
        <v>0.70892984401608183</v>
      </c>
      <c r="H448" s="5">
        <f>KcSPLINE!K$18</f>
        <v>-1.0642277897668626E-3</v>
      </c>
      <c r="I448" s="5">
        <f>KcSPLINE!K$19</f>
        <v>1.3882448006551627E-3</v>
      </c>
      <c r="J448">
        <f t="shared" si="80"/>
        <v>0.38709677419354838</v>
      </c>
      <c r="K448">
        <f t="shared" si="81"/>
        <v>0.61290322580645162</v>
      </c>
      <c r="M448" s="6">
        <f t="shared" si="83"/>
        <v>0.88107219929732206</v>
      </c>
      <c r="N448" s="6">
        <f t="shared" si="88"/>
        <v>0.85208133114358797</v>
      </c>
      <c r="O448" s="6">
        <f t="shared" si="90"/>
        <v>425.50473627314631</v>
      </c>
      <c r="P448" s="6">
        <f t="shared" si="90"/>
        <v>426.04434459263132</v>
      </c>
      <c r="Q448" s="6">
        <f t="shared" si="84"/>
        <v>0.85208133114358797</v>
      </c>
    </row>
    <row r="449" spans="1:17">
      <c r="B449">
        <f t="shared" si="85"/>
        <v>446</v>
      </c>
      <c r="C449">
        <f t="shared" si="79"/>
        <v>31</v>
      </c>
      <c r="D449">
        <v>426</v>
      </c>
      <c r="E449">
        <v>457</v>
      </c>
      <c r="F449">
        <f>KcSPLINE!F$18</f>
        <v>1.1536309284926189</v>
      </c>
      <c r="G449">
        <f>KcSPLINE!F$19</f>
        <v>0.70892984401608183</v>
      </c>
      <c r="H449" s="5">
        <f>KcSPLINE!K$18</f>
        <v>-1.0642277897668626E-3</v>
      </c>
      <c r="I449" s="5">
        <f>KcSPLINE!K$19</f>
        <v>1.3882448006551627E-3</v>
      </c>
      <c r="J449">
        <f t="shared" si="80"/>
        <v>0.35483870967741937</v>
      </c>
      <c r="K449">
        <f t="shared" si="81"/>
        <v>0.64516129032258063</v>
      </c>
      <c r="M449" s="6">
        <f t="shared" si="83"/>
        <v>0.86672700302388539</v>
      </c>
      <c r="N449" s="6">
        <f t="shared" si="88"/>
        <v>0.83585258428246001</v>
      </c>
      <c r="O449" s="6">
        <f t="shared" si="90"/>
        <v>426.37146327617018</v>
      </c>
      <c r="P449" s="6">
        <f t="shared" si="90"/>
        <v>426.88019717691378</v>
      </c>
      <c r="Q449" s="6">
        <f t="shared" si="84"/>
        <v>0.83585258428246001</v>
      </c>
    </row>
    <row r="450" spans="1:17">
      <c r="B450">
        <f t="shared" si="85"/>
        <v>447</v>
      </c>
      <c r="C450">
        <f t="shared" si="79"/>
        <v>31</v>
      </c>
      <c r="D450">
        <v>426</v>
      </c>
      <c r="E450">
        <v>457</v>
      </c>
      <c r="F450">
        <f>KcSPLINE!F$18</f>
        <v>1.1536309284926189</v>
      </c>
      <c r="G450">
        <f>KcSPLINE!F$19</f>
        <v>0.70892984401608183</v>
      </c>
      <c r="H450" s="5">
        <f>KcSPLINE!K$18</f>
        <v>-1.0642277897668626E-3</v>
      </c>
      <c r="I450" s="5">
        <f>KcSPLINE!K$19</f>
        <v>1.3882448006551627E-3</v>
      </c>
      <c r="J450">
        <f t="shared" si="80"/>
        <v>0.32258064516129031</v>
      </c>
      <c r="K450">
        <f t="shared" si="81"/>
        <v>0.67741935483870963</v>
      </c>
      <c r="M450" s="6">
        <f t="shared" si="83"/>
        <v>0.85238180675044861</v>
      </c>
      <c r="N450" s="6">
        <f t="shared" si="88"/>
        <v>0.82014185001248252</v>
      </c>
      <c r="O450" s="6">
        <f t="shared" si="90"/>
        <v>427.2238450829206</v>
      </c>
      <c r="P450" s="6">
        <f t="shared" si="90"/>
        <v>427.70033902692626</v>
      </c>
      <c r="Q450" s="6">
        <f t="shared" si="84"/>
        <v>0.82014185001248252</v>
      </c>
    </row>
    <row r="451" spans="1:17">
      <c r="B451">
        <f t="shared" si="85"/>
        <v>448</v>
      </c>
      <c r="C451">
        <f t="shared" si="79"/>
        <v>31</v>
      </c>
      <c r="D451">
        <v>426</v>
      </c>
      <c r="E451">
        <v>457</v>
      </c>
      <c r="F451">
        <f>KcSPLINE!F$18</f>
        <v>1.1536309284926189</v>
      </c>
      <c r="G451">
        <f>KcSPLINE!F$19</f>
        <v>0.70892984401608183</v>
      </c>
      <c r="H451" s="5">
        <f>KcSPLINE!K$18</f>
        <v>-1.0642277897668626E-3</v>
      </c>
      <c r="I451" s="5">
        <f>KcSPLINE!K$19</f>
        <v>1.3882448006551627E-3</v>
      </c>
      <c r="J451">
        <f t="shared" si="80"/>
        <v>0.29032258064516131</v>
      </c>
      <c r="K451">
        <f t="shared" si="81"/>
        <v>0.70967741935483875</v>
      </c>
      <c r="M451" s="6">
        <f t="shared" si="83"/>
        <v>0.83803661047701206</v>
      </c>
      <c r="N451" s="6">
        <f t="shared" si="88"/>
        <v>0.80502824035270171</v>
      </c>
      <c r="O451" s="6">
        <f t="shared" si="90"/>
        <v>428.06188169339759</v>
      </c>
      <c r="P451" s="6">
        <f t="shared" si="90"/>
        <v>428.50536726727898</v>
      </c>
      <c r="Q451" s="6">
        <f t="shared" si="84"/>
        <v>0.80502824035270171</v>
      </c>
    </row>
    <row r="452" spans="1:17">
      <c r="B452">
        <f t="shared" si="85"/>
        <v>449</v>
      </c>
      <c r="C452">
        <f t="shared" ref="C452:C460" si="91">E452-D452</f>
        <v>31</v>
      </c>
      <c r="D452">
        <v>426</v>
      </c>
      <c r="E452">
        <v>457</v>
      </c>
      <c r="F452">
        <f>KcSPLINE!F$18</f>
        <v>1.1536309284926189</v>
      </c>
      <c r="G452">
        <f>KcSPLINE!F$19</f>
        <v>0.70892984401608183</v>
      </c>
      <c r="H452" s="5">
        <f>KcSPLINE!K$18</f>
        <v>-1.0642277897668626E-3</v>
      </c>
      <c r="I452" s="5">
        <f>KcSPLINE!K$19</f>
        <v>1.3882448006551627E-3</v>
      </c>
      <c r="J452">
        <f t="shared" ref="J452:J460" si="92">(E452-B452)/C452</f>
        <v>0.25806451612903225</v>
      </c>
      <c r="K452">
        <f t="shared" ref="K452:K460" si="93">(B452-D452)/C452</f>
        <v>0.74193548387096775</v>
      </c>
      <c r="M452" s="6">
        <f t="shared" ref="M452:M460" si="94">J452*F452+K452*G452</f>
        <v>0.82369141420357539</v>
      </c>
      <c r="N452" s="6">
        <f t="shared" si="88"/>
        <v>0.7905908673221631</v>
      </c>
      <c r="O452" s="6">
        <f t="shared" si="90"/>
        <v>428.88557310760115</v>
      </c>
      <c r="P452" s="6">
        <f t="shared" si="90"/>
        <v>429.29595813460116</v>
      </c>
      <c r="Q452" s="6">
        <f t="shared" ref="Q452:Q460" si="95">M452+(((J452^3-J452)*H452+(K452^3-K452)*I452))*(C452^2)/6</f>
        <v>0.7905908673221631</v>
      </c>
    </row>
    <row r="453" spans="1:17">
      <c r="B453">
        <f t="shared" ref="B453:B460" si="96">B452+1</f>
        <v>450</v>
      </c>
      <c r="C453">
        <f t="shared" si="91"/>
        <v>31</v>
      </c>
      <c r="D453">
        <v>426</v>
      </c>
      <c r="E453">
        <v>457</v>
      </c>
      <c r="F453">
        <f>KcSPLINE!F$18</f>
        <v>1.1536309284926189</v>
      </c>
      <c r="G453">
        <f>KcSPLINE!F$19</f>
        <v>0.70892984401608183</v>
      </c>
      <c r="H453" s="5">
        <f>KcSPLINE!K$18</f>
        <v>-1.0642277897668626E-3</v>
      </c>
      <c r="I453" s="5">
        <f>KcSPLINE!K$19</f>
        <v>1.3882448006551627E-3</v>
      </c>
      <c r="J453">
        <f t="shared" si="92"/>
        <v>0.22580645161290322</v>
      </c>
      <c r="K453">
        <f t="shared" si="93"/>
        <v>0.77419354838709675</v>
      </c>
      <c r="M453" s="6">
        <f t="shared" si="94"/>
        <v>0.80934621793013861</v>
      </c>
      <c r="N453" s="6">
        <f t="shared" si="88"/>
        <v>0.77690884293991247</v>
      </c>
      <c r="O453" s="6">
        <f t="shared" ref="O453:P460" si="97">O452+M453</f>
        <v>429.69491932553126</v>
      </c>
      <c r="P453" s="6">
        <f t="shared" si="97"/>
        <v>430.07286697754108</v>
      </c>
      <c r="Q453" s="6">
        <f t="shared" si="95"/>
        <v>0.77690884293991247</v>
      </c>
    </row>
    <row r="454" spans="1:17">
      <c r="B454">
        <f t="shared" si="96"/>
        <v>451</v>
      </c>
      <c r="C454">
        <f t="shared" si="91"/>
        <v>31</v>
      </c>
      <c r="D454">
        <v>426</v>
      </c>
      <c r="E454">
        <v>457</v>
      </c>
      <c r="F454">
        <f>KcSPLINE!F$18</f>
        <v>1.1536309284926189</v>
      </c>
      <c r="G454">
        <f>KcSPLINE!F$19</f>
        <v>0.70892984401608183</v>
      </c>
      <c r="H454" s="5">
        <f>KcSPLINE!K$18</f>
        <v>-1.0642277897668626E-3</v>
      </c>
      <c r="I454" s="5">
        <f>KcSPLINE!K$19</f>
        <v>1.3882448006551627E-3</v>
      </c>
      <c r="J454">
        <f t="shared" si="92"/>
        <v>0.19354838709677419</v>
      </c>
      <c r="K454">
        <f t="shared" si="93"/>
        <v>0.80645161290322576</v>
      </c>
      <c r="M454" s="6">
        <f t="shared" si="94"/>
        <v>0.79500102165670183</v>
      </c>
      <c r="N454" s="6">
        <f t="shared" si="88"/>
        <v>0.764061279224996</v>
      </c>
      <c r="O454" s="6">
        <f t="shared" si="97"/>
        <v>430.48992034718793</v>
      </c>
      <c r="P454" s="6">
        <f t="shared" si="97"/>
        <v>430.8369282567661</v>
      </c>
      <c r="Q454" s="6">
        <f t="shared" si="95"/>
        <v>0.764061279224996</v>
      </c>
    </row>
    <row r="455" spans="1:17">
      <c r="B455">
        <f t="shared" si="96"/>
        <v>452</v>
      </c>
      <c r="C455">
        <f t="shared" si="91"/>
        <v>31</v>
      </c>
      <c r="D455">
        <v>426</v>
      </c>
      <c r="E455">
        <v>457</v>
      </c>
      <c r="F455">
        <f>KcSPLINE!F$18</f>
        <v>1.1536309284926189</v>
      </c>
      <c r="G455">
        <f>KcSPLINE!F$19</f>
        <v>0.70892984401608183</v>
      </c>
      <c r="H455" s="5">
        <f>KcSPLINE!K$18</f>
        <v>-1.0642277897668626E-3</v>
      </c>
      <c r="I455" s="5">
        <f>KcSPLINE!K$19</f>
        <v>1.3882448006551627E-3</v>
      </c>
      <c r="J455">
        <f t="shared" si="92"/>
        <v>0.16129032258064516</v>
      </c>
      <c r="K455">
        <f t="shared" si="93"/>
        <v>0.83870967741935487</v>
      </c>
      <c r="M455" s="6">
        <f t="shared" si="94"/>
        <v>0.78065582538326528</v>
      </c>
      <c r="N455" s="6">
        <f t="shared" si="88"/>
        <v>0.75212728819645969</v>
      </c>
      <c r="O455" s="6">
        <f t="shared" si="97"/>
        <v>431.27057617257123</v>
      </c>
      <c r="P455" s="6">
        <f t="shared" si="97"/>
        <v>431.58905554496255</v>
      </c>
      <c r="Q455" s="6">
        <f t="shared" si="95"/>
        <v>0.75212728819645969</v>
      </c>
    </row>
    <row r="456" spans="1:17">
      <c r="B456">
        <f t="shared" si="96"/>
        <v>453</v>
      </c>
      <c r="C456">
        <f t="shared" si="91"/>
        <v>31</v>
      </c>
      <c r="D456">
        <v>426</v>
      </c>
      <c r="E456">
        <v>457</v>
      </c>
      <c r="F456">
        <f>KcSPLINE!F$18</f>
        <v>1.1536309284926189</v>
      </c>
      <c r="G456">
        <f>KcSPLINE!F$19</f>
        <v>0.70892984401608183</v>
      </c>
      <c r="H456" s="5">
        <f>KcSPLINE!K$18</f>
        <v>-1.0642277897668626E-3</v>
      </c>
      <c r="I456" s="5">
        <f>KcSPLINE!K$19</f>
        <v>1.3882448006551627E-3</v>
      </c>
      <c r="J456">
        <f t="shared" si="92"/>
        <v>0.12903225806451613</v>
      </c>
      <c r="K456">
        <f t="shared" si="93"/>
        <v>0.87096774193548387</v>
      </c>
      <c r="M456" s="6">
        <f t="shared" si="94"/>
        <v>0.76631062910982861</v>
      </c>
      <c r="N456" s="6">
        <f t="shared" si="88"/>
        <v>0.74118598187334905</v>
      </c>
      <c r="O456" s="6">
        <f t="shared" si="97"/>
        <v>432.03688680168108</v>
      </c>
      <c r="P456" s="6">
        <f t="shared" si="97"/>
        <v>432.33024152683589</v>
      </c>
      <c r="Q456" s="6">
        <f t="shared" si="95"/>
        <v>0.74118598187334905</v>
      </c>
    </row>
    <row r="457" spans="1:17">
      <c r="B457">
        <f t="shared" si="96"/>
        <v>454</v>
      </c>
      <c r="C457">
        <f t="shared" si="91"/>
        <v>31</v>
      </c>
      <c r="D457">
        <v>426</v>
      </c>
      <c r="E457">
        <v>457</v>
      </c>
      <c r="F457">
        <f>KcSPLINE!F$18</f>
        <v>1.1536309284926189</v>
      </c>
      <c r="G457">
        <f>KcSPLINE!F$19</f>
        <v>0.70892984401608183</v>
      </c>
      <c r="H457" s="5">
        <f>KcSPLINE!K$18</f>
        <v>-1.0642277897668626E-3</v>
      </c>
      <c r="I457" s="5">
        <f>KcSPLINE!K$19</f>
        <v>1.3882448006551627E-3</v>
      </c>
      <c r="J457">
        <f t="shared" si="92"/>
        <v>9.6774193548387094E-2</v>
      </c>
      <c r="K457">
        <f t="shared" si="93"/>
        <v>0.90322580645161288</v>
      </c>
      <c r="M457" s="6">
        <f t="shared" si="94"/>
        <v>0.75196543283639183</v>
      </c>
      <c r="N457" s="6">
        <f t="shared" si="88"/>
        <v>0.73131647227470997</v>
      </c>
      <c r="O457" s="6">
        <f t="shared" si="97"/>
        <v>432.78885223451749</v>
      </c>
      <c r="P457" s="6">
        <f t="shared" si="97"/>
        <v>433.06155799911062</v>
      </c>
      <c r="Q457" s="6">
        <f t="shared" si="95"/>
        <v>0.73131647227470997</v>
      </c>
    </row>
    <row r="458" spans="1:17">
      <c r="B458">
        <f t="shared" si="96"/>
        <v>455</v>
      </c>
      <c r="C458">
        <f t="shared" si="91"/>
        <v>31</v>
      </c>
      <c r="D458">
        <v>426</v>
      </c>
      <c r="E458">
        <v>457</v>
      </c>
      <c r="F458">
        <f>KcSPLINE!F$18</f>
        <v>1.1536309284926189</v>
      </c>
      <c r="G458">
        <f>KcSPLINE!F$19</f>
        <v>0.70892984401608183</v>
      </c>
      <c r="H458" s="5">
        <f>KcSPLINE!K$18</f>
        <v>-1.0642277897668626E-3</v>
      </c>
      <c r="I458" s="5">
        <f>KcSPLINE!K$19</f>
        <v>1.3882448006551627E-3</v>
      </c>
      <c r="J458">
        <f t="shared" si="92"/>
        <v>6.4516129032258063E-2</v>
      </c>
      <c r="K458">
        <f t="shared" si="93"/>
        <v>0.93548387096774188</v>
      </c>
      <c r="M458" s="6">
        <f t="shared" si="94"/>
        <v>0.73762023656295517</v>
      </c>
      <c r="N458" s="6">
        <f t="shared" si="88"/>
        <v>0.72259787141958853</v>
      </c>
      <c r="O458" s="6">
        <f t="shared" si="97"/>
        <v>433.52647247108047</v>
      </c>
      <c r="P458" s="6">
        <f t="shared" si="97"/>
        <v>433.78415587053018</v>
      </c>
      <c r="Q458" s="6">
        <f t="shared" si="95"/>
        <v>0.72259787141958853</v>
      </c>
    </row>
    <row r="459" spans="1:17">
      <c r="B459">
        <f t="shared" si="96"/>
        <v>456</v>
      </c>
      <c r="C459">
        <f t="shared" si="91"/>
        <v>31</v>
      </c>
      <c r="D459">
        <v>426</v>
      </c>
      <c r="E459">
        <v>457</v>
      </c>
      <c r="F459">
        <f>KcSPLINE!F$18</f>
        <v>1.1536309284926189</v>
      </c>
      <c r="G459">
        <f>KcSPLINE!F$19</f>
        <v>0.70892984401608183</v>
      </c>
      <c r="H459" s="5">
        <f>KcSPLINE!K$18</f>
        <v>-1.0642277897668626E-3</v>
      </c>
      <c r="I459" s="5">
        <f>KcSPLINE!K$19</f>
        <v>1.3882448006551627E-3</v>
      </c>
      <c r="J459">
        <f t="shared" si="92"/>
        <v>3.2258064516129031E-2</v>
      </c>
      <c r="K459">
        <f t="shared" si="93"/>
        <v>0.967741935483871</v>
      </c>
      <c r="M459" s="6">
        <f t="shared" si="94"/>
        <v>0.7232750402895185</v>
      </c>
      <c r="N459" s="6">
        <f t="shared" si="88"/>
        <v>0.71510929132703061</v>
      </c>
      <c r="O459" s="6">
        <f t="shared" si="97"/>
        <v>434.24974751137</v>
      </c>
      <c r="P459" s="6">
        <f t="shared" si="97"/>
        <v>434.49926516185724</v>
      </c>
      <c r="Q459" s="6">
        <f t="shared" si="95"/>
        <v>0.71510929132703061</v>
      </c>
    </row>
    <row r="460" spans="1:17">
      <c r="A460">
        <v>457</v>
      </c>
      <c r="B460">
        <f t="shared" si="96"/>
        <v>457</v>
      </c>
      <c r="C460">
        <f t="shared" si="91"/>
        <v>31</v>
      </c>
      <c r="D460">
        <v>426</v>
      </c>
      <c r="E460">
        <v>457</v>
      </c>
      <c r="F460">
        <f>KcSPLINE!F$18</f>
        <v>1.1536309284926189</v>
      </c>
      <c r="G460">
        <f>KcSPLINE!F$19</f>
        <v>0.70892984401608183</v>
      </c>
      <c r="H460" s="5">
        <f>KcSPLINE!K$18</f>
        <v>-1.0642277897668626E-3</v>
      </c>
      <c r="I460" s="5">
        <f>KcSPLINE!K$19</f>
        <v>1.3882448006551627E-3</v>
      </c>
      <c r="J460">
        <f t="shared" si="92"/>
        <v>0</v>
      </c>
      <c r="K460">
        <f t="shared" si="93"/>
        <v>1</v>
      </c>
      <c r="M460" s="6">
        <f t="shared" si="94"/>
        <v>0.70892984401608183</v>
      </c>
      <c r="N460" s="6">
        <f t="shared" si="88"/>
        <v>0.70892984401608183</v>
      </c>
      <c r="O460" s="6">
        <f t="shared" si="97"/>
        <v>434.9586773553861</v>
      </c>
      <c r="P460" s="6">
        <f t="shared" si="97"/>
        <v>435.20819500587334</v>
      </c>
      <c r="Q460" s="6">
        <f t="shared" si="95"/>
        <v>0.70892984401608183</v>
      </c>
    </row>
    <row r="461" spans="1:17">
      <c r="H461" s="5"/>
      <c r="I461" s="5"/>
      <c r="M461" s="6"/>
      <c r="N461" s="6"/>
      <c r="O461" s="6"/>
      <c r="P461" s="6"/>
    </row>
  </sheetData>
  <phoneticPr fontId="61"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tabColor theme="1"/>
  </sheetPr>
  <dimension ref="A1:R26"/>
  <sheetViews>
    <sheetView workbookViewId="0">
      <selection activeCell="C35" sqref="C35"/>
    </sheetView>
  </sheetViews>
  <sheetFormatPr defaultRowHeight="12.75"/>
  <sheetData>
    <row r="1" spans="1:18">
      <c r="A1" s="102" t="s">
        <v>355</v>
      </c>
    </row>
    <row r="2" spans="1:18" ht="20.25">
      <c r="A2" s="102" t="s">
        <v>490</v>
      </c>
      <c r="N2" s="133" t="s">
        <v>357</v>
      </c>
    </row>
    <row r="3" spans="1:18" ht="15.75">
      <c r="A3" s="102" t="s">
        <v>358</v>
      </c>
      <c r="R3" s="133"/>
    </row>
    <row r="4" spans="1:18">
      <c r="A4" s="102"/>
    </row>
    <row r="5" spans="1:18">
      <c r="A5" s="102" t="s">
        <v>356</v>
      </c>
    </row>
    <row r="6" spans="1:18" ht="20.25">
      <c r="A6" s="102" t="s">
        <v>359</v>
      </c>
      <c r="M6" s="133" t="s">
        <v>361</v>
      </c>
    </row>
    <row r="7" spans="1:18">
      <c r="A7" s="102" t="s">
        <v>360</v>
      </c>
    </row>
    <row r="8" spans="1:18">
      <c r="A8" s="102"/>
    </row>
    <row r="9" spans="1:18">
      <c r="A9" s="102"/>
    </row>
    <row r="10" spans="1:18">
      <c r="A10" s="102" t="s">
        <v>363</v>
      </c>
    </row>
    <row r="11" spans="1:18">
      <c r="A11" s="102" t="s">
        <v>364</v>
      </c>
    </row>
    <row r="15" spans="1:18" ht="15.75">
      <c r="A15" s="102" t="s">
        <v>366</v>
      </c>
    </row>
    <row r="16" spans="1:18" ht="15.75">
      <c r="A16" s="102" t="s">
        <v>365</v>
      </c>
    </row>
    <row r="17" spans="1:1">
      <c r="A17" s="102" t="s">
        <v>362</v>
      </c>
    </row>
    <row r="18" spans="1:1">
      <c r="A18" s="102" t="s">
        <v>346</v>
      </c>
    </row>
    <row r="19" spans="1:1">
      <c r="A19" s="102" t="s">
        <v>347</v>
      </c>
    </row>
    <row r="20" spans="1:1">
      <c r="A20" s="102" t="s">
        <v>348</v>
      </c>
    </row>
    <row r="21" spans="1:1">
      <c r="A21" s="102" t="s">
        <v>349</v>
      </c>
    </row>
    <row r="22" spans="1:1">
      <c r="A22" s="102" t="s">
        <v>350</v>
      </c>
    </row>
    <row r="23" spans="1:1">
      <c r="A23" s="102" t="s">
        <v>351</v>
      </c>
    </row>
    <row r="24" spans="1:1">
      <c r="A24" s="102" t="s">
        <v>352</v>
      </c>
    </row>
    <row r="25" spans="1:1">
      <c r="A25" s="102" t="s">
        <v>353</v>
      </c>
    </row>
    <row r="26" spans="1:1">
      <c r="A26" s="102" t="s">
        <v>354</v>
      </c>
    </row>
  </sheetData>
  <phoneticPr fontId="0" type="noConversion"/>
  <pageMargins left="0.7" right="0.7" top="0.75" bottom="0.75" header="0.3" footer="0.3"/>
  <legacyDrawing r:id="rId1"/>
  <oleObjects>
    <oleObject progId="Equation.3" shapeId="1025" r:id="rId2"/>
  </oleObjects>
</worksheet>
</file>

<file path=xl/worksheets/sheet12.xml><?xml version="1.0" encoding="utf-8"?>
<worksheet xmlns="http://schemas.openxmlformats.org/spreadsheetml/2006/main" xmlns:r="http://schemas.openxmlformats.org/officeDocument/2006/relationships">
  <sheetPr>
    <tabColor rgb="FF7030A0"/>
  </sheetPr>
  <dimension ref="A1:Z38"/>
  <sheetViews>
    <sheetView tabSelected="1" workbookViewId="0">
      <selection activeCell="Q41" sqref="Q41"/>
    </sheetView>
  </sheetViews>
  <sheetFormatPr defaultRowHeight="12.75"/>
  <cols>
    <col min="1" max="1" width="11.140625" bestFit="1" customWidth="1"/>
  </cols>
  <sheetData>
    <row r="1" spans="1:26" ht="15.75" customHeight="1">
      <c r="A1" s="445" t="s">
        <v>312</v>
      </c>
      <c r="B1" s="446"/>
      <c r="C1" s="447"/>
      <c r="D1" s="447"/>
      <c r="E1" s="447"/>
      <c r="F1" s="447"/>
      <c r="G1" s="447"/>
      <c r="H1" s="447"/>
      <c r="I1" s="448" t="s">
        <v>324</v>
      </c>
      <c r="J1" s="447"/>
      <c r="K1" s="447"/>
      <c r="L1" s="447"/>
      <c r="M1" s="447"/>
      <c r="N1" s="447"/>
      <c r="O1" s="447"/>
      <c r="P1" s="447"/>
      <c r="Q1" s="447"/>
      <c r="R1" s="447"/>
      <c r="S1" s="447"/>
      <c r="T1" s="447"/>
      <c r="U1" s="447"/>
      <c r="V1" s="447"/>
      <c r="W1" s="447"/>
      <c r="X1" s="447"/>
      <c r="Y1" s="447"/>
      <c r="Z1" s="449"/>
    </row>
    <row r="2" spans="1:26">
      <c r="A2" s="450"/>
      <c r="B2" s="451"/>
      <c r="C2" s="452"/>
      <c r="D2" s="452"/>
      <c r="E2" s="452"/>
      <c r="F2" s="452"/>
      <c r="G2" s="452"/>
      <c r="H2" s="452"/>
      <c r="I2" s="452"/>
      <c r="J2" s="452"/>
      <c r="K2" s="452"/>
      <c r="L2" s="452"/>
      <c r="M2" s="452"/>
      <c r="N2" s="452"/>
      <c r="O2" s="452"/>
      <c r="P2" s="452"/>
      <c r="Q2" s="452"/>
      <c r="R2" s="452"/>
      <c r="S2" s="452"/>
      <c r="T2" s="452"/>
      <c r="U2" s="452"/>
      <c r="V2" s="452"/>
      <c r="W2" s="452"/>
      <c r="X2" s="452"/>
      <c r="Y2" s="452"/>
      <c r="Z2" s="453"/>
    </row>
    <row r="3" spans="1:26">
      <c r="A3" s="113" t="s">
        <v>313</v>
      </c>
      <c r="B3" s="441" t="s">
        <v>530</v>
      </c>
      <c r="C3" s="8"/>
      <c r="D3" s="8"/>
      <c r="E3" s="8"/>
      <c r="F3" s="8"/>
      <c r="G3" s="8"/>
      <c r="H3" s="8"/>
      <c r="I3" s="8"/>
      <c r="J3" s="8"/>
      <c r="K3" s="8"/>
      <c r="L3" s="8"/>
      <c r="M3" s="8"/>
      <c r="N3" s="8"/>
      <c r="O3" s="8"/>
      <c r="P3" s="8"/>
    </row>
    <row r="4" spans="1:26">
      <c r="A4" s="115"/>
      <c r="B4" s="441" t="s">
        <v>499</v>
      </c>
      <c r="C4" s="8"/>
      <c r="D4" s="8"/>
      <c r="E4" s="8"/>
      <c r="F4" s="8"/>
      <c r="G4" s="8"/>
      <c r="H4" s="8"/>
      <c r="I4" s="8"/>
      <c r="J4" s="8"/>
      <c r="K4" s="8"/>
      <c r="L4" s="8"/>
      <c r="M4" s="8"/>
      <c r="N4" s="8"/>
      <c r="O4" s="8"/>
      <c r="P4" s="8"/>
    </row>
    <row r="5" spans="1:26">
      <c r="A5" s="115"/>
      <c r="B5" s="441" t="s">
        <v>500</v>
      </c>
      <c r="C5" s="8"/>
      <c r="D5" s="8"/>
      <c r="E5" s="8"/>
      <c r="F5" s="8"/>
      <c r="G5" s="8"/>
      <c r="H5" s="8"/>
      <c r="I5" s="8"/>
      <c r="J5" s="8"/>
      <c r="K5" s="8"/>
      <c r="L5" s="8"/>
      <c r="M5" s="8"/>
      <c r="N5" s="8"/>
      <c r="O5" s="8"/>
      <c r="P5" s="8"/>
    </row>
    <row r="6" spans="1:26">
      <c r="A6" s="115"/>
      <c r="B6" s="441" t="s">
        <v>501</v>
      </c>
      <c r="C6" s="8"/>
      <c r="D6" s="8"/>
      <c r="E6" s="8"/>
      <c r="F6" s="8"/>
      <c r="G6" s="8"/>
      <c r="H6" s="8"/>
      <c r="I6" s="8"/>
      <c r="J6" s="8"/>
      <c r="K6" s="8"/>
      <c r="L6" s="8"/>
      <c r="M6" s="8"/>
      <c r="N6" s="8"/>
      <c r="O6" s="8"/>
      <c r="P6" s="8"/>
    </row>
    <row r="7" spans="1:26">
      <c r="A7" s="115"/>
      <c r="B7" s="114" t="s">
        <v>502</v>
      </c>
      <c r="C7" s="8"/>
      <c r="D7" s="8"/>
      <c r="E7" s="8"/>
      <c r="F7" s="8"/>
      <c r="G7" s="8"/>
      <c r="H7" s="8"/>
      <c r="I7" s="8"/>
      <c r="J7" s="8"/>
      <c r="K7" s="8"/>
      <c r="L7" s="8"/>
      <c r="M7" s="8"/>
      <c r="N7" s="8"/>
      <c r="O7" s="8"/>
      <c r="P7" s="8"/>
    </row>
    <row r="8" spans="1:26">
      <c r="A8" s="115"/>
      <c r="B8" s="114" t="s">
        <v>503</v>
      </c>
      <c r="C8" s="8"/>
      <c r="D8" s="8"/>
      <c r="E8" s="8"/>
      <c r="F8" s="8"/>
      <c r="G8" s="8"/>
      <c r="H8" s="8"/>
      <c r="I8" s="8"/>
      <c r="J8" s="8"/>
      <c r="K8" s="8"/>
      <c r="L8" s="8"/>
      <c r="M8" s="8"/>
      <c r="N8" s="8"/>
      <c r="O8" s="8"/>
      <c r="P8" s="8"/>
    </row>
    <row r="9" spans="1:26">
      <c r="A9" s="115"/>
      <c r="B9" s="114" t="s">
        <v>504</v>
      </c>
      <c r="C9" s="8"/>
      <c r="D9" s="8"/>
      <c r="E9" s="8"/>
      <c r="F9" s="8"/>
      <c r="G9" s="8"/>
      <c r="H9" s="8"/>
      <c r="I9" s="8"/>
      <c r="J9" s="8"/>
      <c r="K9" s="8"/>
      <c r="L9" s="8"/>
      <c r="M9" s="8"/>
      <c r="N9" s="8"/>
      <c r="O9" s="8"/>
      <c r="P9" s="8"/>
    </row>
    <row r="10" spans="1:26">
      <c r="A10" s="115"/>
      <c r="B10" s="114" t="s">
        <v>505</v>
      </c>
      <c r="C10" s="8"/>
      <c r="D10" s="8"/>
      <c r="E10" s="8"/>
      <c r="F10" s="8"/>
      <c r="G10" s="8"/>
      <c r="H10" s="8"/>
      <c r="I10" s="8"/>
      <c r="J10" s="8"/>
      <c r="K10" s="8"/>
      <c r="L10" s="8"/>
      <c r="M10" s="8"/>
      <c r="N10" s="8"/>
      <c r="O10" s="8"/>
      <c r="P10" s="8"/>
    </row>
    <row r="11" spans="1:26">
      <c r="A11" s="115"/>
      <c r="B11" s="114" t="s">
        <v>506</v>
      </c>
      <c r="C11" s="8"/>
      <c r="D11" s="8"/>
      <c r="E11" s="8"/>
      <c r="F11" s="8"/>
      <c r="G11" s="8"/>
      <c r="H11" s="8"/>
      <c r="I11" s="8"/>
      <c r="J11" s="8"/>
      <c r="K11" s="8"/>
      <c r="L11" s="8"/>
      <c r="M11" s="8"/>
      <c r="N11" s="8"/>
      <c r="O11" s="8"/>
      <c r="P11" s="8"/>
    </row>
    <row r="12" spans="1:26">
      <c r="A12" s="115"/>
      <c r="B12" s="114" t="s">
        <v>507</v>
      </c>
      <c r="C12" s="8"/>
      <c r="D12" s="8"/>
      <c r="E12" s="8"/>
      <c r="F12" s="8"/>
      <c r="G12" s="8"/>
      <c r="H12" s="8"/>
      <c r="I12" s="8"/>
      <c r="J12" s="8"/>
      <c r="K12" s="8"/>
      <c r="L12" s="8"/>
      <c r="M12" s="8"/>
      <c r="N12" s="8"/>
      <c r="O12" s="8"/>
      <c r="P12" s="8"/>
    </row>
    <row r="13" spans="1:26">
      <c r="A13" s="115"/>
      <c r="B13" s="114" t="s">
        <v>508</v>
      </c>
      <c r="C13" s="8"/>
      <c r="D13" s="8"/>
      <c r="E13" s="8"/>
      <c r="F13" s="8"/>
      <c r="G13" s="8"/>
      <c r="H13" s="8"/>
      <c r="I13" s="8"/>
      <c r="J13" s="8"/>
      <c r="K13" s="8"/>
      <c r="L13" s="8"/>
      <c r="M13" s="8"/>
      <c r="N13" s="8"/>
      <c r="O13" s="8"/>
      <c r="P13" s="8"/>
    </row>
    <row r="14" spans="1:26">
      <c r="A14" s="115"/>
      <c r="B14" s="114" t="s">
        <v>509</v>
      </c>
      <c r="C14" s="8"/>
      <c r="D14" s="8"/>
      <c r="E14" s="8"/>
      <c r="F14" s="8"/>
      <c r="G14" s="8"/>
      <c r="H14" s="8"/>
      <c r="I14" s="8"/>
      <c r="J14" s="8"/>
      <c r="K14" s="8"/>
      <c r="L14" s="8"/>
      <c r="M14" s="8"/>
      <c r="N14" s="8"/>
      <c r="O14" s="8"/>
      <c r="P14" s="8"/>
    </row>
    <row r="15" spans="1:26">
      <c r="A15" s="115"/>
      <c r="B15" s="114" t="s">
        <v>510</v>
      </c>
      <c r="C15" s="8"/>
      <c r="D15" s="8"/>
      <c r="E15" s="8"/>
      <c r="F15" s="8"/>
      <c r="G15" s="8"/>
      <c r="H15" s="8"/>
      <c r="I15" s="8"/>
      <c r="J15" s="8"/>
      <c r="K15" s="8"/>
      <c r="L15" s="8"/>
      <c r="M15" s="8"/>
      <c r="N15" s="8"/>
      <c r="O15" s="8"/>
      <c r="P15" s="8"/>
    </row>
    <row r="16" spans="1:26">
      <c r="A16" s="115"/>
      <c r="B16" s="114" t="s">
        <v>511</v>
      </c>
      <c r="C16" s="8"/>
      <c r="D16" s="8"/>
      <c r="E16" s="8"/>
      <c r="F16" s="8"/>
      <c r="G16" s="8"/>
      <c r="H16" s="8"/>
      <c r="I16" s="8"/>
      <c r="J16" s="8"/>
      <c r="K16" s="8"/>
      <c r="L16" s="8"/>
      <c r="M16" s="8"/>
      <c r="N16" s="8"/>
      <c r="O16" s="8"/>
      <c r="P16" s="8"/>
      <c r="Q16" s="8"/>
      <c r="R16" s="8"/>
      <c r="S16" s="8"/>
      <c r="T16" s="8"/>
      <c r="U16" s="8"/>
    </row>
    <row r="17" spans="1:21" ht="15.75">
      <c r="A17" s="103" t="s">
        <v>314</v>
      </c>
      <c r="B17" s="114" t="s">
        <v>544</v>
      </c>
      <c r="C17" s="8"/>
      <c r="D17" s="8"/>
      <c r="E17" s="8"/>
      <c r="F17" s="8"/>
      <c r="G17" s="8"/>
      <c r="H17" s="8"/>
      <c r="I17" s="8"/>
      <c r="J17" s="8"/>
      <c r="K17" s="8"/>
      <c r="L17" s="8"/>
      <c r="M17" s="8"/>
      <c r="N17" s="8"/>
      <c r="O17" s="8"/>
      <c r="P17" s="8"/>
      <c r="Q17" s="8"/>
      <c r="R17" s="8"/>
      <c r="S17" s="8"/>
      <c r="T17" s="8"/>
      <c r="U17" s="8"/>
    </row>
    <row r="18" spans="1:21">
      <c r="A18" s="104" t="s">
        <v>315</v>
      </c>
      <c r="B18" s="114" t="s">
        <v>512</v>
      </c>
      <c r="C18" s="8"/>
      <c r="D18" s="8"/>
      <c r="E18" s="8"/>
      <c r="F18" s="8"/>
      <c r="G18" s="8"/>
      <c r="H18" s="8"/>
      <c r="I18" s="8"/>
      <c r="J18" s="8"/>
      <c r="K18" s="8"/>
      <c r="L18" s="8"/>
      <c r="M18" s="8"/>
      <c r="N18" s="8"/>
      <c r="O18" s="8"/>
      <c r="P18" s="8"/>
      <c r="Q18" s="8"/>
      <c r="R18" s="8"/>
      <c r="S18" s="8"/>
      <c r="T18" s="8"/>
      <c r="U18" s="8"/>
    </row>
    <row r="19" spans="1:21">
      <c r="A19" s="104" t="s">
        <v>316</v>
      </c>
      <c r="B19" s="114" t="s">
        <v>514</v>
      </c>
      <c r="C19" s="8"/>
      <c r="D19" s="8"/>
      <c r="E19" s="8"/>
      <c r="F19" s="8"/>
      <c r="G19" s="8"/>
      <c r="H19" s="8"/>
      <c r="I19" s="8"/>
      <c r="J19" s="8"/>
      <c r="K19" s="8"/>
      <c r="L19" s="8"/>
      <c r="M19" s="8"/>
      <c r="N19" s="8"/>
      <c r="O19" s="8"/>
      <c r="P19" s="8"/>
      <c r="Q19" s="8"/>
      <c r="R19" s="8"/>
      <c r="S19" s="8"/>
      <c r="T19" s="8"/>
      <c r="U19" s="8"/>
    </row>
    <row r="20" spans="1:21">
      <c r="A20" s="104" t="s">
        <v>317</v>
      </c>
      <c r="B20" s="441" t="s">
        <v>515</v>
      </c>
      <c r="C20" s="8"/>
      <c r="D20" s="8"/>
      <c r="E20" s="8"/>
      <c r="F20" s="8"/>
      <c r="G20" s="8"/>
      <c r="H20" s="8"/>
      <c r="I20" s="8"/>
      <c r="J20" s="8"/>
      <c r="K20" s="8"/>
      <c r="L20" s="8"/>
      <c r="M20" s="8"/>
      <c r="N20" s="8"/>
      <c r="O20" s="8"/>
      <c r="P20" s="8"/>
      <c r="Q20" s="8"/>
      <c r="R20" s="8"/>
      <c r="S20" s="8"/>
      <c r="T20" s="8"/>
      <c r="U20" s="8"/>
    </row>
    <row r="21" spans="1:21">
      <c r="A21" s="104"/>
      <c r="B21" s="441" t="s">
        <v>516</v>
      </c>
      <c r="C21" s="8"/>
      <c r="D21" s="8"/>
      <c r="E21" s="8"/>
      <c r="F21" s="8"/>
      <c r="G21" s="8"/>
      <c r="H21" s="8"/>
      <c r="I21" s="8"/>
      <c r="J21" s="8"/>
      <c r="K21" s="8"/>
      <c r="L21" s="8"/>
      <c r="M21" s="8"/>
      <c r="N21" s="8"/>
      <c r="O21" s="8"/>
      <c r="P21" s="8"/>
    </row>
    <row r="22" spans="1:21">
      <c r="A22" s="105" t="s">
        <v>292</v>
      </c>
      <c r="B22" s="441" t="s">
        <v>517</v>
      </c>
      <c r="C22" s="8"/>
      <c r="D22" s="8"/>
      <c r="E22" s="8"/>
      <c r="F22" s="8"/>
      <c r="G22" s="8"/>
      <c r="H22" s="8"/>
      <c r="I22" s="8"/>
      <c r="J22" s="8"/>
      <c r="K22" s="8"/>
      <c r="L22" s="8"/>
      <c r="M22" s="8"/>
      <c r="N22" s="8"/>
      <c r="O22" s="8"/>
      <c r="P22" s="8"/>
    </row>
    <row r="23" spans="1:21">
      <c r="A23" s="106"/>
      <c r="B23" s="441" t="s">
        <v>518</v>
      </c>
      <c r="C23" s="8"/>
      <c r="D23" s="8"/>
      <c r="E23" s="8"/>
      <c r="F23" s="8"/>
      <c r="G23" s="8"/>
      <c r="H23" s="8"/>
      <c r="I23" s="8"/>
      <c r="J23" s="8"/>
      <c r="K23" s="8"/>
      <c r="L23" s="8"/>
      <c r="M23" s="8"/>
      <c r="N23" s="8"/>
      <c r="O23" s="8"/>
      <c r="P23" s="8"/>
    </row>
    <row r="24" spans="1:21">
      <c r="A24" s="116" t="s">
        <v>318</v>
      </c>
      <c r="B24" s="102" t="s">
        <v>519</v>
      </c>
    </row>
    <row r="25" spans="1:21">
      <c r="A25" s="116"/>
      <c r="B25" s="102" t="s">
        <v>520</v>
      </c>
    </row>
    <row r="26" spans="1:21">
      <c r="A26" s="116"/>
      <c r="B26" s="102" t="s">
        <v>521</v>
      </c>
    </row>
    <row r="27" spans="1:21">
      <c r="A27" s="106"/>
      <c r="B27" s="102" t="s">
        <v>328</v>
      </c>
    </row>
    <row r="28" spans="1:21">
      <c r="A28" s="442" t="s">
        <v>65</v>
      </c>
      <c r="B28" s="102" t="s">
        <v>494</v>
      </c>
    </row>
    <row r="29" spans="1:21">
      <c r="A29" s="442" t="s">
        <v>285</v>
      </c>
      <c r="B29" s="102" t="s">
        <v>495</v>
      </c>
    </row>
    <row r="30" spans="1:21">
      <c r="A30" s="442" t="s">
        <v>201</v>
      </c>
      <c r="B30" s="102" t="s">
        <v>523</v>
      </c>
    </row>
    <row r="31" spans="1:21">
      <c r="A31" s="443" t="s">
        <v>202</v>
      </c>
      <c r="B31" s="102" t="s">
        <v>522</v>
      </c>
    </row>
    <row r="32" spans="1:21">
      <c r="A32" s="107" t="s">
        <v>496</v>
      </c>
      <c r="B32" s="102" t="s">
        <v>524</v>
      </c>
    </row>
    <row r="33" spans="1:2">
      <c r="A33" s="108" t="s">
        <v>497</v>
      </c>
      <c r="B33" s="102" t="s">
        <v>525</v>
      </c>
    </row>
    <row r="34" spans="1:2">
      <c r="A34" s="109" t="s">
        <v>319</v>
      </c>
      <c r="B34" s="102" t="s">
        <v>526</v>
      </c>
    </row>
    <row r="35" spans="1:2">
      <c r="A35" s="110" t="s">
        <v>320</v>
      </c>
      <c r="B35" s="102" t="s">
        <v>527</v>
      </c>
    </row>
    <row r="36" spans="1:2">
      <c r="A36" s="111" t="s">
        <v>321</v>
      </c>
      <c r="B36" s="102" t="s">
        <v>528</v>
      </c>
    </row>
    <row r="37" spans="1:2">
      <c r="A37" s="111" t="s">
        <v>322</v>
      </c>
      <c r="B37" s="102" t="s">
        <v>529</v>
      </c>
    </row>
    <row r="38" spans="1:2">
      <c r="A38" s="112" t="s">
        <v>323</v>
      </c>
      <c r="B38" s="102" t="s">
        <v>498</v>
      </c>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7030A0"/>
  </sheetPr>
  <dimension ref="A1:AL78"/>
  <sheetViews>
    <sheetView topLeftCell="A4" zoomScale="75" zoomScaleNormal="75" workbookViewId="0">
      <pane xSplit="23" ySplit="63" topLeftCell="X67" activePane="bottomRight" state="frozen"/>
      <selection activeCell="A4" sqref="A4"/>
      <selection pane="topRight" activeCell="X4" sqref="X4"/>
      <selection pane="bottomLeft" activeCell="A59" sqref="A59"/>
      <selection pane="bottomRight" activeCell="F36" sqref="F36"/>
    </sheetView>
  </sheetViews>
  <sheetFormatPr defaultRowHeight="12.75"/>
  <sheetData>
    <row r="1" spans="1:38">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ht="33">
      <c r="A3" s="17"/>
      <c r="B3" s="17"/>
      <c r="C3" s="17"/>
      <c r="D3" s="17"/>
      <c r="E3" s="64"/>
      <c r="F3" s="64"/>
      <c r="G3" s="64"/>
      <c r="H3" s="65" t="s">
        <v>224</v>
      </c>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row>
    <row r="4" spans="1:38" ht="20.25">
      <c r="A4" s="17"/>
      <c r="B4" s="17"/>
      <c r="C4" s="17"/>
      <c r="D4" s="17"/>
      <c r="E4" s="66"/>
      <c r="F4" s="66"/>
      <c r="G4" s="66"/>
      <c r="H4" s="66"/>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row>
    <row r="5" spans="1:38" ht="20.25">
      <c r="A5" s="17"/>
      <c r="B5" s="17"/>
      <c r="C5" s="17"/>
      <c r="D5" s="17"/>
      <c r="E5" s="66"/>
      <c r="F5" s="66"/>
      <c r="G5" s="66"/>
      <c r="H5" s="66" t="s">
        <v>229</v>
      </c>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row>
    <row r="6" spans="1:38" ht="20.25">
      <c r="A6" s="17"/>
      <c r="B6" s="17"/>
      <c r="C6" s="17"/>
      <c r="D6" s="17"/>
      <c r="E6" s="67"/>
      <c r="F6" s="67"/>
      <c r="G6" s="67"/>
      <c r="H6" s="435" t="s">
        <v>230</v>
      </c>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row>
    <row r="7" spans="1:38" ht="20.25">
      <c r="A7" s="17"/>
      <c r="B7" s="17"/>
      <c r="C7" s="17"/>
      <c r="D7" s="17"/>
      <c r="E7" s="67"/>
      <c r="F7" s="67"/>
      <c r="G7" s="67"/>
      <c r="H7" s="73"/>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row>
    <row r="8" spans="1:38" ht="20.25">
      <c r="A8" s="17"/>
      <c r="B8" s="17"/>
      <c r="C8" s="17"/>
      <c r="D8" s="17"/>
      <c r="E8" s="68"/>
      <c r="F8" s="68"/>
      <c r="G8" s="68"/>
      <c r="H8" s="68" t="s">
        <v>491</v>
      </c>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row>
    <row r="9" spans="1:38" ht="23.25">
      <c r="A9" s="17"/>
      <c r="B9" s="17"/>
      <c r="C9" s="17"/>
      <c r="D9" s="17"/>
      <c r="E9" s="69"/>
      <c r="F9" s="69"/>
      <c r="G9" s="69"/>
      <c r="H9" s="69" t="s">
        <v>492</v>
      </c>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row>
    <row r="10" spans="1:38" ht="23.25">
      <c r="A10" s="17"/>
      <c r="B10" s="17"/>
      <c r="C10" s="17"/>
      <c r="D10" s="17"/>
      <c r="E10" s="69"/>
      <c r="F10" s="69"/>
      <c r="G10" s="69"/>
      <c r="H10" s="69" t="s">
        <v>493</v>
      </c>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row>
    <row r="11" spans="1:38" ht="20.25">
      <c r="A11" s="17"/>
      <c r="B11" s="17"/>
      <c r="C11" s="17"/>
      <c r="D11" s="17"/>
      <c r="E11" s="67"/>
      <c r="F11" s="67"/>
      <c r="G11" s="67"/>
      <c r="H11" s="6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row>
    <row r="12" spans="1:38" ht="23.25">
      <c r="A12" s="17"/>
      <c r="B12" s="17"/>
      <c r="C12" s="17"/>
      <c r="D12" s="17"/>
      <c r="E12" s="66"/>
      <c r="F12" s="66"/>
      <c r="G12" s="66"/>
      <c r="H12" s="66" t="s">
        <v>233</v>
      </c>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row>
    <row r="13" spans="1:38" ht="20.25">
      <c r="A13" s="17"/>
      <c r="B13" s="17"/>
      <c r="C13" s="17"/>
      <c r="D13" s="17"/>
      <c r="E13" s="66"/>
      <c r="F13" s="66"/>
      <c r="G13" s="66"/>
      <c r="H13" s="66"/>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row>
    <row r="14" spans="1:38" ht="20.25">
      <c r="A14" s="17"/>
      <c r="B14" s="17"/>
      <c r="C14" s="17"/>
      <c r="D14" s="17"/>
      <c r="E14" s="66"/>
      <c r="F14" s="66"/>
      <c r="G14" s="66"/>
      <c r="H14" s="66"/>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row>
    <row r="15" spans="1:38" ht="23.25">
      <c r="A15" s="17"/>
      <c r="B15" s="17"/>
      <c r="C15" s="17"/>
      <c r="D15" s="17"/>
      <c r="E15" s="66"/>
      <c r="F15" s="66"/>
      <c r="G15" s="66"/>
      <c r="H15" s="66" t="s">
        <v>234</v>
      </c>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row>
    <row r="16" spans="1:38" ht="23.25">
      <c r="A16" s="17"/>
      <c r="B16" s="17"/>
      <c r="C16" s="17"/>
      <c r="D16" s="17"/>
      <c r="E16" s="66"/>
      <c r="F16" s="66"/>
      <c r="G16" s="66"/>
      <c r="H16" s="66" t="s">
        <v>237</v>
      </c>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row>
    <row r="17" spans="1:38" ht="20.25">
      <c r="A17" s="17"/>
      <c r="B17" s="17"/>
      <c r="C17" s="17"/>
      <c r="D17" s="17"/>
      <c r="E17" s="66"/>
      <c r="F17" s="66"/>
      <c r="G17" s="66"/>
      <c r="H17" s="66" t="s">
        <v>235</v>
      </c>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row>
    <row r="18" spans="1:38" ht="23.25">
      <c r="A18" s="17"/>
      <c r="B18" s="17"/>
      <c r="C18" s="17"/>
      <c r="D18" s="17"/>
      <c r="E18" s="66"/>
      <c r="F18" s="66"/>
      <c r="G18" s="66"/>
      <c r="H18" s="66" t="s">
        <v>236</v>
      </c>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row>
    <row r="19" spans="1:38" ht="20.25">
      <c r="A19" s="17"/>
      <c r="B19" s="17"/>
      <c r="C19" s="17"/>
      <c r="D19" s="17"/>
      <c r="E19" s="66"/>
      <c r="F19" s="66"/>
      <c r="G19" s="66"/>
      <c r="H19" s="66"/>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row>
    <row r="20" spans="1:38" ht="20.25">
      <c r="A20" s="17"/>
      <c r="B20" s="70"/>
      <c r="C20" s="17"/>
      <c r="D20" s="17"/>
      <c r="E20" s="6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row>
    <row r="21" spans="1:38" ht="20.25">
      <c r="A21" s="17"/>
      <c r="B21" s="70"/>
      <c r="C21" s="17"/>
      <c r="D21" s="17"/>
      <c r="E21" s="6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row>
    <row r="22" spans="1:38" ht="20.25">
      <c r="A22" s="17"/>
      <c r="B22" s="70"/>
      <c r="C22" s="17"/>
      <c r="D22" s="17"/>
      <c r="E22" s="6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row>
    <row r="23" spans="1:38" ht="20.25">
      <c r="A23" s="17"/>
      <c r="B23" s="70"/>
      <c r="C23" s="72"/>
      <c r="D23" s="71"/>
      <c r="E23" s="70" t="s">
        <v>326</v>
      </c>
      <c r="F23" s="17"/>
      <c r="G23" s="17"/>
      <c r="H23" s="6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row>
    <row r="24" spans="1:38" ht="20.25">
      <c r="A24" s="17"/>
      <c r="B24" s="70"/>
      <c r="C24" s="72"/>
      <c r="D24" s="71"/>
      <c r="E24" s="71"/>
      <c r="F24" s="70" t="s">
        <v>325</v>
      </c>
      <c r="G24" s="17"/>
      <c r="H24" s="6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row>
    <row r="25" spans="1:38" ht="18">
      <c r="A25" s="17"/>
      <c r="B25" s="70"/>
      <c r="C25" s="72"/>
      <c r="D25" s="71"/>
      <c r="E25" s="70" t="s">
        <v>327</v>
      </c>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row>
    <row r="26" spans="1:38" ht="20.25">
      <c r="A26" s="17"/>
      <c r="B26" s="70"/>
      <c r="C26" s="72"/>
      <c r="D26" s="71"/>
      <c r="E26" s="6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row>
    <row r="27" spans="1:38" ht="20.25">
      <c r="A27" s="17"/>
      <c r="B27" s="70"/>
      <c r="C27" s="72"/>
      <c r="D27" s="71"/>
      <c r="E27" s="6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row>
    <row r="28" spans="1:38" ht="20.25">
      <c r="A28" s="17"/>
      <c r="B28" s="70"/>
      <c r="C28" s="72"/>
      <c r="D28" s="71"/>
      <c r="E28" s="6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row>
    <row r="29" spans="1:38" ht="20.25">
      <c r="A29" s="17"/>
      <c r="B29" s="70"/>
      <c r="C29" s="72"/>
      <c r="D29" s="71"/>
      <c r="E29" s="6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row>
    <row r="30" spans="1:38" ht="20.25">
      <c r="A30" s="17"/>
      <c r="B30" s="71"/>
      <c r="C30" s="72"/>
      <c r="D30" s="71" t="s">
        <v>225</v>
      </c>
      <c r="E30" s="6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row>
    <row r="31" spans="1:38" ht="20.25">
      <c r="A31" s="17"/>
      <c r="B31" s="71"/>
      <c r="C31" s="72"/>
      <c r="D31" s="71"/>
      <c r="E31" s="6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row>
    <row r="32" spans="1:38" ht="15">
      <c r="A32" s="17"/>
      <c r="B32" s="71"/>
      <c r="C32" s="72"/>
      <c r="D32" s="71" t="s">
        <v>226</v>
      </c>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row>
    <row r="33" spans="1:38" ht="15">
      <c r="A33" s="17"/>
      <c r="B33" s="17"/>
      <c r="C33" s="17"/>
      <c r="D33" s="71" t="s">
        <v>227</v>
      </c>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row>
    <row r="34" spans="1:38">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row>
    <row r="35" spans="1:38">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row>
    <row r="36" spans="1:38">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row>
    <row r="37" spans="1:38">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row>
    <row r="38" spans="1:38">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row>
    <row r="39" spans="1:38">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row>
    <row r="40" spans="1:38">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row>
    <row r="41" spans="1:38">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row>
    <row r="42" spans="1:38">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row>
    <row r="43" spans="1:38">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row>
    <row r="44" spans="1:38">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row>
    <row r="45" spans="1:38">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row>
    <row r="46" spans="1:38">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row>
    <row r="47" spans="1:38">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row>
    <row r="48" spans="1:38">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row>
    <row r="49" spans="1:38">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row>
    <row r="50" spans="1:38">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row>
    <row r="51" spans="1:38">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row>
    <row r="52" spans="1:38">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row>
    <row r="53" spans="1:38">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row>
    <row r="54" spans="1:38">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row>
    <row r="55" spans="1:38">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row>
    <row r="56" spans="1:38">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row>
    <row r="57" spans="1:38">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row>
    <row r="58" spans="1:38">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row>
    <row r="59" spans="1:38">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row>
    <row r="60" spans="1:38">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row>
    <row r="61" spans="1:38">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row>
    <row r="62" spans="1:38">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row>
    <row r="63" spans="1:38">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row>
    <row r="64" spans="1:38">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row>
    <row r="65" spans="1:38">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row>
    <row r="66" spans="1:38">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row>
    <row r="67" spans="1:38">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row>
    <row r="68" spans="1:38">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row>
    <row r="69" spans="1:38">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row>
    <row r="70" spans="1:38">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row>
    <row r="71" spans="1:38">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row>
    <row r="72" spans="1:38">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row>
    <row r="73" spans="1:38">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row>
    <row r="74" spans="1:38">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row>
    <row r="75" spans="1:38">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row>
    <row r="76" spans="1:38">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row>
    <row r="77" spans="1:38">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row>
    <row r="78" spans="1:38">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row>
  </sheetData>
  <phoneticPr fontId="0" type="noConversion"/>
  <pageMargins left="0.75" right="0.75" top="1" bottom="1" header="0.5" footer="0.5"/>
  <pageSetup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sheetPr>
    <tabColor rgb="FF7030A0"/>
  </sheetPr>
  <dimension ref="A1:W155"/>
  <sheetViews>
    <sheetView workbookViewId="0">
      <pane xSplit="1" ySplit="3" topLeftCell="B4" activePane="bottomRight" state="frozen"/>
      <selection pane="topRight" activeCell="B1" sqref="B1"/>
      <selection pane="bottomLeft" activeCell="A4" sqref="A4"/>
      <selection pane="bottomRight" activeCell="B59" sqref="B59"/>
    </sheetView>
  </sheetViews>
  <sheetFormatPr defaultColWidth="9.140625" defaultRowHeight="12.75"/>
  <cols>
    <col min="1" max="1" width="9.140625" style="77" customWidth="1"/>
    <col min="2" max="2" width="23.140625" style="77" customWidth="1"/>
    <col min="3" max="3" width="6.28515625" style="77" bestFit="1" customWidth="1"/>
    <col min="4" max="5" width="8.42578125" style="77" customWidth="1"/>
    <col min="6" max="6" width="9.42578125" style="77" customWidth="1"/>
    <col min="7" max="10" width="7.5703125" style="77" customWidth="1"/>
    <col min="11" max="11" width="8.85546875" style="77" customWidth="1"/>
    <col min="12" max="12" width="11.5703125" style="77" customWidth="1"/>
    <col min="13" max="14" width="10.5703125" style="77" customWidth="1"/>
    <col min="15" max="19" width="9.7109375" style="77" bestFit="1" customWidth="1"/>
    <col min="20" max="22" width="8.7109375" style="77" customWidth="1"/>
    <col min="23" max="24" width="12.7109375" style="77" customWidth="1"/>
    <col min="25" max="25" width="19.42578125" style="77" bestFit="1" customWidth="1"/>
    <col min="26" max="75" width="12.7109375" style="77" customWidth="1"/>
    <col min="76" max="16384" width="9.140625" style="77"/>
  </cols>
  <sheetData>
    <row r="1" spans="1:23" ht="12.75" customHeight="1">
      <c r="A1" s="83" t="s">
        <v>215</v>
      </c>
      <c r="B1" s="497" t="s">
        <v>238</v>
      </c>
      <c r="C1" s="497" t="s">
        <v>238</v>
      </c>
      <c r="D1" s="508" t="s">
        <v>208</v>
      </c>
      <c r="E1" s="508"/>
      <c r="F1" s="508"/>
      <c r="G1" s="509" t="s">
        <v>239</v>
      </c>
      <c r="H1" s="509"/>
      <c r="I1" s="509"/>
      <c r="J1" s="510"/>
      <c r="K1" s="511" t="s">
        <v>240</v>
      </c>
      <c r="L1" s="512"/>
      <c r="M1" s="513" t="s">
        <v>241</v>
      </c>
      <c r="N1" s="514"/>
      <c r="O1" s="506" t="s">
        <v>244</v>
      </c>
      <c r="P1" s="507"/>
      <c r="Q1" s="507"/>
      <c r="R1" s="507"/>
      <c r="S1" s="507"/>
      <c r="T1" s="504" t="s">
        <v>209</v>
      </c>
      <c r="U1" s="505"/>
      <c r="V1" s="505"/>
      <c r="W1" s="78"/>
    </row>
    <row r="2" spans="1:23">
      <c r="A2" s="83" t="s">
        <v>242</v>
      </c>
      <c r="B2" s="497" t="s">
        <v>243</v>
      </c>
      <c r="C2" s="497" t="s">
        <v>255</v>
      </c>
      <c r="D2" s="508"/>
      <c r="E2" s="508"/>
      <c r="F2" s="508"/>
      <c r="G2" s="509"/>
      <c r="H2" s="509"/>
      <c r="I2" s="509"/>
      <c r="J2" s="510"/>
      <c r="K2" s="512"/>
      <c r="L2" s="512"/>
      <c r="M2" s="514"/>
      <c r="N2" s="514"/>
      <c r="O2" s="507"/>
      <c r="P2" s="507"/>
      <c r="Q2" s="507"/>
      <c r="R2" s="507"/>
      <c r="S2" s="507"/>
      <c r="T2" s="505"/>
      <c r="U2" s="505"/>
      <c r="V2" s="505"/>
      <c r="W2" s="78"/>
    </row>
    <row r="3" spans="1:23">
      <c r="A3" s="83">
        <f>Input!K2</f>
        <v>2004</v>
      </c>
      <c r="B3" s="498"/>
      <c r="C3" s="498"/>
      <c r="D3" s="84" t="s">
        <v>56</v>
      </c>
      <c r="E3" s="84" t="s">
        <v>57</v>
      </c>
      <c r="F3" s="84" t="s">
        <v>58</v>
      </c>
      <c r="G3" s="85" t="s">
        <v>56</v>
      </c>
      <c r="H3" s="85" t="s">
        <v>57</v>
      </c>
      <c r="I3" s="85" t="s">
        <v>58</v>
      </c>
      <c r="J3" s="85" t="s">
        <v>200</v>
      </c>
      <c r="K3" s="86" t="s">
        <v>59</v>
      </c>
      <c r="L3" s="86" t="s">
        <v>60</v>
      </c>
      <c r="M3" s="87" t="s">
        <v>59</v>
      </c>
      <c r="N3" s="87" t="s">
        <v>60</v>
      </c>
      <c r="O3" s="88" t="s">
        <v>86</v>
      </c>
      <c r="P3" s="88" t="s">
        <v>56</v>
      </c>
      <c r="Q3" s="88" t="s">
        <v>57</v>
      </c>
      <c r="R3" s="88" t="s">
        <v>58</v>
      </c>
      <c r="S3" s="89" t="s">
        <v>200</v>
      </c>
      <c r="T3" s="436" t="s">
        <v>203</v>
      </c>
      <c r="U3" s="437" t="s">
        <v>205</v>
      </c>
      <c r="V3" s="436" t="s">
        <v>204</v>
      </c>
      <c r="W3" s="79"/>
    </row>
    <row r="4" spans="1:23">
      <c r="A4" s="494">
        <v>1</v>
      </c>
      <c r="B4" s="495" t="s">
        <v>46</v>
      </c>
      <c r="C4" s="495">
        <v>3</v>
      </c>
      <c r="D4" s="75">
        <v>0</v>
      </c>
      <c r="E4" s="75">
        <v>50</v>
      </c>
      <c r="F4" s="75">
        <v>90</v>
      </c>
      <c r="G4" s="76">
        <v>0.55000000000000004</v>
      </c>
      <c r="H4" s="76">
        <v>1.1499999999999999</v>
      </c>
      <c r="I4" s="76">
        <v>1.1499999999999999</v>
      </c>
      <c r="J4" s="76">
        <v>0.65</v>
      </c>
      <c r="K4" s="75">
        <v>2</v>
      </c>
      <c r="L4" s="75">
        <v>25</v>
      </c>
      <c r="M4" s="75">
        <v>11</v>
      </c>
      <c r="N4" s="75">
        <v>5</v>
      </c>
      <c r="O4" s="492">
        <f>DATE(A$3,K4,L4)</f>
        <v>38042</v>
      </c>
      <c r="P4" s="492">
        <f t="shared" ref="P4:P36" si="0">INT($O4+D4/100*($S4-$O4))</f>
        <v>38042</v>
      </c>
      <c r="Q4" s="492">
        <f t="shared" ref="Q4:Q36" si="1">INT($O4+E4/100*($S4-$O4))</f>
        <v>38169</v>
      </c>
      <c r="R4" s="492">
        <f t="shared" ref="R4:R36" si="2">INT($O4+F4/100*($S4-$O4))</f>
        <v>38270</v>
      </c>
      <c r="S4" s="492">
        <f>IF(M4&gt;K4,DATE(A$3,M4,N4),DATE(A$3+1,M4,N4))</f>
        <v>38296</v>
      </c>
      <c r="T4" s="493">
        <f t="shared" ref="T4:T36" si="3">(H4-G4)/(Q4-P4)</f>
        <v>4.7244094488188967E-3</v>
      </c>
      <c r="U4" s="493">
        <f t="shared" ref="U4:U36" si="4">(I4-H4)/(R4-Q4)</f>
        <v>0</v>
      </c>
      <c r="V4" s="493">
        <f t="shared" ref="V4:V36" si="5">(J4-I4)/(S4-R4)</f>
        <v>-1.9230769230769225E-2</v>
      </c>
      <c r="W4" s="80"/>
    </row>
    <row r="5" spans="1:23">
      <c r="A5" s="494">
        <f t="shared" ref="A5:A37" si="6">A4+1</f>
        <v>2</v>
      </c>
      <c r="B5" s="496" t="s">
        <v>543</v>
      </c>
      <c r="C5" s="495">
        <v>3</v>
      </c>
      <c r="D5" s="75">
        <v>0</v>
      </c>
      <c r="E5" s="75">
        <v>50</v>
      </c>
      <c r="F5" s="75">
        <v>75</v>
      </c>
      <c r="G5" s="76">
        <v>0.55000000000000004</v>
      </c>
      <c r="H5" s="76">
        <v>1.05</v>
      </c>
      <c r="I5" s="76">
        <v>1.05</v>
      </c>
      <c r="J5" s="76">
        <v>0.8</v>
      </c>
      <c r="K5" s="75">
        <v>4</v>
      </c>
      <c r="L5" s="75">
        <v>1</v>
      </c>
      <c r="M5" s="75">
        <v>11</v>
      </c>
      <c r="N5" s="75">
        <v>15</v>
      </c>
      <c r="O5" s="492">
        <f t="shared" ref="O5:O64" si="7">DATE(A$3,K5,L5)</f>
        <v>38078</v>
      </c>
      <c r="P5" s="492">
        <f t="shared" si="0"/>
        <v>38078</v>
      </c>
      <c r="Q5" s="492">
        <f t="shared" si="1"/>
        <v>38192</v>
      </c>
      <c r="R5" s="492">
        <f t="shared" si="2"/>
        <v>38249</v>
      </c>
      <c r="S5" s="492">
        <f t="shared" ref="S5:S64" si="8">IF(M5&gt;K5,DATE(A$3,M5,N5),DATE(A$3+1,M5,N5))</f>
        <v>38306</v>
      </c>
      <c r="T5" s="493">
        <f t="shared" si="3"/>
        <v>4.3859649122807015E-3</v>
      </c>
      <c r="U5" s="493">
        <f t="shared" si="4"/>
        <v>0</v>
      </c>
      <c r="V5" s="493">
        <f t="shared" si="5"/>
        <v>-4.3859649122807015E-3</v>
      </c>
      <c r="W5" s="80"/>
    </row>
    <row r="6" spans="1:23">
      <c r="A6" s="494">
        <f t="shared" si="6"/>
        <v>3</v>
      </c>
      <c r="B6" s="495" t="s">
        <v>0</v>
      </c>
      <c r="C6" s="495">
        <v>1</v>
      </c>
      <c r="D6" s="75">
        <v>6</v>
      </c>
      <c r="E6" s="75">
        <v>19</v>
      </c>
      <c r="F6" s="75">
        <v>90</v>
      </c>
      <c r="G6" s="76">
        <v>0.65</v>
      </c>
      <c r="H6" s="76">
        <v>0.65</v>
      </c>
      <c r="I6" s="76">
        <v>0.65</v>
      </c>
      <c r="J6" s="76">
        <v>0.65</v>
      </c>
      <c r="K6" s="75">
        <v>7</v>
      </c>
      <c r="L6" s="75">
        <v>1</v>
      </c>
      <c r="M6" s="75">
        <v>5</v>
      </c>
      <c r="N6" s="75">
        <v>1</v>
      </c>
      <c r="O6" s="492">
        <f t="shared" si="7"/>
        <v>38169</v>
      </c>
      <c r="P6" s="492">
        <f t="shared" si="0"/>
        <v>38187</v>
      </c>
      <c r="Q6" s="492">
        <f t="shared" si="1"/>
        <v>38226</v>
      </c>
      <c r="R6" s="492">
        <f t="shared" si="2"/>
        <v>38442</v>
      </c>
      <c r="S6" s="492">
        <f t="shared" si="8"/>
        <v>38473</v>
      </c>
      <c r="T6" s="493">
        <f t="shared" si="3"/>
        <v>0</v>
      </c>
      <c r="U6" s="493">
        <f t="shared" si="4"/>
        <v>0</v>
      </c>
      <c r="V6" s="493">
        <f t="shared" si="5"/>
        <v>0</v>
      </c>
      <c r="W6" s="80"/>
    </row>
    <row r="7" spans="1:23">
      <c r="A7" s="494">
        <f t="shared" si="6"/>
        <v>4</v>
      </c>
      <c r="B7" s="495" t="s">
        <v>1</v>
      </c>
      <c r="C7" s="495">
        <v>1</v>
      </c>
      <c r="D7" s="75">
        <v>12</v>
      </c>
      <c r="E7" s="75">
        <v>25</v>
      </c>
      <c r="F7" s="75">
        <v>95</v>
      </c>
      <c r="G7" s="76">
        <v>0.25</v>
      </c>
      <c r="H7" s="76">
        <v>1</v>
      </c>
      <c r="I7" s="76">
        <v>1</v>
      </c>
      <c r="J7" s="76">
        <v>0.25</v>
      </c>
      <c r="K7" s="75">
        <v>1</v>
      </c>
      <c r="L7" s="75">
        <v>1</v>
      </c>
      <c r="M7" s="75">
        <v>12</v>
      </c>
      <c r="N7" s="75">
        <v>31</v>
      </c>
      <c r="O7" s="492">
        <f t="shared" si="7"/>
        <v>37987</v>
      </c>
      <c r="P7" s="492">
        <f t="shared" si="0"/>
        <v>38030</v>
      </c>
      <c r="Q7" s="492">
        <f t="shared" si="1"/>
        <v>38078</v>
      </c>
      <c r="R7" s="492">
        <f t="shared" si="2"/>
        <v>38333</v>
      </c>
      <c r="S7" s="492">
        <f t="shared" si="8"/>
        <v>38352</v>
      </c>
      <c r="T7" s="493">
        <f t="shared" si="3"/>
        <v>1.5625E-2</v>
      </c>
      <c r="U7" s="493">
        <f t="shared" si="4"/>
        <v>0</v>
      </c>
      <c r="V7" s="493">
        <f t="shared" si="5"/>
        <v>-3.9473684210526314E-2</v>
      </c>
      <c r="W7" s="80"/>
    </row>
    <row r="8" spans="1:23">
      <c r="A8" s="494">
        <f t="shared" si="6"/>
        <v>5</v>
      </c>
      <c r="B8" s="495" t="s">
        <v>50</v>
      </c>
      <c r="C8" s="495">
        <v>3</v>
      </c>
      <c r="D8" s="75">
        <v>0</v>
      </c>
      <c r="E8" s="75">
        <v>33</v>
      </c>
      <c r="F8" s="75">
        <v>67</v>
      </c>
      <c r="G8" s="76">
        <v>0.7</v>
      </c>
      <c r="H8" s="76">
        <v>0.7</v>
      </c>
      <c r="I8" s="76">
        <v>0.7</v>
      </c>
      <c r="J8" s="76">
        <v>0.7</v>
      </c>
      <c r="K8" s="75">
        <v>1</v>
      </c>
      <c r="L8" s="75">
        <v>1</v>
      </c>
      <c r="M8" s="75">
        <v>12</v>
      </c>
      <c r="N8" s="75">
        <v>31</v>
      </c>
      <c r="O8" s="492">
        <f t="shared" si="7"/>
        <v>37987</v>
      </c>
      <c r="P8" s="492">
        <f t="shared" si="0"/>
        <v>37987</v>
      </c>
      <c r="Q8" s="492">
        <f t="shared" si="1"/>
        <v>38107</v>
      </c>
      <c r="R8" s="492">
        <f t="shared" si="2"/>
        <v>38231</v>
      </c>
      <c r="S8" s="492">
        <f t="shared" si="8"/>
        <v>38352</v>
      </c>
      <c r="T8" s="493">
        <f t="shared" si="3"/>
        <v>0</v>
      </c>
      <c r="U8" s="493">
        <f t="shared" si="4"/>
        <v>0</v>
      </c>
      <c r="V8" s="493">
        <f t="shared" si="5"/>
        <v>0</v>
      </c>
      <c r="W8" s="80"/>
    </row>
    <row r="9" spans="1:23">
      <c r="A9" s="494">
        <f t="shared" si="6"/>
        <v>6</v>
      </c>
      <c r="B9" s="495" t="s">
        <v>2</v>
      </c>
      <c r="C9" s="495">
        <v>1</v>
      </c>
      <c r="D9" s="75">
        <v>20</v>
      </c>
      <c r="E9" s="75">
        <v>45</v>
      </c>
      <c r="F9" s="75">
        <v>75</v>
      </c>
      <c r="G9" s="76">
        <v>0.7</v>
      </c>
      <c r="H9" s="76">
        <v>1.1000000000000001</v>
      </c>
      <c r="I9" s="76">
        <v>1.1000000000000001</v>
      </c>
      <c r="J9" s="76">
        <v>0.15</v>
      </c>
      <c r="K9" s="75">
        <v>11</v>
      </c>
      <c r="L9" s="75">
        <v>1</v>
      </c>
      <c r="M9" s="75">
        <v>5</v>
      </c>
      <c r="N9" s="75">
        <v>31</v>
      </c>
      <c r="O9" s="492">
        <f t="shared" si="7"/>
        <v>38292</v>
      </c>
      <c r="P9" s="492">
        <f t="shared" si="0"/>
        <v>38334</v>
      </c>
      <c r="Q9" s="492">
        <f t="shared" si="1"/>
        <v>38386</v>
      </c>
      <c r="R9" s="492">
        <f t="shared" si="2"/>
        <v>38450</v>
      </c>
      <c r="S9" s="492">
        <f t="shared" si="8"/>
        <v>38503</v>
      </c>
      <c r="T9" s="493">
        <f t="shared" si="3"/>
        <v>7.6923076923076945E-3</v>
      </c>
      <c r="U9" s="493">
        <f t="shared" si="4"/>
        <v>0</v>
      </c>
      <c r="V9" s="493">
        <f t="shared" si="5"/>
        <v>-1.7924528301886795E-2</v>
      </c>
      <c r="W9" s="80"/>
    </row>
    <row r="10" spans="1:23">
      <c r="A10" s="494">
        <f t="shared" si="6"/>
        <v>7</v>
      </c>
      <c r="B10" s="495" t="s">
        <v>4</v>
      </c>
      <c r="C10" s="495">
        <v>1</v>
      </c>
      <c r="D10" s="75">
        <v>24</v>
      </c>
      <c r="E10" s="75">
        <v>40</v>
      </c>
      <c r="F10" s="75">
        <v>91</v>
      </c>
      <c r="G10" s="76">
        <v>0.2</v>
      </c>
      <c r="H10" s="76">
        <v>1</v>
      </c>
      <c r="I10" s="76">
        <v>1</v>
      </c>
      <c r="J10" s="76">
        <v>0.1</v>
      </c>
      <c r="K10" s="75">
        <v>6</v>
      </c>
      <c r="L10" s="75">
        <v>15</v>
      </c>
      <c r="M10" s="75">
        <v>9</v>
      </c>
      <c r="N10" s="75">
        <v>30</v>
      </c>
      <c r="O10" s="492">
        <f t="shared" si="7"/>
        <v>38153</v>
      </c>
      <c r="P10" s="492">
        <f t="shared" si="0"/>
        <v>38178</v>
      </c>
      <c r="Q10" s="492">
        <f t="shared" si="1"/>
        <v>38195</v>
      </c>
      <c r="R10" s="492">
        <f t="shared" si="2"/>
        <v>38250</v>
      </c>
      <c r="S10" s="492">
        <f t="shared" si="8"/>
        <v>38260</v>
      </c>
      <c r="T10" s="493">
        <f t="shared" si="3"/>
        <v>4.7058823529411764E-2</v>
      </c>
      <c r="U10" s="493">
        <f t="shared" si="4"/>
        <v>0</v>
      </c>
      <c r="V10" s="493">
        <f t="shared" si="5"/>
        <v>-0.09</v>
      </c>
      <c r="W10" s="80"/>
    </row>
    <row r="11" spans="1:23">
      <c r="A11" s="494">
        <f t="shared" si="6"/>
        <v>8</v>
      </c>
      <c r="B11" s="495" t="s">
        <v>5</v>
      </c>
      <c r="C11" s="495">
        <v>1</v>
      </c>
      <c r="D11" s="75">
        <v>22</v>
      </c>
      <c r="E11" s="75">
        <v>56</v>
      </c>
      <c r="F11" s="75">
        <v>89</v>
      </c>
      <c r="G11" s="76">
        <v>0.8</v>
      </c>
      <c r="H11" s="76">
        <v>1</v>
      </c>
      <c r="I11" s="76">
        <v>1</v>
      </c>
      <c r="J11" s="76">
        <v>0.85</v>
      </c>
      <c r="K11" s="75">
        <v>3</v>
      </c>
      <c r="L11" s="75">
        <v>1</v>
      </c>
      <c r="M11" s="75">
        <v>5</v>
      </c>
      <c r="N11" s="75">
        <v>31</v>
      </c>
      <c r="O11" s="492">
        <f t="shared" si="7"/>
        <v>38047</v>
      </c>
      <c r="P11" s="492">
        <f t="shared" si="0"/>
        <v>38067</v>
      </c>
      <c r="Q11" s="492">
        <f t="shared" si="1"/>
        <v>38097</v>
      </c>
      <c r="R11" s="492">
        <f t="shared" si="2"/>
        <v>38127</v>
      </c>
      <c r="S11" s="492">
        <f t="shared" si="8"/>
        <v>38138</v>
      </c>
      <c r="T11" s="493">
        <f t="shared" si="3"/>
        <v>6.6666666666666654E-3</v>
      </c>
      <c r="U11" s="493">
        <f t="shared" si="4"/>
        <v>0</v>
      </c>
      <c r="V11" s="493">
        <f t="shared" si="5"/>
        <v>-1.3636363636363639E-2</v>
      </c>
      <c r="W11" s="80"/>
    </row>
    <row r="12" spans="1:23">
      <c r="A12" s="494">
        <f t="shared" si="6"/>
        <v>9</v>
      </c>
      <c r="B12" s="495" t="s">
        <v>3</v>
      </c>
      <c r="C12" s="495">
        <v>1</v>
      </c>
      <c r="D12" s="75">
        <v>24</v>
      </c>
      <c r="E12" s="75">
        <v>40</v>
      </c>
      <c r="F12" s="75">
        <v>91</v>
      </c>
      <c r="G12" s="76">
        <v>0.2</v>
      </c>
      <c r="H12" s="76">
        <v>0.9</v>
      </c>
      <c r="I12" s="76">
        <v>0.9</v>
      </c>
      <c r="J12" s="76">
        <v>0.1</v>
      </c>
      <c r="K12" s="75">
        <v>6</v>
      </c>
      <c r="L12" s="75">
        <v>15</v>
      </c>
      <c r="M12" s="75">
        <v>9</v>
      </c>
      <c r="N12" s="75">
        <v>30</v>
      </c>
      <c r="O12" s="492">
        <f t="shared" si="7"/>
        <v>38153</v>
      </c>
      <c r="P12" s="492">
        <f t="shared" si="0"/>
        <v>38178</v>
      </c>
      <c r="Q12" s="492">
        <f t="shared" si="1"/>
        <v>38195</v>
      </c>
      <c r="R12" s="492">
        <f t="shared" si="2"/>
        <v>38250</v>
      </c>
      <c r="S12" s="492">
        <f t="shared" si="8"/>
        <v>38260</v>
      </c>
      <c r="T12" s="493">
        <f t="shared" si="3"/>
        <v>4.1176470588235294E-2</v>
      </c>
      <c r="U12" s="493">
        <f t="shared" si="4"/>
        <v>0</v>
      </c>
      <c r="V12" s="493">
        <f t="shared" si="5"/>
        <v>-0.08</v>
      </c>
      <c r="W12" s="80"/>
    </row>
    <row r="13" spans="1:23">
      <c r="A13" s="494">
        <f t="shared" si="6"/>
        <v>10</v>
      </c>
      <c r="B13" s="495" t="s">
        <v>6</v>
      </c>
      <c r="C13" s="495">
        <v>1</v>
      </c>
      <c r="D13" s="75">
        <v>25</v>
      </c>
      <c r="E13" s="75">
        <v>60</v>
      </c>
      <c r="F13" s="75">
        <v>90</v>
      </c>
      <c r="G13" s="76">
        <v>0.3</v>
      </c>
      <c r="H13" s="76">
        <v>0.9</v>
      </c>
      <c r="I13" s="76">
        <v>0.9</v>
      </c>
      <c r="J13" s="76">
        <v>0.9</v>
      </c>
      <c r="K13" s="75">
        <v>4</v>
      </c>
      <c r="L13" s="75">
        <v>1</v>
      </c>
      <c r="M13" s="75">
        <v>6</v>
      </c>
      <c r="N13" s="75">
        <v>20</v>
      </c>
      <c r="O13" s="492">
        <f t="shared" si="7"/>
        <v>38078</v>
      </c>
      <c r="P13" s="492">
        <f t="shared" si="0"/>
        <v>38098</v>
      </c>
      <c r="Q13" s="492">
        <f t="shared" si="1"/>
        <v>38126</v>
      </c>
      <c r="R13" s="492">
        <f t="shared" si="2"/>
        <v>38150</v>
      </c>
      <c r="S13" s="492">
        <f t="shared" si="8"/>
        <v>38158</v>
      </c>
      <c r="T13" s="493">
        <f t="shared" si="3"/>
        <v>2.1428571428571432E-2</v>
      </c>
      <c r="U13" s="493">
        <f t="shared" si="4"/>
        <v>0</v>
      </c>
      <c r="V13" s="493">
        <f t="shared" si="5"/>
        <v>0</v>
      </c>
      <c r="W13" s="80"/>
    </row>
    <row r="14" spans="1:23">
      <c r="A14" s="494">
        <f t="shared" si="6"/>
        <v>11</v>
      </c>
      <c r="B14" s="495" t="s">
        <v>7</v>
      </c>
      <c r="C14" s="495">
        <v>1</v>
      </c>
      <c r="D14" s="75">
        <v>20</v>
      </c>
      <c r="E14" s="75">
        <v>50</v>
      </c>
      <c r="F14" s="75">
        <v>83</v>
      </c>
      <c r="G14" s="76">
        <v>0.3</v>
      </c>
      <c r="H14" s="76">
        <v>1</v>
      </c>
      <c r="I14" s="76">
        <v>1</v>
      </c>
      <c r="J14" s="76">
        <v>0.8</v>
      </c>
      <c r="K14" s="75">
        <v>3</v>
      </c>
      <c r="L14" s="75">
        <v>15</v>
      </c>
      <c r="M14" s="75">
        <v>7</v>
      </c>
      <c r="N14" s="75">
        <v>1</v>
      </c>
      <c r="O14" s="492">
        <f t="shared" si="7"/>
        <v>38061</v>
      </c>
      <c r="P14" s="492">
        <f t="shared" si="0"/>
        <v>38082</v>
      </c>
      <c r="Q14" s="492">
        <f t="shared" si="1"/>
        <v>38115</v>
      </c>
      <c r="R14" s="492">
        <f t="shared" si="2"/>
        <v>38150</v>
      </c>
      <c r="S14" s="492">
        <f t="shared" si="8"/>
        <v>38169</v>
      </c>
      <c r="T14" s="493">
        <f t="shared" si="3"/>
        <v>2.121212121212121E-2</v>
      </c>
      <c r="U14" s="493">
        <f t="shared" si="4"/>
        <v>0</v>
      </c>
      <c r="V14" s="493">
        <f t="shared" si="5"/>
        <v>-1.0526315789473682E-2</v>
      </c>
      <c r="W14" s="80"/>
    </row>
    <row r="15" spans="1:23">
      <c r="A15" s="494">
        <f t="shared" si="6"/>
        <v>12</v>
      </c>
      <c r="B15" s="495" t="s">
        <v>8</v>
      </c>
      <c r="C15" s="495">
        <v>1</v>
      </c>
      <c r="D15" s="75">
        <v>25</v>
      </c>
      <c r="E15" s="75">
        <v>63</v>
      </c>
      <c r="F15" s="75">
        <v>88</v>
      </c>
      <c r="G15" s="76">
        <v>0.3</v>
      </c>
      <c r="H15" s="76">
        <v>1</v>
      </c>
      <c r="I15" s="76">
        <v>1</v>
      </c>
      <c r="J15" s="76">
        <v>0.85</v>
      </c>
      <c r="K15" s="75">
        <v>8</v>
      </c>
      <c r="L15" s="75">
        <v>1</v>
      </c>
      <c r="M15" s="75">
        <v>11</v>
      </c>
      <c r="N15" s="75">
        <v>15</v>
      </c>
      <c r="O15" s="492">
        <f t="shared" si="7"/>
        <v>38200</v>
      </c>
      <c r="P15" s="492">
        <f t="shared" si="0"/>
        <v>38226</v>
      </c>
      <c r="Q15" s="492">
        <f t="shared" si="1"/>
        <v>38266</v>
      </c>
      <c r="R15" s="492">
        <f t="shared" si="2"/>
        <v>38293</v>
      </c>
      <c r="S15" s="492">
        <f t="shared" si="8"/>
        <v>38306</v>
      </c>
      <c r="T15" s="493">
        <f t="shared" si="3"/>
        <v>1.7499999999999998E-2</v>
      </c>
      <c r="U15" s="493">
        <f t="shared" si="4"/>
        <v>0</v>
      </c>
      <c r="V15" s="493">
        <f t="shared" si="5"/>
        <v>-1.1538461538461541E-2</v>
      </c>
      <c r="W15" s="80"/>
    </row>
    <row r="16" spans="1:23">
      <c r="A16" s="494">
        <f t="shared" si="6"/>
        <v>13</v>
      </c>
      <c r="B16" s="495" t="s">
        <v>9</v>
      </c>
      <c r="C16" s="495">
        <v>1</v>
      </c>
      <c r="D16" s="75">
        <v>20</v>
      </c>
      <c r="E16" s="75">
        <v>50</v>
      </c>
      <c r="F16" s="75">
        <v>83</v>
      </c>
      <c r="G16" s="76">
        <v>0.85</v>
      </c>
      <c r="H16" s="76">
        <v>0.95</v>
      </c>
      <c r="I16" s="76">
        <v>0.95</v>
      </c>
      <c r="J16" s="76">
        <v>0.8</v>
      </c>
      <c r="K16" s="75">
        <v>1</v>
      </c>
      <c r="L16" s="75">
        <v>15</v>
      </c>
      <c r="M16" s="75">
        <v>5</v>
      </c>
      <c r="N16" s="75">
        <v>15</v>
      </c>
      <c r="O16" s="492">
        <f t="shared" si="7"/>
        <v>38001</v>
      </c>
      <c r="P16" s="492">
        <f t="shared" si="0"/>
        <v>38025</v>
      </c>
      <c r="Q16" s="492">
        <f t="shared" si="1"/>
        <v>38061</v>
      </c>
      <c r="R16" s="492">
        <f t="shared" si="2"/>
        <v>38101</v>
      </c>
      <c r="S16" s="492">
        <f t="shared" si="8"/>
        <v>38122</v>
      </c>
      <c r="T16" s="493">
        <f t="shared" si="3"/>
        <v>2.777777777777777E-3</v>
      </c>
      <c r="U16" s="493">
        <f t="shared" si="4"/>
        <v>0</v>
      </c>
      <c r="V16" s="493">
        <f t="shared" si="5"/>
        <v>-7.1428571428571383E-3</v>
      </c>
      <c r="W16" s="80"/>
    </row>
    <row r="17" spans="1:23">
      <c r="A17" s="494">
        <f t="shared" si="6"/>
        <v>14</v>
      </c>
      <c r="B17" s="495" t="s">
        <v>10</v>
      </c>
      <c r="C17" s="495">
        <v>1</v>
      </c>
      <c r="D17" s="75">
        <v>15</v>
      </c>
      <c r="E17" s="75">
        <v>40</v>
      </c>
      <c r="F17" s="75">
        <v>90</v>
      </c>
      <c r="G17" s="76">
        <v>0.8</v>
      </c>
      <c r="H17" s="76">
        <v>0.95</v>
      </c>
      <c r="I17" s="76">
        <v>0.95</v>
      </c>
      <c r="J17" s="76">
        <v>0.95</v>
      </c>
      <c r="K17" s="75">
        <v>9</v>
      </c>
      <c r="L17" s="75">
        <v>15</v>
      </c>
      <c r="M17" s="75">
        <v>1</v>
      </c>
      <c r="N17" s="75">
        <v>15</v>
      </c>
      <c r="O17" s="492">
        <f t="shared" si="7"/>
        <v>38245</v>
      </c>
      <c r="P17" s="492">
        <f t="shared" si="0"/>
        <v>38263</v>
      </c>
      <c r="Q17" s="492">
        <f t="shared" si="1"/>
        <v>38293</v>
      </c>
      <c r="R17" s="492">
        <f t="shared" si="2"/>
        <v>38354</v>
      </c>
      <c r="S17" s="492">
        <f t="shared" si="8"/>
        <v>38367</v>
      </c>
      <c r="T17" s="493">
        <f t="shared" si="3"/>
        <v>4.9999999999999966E-3</v>
      </c>
      <c r="U17" s="493">
        <f t="shared" si="4"/>
        <v>0</v>
      </c>
      <c r="V17" s="493">
        <f t="shared" si="5"/>
        <v>0</v>
      </c>
      <c r="W17" s="80"/>
    </row>
    <row r="18" spans="1:23">
      <c r="A18" s="494">
        <f t="shared" si="6"/>
        <v>15</v>
      </c>
      <c r="B18" s="495" t="s">
        <v>51</v>
      </c>
      <c r="C18" s="495">
        <v>4</v>
      </c>
      <c r="D18" s="75">
        <v>25</v>
      </c>
      <c r="E18" s="75">
        <v>50</v>
      </c>
      <c r="F18" s="75">
        <v>75</v>
      </c>
      <c r="G18" s="76">
        <v>1</v>
      </c>
      <c r="H18" s="76">
        <v>1</v>
      </c>
      <c r="I18" s="76">
        <v>1</v>
      </c>
      <c r="J18" s="76">
        <v>1</v>
      </c>
      <c r="K18" s="75">
        <v>1</v>
      </c>
      <c r="L18" s="75">
        <v>1</v>
      </c>
      <c r="M18" s="75">
        <v>12</v>
      </c>
      <c r="N18" s="75">
        <v>31</v>
      </c>
      <c r="O18" s="492">
        <f t="shared" si="7"/>
        <v>37987</v>
      </c>
      <c r="P18" s="492">
        <f t="shared" si="0"/>
        <v>38078</v>
      </c>
      <c r="Q18" s="492">
        <f t="shared" si="1"/>
        <v>38169</v>
      </c>
      <c r="R18" s="492">
        <f t="shared" si="2"/>
        <v>38260</v>
      </c>
      <c r="S18" s="492">
        <f t="shared" si="8"/>
        <v>38352</v>
      </c>
      <c r="T18" s="493">
        <f t="shared" si="3"/>
        <v>0</v>
      </c>
      <c r="U18" s="493">
        <f t="shared" si="4"/>
        <v>0</v>
      </c>
      <c r="V18" s="493">
        <f t="shared" si="5"/>
        <v>0</v>
      </c>
      <c r="W18" s="80"/>
    </row>
    <row r="19" spans="1:23">
      <c r="A19" s="494">
        <f t="shared" si="6"/>
        <v>16</v>
      </c>
      <c r="B19" s="495" t="s">
        <v>52</v>
      </c>
      <c r="C19" s="495">
        <v>4</v>
      </c>
      <c r="D19" s="75">
        <v>25</v>
      </c>
      <c r="E19" s="75">
        <v>50</v>
      </c>
      <c r="F19" s="75">
        <v>75</v>
      </c>
      <c r="G19" s="76">
        <v>0.9</v>
      </c>
      <c r="H19" s="76">
        <v>0.9</v>
      </c>
      <c r="I19" s="76">
        <v>0.9</v>
      </c>
      <c r="J19" s="76">
        <v>0.9</v>
      </c>
      <c r="K19" s="75">
        <v>1</v>
      </c>
      <c r="L19" s="75">
        <v>1</v>
      </c>
      <c r="M19" s="75">
        <v>12</v>
      </c>
      <c r="N19" s="75">
        <v>31</v>
      </c>
      <c r="O19" s="492">
        <f t="shared" si="7"/>
        <v>37987</v>
      </c>
      <c r="P19" s="492">
        <f t="shared" si="0"/>
        <v>38078</v>
      </c>
      <c r="Q19" s="492">
        <f t="shared" si="1"/>
        <v>38169</v>
      </c>
      <c r="R19" s="492">
        <f t="shared" si="2"/>
        <v>38260</v>
      </c>
      <c r="S19" s="492">
        <f t="shared" si="8"/>
        <v>38352</v>
      </c>
      <c r="T19" s="493">
        <f t="shared" si="3"/>
        <v>0</v>
      </c>
      <c r="U19" s="493">
        <f t="shared" si="4"/>
        <v>0</v>
      </c>
      <c r="V19" s="493">
        <f t="shared" si="5"/>
        <v>0</v>
      </c>
      <c r="W19" s="80"/>
    </row>
    <row r="20" spans="1:23">
      <c r="A20" s="494">
        <f t="shared" si="6"/>
        <v>17</v>
      </c>
      <c r="B20" s="495" t="s">
        <v>11</v>
      </c>
      <c r="C20" s="495">
        <v>1</v>
      </c>
      <c r="D20" s="75">
        <v>20</v>
      </c>
      <c r="E20" s="75">
        <v>45</v>
      </c>
      <c r="F20" s="75">
        <v>75</v>
      </c>
      <c r="G20" s="76">
        <v>0.2</v>
      </c>
      <c r="H20" s="76">
        <v>1.05</v>
      </c>
      <c r="I20" s="76">
        <v>1.05</v>
      </c>
      <c r="J20" s="76">
        <v>0.6</v>
      </c>
      <c r="K20" s="75">
        <v>4</v>
      </c>
      <c r="L20" s="75">
        <v>15</v>
      </c>
      <c r="M20" s="75">
        <v>9</v>
      </c>
      <c r="N20" s="75">
        <v>30</v>
      </c>
      <c r="O20" s="492">
        <f t="shared" si="7"/>
        <v>38092</v>
      </c>
      <c r="P20" s="492">
        <f t="shared" si="0"/>
        <v>38125</v>
      </c>
      <c r="Q20" s="492">
        <f t="shared" si="1"/>
        <v>38167</v>
      </c>
      <c r="R20" s="492">
        <f t="shared" si="2"/>
        <v>38218</v>
      </c>
      <c r="S20" s="492">
        <f t="shared" si="8"/>
        <v>38260</v>
      </c>
      <c r="T20" s="493">
        <f t="shared" si="3"/>
        <v>2.0238095238095239E-2</v>
      </c>
      <c r="U20" s="493">
        <f t="shared" si="4"/>
        <v>0</v>
      </c>
      <c r="V20" s="493">
        <f t="shared" si="5"/>
        <v>-1.0714285714285716E-2</v>
      </c>
      <c r="W20" s="80"/>
    </row>
    <row r="21" spans="1:23">
      <c r="A21" s="494">
        <f t="shared" si="6"/>
        <v>18</v>
      </c>
      <c r="B21" s="495" t="s">
        <v>12</v>
      </c>
      <c r="C21" s="495">
        <v>1</v>
      </c>
      <c r="D21" s="75">
        <v>20</v>
      </c>
      <c r="E21" s="75">
        <v>45</v>
      </c>
      <c r="F21" s="75">
        <v>99</v>
      </c>
      <c r="G21" s="76">
        <v>0.2</v>
      </c>
      <c r="H21" s="76">
        <v>1</v>
      </c>
      <c r="I21" s="76">
        <v>1</v>
      </c>
      <c r="J21" s="76">
        <v>1</v>
      </c>
      <c r="K21" s="75">
        <v>5</v>
      </c>
      <c r="L21" s="75">
        <v>1</v>
      </c>
      <c r="M21" s="75">
        <v>8</v>
      </c>
      <c r="N21" s="75">
        <v>15</v>
      </c>
      <c r="O21" s="492">
        <f t="shared" si="7"/>
        <v>38108</v>
      </c>
      <c r="P21" s="492">
        <f t="shared" si="0"/>
        <v>38129</v>
      </c>
      <c r="Q21" s="492">
        <f t="shared" si="1"/>
        <v>38155</v>
      </c>
      <c r="R21" s="492">
        <f t="shared" si="2"/>
        <v>38212</v>
      </c>
      <c r="S21" s="492">
        <f t="shared" si="8"/>
        <v>38214</v>
      </c>
      <c r="T21" s="493">
        <f t="shared" si="3"/>
        <v>3.0769230769230771E-2</v>
      </c>
      <c r="U21" s="493">
        <f t="shared" si="4"/>
        <v>0</v>
      </c>
      <c r="V21" s="493">
        <f t="shared" si="5"/>
        <v>0</v>
      </c>
      <c r="W21" s="80"/>
    </row>
    <row r="22" spans="1:23">
      <c r="A22" s="494">
        <f t="shared" si="6"/>
        <v>19</v>
      </c>
      <c r="B22" s="495" t="s">
        <v>13</v>
      </c>
      <c r="C22" s="495">
        <v>1</v>
      </c>
      <c r="D22" s="75">
        <v>15</v>
      </c>
      <c r="E22" s="75">
        <v>25</v>
      </c>
      <c r="F22" s="75">
        <v>85</v>
      </c>
      <c r="G22" s="76">
        <v>0.35</v>
      </c>
      <c r="H22" s="76">
        <v>0.95</v>
      </c>
      <c r="I22" s="76">
        <v>0.95</v>
      </c>
      <c r="J22" s="76">
        <v>0.5</v>
      </c>
      <c r="K22" s="75">
        <v>5</v>
      </c>
      <c r="L22" s="75">
        <v>15</v>
      </c>
      <c r="M22" s="75">
        <v>10</v>
      </c>
      <c r="N22" s="75">
        <v>15</v>
      </c>
      <c r="O22" s="492">
        <f t="shared" si="7"/>
        <v>38122</v>
      </c>
      <c r="P22" s="492">
        <f t="shared" si="0"/>
        <v>38144</v>
      </c>
      <c r="Q22" s="492">
        <f t="shared" si="1"/>
        <v>38160</v>
      </c>
      <c r="R22" s="492">
        <f t="shared" si="2"/>
        <v>38252</v>
      </c>
      <c r="S22" s="492">
        <f t="shared" si="8"/>
        <v>38275</v>
      </c>
      <c r="T22" s="493">
        <f t="shared" si="3"/>
        <v>3.7499999999999999E-2</v>
      </c>
      <c r="U22" s="493">
        <f t="shared" si="4"/>
        <v>0</v>
      </c>
      <c r="V22" s="493">
        <f t="shared" si="5"/>
        <v>-1.9565217391304346E-2</v>
      </c>
      <c r="W22" s="80"/>
    </row>
    <row r="23" spans="1:23">
      <c r="A23" s="494">
        <f t="shared" si="6"/>
        <v>20</v>
      </c>
      <c r="B23" s="495" t="s">
        <v>14</v>
      </c>
      <c r="C23" s="495">
        <v>1</v>
      </c>
      <c r="D23" s="75">
        <v>19</v>
      </c>
      <c r="E23" s="75">
        <v>47</v>
      </c>
      <c r="F23" s="75">
        <v>85</v>
      </c>
      <c r="G23" s="76">
        <v>0.8</v>
      </c>
      <c r="H23" s="76">
        <v>0.85</v>
      </c>
      <c r="I23" s="76">
        <v>0.85</v>
      </c>
      <c r="J23" s="76">
        <v>0.85</v>
      </c>
      <c r="K23" s="75">
        <v>3</v>
      </c>
      <c r="L23" s="75">
        <v>15</v>
      </c>
      <c r="M23" s="75">
        <v>6</v>
      </c>
      <c r="N23" s="75">
        <v>15</v>
      </c>
      <c r="O23" s="492">
        <f t="shared" si="7"/>
        <v>38061</v>
      </c>
      <c r="P23" s="492">
        <f t="shared" si="0"/>
        <v>38078</v>
      </c>
      <c r="Q23" s="492">
        <f t="shared" si="1"/>
        <v>38104</v>
      </c>
      <c r="R23" s="492">
        <f t="shared" si="2"/>
        <v>38139</v>
      </c>
      <c r="S23" s="492">
        <f t="shared" si="8"/>
        <v>38153</v>
      </c>
      <c r="T23" s="493">
        <f t="shared" si="3"/>
        <v>1.9230769230769206E-3</v>
      </c>
      <c r="U23" s="493">
        <f t="shared" si="4"/>
        <v>0</v>
      </c>
      <c r="V23" s="493">
        <f t="shared" si="5"/>
        <v>0</v>
      </c>
      <c r="W23" s="80"/>
    </row>
    <row r="24" spans="1:23">
      <c r="A24" s="494">
        <f t="shared" si="6"/>
        <v>21</v>
      </c>
      <c r="B24" s="495" t="s">
        <v>53</v>
      </c>
      <c r="C24" s="495">
        <v>4</v>
      </c>
      <c r="D24" s="75">
        <v>25</v>
      </c>
      <c r="E24" s="75">
        <v>50</v>
      </c>
      <c r="F24" s="75">
        <v>75</v>
      </c>
      <c r="G24" s="76">
        <v>0.95</v>
      </c>
      <c r="H24" s="76">
        <v>0.95</v>
      </c>
      <c r="I24" s="76">
        <v>0.95</v>
      </c>
      <c r="J24" s="76">
        <v>0.95</v>
      </c>
      <c r="K24" s="75">
        <v>1</v>
      </c>
      <c r="L24" s="75">
        <v>1</v>
      </c>
      <c r="M24" s="75">
        <v>12</v>
      </c>
      <c r="N24" s="75">
        <v>31</v>
      </c>
      <c r="O24" s="492">
        <f t="shared" si="7"/>
        <v>37987</v>
      </c>
      <c r="P24" s="492">
        <f t="shared" si="0"/>
        <v>38078</v>
      </c>
      <c r="Q24" s="492">
        <f t="shared" si="1"/>
        <v>38169</v>
      </c>
      <c r="R24" s="492">
        <f t="shared" si="2"/>
        <v>38260</v>
      </c>
      <c r="S24" s="492">
        <f t="shared" si="8"/>
        <v>38352</v>
      </c>
      <c r="T24" s="493">
        <f t="shared" si="3"/>
        <v>0</v>
      </c>
      <c r="U24" s="493">
        <f t="shared" si="4"/>
        <v>0</v>
      </c>
      <c r="V24" s="493">
        <f t="shared" si="5"/>
        <v>0</v>
      </c>
      <c r="W24" s="80"/>
    </row>
    <row r="25" spans="1:23">
      <c r="A25" s="494">
        <f t="shared" si="6"/>
        <v>22</v>
      </c>
      <c r="B25" s="495" t="s">
        <v>15</v>
      </c>
      <c r="C25" s="495">
        <v>1</v>
      </c>
      <c r="D25" s="75">
        <v>23</v>
      </c>
      <c r="E25" s="75">
        <v>54</v>
      </c>
      <c r="F25" s="75">
        <v>85</v>
      </c>
      <c r="G25" s="76">
        <v>0.8</v>
      </c>
      <c r="H25" s="76">
        <v>0.9</v>
      </c>
      <c r="I25" s="76">
        <v>0.9</v>
      </c>
      <c r="J25" s="76">
        <v>0.85</v>
      </c>
      <c r="K25" s="75">
        <v>4</v>
      </c>
      <c r="L25" s="75">
        <v>1</v>
      </c>
      <c r="M25" s="75">
        <v>11</v>
      </c>
      <c r="N25" s="75">
        <v>15</v>
      </c>
      <c r="O25" s="492">
        <f t="shared" si="7"/>
        <v>38078</v>
      </c>
      <c r="P25" s="492">
        <f t="shared" si="0"/>
        <v>38130</v>
      </c>
      <c r="Q25" s="492">
        <f t="shared" si="1"/>
        <v>38201</v>
      </c>
      <c r="R25" s="492">
        <f t="shared" si="2"/>
        <v>38271</v>
      </c>
      <c r="S25" s="492">
        <f t="shared" si="8"/>
        <v>38306</v>
      </c>
      <c r="T25" s="493">
        <f t="shared" si="3"/>
        <v>1.4084507042253518E-3</v>
      </c>
      <c r="U25" s="493">
        <f t="shared" si="4"/>
        <v>0</v>
      </c>
      <c r="V25" s="493">
        <f t="shared" si="5"/>
        <v>-1.4285714285714299E-3</v>
      </c>
      <c r="W25" s="80"/>
    </row>
    <row r="26" spans="1:23">
      <c r="A26" s="494">
        <f t="shared" si="6"/>
        <v>23</v>
      </c>
      <c r="B26" s="495" t="s">
        <v>54</v>
      </c>
      <c r="C26" s="495">
        <v>4</v>
      </c>
      <c r="D26" s="75">
        <v>25</v>
      </c>
      <c r="E26" s="75">
        <v>50</v>
      </c>
      <c r="F26" s="75">
        <v>75</v>
      </c>
      <c r="G26" s="76">
        <v>1.1499999999999999</v>
      </c>
      <c r="H26" s="76">
        <v>1.1499999999999999</v>
      </c>
      <c r="I26" s="76">
        <v>1.1499999999999999</v>
      </c>
      <c r="J26" s="76">
        <v>1.1499999999999999</v>
      </c>
      <c r="K26" s="75">
        <v>1</v>
      </c>
      <c r="L26" s="75">
        <v>1</v>
      </c>
      <c r="M26" s="75">
        <v>12</v>
      </c>
      <c r="N26" s="75">
        <v>31</v>
      </c>
      <c r="O26" s="492">
        <f t="shared" si="7"/>
        <v>37987</v>
      </c>
      <c r="P26" s="492">
        <f t="shared" si="0"/>
        <v>38078</v>
      </c>
      <c r="Q26" s="492">
        <f t="shared" si="1"/>
        <v>38169</v>
      </c>
      <c r="R26" s="492">
        <f t="shared" si="2"/>
        <v>38260</v>
      </c>
      <c r="S26" s="492">
        <f t="shared" si="8"/>
        <v>38352</v>
      </c>
      <c r="T26" s="493">
        <f t="shared" si="3"/>
        <v>0</v>
      </c>
      <c r="U26" s="493">
        <f t="shared" si="4"/>
        <v>0</v>
      </c>
      <c r="V26" s="493">
        <f t="shared" si="5"/>
        <v>0</v>
      </c>
      <c r="W26" s="80"/>
    </row>
    <row r="27" spans="1:23">
      <c r="A27" s="494">
        <f t="shared" si="6"/>
        <v>24</v>
      </c>
      <c r="B27" s="495" t="s">
        <v>16</v>
      </c>
      <c r="C27" s="495">
        <v>1</v>
      </c>
      <c r="D27" s="75">
        <v>17</v>
      </c>
      <c r="E27" s="75">
        <v>45</v>
      </c>
      <c r="F27" s="75">
        <v>80</v>
      </c>
      <c r="G27" s="76">
        <v>0.2</v>
      </c>
      <c r="H27" s="76">
        <v>1.1000000000000001</v>
      </c>
      <c r="I27" s="76">
        <v>1.1000000000000001</v>
      </c>
      <c r="J27" s="76">
        <v>0.25</v>
      </c>
      <c r="K27" s="75">
        <v>4</v>
      </c>
      <c r="L27" s="75">
        <v>1</v>
      </c>
      <c r="M27" s="75">
        <v>7</v>
      </c>
      <c r="N27" s="75">
        <v>31</v>
      </c>
      <c r="O27" s="492">
        <f t="shared" si="7"/>
        <v>38078</v>
      </c>
      <c r="P27" s="492">
        <f t="shared" si="0"/>
        <v>38098</v>
      </c>
      <c r="Q27" s="492">
        <f t="shared" si="1"/>
        <v>38132</v>
      </c>
      <c r="R27" s="492">
        <f t="shared" si="2"/>
        <v>38174</v>
      </c>
      <c r="S27" s="492">
        <f t="shared" si="8"/>
        <v>38199</v>
      </c>
      <c r="T27" s="493">
        <f t="shared" si="3"/>
        <v>2.6470588235294121E-2</v>
      </c>
      <c r="U27" s="493">
        <f t="shared" si="4"/>
        <v>0</v>
      </c>
      <c r="V27" s="493">
        <f t="shared" si="5"/>
        <v>-3.4000000000000002E-2</v>
      </c>
      <c r="W27" s="80"/>
    </row>
    <row r="28" spans="1:23">
      <c r="A28" s="494">
        <f t="shared" si="6"/>
        <v>25</v>
      </c>
      <c r="B28" s="495" t="s">
        <v>17</v>
      </c>
      <c r="C28" s="495">
        <v>1</v>
      </c>
      <c r="D28" s="75">
        <v>20</v>
      </c>
      <c r="E28" s="75">
        <v>45</v>
      </c>
      <c r="F28" s="75">
        <v>75</v>
      </c>
      <c r="G28" s="76">
        <v>0.33</v>
      </c>
      <c r="H28" s="76">
        <v>1.1000000000000001</v>
      </c>
      <c r="I28" s="76">
        <v>1.1000000000000001</v>
      </c>
      <c r="J28" s="76">
        <v>0.15</v>
      </c>
      <c r="K28" s="75">
        <v>11</v>
      </c>
      <c r="L28" s="75">
        <v>1</v>
      </c>
      <c r="M28" s="75">
        <v>5</v>
      </c>
      <c r="N28" s="75">
        <v>31</v>
      </c>
      <c r="O28" s="492">
        <f t="shared" si="7"/>
        <v>38292</v>
      </c>
      <c r="P28" s="492">
        <f t="shared" si="0"/>
        <v>38334</v>
      </c>
      <c r="Q28" s="492">
        <f t="shared" si="1"/>
        <v>38386</v>
      </c>
      <c r="R28" s="492">
        <f t="shared" si="2"/>
        <v>38450</v>
      </c>
      <c r="S28" s="492">
        <f t="shared" si="8"/>
        <v>38503</v>
      </c>
      <c r="T28" s="493">
        <f t="shared" si="3"/>
        <v>1.4807692307692308E-2</v>
      </c>
      <c r="U28" s="493">
        <f t="shared" si="4"/>
        <v>0</v>
      </c>
      <c r="V28" s="493">
        <f t="shared" si="5"/>
        <v>-1.7924528301886795E-2</v>
      </c>
      <c r="W28" s="80"/>
    </row>
    <row r="29" spans="1:23">
      <c r="A29" s="494">
        <f t="shared" si="6"/>
        <v>26</v>
      </c>
      <c r="B29" s="495" t="s">
        <v>18</v>
      </c>
      <c r="C29" s="495">
        <v>1</v>
      </c>
      <c r="D29" s="75">
        <v>20</v>
      </c>
      <c r="E29" s="75">
        <v>45</v>
      </c>
      <c r="F29" s="75">
        <v>75</v>
      </c>
      <c r="G29" s="76">
        <v>0.33</v>
      </c>
      <c r="H29" s="76">
        <v>1.05</v>
      </c>
      <c r="I29" s="76">
        <v>1.05</v>
      </c>
      <c r="J29" s="76">
        <v>0.15</v>
      </c>
      <c r="K29" s="75">
        <v>11</v>
      </c>
      <c r="L29" s="75">
        <v>1</v>
      </c>
      <c r="M29" s="75">
        <v>5</v>
      </c>
      <c r="N29" s="75">
        <v>31</v>
      </c>
      <c r="O29" s="492">
        <f t="shared" si="7"/>
        <v>38292</v>
      </c>
      <c r="P29" s="492">
        <f t="shared" si="0"/>
        <v>38334</v>
      </c>
      <c r="Q29" s="492">
        <f t="shared" si="1"/>
        <v>38386</v>
      </c>
      <c r="R29" s="492">
        <f t="shared" si="2"/>
        <v>38450</v>
      </c>
      <c r="S29" s="492">
        <f t="shared" si="8"/>
        <v>38503</v>
      </c>
      <c r="T29" s="493">
        <f t="shared" si="3"/>
        <v>1.3846153846153845E-2</v>
      </c>
      <c r="U29" s="493">
        <f t="shared" si="4"/>
        <v>0</v>
      </c>
      <c r="V29" s="493">
        <f t="shared" si="5"/>
        <v>-1.6981132075471698E-2</v>
      </c>
      <c r="W29" s="80"/>
    </row>
    <row r="30" spans="1:23">
      <c r="A30" s="494">
        <f t="shared" si="6"/>
        <v>27</v>
      </c>
      <c r="B30" s="495" t="s">
        <v>259</v>
      </c>
      <c r="C30" s="495">
        <v>3</v>
      </c>
      <c r="D30" s="75">
        <v>0</v>
      </c>
      <c r="E30" s="75">
        <v>25</v>
      </c>
      <c r="F30" s="75">
        <v>75</v>
      </c>
      <c r="G30" s="76">
        <v>0.45</v>
      </c>
      <c r="H30" s="76">
        <v>0.8</v>
      </c>
      <c r="I30" s="76">
        <v>0.8</v>
      </c>
      <c r="J30" s="76">
        <v>0.35</v>
      </c>
      <c r="K30" s="75">
        <v>4</v>
      </c>
      <c r="L30" s="75">
        <v>1</v>
      </c>
      <c r="M30" s="75">
        <v>11</v>
      </c>
      <c r="N30" s="75">
        <v>1</v>
      </c>
      <c r="O30" s="492">
        <f t="shared" si="7"/>
        <v>38078</v>
      </c>
      <c r="P30" s="492">
        <f t="shared" si="0"/>
        <v>38078</v>
      </c>
      <c r="Q30" s="492">
        <f t="shared" si="1"/>
        <v>38131</v>
      </c>
      <c r="R30" s="492">
        <f t="shared" si="2"/>
        <v>38238</v>
      </c>
      <c r="S30" s="492">
        <f t="shared" si="8"/>
        <v>38292</v>
      </c>
      <c r="T30" s="493">
        <f t="shared" si="3"/>
        <v>6.6037735849056606E-3</v>
      </c>
      <c r="U30" s="493">
        <f t="shared" si="4"/>
        <v>0</v>
      </c>
      <c r="V30" s="493">
        <f t="shared" si="5"/>
        <v>-8.333333333333335E-3</v>
      </c>
      <c r="W30" s="80"/>
    </row>
    <row r="31" spans="1:23">
      <c r="A31" s="494">
        <f t="shared" si="6"/>
        <v>28</v>
      </c>
      <c r="B31" s="495" t="s">
        <v>258</v>
      </c>
      <c r="C31" s="495">
        <v>3</v>
      </c>
      <c r="D31" s="75">
        <v>0</v>
      </c>
      <c r="E31" s="75">
        <v>25</v>
      </c>
      <c r="F31" s="75">
        <v>75</v>
      </c>
      <c r="G31" s="76">
        <v>0.45</v>
      </c>
      <c r="H31" s="76">
        <v>1.05</v>
      </c>
      <c r="I31" s="76">
        <v>1.05</v>
      </c>
      <c r="J31" s="76">
        <v>0.35</v>
      </c>
      <c r="K31" s="75">
        <v>4</v>
      </c>
      <c r="L31" s="75">
        <v>1</v>
      </c>
      <c r="M31" s="75">
        <v>11</v>
      </c>
      <c r="N31" s="75">
        <v>1</v>
      </c>
      <c r="O31" s="492">
        <f t="shared" si="7"/>
        <v>38078</v>
      </c>
      <c r="P31" s="492">
        <f>INT($O31+D31/100*($S31-$O31))</f>
        <v>38078</v>
      </c>
      <c r="Q31" s="492">
        <f>INT($O31+E31/100*($S31-$O31))</f>
        <v>38131</v>
      </c>
      <c r="R31" s="492">
        <f>INT($O31+F31/100*($S31-$O31))</f>
        <v>38238</v>
      </c>
      <c r="S31" s="492">
        <f t="shared" si="8"/>
        <v>38292</v>
      </c>
      <c r="T31" s="493">
        <f>(H31-G31)/(Q31-P31)</f>
        <v>1.1320754716981133E-2</v>
      </c>
      <c r="U31" s="493">
        <f>(I31-H31)/(R31-Q31)</f>
        <v>0</v>
      </c>
      <c r="V31" s="493">
        <f>(J31-I31)/(S31-R31)</f>
        <v>-1.2962962962962964E-2</v>
      </c>
      <c r="W31" s="80"/>
    </row>
    <row r="32" spans="1:23">
      <c r="A32" s="494">
        <f t="shared" si="6"/>
        <v>29</v>
      </c>
      <c r="B32" s="495" t="s">
        <v>45</v>
      </c>
      <c r="C32" s="495">
        <v>2</v>
      </c>
      <c r="D32" s="75">
        <v>25</v>
      </c>
      <c r="E32" s="75">
        <v>50</v>
      </c>
      <c r="F32" s="75">
        <v>75</v>
      </c>
      <c r="G32" s="76">
        <v>0.95</v>
      </c>
      <c r="H32" s="76">
        <v>0.95</v>
      </c>
      <c r="I32" s="76">
        <v>0.95</v>
      </c>
      <c r="J32" s="76">
        <v>0.95</v>
      </c>
      <c r="K32" s="75">
        <v>1</v>
      </c>
      <c r="L32" s="75">
        <v>1</v>
      </c>
      <c r="M32" s="75">
        <v>12</v>
      </c>
      <c r="N32" s="75">
        <v>31</v>
      </c>
      <c r="O32" s="492">
        <f t="shared" si="7"/>
        <v>37987</v>
      </c>
      <c r="P32" s="492">
        <f t="shared" si="0"/>
        <v>38078</v>
      </c>
      <c r="Q32" s="492">
        <f t="shared" si="1"/>
        <v>38169</v>
      </c>
      <c r="R32" s="492">
        <f t="shared" si="2"/>
        <v>38260</v>
      </c>
      <c r="S32" s="492">
        <f t="shared" si="8"/>
        <v>38352</v>
      </c>
      <c r="T32" s="493">
        <f t="shared" si="3"/>
        <v>0</v>
      </c>
      <c r="U32" s="493">
        <f t="shared" si="4"/>
        <v>0</v>
      </c>
      <c r="V32" s="493">
        <f t="shared" si="5"/>
        <v>0</v>
      </c>
      <c r="W32" s="80"/>
    </row>
    <row r="33" spans="1:23">
      <c r="A33" s="494">
        <f t="shared" si="6"/>
        <v>30</v>
      </c>
      <c r="B33" s="495" t="s">
        <v>47</v>
      </c>
      <c r="C33" s="495">
        <v>3</v>
      </c>
      <c r="D33" s="75">
        <v>0</v>
      </c>
      <c r="E33" s="75">
        <v>22</v>
      </c>
      <c r="F33" s="75">
        <v>67</v>
      </c>
      <c r="G33" s="76">
        <v>0.3</v>
      </c>
      <c r="H33" s="76">
        <v>1.05</v>
      </c>
      <c r="I33" s="76">
        <v>1.05</v>
      </c>
      <c r="J33" s="76">
        <v>1</v>
      </c>
      <c r="K33" s="75">
        <v>5</v>
      </c>
      <c r="L33" s="75">
        <v>1</v>
      </c>
      <c r="M33" s="75">
        <v>10</v>
      </c>
      <c r="N33" s="75">
        <v>31</v>
      </c>
      <c r="O33" s="492">
        <f t="shared" si="7"/>
        <v>38108</v>
      </c>
      <c r="P33" s="492">
        <f t="shared" si="0"/>
        <v>38108</v>
      </c>
      <c r="Q33" s="492">
        <f t="shared" si="1"/>
        <v>38148</v>
      </c>
      <c r="R33" s="492">
        <f t="shared" si="2"/>
        <v>38230</v>
      </c>
      <c r="S33" s="492">
        <f t="shared" si="8"/>
        <v>38291</v>
      </c>
      <c r="T33" s="493">
        <f t="shared" si="3"/>
        <v>1.8749999999999999E-2</v>
      </c>
      <c r="U33" s="493">
        <f t="shared" si="4"/>
        <v>0</v>
      </c>
      <c r="V33" s="493">
        <f t="shared" si="5"/>
        <v>-8.1967213114754174E-4</v>
      </c>
      <c r="W33" s="80"/>
    </row>
    <row r="34" spans="1:23">
      <c r="A34" s="494">
        <f t="shared" si="6"/>
        <v>31</v>
      </c>
      <c r="B34" s="495" t="s">
        <v>19</v>
      </c>
      <c r="C34" s="495">
        <v>1</v>
      </c>
      <c r="D34" s="75">
        <v>24</v>
      </c>
      <c r="E34" s="75">
        <v>40</v>
      </c>
      <c r="F34" s="75">
        <v>91</v>
      </c>
      <c r="G34" s="76">
        <v>0.2</v>
      </c>
      <c r="H34" s="76">
        <v>1</v>
      </c>
      <c r="I34" s="76">
        <v>1</v>
      </c>
      <c r="J34" s="76">
        <v>0.1</v>
      </c>
      <c r="K34" s="75">
        <v>6</v>
      </c>
      <c r="L34" s="75">
        <v>15</v>
      </c>
      <c r="M34" s="75">
        <v>9</v>
      </c>
      <c r="N34" s="75">
        <v>30</v>
      </c>
      <c r="O34" s="492">
        <f t="shared" si="7"/>
        <v>38153</v>
      </c>
      <c r="P34" s="492">
        <f t="shared" si="0"/>
        <v>38178</v>
      </c>
      <c r="Q34" s="492">
        <f t="shared" si="1"/>
        <v>38195</v>
      </c>
      <c r="R34" s="492">
        <f t="shared" si="2"/>
        <v>38250</v>
      </c>
      <c r="S34" s="492">
        <f t="shared" si="8"/>
        <v>38260</v>
      </c>
      <c r="T34" s="493">
        <f t="shared" si="3"/>
        <v>4.7058823529411764E-2</v>
      </c>
      <c r="U34" s="493">
        <f t="shared" si="4"/>
        <v>0</v>
      </c>
      <c r="V34" s="493">
        <f t="shared" si="5"/>
        <v>-0.09</v>
      </c>
      <c r="W34" s="80"/>
    </row>
    <row r="35" spans="1:23">
      <c r="A35" s="494">
        <f t="shared" si="6"/>
        <v>32</v>
      </c>
      <c r="B35" s="495" t="s">
        <v>20</v>
      </c>
      <c r="C35" s="495">
        <v>1</v>
      </c>
      <c r="D35" s="75">
        <v>25</v>
      </c>
      <c r="E35" s="75">
        <v>65</v>
      </c>
      <c r="F35" s="75">
        <v>90</v>
      </c>
      <c r="G35" s="76">
        <v>0.8</v>
      </c>
      <c r="H35" s="76">
        <v>0.8</v>
      </c>
      <c r="I35" s="76">
        <v>0.8</v>
      </c>
      <c r="J35" s="76">
        <v>0.8</v>
      </c>
      <c r="K35" s="75">
        <v>3</v>
      </c>
      <c r="L35" s="75">
        <v>15</v>
      </c>
      <c r="M35" s="75">
        <v>7</v>
      </c>
      <c r="N35" s="75">
        <v>15</v>
      </c>
      <c r="O35" s="492">
        <f t="shared" si="7"/>
        <v>38061</v>
      </c>
      <c r="P35" s="492">
        <f t="shared" si="0"/>
        <v>38091</v>
      </c>
      <c r="Q35" s="492">
        <f t="shared" si="1"/>
        <v>38140</v>
      </c>
      <c r="R35" s="492">
        <f t="shared" si="2"/>
        <v>38170</v>
      </c>
      <c r="S35" s="492">
        <f t="shared" si="8"/>
        <v>38183</v>
      </c>
      <c r="T35" s="493">
        <f t="shared" si="3"/>
        <v>0</v>
      </c>
      <c r="U35" s="493">
        <f t="shared" si="4"/>
        <v>0</v>
      </c>
      <c r="V35" s="493">
        <f t="shared" si="5"/>
        <v>0</v>
      </c>
      <c r="W35" s="80"/>
    </row>
    <row r="36" spans="1:23">
      <c r="A36" s="494">
        <f t="shared" si="6"/>
        <v>33</v>
      </c>
      <c r="B36" s="495" t="s">
        <v>21</v>
      </c>
      <c r="C36" s="495">
        <v>1</v>
      </c>
      <c r="D36" s="75">
        <v>21</v>
      </c>
      <c r="E36" s="75">
        <v>50</v>
      </c>
      <c r="F36" s="75">
        <v>83</v>
      </c>
      <c r="G36" s="76">
        <v>0.8</v>
      </c>
      <c r="H36" s="76">
        <v>0.95</v>
      </c>
      <c r="I36" s="76">
        <v>0.95</v>
      </c>
      <c r="J36" s="76">
        <v>0.75</v>
      </c>
      <c r="K36" s="75">
        <v>4</v>
      </c>
      <c r="L36" s="75">
        <v>1</v>
      </c>
      <c r="M36" s="75">
        <v>11</v>
      </c>
      <c r="N36" s="75">
        <v>15</v>
      </c>
      <c r="O36" s="492">
        <f t="shared" si="7"/>
        <v>38078</v>
      </c>
      <c r="P36" s="492">
        <f t="shared" si="0"/>
        <v>38125</v>
      </c>
      <c r="Q36" s="492">
        <f t="shared" si="1"/>
        <v>38192</v>
      </c>
      <c r="R36" s="492">
        <f t="shared" si="2"/>
        <v>38267</v>
      </c>
      <c r="S36" s="492">
        <f t="shared" si="8"/>
        <v>38306</v>
      </c>
      <c r="T36" s="493">
        <f t="shared" si="3"/>
        <v>2.2388059701492526E-3</v>
      </c>
      <c r="U36" s="493">
        <f t="shared" si="4"/>
        <v>0</v>
      </c>
      <c r="V36" s="493">
        <f t="shared" si="5"/>
        <v>-5.1282051282051273E-3</v>
      </c>
      <c r="W36" s="80"/>
    </row>
    <row r="37" spans="1:23">
      <c r="A37" s="494">
        <f t="shared" si="6"/>
        <v>34</v>
      </c>
      <c r="B37" s="495" t="s">
        <v>22</v>
      </c>
      <c r="C37" s="495">
        <v>1</v>
      </c>
      <c r="D37" s="75">
        <v>14</v>
      </c>
      <c r="E37" s="75">
        <v>36</v>
      </c>
      <c r="F37" s="75">
        <v>75</v>
      </c>
      <c r="G37" s="76">
        <v>0.3</v>
      </c>
      <c r="H37" s="76">
        <v>1</v>
      </c>
      <c r="I37" s="76">
        <v>1</v>
      </c>
      <c r="J37" s="76">
        <v>0.3</v>
      </c>
      <c r="K37" s="75">
        <v>11</v>
      </c>
      <c r="L37" s="75">
        <v>1</v>
      </c>
      <c r="M37" s="75">
        <v>5</v>
      </c>
      <c r="N37" s="75">
        <v>31</v>
      </c>
      <c r="O37" s="492">
        <f t="shared" si="7"/>
        <v>38292</v>
      </c>
      <c r="P37" s="492">
        <f t="shared" ref="P37:P64" si="9">INT($O37+D37/100*($S37-$O37))</f>
        <v>38321</v>
      </c>
      <c r="Q37" s="492">
        <f t="shared" ref="Q37:Q64" si="10">INT($O37+E37/100*($S37-$O37))</f>
        <v>38367</v>
      </c>
      <c r="R37" s="492">
        <f t="shared" ref="R37:R64" si="11">INT($O37+F37/100*($S37-$O37))</f>
        <v>38450</v>
      </c>
      <c r="S37" s="492">
        <f t="shared" si="8"/>
        <v>38503</v>
      </c>
      <c r="T37" s="493">
        <f t="shared" ref="T37:T64" si="12">(H37-G37)/(Q37-P37)</f>
        <v>1.5217391304347825E-2</v>
      </c>
      <c r="U37" s="493">
        <f t="shared" ref="U37:U64" si="13">(I37-H37)/(R37-Q37)</f>
        <v>0</v>
      </c>
      <c r="V37" s="493">
        <f t="shared" ref="V37:V64" si="14">(J37-I37)/(S37-R37)</f>
        <v>-1.320754716981132E-2</v>
      </c>
      <c r="W37" s="80"/>
    </row>
    <row r="38" spans="1:23">
      <c r="A38" s="494">
        <f t="shared" ref="A38:A101" si="15">A37+1</f>
        <v>35</v>
      </c>
      <c r="B38" s="495" t="s">
        <v>23</v>
      </c>
      <c r="C38" s="495">
        <v>1</v>
      </c>
      <c r="D38" s="75">
        <v>25</v>
      </c>
      <c r="E38" s="75">
        <v>63</v>
      </c>
      <c r="F38" s="75">
        <v>88</v>
      </c>
      <c r="G38" s="76">
        <v>0.3</v>
      </c>
      <c r="H38" s="76">
        <v>1</v>
      </c>
      <c r="I38" s="76">
        <v>1</v>
      </c>
      <c r="J38" s="76">
        <v>0.85</v>
      </c>
      <c r="K38" s="75">
        <v>8</v>
      </c>
      <c r="L38" s="75">
        <v>1</v>
      </c>
      <c r="M38" s="75">
        <v>11</v>
      </c>
      <c r="N38" s="75">
        <v>15</v>
      </c>
      <c r="O38" s="492">
        <f t="shared" si="7"/>
        <v>38200</v>
      </c>
      <c r="P38" s="492">
        <f t="shared" si="9"/>
        <v>38226</v>
      </c>
      <c r="Q38" s="492">
        <f t="shared" si="10"/>
        <v>38266</v>
      </c>
      <c r="R38" s="492">
        <f t="shared" si="11"/>
        <v>38293</v>
      </c>
      <c r="S38" s="492">
        <f t="shared" si="8"/>
        <v>38306</v>
      </c>
      <c r="T38" s="493">
        <f t="shared" si="12"/>
        <v>1.7499999999999998E-2</v>
      </c>
      <c r="U38" s="493">
        <f t="shared" si="13"/>
        <v>0</v>
      </c>
      <c r="V38" s="493">
        <f t="shared" si="14"/>
        <v>-1.1538461538461541E-2</v>
      </c>
      <c r="W38" s="80"/>
    </row>
    <row r="39" spans="1:23">
      <c r="A39" s="494">
        <f t="shared" si="15"/>
        <v>36</v>
      </c>
      <c r="B39" s="495" t="s">
        <v>24</v>
      </c>
      <c r="C39" s="495">
        <v>1</v>
      </c>
      <c r="D39" s="75">
        <v>20</v>
      </c>
      <c r="E39" s="75">
        <v>45</v>
      </c>
      <c r="F39" s="75">
        <v>75</v>
      </c>
      <c r="G39" s="76">
        <v>0.33</v>
      </c>
      <c r="H39" s="76">
        <v>1.1000000000000001</v>
      </c>
      <c r="I39" s="76">
        <v>1.1000000000000001</v>
      </c>
      <c r="J39" s="76">
        <v>0.15</v>
      </c>
      <c r="K39" s="75">
        <v>11</v>
      </c>
      <c r="L39" s="75">
        <v>1</v>
      </c>
      <c r="M39" s="75">
        <v>5</v>
      </c>
      <c r="N39" s="75">
        <v>31</v>
      </c>
      <c r="O39" s="492">
        <f t="shared" si="7"/>
        <v>38292</v>
      </c>
      <c r="P39" s="492">
        <f t="shared" si="9"/>
        <v>38334</v>
      </c>
      <c r="Q39" s="492">
        <f t="shared" si="10"/>
        <v>38386</v>
      </c>
      <c r="R39" s="492">
        <f t="shared" si="11"/>
        <v>38450</v>
      </c>
      <c r="S39" s="492">
        <f t="shared" si="8"/>
        <v>38503</v>
      </c>
      <c r="T39" s="493">
        <f t="shared" si="12"/>
        <v>1.4807692307692308E-2</v>
      </c>
      <c r="U39" s="493">
        <f t="shared" si="13"/>
        <v>0</v>
      </c>
      <c r="V39" s="493">
        <f t="shared" si="14"/>
        <v>-1.7924528301886795E-2</v>
      </c>
      <c r="W39" s="80"/>
    </row>
    <row r="40" spans="1:23">
      <c r="A40" s="494">
        <f t="shared" si="15"/>
        <v>37</v>
      </c>
      <c r="B40" s="495" t="s">
        <v>55</v>
      </c>
      <c r="C40" s="495">
        <v>4</v>
      </c>
      <c r="D40" s="75">
        <v>25</v>
      </c>
      <c r="E40" s="75">
        <v>50</v>
      </c>
      <c r="F40" s="75">
        <v>75</v>
      </c>
      <c r="G40" s="76">
        <v>0.8</v>
      </c>
      <c r="H40" s="76">
        <v>0.8</v>
      </c>
      <c r="I40" s="76">
        <v>0.8</v>
      </c>
      <c r="J40" s="76">
        <v>0.8</v>
      </c>
      <c r="K40" s="75">
        <v>1</v>
      </c>
      <c r="L40" s="75">
        <v>1</v>
      </c>
      <c r="M40" s="75">
        <v>12</v>
      </c>
      <c r="N40" s="75">
        <v>31</v>
      </c>
      <c r="O40" s="492">
        <f t="shared" si="7"/>
        <v>37987</v>
      </c>
      <c r="P40" s="492">
        <f t="shared" si="9"/>
        <v>38078</v>
      </c>
      <c r="Q40" s="492">
        <f t="shared" si="10"/>
        <v>38169</v>
      </c>
      <c r="R40" s="492">
        <f t="shared" si="11"/>
        <v>38260</v>
      </c>
      <c r="S40" s="492">
        <f t="shared" si="8"/>
        <v>38352</v>
      </c>
      <c r="T40" s="493">
        <f t="shared" si="12"/>
        <v>0</v>
      </c>
      <c r="U40" s="493">
        <f t="shared" si="13"/>
        <v>0</v>
      </c>
      <c r="V40" s="493">
        <f t="shared" si="14"/>
        <v>0</v>
      </c>
      <c r="W40" s="80"/>
    </row>
    <row r="41" spans="1:23">
      <c r="A41" s="494">
        <f t="shared" si="15"/>
        <v>38</v>
      </c>
      <c r="B41" s="495" t="s">
        <v>25</v>
      </c>
      <c r="C41" s="495">
        <v>1</v>
      </c>
      <c r="D41" s="75">
        <v>10</v>
      </c>
      <c r="E41" s="75">
        <v>26</v>
      </c>
      <c r="F41" s="75">
        <v>75</v>
      </c>
      <c r="G41" s="76">
        <v>0.8</v>
      </c>
      <c r="H41" s="76">
        <v>1</v>
      </c>
      <c r="I41" s="76">
        <v>1</v>
      </c>
      <c r="J41" s="76">
        <v>0.75</v>
      </c>
      <c r="K41" s="75">
        <v>3</v>
      </c>
      <c r="L41" s="75">
        <v>1</v>
      </c>
      <c r="M41" s="75">
        <v>10</v>
      </c>
      <c r="N41" s="75">
        <v>1</v>
      </c>
      <c r="O41" s="492">
        <f t="shared" si="7"/>
        <v>38047</v>
      </c>
      <c r="P41" s="492">
        <f t="shared" si="9"/>
        <v>38068</v>
      </c>
      <c r="Q41" s="492">
        <f t="shared" si="10"/>
        <v>38102</v>
      </c>
      <c r="R41" s="492">
        <f t="shared" si="11"/>
        <v>38207</v>
      </c>
      <c r="S41" s="492">
        <f t="shared" si="8"/>
        <v>38261</v>
      </c>
      <c r="T41" s="493">
        <f t="shared" si="12"/>
        <v>5.8823529411764696E-3</v>
      </c>
      <c r="U41" s="493">
        <f t="shared" si="13"/>
        <v>0</v>
      </c>
      <c r="V41" s="493">
        <f t="shared" si="14"/>
        <v>-4.6296296296296294E-3</v>
      </c>
      <c r="W41" s="80"/>
    </row>
    <row r="42" spans="1:23">
      <c r="A42" s="494">
        <f t="shared" si="15"/>
        <v>39</v>
      </c>
      <c r="B42" s="495" t="s">
        <v>26</v>
      </c>
      <c r="C42" s="495">
        <v>1</v>
      </c>
      <c r="D42" s="75">
        <v>25</v>
      </c>
      <c r="E42" s="75">
        <v>70</v>
      </c>
      <c r="F42" s="75">
        <v>90</v>
      </c>
      <c r="G42" s="76">
        <v>0.8</v>
      </c>
      <c r="H42" s="76">
        <v>1</v>
      </c>
      <c r="I42" s="76">
        <v>1</v>
      </c>
      <c r="J42" s="76">
        <v>0.9</v>
      </c>
      <c r="K42" s="75">
        <v>3</v>
      </c>
      <c r="L42" s="75">
        <v>1</v>
      </c>
      <c r="M42" s="75">
        <v>8</v>
      </c>
      <c r="N42" s="75">
        <v>1</v>
      </c>
      <c r="O42" s="492">
        <f t="shared" si="7"/>
        <v>38047</v>
      </c>
      <c r="P42" s="492">
        <f t="shared" si="9"/>
        <v>38085</v>
      </c>
      <c r="Q42" s="492">
        <f t="shared" si="10"/>
        <v>38154</v>
      </c>
      <c r="R42" s="492">
        <f t="shared" si="11"/>
        <v>38184</v>
      </c>
      <c r="S42" s="492">
        <f t="shared" si="8"/>
        <v>38200</v>
      </c>
      <c r="T42" s="493">
        <f t="shared" si="12"/>
        <v>2.8985507246376803E-3</v>
      </c>
      <c r="U42" s="493">
        <f t="shared" si="13"/>
        <v>0</v>
      </c>
      <c r="V42" s="493">
        <f t="shared" si="14"/>
        <v>-6.2499999999999986E-3</v>
      </c>
      <c r="W42" s="80"/>
    </row>
    <row r="43" spans="1:23">
      <c r="A43" s="494">
        <f t="shared" si="15"/>
        <v>40</v>
      </c>
      <c r="B43" s="495" t="s">
        <v>27</v>
      </c>
      <c r="C43" s="495">
        <v>1</v>
      </c>
      <c r="D43" s="75">
        <v>20</v>
      </c>
      <c r="E43" s="75">
        <v>47</v>
      </c>
      <c r="F43" s="75">
        <v>83</v>
      </c>
      <c r="G43" s="76">
        <v>0.2</v>
      </c>
      <c r="H43" s="76">
        <v>1</v>
      </c>
      <c r="I43" s="76">
        <v>1</v>
      </c>
      <c r="J43" s="76">
        <v>1</v>
      </c>
      <c r="K43" s="75">
        <v>3</v>
      </c>
      <c r="L43" s="75">
        <v>1</v>
      </c>
      <c r="M43" s="75">
        <v>5</v>
      </c>
      <c r="N43" s="75">
        <v>31</v>
      </c>
      <c r="O43" s="492">
        <f t="shared" si="7"/>
        <v>38047</v>
      </c>
      <c r="P43" s="492">
        <f t="shared" si="9"/>
        <v>38065</v>
      </c>
      <c r="Q43" s="492">
        <f t="shared" si="10"/>
        <v>38089</v>
      </c>
      <c r="R43" s="492">
        <f t="shared" si="11"/>
        <v>38122</v>
      </c>
      <c r="S43" s="492">
        <f t="shared" si="8"/>
        <v>38138</v>
      </c>
      <c r="T43" s="493">
        <f t="shared" si="12"/>
        <v>3.3333333333333333E-2</v>
      </c>
      <c r="U43" s="493">
        <f t="shared" si="13"/>
        <v>0</v>
      </c>
      <c r="V43" s="493">
        <f t="shared" si="14"/>
        <v>0</v>
      </c>
      <c r="W43" s="80"/>
    </row>
    <row r="44" spans="1:23">
      <c r="A44" s="494">
        <f t="shared" si="15"/>
        <v>41</v>
      </c>
      <c r="B44" s="495" t="s">
        <v>28</v>
      </c>
      <c r="C44" s="495">
        <v>1</v>
      </c>
      <c r="D44" s="75">
        <v>20</v>
      </c>
      <c r="E44" s="75">
        <v>45</v>
      </c>
      <c r="F44" s="75">
        <v>85</v>
      </c>
      <c r="G44" s="76">
        <v>0.8</v>
      </c>
      <c r="H44" s="76">
        <v>1</v>
      </c>
      <c r="I44" s="76">
        <v>1</v>
      </c>
      <c r="J44" s="76">
        <v>0.85</v>
      </c>
      <c r="K44" s="75">
        <v>3</v>
      </c>
      <c r="L44" s="75">
        <v>1</v>
      </c>
      <c r="M44" s="75">
        <v>8</v>
      </c>
      <c r="N44" s="75">
        <v>31</v>
      </c>
      <c r="O44" s="492">
        <f t="shared" si="7"/>
        <v>38047</v>
      </c>
      <c r="P44" s="492">
        <f t="shared" si="9"/>
        <v>38083</v>
      </c>
      <c r="Q44" s="492">
        <f t="shared" si="10"/>
        <v>38129</v>
      </c>
      <c r="R44" s="492">
        <f t="shared" si="11"/>
        <v>38202</v>
      </c>
      <c r="S44" s="492">
        <f t="shared" si="8"/>
        <v>38230</v>
      </c>
      <c r="T44" s="493">
        <f t="shared" si="12"/>
        <v>4.3478260869565209E-3</v>
      </c>
      <c r="U44" s="493">
        <f t="shared" si="13"/>
        <v>0</v>
      </c>
      <c r="V44" s="493">
        <f t="shared" si="14"/>
        <v>-5.3571428571428581E-3</v>
      </c>
      <c r="W44" s="80"/>
    </row>
    <row r="45" spans="1:23">
      <c r="A45" s="494">
        <f t="shared" si="15"/>
        <v>42</v>
      </c>
      <c r="B45" s="495" t="s">
        <v>29</v>
      </c>
      <c r="C45" s="495">
        <v>1</v>
      </c>
      <c r="D45" s="75">
        <v>20</v>
      </c>
      <c r="E45" s="75">
        <v>45</v>
      </c>
      <c r="F45" s="75">
        <v>78</v>
      </c>
      <c r="G45" s="76">
        <v>0.8</v>
      </c>
      <c r="H45" s="76">
        <v>1.1000000000000001</v>
      </c>
      <c r="I45" s="76">
        <v>1.1000000000000001</v>
      </c>
      <c r="J45" s="76">
        <v>0.7</v>
      </c>
      <c r="K45" s="75">
        <v>4</v>
      </c>
      <c r="L45" s="75">
        <v>15</v>
      </c>
      <c r="M45" s="75">
        <v>8</v>
      </c>
      <c r="N45" s="75">
        <v>15</v>
      </c>
      <c r="O45" s="492">
        <f t="shared" si="7"/>
        <v>38092</v>
      </c>
      <c r="P45" s="492">
        <f t="shared" si="9"/>
        <v>38116</v>
      </c>
      <c r="Q45" s="492">
        <f t="shared" si="10"/>
        <v>38146</v>
      </c>
      <c r="R45" s="492">
        <f t="shared" si="11"/>
        <v>38187</v>
      </c>
      <c r="S45" s="492">
        <f t="shared" si="8"/>
        <v>38214</v>
      </c>
      <c r="T45" s="493">
        <f t="shared" si="12"/>
        <v>1.0000000000000002E-2</v>
      </c>
      <c r="U45" s="493">
        <f t="shared" si="13"/>
        <v>0</v>
      </c>
      <c r="V45" s="493">
        <f t="shared" si="14"/>
        <v>-1.4814814814814821E-2</v>
      </c>
      <c r="W45" s="80"/>
    </row>
    <row r="46" spans="1:23">
      <c r="A46" s="494">
        <f t="shared" si="15"/>
        <v>43</v>
      </c>
      <c r="B46" s="495" t="s">
        <v>30</v>
      </c>
      <c r="C46" s="495">
        <v>1</v>
      </c>
      <c r="D46" s="75">
        <v>20</v>
      </c>
      <c r="E46" s="75">
        <v>45</v>
      </c>
      <c r="F46" s="75">
        <v>85</v>
      </c>
      <c r="G46" s="76">
        <v>0.8</v>
      </c>
      <c r="H46" s="76">
        <v>0.85</v>
      </c>
      <c r="I46" s="76">
        <v>0.85</v>
      </c>
      <c r="J46" s="76">
        <v>0.75</v>
      </c>
      <c r="K46" s="75">
        <v>4</v>
      </c>
      <c r="L46" s="75">
        <v>1</v>
      </c>
      <c r="M46" s="75">
        <v>5</v>
      </c>
      <c r="N46" s="75">
        <v>1</v>
      </c>
      <c r="O46" s="492">
        <f t="shared" si="7"/>
        <v>38078</v>
      </c>
      <c r="P46" s="492">
        <f t="shared" si="9"/>
        <v>38084</v>
      </c>
      <c r="Q46" s="492">
        <f t="shared" si="10"/>
        <v>38091</v>
      </c>
      <c r="R46" s="492">
        <f t="shared" si="11"/>
        <v>38103</v>
      </c>
      <c r="S46" s="492">
        <f t="shared" si="8"/>
        <v>38108</v>
      </c>
      <c r="T46" s="493">
        <f t="shared" si="12"/>
        <v>7.1428571428571331E-3</v>
      </c>
      <c r="U46" s="493">
        <f t="shared" si="13"/>
        <v>0</v>
      </c>
      <c r="V46" s="493">
        <f t="shared" si="14"/>
        <v>-1.9999999999999997E-2</v>
      </c>
      <c r="W46" s="80"/>
    </row>
    <row r="47" spans="1:23">
      <c r="A47" s="494">
        <f t="shared" si="15"/>
        <v>44</v>
      </c>
      <c r="B47" s="495" t="s">
        <v>31</v>
      </c>
      <c r="C47" s="495">
        <v>1</v>
      </c>
      <c r="D47" s="75">
        <v>24</v>
      </c>
      <c r="E47" s="75">
        <v>37</v>
      </c>
      <c r="F47" s="75">
        <v>86</v>
      </c>
      <c r="G47" s="76">
        <v>1.2</v>
      </c>
      <c r="H47" s="76">
        <v>1.05</v>
      </c>
      <c r="I47" s="76">
        <v>1.05</v>
      </c>
      <c r="J47" s="76">
        <v>0.8</v>
      </c>
      <c r="K47" s="75">
        <v>5</v>
      </c>
      <c r="L47" s="75">
        <v>15</v>
      </c>
      <c r="M47" s="75">
        <v>9</v>
      </c>
      <c r="N47" s="75">
        <v>30</v>
      </c>
      <c r="O47" s="492">
        <f t="shared" si="7"/>
        <v>38122</v>
      </c>
      <c r="P47" s="492">
        <f t="shared" si="9"/>
        <v>38155</v>
      </c>
      <c r="Q47" s="492">
        <f t="shared" si="10"/>
        <v>38173</v>
      </c>
      <c r="R47" s="492">
        <f t="shared" si="11"/>
        <v>38240</v>
      </c>
      <c r="S47" s="492">
        <f t="shared" si="8"/>
        <v>38260</v>
      </c>
      <c r="T47" s="493">
        <f t="shared" si="12"/>
        <v>-8.333333333333328E-3</v>
      </c>
      <c r="U47" s="493">
        <f t="shared" si="13"/>
        <v>0</v>
      </c>
      <c r="V47" s="493">
        <f t="shared" si="14"/>
        <v>-1.2500000000000001E-2</v>
      </c>
      <c r="W47" s="80"/>
    </row>
    <row r="48" spans="1:23">
      <c r="A48" s="494">
        <f t="shared" si="15"/>
        <v>45</v>
      </c>
      <c r="B48" s="495" t="s">
        <v>32</v>
      </c>
      <c r="C48" s="495">
        <v>1</v>
      </c>
      <c r="D48" s="75">
        <v>17</v>
      </c>
      <c r="E48" s="75">
        <v>45</v>
      </c>
      <c r="F48" s="75">
        <v>80</v>
      </c>
      <c r="G48" s="76">
        <v>0.2</v>
      </c>
      <c r="H48" s="76">
        <v>1.05</v>
      </c>
      <c r="I48" s="76">
        <v>1.05</v>
      </c>
      <c r="J48" s="76">
        <v>0.25</v>
      </c>
      <c r="K48" s="75">
        <v>4</v>
      </c>
      <c r="L48" s="75">
        <v>1</v>
      </c>
      <c r="M48" s="75">
        <v>7</v>
      </c>
      <c r="N48" s="75">
        <v>31</v>
      </c>
      <c r="O48" s="492">
        <f t="shared" si="7"/>
        <v>38078</v>
      </c>
      <c r="P48" s="492">
        <f t="shared" si="9"/>
        <v>38098</v>
      </c>
      <c r="Q48" s="492">
        <f t="shared" si="10"/>
        <v>38132</v>
      </c>
      <c r="R48" s="492">
        <f t="shared" si="11"/>
        <v>38174</v>
      </c>
      <c r="S48" s="492">
        <f t="shared" si="8"/>
        <v>38199</v>
      </c>
      <c r="T48" s="493">
        <f t="shared" si="12"/>
        <v>2.5000000000000001E-2</v>
      </c>
      <c r="U48" s="493">
        <f t="shared" si="13"/>
        <v>0</v>
      </c>
      <c r="V48" s="493">
        <f t="shared" si="14"/>
        <v>-3.2000000000000001E-2</v>
      </c>
      <c r="W48" s="80"/>
    </row>
    <row r="49" spans="1:23">
      <c r="A49" s="494">
        <f t="shared" si="15"/>
        <v>46</v>
      </c>
      <c r="B49" s="495" t="s">
        <v>33</v>
      </c>
      <c r="C49" s="495">
        <v>1</v>
      </c>
      <c r="D49" s="75">
        <v>17</v>
      </c>
      <c r="E49" s="75">
        <v>45</v>
      </c>
      <c r="F49" s="75">
        <v>80</v>
      </c>
      <c r="G49" s="76">
        <v>0.2</v>
      </c>
      <c r="H49" s="76">
        <v>1.05</v>
      </c>
      <c r="I49" s="76">
        <v>1.05</v>
      </c>
      <c r="J49" s="76">
        <v>0.25</v>
      </c>
      <c r="K49" s="75">
        <v>4</v>
      </c>
      <c r="L49" s="75">
        <v>1</v>
      </c>
      <c r="M49" s="75">
        <v>7</v>
      </c>
      <c r="N49" s="75">
        <v>31</v>
      </c>
      <c r="O49" s="492">
        <f t="shared" si="7"/>
        <v>38078</v>
      </c>
      <c r="P49" s="492">
        <f t="shared" si="9"/>
        <v>38098</v>
      </c>
      <c r="Q49" s="492">
        <f t="shared" si="10"/>
        <v>38132</v>
      </c>
      <c r="R49" s="492">
        <f t="shared" si="11"/>
        <v>38174</v>
      </c>
      <c r="S49" s="492">
        <f t="shared" si="8"/>
        <v>38199</v>
      </c>
      <c r="T49" s="493">
        <f t="shared" si="12"/>
        <v>2.5000000000000001E-2</v>
      </c>
      <c r="U49" s="493">
        <f t="shared" si="13"/>
        <v>0</v>
      </c>
      <c r="V49" s="493">
        <f t="shared" si="14"/>
        <v>-3.2000000000000001E-2</v>
      </c>
      <c r="W49" s="80"/>
    </row>
    <row r="50" spans="1:23">
      <c r="A50" s="494">
        <f t="shared" si="15"/>
        <v>47</v>
      </c>
      <c r="B50" s="495" t="s">
        <v>34</v>
      </c>
      <c r="C50" s="495">
        <v>1</v>
      </c>
      <c r="D50" s="75">
        <v>16</v>
      </c>
      <c r="E50" s="75">
        <v>42</v>
      </c>
      <c r="F50" s="75">
        <v>75</v>
      </c>
      <c r="G50" s="76">
        <v>0.2</v>
      </c>
      <c r="H50" s="76">
        <v>1.05</v>
      </c>
      <c r="I50" s="76">
        <v>1.05</v>
      </c>
      <c r="J50" s="76">
        <v>0.5</v>
      </c>
      <c r="K50" s="75">
        <v>4</v>
      </c>
      <c r="L50" s="75">
        <v>1</v>
      </c>
      <c r="M50" s="75">
        <v>11</v>
      </c>
      <c r="N50" s="75">
        <v>15</v>
      </c>
      <c r="O50" s="492">
        <f t="shared" si="7"/>
        <v>38078</v>
      </c>
      <c r="P50" s="492">
        <f t="shared" si="9"/>
        <v>38114</v>
      </c>
      <c r="Q50" s="492">
        <f t="shared" si="10"/>
        <v>38173</v>
      </c>
      <c r="R50" s="492">
        <f t="shared" si="11"/>
        <v>38249</v>
      </c>
      <c r="S50" s="492">
        <f t="shared" si="8"/>
        <v>38306</v>
      </c>
      <c r="T50" s="493">
        <f t="shared" si="12"/>
        <v>1.4406779661016951E-2</v>
      </c>
      <c r="U50" s="493">
        <f t="shared" si="13"/>
        <v>0</v>
      </c>
      <c r="V50" s="493">
        <f t="shared" si="14"/>
        <v>-9.6491228070175444E-3</v>
      </c>
      <c r="W50" s="80"/>
    </row>
    <row r="51" spans="1:23">
      <c r="A51" s="494">
        <f t="shared" si="15"/>
        <v>48</v>
      </c>
      <c r="B51" s="495" t="s">
        <v>35</v>
      </c>
      <c r="C51" s="495">
        <v>1</v>
      </c>
      <c r="D51" s="75">
        <v>33</v>
      </c>
      <c r="E51" s="75">
        <v>67</v>
      </c>
      <c r="F51" s="75">
        <v>92</v>
      </c>
      <c r="G51" s="76">
        <v>0.8</v>
      </c>
      <c r="H51" s="76">
        <v>0.95</v>
      </c>
      <c r="I51" s="76">
        <v>0.95</v>
      </c>
      <c r="J51" s="76">
        <v>0.9</v>
      </c>
      <c r="K51" s="75">
        <v>11</v>
      </c>
      <c r="L51" s="75">
        <v>15</v>
      </c>
      <c r="M51" s="75">
        <v>1</v>
      </c>
      <c r="N51" s="75">
        <v>31</v>
      </c>
      <c r="O51" s="492">
        <f t="shared" si="7"/>
        <v>38306</v>
      </c>
      <c r="P51" s="492">
        <f t="shared" si="9"/>
        <v>38331</v>
      </c>
      <c r="Q51" s="492">
        <f t="shared" si="10"/>
        <v>38357</v>
      </c>
      <c r="R51" s="492">
        <f t="shared" si="11"/>
        <v>38376</v>
      </c>
      <c r="S51" s="492">
        <f t="shared" si="8"/>
        <v>38383</v>
      </c>
      <c r="T51" s="493">
        <f t="shared" si="12"/>
        <v>5.7692307692307661E-3</v>
      </c>
      <c r="U51" s="493">
        <f t="shared" si="13"/>
        <v>0</v>
      </c>
      <c r="V51" s="493">
        <f t="shared" si="14"/>
        <v>-7.1428571428571331E-3</v>
      </c>
      <c r="W51" s="80"/>
    </row>
    <row r="52" spans="1:23">
      <c r="A52" s="494">
        <f t="shared" si="15"/>
        <v>49</v>
      </c>
      <c r="B52" s="495" t="s">
        <v>36</v>
      </c>
      <c r="C52" s="495">
        <v>1</v>
      </c>
      <c r="D52" s="75">
        <v>20</v>
      </c>
      <c r="E52" s="75">
        <v>50</v>
      </c>
      <c r="F52" s="75">
        <v>80</v>
      </c>
      <c r="G52" s="76">
        <v>0.52</v>
      </c>
      <c r="H52" s="76">
        <v>0.9</v>
      </c>
      <c r="I52" s="76">
        <v>0.9</v>
      </c>
      <c r="J52" s="76">
        <v>0.7</v>
      </c>
      <c r="K52" s="75">
        <v>1</v>
      </c>
      <c r="L52" s="75">
        <v>15</v>
      </c>
      <c r="M52" s="75">
        <v>4</v>
      </c>
      <c r="N52" s="75">
        <v>15</v>
      </c>
      <c r="O52" s="492">
        <f t="shared" si="7"/>
        <v>38001</v>
      </c>
      <c r="P52" s="492">
        <f t="shared" si="9"/>
        <v>38019</v>
      </c>
      <c r="Q52" s="492">
        <f t="shared" si="10"/>
        <v>38046</v>
      </c>
      <c r="R52" s="492">
        <f t="shared" si="11"/>
        <v>38073</v>
      </c>
      <c r="S52" s="492">
        <f t="shared" si="8"/>
        <v>38092</v>
      </c>
      <c r="T52" s="493">
        <f t="shared" si="12"/>
        <v>1.4074074074074074E-2</v>
      </c>
      <c r="U52" s="493">
        <f t="shared" si="13"/>
        <v>0</v>
      </c>
      <c r="V52" s="493">
        <f t="shared" si="14"/>
        <v>-1.0526315789473687E-2</v>
      </c>
      <c r="W52" s="80"/>
    </row>
    <row r="53" spans="1:23">
      <c r="A53" s="494">
        <f t="shared" si="15"/>
        <v>50</v>
      </c>
      <c r="B53" s="495" t="s">
        <v>48</v>
      </c>
      <c r="C53" s="495">
        <v>3</v>
      </c>
      <c r="D53" s="75">
        <v>0</v>
      </c>
      <c r="E53" s="75">
        <v>50</v>
      </c>
      <c r="F53" s="75">
        <v>90</v>
      </c>
      <c r="G53" s="76">
        <v>0.55000000000000004</v>
      </c>
      <c r="H53" s="76">
        <v>1.2</v>
      </c>
      <c r="I53" s="76">
        <v>1.2</v>
      </c>
      <c r="J53" s="76">
        <v>0.65</v>
      </c>
      <c r="K53" s="75">
        <v>3</v>
      </c>
      <c r="L53" s="75">
        <v>1</v>
      </c>
      <c r="M53" s="75">
        <v>10</v>
      </c>
      <c r="N53" s="75">
        <v>15</v>
      </c>
      <c r="O53" s="492">
        <f t="shared" si="7"/>
        <v>38047</v>
      </c>
      <c r="P53" s="492">
        <f t="shared" si="9"/>
        <v>38047</v>
      </c>
      <c r="Q53" s="492">
        <f t="shared" si="10"/>
        <v>38161</v>
      </c>
      <c r="R53" s="492">
        <f t="shared" si="11"/>
        <v>38252</v>
      </c>
      <c r="S53" s="492">
        <f t="shared" si="8"/>
        <v>38275</v>
      </c>
      <c r="T53" s="493">
        <f t="shared" si="12"/>
        <v>5.7017543859649118E-3</v>
      </c>
      <c r="U53" s="493">
        <f t="shared" si="13"/>
        <v>0</v>
      </c>
      <c r="V53" s="493">
        <f t="shared" si="14"/>
        <v>-2.3913043478260867E-2</v>
      </c>
      <c r="W53" s="80"/>
    </row>
    <row r="54" spans="1:23">
      <c r="A54" s="494">
        <f t="shared" si="15"/>
        <v>51</v>
      </c>
      <c r="B54" s="495" t="s">
        <v>37</v>
      </c>
      <c r="C54" s="495">
        <v>1</v>
      </c>
      <c r="D54" s="75">
        <v>15</v>
      </c>
      <c r="E54" s="75">
        <v>45</v>
      </c>
      <c r="F54" s="75">
        <v>80</v>
      </c>
      <c r="G54" s="76">
        <v>0.2</v>
      </c>
      <c r="H54" s="76">
        <v>0.7</v>
      </c>
      <c r="I54" s="76">
        <v>0.7</v>
      </c>
      <c r="J54" s="76">
        <v>0.7</v>
      </c>
      <c r="K54" s="75">
        <v>5</v>
      </c>
      <c r="L54" s="75">
        <v>1</v>
      </c>
      <c r="M54" s="75">
        <v>9</v>
      </c>
      <c r="N54" s="75">
        <v>30</v>
      </c>
      <c r="O54" s="492">
        <f t="shared" si="7"/>
        <v>38108</v>
      </c>
      <c r="P54" s="492">
        <f t="shared" si="9"/>
        <v>38130</v>
      </c>
      <c r="Q54" s="492">
        <f t="shared" si="10"/>
        <v>38176</v>
      </c>
      <c r="R54" s="492">
        <f t="shared" si="11"/>
        <v>38229</v>
      </c>
      <c r="S54" s="492">
        <f t="shared" si="8"/>
        <v>38260</v>
      </c>
      <c r="T54" s="493">
        <f t="shared" si="12"/>
        <v>1.0869565217391302E-2</v>
      </c>
      <c r="U54" s="493">
        <f t="shared" si="13"/>
        <v>0</v>
      </c>
      <c r="V54" s="493">
        <f t="shared" si="14"/>
        <v>0</v>
      </c>
      <c r="W54" s="80"/>
    </row>
    <row r="55" spans="1:23">
      <c r="A55" s="494">
        <f t="shared" si="15"/>
        <v>52</v>
      </c>
      <c r="B55" s="495" t="s">
        <v>38</v>
      </c>
      <c r="C55" s="495">
        <v>1</v>
      </c>
      <c r="D55" s="75">
        <v>15</v>
      </c>
      <c r="E55" s="75">
        <v>45</v>
      </c>
      <c r="F55" s="75">
        <v>80</v>
      </c>
      <c r="G55" s="76">
        <v>0.2</v>
      </c>
      <c r="H55" s="76">
        <v>1.1499999999999999</v>
      </c>
      <c r="I55" s="76">
        <v>1.1499999999999999</v>
      </c>
      <c r="J55" s="76">
        <v>0.95</v>
      </c>
      <c r="K55" s="75">
        <v>3</v>
      </c>
      <c r="L55" s="75">
        <v>15</v>
      </c>
      <c r="M55" s="75">
        <v>9</v>
      </c>
      <c r="N55" s="75">
        <v>30</v>
      </c>
      <c r="O55" s="492">
        <f t="shared" si="7"/>
        <v>38061</v>
      </c>
      <c r="P55" s="492">
        <f t="shared" si="9"/>
        <v>38090</v>
      </c>
      <c r="Q55" s="492">
        <f t="shared" si="10"/>
        <v>38150</v>
      </c>
      <c r="R55" s="492">
        <f t="shared" si="11"/>
        <v>38220</v>
      </c>
      <c r="S55" s="492">
        <f t="shared" si="8"/>
        <v>38260</v>
      </c>
      <c r="T55" s="493">
        <f t="shared" si="12"/>
        <v>1.5833333333333331E-2</v>
      </c>
      <c r="U55" s="493">
        <f t="shared" si="13"/>
        <v>0</v>
      </c>
      <c r="V55" s="493">
        <f t="shared" si="14"/>
        <v>-4.9999999999999992E-3</v>
      </c>
      <c r="W55" s="80"/>
    </row>
    <row r="56" spans="1:23">
      <c r="A56" s="494">
        <f t="shared" si="15"/>
        <v>53</v>
      </c>
      <c r="B56" s="495" t="s">
        <v>39</v>
      </c>
      <c r="C56" s="495">
        <v>1</v>
      </c>
      <c r="D56" s="75">
        <v>20</v>
      </c>
      <c r="E56" s="75">
        <v>45</v>
      </c>
      <c r="F56" s="75">
        <v>80</v>
      </c>
      <c r="G56" s="76">
        <v>0.2</v>
      </c>
      <c r="H56" s="76">
        <v>1.1000000000000001</v>
      </c>
      <c r="I56" s="76">
        <v>1.1000000000000001</v>
      </c>
      <c r="J56" s="76">
        <v>0.4</v>
      </c>
      <c r="K56" s="75">
        <v>5</v>
      </c>
      <c r="L56" s="75">
        <v>1</v>
      </c>
      <c r="M56" s="75">
        <v>9</v>
      </c>
      <c r="N56" s="75">
        <v>10</v>
      </c>
      <c r="O56" s="492">
        <f t="shared" si="7"/>
        <v>38108</v>
      </c>
      <c r="P56" s="492">
        <f t="shared" si="9"/>
        <v>38134</v>
      </c>
      <c r="Q56" s="492">
        <f t="shared" si="10"/>
        <v>38167</v>
      </c>
      <c r="R56" s="492">
        <f t="shared" si="11"/>
        <v>38213</v>
      </c>
      <c r="S56" s="492">
        <f t="shared" si="8"/>
        <v>38240</v>
      </c>
      <c r="T56" s="493">
        <f t="shared" si="12"/>
        <v>2.7272727272727278E-2</v>
      </c>
      <c r="U56" s="493">
        <f t="shared" si="13"/>
        <v>0</v>
      </c>
      <c r="V56" s="493">
        <f t="shared" si="14"/>
        <v>-2.5925925925925929E-2</v>
      </c>
      <c r="W56" s="80"/>
    </row>
    <row r="57" spans="1:23">
      <c r="A57" s="494">
        <f t="shared" si="15"/>
        <v>54</v>
      </c>
      <c r="B57" s="495" t="s">
        <v>40</v>
      </c>
      <c r="C57" s="495">
        <v>1</v>
      </c>
      <c r="D57" s="75">
        <v>20</v>
      </c>
      <c r="E57" s="75">
        <v>45</v>
      </c>
      <c r="F57" s="75">
        <v>78</v>
      </c>
      <c r="G57" s="76">
        <v>0.8</v>
      </c>
      <c r="H57" s="76">
        <v>1.1000000000000001</v>
      </c>
      <c r="I57" s="76">
        <v>1.1000000000000001</v>
      </c>
      <c r="J57" s="76">
        <v>0.7</v>
      </c>
      <c r="K57" s="75">
        <v>4</v>
      </c>
      <c r="L57" s="75">
        <v>15</v>
      </c>
      <c r="M57" s="75">
        <v>8</v>
      </c>
      <c r="N57" s="75">
        <v>15</v>
      </c>
      <c r="O57" s="492">
        <f t="shared" si="7"/>
        <v>38092</v>
      </c>
      <c r="P57" s="492">
        <f t="shared" si="9"/>
        <v>38116</v>
      </c>
      <c r="Q57" s="492">
        <f t="shared" si="10"/>
        <v>38146</v>
      </c>
      <c r="R57" s="492">
        <f t="shared" si="11"/>
        <v>38187</v>
      </c>
      <c r="S57" s="492">
        <f t="shared" si="8"/>
        <v>38214</v>
      </c>
      <c r="T57" s="493">
        <f t="shared" si="12"/>
        <v>1.0000000000000002E-2</v>
      </c>
      <c r="U57" s="493">
        <f t="shared" si="13"/>
        <v>0</v>
      </c>
      <c r="V57" s="493">
        <f t="shared" si="14"/>
        <v>-1.4814814814814821E-2</v>
      </c>
      <c r="W57" s="80"/>
    </row>
    <row r="58" spans="1:23">
      <c r="A58" s="494">
        <f t="shared" si="15"/>
        <v>55</v>
      </c>
      <c r="B58" s="495" t="s">
        <v>41</v>
      </c>
      <c r="C58" s="495">
        <v>1</v>
      </c>
      <c r="D58" s="75">
        <v>25</v>
      </c>
      <c r="E58" s="75">
        <v>50</v>
      </c>
      <c r="F58" s="75">
        <v>80</v>
      </c>
      <c r="G58" s="76">
        <v>0.3</v>
      </c>
      <c r="H58" s="76">
        <v>1.1000000000000001</v>
      </c>
      <c r="I58" s="76">
        <v>1.1000000000000001</v>
      </c>
      <c r="J58" s="76">
        <v>0.65</v>
      </c>
      <c r="K58" s="75">
        <v>4</v>
      </c>
      <c r="L58" s="75">
        <v>1</v>
      </c>
      <c r="M58" s="75">
        <v>8</v>
      </c>
      <c r="N58" s="75">
        <v>31</v>
      </c>
      <c r="O58" s="492">
        <f t="shared" si="7"/>
        <v>38078</v>
      </c>
      <c r="P58" s="492">
        <f t="shared" si="9"/>
        <v>38116</v>
      </c>
      <c r="Q58" s="492">
        <f t="shared" si="10"/>
        <v>38154</v>
      </c>
      <c r="R58" s="492">
        <f t="shared" si="11"/>
        <v>38199</v>
      </c>
      <c r="S58" s="492">
        <f t="shared" si="8"/>
        <v>38230</v>
      </c>
      <c r="T58" s="493">
        <f t="shared" si="12"/>
        <v>2.1052631578947368E-2</v>
      </c>
      <c r="U58" s="493">
        <f t="shared" si="13"/>
        <v>0</v>
      </c>
      <c r="V58" s="493">
        <f t="shared" si="14"/>
        <v>-1.4516129032258067E-2</v>
      </c>
      <c r="W58" s="80"/>
    </row>
    <row r="59" spans="1:23">
      <c r="A59" s="494">
        <f t="shared" si="15"/>
        <v>56</v>
      </c>
      <c r="B59" s="495" t="s">
        <v>207</v>
      </c>
      <c r="C59" s="495">
        <v>2</v>
      </c>
      <c r="D59" s="75">
        <v>25</v>
      </c>
      <c r="E59" s="75">
        <v>50</v>
      </c>
      <c r="F59" s="75">
        <v>75</v>
      </c>
      <c r="G59" s="76">
        <v>0.8</v>
      </c>
      <c r="H59" s="76">
        <v>0.8</v>
      </c>
      <c r="I59" s="76">
        <v>0.8</v>
      </c>
      <c r="J59" s="76">
        <v>0.8</v>
      </c>
      <c r="K59" s="75">
        <v>1</v>
      </c>
      <c r="L59" s="75">
        <v>1</v>
      </c>
      <c r="M59" s="75">
        <v>12</v>
      </c>
      <c r="N59" s="75">
        <v>31</v>
      </c>
      <c r="O59" s="492">
        <f t="shared" si="7"/>
        <v>37987</v>
      </c>
      <c r="P59" s="492">
        <f t="shared" si="9"/>
        <v>38078</v>
      </c>
      <c r="Q59" s="492">
        <f t="shared" si="10"/>
        <v>38169</v>
      </c>
      <c r="R59" s="492">
        <f t="shared" si="11"/>
        <v>38260</v>
      </c>
      <c r="S59" s="492">
        <f t="shared" si="8"/>
        <v>38352</v>
      </c>
      <c r="T59" s="493">
        <f t="shared" si="12"/>
        <v>0</v>
      </c>
      <c r="U59" s="493">
        <f t="shared" si="13"/>
        <v>0</v>
      </c>
      <c r="V59" s="493">
        <f t="shared" si="14"/>
        <v>0</v>
      </c>
      <c r="W59" s="80"/>
    </row>
    <row r="60" spans="1:23">
      <c r="A60" s="494">
        <f t="shared" si="15"/>
        <v>57</v>
      </c>
      <c r="B60" s="495" t="s">
        <v>206</v>
      </c>
      <c r="C60" s="495">
        <v>2</v>
      </c>
      <c r="D60" s="75">
        <v>25</v>
      </c>
      <c r="E60" s="75">
        <v>50</v>
      </c>
      <c r="F60" s="75">
        <v>75</v>
      </c>
      <c r="G60" s="76">
        <v>0.6</v>
      </c>
      <c r="H60" s="76">
        <v>0.6</v>
      </c>
      <c r="I60" s="76">
        <v>0.6</v>
      </c>
      <c r="J60" s="76">
        <v>0.6</v>
      </c>
      <c r="K60" s="75">
        <v>1</v>
      </c>
      <c r="L60" s="75">
        <v>1</v>
      </c>
      <c r="M60" s="75">
        <v>12</v>
      </c>
      <c r="N60" s="75">
        <v>31</v>
      </c>
      <c r="O60" s="492">
        <f t="shared" si="7"/>
        <v>37987</v>
      </c>
      <c r="P60" s="492">
        <f t="shared" si="9"/>
        <v>38078</v>
      </c>
      <c r="Q60" s="492">
        <f t="shared" si="10"/>
        <v>38169</v>
      </c>
      <c r="R60" s="492">
        <f t="shared" si="11"/>
        <v>38260</v>
      </c>
      <c r="S60" s="492">
        <f t="shared" si="8"/>
        <v>38352</v>
      </c>
      <c r="T60" s="493">
        <f t="shared" si="12"/>
        <v>0</v>
      </c>
      <c r="U60" s="493">
        <f t="shared" si="13"/>
        <v>0</v>
      </c>
      <c r="V60" s="493">
        <f t="shared" si="14"/>
        <v>0</v>
      </c>
      <c r="W60" s="80"/>
    </row>
    <row r="61" spans="1:23">
      <c r="A61" s="494">
        <f t="shared" si="15"/>
        <v>58</v>
      </c>
      <c r="B61" s="495" t="s">
        <v>42</v>
      </c>
      <c r="C61" s="495">
        <v>1</v>
      </c>
      <c r="D61" s="75">
        <v>33</v>
      </c>
      <c r="E61" s="75">
        <v>67</v>
      </c>
      <c r="F61" s="75">
        <v>92</v>
      </c>
      <c r="G61" s="76">
        <v>0.8</v>
      </c>
      <c r="H61" s="76">
        <v>0.9</v>
      </c>
      <c r="I61" s="76">
        <v>0.9</v>
      </c>
      <c r="J61" s="76">
        <v>0.9</v>
      </c>
      <c r="K61" s="75">
        <v>3</v>
      </c>
      <c r="L61" s="75">
        <v>1</v>
      </c>
      <c r="M61" s="75">
        <v>8</v>
      </c>
      <c r="N61" s="75">
        <v>31</v>
      </c>
      <c r="O61" s="492">
        <f t="shared" si="7"/>
        <v>38047</v>
      </c>
      <c r="P61" s="492">
        <f t="shared" si="9"/>
        <v>38107</v>
      </c>
      <c r="Q61" s="492">
        <f t="shared" si="10"/>
        <v>38169</v>
      </c>
      <c r="R61" s="492">
        <f t="shared" si="11"/>
        <v>38215</v>
      </c>
      <c r="S61" s="492">
        <f t="shared" si="8"/>
        <v>38230</v>
      </c>
      <c r="T61" s="493">
        <f t="shared" si="12"/>
        <v>1.6129032258064512E-3</v>
      </c>
      <c r="U61" s="493">
        <f t="shared" si="13"/>
        <v>0</v>
      </c>
      <c r="V61" s="493">
        <f t="shared" si="14"/>
        <v>0</v>
      </c>
      <c r="W61" s="80"/>
    </row>
    <row r="62" spans="1:23">
      <c r="A62" s="494">
        <f t="shared" si="15"/>
        <v>59</v>
      </c>
      <c r="B62" s="495" t="s">
        <v>49</v>
      </c>
      <c r="C62" s="495">
        <v>3</v>
      </c>
      <c r="D62" s="75">
        <v>0</v>
      </c>
      <c r="E62" s="75">
        <v>50</v>
      </c>
      <c r="F62" s="75">
        <v>75</v>
      </c>
      <c r="G62" s="76">
        <v>0.55000000000000004</v>
      </c>
      <c r="H62" s="76">
        <v>1.1499999999999999</v>
      </c>
      <c r="I62" s="76">
        <v>1.1499999999999999</v>
      </c>
      <c r="J62" s="76">
        <v>0.8</v>
      </c>
      <c r="K62" s="75">
        <v>4</v>
      </c>
      <c r="L62" s="75">
        <v>1</v>
      </c>
      <c r="M62" s="75">
        <v>11</v>
      </c>
      <c r="N62" s="75">
        <v>15</v>
      </c>
      <c r="O62" s="492">
        <f t="shared" si="7"/>
        <v>38078</v>
      </c>
      <c r="P62" s="492">
        <f t="shared" si="9"/>
        <v>38078</v>
      </c>
      <c r="Q62" s="492">
        <f t="shared" si="10"/>
        <v>38192</v>
      </c>
      <c r="R62" s="492">
        <f t="shared" si="11"/>
        <v>38249</v>
      </c>
      <c r="S62" s="492">
        <f t="shared" si="8"/>
        <v>38306</v>
      </c>
      <c r="T62" s="493">
        <f t="shared" si="12"/>
        <v>5.2631578947368411E-3</v>
      </c>
      <c r="U62" s="493">
        <f t="shared" si="13"/>
        <v>0</v>
      </c>
      <c r="V62" s="493">
        <f t="shared" si="14"/>
        <v>-6.1403508771929799E-3</v>
      </c>
      <c r="W62" s="80"/>
    </row>
    <row r="63" spans="1:23">
      <c r="A63" s="494">
        <f t="shared" si="15"/>
        <v>60</v>
      </c>
      <c r="B63" s="495" t="s">
        <v>44</v>
      </c>
      <c r="C63" s="495">
        <v>1</v>
      </c>
      <c r="D63" s="75">
        <v>20</v>
      </c>
      <c r="E63" s="75">
        <v>50</v>
      </c>
      <c r="F63" s="75">
        <v>75</v>
      </c>
      <c r="G63" s="76">
        <v>0.8</v>
      </c>
      <c r="H63" s="76">
        <v>1</v>
      </c>
      <c r="I63" s="76">
        <v>1</v>
      </c>
      <c r="J63" s="76">
        <v>0.75</v>
      </c>
      <c r="K63" s="75">
        <v>4</v>
      </c>
      <c r="L63" s="75">
        <v>1</v>
      </c>
      <c r="M63" s="75">
        <v>11</v>
      </c>
      <c r="N63" s="75">
        <v>15</v>
      </c>
      <c r="O63" s="492">
        <f t="shared" si="7"/>
        <v>38078</v>
      </c>
      <c r="P63" s="492">
        <f t="shared" si="9"/>
        <v>38123</v>
      </c>
      <c r="Q63" s="492">
        <f t="shared" si="10"/>
        <v>38192</v>
      </c>
      <c r="R63" s="492">
        <f t="shared" si="11"/>
        <v>38249</v>
      </c>
      <c r="S63" s="492">
        <f t="shared" si="8"/>
        <v>38306</v>
      </c>
      <c r="T63" s="493">
        <f t="shared" si="12"/>
        <v>2.8985507246376803E-3</v>
      </c>
      <c r="U63" s="493">
        <f t="shared" si="13"/>
        <v>0</v>
      </c>
      <c r="V63" s="493">
        <f t="shared" si="14"/>
        <v>-4.3859649122807015E-3</v>
      </c>
      <c r="W63" s="80"/>
    </row>
    <row r="64" spans="1:23">
      <c r="A64" s="494">
        <f t="shared" si="15"/>
        <v>61</v>
      </c>
      <c r="B64" s="495" t="s">
        <v>43</v>
      </c>
      <c r="C64" s="495">
        <v>1</v>
      </c>
      <c r="D64" s="75">
        <v>20</v>
      </c>
      <c r="E64" s="75">
        <v>45</v>
      </c>
      <c r="F64" s="75">
        <v>75</v>
      </c>
      <c r="G64" s="76">
        <v>0.33</v>
      </c>
      <c r="H64" s="76">
        <v>1.1000000000000001</v>
      </c>
      <c r="I64" s="76">
        <v>1.1000000000000001</v>
      </c>
      <c r="J64" s="76">
        <v>0.15</v>
      </c>
      <c r="K64" s="75">
        <v>11</v>
      </c>
      <c r="L64" s="75">
        <v>1</v>
      </c>
      <c r="M64" s="75">
        <v>5</v>
      </c>
      <c r="N64" s="75">
        <v>31</v>
      </c>
      <c r="O64" s="492">
        <f t="shared" si="7"/>
        <v>38292</v>
      </c>
      <c r="P64" s="492">
        <f t="shared" si="9"/>
        <v>38334</v>
      </c>
      <c r="Q64" s="492">
        <f t="shared" si="10"/>
        <v>38386</v>
      </c>
      <c r="R64" s="492">
        <f t="shared" si="11"/>
        <v>38450</v>
      </c>
      <c r="S64" s="492">
        <f t="shared" si="8"/>
        <v>38503</v>
      </c>
      <c r="T64" s="493">
        <f t="shared" si="12"/>
        <v>1.4807692307692308E-2</v>
      </c>
      <c r="U64" s="493">
        <f t="shared" si="13"/>
        <v>0</v>
      </c>
      <c r="V64" s="493">
        <f t="shared" si="14"/>
        <v>-1.7924528301886795E-2</v>
      </c>
      <c r="W64" s="80"/>
    </row>
    <row r="65" spans="1:23">
      <c r="A65" s="494">
        <f t="shared" si="15"/>
        <v>62</v>
      </c>
      <c r="B65" s="75"/>
      <c r="C65" s="75"/>
      <c r="D65" s="75"/>
      <c r="E65" s="75"/>
      <c r="F65" s="75"/>
      <c r="G65" s="76"/>
      <c r="H65" s="76"/>
      <c r="I65" s="76"/>
      <c r="J65" s="76"/>
      <c r="K65" s="75"/>
      <c r="L65" s="75"/>
      <c r="M65" s="75"/>
      <c r="N65" s="75"/>
      <c r="O65" s="492">
        <f t="shared" ref="O65:O128" si="16">DATE(A$3,K65,L65)</f>
        <v>37955</v>
      </c>
      <c r="P65" s="492">
        <f t="shared" ref="P65:P128" si="17">INT($O65+D65/100*($S65-$O65))</f>
        <v>37955</v>
      </c>
      <c r="Q65" s="492">
        <f t="shared" ref="Q65:Q128" si="18">INT($O65+E65/100*($S65-$O65))</f>
        <v>37955</v>
      </c>
      <c r="R65" s="492">
        <f t="shared" ref="R65:R128" si="19">INT($O65+F65/100*($S65-$O65))</f>
        <v>37955</v>
      </c>
      <c r="S65" s="492">
        <f t="shared" ref="S65:S128" si="20">IF(M65&gt;K65,DATE(A$3,M65,N65),DATE(A$3+1,M65,N65))</f>
        <v>38321</v>
      </c>
      <c r="T65" s="493" t="e">
        <f t="shared" ref="T65:T128" si="21">(H65-G65)/(Q65-P65)</f>
        <v>#DIV/0!</v>
      </c>
      <c r="U65" s="493" t="e">
        <f t="shared" ref="U65:U128" si="22">(I65-H65)/(R65-Q65)</f>
        <v>#DIV/0!</v>
      </c>
      <c r="V65" s="493">
        <f t="shared" ref="V65:V128" si="23">(J65-I65)/(S65-R65)</f>
        <v>0</v>
      </c>
      <c r="W65" s="80"/>
    </row>
    <row r="66" spans="1:23">
      <c r="A66" s="494">
        <f t="shared" si="15"/>
        <v>63</v>
      </c>
      <c r="B66" s="75"/>
      <c r="C66" s="75"/>
      <c r="D66" s="75"/>
      <c r="E66" s="75"/>
      <c r="F66" s="75"/>
      <c r="G66" s="76"/>
      <c r="H66" s="76"/>
      <c r="I66" s="76"/>
      <c r="J66" s="76"/>
      <c r="K66" s="75"/>
      <c r="L66" s="75"/>
      <c r="M66" s="75"/>
      <c r="N66" s="75"/>
      <c r="O66" s="492">
        <f t="shared" si="16"/>
        <v>37955</v>
      </c>
      <c r="P66" s="492">
        <f t="shared" si="17"/>
        <v>37955</v>
      </c>
      <c r="Q66" s="492">
        <f t="shared" si="18"/>
        <v>37955</v>
      </c>
      <c r="R66" s="492">
        <f t="shared" si="19"/>
        <v>37955</v>
      </c>
      <c r="S66" s="492">
        <f t="shared" si="20"/>
        <v>38321</v>
      </c>
      <c r="T66" s="493" t="e">
        <f t="shared" si="21"/>
        <v>#DIV/0!</v>
      </c>
      <c r="U66" s="493" t="e">
        <f t="shared" si="22"/>
        <v>#DIV/0!</v>
      </c>
      <c r="V66" s="493">
        <f t="shared" si="23"/>
        <v>0</v>
      </c>
      <c r="W66" s="80"/>
    </row>
    <row r="67" spans="1:23">
      <c r="A67" s="494">
        <f t="shared" si="15"/>
        <v>64</v>
      </c>
      <c r="B67" s="75"/>
      <c r="C67" s="75"/>
      <c r="D67" s="75"/>
      <c r="E67" s="75"/>
      <c r="F67" s="75"/>
      <c r="G67" s="76"/>
      <c r="H67" s="76"/>
      <c r="I67" s="76"/>
      <c r="J67" s="76"/>
      <c r="K67" s="75"/>
      <c r="L67" s="75"/>
      <c r="M67" s="75"/>
      <c r="N67" s="75"/>
      <c r="O67" s="492">
        <f t="shared" si="16"/>
        <v>37955</v>
      </c>
      <c r="P67" s="492">
        <f t="shared" si="17"/>
        <v>37955</v>
      </c>
      <c r="Q67" s="492">
        <f t="shared" si="18"/>
        <v>37955</v>
      </c>
      <c r="R67" s="492">
        <f t="shared" si="19"/>
        <v>37955</v>
      </c>
      <c r="S67" s="492">
        <f t="shared" si="20"/>
        <v>38321</v>
      </c>
      <c r="T67" s="493" t="e">
        <f t="shared" si="21"/>
        <v>#DIV/0!</v>
      </c>
      <c r="U67" s="493" t="e">
        <f t="shared" si="22"/>
        <v>#DIV/0!</v>
      </c>
      <c r="V67" s="493">
        <f t="shared" si="23"/>
        <v>0</v>
      </c>
      <c r="W67" s="80"/>
    </row>
    <row r="68" spans="1:23">
      <c r="A68" s="494">
        <f t="shared" si="15"/>
        <v>65</v>
      </c>
      <c r="B68" s="75"/>
      <c r="C68" s="75"/>
      <c r="D68" s="75"/>
      <c r="E68" s="75"/>
      <c r="F68" s="75"/>
      <c r="G68" s="76"/>
      <c r="H68" s="76"/>
      <c r="I68" s="76"/>
      <c r="J68" s="76"/>
      <c r="K68" s="75"/>
      <c r="L68" s="75"/>
      <c r="M68" s="75"/>
      <c r="N68" s="75"/>
      <c r="O68" s="492">
        <f t="shared" si="16"/>
        <v>37955</v>
      </c>
      <c r="P68" s="492">
        <f t="shared" si="17"/>
        <v>37955</v>
      </c>
      <c r="Q68" s="492">
        <f t="shared" si="18"/>
        <v>37955</v>
      </c>
      <c r="R68" s="492">
        <f t="shared" si="19"/>
        <v>37955</v>
      </c>
      <c r="S68" s="492">
        <f t="shared" si="20"/>
        <v>38321</v>
      </c>
      <c r="T68" s="493" t="e">
        <f t="shared" si="21"/>
        <v>#DIV/0!</v>
      </c>
      <c r="U68" s="493" t="e">
        <f t="shared" si="22"/>
        <v>#DIV/0!</v>
      </c>
      <c r="V68" s="493">
        <f t="shared" si="23"/>
        <v>0</v>
      </c>
      <c r="W68" s="80"/>
    </row>
    <row r="69" spans="1:23">
      <c r="A69" s="494">
        <f t="shared" si="15"/>
        <v>66</v>
      </c>
      <c r="B69" s="75"/>
      <c r="C69" s="75"/>
      <c r="D69" s="75"/>
      <c r="E69" s="75"/>
      <c r="F69" s="75"/>
      <c r="G69" s="76"/>
      <c r="H69" s="76"/>
      <c r="I69" s="76"/>
      <c r="J69" s="76"/>
      <c r="K69" s="75"/>
      <c r="L69" s="75"/>
      <c r="M69" s="75"/>
      <c r="N69" s="75"/>
      <c r="O69" s="492">
        <f t="shared" si="16"/>
        <v>37955</v>
      </c>
      <c r="P69" s="492">
        <f t="shared" si="17"/>
        <v>37955</v>
      </c>
      <c r="Q69" s="492">
        <f t="shared" si="18"/>
        <v>37955</v>
      </c>
      <c r="R69" s="492">
        <f t="shared" si="19"/>
        <v>37955</v>
      </c>
      <c r="S69" s="492">
        <f t="shared" si="20"/>
        <v>38321</v>
      </c>
      <c r="T69" s="493" t="e">
        <f t="shared" si="21"/>
        <v>#DIV/0!</v>
      </c>
      <c r="U69" s="493" t="e">
        <f t="shared" si="22"/>
        <v>#DIV/0!</v>
      </c>
      <c r="V69" s="493">
        <f t="shared" si="23"/>
        <v>0</v>
      </c>
      <c r="W69" s="80"/>
    </row>
    <row r="70" spans="1:23">
      <c r="A70" s="494">
        <f t="shared" si="15"/>
        <v>67</v>
      </c>
      <c r="B70" s="499"/>
      <c r="C70" s="499"/>
      <c r="D70" s="75"/>
      <c r="E70" s="75"/>
      <c r="F70" s="75"/>
      <c r="G70" s="76"/>
      <c r="H70" s="76"/>
      <c r="I70" s="76"/>
      <c r="J70" s="76"/>
      <c r="K70" s="75"/>
      <c r="L70" s="75"/>
      <c r="M70" s="75"/>
      <c r="N70" s="75"/>
      <c r="O70" s="492">
        <f t="shared" si="16"/>
        <v>37955</v>
      </c>
      <c r="P70" s="492">
        <f t="shared" si="17"/>
        <v>37955</v>
      </c>
      <c r="Q70" s="492">
        <f t="shared" si="18"/>
        <v>37955</v>
      </c>
      <c r="R70" s="492">
        <f t="shared" si="19"/>
        <v>37955</v>
      </c>
      <c r="S70" s="492">
        <f t="shared" si="20"/>
        <v>38321</v>
      </c>
      <c r="T70" s="493" t="e">
        <f t="shared" si="21"/>
        <v>#DIV/0!</v>
      </c>
      <c r="U70" s="493" t="e">
        <f t="shared" si="22"/>
        <v>#DIV/0!</v>
      </c>
      <c r="V70" s="493">
        <f t="shared" si="23"/>
        <v>0</v>
      </c>
      <c r="W70" s="80"/>
    </row>
    <row r="71" spans="1:23">
      <c r="A71" s="494">
        <f t="shared" si="15"/>
        <v>68</v>
      </c>
      <c r="B71" s="499"/>
      <c r="C71" s="499"/>
      <c r="D71" s="75"/>
      <c r="E71" s="75"/>
      <c r="F71" s="75"/>
      <c r="G71" s="76"/>
      <c r="H71" s="76"/>
      <c r="I71" s="76"/>
      <c r="J71" s="76"/>
      <c r="K71" s="75"/>
      <c r="L71" s="75"/>
      <c r="M71" s="75"/>
      <c r="N71" s="75"/>
      <c r="O71" s="492">
        <f t="shared" si="16"/>
        <v>37955</v>
      </c>
      <c r="P71" s="492">
        <f t="shared" si="17"/>
        <v>37955</v>
      </c>
      <c r="Q71" s="492">
        <f t="shared" si="18"/>
        <v>37955</v>
      </c>
      <c r="R71" s="492">
        <f t="shared" si="19"/>
        <v>37955</v>
      </c>
      <c r="S71" s="492">
        <f t="shared" si="20"/>
        <v>38321</v>
      </c>
      <c r="T71" s="493" t="e">
        <f t="shared" si="21"/>
        <v>#DIV/0!</v>
      </c>
      <c r="U71" s="493" t="e">
        <f t="shared" si="22"/>
        <v>#DIV/0!</v>
      </c>
      <c r="V71" s="493">
        <f t="shared" si="23"/>
        <v>0</v>
      </c>
      <c r="W71" s="80"/>
    </row>
    <row r="72" spans="1:23">
      <c r="A72" s="494">
        <f t="shared" si="15"/>
        <v>69</v>
      </c>
      <c r="B72" s="499"/>
      <c r="C72" s="499"/>
      <c r="D72" s="75"/>
      <c r="E72" s="75"/>
      <c r="F72" s="75"/>
      <c r="G72" s="76"/>
      <c r="H72" s="76"/>
      <c r="I72" s="76"/>
      <c r="J72" s="76"/>
      <c r="K72" s="75"/>
      <c r="L72" s="75"/>
      <c r="M72" s="75"/>
      <c r="N72" s="75"/>
      <c r="O72" s="492">
        <f t="shared" si="16"/>
        <v>37955</v>
      </c>
      <c r="P72" s="492">
        <f t="shared" si="17"/>
        <v>37955</v>
      </c>
      <c r="Q72" s="492">
        <f t="shared" si="18"/>
        <v>37955</v>
      </c>
      <c r="R72" s="492">
        <f t="shared" si="19"/>
        <v>37955</v>
      </c>
      <c r="S72" s="492">
        <f t="shared" si="20"/>
        <v>38321</v>
      </c>
      <c r="T72" s="493" t="e">
        <f t="shared" si="21"/>
        <v>#DIV/0!</v>
      </c>
      <c r="U72" s="493" t="e">
        <f t="shared" si="22"/>
        <v>#DIV/0!</v>
      </c>
      <c r="V72" s="493">
        <f t="shared" si="23"/>
        <v>0</v>
      </c>
      <c r="W72" s="80"/>
    </row>
    <row r="73" spans="1:23">
      <c r="A73" s="494">
        <f t="shared" si="15"/>
        <v>70</v>
      </c>
      <c r="B73" s="75"/>
      <c r="C73" s="75"/>
      <c r="D73" s="75"/>
      <c r="E73" s="75"/>
      <c r="F73" s="75"/>
      <c r="G73" s="75"/>
      <c r="H73" s="75"/>
      <c r="I73" s="75"/>
      <c r="J73" s="75"/>
      <c r="K73" s="75"/>
      <c r="L73" s="75"/>
      <c r="M73" s="75"/>
      <c r="N73" s="75"/>
      <c r="O73" s="492">
        <f t="shared" si="16"/>
        <v>37955</v>
      </c>
      <c r="P73" s="492">
        <f t="shared" si="17"/>
        <v>37955</v>
      </c>
      <c r="Q73" s="492">
        <f t="shared" si="18"/>
        <v>37955</v>
      </c>
      <c r="R73" s="492">
        <f t="shared" si="19"/>
        <v>37955</v>
      </c>
      <c r="S73" s="492">
        <f t="shared" si="20"/>
        <v>38321</v>
      </c>
      <c r="T73" s="493" t="e">
        <f t="shared" si="21"/>
        <v>#DIV/0!</v>
      </c>
      <c r="U73" s="493" t="e">
        <f t="shared" si="22"/>
        <v>#DIV/0!</v>
      </c>
      <c r="V73" s="493">
        <f t="shared" si="23"/>
        <v>0</v>
      </c>
    </row>
    <row r="74" spans="1:23">
      <c r="A74" s="494">
        <f t="shared" si="15"/>
        <v>71</v>
      </c>
      <c r="B74" s="75"/>
      <c r="C74" s="75"/>
      <c r="D74" s="75"/>
      <c r="E74" s="75"/>
      <c r="F74" s="75"/>
      <c r="G74" s="75"/>
      <c r="H74" s="75"/>
      <c r="I74" s="75"/>
      <c r="J74" s="75"/>
      <c r="K74" s="75"/>
      <c r="L74" s="75"/>
      <c r="M74" s="75"/>
      <c r="N74" s="75"/>
      <c r="O74" s="492">
        <f t="shared" si="16"/>
        <v>37955</v>
      </c>
      <c r="P74" s="492">
        <f t="shared" si="17"/>
        <v>37955</v>
      </c>
      <c r="Q74" s="492">
        <f t="shared" si="18"/>
        <v>37955</v>
      </c>
      <c r="R74" s="492">
        <f t="shared" si="19"/>
        <v>37955</v>
      </c>
      <c r="S74" s="492">
        <f t="shared" si="20"/>
        <v>38321</v>
      </c>
      <c r="T74" s="493" t="e">
        <f t="shared" si="21"/>
        <v>#DIV/0!</v>
      </c>
      <c r="U74" s="493" t="e">
        <f t="shared" si="22"/>
        <v>#DIV/0!</v>
      </c>
      <c r="V74" s="493">
        <f t="shared" si="23"/>
        <v>0</v>
      </c>
    </row>
    <row r="75" spans="1:23">
      <c r="A75" s="494">
        <f t="shared" si="15"/>
        <v>72</v>
      </c>
      <c r="B75" s="75"/>
      <c r="C75" s="75"/>
      <c r="D75" s="75"/>
      <c r="E75" s="75"/>
      <c r="F75" s="75"/>
      <c r="G75" s="75"/>
      <c r="H75" s="75"/>
      <c r="I75" s="75"/>
      <c r="J75" s="75"/>
      <c r="K75" s="75"/>
      <c r="L75" s="75"/>
      <c r="M75" s="75"/>
      <c r="N75" s="75"/>
      <c r="O75" s="492">
        <f t="shared" si="16"/>
        <v>37955</v>
      </c>
      <c r="P75" s="492">
        <f t="shared" si="17"/>
        <v>37955</v>
      </c>
      <c r="Q75" s="492">
        <f t="shared" si="18"/>
        <v>37955</v>
      </c>
      <c r="R75" s="492">
        <f t="shared" si="19"/>
        <v>37955</v>
      </c>
      <c r="S75" s="492">
        <f t="shared" si="20"/>
        <v>38321</v>
      </c>
      <c r="T75" s="493" t="e">
        <f t="shared" si="21"/>
        <v>#DIV/0!</v>
      </c>
      <c r="U75" s="493" t="e">
        <f t="shared" si="22"/>
        <v>#DIV/0!</v>
      </c>
      <c r="V75" s="493">
        <f t="shared" si="23"/>
        <v>0</v>
      </c>
    </row>
    <row r="76" spans="1:23">
      <c r="A76" s="494">
        <f t="shared" si="15"/>
        <v>73</v>
      </c>
      <c r="B76" s="75"/>
      <c r="C76" s="75"/>
      <c r="D76" s="75"/>
      <c r="E76" s="75"/>
      <c r="F76" s="75"/>
      <c r="G76" s="75"/>
      <c r="H76" s="75"/>
      <c r="I76" s="75"/>
      <c r="J76" s="75"/>
      <c r="K76" s="75"/>
      <c r="L76" s="75"/>
      <c r="M76" s="75"/>
      <c r="N76" s="75"/>
      <c r="O76" s="492">
        <f t="shared" si="16"/>
        <v>37955</v>
      </c>
      <c r="P76" s="492">
        <f t="shared" si="17"/>
        <v>37955</v>
      </c>
      <c r="Q76" s="492">
        <f t="shared" si="18"/>
        <v>37955</v>
      </c>
      <c r="R76" s="492">
        <f t="shared" si="19"/>
        <v>37955</v>
      </c>
      <c r="S76" s="492">
        <f t="shared" si="20"/>
        <v>38321</v>
      </c>
      <c r="T76" s="493" t="e">
        <f t="shared" si="21"/>
        <v>#DIV/0!</v>
      </c>
      <c r="U76" s="493" t="e">
        <f t="shared" si="22"/>
        <v>#DIV/0!</v>
      </c>
      <c r="V76" s="493">
        <f t="shared" si="23"/>
        <v>0</v>
      </c>
    </row>
    <row r="77" spans="1:23">
      <c r="A77" s="494">
        <f t="shared" si="15"/>
        <v>74</v>
      </c>
      <c r="B77" s="75"/>
      <c r="C77" s="75"/>
      <c r="D77" s="75"/>
      <c r="E77" s="75"/>
      <c r="F77" s="75"/>
      <c r="G77" s="75"/>
      <c r="H77" s="75"/>
      <c r="I77" s="75"/>
      <c r="J77" s="75"/>
      <c r="K77" s="75"/>
      <c r="L77" s="75"/>
      <c r="M77" s="75"/>
      <c r="N77" s="75"/>
      <c r="O77" s="492">
        <f t="shared" si="16"/>
        <v>37955</v>
      </c>
      <c r="P77" s="492">
        <f t="shared" si="17"/>
        <v>37955</v>
      </c>
      <c r="Q77" s="492">
        <f t="shared" si="18"/>
        <v>37955</v>
      </c>
      <c r="R77" s="492">
        <f t="shared" si="19"/>
        <v>37955</v>
      </c>
      <c r="S77" s="492">
        <f t="shared" si="20"/>
        <v>38321</v>
      </c>
      <c r="T77" s="493" t="e">
        <f t="shared" si="21"/>
        <v>#DIV/0!</v>
      </c>
      <c r="U77" s="493" t="e">
        <f t="shared" si="22"/>
        <v>#DIV/0!</v>
      </c>
      <c r="V77" s="493">
        <f t="shared" si="23"/>
        <v>0</v>
      </c>
    </row>
    <row r="78" spans="1:23">
      <c r="A78" s="494">
        <f t="shared" si="15"/>
        <v>75</v>
      </c>
      <c r="B78" s="75"/>
      <c r="C78" s="75"/>
      <c r="D78" s="75"/>
      <c r="E78" s="75"/>
      <c r="F78" s="75"/>
      <c r="G78" s="75"/>
      <c r="H78" s="75"/>
      <c r="I78" s="75"/>
      <c r="J78" s="75"/>
      <c r="K78" s="75"/>
      <c r="L78" s="75"/>
      <c r="M78" s="75"/>
      <c r="N78" s="75"/>
      <c r="O78" s="492">
        <f t="shared" si="16"/>
        <v>37955</v>
      </c>
      <c r="P78" s="492">
        <f t="shared" si="17"/>
        <v>37955</v>
      </c>
      <c r="Q78" s="492">
        <f t="shared" si="18"/>
        <v>37955</v>
      </c>
      <c r="R78" s="492">
        <f t="shared" si="19"/>
        <v>37955</v>
      </c>
      <c r="S78" s="492">
        <f t="shared" si="20"/>
        <v>38321</v>
      </c>
      <c r="T78" s="493" t="e">
        <f t="shared" si="21"/>
        <v>#DIV/0!</v>
      </c>
      <c r="U78" s="493" t="e">
        <f t="shared" si="22"/>
        <v>#DIV/0!</v>
      </c>
      <c r="V78" s="493">
        <f t="shared" si="23"/>
        <v>0</v>
      </c>
    </row>
    <row r="79" spans="1:23">
      <c r="A79" s="494">
        <f t="shared" si="15"/>
        <v>76</v>
      </c>
      <c r="B79" s="75"/>
      <c r="C79" s="75"/>
      <c r="D79" s="75"/>
      <c r="E79" s="75"/>
      <c r="F79" s="75"/>
      <c r="G79" s="75"/>
      <c r="H79" s="75"/>
      <c r="I79" s="75"/>
      <c r="J79" s="75"/>
      <c r="K79" s="75"/>
      <c r="L79" s="75"/>
      <c r="M79" s="75"/>
      <c r="N79" s="75"/>
      <c r="O79" s="492">
        <f t="shared" si="16"/>
        <v>37955</v>
      </c>
      <c r="P79" s="492">
        <f t="shared" si="17"/>
        <v>37955</v>
      </c>
      <c r="Q79" s="492">
        <f t="shared" si="18"/>
        <v>37955</v>
      </c>
      <c r="R79" s="492">
        <f t="shared" si="19"/>
        <v>37955</v>
      </c>
      <c r="S79" s="492">
        <f t="shared" si="20"/>
        <v>38321</v>
      </c>
      <c r="T79" s="493" t="e">
        <f t="shared" si="21"/>
        <v>#DIV/0!</v>
      </c>
      <c r="U79" s="493" t="e">
        <f t="shared" si="22"/>
        <v>#DIV/0!</v>
      </c>
      <c r="V79" s="493">
        <f t="shared" si="23"/>
        <v>0</v>
      </c>
    </row>
    <row r="80" spans="1:23">
      <c r="A80" s="494">
        <f t="shared" si="15"/>
        <v>77</v>
      </c>
      <c r="B80" s="75"/>
      <c r="C80" s="75"/>
      <c r="D80" s="75"/>
      <c r="E80" s="75"/>
      <c r="F80" s="75"/>
      <c r="G80" s="75"/>
      <c r="H80" s="75"/>
      <c r="I80" s="75"/>
      <c r="J80" s="75"/>
      <c r="K80" s="75"/>
      <c r="L80" s="75"/>
      <c r="M80" s="75"/>
      <c r="N80" s="75"/>
      <c r="O80" s="492">
        <f t="shared" si="16"/>
        <v>37955</v>
      </c>
      <c r="P80" s="492">
        <f t="shared" si="17"/>
        <v>37955</v>
      </c>
      <c r="Q80" s="492">
        <f t="shared" si="18"/>
        <v>37955</v>
      </c>
      <c r="R80" s="492">
        <f t="shared" si="19"/>
        <v>37955</v>
      </c>
      <c r="S80" s="492">
        <f t="shared" si="20"/>
        <v>38321</v>
      </c>
      <c r="T80" s="493" t="e">
        <f t="shared" si="21"/>
        <v>#DIV/0!</v>
      </c>
      <c r="U80" s="493" t="e">
        <f t="shared" si="22"/>
        <v>#DIV/0!</v>
      </c>
      <c r="V80" s="493">
        <f t="shared" si="23"/>
        <v>0</v>
      </c>
    </row>
    <row r="81" spans="1:22">
      <c r="A81" s="494">
        <f t="shared" si="15"/>
        <v>78</v>
      </c>
      <c r="B81" s="75"/>
      <c r="C81" s="75"/>
      <c r="D81" s="75"/>
      <c r="E81" s="75"/>
      <c r="F81" s="75"/>
      <c r="G81" s="75"/>
      <c r="H81" s="75"/>
      <c r="I81" s="75"/>
      <c r="J81" s="75"/>
      <c r="K81" s="75"/>
      <c r="L81" s="75"/>
      <c r="M81" s="75"/>
      <c r="N81" s="75"/>
      <c r="O81" s="492">
        <f t="shared" si="16"/>
        <v>37955</v>
      </c>
      <c r="P81" s="492">
        <f t="shared" si="17"/>
        <v>37955</v>
      </c>
      <c r="Q81" s="492">
        <f t="shared" si="18"/>
        <v>37955</v>
      </c>
      <c r="R81" s="492">
        <f t="shared" si="19"/>
        <v>37955</v>
      </c>
      <c r="S81" s="492">
        <f t="shared" si="20"/>
        <v>38321</v>
      </c>
      <c r="T81" s="493" t="e">
        <f t="shared" si="21"/>
        <v>#DIV/0!</v>
      </c>
      <c r="U81" s="493" t="e">
        <f t="shared" si="22"/>
        <v>#DIV/0!</v>
      </c>
      <c r="V81" s="493">
        <f t="shared" si="23"/>
        <v>0</v>
      </c>
    </row>
    <row r="82" spans="1:22">
      <c r="A82" s="494">
        <f t="shared" si="15"/>
        <v>79</v>
      </c>
      <c r="B82" s="75"/>
      <c r="C82" s="75"/>
      <c r="D82" s="75"/>
      <c r="E82" s="75"/>
      <c r="F82" s="75"/>
      <c r="G82" s="75"/>
      <c r="H82" s="75"/>
      <c r="I82" s="75"/>
      <c r="J82" s="75"/>
      <c r="K82" s="75"/>
      <c r="L82" s="75"/>
      <c r="M82" s="75"/>
      <c r="N82" s="75"/>
      <c r="O82" s="492">
        <f t="shared" si="16"/>
        <v>37955</v>
      </c>
      <c r="P82" s="492">
        <f t="shared" si="17"/>
        <v>37955</v>
      </c>
      <c r="Q82" s="492">
        <f t="shared" si="18"/>
        <v>37955</v>
      </c>
      <c r="R82" s="492">
        <f t="shared" si="19"/>
        <v>37955</v>
      </c>
      <c r="S82" s="492">
        <f t="shared" si="20"/>
        <v>38321</v>
      </c>
      <c r="T82" s="493" t="e">
        <f t="shared" si="21"/>
        <v>#DIV/0!</v>
      </c>
      <c r="U82" s="493" t="e">
        <f t="shared" si="22"/>
        <v>#DIV/0!</v>
      </c>
      <c r="V82" s="493">
        <f t="shared" si="23"/>
        <v>0</v>
      </c>
    </row>
    <row r="83" spans="1:22">
      <c r="A83" s="494">
        <f t="shared" si="15"/>
        <v>80</v>
      </c>
      <c r="B83" s="75"/>
      <c r="C83" s="75"/>
      <c r="D83" s="75"/>
      <c r="E83" s="75"/>
      <c r="F83" s="75"/>
      <c r="G83" s="75"/>
      <c r="H83" s="75"/>
      <c r="I83" s="75"/>
      <c r="J83" s="75"/>
      <c r="K83" s="75"/>
      <c r="L83" s="75"/>
      <c r="M83" s="75"/>
      <c r="N83" s="75"/>
      <c r="O83" s="492">
        <f t="shared" si="16"/>
        <v>37955</v>
      </c>
      <c r="P83" s="492">
        <f t="shared" si="17"/>
        <v>37955</v>
      </c>
      <c r="Q83" s="492">
        <f t="shared" si="18"/>
        <v>37955</v>
      </c>
      <c r="R83" s="492">
        <f t="shared" si="19"/>
        <v>37955</v>
      </c>
      <c r="S83" s="492">
        <f t="shared" si="20"/>
        <v>38321</v>
      </c>
      <c r="T83" s="493" t="e">
        <f t="shared" si="21"/>
        <v>#DIV/0!</v>
      </c>
      <c r="U83" s="493" t="e">
        <f t="shared" si="22"/>
        <v>#DIV/0!</v>
      </c>
      <c r="V83" s="493">
        <f t="shared" si="23"/>
        <v>0</v>
      </c>
    </row>
    <row r="84" spans="1:22">
      <c r="A84" s="494">
        <f t="shared" si="15"/>
        <v>81</v>
      </c>
      <c r="B84" s="75"/>
      <c r="C84" s="75"/>
      <c r="D84" s="75"/>
      <c r="E84" s="75"/>
      <c r="F84" s="75"/>
      <c r="G84" s="75"/>
      <c r="H84" s="75"/>
      <c r="I84" s="75"/>
      <c r="J84" s="75"/>
      <c r="K84" s="75"/>
      <c r="L84" s="75"/>
      <c r="M84" s="75"/>
      <c r="N84" s="75"/>
      <c r="O84" s="492">
        <f t="shared" si="16"/>
        <v>37955</v>
      </c>
      <c r="P84" s="492">
        <f t="shared" si="17"/>
        <v>37955</v>
      </c>
      <c r="Q84" s="492">
        <f t="shared" si="18"/>
        <v>37955</v>
      </c>
      <c r="R84" s="492">
        <f t="shared" si="19"/>
        <v>37955</v>
      </c>
      <c r="S84" s="492">
        <f t="shared" si="20"/>
        <v>38321</v>
      </c>
      <c r="T84" s="493" t="e">
        <f t="shared" si="21"/>
        <v>#DIV/0!</v>
      </c>
      <c r="U84" s="493" t="e">
        <f t="shared" si="22"/>
        <v>#DIV/0!</v>
      </c>
      <c r="V84" s="493">
        <f t="shared" si="23"/>
        <v>0</v>
      </c>
    </row>
    <row r="85" spans="1:22">
      <c r="A85" s="494">
        <f t="shared" si="15"/>
        <v>82</v>
      </c>
      <c r="B85" s="75"/>
      <c r="C85" s="75"/>
      <c r="D85" s="75"/>
      <c r="E85" s="75"/>
      <c r="F85" s="75"/>
      <c r="G85" s="75"/>
      <c r="H85" s="75"/>
      <c r="I85" s="75"/>
      <c r="J85" s="75"/>
      <c r="K85" s="75"/>
      <c r="L85" s="75"/>
      <c r="M85" s="75"/>
      <c r="N85" s="75"/>
      <c r="O85" s="492">
        <f t="shared" si="16"/>
        <v>37955</v>
      </c>
      <c r="P85" s="492">
        <f t="shared" si="17"/>
        <v>37955</v>
      </c>
      <c r="Q85" s="492">
        <f t="shared" si="18"/>
        <v>37955</v>
      </c>
      <c r="R85" s="492">
        <f t="shared" si="19"/>
        <v>37955</v>
      </c>
      <c r="S85" s="492">
        <f t="shared" si="20"/>
        <v>38321</v>
      </c>
      <c r="T85" s="493" t="e">
        <f t="shared" si="21"/>
        <v>#DIV/0!</v>
      </c>
      <c r="U85" s="493" t="e">
        <f t="shared" si="22"/>
        <v>#DIV/0!</v>
      </c>
      <c r="V85" s="493">
        <f t="shared" si="23"/>
        <v>0</v>
      </c>
    </row>
    <row r="86" spans="1:22">
      <c r="A86" s="494">
        <f t="shared" si="15"/>
        <v>83</v>
      </c>
      <c r="B86" s="75"/>
      <c r="C86" s="75"/>
      <c r="D86" s="75"/>
      <c r="E86" s="75"/>
      <c r="F86" s="75"/>
      <c r="G86" s="75"/>
      <c r="H86" s="75"/>
      <c r="I86" s="75"/>
      <c r="J86" s="75"/>
      <c r="K86" s="75"/>
      <c r="L86" s="75"/>
      <c r="M86" s="75"/>
      <c r="N86" s="75"/>
      <c r="O86" s="492">
        <f t="shared" si="16"/>
        <v>37955</v>
      </c>
      <c r="P86" s="492">
        <f t="shared" si="17"/>
        <v>37955</v>
      </c>
      <c r="Q86" s="492">
        <f t="shared" si="18"/>
        <v>37955</v>
      </c>
      <c r="R86" s="492">
        <f t="shared" si="19"/>
        <v>37955</v>
      </c>
      <c r="S86" s="492">
        <f t="shared" si="20"/>
        <v>38321</v>
      </c>
      <c r="T86" s="493" t="e">
        <f t="shared" si="21"/>
        <v>#DIV/0!</v>
      </c>
      <c r="U86" s="493" t="e">
        <f t="shared" si="22"/>
        <v>#DIV/0!</v>
      </c>
      <c r="V86" s="493">
        <f t="shared" si="23"/>
        <v>0</v>
      </c>
    </row>
    <row r="87" spans="1:22">
      <c r="A87" s="494">
        <f t="shared" si="15"/>
        <v>84</v>
      </c>
      <c r="B87" s="75"/>
      <c r="C87" s="75"/>
      <c r="D87" s="75"/>
      <c r="E87" s="75"/>
      <c r="F87" s="75"/>
      <c r="G87" s="75"/>
      <c r="H87" s="75"/>
      <c r="I87" s="75"/>
      <c r="J87" s="75"/>
      <c r="K87" s="75"/>
      <c r="L87" s="75"/>
      <c r="M87" s="75"/>
      <c r="N87" s="75"/>
      <c r="O87" s="492">
        <f t="shared" si="16"/>
        <v>37955</v>
      </c>
      <c r="P87" s="492">
        <f t="shared" si="17"/>
        <v>37955</v>
      </c>
      <c r="Q87" s="492">
        <f t="shared" si="18"/>
        <v>37955</v>
      </c>
      <c r="R87" s="492">
        <f t="shared" si="19"/>
        <v>37955</v>
      </c>
      <c r="S87" s="492">
        <f t="shared" si="20"/>
        <v>38321</v>
      </c>
      <c r="T87" s="493" t="e">
        <f t="shared" si="21"/>
        <v>#DIV/0!</v>
      </c>
      <c r="U87" s="493" t="e">
        <f t="shared" si="22"/>
        <v>#DIV/0!</v>
      </c>
      <c r="V87" s="493">
        <f t="shared" si="23"/>
        <v>0</v>
      </c>
    </row>
    <row r="88" spans="1:22">
      <c r="A88" s="494">
        <f t="shared" si="15"/>
        <v>85</v>
      </c>
      <c r="B88" s="75"/>
      <c r="C88" s="75"/>
      <c r="D88" s="75"/>
      <c r="E88" s="75"/>
      <c r="F88" s="75"/>
      <c r="G88" s="75"/>
      <c r="H88" s="75"/>
      <c r="I88" s="75"/>
      <c r="J88" s="75"/>
      <c r="K88" s="75"/>
      <c r="L88" s="75"/>
      <c r="M88" s="75"/>
      <c r="N88" s="75"/>
      <c r="O88" s="492">
        <f t="shared" si="16"/>
        <v>37955</v>
      </c>
      <c r="P88" s="492">
        <f t="shared" si="17"/>
        <v>37955</v>
      </c>
      <c r="Q88" s="492">
        <f t="shared" si="18"/>
        <v>37955</v>
      </c>
      <c r="R88" s="492">
        <f t="shared" si="19"/>
        <v>37955</v>
      </c>
      <c r="S88" s="492">
        <f t="shared" si="20"/>
        <v>38321</v>
      </c>
      <c r="T88" s="493" t="e">
        <f t="shared" si="21"/>
        <v>#DIV/0!</v>
      </c>
      <c r="U88" s="493" t="e">
        <f t="shared" si="22"/>
        <v>#DIV/0!</v>
      </c>
      <c r="V88" s="493">
        <f t="shared" si="23"/>
        <v>0</v>
      </c>
    </row>
    <row r="89" spans="1:22">
      <c r="A89" s="494">
        <f t="shared" si="15"/>
        <v>86</v>
      </c>
      <c r="B89" s="75"/>
      <c r="C89" s="75"/>
      <c r="D89" s="75"/>
      <c r="E89" s="75"/>
      <c r="F89" s="75"/>
      <c r="G89" s="75"/>
      <c r="H89" s="75"/>
      <c r="I89" s="75"/>
      <c r="J89" s="75"/>
      <c r="K89" s="75"/>
      <c r="L89" s="75"/>
      <c r="M89" s="75"/>
      <c r="N89" s="75"/>
      <c r="O89" s="492">
        <f t="shared" si="16"/>
        <v>37955</v>
      </c>
      <c r="P89" s="492">
        <f t="shared" si="17"/>
        <v>37955</v>
      </c>
      <c r="Q89" s="492">
        <f t="shared" si="18"/>
        <v>37955</v>
      </c>
      <c r="R89" s="492">
        <f t="shared" si="19"/>
        <v>37955</v>
      </c>
      <c r="S89" s="492">
        <f t="shared" si="20"/>
        <v>38321</v>
      </c>
      <c r="T89" s="493" t="e">
        <f t="shared" si="21"/>
        <v>#DIV/0!</v>
      </c>
      <c r="U89" s="493" t="e">
        <f t="shared" si="22"/>
        <v>#DIV/0!</v>
      </c>
      <c r="V89" s="493">
        <f t="shared" si="23"/>
        <v>0</v>
      </c>
    </row>
    <row r="90" spans="1:22">
      <c r="A90" s="494">
        <f t="shared" si="15"/>
        <v>87</v>
      </c>
      <c r="B90" s="75"/>
      <c r="C90" s="75"/>
      <c r="D90" s="75"/>
      <c r="E90" s="75"/>
      <c r="F90" s="75"/>
      <c r="G90" s="75"/>
      <c r="H90" s="75"/>
      <c r="I90" s="75"/>
      <c r="J90" s="75"/>
      <c r="K90" s="75"/>
      <c r="L90" s="75"/>
      <c r="M90" s="75"/>
      <c r="N90" s="75"/>
      <c r="O90" s="492">
        <f t="shared" si="16"/>
        <v>37955</v>
      </c>
      <c r="P90" s="492">
        <f t="shared" si="17"/>
        <v>37955</v>
      </c>
      <c r="Q90" s="492">
        <f t="shared" si="18"/>
        <v>37955</v>
      </c>
      <c r="R90" s="492">
        <f t="shared" si="19"/>
        <v>37955</v>
      </c>
      <c r="S90" s="492">
        <f t="shared" si="20"/>
        <v>38321</v>
      </c>
      <c r="T90" s="493" t="e">
        <f t="shared" si="21"/>
        <v>#DIV/0!</v>
      </c>
      <c r="U90" s="493" t="e">
        <f t="shared" si="22"/>
        <v>#DIV/0!</v>
      </c>
      <c r="V90" s="493">
        <f t="shared" si="23"/>
        <v>0</v>
      </c>
    </row>
    <row r="91" spans="1:22">
      <c r="A91" s="494">
        <f t="shared" si="15"/>
        <v>88</v>
      </c>
      <c r="B91" s="75"/>
      <c r="C91" s="75"/>
      <c r="D91" s="75"/>
      <c r="E91" s="75"/>
      <c r="F91" s="75"/>
      <c r="G91" s="75"/>
      <c r="H91" s="75"/>
      <c r="I91" s="75"/>
      <c r="J91" s="75"/>
      <c r="K91" s="75"/>
      <c r="L91" s="75"/>
      <c r="M91" s="75"/>
      <c r="N91" s="75"/>
      <c r="O91" s="492">
        <f t="shared" si="16"/>
        <v>37955</v>
      </c>
      <c r="P91" s="492">
        <f t="shared" si="17"/>
        <v>37955</v>
      </c>
      <c r="Q91" s="492">
        <f t="shared" si="18"/>
        <v>37955</v>
      </c>
      <c r="R91" s="492">
        <f t="shared" si="19"/>
        <v>37955</v>
      </c>
      <c r="S91" s="492">
        <f t="shared" si="20"/>
        <v>38321</v>
      </c>
      <c r="T91" s="493" t="e">
        <f t="shared" si="21"/>
        <v>#DIV/0!</v>
      </c>
      <c r="U91" s="493" t="e">
        <f t="shared" si="22"/>
        <v>#DIV/0!</v>
      </c>
      <c r="V91" s="493">
        <f t="shared" si="23"/>
        <v>0</v>
      </c>
    </row>
    <row r="92" spans="1:22">
      <c r="A92" s="494">
        <f t="shared" si="15"/>
        <v>89</v>
      </c>
      <c r="B92" s="75"/>
      <c r="C92" s="75"/>
      <c r="D92" s="75"/>
      <c r="E92" s="75"/>
      <c r="F92" s="75"/>
      <c r="G92" s="75"/>
      <c r="H92" s="75"/>
      <c r="I92" s="75"/>
      <c r="J92" s="75"/>
      <c r="K92" s="75"/>
      <c r="L92" s="75"/>
      <c r="M92" s="75"/>
      <c r="N92" s="75"/>
      <c r="O92" s="492">
        <f t="shared" si="16"/>
        <v>37955</v>
      </c>
      <c r="P92" s="492">
        <f t="shared" si="17"/>
        <v>37955</v>
      </c>
      <c r="Q92" s="492">
        <f t="shared" si="18"/>
        <v>37955</v>
      </c>
      <c r="R92" s="492">
        <f t="shared" si="19"/>
        <v>37955</v>
      </c>
      <c r="S92" s="492">
        <f t="shared" si="20"/>
        <v>38321</v>
      </c>
      <c r="T92" s="493" t="e">
        <f t="shared" si="21"/>
        <v>#DIV/0!</v>
      </c>
      <c r="U92" s="493" t="e">
        <f t="shared" si="22"/>
        <v>#DIV/0!</v>
      </c>
      <c r="V92" s="493">
        <f t="shared" si="23"/>
        <v>0</v>
      </c>
    </row>
    <row r="93" spans="1:22">
      <c r="A93" s="494">
        <f t="shared" si="15"/>
        <v>90</v>
      </c>
      <c r="B93" s="75"/>
      <c r="C93" s="75"/>
      <c r="D93" s="75"/>
      <c r="E93" s="75"/>
      <c r="F93" s="75"/>
      <c r="G93" s="75"/>
      <c r="H93" s="75"/>
      <c r="I93" s="75"/>
      <c r="J93" s="75"/>
      <c r="K93" s="75"/>
      <c r="L93" s="75"/>
      <c r="M93" s="75"/>
      <c r="N93" s="75"/>
      <c r="O93" s="492">
        <f t="shared" si="16"/>
        <v>37955</v>
      </c>
      <c r="P93" s="492">
        <f t="shared" si="17"/>
        <v>37955</v>
      </c>
      <c r="Q93" s="492">
        <f t="shared" si="18"/>
        <v>37955</v>
      </c>
      <c r="R93" s="492">
        <f t="shared" si="19"/>
        <v>37955</v>
      </c>
      <c r="S93" s="492">
        <f t="shared" si="20"/>
        <v>38321</v>
      </c>
      <c r="T93" s="493" t="e">
        <f t="shared" si="21"/>
        <v>#DIV/0!</v>
      </c>
      <c r="U93" s="493" t="e">
        <f t="shared" si="22"/>
        <v>#DIV/0!</v>
      </c>
      <c r="V93" s="493">
        <f t="shared" si="23"/>
        <v>0</v>
      </c>
    </row>
    <row r="94" spans="1:22">
      <c r="A94" s="494">
        <f t="shared" si="15"/>
        <v>91</v>
      </c>
      <c r="B94" s="75"/>
      <c r="C94" s="75"/>
      <c r="D94" s="75"/>
      <c r="E94" s="75"/>
      <c r="F94" s="75"/>
      <c r="G94" s="75"/>
      <c r="H94" s="75"/>
      <c r="I94" s="75"/>
      <c r="J94" s="75"/>
      <c r="K94" s="75"/>
      <c r="L94" s="75"/>
      <c r="M94" s="75"/>
      <c r="N94" s="75"/>
      <c r="O94" s="492">
        <f t="shared" si="16"/>
        <v>37955</v>
      </c>
      <c r="P94" s="492">
        <f t="shared" si="17"/>
        <v>37955</v>
      </c>
      <c r="Q94" s="492">
        <f t="shared" si="18"/>
        <v>37955</v>
      </c>
      <c r="R94" s="492">
        <f t="shared" si="19"/>
        <v>37955</v>
      </c>
      <c r="S94" s="492">
        <f t="shared" si="20"/>
        <v>38321</v>
      </c>
      <c r="T94" s="493" t="e">
        <f t="shared" si="21"/>
        <v>#DIV/0!</v>
      </c>
      <c r="U94" s="493" t="e">
        <f t="shared" si="22"/>
        <v>#DIV/0!</v>
      </c>
      <c r="V94" s="493">
        <f t="shared" si="23"/>
        <v>0</v>
      </c>
    </row>
    <row r="95" spans="1:22">
      <c r="A95" s="494">
        <f t="shared" si="15"/>
        <v>92</v>
      </c>
      <c r="B95" s="75"/>
      <c r="C95" s="75"/>
      <c r="D95" s="75"/>
      <c r="E95" s="75"/>
      <c r="F95" s="75"/>
      <c r="G95" s="75"/>
      <c r="H95" s="75"/>
      <c r="I95" s="75"/>
      <c r="J95" s="75"/>
      <c r="K95" s="75"/>
      <c r="L95" s="75"/>
      <c r="M95" s="75"/>
      <c r="N95" s="75"/>
      <c r="O95" s="492">
        <f t="shared" si="16"/>
        <v>37955</v>
      </c>
      <c r="P95" s="492">
        <f t="shared" si="17"/>
        <v>37955</v>
      </c>
      <c r="Q95" s="492">
        <f t="shared" si="18"/>
        <v>37955</v>
      </c>
      <c r="R95" s="492">
        <f t="shared" si="19"/>
        <v>37955</v>
      </c>
      <c r="S95" s="492">
        <f t="shared" si="20"/>
        <v>38321</v>
      </c>
      <c r="T95" s="493" t="e">
        <f t="shared" si="21"/>
        <v>#DIV/0!</v>
      </c>
      <c r="U95" s="493" t="e">
        <f t="shared" si="22"/>
        <v>#DIV/0!</v>
      </c>
      <c r="V95" s="493">
        <f t="shared" si="23"/>
        <v>0</v>
      </c>
    </row>
    <row r="96" spans="1:22">
      <c r="A96" s="494">
        <f t="shared" si="15"/>
        <v>93</v>
      </c>
      <c r="B96" s="75"/>
      <c r="C96" s="75"/>
      <c r="D96" s="75"/>
      <c r="E96" s="75"/>
      <c r="F96" s="75"/>
      <c r="G96" s="75"/>
      <c r="H96" s="75"/>
      <c r="I96" s="75"/>
      <c r="J96" s="75"/>
      <c r="K96" s="75"/>
      <c r="L96" s="75"/>
      <c r="M96" s="75"/>
      <c r="N96" s="75"/>
      <c r="O96" s="492">
        <f t="shared" si="16"/>
        <v>37955</v>
      </c>
      <c r="P96" s="492">
        <f t="shared" si="17"/>
        <v>37955</v>
      </c>
      <c r="Q96" s="492">
        <f t="shared" si="18"/>
        <v>37955</v>
      </c>
      <c r="R96" s="492">
        <f t="shared" si="19"/>
        <v>37955</v>
      </c>
      <c r="S96" s="492">
        <f t="shared" si="20"/>
        <v>38321</v>
      </c>
      <c r="T96" s="493" t="e">
        <f t="shared" si="21"/>
        <v>#DIV/0!</v>
      </c>
      <c r="U96" s="493" t="e">
        <f t="shared" si="22"/>
        <v>#DIV/0!</v>
      </c>
      <c r="V96" s="493">
        <f t="shared" si="23"/>
        <v>0</v>
      </c>
    </row>
    <row r="97" spans="1:22">
      <c r="A97" s="494">
        <f t="shared" si="15"/>
        <v>94</v>
      </c>
      <c r="B97" s="75"/>
      <c r="C97" s="75"/>
      <c r="D97" s="75"/>
      <c r="E97" s="75"/>
      <c r="F97" s="75"/>
      <c r="G97" s="75"/>
      <c r="H97" s="75"/>
      <c r="I97" s="75"/>
      <c r="J97" s="75"/>
      <c r="K97" s="75"/>
      <c r="L97" s="75"/>
      <c r="M97" s="75"/>
      <c r="N97" s="75"/>
      <c r="O97" s="492">
        <f t="shared" si="16"/>
        <v>37955</v>
      </c>
      <c r="P97" s="492">
        <f t="shared" si="17"/>
        <v>37955</v>
      </c>
      <c r="Q97" s="492">
        <f t="shared" si="18"/>
        <v>37955</v>
      </c>
      <c r="R97" s="492">
        <f t="shared" si="19"/>
        <v>37955</v>
      </c>
      <c r="S97" s="492">
        <f t="shared" si="20"/>
        <v>38321</v>
      </c>
      <c r="T97" s="493" t="e">
        <f t="shared" si="21"/>
        <v>#DIV/0!</v>
      </c>
      <c r="U97" s="493" t="e">
        <f t="shared" si="22"/>
        <v>#DIV/0!</v>
      </c>
      <c r="V97" s="493">
        <f t="shared" si="23"/>
        <v>0</v>
      </c>
    </row>
    <row r="98" spans="1:22">
      <c r="A98" s="494">
        <f t="shared" si="15"/>
        <v>95</v>
      </c>
      <c r="B98" s="75"/>
      <c r="C98" s="75"/>
      <c r="D98" s="75"/>
      <c r="E98" s="75"/>
      <c r="F98" s="75"/>
      <c r="G98" s="75"/>
      <c r="H98" s="75"/>
      <c r="I98" s="75"/>
      <c r="J98" s="75"/>
      <c r="K98" s="75"/>
      <c r="L98" s="75"/>
      <c r="M98" s="75"/>
      <c r="N98" s="75"/>
      <c r="O98" s="492">
        <f t="shared" si="16"/>
        <v>37955</v>
      </c>
      <c r="P98" s="492">
        <f t="shared" si="17"/>
        <v>37955</v>
      </c>
      <c r="Q98" s="492">
        <f t="shared" si="18"/>
        <v>37955</v>
      </c>
      <c r="R98" s="492">
        <f t="shared" si="19"/>
        <v>37955</v>
      </c>
      <c r="S98" s="492">
        <f t="shared" si="20"/>
        <v>38321</v>
      </c>
      <c r="T98" s="493" t="e">
        <f t="shared" si="21"/>
        <v>#DIV/0!</v>
      </c>
      <c r="U98" s="493" t="e">
        <f t="shared" si="22"/>
        <v>#DIV/0!</v>
      </c>
      <c r="V98" s="493">
        <f t="shared" si="23"/>
        <v>0</v>
      </c>
    </row>
    <row r="99" spans="1:22">
      <c r="A99" s="494">
        <f t="shared" si="15"/>
        <v>96</v>
      </c>
      <c r="B99" s="75"/>
      <c r="C99" s="75"/>
      <c r="D99" s="75"/>
      <c r="E99" s="75"/>
      <c r="F99" s="75"/>
      <c r="G99" s="75"/>
      <c r="H99" s="75"/>
      <c r="I99" s="75"/>
      <c r="J99" s="75"/>
      <c r="K99" s="75"/>
      <c r="L99" s="75"/>
      <c r="M99" s="75"/>
      <c r="N99" s="75"/>
      <c r="O99" s="492">
        <f t="shared" si="16"/>
        <v>37955</v>
      </c>
      <c r="P99" s="492">
        <f t="shared" si="17"/>
        <v>37955</v>
      </c>
      <c r="Q99" s="492">
        <f t="shared" si="18"/>
        <v>37955</v>
      </c>
      <c r="R99" s="492">
        <f t="shared" si="19"/>
        <v>37955</v>
      </c>
      <c r="S99" s="492">
        <f t="shared" si="20"/>
        <v>38321</v>
      </c>
      <c r="T99" s="493" t="e">
        <f t="shared" si="21"/>
        <v>#DIV/0!</v>
      </c>
      <c r="U99" s="493" t="e">
        <f t="shared" si="22"/>
        <v>#DIV/0!</v>
      </c>
      <c r="V99" s="493">
        <f t="shared" si="23"/>
        <v>0</v>
      </c>
    </row>
    <row r="100" spans="1:22">
      <c r="A100" s="494">
        <f t="shared" si="15"/>
        <v>97</v>
      </c>
      <c r="B100" s="75"/>
      <c r="C100" s="75"/>
      <c r="D100" s="75"/>
      <c r="E100" s="75"/>
      <c r="F100" s="75"/>
      <c r="G100" s="75"/>
      <c r="H100" s="75"/>
      <c r="I100" s="75"/>
      <c r="J100" s="75"/>
      <c r="K100" s="75"/>
      <c r="L100" s="75"/>
      <c r="M100" s="75"/>
      <c r="N100" s="75"/>
      <c r="O100" s="492">
        <f t="shared" si="16"/>
        <v>37955</v>
      </c>
      <c r="P100" s="492">
        <f t="shared" si="17"/>
        <v>37955</v>
      </c>
      <c r="Q100" s="492">
        <f t="shared" si="18"/>
        <v>37955</v>
      </c>
      <c r="R100" s="492">
        <f t="shared" si="19"/>
        <v>37955</v>
      </c>
      <c r="S100" s="492">
        <f t="shared" si="20"/>
        <v>38321</v>
      </c>
      <c r="T100" s="493" t="e">
        <f t="shared" si="21"/>
        <v>#DIV/0!</v>
      </c>
      <c r="U100" s="493" t="e">
        <f t="shared" si="22"/>
        <v>#DIV/0!</v>
      </c>
      <c r="V100" s="493">
        <f t="shared" si="23"/>
        <v>0</v>
      </c>
    </row>
    <row r="101" spans="1:22">
      <c r="A101" s="494">
        <f t="shared" si="15"/>
        <v>98</v>
      </c>
      <c r="B101" s="75"/>
      <c r="C101" s="75"/>
      <c r="D101" s="75"/>
      <c r="E101" s="75"/>
      <c r="F101" s="75"/>
      <c r="G101" s="75"/>
      <c r="H101" s="75"/>
      <c r="I101" s="75"/>
      <c r="J101" s="75"/>
      <c r="K101" s="75"/>
      <c r="L101" s="75"/>
      <c r="M101" s="75"/>
      <c r="N101" s="75"/>
      <c r="O101" s="492">
        <f t="shared" si="16"/>
        <v>37955</v>
      </c>
      <c r="P101" s="492">
        <f t="shared" si="17"/>
        <v>37955</v>
      </c>
      <c r="Q101" s="492">
        <f t="shared" si="18"/>
        <v>37955</v>
      </c>
      <c r="R101" s="492">
        <f t="shared" si="19"/>
        <v>37955</v>
      </c>
      <c r="S101" s="492">
        <f t="shared" si="20"/>
        <v>38321</v>
      </c>
      <c r="T101" s="493" t="e">
        <f t="shared" si="21"/>
        <v>#DIV/0!</v>
      </c>
      <c r="U101" s="493" t="e">
        <f t="shared" si="22"/>
        <v>#DIV/0!</v>
      </c>
      <c r="V101" s="493">
        <f t="shared" si="23"/>
        <v>0</v>
      </c>
    </row>
    <row r="102" spans="1:22">
      <c r="A102" s="494">
        <f t="shared" ref="A102:A155" si="24">A101+1</f>
        <v>99</v>
      </c>
      <c r="B102" s="75"/>
      <c r="C102" s="75"/>
      <c r="D102" s="75"/>
      <c r="E102" s="75"/>
      <c r="F102" s="75"/>
      <c r="G102" s="75"/>
      <c r="H102" s="75"/>
      <c r="I102" s="75"/>
      <c r="J102" s="75"/>
      <c r="K102" s="75"/>
      <c r="L102" s="75"/>
      <c r="M102" s="75"/>
      <c r="N102" s="75"/>
      <c r="O102" s="492">
        <f t="shared" si="16"/>
        <v>37955</v>
      </c>
      <c r="P102" s="492">
        <f t="shared" si="17"/>
        <v>37955</v>
      </c>
      <c r="Q102" s="492">
        <f t="shared" si="18"/>
        <v>37955</v>
      </c>
      <c r="R102" s="492">
        <f t="shared" si="19"/>
        <v>37955</v>
      </c>
      <c r="S102" s="492">
        <f t="shared" si="20"/>
        <v>38321</v>
      </c>
      <c r="T102" s="493" t="e">
        <f t="shared" si="21"/>
        <v>#DIV/0!</v>
      </c>
      <c r="U102" s="493" t="e">
        <f t="shared" si="22"/>
        <v>#DIV/0!</v>
      </c>
      <c r="V102" s="493">
        <f t="shared" si="23"/>
        <v>0</v>
      </c>
    </row>
    <row r="103" spans="1:22">
      <c r="A103" s="494">
        <f t="shared" si="24"/>
        <v>100</v>
      </c>
      <c r="B103" s="75"/>
      <c r="C103" s="75"/>
      <c r="D103" s="75"/>
      <c r="E103" s="75"/>
      <c r="F103" s="75"/>
      <c r="G103" s="75"/>
      <c r="H103" s="75"/>
      <c r="I103" s="75"/>
      <c r="J103" s="75"/>
      <c r="K103" s="75"/>
      <c r="L103" s="75"/>
      <c r="M103" s="75"/>
      <c r="N103" s="75"/>
      <c r="O103" s="492">
        <f t="shared" si="16"/>
        <v>37955</v>
      </c>
      <c r="P103" s="492">
        <f t="shared" si="17"/>
        <v>37955</v>
      </c>
      <c r="Q103" s="492">
        <f t="shared" si="18"/>
        <v>37955</v>
      </c>
      <c r="R103" s="492">
        <f t="shared" si="19"/>
        <v>37955</v>
      </c>
      <c r="S103" s="492">
        <f t="shared" si="20"/>
        <v>38321</v>
      </c>
      <c r="T103" s="493" t="e">
        <f t="shared" si="21"/>
        <v>#DIV/0!</v>
      </c>
      <c r="U103" s="493" t="e">
        <f t="shared" si="22"/>
        <v>#DIV/0!</v>
      </c>
      <c r="V103" s="493">
        <f t="shared" si="23"/>
        <v>0</v>
      </c>
    </row>
    <row r="104" spans="1:22">
      <c r="A104" s="494">
        <f t="shared" si="24"/>
        <v>101</v>
      </c>
      <c r="B104" s="75"/>
      <c r="C104" s="75"/>
      <c r="D104" s="75"/>
      <c r="E104" s="75"/>
      <c r="F104" s="75"/>
      <c r="G104" s="75"/>
      <c r="H104" s="75"/>
      <c r="I104" s="75"/>
      <c r="J104" s="75"/>
      <c r="K104" s="75"/>
      <c r="L104" s="75"/>
      <c r="M104" s="75"/>
      <c r="N104" s="75"/>
      <c r="O104" s="492">
        <f t="shared" si="16"/>
        <v>37955</v>
      </c>
      <c r="P104" s="492">
        <f t="shared" si="17"/>
        <v>37955</v>
      </c>
      <c r="Q104" s="492">
        <f t="shared" si="18"/>
        <v>37955</v>
      </c>
      <c r="R104" s="492">
        <f t="shared" si="19"/>
        <v>37955</v>
      </c>
      <c r="S104" s="492">
        <f t="shared" si="20"/>
        <v>38321</v>
      </c>
      <c r="T104" s="493" t="e">
        <f t="shared" si="21"/>
        <v>#DIV/0!</v>
      </c>
      <c r="U104" s="493" t="e">
        <f t="shared" si="22"/>
        <v>#DIV/0!</v>
      </c>
      <c r="V104" s="493">
        <f t="shared" si="23"/>
        <v>0</v>
      </c>
    </row>
    <row r="105" spans="1:22">
      <c r="A105" s="494">
        <f t="shared" si="24"/>
        <v>102</v>
      </c>
      <c r="B105" s="75"/>
      <c r="C105" s="75"/>
      <c r="D105" s="75"/>
      <c r="E105" s="75"/>
      <c r="F105" s="75"/>
      <c r="G105" s="75"/>
      <c r="H105" s="75"/>
      <c r="I105" s="75"/>
      <c r="J105" s="75"/>
      <c r="K105" s="75"/>
      <c r="L105" s="75"/>
      <c r="M105" s="75"/>
      <c r="N105" s="75"/>
      <c r="O105" s="492">
        <f t="shared" si="16"/>
        <v>37955</v>
      </c>
      <c r="P105" s="492">
        <f t="shared" si="17"/>
        <v>37955</v>
      </c>
      <c r="Q105" s="492">
        <f t="shared" si="18"/>
        <v>37955</v>
      </c>
      <c r="R105" s="492">
        <f t="shared" si="19"/>
        <v>37955</v>
      </c>
      <c r="S105" s="492">
        <f t="shared" si="20"/>
        <v>38321</v>
      </c>
      <c r="T105" s="493" t="e">
        <f t="shared" si="21"/>
        <v>#DIV/0!</v>
      </c>
      <c r="U105" s="493" t="e">
        <f t="shared" si="22"/>
        <v>#DIV/0!</v>
      </c>
      <c r="V105" s="493">
        <f t="shared" si="23"/>
        <v>0</v>
      </c>
    </row>
    <row r="106" spans="1:22">
      <c r="A106" s="494">
        <f t="shared" si="24"/>
        <v>103</v>
      </c>
      <c r="B106" s="75"/>
      <c r="C106" s="75"/>
      <c r="D106" s="75"/>
      <c r="E106" s="75"/>
      <c r="F106" s="75"/>
      <c r="G106" s="75"/>
      <c r="H106" s="75"/>
      <c r="I106" s="75"/>
      <c r="J106" s="75"/>
      <c r="K106" s="75"/>
      <c r="L106" s="75"/>
      <c r="M106" s="75"/>
      <c r="N106" s="75"/>
      <c r="O106" s="492">
        <f t="shared" si="16"/>
        <v>37955</v>
      </c>
      <c r="P106" s="492">
        <f t="shared" si="17"/>
        <v>37955</v>
      </c>
      <c r="Q106" s="492">
        <f t="shared" si="18"/>
        <v>37955</v>
      </c>
      <c r="R106" s="492">
        <f t="shared" si="19"/>
        <v>37955</v>
      </c>
      <c r="S106" s="492">
        <f t="shared" si="20"/>
        <v>38321</v>
      </c>
      <c r="T106" s="493" t="e">
        <f t="shared" si="21"/>
        <v>#DIV/0!</v>
      </c>
      <c r="U106" s="493" t="e">
        <f t="shared" si="22"/>
        <v>#DIV/0!</v>
      </c>
      <c r="V106" s="493">
        <f t="shared" si="23"/>
        <v>0</v>
      </c>
    </row>
    <row r="107" spans="1:22">
      <c r="A107" s="494">
        <f t="shared" si="24"/>
        <v>104</v>
      </c>
      <c r="B107" s="75"/>
      <c r="C107" s="75"/>
      <c r="D107" s="75"/>
      <c r="E107" s="75"/>
      <c r="F107" s="75"/>
      <c r="G107" s="75"/>
      <c r="H107" s="75"/>
      <c r="I107" s="75"/>
      <c r="J107" s="75"/>
      <c r="K107" s="75"/>
      <c r="L107" s="75"/>
      <c r="M107" s="75"/>
      <c r="N107" s="75"/>
      <c r="O107" s="492">
        <f t="shared" si="16"/>
        <v>37955</v>
      </c>
      <c r="P107" s="492">
        <f t="shared" si="17"/>
        <v>37955</v>
      </c>
      <c r="Q107" s="492">
        <f t="shared" si="18"/>
        <v>37955</v>
      </c>
      <c r="R107" s="492">
        <f t="shared" si="19"/>
        <v>37955</v>
      </c>
      <c r="S107" s="492">
        <f t="shared" si="20"/>
        <v>38321</v>
      </c>
      <c r="T107" s="493" t="e">
        <f t="shared" si="21"/>
        <v>#DIV/0!</v>
      </c>
      <c r="U107" s="493" t="e">
        <f t="shared" si="22"/>
        <v>#DIV/0!</v>
      </c>
      <c r="V107" s="493">
        <f t="shared" si="23"/>
        <v>0</v>
      </c>
    </row>
    <row r="108" spans="1:22">
      <c r="A108" s="494">
        <f t="shared" si="24"/>
        <v>105</v>
      </c>
      <c r="B108" s="75"/>
      <c r="C108" s="75"/>
      <c r="D108" s="75"/>
      <c r="E108" s="75"/>
      <c r="F108" s="75"/>
      <c r="G108" s="75"/>
      <c r="H108" s="75"/>
      <c r="I108" s="75"/>
      <c r="J108" s="75"/>
      <c r="K108" s="75"/>
      <c r="L108" s="75"/>
      <c r="M108" s="75"/>
      <c r="N108" s="75"/>
      <c r="O108" s="492">
        <f t="shared" si="16"/>
        <v>37955</v>
      </c>
      <c r="P108" s="492">
        <f t="shared" si="17"/>
        <v>37955</v>
      </c>
      <c r="Q108" s="492">
        <f t="shared" si="18"/>
        <v>37955</v>
      </c>
      <c r="R108" s="492">
        <f t="shared" si="19"/>
        <v>37955</v>
      </c>
      <c r="S108" s="492">
        <f t="shared" si="20"/>
        <v>38321</v>
      </c>
      <c r="T108" s="493" t="e">
        <f t="shared" si="21"/>
        <v>#DIV/0!</v>
      </c>
      <c r="U108" s="493" t="e">
        <f t="shared" si="22"/>
        <v>#DIV/0!</v>
      </c>
      <c r="V108" s="493">
        <f t="shared" si="23"/>
        <v>0</v>
      </c>
    </row>
    <row r="109" spans="1:22">
      <c r="A109" s="494">
        <f t="shared" si="24"/>
        <v>106</v>
      </c>
      <c r="B109" s="75"/>
      <c r="C109" s="75"/>
      <c r="D109" s="75"/>
      <c r="E109" s="75"/>
      <c r="F109" s="75"/>
      <c r="G109" s="75"/>
      <c r="H109" s="75"/>
      <c r="I109" s="75"/>
      <c r="J109" s="75"/>
      <c r="K109" s="75"/>
      <c r="L109" s="75"/>
      <c r="M109" s="75"/>
      <c r="N109" s="75"/>
      <c r="O109" s="492">
        <f t="shared" si="16"/>
        <v>37955</v>
      </c>
      <c r="P109" s="492">
        <f t="shared" si="17"/>
        <v>37955</v>
      </c>
      <c r="Q109" s="492">
        <f t="shared" si="18"/>
        <v>37955</v>
      </c>
      <c r="R109" s="492">
        <f t="shared" si="19"/>
        <v>37955</v>
      </c>
      <c r="S109" s="492">
        <f t="shared" si="20"/>
        <v>38321</v>
      </c>
      <c r="T109" s="493" t="e">
        <f t="shared" si="21"/>
        <v>#DIV/0!</v>
      </c>
      <c r="U109" s="493" t="e">
        <f t="shared" si="22"/>
        <v>#DIV/0!</v>
      </c>
      <c r="V109" s="493">
        <f t="shared" si="23"/>
        <v>0</v>
      </c>
    </row>
    <row r="110" spans="1:22">
      <c r="A110" s="494">
        <f t="shared" si="24"/>
        <v>107</v>
      </c>
      <c r="B110" s="75"/>
      <c r="C110" s="75"/>
      <c r="D110" s="75"/>
      <c r="E110" s="75"/>
      <c r="F110" s="75"/>
      <c r="G110" s="75"/>
      <c r="H110" s="75"/>
      <c r="I110" s="75"/>
      <c r="J110" s="75"/>
      <c r="K110" s="75"/>
      <c r="L110" s="75"/>
      <c r="M110" s="75"/>
      <c r="N110" s="75"/>
      <c r="O110" s="492">
        <f t="shared" si="16"/>
        <v>37955</v>
      </c>
      <c r="P110" s="492">
        <f t="shared" si="17"/>
        <v>37955</v>
      </c>
      <c r="Q110" s="492">
        <f t="shared" si="18"/>
        <v>37955</v>
      </c>
      <c r="R110" s="492">
        <f t="shared" si="19"/>
        <v>37955</v>
      </c>
      <c r="S110" s="492">
        <f t="shared" si="20"/>
        <v>38321</v>
      </c>
      <c r="T110" s="493" t="e">
        <f t="shared" si="21"/>
        <v>#DIV/0!</v>
      </c>
      <c r="U110" s="493" t="e">
        <f t="shared" si="22"/>
        <v>#DIV/0!</v>
      </c>
      <c r="V110" s="493">
        <f t="shared" si="23"/>
        <v>0</v>
      </c>
    </row>
    <row r="111" spans="1:22">
      <c r="A111" s="494">
        <f t="shared" si="24"/>
        <v>108</v>
      </c>
      <c r="B111" s="75"/>
      <c r="C111" s="75"/>
      <c r="D111" s="75"/>
      <c r="E111" s="75"/>
      <c r="F111" s="75"/>
      <c r="G111" s="75"/>
      <c r="H111" s="75"/>
      <c r="I111" s="75"/>
      <c r="J111" s="75"/>
      <c r="K111" s="75"/>
      <c r="L111" s="75"/>
      <c r="M111" s="75"/>
      <c r="N111" s="75"/>
      <c r="O111" s="492">
        <f t="shared" si="16"/>
        <v>37955</v>
      </c>
      <c r="P111" s="492">
        <f t="shared" si="17"/>
        <v>37955</v>
      </c>
      <c r="Q111" s="492">
        <f t="shared" si="18"/>
        <v>37955</v>
      </c>
      <c r="R111" s="492">
        <f t="shared" si="19"/>
        <v>37955</v>
      </c>
      <c r="S111" s="492">
        <f t="shared" si="20"/>
        <v>38321</v>
      </c>
      <c r="T111" s="493" t="e">
        <f t="shared" si="21"/>
        <v>#DIV/0!</v>
      </c>
      <c r="U111" s="493" t="e">
        <f t="shared" si="22"/>
        <v>#DIV/0!</v>
      </c>
      <c r="V111" s="493">
        <f t="shared" si="23"/>
        <v>0</v>
      </c>
    </row>
    <row r="112" spans="1:22">
      <c r="A112" s="494">
        <f t="shared" si="24"/>
        <v>109</v>
      </c>
      <c r="B112" s="75"/>
      <c r="C112" s="75"/>
      <c r="D112" s="75"/>
      <c r="E112" s="75"/>
      <c r="F112" s="75"/>
      <c r="G112" s="75"/>
      <c r="H112" s="75"/>
      <c r="I112" s="75"/>
      <c r="J112" s="75"/>
      <c r="K112" s="75"/>
      <c r="L112" s="75"/>
      <c r="M112" s="75"/>
      <c r="N112" s="75"/>
      <c r="O112" s="492">
        <f t="shared" si="16"/>
        <v>37955</v>
      </c>
      <c r="P112" s="492">
        <f t="shared" si="17"/>
        <v>37955</v>
      </c>
      <c r="Q112" s="492">
        <f t="shared" si="18"/>
        <v>37955</v>
      </c>
      <c r="R112" s="492">
        <f t="shared" si="19"/>
        <v>37955</v>
      </c>
      <c r="S112" s="492">
        <f t="shared" si="20"/>
        <v>38321</v>
      </c>
      <c r="T112" s="493" t="e">
        <f t="shared" si="21"/>
        <v>#DIV/0!</v>
      </c>
      <c r="U112" s="493" t="e">
        <f t="shared" si="22"/>
        <v>#DIV/0!</v>
      </c>
      <c r="V112" s="493">
        <f t="shared" si="23"/>
        <v>0</v>
      </c>
    </row>
    <row r="113" spans="1:22">
      <c r="A113" s="494">
        <f t="shared" si="24"/>
        <v>110</v>
      </c>
      <c r="B113" s="75"/>
      <c r="C113" s="75"/>
      <c r="D113" s="75"/>
      <c r="E113" s="75"/>
      <c r="F113" s="75"/>
      <c r="G113" s="75"/>
      <c r="H113" s="75"/>
      <c r="I113" s="75"/>
      <c r="J113" s="75"/>
      <c r="K113" s="75"/>
      <c r="L113" s="75"/>
      <c r="M113" s="75"/>
      <c r="N113" s="75"/>
      <c r="O113" s="492">
        <f t="shared" si="16"/>
        <v>37955</v>
      </c>
      <c r="P113" s="492">
        <f t="shared" si="17"/>
        <v>37955</v>
      </c>
      <c r="Q113" s="492">
        <f t="shared" si="18"/>
        <v>37955</v>
      </c>
      <c r="R113" s="492">
        <f t="shared" si="19"/>
        <v>37955</v>
      </c>
      <c r="S113" s="492">
        <f t="shared" si="20"/>
        <v>38321</v>
      </c>
      <c r="T113" s="493" t="e">
        <f t="shared" si="21"/>
        <v>#DIV/0!</v>
      </c>
      <c r="U113" s="493" t="e">
        <f t="shared" si="22"/>
        <v>#DIV/0!</v>
      </c>
      <c r="V113" s="493">
        <f t="shared" si="23"/>
        <v>0</v>
      </c>
    </row>
    <row r="114" spans="1:22">
      <c r="A114" s="494">
        <f t="shared" si="24"/>
        <v>111</v>
      </c>
      <c r="B114" s="75"/>
      <c r="C114" s="75"/>
      <c r="D114" s="75"/>
      <c r="E114" s="75"/>
      <c r="F114" s="75"/>
      <c r="G114" s="75"/>
      <c r="H114" s="75"/>
      <c r="I114" s="75"/>
      <c r="J114" s="75"/>
      <c r="K114" s="75"/>
      <c r="L114" s="75"/>
      <c r="M114" s="75"/>
      <c r="N114" s="75"/>
      <c r="O114" s="492">
        <f t="shared" si="16"/>
        <v>37955</v>
      </c>
      <c r="P114" s="492">
        <f t="shared" si="17"/>
        <v>37955</v>
      </c>
      <c r="Q114" s="492">
        <f t="shared" si="18"/>
        <v>37955</v>
      </c>
      <c r="R114" s="492">
        <f t="shared" si="19"/>
        <v>37955</v>
      </c>
      <c r="S114" s="492">
        <f t="shared" si="20"/>
        <v>38321</v>
      </c>
      <c r="T114" s="493" t="e">
        <f t="shared" si="21"/>
        <v>#DIV/0!</v>
      </c>
      <c r="U114" s="493" t="e">
        <f t="shared" si="22"/>
        <v>#DIV/0!</v>
      </c>
      <c r="V114" s="493">
        <f t="shared" si="23"/>
        <v>0</v>
      </c>
    </row>
    <row r="115" spans="1:22">
      <c r="A115" s="494">
        <f t="shared" si="24"/>
        <v>112</v>
      </c>
      <c r="B115" s="75"/>
      <c r="C115" s="75"/>
      <c r="D115" s="75"/>
      <c r="E115" s="75"/>
      <c r="F115" s="75"/>
      <c r="G115" s="75"/>
      <c r="H115" s="75"/>
      <c r="I115" s="75"/>
      <c r="J115" s="75"/>
      <c r="K115" s="75"/>
      <c r="L115" s="75"/>
      <c r="M115" s="75"/>
      <c r="N115" s="75"/>
      <c r="O115" s="492">
        <f t="shared" si="16"/>
        <v>37955</v>
      </c>
      <c r="P115" s="492">
        <f t="shared" si="17"/>
        <v>37955</v>
      </c>
      <c r="Q115" s="492">
        <f t="shared" si="18"/>
        <v>37955</v>
      </c>
      <c r="R115" s="492">
        <f t="shared" si="19"/>
        <v>37955</v>
      </c>
      <c r="S115" s="492">
        <f t="shared" si="20"/>
        <v>38321</v>
      </c>
      <c r="T115" s="493" t="e">
        <f t="shared" si="21"/>
        <v>#DIV/0!</v>
      </c>
      <c r="U115" s="493" t="e">
        <f t="shared" si="22"/>
        <v>#DIV/0!</v>
      </c>
      <c r="V115" s="493">
        <f t="shared" si="23"/>
        <v>0</v>
      </c>
    </row>
    <row r="116" spans="1:22">
      <c r="A116" s="494">
        <f t="shared" si="24"/>
        <v>113</v>
      </c>
      <c r="B116" s="75"/>
      <c r="C116" s="75"/>
      <c r="D116" s="75"/>
      <c r="E116" s="75"/>
      <c r="F116" s="75"/>
      <c r="G116" s="75"/>
      <c r="H116" s="75"/>
      <c r="I116" s="75"/>
      <c r="J116" s="75"/>
      <c r="K116" s="75"/>
      <c r="L116" s="75"/>
      <c r="M116" s="75"/>
      <c r="N116" s="75"/>
      <c r="O116" s="492">
        <f t="shared" si="16"/>
        <v>37955</v>
      </c>
      <c r="P116" s="492">
        <f t="shared" si="17"/>
        <v>37955</v>
      </c>
      <c r="Q116" s="492">
        <f t="shared" si="18"/>
        <v>37955</v>
      </c>
      <c r="R116" s="492">
        <f t="shared" si="19"/>
        <v>37955</v>
      </c>
      <c r="S116" s="492">
        <f t="shared" si="20"/>
        <v>38321</v>
      </c>
      <c r="T116" s="493" t="e">
        <f t="shared" si="21"/>
        <v>#DIV/0!</v>
      </c>
      <c r="U116" s="493" t="e">
        <f t="shared" si="22"/>
        <v>#DIV/0!</v>
      </c>
      <c r="V116" s="493">
        <f t="shared" si="23"/>
        <v>0</v>
      </c>
    </row>
    <row r="117" spans="1:22">
      <c r="A117" s="494">
        <f t="shared" si="24"/>
        <v>114</v>
      </c>
      <c r="B117" s="75"/>
      <c r="C117" s="75"/>
      <c r="D117" s="75"/>
      <c r="E117" s="75"/>
      <c r="F117" s="75"/>
      <c r="G117" s="75"/>
      <c r="H117" s="75"/>
      <c r="I117" s="75"/>
      <c r="J117" s="75"/>
      <c r="K117" s="75"/>
      <c r="L117" s="75"/>
      <c r="M117" s="75"/>
      <c r="N117" s="75"/>
      <c r="O117" s="492">
        <f t="shared" si="16"/>
        <v>37955</v>
      </c>
      <c r="P117" s="492">
        <f t="shared" si="17"/>
        <v>37955</v>
      </c>
      <c r="Q117" s="492">
        <f t="shared" si="18"/>
        <v>37955</v>
      </c>
      <c r="R117" s="492">
        <f t="shared" si="19"/>
        <v>37955</v>
      </c>
      <c r="S117" s="492">
        <f t="shared" si="20"/>
        <v>38321</v>
      </c>
      <c r="T117" s="493" t="e">
        <f t="shared" si="21"/>
        <v>#DIV/0!</v>
      </c>
      <c r="U117" s="493" t="e">
        <f t="shared" si="22"/>
        <v>#DIV/0!</v>
      </c>
      <c r="V117" s="493">
        <f t="shared" si="23"/>
        <v>0</v>
      </c>
    </row>
    <row r="118" spans="1:22">
      <c r="A118" s="494">
        <f t="shared" si="24"/>
        <v>115</v>
      </c>
      <c r="B118" s="75"/>
      <c r="C118" s="75"/>
      <c r="D118" s="75"/>
      <c r="E118" s="75"/>
      <c r="F118" s="75"/>
      <c r="G118" s="75"/>
      <c r="H118" s="75"/>
      <c r="I118" s="75"/>
      <c r="J118" s="75"/>
      <c r="K118" s="75"/>
      <c r="L118" s="75"/>
      <c r="M118" s="75"/>
      <c r="N118" s="75"/>
      <c r="O118" s="492">
        <f t="shared" si="16"/>
        <v>37955</v>
      </c>
      <c r="P118" s="492">
        <f t="shared" si="17"/>
        <v>37955</v>
      </c>
      <c r="Q118" s="492">
        <f t="shared" si="18"/>
        <v>37955</v>
      </c>
      <c r="R118" s="492">
        <f t="shared" si="19"/>
        <v>37955</v>
      </c>
      <c r="S118" s="492">
        <f t="shared" si="20"/>
        <v>38321</v>
      </c>
      <c r="T118" s="493" t="e">
        <f t="shared" si="21"/>
        <v>#DIV/0!</v>
      </c>
      <c r="U118" s="493" t="e">
        <f t="shared" si="22"/>
        <v>#DIV/0!</v>
      </c>
      <c r="V118" s="493">
        <f t="shared" si="23"/>
        <v>0</v>
      </c>
    </row>
    <row r="119" spans="1:22">
      <c r="A119" s="494">
        <f t="shared" si="24"/>
        <v>116</v>
      </c>
      <c r="B119" s="75"/>
      <c r="C119" s="75"/>
      <c r="D119" s="75"/>
      <c r="E119" s="75"/>
      <c r="F119" s="75"/>
      <c r="G119" s="75"/>
      <c r="H119" s="75"/>
      <c r="I119" s="75"/>
      <c r="J119" s="75"/>
      <c r="K119" s="75"/>
      <c r="L119" s="75"/>
      <c r="M119" s="75"/>
      <c r="N119" s="75"/>
      <c r="O119" s="492">
        <f t="shared" si="16"/>
        <v>37955</v>
      </c>
      <c r="P119" s="492">
        <f t="shared" si="17"/>
        <v>37955</v>
      </c>
      <c r="Q119" s="492">
        <f t="shared" si="18"/>
        <v>37955</v>
      </c>
      <c r="R119" s="492">
        <f t="shared" si="19"/>
        <v>37955</v>
      </c>
      <c r="S119" s="492">
        <f t="shared" si="20"/>
        <v>38321</v>
      </c>
      <c r="T119" s="493" t="e">
        <f t="shared" si="21"/>
        <v>#DIV/0!</v>
      </c>
      <c r="U119" s="493" t="e">
        <f t="shared" si="22"/>
        <v>#DIV/0!</v>
      </c>
      <c r="V119" s="493">
        <f t="shared" si="23"/>
        <v>0</v>
      </c>
    </row>
    <row r="120" spans="1:22">
      <c r="A120" s="494">
        <f t="shared" si="24"/>
        <v>117</v>
      </c>
      <c r="B120" s="75"/>
      <c r="C120" s="75"/>
      <c r="D120" s="75"/>
      <c r="E120" s="75"/>
      <c r="F120" s="75"/>
      <c r="G120" s="75"/>
      <c r="H120" s="75"/>
      <c r="I120" s="75"/>
      <c r="J120" s="75"/>
      <c r="K120" s="75"/>
      <c r="L120" s="75"/>
      <c r="M120" s="75"/>
      <c r="N120" s="75"/>
      <c r="O120" s="492">
        <f t="shared" si="16"/>
        <v>37955</v>
      </c>
      <c r="P120" s="492">
        <f t="shared" si="17"/>
        <v>37955</v>
      </c>
      <c r="Q120" s="492">
        <f t="shared" si="18"/>
        <v>37955</v>
      </c>
      <c r="R120" s="492">
        <f t="shared" si="19"/>
        <v>37955</v>
      </c>
      <c r="S120" s="492">
        <f t="shared" si="20"/>
        <v>38321</v>
      </c>
      <c r="T120" s="493" t="e">
        <f t="shared" si="21"/>
        <v>#DIV/0!</v>
      </c>
      <c r="U120" s="493" t="e">
        <f t="shared" si="22"/>
        <v>#DIV/0!</v>
      </c>
      <c r="V120" s="493">
        <f t="shared" si="23"/>
        <v>0</v>
      </c>
    </row>
    <row r="121" spans="1:22">
      <c r="A121" s="494">
        <f t="shared" si="24"/>
        <v>118</v>
      </c>
      <c r="B121" s="75"/>
      <c r="C121" s="75"/>
      <c r="D121" s="75"/>
      <c r="E121" s="75"/>
      <c r="F121" s="75"/>
      <c r="G121" s="75"/>
      <c r="H121" s="75"/>
      <c r="I121" s="75"/>
      <c r="J121" s="75"/>
      <c r="K121" s="75"/>
      <c r="L121" s="75"/>
      <c r="M121" s="75"/>
      <c r="N121" s="75"/>
      <c r="O121" s="492">
        <f t="shared" si="16"/>
        <v>37955</v>
      </c>
      <c r="P121" s="492">
        <f t="shared" si="17"/>
        <v>37955</v>
      </c>
      <c r="Q121" s="492">
        <f t="shared" si="18"/>
        <v>37955</v>
      </c>
      <c r="R121" s="492">
        <f t="shared" si="19"/>
        <v>37955</v>
      </c>
      <c r="S121" s="492">
        <f t="shared" si="20"/>
        <v>38321</v>
      </c>
      <c r="T121" s="493" t="e">
        <f t="shared" si="21"/>
        <v>#DIV/0!</v>
      </c>
      <c r="U121" s="493" t="e">
        <f t="shared" si="22"/>
        <v>#DIV/0!</v>
      </c>
      <c r="V121" s="493">
        <f t="shared" si="23"/>
        <v>0</v>
      </c>
    </row>
    <row r="122" spans="1:22">
      <c r="A122" s="494">
        <f t="shared" si="24"/>
        <v>119</v>
      </c>
      <c r="B122" s="75"/>
      <c r="C122" s="75"/>
      <c r="D122" s="75"/>
      <c r="E122" s="75"/>
      <c r="F122" s="75"/>
      <c r="G122" s="75"/>
      <c r="H122" s="75"/>
      <c r="I122" s="75"/>
      <c r="J122" s="75"/>
      <c r="K122" s="75"/>
      <c r="L122" s="75"/>
      <c r="M122" s="75"/>
      <c r="N122" s="75"/>
      <c r="O122" s="492">
        <f t="shared" si="16"/>
        <v>37955</v>
      </c>
      <c r="P122" s="492">
        <f t="shared" si="17"/>
        <v>37955</v>
      </c>
      <c r="Q122" s="492">
        <f t="shared" si="18"/>
        <v>37955</v>
      </c>
      <c r="R122" s="492">
        <f t="shared" si="19"/>
        <v>37955</v>
      </c>
      <c r="S122" s="492">
        <f t="shared" si="20"/>
        <v>38321</v>
      </c>
      <c r="T122" s="493" t="e">
        <f t="shared" si="21"/>
        <v>#DIV/0!</v>
      </c>
      <c r="U122" s="493" t="e">
        <f t="shared" si="22"/>
        <v>#DIV/0!</v>
      </c>
      <c r="V122" s="493">
        <f t="shared" si="23"/>
        <v>0</v>
      </c>
    </row>
    <row r="123" spans="1:22">
      <c r="A123" s="494">
        <f t="shared" si="24"/>
        <v>120</v>
      </c>
      <c r="B123" s="75"/>
      <c r="C123" s="75"/>
      <c r="D123" s="75"/>
      <c r="E123" s="75"/>
      <c r="F123" s="75"/>
      <c r="G123" s="75"/>
      <c r="H123" s="75"/>
      <c r="I123" s="75"/>
      <c r="J123" s="75"/>
      <c r="K123" s="75"/>
      <c r="L123" s="75"/>
      <c r="M123" s="75"/>
      <c r="N123" s="75"/>
      <c r="O123" s="492">
        <f t="shared" si="16"/>
        <v>37955</v>
      </c>
      <c r="P123" s="492">
        <f t="shared" si="17"/>
        <v>37955</v>
      </c>
      <c r="Q123" s="492">
        <f t="shared" si="18"/>
        <v>37955</v>
      </c>
      <c r="R123" s="492">
        <f t="shared" si="19"/>
        <v>37955</v>
      </c>
      <c r="S123" s="492">
        <f t="shared" si="20"/>
        <v>38321</v>
      </c>
      <c r="T123" s="493" t="e">
        <f t="shared" si="21"/>
        <v>#DIV/0!</v>
      </c>
      <c r="U123" s="493" t="e">
        <f t="shared" si="22"/>
        <v>#DIV/0!</v>
      </c>
      <c r="V123" s="493">
        <f t="shared" si="23"/>
        <v>0</v>
      </c>
    </row>
    <row r="124" spans="1:22">
      <c r="A124" s="494">
        <f t="shared" si="24"/>
        <v>121</v>
      </c>
      <c r="B124" s="75"/>
      <c r="C124" s="75"/>
      <c r="D124" s="75"/>
      <c r="E124" s="75"/>
      <c r="F124" s="75"/>
      <c r="G124" s="75"/>
      <c r="H124" s="75"/>
      <c r="I124" s="75"/>
      <c r="J124" s="75"/>
      <c r="K124" s="75"/>
      <c r="L124" s="75"/>
      <c r="M124" s="75"/>
      <c r="N124" s="75"/>
      <c r="O124" s="492">
        <f t="shared" si="16"/>
        <v>37955</v>
      </c>
      <c r="P124" s="492">
        <f t="shared" si="17"/>
        <v>37955</v>
      </c>
      <c r="Q124" s="492">
        <f t="shared" si="18"/>
        <v>37955</v>
      </c>
      <c r="R124" s="492">
        <f t="shared" si="19"/>
        <v>37955</v>
      </c>
      <c r="S124" s="492">
        <f t="shared" si="20"/>
        <v>38321</v>
      </c>
      <c r="T124" s="493" t="e">
        <f t="shared" si="21"/>
        <v>#DIV/0!</v>
      </c>
      <c r="U124" s="493" t="e">
        <f t="shared" si="22"/>
        <v>#DIV/0!</v>
      </c>
      <c r="V124" s="493">
        <f t="shared" si="23"/>
        <v>0</v>
      </c>
    </row>
    <row r="125" spans="1:22">
      <c r="A125" s="494">
        <f t="shared" si="24"/>
        <v>122</v>
      </c>
      <c r="B125" s="75"/>
      <c r="C125" s="75"/>
      <c r="D125" s="75"/>
      <c r="E125" s="75"/>
      <c r="F125" s="75"/>
      <c r="G125" s="75"/>
      <c r="H125" s="75"/>
      <c r="I125" s="75"/>
      <c r="J125" s="75"/>
      <c r="K125" s="75"/>
      <c r="L125" s="75"/>
      <c r="M125" s="75"/>
      <c r="N125" s="75"/>
      <c r="O125" s="492">
        <f t="shared" si="16"/>
        <v>37955</v>
      </c>
      <c r="P125" s="492">
        <f t="shared" si="17"/>
        <v>37955</v>
      </c>
      <c r="Q125" s="492">
        <f t="shared" si="18"/>
        <v>37955</v>
      </c>
      <c r="R125" s="492">
        <f t="shared" si="19"/>
        <v>37955</v>
      </c>
      <c r="S125" s="492">
        <f t="shared" si="20"/>
        <v>38321</v>
      </c>
      <c r="T125" s="493" t="e">
        <f t="shared" si="21"/>
        <v>#DIV/0!</v>
      </c>
      <c r="U125" s="493" t="e">
        <f t="shared" si="22"/>
        <v>#DIV/0!</v>
      </c>
      <c r="V125" s="493">
        <f t="shared" si="23"/>
        <v>0</v>
      </c>
    </row>
    <row r="126" spans="1:22">
      <c r="A126" s="494">
        <f t="shared" si="24"/>
        <v>123</v>
      </c>
      <c r="B126" s="75"/>
      <c r="C126" s="75"/>
      <c r="D126" s="75"/>
      <c r="E126" s="75"/>
      <c r="F126" s="75"/>
      <c r="G126" s="75"/>
      <c r="H126" s="75"/>
      <c r="I126" s="75"/>
      <c r="J126" s="75"/>
      <c r="K126" s="75"/>
      <c r="L126" s="75"/>
      <c r="M126" s="75"/>
      <c r="N126" s="75"/>
      <c r="O126" s="492">
        <f t="shared" si="16"/>
        <v>37955</v>
      </c>
      <c r="P126" s="492">
        <f t="shared" si="17"/>
        <v>37955</v>
      </c>
      <c r="Q126" s="492">
        <f t="shared" si="18"/>
        <v>37955</v>
      </c>
      <c r="R126" s="492">
        <f t="shared" si="19"/>
        <v>37955</v>
      </c>
      <c r="S126" s="492">
        <f t="shared" si="20"/>
        <v>38321</v>
      </c>
      <c r="T126" s="493" t="e">
        <f t="shared" si="21"/>
        <v>#DIV/0!</v>
      </c>
      <c r="U126" s="493" t="e">
        <f t="shared" si="22"/>
        <v>#DIV/0!</v>
      </c>
      <c r="V126" s="493">
        <f t="shared" si="23"/>
        <v>0</v>
      </c>
    </row>
    <row r="127" spans="1:22">
      <c r="A127" s="494">
        <f t="shared" si="24"/>
        <v>124</v>
      </c>
      <c r="B127" s="75"/>
      <c r="C127" s="75"/>
      <c r="D127" s="75"/>
      <c r="E127" s="75"/>
      <c r="F127" s="75"/>
      <c r="G127" s="75"/>
      <c r="H127" s="75"/>
      <c r="I127" s="75"/>
      <c r="J127" s="75"/>
      <c r="K127" s="75"/>
      <c r="L127" s="75"/>
      <c r="M127" s="75"/>
      <c r="N127" s="75"/>
      <c r="O127" s="492">
        <f t="shared" si="16"/>
        <v>37955</v>
      </c>
      <c r="P127" s="492">
        <f t="shared" si="17"/>
        <v>37955</v>
      </c>
      <c r="Q127" s="492">
        <f t="shared" si="18"/>
        <v>37955</v>
      </c>
      <c r="R127" s="492">
        <f t="shared" si="19"/>
        <v>37955</v>
      </c>
      <c r="S127" s="492">
        <f t="shared" si="20"/>
        <v>38321</v>
      </c>
      <c r="T127" s="493" t="e">
        <f t="shared" si="21"/>
        <v>#DIV/0!</v>
      </c>
      <c r="U127" s="493" t="e">
        <f t="shared" si="22"/>
        <v>#DIV/0!</v>
      </c>
      <c r="V127" s="493">
        <f t="shared" si="23"/>
        <v>0</v>
      </c>
    </row>
    <row r="128" spans="1:22">
      <c r="A128" s="494">
        <f t="shared" si="24"/>
        <v>125</v>
      </c>
      <c r="B128" s="75"/>
      <c r="C128" s="75"/>
      <c r="D128" s="75"/>
      <c r="E128" s="75"/>
      <c r="F128" s="75"/>
      <c r="G128" s="75"/>
      <c r="H128" s="75"/>
      <c r="I128" s="75"/>
      <c r="J128" s="75"/>
      <c r="K128" s="75"/>
      <c r="L128" s="75"/>
      <c r="M128" s="75"/>
      <c r="N128" s="75"/>
      <c r="O128" s="492">
        <f t="shared" si="16"/>
        <v>37955</v>
      </c>
      <c r="P128" s="492">
        <f t="shared" si="17"/>
        <v>37955</v>
      </c>
      <c r="Q128" s="492">
        <f t="shared" si="18"/>
        <v>37955</v>
      </c>
      <c r="R128" s="492">
        <f t="shared" si="19"/>
        <v>37955</v>
      </c>
      <c r="S128" s="492">
        <f t="shared" si="20"/>
        <v>38321</v>
      </c>
      <c r="T128" s="493" t="e">
        <f t="shared" si="21"/>
        <v>#DIV/0!</v>
      </c>
      <c r="U128" s="493" t="e">
        <f t="shared" si="22"/>
        <v>#DIV/0!</v>
      </c>
      <c r="V128" s="493">
        <f t="shared" si="23"/>
        <v>0</v>
      </c>
    </row>
    <row r="129" spans="1:22">
      <c r="A129" s="494">
        <f t="shared" si="24"/>
        <v>126</v>
      </c>
      <c r="B129" s="75"/>
      <c r="C129" s="75"/>
      <c r="D129" s="75"/>
      <c r="E129" s="75"/>
      <c r="F129" s="75"/>
      <c r="G129" s="75"/>
      <c r="H129" s="75"/>
      <c r="I129" s="75"/>
      <c r="J129" s="75"/>
      <c r="K129" s="75"/>
      <c r="L129" s="75"/>
      <c r="M129" s="75"/>
      <c r="N129" s="75"/>
      <c r="O129" s="492">
        <f t="shared" ref="O129:O155" si="25">DATE(A$3,K129,L129)</f>
        <v>37955</v>
      </c>
      <c r="P129" s="492">
        <f t="shared" ref="P129:P155" si="26">INT($O129+D129/100*($S129-$O129))</f>
        <v>37955</v>
      </c>
      <c r="Q129" s="492">
        <f t="shared" ref="Q129:Q155" si="27">INT($O129+E129/100*($S129-$O129))</f>
        <v>37955</v>
      </c>
      <c r="R129" s="492">
        <f t="shared" ref="R129:R155" si="28">INT($O129+F129/100*($S129-$O129))</f>
        <v>37955</v>
      </c>
      <c r="S129" s="492">
        <f t="shared" ref="S129:S155" si="29">IF(M129&gt;K129,DATE(A$3,M129,N129),DATE(A$3+1,M129,N129))</f>
        <v>38321</v>
      </c>
      <c r="T129" s="493" t="e">
        <f t="shared" ref="T129:T155" si="30">(H129-G129)/(Q129-P129)</f>
        <v>#DIV/0!</v>
      </c>
      <c r="U129" s="493" t="e">
        <f t="shared" ref="U129:U155" si="31">(I129-H129)/(R129-Q129)</f>
        <v>#DIV/0!</v>
      </c>
      <c r="V129" s="493">
        <f t="shared" ref="V129:V155" si="32">(J129-I129)/(S129-R129)</f>
        <v>0</v>
      </c>
    </row>
    <row r="130" spans="1:22">
      <c r="A130" s="494">
        <f t="shared" si="24"/>
        <v>127</v>
      </c>
      <c r="B130" s="75"/>
      <c r="C130" s="75"/>
      <c r="D130" s="75"/>
      <c r="E130" s="75"/>
      <c r="F130" s="75"/>
      <c r="G130" s="75"/>
      <c r="H130" s="75"/>
      <c r="I130" s="75"/>
      <c r="J130" s="75"/>
      <c r="K130" s="75"/>
      <c r="L130" s="75"/>
      <c r="M130" s="75"/>
      <c r="N130" s="75"/>
      <c r="O130" s="492">
        <f t="shared" si="25"/>
        <v>37955</v>
      </c>
      <c r="P130" s="492">
        <f t="shared" si="26"/>
        <v>37955</v>
      </c>
      <c r="Q130" s="492">
        <f t="shared" si="27"/>
        <v>37955</v>
      </c>
      <c r="R130" s="492">
        <f t="shared" si="28"/>
        <v>37955</v>
      </c>
      <c r="S130" s="492">
        <f t="shared" si="29"/>
        <v>38321</v>
      </c>
      <c r="T130" s="493" t="e">
        <f t="shared" si="30"/>
        <v>#DIV/0!</v>
      </c>
      <c r="U130" s="493" t="e">
        <f t="shared" si="31"/>
        <v>#DIV/0!</v>
      </c>
      <c r="V130" s="493">
        <f t="shared" si="32"/>
        <v>0</v>
      </c>
    </row>
    <row r="131" spans="1:22">
      <c r="A131" s="494">
        <f t="shared" si="24"/>
        <v>128</v>
      </c>
      <c r="B131" s="75"/>
      <c r="C131" s="75"/>
      <c r="D131" s="75"/>
      <c r="E131" s="75"/>
      <c r="F131" s="75"/>
      <c r="G131" s="75"/>
      <c r="H131" s="75"/>
      <c r="I131" s="75"/>
      <c r="J131" s="75"/>
      <c r="K131" s="75"/>
      <c r="L131" s="75"/>
      <c r="M131" s="75"/>
      <c r="N131" s="75"/>
      <c r="O131" s="492">
        <f t="shared" si="25"/>
        <v>37955</v>
      </c>
      <c r="P131" s="492">
        <f t="shared" si="26"/>
        <v>37955</v>
      </c>
      <c r="Q131" s="492">
        <f t="shared" si="27"/>
        <v>37955</v>
      </c>
      <c r="R131" s="492">
        <f t="shared" si="28"/>
        <v>37955</v>
      </c>
      <c r="S131" s="492">
        <f t="shared" si="29"/>
        <v>38321</v>
      </c>
      <c r="T131" s="493" t="e">
        <f t="shared" si="30"/>
        <v>#DIV/0!</v>
      </c>
      <c r="U131" s="493" t="e">
        <f t="shared" si="31"/>
        <v>#DIV/0!</v>
      </c>
      <c r="V131" s="493">
        <f t="shared" si="32"/>
        <v>0</v>
      </c>
    </row>
    <row r="132" spans="1:22">
      <c r="A132" s="494">
        <f t="shared" si="24"/>
        <v>129</v>
      </c>
      <c r="B132" s="75"/>
      <c r="C132" s="75"/>
      <c r="D132" s="75"/>
      <c r="E132" s="75"/>
      <c r="F132" s="75"/>
      <c r="G132" s="75"/>
      <c r="H132" s="75"/>
      <c r="I132" s="75"/>
      <c r="J132" s="75"/>
      <c r="K132" s="75"/>
      <c r="L132" s="75"/>
      <c r="M132" s="75"/>
      <c r="N132" s="75"/>
      <c r="O132" s="492">
        <f t="shared" si="25"/>
        <v>37955</v>
      </c>
      <c r="P132" s="492">
        <f t="shared" si="26"/>
        <v>37955</v>
      </c>
      <c r="Q132" s="492">
        <f t="shared" si="27"/>
        <v>37955</v>
      </c>
      <c r="R132" s="492">
        <f t="shared" si="28"/>
        <v>37955</v>
      </c>
      <c r="S132" s="492">
        <f t="shared" si="29"/>
        <v>38321</v>
      </c>
      <c r="T132" s="493" t="e">
        <f t="shared" si="30"/>
        <v>#DIV/0!</v>
      </c>
      <c r="U132" s="493" t="e">
        <f t="shared" si="31"/>
        <v>#DIV/0!</v>
      </c>
      <c r="V132" s="493">
        <f t="shared" si="32"/>
        <v>0</v>
      </c>
    </row>
    <row r="133" spans="1:22">
      <c r="A133" s="494">
        <f t="shared" si="24"/>
        <v>130</v>
      </c>
      <c r="B133" s="75"/>
      <c r="C133" s="75"/>
      <c r="D133" s="75"/>
      <c r="E133" s="75"/>
      <c r="F133" s="75"/>
      <c r="G133" s="75"/>
      <c r="H133" s="75"/>
      <c r="I133" s="75"/>
      <c r="J133" s="75"/>
      <c r="K133" s="75"/>
      <c r="L133" s="75"/>
      <c r="M133" s="75"/>
      <c r="N133" s="75"/>
      <c r="O133" s="492">
        <f t="shared" si="25"/>
        <v>37955</v>
      </c>
      <c r="P133" s="492">
        <f t="shared" si="26"/>
        <v>37955</v>
      </c>
      <c r="Q133" s="492">
        <f t="shared" si="27"/>
        <v>37955</v>
      </c>
      <c r="R133" s="492">
        <f t="shared" si="28"/>
        <v>37955</v>
      </c>
      <c r="S133" s="492">
        <f t="shared" si="29"/>
        <v>38321</v>
      </c>
      <c r="T133" s="493" t="e">
        <f t="shared" si="30"/>
        <v>#DIV/0!</v>
      </c>
      <c r="U133" s="493" t="e">
        <f t="shared" si="31"/>
        <v>#DIV/0!</v>
      </c>
      <c r="V133" s="493">
        <f t="shared" si="32"/>
        <v>0</v>
      </c>
    </row>
    <row r="134" spans="1:22">
      <c r="A134" s="494">
        <f t="shared" si="24"/>
        <v>131</v>
      </c>
      <c r="B134" s="75"/>
      <c r="C134" s="75"/>
      <c r="D134" s="75"/>
      <c r="E134" s="75"/>
      <c r="F134" s="75"/>
      <c r="G134" s="75"/>
      <c r="H134" s="75"/>
      <c r="I134" s="75"/>
      <c r="J134" s="75"/>
      <c r="K134" s="75"/>
      <c r="L134" s="75"/>
      <c r="M134" s="75"/>
      <c r="N134" s="75"/>
      <c r="O134" s="492">
        <f t="shared" si="25"/>
        <v>37955</v>
      </c>
      <c r="P134" s="492">
        <f t="shared" si="26"/>
        <v>37955</v>
      </c>
      <c r="Q134" s="492">
        <f t="shared" si="27"/>
        <v>37955</v>
      </c>
      <c r="R134" s="492">
        <f t="shared" si="28"/>
        <v>37955</v>
      </c>
      <c r="S134" s="492">
        <f t="shared" si="29"/>
        <v>38321</v>
      </c>
      <c r="T134" s="493" t="e">
        <f t="shared" si="30"/>
        <v>#DIV/0!</v>
      </c>
      <c r="U134" s="493" t="e">
        <f t="shared" si="31"/>
        <v>#DIV/0!</v>
      </c>
      <c r="V134" s="493">
        <f t="shared" si="32"/>
        <v>0</v>
      </c>
    </row>
    <row r="135" spans="1:22">
      <c r="A135" s="494">
        <f t="shared" si="24"/>
        <v>132</v>
      </c>
      <c r="B135" s="75"/>
      <c r="C135" s="75"/>
      <c r="D135" s="75"/>
      <c r="E135" s="75"/>
      <c r="F135" s="75"/>
      <c r="G135" s="75"/>
      <c r="H135" s="75"/>
      <c r="I135" s="75"/>
      <c r="J135" s="75"/>
      <c r="K135" s="75"/>
      <c r="L135" s="75"/>
      <c r="M135" s="75"/>
      <c r="N135" s="75"/>
      <c r="O135" s="492">
        <f t="shared" si="25"/>
        <v>37955</v>
      </c>
      <c r="P135" s="492">
        <f t="shared" si="26"/>
        <v>37955</v>
      </c>
      <c r="Q135" s="492">
        <f t="shared" si="27"/>
        <v>37955</v>
      </c>
      <c r="R135" s="492">
        <f t="shared" si="28"/>
        <v>37955</v>
      </c>
      <c r="S135" s="492">
        <f t="shared" si="29"/>
        <v>38321</v>
      </c>
      <c r="T135" s="493" t="e">
        <f t="shared" si="30"/>
        <v>#DIV/0!</v>
      </c>
      <c r="U135" s="493" t="e">
        <f t="shared" si="31"/>
        <v>#DIV/0!</v>
      </c>
      <c r="V135" s="493">
        <f t="shared" si="32"/>
        <v>0</v>
      </c>
    </row>
    <row r="136" spans="1:22">
      <c r="A136" s="494">
        <f t="shared" si="24"/>
        <v>133</v>
      </c>
      <c r="B136" s="75"/>
      <c r="C136" s="75"/>
      <c r="D136" s="75"/>
      <c r="E136" s="75"/>
      <c r="F136" s="75"/>
      <c r="G136" s="75"/>
      <c r="H136" s="75"/>
      <c r="I136" s="75"/>
      <c r="J136" s="75"/>
      <c r="K136" s="75"/>
      <c r="L136" s="75"/>
      <c r="M136" s="75"/>
      <c r="N136" s="75"/>
      <c r="O136" s="492">
        <f t="shared" si="25"/>
        <v>37955</v>
      </c>
      <c r="P136" s="492">
        <f t="shared" si="26"/>
        <v>37955</v>
      </c>
      <c r="Q136" s="492">
        <f t="shared" si="27"/>
        <v>37955</v>
      </c>
      <c r="R136" s="492">
        <f t="shared" si="28"/>
        <v>37955</v>
      </c>
      <c r="S136" s="492">
        <f t="shared" si="29"/>
        <v>38321</v>
      </c>
      <c r="T136" s="493" t="e">
        <f t="shared" si="30"/>
        <v>#DIV/0!</v>
      </c>
      <c r="U136" s="493" t="e">
        <f t="shared" si="31"/>
        <v>#DIV/0!</v>
      </c>
      <c r="V136" s="493">
        <f t="shared" si="32"/>
        <v>0</v>
      </c>
    </row>
    <row r="137" spans="1:22">
      <c r="A137" s="494">
        <f t="shared" si="24"/>
        <v>134</v>
      </c>
      <c r="B137" s="75"/>
      <c r="C137" s="75"/>
      <c r="D137" s="75"/>
      <c r="E137" s="75"/>
      <c r="F137" s="75"/>
      <c r="G137" s="75"/>
      <c r="H137" s="75"/>
      <c r="I137" s="75"/>
      <c r="J137" s="75"/>
      <c r="K137" s="75"/>
      <c r="L137" s="75"/>
      <c r="M137" s="75"/>
      <c r="N137" s="75"/>
      <c r="O137" s="492">
        <f t="shared" si="25"/>
        <v>37955</v>
      </c>
      <c r="P137" s="492">
        <f t="shared" si="26"/>
        <v>37955</v>
      </c>
      <c r="Q137" s="492">
        <f t="shared" si="27"/>
        <v>37955</v>
      </c>
      <c r="R137" s="492">
        <f t="shared" si="28"/>
        <v>37955</v>
      </c>
      <c r="S137" s="492">
        <f t="shared" si="29"/>
        <v>38321</v>
      </c>
      <c r="T137" s="493" t="e">
        <f t="shared" si="30"/>
        <v>#DIV/0!</v>
      </c>
      <c r="U137" s="493" t="e">
        <f t="shared" si="31"/>
        <v>#DIV/0!</v>
      </c>
      <c r="V137" s="493">
        <f t="shared" si="32"/>
        <v>0</v>
      </c>
    </row>
    <row r="138" spans="1:22">
      <c r="A138" s="494">
        <f t="shared" si="24"/>
        <v>135</v>
      </c>
      <c r="B138" s="75"/>
      <c r="C138" s="75"/>
      <c r="D138" s="75"/>
      <c r="E138" s="75"/>
      <c r="F138" s="75"/>
      <c r="G138" s="75"/>
      <c r="H138" s="75"/>
      <c r="I138" s="75"/>
      <c r="J138" s="75"/>
      <c r="K138" s="75"/>
      <c r="L138" s="75"/>
      <c r="M138" s="75"/>
      <c r="N138" s="75"/>
      <c r="O138" s="492">
        <f t="shared" si="25"/>
        <v>37955</v>
      </c>
      <c r="P138" s="492">
        <f t="shared" si="26"/>
        <v>37955</v>
      </c>
      <c r="Q138" s="492">
        <f t="shared" si="27"/>
        <v>37955</v>
      </c>
      <c r="R138" s="492">
        <f t="shared" si="28"/>
        <v>37955</v>
      </c>
      <c r="S138" s="492">
        <f t="shared" si="29"/>
        <v>38321</v>
      </c>
      <c r="T138" s="493" t="e">
        <f t="shared" si="30"/>
        <v>#DIV/0!</v>
      </c>
      <c r="U138" s="493" t="e">
        <f t="shared" si="31"/>
        <v>#DIV/0!</v>
      </c>
      <c r="V138" s="493">
        <f t="shared" si="32"/>
        <v>0</v>
      </c>
    </row>
    <row r="139" spans="1:22">
      <c r="A139" s="494">
        <f t="shared" si="24"/>
        <v>136</v>
      </c>
      <c r="B139" s="75"/>
      <c r="C139" s="75"/>
      <c r="D139" s="75"/>
      <c r="E139" s="75"/>
      <c r="F139" s="75"/>
      <c r="G139" s="75"/>
      <c r="H139" s="75"/>
      <c r="I139" s="75"/>
      <c r="J139" s="75"/>
      <c r="K139" s="75"/>
      <c r="L139" s="75"/>
      <c r="M139" s="75"/>
      <c r="N139" s="75"/>
      <c r="O139" s="492">
        <f t="shared" si="25"/>
        <v>37955</v>
      </c>
      <c r="P139" s="492">
        <f t="shared" si="26"/>
        <v>37955</v>
      </c>
      <c r="Q139" s="492">
        <f t="shared" si="27"/>
        <v>37955</v>
      </c>
      <c r="R139" s="492">
        <f t="shared" si="28"/>
        <v>37955</v>
      </c>
      <c r="S139" s="492">
        <f t="shared" si="29"/>
        <v>38321</v>
      </c>
      <c r="T139" s="493" t="e">
        <f t="shared" si="30"/>
        <v>#DIV/0!</v>
      </c>
      <c r="U139" s="493" t="e">
        <f t="shared" si="31"/>
        <v>#DIV/0!</v>
      </c>
      <c r="V139" s="493">
        <f t="shared" si="32"/>
        <v>0</v>
      </c>
    </row>
    <row r="140" spans="1:22">
      <c r="A140" s="494">
        <f t="shared" si="24"/>
        <v>137</v>
      </c>
      <c r="B140" s="75"/>
      <c r="C140" s="75"/>
      <c r="D140" s="75"/>
      <c r="E140" s="75"/>
      <c r="F140" s="75"/>
      <c r="G140" s="75"/>
      <c r="H140" s="75"/>
      <c r="I140" s="75"/>
      <c r="J140" s="75"/>
      <c r="K140" s="75"/>
      <c r="L140" s="75"/>
      <c r="M140" s="75"/>
      <c r="N140" s="75"/>
      <c r="O140" s="492">
        <f t="shared" si="25"/>
        <v>37955</v>
      </c>
      <c r="P140" s="492">
        <f t="shared" si="26"/>
        <v>37955</v>
      </c>
      <c r="Q140" s="492">
        <f t="shared" si="27"/>
        <v>37955</v>
      </c>
      <c r="R140" s="492">
        <f t="shared" si="28"/>
        <v>37955</v>
      </c>
      <c r="S140" s="492">
        <f t="shared" si="29"/>
        <v>38321</v>
      </c>
      <c r="T140" s="493" t="e">
        <f t="shared" si="30"/>
        <v>#DIV/0!</v>
      </c>
      <c r="U140" s="493" t="e">
        <f t="shared" si="31"/>
        <v>#DIV/0!</v>
      </c>
      <c r="V140" s="493">
        <f t="shared" si="32"/>
        <v>0</v>
      </c>
    </row>
    <row r="141" spans="1:22">
      <c r="A141" s="494">
        <f t="shared" si="24"/>
        <v>138</v>
      </c>
      <c r="B141" s="75"/>
      <c r="C141" s="75"/>
      <c r="D141" s="75"/>
      <c r="E141" s="75"/>
      <c r="F141" s="75"/>
      <c r="G141" s="75"/>
      <c r="H141" s="75"/>
      <c r="I141" s="75"/>
      <c r="J141" s="75"/>
      <c r="K141" s="75"/>
      <c r="L141" s="75"/>
      <c r="M141" s="75"/>
      <c r="N141" s="75"/>
      <c r="O141" s="492">
        <f t="shared" si="25"/>
        <v>37955</v>
      </c>
      <c r="P141" s="492">
        <f t="shared" si="26"/>
        <v>37955</v>
      </c>
      <c r="Q141" s="492">
        <f t="shared" si="27"/>
        <v>37955</v>
      </c>
      <c r="R141" s="492">
        <f t="shared" si="28"/>
        <v>37955</v>
      </c>
      <c r="S141" s="492">
        <f t="shared" si="29"/>
        <v>38321</v>
      </c>
      <c r="T141" s="493" t="e">
        <f t="shared" si="30"/>
        <v>#DIV/0!</v>
      </c>
      <c r="U141" s="493" t="e">
        <f t="shared" si="31"/>
        <v>#DIV/0!</v>
      </c>
      <c r="V141" s="493">
        <f t="shared" si="32"/>
        <v>0</v>
      </c>
    </row>
    <row r="142" spans="1:22">
      <c r="A142" s="494">
        <f t="shared" si="24"/>
        <v>139</v>
      </c>
      <c r="B142" s="75"/>
      <c r="C142" s="75"/>
      <c r="D142" s="75"/>
      <c r="E142" s="75"/>
      <c r="F142" s="75"/>
      <c r="G142" s="75"/>
      <c r="H142" s="75"/>
      <c r="I142" s="75"/>
      <c r="J142" s="75"/>
      <c r="K142" s="75"/>
      <c r="L142" s="75"/>
      <c r="M142" s="75"/>
      <c r="N142" s="75"/>
      <c r="O142" s="492">
        <f t="shared" si="25"/>
        <v>37955</v>
      </c>
      <c r="P142" s="492">
        <f t="shared" si="26"/>
        <v>37955</v>
      </c>
      <c r="Q142" s="492">
        <f t="shared" si="27"/>
        <v>37955</v>
      </c>
      <c r="R142" s="492">
        <f t="shared" si="28"/>
        <v>37955</v>
      </c>
      <c r="S142" s="492">
        <f t="shared" si="29"/>
        <v>38321</v>
      </c>
      <c r="T142" s="493" t="e">
        <f t="shared" si="30"/>
        <v>#DIV/0!</v>
      </c>
      <c r="U142" s="493" t="e">
        <f t="shared" si="31"/>
        <v>#DIV/0!</v>
      </c>
      <c r="V142" s="493">
        <f t="shared" si="32"/>
        <v>0</v>
      </c>
    </row>
    <row r="143" spans="1:22">
      <c r="A143" s="494">
        <f t="shared" si="24"/>
        <v>140</v>
      </c>
      <c r="B143" s="75"/>
      <c r="C143" s="75"/>
      <c r="D143" s="75"/>
      <c r="E143" s="75"/>
      <c r="F143" s="75"/>
      <c r="G143" s="75"/>
      <c r="H143" s="75"/>
      <c r="I143" s="75"/>
      <c r="J143" s="75"/>
      <c r="K143" s="75"/>
      <c r="L143" s="75"/>
      <c r="M143" s="75"/>
      <c r="N143" s="75"/>
      <c r="O143" s="492">
        <f t="shared" si="25"/>
        <v>37955</v>
      </c>
      <c r="P143" s="492">
        <f t="shared" si="26"/>
        <v>37955</v>
      </c>
      <c r="Q143" s="492">
        <f t="shared" si="27"/>
        <v>37955</v>
      </c>
      <c r="R143" s="492">
        <f t="shared" si="28"/>
        <v>37955</v>
      </c>
      <c r="S143" s="492">
        <f t="shared" si="29"/>
        <v>38321</v>
      </c>
      <c r="T143" s="493" t="e">
        <f t="shared" si="30"/>
        <v>#DIV/0!</v>
      </c>
      <c r="U143" s="493" t="e">
        <f t="shared" si="31"/>
        <v>#DIV/0!</v>
      </c>
      <c r="V143" s="493">
        <f t="shared" si="32"/>
        <v>0</v>
      </c>
    </row>
    <row r="144" spans="1:22">
      <c r="A144" s="494">
        <f t="shared" si="24"/>
        <v>141</v>
      </c>
      <c r="B144" s="75"/>
      <c r="C144" s="75"/>
      <c r="D144" s="75"/>
      <c r="E144" s="75"/>
      <c r="F144" s="75"/>
      <c r="G144" s="75"/>
      <c r="H144" s="75"/>
      <c r="I144" s="75"/>
      <c r="J144" s="75"/>
      <c r="K144" s="75"/>
      <c r="L144" s="75"/>
      <c r="M144" s="75"/>
      <c r="N144" s="75"/>
      <c r="O144" s="492">
        <f t="shared" si="25"/>
        <v>37955</v>
      </c>
      <c r="P144" s="492">
        <f t="shared" si="26"/>
        <v>37955</v>
      </c>
      <c r="Q144" s="492">
        <f t="shared" si="27"/>
        <v>37955</v>
      </c>
      <c r="R144" s="492">
        <f t="shared" si="28"/>
        <v>37955</v>
      </c>
      <c r="S144" s="492">
        <f t="shared" si="29"/>
        <v>38321</v>
      </c>
      <c r="T144" s="493" t="e">
        <f t="shared" si="30"/>
        <v>#DIV/0!</v>
      </c>
      <c r="U144" s="493" t="e">
        <f t="shared" si="31"/>
        <v>#DIV/0!</v>
      </c>
      <c r="V144" s="493">
        <f t="shared" si="32"/>
        <v>0</v>
      </c>
    </row>
    <row r="145" spans="1:22">
      <c r="A145" s="494">
        <f t="shared" si="24"/>
        <v>142</v>
      </c>
      <c r="B145" s="75"/>
      <c r="C145" s="75"/>
      <c r="D145" s="75"/>
      <c r="E145" s="75"/>
      <c r="F145" s="75"/>
      <c r="G145" s="75"/>
      <c r="H145" s="75"/>
      <c r="I145" s="75"/>
      <c r="J145" s="75"/>
      <c r="K145" s="75"/>
      <c r="L145" s="75"/>
      <c r="M145" s="75"/>
      <c r="N145" s="75"/>
      <c r="O145" s="492">
        <f t="shared" si="25"/>
        <v>37955</v>
      </c>
      <c r="P145" s="492">
        <f t="shared" si="26"/>
        <v>37955</v>
      </c>
      <c r="Q145" s="492">
        <f t="shared" si="27"/>
        <v>37955</v>
      </c>
      <c r="R145" s="492">
        <f t="shared" si="28"/>
        <v>37955</v>
      </c>
      <c r="S145" s="492">
        <f t="shared" si="29"/>
        <v>38321</v>
      </c>
      <c r="T145" s="493" t="e">
        <f t="shared" si="30"/>
        <v>#DIV/0!</v>
      </c>
      <c r="U145" s="493" t="e">
        <f t="shared" si="31"/>
        <v>#DIV/0!</v>
      </c>
      <c r="V145" s="493">
        <f t="shared" si="32"/>
        <v>0</v>
      </c>
    </row>
    <row r="146" spans="1:22">
      <c r="A146" s="494">
        <f t="shared" si="24"/>
        <v>143</v>
      </c>
      <c r="B146" s="75"/>
      <c r="C146" s="75"/>
      <c r="D146" s="75"/>
      <c r="E146" s="75"/>
      <c r="F146" s="75"/>
      <c r="G146" s="75"/>
      <c r="H146" s="75"/>
      <c r="I146" s="75"/>
      <c r="J146" s="75"/>
      <c r="K146" s="75"/>
      <c r="L146" s="75"/>
      <c r="M146" s="75"/>
      <c r="N146" s="75"/>
      <c r="O146" s="492">
        <f t="shared" si="25"/>
        <v>37955</v>
      </c>
      <c r="P146" s="492">
        <f t="shared" si="26"/>
        <v>37955</v>
      </c>
      <c r="Q146" s="492">
        <f t="shared" si="27"/>
        <v>37955</v>
      </c>
      <c r="R146" s="492">
        <f t="shared" si="28"/>
        <v>37955</v>
      </c>
      <c r="S146" s="492">
        <f t="shared" si="29"/>
        <v>38321</v>
      </c>
      <c r="T146" s="493" t="e">
        <f t="shared" si="30"/>
        <v>#DIV/0!</v>
      </c>
      <c r="U146" s="493" t="e">
        <f t="shared" si="31"/>
        <v>#DIV/0!</v>
      </c>
      <c r="V146" s="493">
        <f t="shared" si="32"/>
        <v>0</v>
      </c>
    </row>
    <row r="147" spans="1:22">
      <c r="A147" s="494">
        <f t="shared" si="24"/>
        <v>144</v>
      </c>
      <c r="B147" s="75"/>
      <c r="C147" s="75"/>
      <c r="D147" s="75"/>
      <c r="E147" s="75"/>
      <c r="F147" s="75"/>
      <c r="G147" s="75"/>
      <c r="H147" s="75"/>
      <c r="I147" s="75"/>
      <c r="J147" s="75"/>
      <c r="K147" s="75"/>
      <c r="L147" s="75"/>
      <c r="M147" s="75"/>
      <c r="N147" s="75"/>
      <c r="O147" s="492">
        <f t="shared" si="25"/>
        <v>37955</v>
      </c>
      <c r="P147" s="492">
        <f t="shared" si="26"/>
        <v>37955</v>
      </c>
      <c r="Q147" s="492">
        <f t="shared" si="27"/>
        <v>37955</v>
      </c>
      <c r="R147" s="492">
        <f t="shared" si="28"/>
        <v>37955</v>
      </c>
      <c r="S147" s="492">
        <f t="shared" si="29"/>
        <v>38321</v>
      </c>
      <c r="T147" s="493" t="e">
        <f t="shared" si="30"/>
        <v>#DIV/0!</v>
      </c>
      <c r="U147" s="493" t="e">
        <f t="shared" si="31"/>
        <v>#DIV/0!</v>
      </c>
      <c r="V147" s="493">
        <f t="shared" si="32"/>
        <v>0</v>
      </c>
    </row>
    <row r="148" spans="1:22">
      <c r="A148" s="494">
        <f t="shared" si="24"/>
        <v>145</v>
      </c>
      <c r="B148" s="75"/>
      <c r="C148" s="75"/>
      <c r="D148" s="75"/>
      <c r="E148" s="75"/>
      <c r="F148" s="75"/>
      <c r="G148" s="75"/>
      <c r="H148" s="75"/>
      <c r="I148" s="75"/>
      <c r="J148" s="75"/>
      <c r="K148" s="75"/>
      <c r="L148" s="75"/>
      <c r="M148" s="75"/>
      <c r="N148" s="75"/>
      <c r="O148" s="492">
        <f t="shared" si="25"/>
        <v>37955</v>
      </c>
      <c r="P148" s="492">
        <f t="shared" si="26"/>
        <v>37955</v>
      </c>
      <c r="Q148" s="492">
        <f t="shared" si="27"/>
        <v>37955</v>
      </c>
      <c r="R148" s="492">
        <f t="shared" si="28"/>
        <v>37955</v>
      </c>
      <c r="S148" s="492">
        <f t="shared" si="29"/>
        <v>38321</v>
      </c>
      <c r="T148" s="493" t="e">
        <f t="shared" si="30"/>
        <v>#DIV/0!</v>
      </c>
      <c r="U148" s="493" t="e">
        <f t="shared" si="31"/>
        <v>#DIV/0!</v>
      </c>
      <c r="V148" s="493">
        <f t="shared" si="32"/>
        <v>0</v>
      </c>
    </row>
    <row r="149" spans="1:22">
      <c r="A149" s="494">
        <f t="shared" si="24"/>
        <v>146</v>
      </c>
      <c r="B149" s="75"/>
      <c r="C149" s="75"/>
      <c r="D149" s="75"/>
      <c r="E149" s="75"/>
      <c r="F149" s="75"/>
      <c r="G149" s="75"/>
      <c r="H149" s="75"/>
      <c r="I149" s="75"/>
      <c r="J149" s="75"/>
      <c r="K149" s="75"/>
      <c r="L149" s="75"/>
      <c r="M149" s="75"/>
      <c r="N149" s="75"/>
      <c r="O149" s="492">
        <f t="shared" si="25"/>
        <v>37955</v>
      </c>
      <c r="P149" s="492">
        <f t="shared" si="26"/>
        <v>37955</v>
      </c>
      <c r="Q149" s="492">
        <f t="shared" si="27"/>
        <v>37955</v>
      </c>
      <c r="R149" s="492">
        <f t="shared" si="28"/>
        <v>37955</v>
      </c>
      <c r="S149" s="492">
        <f t="shared" si="29"/>
        <v>38321</v>
      </c>
      <c r="T149" s="493" t="e">
        <f t="shared" si="30"/>
        <v>#DIV/0!</v>
      </c>
      <c r="U149" s="493" t="e">
        <f t="shared" si="31"/>
        <v>#DIV/0!</v>
      </c>
      <c r="V149" s="493">
        <f t="shared" si="32"/>
        <v>0</v>
      </c>
    </row>
    <row r="150" spans="1:22">
      <c r="A150" s="494">
        <f t="shared" si="24"/>
        <v>147</v>
      </c>
      <c r="B150" s="75"/>
      <c r="C150" s="75"/>
      <c r="D150" s="75"/>
      <c r="E150" s="75"/>
      <c r="F150" s="75"/>
      <c r="G150" s="75"/>
      <c r="H150" s="75"/>
      <c r="I150" s="75"/>
      <c r="J150" s="75"/>
      <c r="K150" s="75"/>
      <c r="L150" s="75"/>
      <c r="M150" s="75"/>
      <c r="N150" s="75"/>
      <c r="O150" s="492">
        <f t="shared" si="25"/>
        <v>37955</v>
      </c>
      <c r="P150" s="492">
        <f t="shared" si="26"/>
        <v>37955</v>
      </c>
      <c r="Q150" s="492">
        <f t="shared" si="27"/>
        <v>37955</v>
      </c>
      <c r="R150" s="492">
        <f t="shared" si="28"/>
        <v>37955</v>
      </c>
      <c r="S150" s="492">
        <f t="shared" si="29"/>
        <v>38321</v>
      </c>
      <c r="T150" s="493" t="e">
        <f t="shared" si="30"/>
        <v>#DIV/0!</v>
      </c>
      <c r="U150" s="493" t="e">
        <f t="shared" si="31"/>
        <v>#DIV/0!</v>
      </c>
      <c r="V150" s="493">
        <f t="shared" si="32"/>
        <v>0</v>
      </c>
    </row>
    <row r="151" spans="1:22">
      <c r="A151" s="494">
        <f t="shared" si="24"/>
        <v>148</v>
      </c>
      <c r="B151" s="75"/>
      <c r="C151" s="75"/>
      <c r="D151" s="75"/>
      <c r="E151" s="75"/>
      <c r="F151" s="75"/>
      <c r="G151" s="75"/>
      <c r="H151" s="75"/>
      <c r="I151" s="75"/>
      <c r="J151" s="75"/>
      <c r="K151" s="75"/>
      <c r="L151" s="75"/>
      <c r="M151" s="75"/>
      <c r="N151" s="75"/>
      <c r="O151" s="492">
        <f t="shared" si="25"/>
        <v>37955</v>
      </c>
      <c r="P151" s="492">
        <f t="shared" si="26"/>
        <v>37955</v>
      </c>
      <c r="Q151" s="492">
        <f t="shared" si="27"/>
        <v>37955</v>
      </c>
      <c r="R151" s="492">
        <f t="shared" si="28"/>
        <v>37955</v>
      </c>
      <c r="S151" s="492">
        <f t="shared" si="29"/>
        <v>38321</v>
      </c>
      <c r="T151" s="493" t="e">
        <f t="shared" si="30"/>
        <v>#DIV/0!</v>
      </c>
      <c r="U151" s="493" t="e">
        <f t="shared" si="31"/>
        <v>#DIV/0!</v>
      </c>
      <c r="V151" s="493">
        <f t="shared" si="32"/>
        <v>0</v>
      </c>
    </row>
    <row r="152" spans="1:22">
      <c r="A152" s="494">
        <f t="shared" si="24"/>
        <v>149</v>
      </c>
      <c r="B152" s="75"/>
      <c r="C152" s="75"/>
      <c r="D152" s="75"/>
      <c r="E152" s="75"/>
      <c r="F152" s="75"/>
      <c r="G152" s="75"/>
      <c r="H152" s="75"/>
      <c r="I152" s="75"/>
      <c r="J152" s="75"/>
      <c r="K152" s="75"/>
      <c r="L152" s="75"/>
      <c r="M152" s="75"/>
      <c r="N152" s="75"/>
      <c r="O152" s="492">
        <f t="shared" si="25"/>
        <v>37955</v>
      </c>
      <c r="P152" s="492">
        <f t="shared" si="26"/>
        <v>37955</v>
      </c>
      <c r="Q152" s="492">
        <f t="shared" si="27"/>
        <v>37955</v>
      </c>
      <c r="R152" s="492">
        <f t="shared" si="28"/>
        <v>37955</v>
      </c>
      <c r="S152" s="492">
        <f t="shared" si="29"/>
        <v>38321</v>
      </c>
      <c r="T152" s="493" t="e">
        <f t="shared" si="30"/>
        <v>#DIV/0!</v>
      </c>
      <c r="U152" s="493" t="e">
        <f t="shared" si="31"/>
        <v>#DIV/0!</v>
      </c>
      <c r="V152" s="493">
        <f t="shared" si="32"/>
        <v>0</v>
      </c>
    </row>
    <row r="153" spans="1:22">
      <c r="A153" s="494">
        <f t="shared" si="24"/>
        <v>150</v>
      </c>
      <c r="B153" s="75"/>
      <c r="C153" s="75"/>
      <c r="D153" s="75"/>
      <c r="E153" s="75"/>
      <c r="F153" s="75"/>
      <c r="G153" s="75"/>
      <c r="H153" s="75"/>
      <c r="I153" s="75"/>
      <c r="J153" s="75"/>
      <c r="K153" s="75"/>
      <c r="L153" s="75"/>
      <c r="M153" s="75"/>
      <c r="N153" s="75"/>
      <c r="O153" s="492">
        <f t="shared" si="25"/>
        <v>37955</v>
      </c>
      <c r="P153" s="492">
        <f t="shared" si="26"/>
        <v>37955</v>
      </c>
      <c r="Q153" s="492">
        <f t="shared" si="27"/>
        <v>37955</v>
      </c>
      <c r="R153" s="492">
        <f t="shared" si="28"/>
        <v>37955</v>
      </c>
      <c r="S153" s="492">
        <f t="shared" si="29"/>
        <v>38321</v>
      </c>
      <c r="T153" s="493" t="e">
        <f t="shared" si="30"/>
        <v>#DIV/0!</v>
      </c>
      <c r="U153" s="493" t="e">
        <f t="shared" si="31"/>
        <v>#DIV/0!</v>
      </c>
      <c r="V153" s="493">
        <f t="shared" si="32"/>
        <v>0</v>
      </c>
    </row>
    <row r="154" spans="1:22">
      <c r="A154" s="494">
        <f t="shared" si="24"/>
        <v>151</v>
      </c>
      <c r="B154" s="75"/>
      <c r="C154" s="75"/>
      <c r="D154" s="75"/>
      <c r="E154" s="75"/>
      <c r="F154" s="75"/>
      <c r="G154" s="75"/>
      <c r="H154" s="75"/>
      <c r="I154" s="75"/>
      <c r="J154" s="75"/>
      <c r="K154" s="75"/>
      <c r="L154" s="75"/>
      <c r="M154" s="75"/>
      <c r="N154" s="75"/>
      <c r="O154" s="492">
        <f t="shared" si="25"/>
        <v>37955</v>
      </c>
      <c r="P154" s="492">
        <f t="shared" si="26"/>
        <v>37955</v>
      </c>
      <c r="Q154" s="492">
        <f t="shared" si="27"/>
        <v>37955</v>
      </c>
      <c r="R154" s="492">
        <f t="shared" si="28"/>
        <v>37955</v>
      </c>
      <c r="S154" s="492">
        <f t="shared" si="29"/>
        <v>38321</v>
      </c>
      <c r="T154" s="493" t="e">
        <f t="shared" si="30"/>
        <v>#DIV/0!</v>
      </c>
      <c r="U154" s="493" t="e">
        <f t="shared" si="31"/>
        <v>#DIV/0!</v>
      </c>
      <c r="V154" s="493">
        <f t="shared" si="32"/>
        <v>0</v>
      </c>
    </row>
    <row r="155" spans="1:22">
      <c r="A155" s="494">
        <f t="shared" si="24"/>
        <v>152</v>
      </c>
      <c r="B155" s="75"/>
      <c r="C155" s="75"/>
      <c r="D155" s="75"/>
      <c r="E155" s="75"/>
      <c r="F155" s="75"/>
      <c r="G155" s="75"/>
      <c r="H155" s="75"/>
      <c r="I155" s="75"/>
      <c r="J155" s="75"/>
      <c r="K155" s="75"/>
      <c r="L155" s="75"/>
      <c r="M155" s="75"/>
      <c r="N155" s="75"/>
      <c r="O155" s="492">
        <f t="shared" si="25"/>
        <v>37955</v>
      </c>
      <c r="P155" s="492">
        <f t="shared" si="26"/>
        <v>37955</v>
      </c>
      <c r="Q155" s="492">
        <f t="shared" si="27"/>
        <v>37955</v>
      </c>
      <c r="R155" s="492">
        <f t="shared" si="28"/>
        <v>37955</v>
      </c>
      <c r="S155" s="492">
        <f t="shared" si="29"/>
        <v>38321</v>
      </c>
      <c r="T155" s="493" t="e">
        <f t="shared" si="30"/>
        <v>#DIV/0!</v>
      </c>
      <c r="U155" s="493" t="e">
        <f t="shared" si="31"/>
        <v>#DIV/0!</v>
      </c>
      <c r="V155" s="493">
        <f t="shared" si="32"/>
        <v>0</v>
      </c>
    </row>
  </sheetData>
  <mergeCells count="6">
    <mergeCell ref="T1:V2"/>
    <mergeCell ref="O1:S2"/>
    <mergeCell ref="D1:F2"/>
    <mergeCell ref="G1:J2"/>
    <mergeCell ref="K1:L2"/>
    <mergeCell ref="M1:N2"/>
  </mergeCells>
  <phoneticPr fontId="0" type="noConversion"/>
  <pageMargins left="0.75" right="0.75" top="1" bottom="1" header="0.5" footer="0.5"/>
  <pageSetup orientation="portrait" verticalDpi="1200" r:id="rId1"/>
  <headerFooter alignWithMargins="0"/>
</worksheet>
</file>

<file path=xl/worksheets/sheet15.xml><?xml version="1.0" encoding="utf-8"?>
<worksheet xmlns="http://schemas.openxmlformats.org/spreadsheetml/2006/main" xmlns:r="http://schemas.openxmlformats.org/officeDocument/2006/relationships">
  <sheetPr>
    <tabColor rgb="FF00CC00"/>
  </sheetPr>
  <dimension ref="A1:CE54"/>
  <sheetViews>
    <sheetView zoomScale="75" workbookViewId="0">
      <pane xSplit="16" ySplit="24" topLeftCell="Q25" activePane="bottomRight" state="frozen"/>
      <selection pane="topRight" activeCell="Q1" sqref="Q1"/>
      <selection pane="bottomLeft" activeCell="A25" sqref="A25"/>
      <selection pane="bottomRight" activeCell="M39" sqref="M39"/>
    </sheetView>
  </sheetViews>
  <sheetFormatPr defaultRowHeight="12.75"/>
  <cols>
    <col min="1" max="1" width="3" customWidth="1"/>
    <col min="2" max="2" width="4.7109375" customWidth="1"/>
    <col min="8" max="9" width="8.140625" customWidth="1"/>
    <col min="10" max="10" width="7.85546875" customWidth="1"/>
    <col min="12" max="12" width="11.5703125" bestFit="1" customWidth="1"/>
    <col min="13" max="13" width="9.28515625" customWidth="1"/>
    <col min="41" max="41" width="9.5703125" customWidth="1"/>
    <col min="42" max="42" width="10.28515625" customWidth="1"/>
    <col min="43" max="43" width="9.5703125" customWidth="1"/>
    <col min="45" max="45" width="10.5703125" customWidth="1"/>
    <col min="57" max="60" width="9.5703125" customWidth="1"/>
    <col min="61" max="62" width="10.5703125" customWidth="1"/>
  </cols>
  <sheetData>
    <row r="1" spans="1:83">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row>
    <row r="2" spans="1:83" ht="14.25">
      <c r="A2" s="17"/>
      <c r="B2" s="17"/>
      <c r="C2" s="17"/>
      <c r="D2" s="17"/>
      <c r="E2" s="17"/>
      <c r="F2" s="17"/>
      <c r="G2" s="17"/>
      <c r="H2" s="17"/>
      <c r="I2" s="17"/>
      <c r="J2" s="17"/>
      <c r="K2" s="17"/>
      <c r="L2" s="17"/>
      <c r="M2" s="17"/>
      <c r="N2" s="132" t="s">
        <v>343</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row>
    <row r="3" spans="1:83" ht="15.75">
      <c r="A3" s="17"/>
      <c r="B3" s="17"/>
      <c r="C3" s="17"/>
      <c r="D3" s="17"/>
      <c r="E3" s="19"/>
      <c r="F3" s="20" t="s">
        <v>92</v>
      </c>
      <c r="G3" s="515" t="s">
        <v>489</v>
      </c>
      <c r="H3" s="516"/>
      <c r="I3" s="17"/>
      <c r="J3" s="21"/>
      <c r="K3" s="21"/>
      <c r="L3" s="127"/>
      <c r="M3" s="129" t="s">
        <v>344</v>
      </c>
      <c r="N3" s="473">
        <v>70</v>
      </c>
      <c r="O3" s="131">
        <f>IF(N3="",N4,N3)</f>
        <v>70</v>
      </c>
      <c r="P3" s="21"/>
      <c r="Q3" s="21"/>
      <c r="R3" s="21"/>
      <c r="S3" s="21"/>
      <c r="T3" s="21"/>
      <c r="U3" s="21"/>
      <c r="V3" s="21"/>
      <c r="W3" s="21"/>
      <c r="X3" s="21"/>
      <c r="Y3" s="21"/>
      <c r="Z3" s="21"/>
      <c r="AA3" s="21"/>
      <c r="AB3" s="21"/>
      <c r="AC3" s="21"/>
      <c r="AD3" s="21"/>
      <c r="AE3" s="21"/>
      <c r="AF3" s="21"/>
      <c r="AG3" s="21"/>
      <c r="AH3" s="21"/>
      <c r="AI3" s="21"/>
      <c r="AJ3" s="21"/>
      <c r="AK3" s="21"/>
      <c r="AL3" s="17"/>
      <c r="AM3" s="17"/>
      <c r="AN3" s="17"/>
      <c r="AO3" s="17"/>
      <c r="AP3" s="17"/>
      <c r="AQ3" s="17"/>
      <c r="AR3" s="22" t="s">
        <v>173</v>
      </c>
      <c r="AS3" s="17">
        <v>8.2000000000000003E-2</v>
      </c>
      <c r="AT3" s="17"/>
      <c r="AU3" s="17"/>
      <c r="AV3" s="17"/>
      <c r="AW3" s="17"/>
      <c r="AX3" s="17"/>
      <c r="AY3" s="17"/>
      <c r="AZ3" s="17"/>
      <c r="BA3" s="17"/>
      <c r="BB3" s="17"/>
      <c r="BC3" s="17"/>
      <c r="BD3" s="17"/>
      <c r="BE3" s="17"/>
      <c r="BF3" s="17"/>
      <c r="BG3" s="17"/>
      <c r="BH3" s="17"/>
      <c r="BI3" s="17"/>
      <c r="BJ3" s="17">
        <f>O3</f>
        <v>70</v>
      </c>
      <c r="BK3" s="125" t="s">
        <v>340</v>
      </c>
      <c r="BL3" s="17"/>
      <c r="BM3" s="17"/>
      <c r="BN3" s="21"/>
      <c r="BO3" s="21"/>
      <c r="BP3" s="21"/>
      <c r="BQ3" s="21"/>
      <c r="BR3" s="21"/>
      <c r="BS3" s="21"/>
      <c r="BT3" s="21"/>
      <c r="BU3" s="21"/>
      <c r="BV3" s="21"/>
      <c r="BW3" s="21"/>
      <c r="BX3" s="21"/>
      <c r="BY3" s="21"/>
      <c r="BZ3" s="21"/>
      <c r="CA3" s="21"/>
      <c r="CB3" s="21"/>
      <c r="CC3" s="21"/>
      <c r="CD3" s="21"/>
      <c r="CE3" s="21"/>
    </row>
    <row r="4" spans="1:83" ht="15.75">
      <c r="A4" s="17"/>
      <c r="B4" s="17"/>
      <c r="C4" s="17"/>
      <c r="D4" s="17"/>
      <c r="E4" s="19"/>
      <c r="F4" s="20" t="s">
        <v>93</v>
      </c>
      <c r="G4" s="23"/>
      <c r="H4" s="17"/>
      <c r="I4" s="24" t="s">
        <v>94</v>
      </c>
      <c r="J4" s="25">
        <v>0.23</v>
      </c>
      <c r="K4" s="25"/>
      <c r="L4" s="26"/>
      <c r="M4" s="128" t="s">
        <v>345</v>
      </c>
      <c r="N4" s="130">
        <v>70</v>
      </c>
      <c r="O4" s="26"/>
      <c r="P4" s="26"/>
      <c r="Q4" s="26"/>
      <c r="R4" s="26"/>
      <c r="S4" s="26"/>
      <c r="T4" s="26"/>
      <c r="U4" s="26"/>
      <c r="V4" s="26"/>
      <c r="W4" s="26"/>
      <c r="X4" s="26"/>
      <c r="Y4" s="26"/>
      <c r="Z4" s="26"/>
      <c r="AA4" s="26"/>
      <c r="AB4" s="26"/>
      <c r="AC4" s="26"/>
      <c r="AD4" s="26"/>
      <c r="AE4" s="26"/>
      <c r="AF4" s="26"/>
      <c r="AG4" s="26"/>
      <c r="AH4" s="26"/>
      <c r="AI4" s="26"/>
      <c r="AJ4" s="26"/>
      <c r="AK4" s="26"/>
      <c r="AL4" s="17"/>
      <c r="AM4" s="17"/>
      <c r="AN4" s="17"/>
      <c r="AO4" s="17"/>
      <c r="AP4" s="17"/>
      <c r="AQ4" s="22"/>
      <c r="AR4" s="27" t="s">
        <v>95</v>
      </c>
      <c r="AS4" s="28">
        <f>G5*PI()/180</f>
        <v>0.77045725488245831</v>
      </c>
      <c r="AT4" s="17"/>
      <c r="AU4" s="17"/>
      <c r="AV4" s="17"/>
      <c r="AW4" s="17"/>
      <c r="AX4" s="17"/>
      <c r="AY4" s="17"/>
      <c r="AZ4" s="17"/>
      <c r="BA4" s="17"/>
      <c r="BB4" s="17"/>
      <c r="BC4" s="17"/>
      <c r="BD4" s="17"/>
      <c r="BE4" s="17"/>
      <c r="BF4" s="17"/>
      <c r="BG4" s="17"/>
      <c r="BH4" s="17"/>
      <c r="BI4" s="17"/>
      <c r="BJ4" s="28">
        <f>BJ3/208</f>
        <v>0.33653846153846156</v>
      </c>
      <c r="BK4" s="125" t="s">
        <v>342</v>
      </c>
      <c r="BL4" s="17"/>
      <c r="BM4" s="17"/>
      <c r="BN4" s="26"/>
      <c r="BO4" s="26"/>
      <c r="BP4" s="26"/>
      <c r="BQ4" s="26"/>
      <c r="BR4" s="26"/>
      <c r="BS4" s="26"/>
      <c r="BT4" s="26"/>
      <c r="BU4" s="26"/>
      <c r="BV4" s="26"/>
      <c r="BW4" s="26"/>
      <c r="BX4" s="26"/>
      <c r="BY4" s="26"/>
      <c r="BZ4" s="26"/>
      <c r="CA4" s="26"/>
      <c r="CB4" s="26"/>
      <c r="CC4" s="26"/>
      <c r="CD4" s="26"/>
      <c r="CE4" s="26"/>
    </row>
    <row r="5" spans="1:83">
      <c r="A5" s="17"/>
      <c r="B5" s="17"/>
      <c r="C5" s="17"/>
      <c r="D5" s="17"/>
      <c r="E5" s="18"/>
      <c r="F5" s="20" t="s">
        <v>96</v>
      </c>
      <c r="G5" s="424">
        <v>44.143948999999999</v>
      </c>
      <c r="H5" s="17"/>
      <c r="I5" s="29"/>
      <c r="J5" s="29"/>
      <c r="K5" s="29"/>
      <c r="L5" s="17"/>
      <c r="M5" s="17"/>
      <c r="N5" s="124"/>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27"/>
      <c r="AR5" s="27"/>
      <c r="AS5" s="27"/>
      <c r="AT5" s="17"/>
      <c r="AU5" s="17"/>
      <c r="AV5" s="17"/>
      <c r="AW5" s="17"/>
      <c r="AX5" s="17"/>
      <c r="AY5" s="17"/>
      <c r="AZ5" s="27" t="s">
        <v>97</v>
      </c>
      <c r="BA5" s="17">
        <f>4.9*10^-9</f>
        <v>4.9000000000000009E-9</v>
      </c>
      <c r="BB5" s="17"/>
      <c r="BC5" s="17"/>
      <c r="BD5" s="17"/>
      <c r="BE5" s="17"/>
      <c r="BF5" s="17"/>
      <c r="BG5" s="17"/>
      <c r="BH5" s="27" t="s">
        <v>98</v>
      </c>
      <c r="BI5" s="17">
        <v>2.4500000000000002</v>
      </c>
      <c r="BJ5" s="17">
        <v>70</v>
      </c>
      <c r="BK5" s="126" t="s">
        <v>340</v>
      </c>
      <c r="BL5" s="17"/>
      <c r="BM5" s="17"/>
      <c r="BN5" s="17"/>
      <c r="BO5" s="17"/>
      <c r="BP5" s="17"/>
      <c r="BQ5" s="17"/>
      <c r="BR5" s="17"/>
      <c r="BS5" s="17"/>
      <c r="BT5" s="17"/>
      <c r="BU5" s="17"/>
      <c r="BV5" s="17"/>
      <c r="BW5" s="17"/>
      <c r="BX5" s="17"/>
      <c r="BY5" s="17"/>
      <c r="BZ5" s="17"/>
      <c r="CA5" s="17"/>
      <c r="CB5" s="17"/>
      <c r="CC5" s="17"/>
      <c r="CD5" s="17"/>
      <c r="CE5" s="17"/>
    </row>
    <row r="6" spans="1:83" ht="15.75">
      <c r="A6" s="17"/>
      <c r="B6" s="17"/>
      <c r="C6" s="17"/>
      <c r="D6" s="17"/>
      <c r="E6" s="18"/>
      <c r="F6" s="20" t="s">
        <v>99</v>
      </c>
      <c r="G6" s="424">
        <v>36</v>
      </c>
      <c r="H6" s="17"/>
      <c r="I6" s="29" t="s">
        <v>100</v>
      </c>
      <c r="J6" s="30">
        <f>101.3*((293-0.0065*G6)/293)^5.26</f>
        <v>100.87518028376455</v>
      </c>
      <c r="K6" s="29" t="s">
        <v>101</v>
      </c>
      <c r="L6" s="31"/>
      <c r="M6" s="31"/>
      <c r="N6" s="31"/>
      <c r="O6" s="31"/>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21" t="s">
        <v>102</v>
      </c>
      <c r="AQ6" s="21"/>
      <c r="AR6" s="22" t="s">
        <v>174</v>
      </c>
      <c r="AS6" s="21"/>
      <c r="AT6" s="21"/>
      <c r="AU6" s="21"/>
      <c r="AV6" s="21"/>
      <c r="AW6" s="17"/>
      <c r="AX6" s="17"/>
      <c r="AY6" s="17"/>
      <c r="AZ6" s="17"/>
      <c r="BA6" s="17"/>
      <c r="BB6" s="17"/>
      <c r="BC6" s="17"/>
      <c r="BD6" s="17"/>
      <c r="BE6" s="17"/>
      <c r="BF6" s="17"/>
      <c r="BG6" s="17"/>
      <c r="BH6" s="27" t="s">
        <v>103</v>
      </c>
      <c r="BI6" s="32">
        <f>0.00163*J$6/BI5</f>
        <v>6.7112875045933149E-2</v>
      </c>
      <c r="BJ6" s="17">
        <v>208</v>
      </c>
      <c r="BK6" s="126" t="s">
        <v>341</v>
      </c>
      <c r="BL6" s="17"/>
      <c r="BM6" s="17"/>
      <c r="BN6" s="17"/>
      <c r="BO6" s="17"/>
      <c r="BP6" s="17"/>
      <c r="BQ6" s="17"/>
      <c r="BR6" s="17"/>
      <c r="BS6" s="17"/>
      <c r="BT6" s="17"/>
      <c r="BU6" s="17"/>
      <c r="BV6" s="17"/>
      <c r="BW6" s="17"/>
      <c r="BX6" s="17"/>
      <c r="BY6" s="17"/>
      <c r="BZ6" s="17"/>
      <c r="CA6" s="17"/>
      <c r="CB6" s="17"/>
      <c r="CC6" s="17"/>
      <c r="CD6" s="17"/>
      <c r="CE6" s="17"/>
    </row>
    <row r="7" spans="1:83">
      <c r="A7" s="17"/>
      <c r="B7" s="33"/>
      <c r="C7" s="33"/>
      <c r="D7" s="33"/>
      <c r="E7" s="33"/>
      <c r="F7" s="33"/>
      <c r="G7" s="33"/>
      <c r="H7" s="33"/>
      <c r="I7" s="33"/>
      <c r="J7" s="33"/>
      <c r="K7" s="33"/>
      <c r="L7" s="34"/>
      <c r="M7" s="34"/>
      <c r="N7" s="33"/>
      <c r="O7" s="33"/>
      <c r="P7" s="33"/>
      <c r="Q7" s="17"/>
      <c r="R7" s="17"/>
      <c r="S7" s="17"/>
      <c r="T7" s="17"/>
      <c r="U7" s="17"/>
      <c r="V7" s="17"/>
      <c r="W7" s="17"/>
      <c r="X7" s="17"/>
      <c r="Y7" s="17"/>
      <c r="Z7" s="17"/>
      <c r="AA7" s="17"/>
      <c r="AB7" s="17"/>
      <c r="AC7" s="17"/>
      <c r="AD7" s="17"/>
      <c r="AE7" s="17"/>
      <c r="AF7" s="17"/>
      <c r="AG7" s="17"/>
      <c r="AH7" s="17"/>
      <c r="AI7" s="17"/>
      <c r="AJ7" s="17"/>
      <c r="AK7" s="17"/>
      <c r="AL7" s="17"/>
      <c r="AM7" s="17"/>
      <c r="AN7" s="17"/>
      <c r="AO7" s="17"/>
      <c r="AP7" s="21"/>
      <c r="AQ7" s="21"/>
      <c r="AR7" s="22"/>
      <c r="AS7" s="21"/>
      <c r="AT7" s="21"/>
      <c r="AU7" s="21"/>
      <c r="AV7" s="21"/>
      <c r="AW7" s="17"/>
      <c r="AX7" s="17"/>
      <c r="AY7" s="17"/>
      <c r="AZ7" s="17"/>
      <c r="BA7" s="17"/>
      <c r="BB7" s="17"/>
      <c r="BC7" s="17"/>
      <c r="BD7" s="17"/>
      <c r="BE7" s="17"/>
      <c r="BF7" s="17"/>
      <c r="BG7" s="17"/>
      <c r="BH7" s="27"/>
      <c r="BI7" s="32"/>
      <c r="BJ7" s="17"/>
      <c r="BK7" s="17"/>
      <c r="BL7" s="17"/>
      <c r="BM7" s="17"/>
      <c r="BN7" s="17"/>
      <c r="BO7" s="17"/>
      <c r="BP7" s="17"/>
      <c r="BQ7" s="17"/>
      <c r="BR7" s="17"/>
      <c r="BS7" s="17"/>
      <c r="BT7" s="17"/>
      <c r="BU7" s="17"/>
      <c r="BV7" s="17"/>
      <c r="BW7" s="17"/>
      <c r="BX7" s="17"/>
      <c r="BY7" s="17"/>
      <c r="BZ7" s="17"/>
      <c r="CA7" s="17"/>
      <c r="CB7" s="17"/>
      <c r="CC7" s="17"/>
      <c r="CD7" s="17"/>
      <c r="CE7" s="17"/>
    </row>
    <row r="8" spans="1:83">
      <c r="A8" s="17"/>
      <c r="B8" s="33"/>
      <c r="C8" s="33"/>
      <c r="D8" s="33"/>
      <c r="E8" s="33"/>
      <c r="F8" s="33"/>
      <c r="G8" s="33"/>
      <c r="H8" s="33"/>
      <c r="I8" s="33"/>
      <c r="J8" s="33"/>
      <c r="K8" s="33"/>
      <c r="L8" s="34"/>
      <c r="M8" s="34"/>
      <c r="N8" s="35"/>
      <c r="O8" s="33"/>
      <c r="P8" s="33"/>
      <c r="Q8" s="17"/>
      <c r="R8" s="17"/>
      <c r="S8" s="17"/>
      <c r="T8" s="17"/>
      <c r="U8" s="17"/>
      <c r="V8" s="17"/>
      <c r="W8" s="17"/>
      <c r="X8" s="17"/>
      <c r="Y8" s="17"/>
      <c r="Z8" s="17"/>
      <c r="AA8" s="17"/>
      <c r="AB8" s="17"/>
      <c r="AC8" s="17"/>
      <c r="AD8" s="17"/>
      <c r="AE8" s="17"/>
      <c r="AF8" s="17"/>
      <c r="AG8" s="17"/>
      <c r="AH8" s="17"/>
      <c r="AI8" s="124" t="s">
        <v>123</v>
      </c>
      <c r="AJ8" s="22" t="s">
        <v>104</v>
      </c>
      <c r="AK8" s="22" t="s">
        <v>104</v>
      </c>
      <c r="AL8" s="21" t="s">
        <v>105</v>
      </c>
      <c r="AM8" s="21" t="s">
        <v>106</v>
      </c>
      <c r="AN8" s="21" t="s">
        <v>107</v>
      </c>
      <c r="AO8" s="21" t="s">
        <v>108</v>
      </c>
      <c r="AP8" s="21" t="s">
        <v>109</v>
      </c>
      <c r="AQ8" s="21" t="s">
        <v>110</v>
      </c>
      <c r="AR8" s="22" t="s">
        <v>111</v>
      </c>
      <c r="AS8" s="21" t="s">
        <v>112</v>
      </c>
      <c r="AT8" s="21" t="s">
        <v>113</v>
      </c>
      <c r="AU8" s="21" t="s">
        <v>114</v>
      </c>
      <c r="AV8" s="21" t="s">
        <v>115</v>
      </c>
      <c r="AW8" s="21" t="s">
        <v>116</v>
      </c>
      <c r="AX8" s="21" t="s">
        <v>117</v>
      </c>
      <c r="AY8" s="21" t="s">
        <v>118</v>
      </c>
      <c r="AZ8" s="21" t="s">
        <v>119</v>
      </c>
      <c r="BA8" s="21" t="s">
        <v>120</v>
      </c>
      <c r="BB8" s="21" t="s">
        <v>121</v>
      </c>
      <c r="BC8" s="21"/>
      <c r="BD8" s="21" t="s">
        <v>122</v>
      </c>
      <c r="BE8" s="21" t="s">
        <v>123</v>
      </c>
      <c r="BF8" s="21"/>
      <c r="BG8" s="21" t="s">
        <v>116</v>
      </c>
      <c r="BH8" s="21" t="s">
        <v>124</v>
      </c>
      <c r="BI8" s="21" t="s">
        <v>125</v>
      </c>
      <c r="BJ8" s="21" t="s">
        <v>126</v>
      </c>
      <c r="BK8" s="17"/>
      <c r="BL8" s="17"/>
      <c r="BM8" s="17"/>
      <c r="BN8" s="17"/>
      <c r="BO8" s="17"/>
      <c r="BP8" s="17"/>
      <c r="BQ8" s="17"/>
      <c r="BR8" s="17"/>
      <c r="BS8" s="17"/>
      <c r="BT8" s="17"/>
      <c r="BU8" s="17"/>
      <c r="BV8" s="17"/>
      <c r="BW8" s="17"/>
      <c r="BX8" s="17"/>
      <c r="BY8" s="17"/>
      <c r="BZ8" s="17"/>
      <c r="CA8" s="17"/>
      <c r="CB8" s="17"/>
      <c r="CC8" s="17"/>
      <c r="CD8" s="17"/>
      <c r="CE8" s="17"/>
    </row>
    <row r="9" spans="1:83" ht="14.25">
      <c r="A9" s="17"/>
      <c r="B9" s="33"/>
      <c r="C9" s="36"/>
      <c r="D9" s="36" t="s">
        <v>175</v>
      </c>
      <c r="E9" s="36" t="s">
        <v>176</v>
      </c>
      <c r="F9" s="36" t="s">
        <v>177</v>
      </c>
      <c r="G9" s="36" t="s">
        <v>178</v>
      </c>
      <c r="H9" s="36" t="s">
        <v>179</v>
      </c>
      <c r="I9" s="36" t="s">
        <v>127</v>
      </c>
      <c r="J9" s="36" t="s">
        <v>90</v>
      </c>
      <c r="K9" s="36" t="s">
        <v>65</v>
      </c>
      <c r="L9" s="36" t="s">
        <v>128</v>
      </c>
      <c r="M9" s="36" t="s">
        <v>129</v>
      </c>
      <c r="N9" s="36" t="s">
        <v>130</v>
      </c>
      <c r="O9" s="33"/>
      <c r="P9" s="33"/>
      <c r="Q9" s="17"/>
      <c r="R9" s="17"/>
      <c r="S9" s="17"/>
      <c r="T9" s="17"/>
      <c r="U9" s="17"/>
      <c r="V9" s="17"/>
      <c r="W9" s="17"/>
      <c r="X9" s="17"/>
      <c r="Y9" s="17"/>
      <c r="Z9" s="17"/>
      <c r="AA9" s="17"/>
      <c r="AB9" s="17"/>
      <c r="AC9" s="17"/>
      <c r="AD9" s="17"/>
      <c r="AE9" s="17"/>
      <c r="AF9" s="17"/>
      <c r="AG9" s="17"/>
      <c r="AH9" s="124" t="s">
        <v>63</v>
      </c>
      <c r="AI9" s="124" t="s">
        <v>298</v>
      </c>
      <c r="AJ9" s="22" t="s">
        <v>131</v>
      </c>
      <c r="AK9" s="22"/>
      <c r="AL9" s="21" t="s">
        <v>59</v>
      </c>
      <c r="AM9" s="21" t="s">
        <v>59</v>
      </c>
      <c r="AN9" s="21" t="s">
        <v>59</v>
      </c>
      <c r="AO9" s="21" t="s">
        <v>132</v>
      </c>
      <c r="AP9" s="21" t="s">
        <v>133</v>
      </c>
      <c r="AQ9" s="21" t="s">
        <v>134</v>
      </c>
      <c r="AR9" s="22" t="s">
        <v>135</v>
      </c>
      <c r="AS9" s="21" t="s">
        <v>136</v>
      </c>
      <c r="AT9" s="21" t="s">
        <v>137</v>
      </c>
      <c r="AU9" s="21" t="s">
        <v>137</v>
      </c>
      <c r="AV9" s="21" t="s">
        <v>138</v>
      </c>
      <c r="AW9" s="21" t="s">
        <v>139</v>
      </c>
      <c r="AX9" s="21" t="s">
        <v>140</v>
      </c>
      <c r="AY9" s="21" t="s">
        <v>141</v>
      </c>
      <c r="AZ9" s="21" t="s">
        <v>142</v>
      </c>
      <c r="BA9" s="21" t="s">
        <v>143</v>
      </c>
      <c r="BB9" s="21" t="s">
        <v>125</v>
      </c>
      <c r="BC9" s="21" t="s">
        <v>144</v>
      </c>
      <c r="BD9" s="21" t="s">
        <v>145</v>
      </c>
      <c r="BE9" s="21" t="s">
        <v>116</v>
      </c>
      <c r="BF9" s="21" t="s">
        <v>146</v>
      </c>
      <c r="BG9" s="21" t="s">
        <v>147</v>
      </c>
      <c r="BH9" s="21" t="s">
        <v>148</v>
      </c>
      <c r="BI9" s="21" t="s">
        <v>149</v>
      </c>
      <c r="BJ9" s="21" t="s">
        <v>149</v>
      </c>
      <c r="BK9" s="22" t="s">
        <v>150</v>
      </c>
      <c r="BL9" s="17"/>
      <c r="BM9" s="17"/>
      <c r="BN9" s="17"/>
      <c r="BO9" s="17"/>
      <c r="BP9" s="17"/>
      <c r="BQ9" s="17"/>
      <c r="BR9" s="17"/>
      <c r="BS9" s="17"/>
      <c r="BT9" s="17"/>
      <c r="BU9" s="17"/>
      <c r="BV9" s="17"/>
      <c r="BW9" s="17"/>
      <c r="BX9" s="17"/>
      <c r="BY9" s="17"/>
      <c r="BZ9" s="17"/>
      <c r="CA9" s="17"/>
      <c r="CB9" s="17"/>
      <c r="CC9" s="17"/>
      <c r="CD9" s="17"/>
      <c r="CE9" s="17"/>
    </row>
    <row r="10" spans="1:83" ht="15.75">
      <c r="A10" s="17"/>
      <c r="B10" s="33"/>
      <c r="C10" s="36" t="s">
        <v>59</v>
      </c>
      <c r="D10" s="37" t="s">
        <v>180</v>
      </c>
      <c r="E10" s="38" t="s">
        <v>181</v>
      </c>
      <c r="F10" s="38" t="s">
        <v>181</v>
      </c>
      <c r="G10" s="37" t="s">
        <v>182</v>
      </c>
      <c r="H10" s="38" t="s">
        <v>181</v>
      </c>
      <c r="I10" s="37" t="s">
        <v>152</v>
      </c>
      <c r="J10" s="37" t="s">
        <v>151</v>
      </c>
      <c r="K10" s="37" t="s">
        <v>152</v>
      </c>
      <c r="L10" s="39" t="s">
        <v>152</v>
      </c>
      <c r="M10" s="37" t="s">
        <v>152</v>
      </c>
      <c r="N10" s="37" t="s">
        <v>152</v>
      </c>
      <c r="O10" s="33"/>
      <c r="P10" s="33"/>
      <c r="Q10" s="17"/>
      <c r="R10" s="17"/>
      <c r="S10" s="17"/>
      <c r="T10" s="17"/>
      <c r="U10" s="17"/>
      <c r="V10" s="17"/>
      <c r="W10" s="17"/>
      <c r="X10" s="17"/>
      <c r="Y10" s="17"/>
      <c r="Z10" s="17"/>
      <c r="AA10" s="17"/>
      <c r="AB10" s="17"/>
      <c r="AC10" s="17"/>
      <c r="AD10" s="17"/>
      <c r="AE10" s="17"/>
      <c r="AF10" s="17"/>
      <c r="AG10" s="17"/>
      <c r="AH10" s="17"/>
      <c r="AI10" s="124" t="s">
        <v>285</v>
      </c>
      <c r="AJ10" s="22" t="s">
        <v>152</v>
      </c>
      <c r="AK10" s="22" t="s">
        <v>152</v>
      </c>
      <c r="AL10" s="17">
        <v>0</v>
      </c>
      <c r="AM10" s="22" t="s">
        <v>153</v>
      </c>
      <c r="AN10" s="22" t="s">
        <v>154</v>
      </c>
      <c r="AO10" s="22" t="s">
        <v>183</v>
      </c>
      <c r="AP10" s="27" t="s">
        <v>155</v>
      </c>
      <c r="AQ10" s="27" t="s">
        <v>184</v>
      </c>
      <c r="AR10" s="22" t="s">
        <v>156</v>
      </c>
      <c r="AS10" s="22" t="s">
        <v>185</v>
      </c>
      <c r="AT10" s="22" t="s">
        <v>186</v>
      </c>
      <c r="AU10" s="22" t="s">
        <v>187</v>
      </c>
      <c r="AV10" s="22" t="s">
        <v>157</v>
      </c>
      <c r="AW10" s="22" t="s">
        <v>188</v>
      </c>
      <c r="AX10" s="22" t="s">
        <v>189</v>
      </c>
      <c r="AY10" s="22" t="s">
        <v>190</v>
      </c>
      <c r="AZ10" s="27" t="s">
        <v>191</v>
      </c>
      <c r="BA10" s="22" t="s">
        <v>192</v>
      </c>
      <c r="BB10" s="22" t="s">
        <v>193</v>
      </c>
      <c r="BC10" s="22" t="s">
        <v>194</v>
      </c>
      <c r="BD10" s="22" t="s">
        <v>158</v>
      </c>
      <c r="BE10" s="22" t="s">
        <v>195</v>
      </c>
      <c r="BF10" s="22" t="s">
        <v>196</v>
      </c>
      <c r="BG10" s="22" t="s">
        <v>197</v>
      </c>
      <c r="BH10" s="27" t="s">
        <v>58</v>
      </c>
      <c r="BI10" s="22" t="s">
        <v>159</v>
      </c>
      <c r="BJ10" s="22" t="s">
        <v>86</v>
      </c>
      <c r="BK10" s="22" t="s">
        <v>160</v>
      </c>
      <c r="BL10" s="17"/>
      <c r="BM10" s="17"/>
      <c r="BN10" s="17"/>
      <c r="BO10" s="17"/>
      <c r="BP10" s="17"/>
      <c r="BQ10" s="17"/>
      <c r="BR10" s="17"/>
      <c r="BS10" s="17"/>
      <c r="BT10" s="17"/>
      <c r="BU10" s="17"/>
      <c r="BV10" s="17"/>
      <c r="BW10" s="17"/>
      <c r="BX10" s="17"/>
      <c r="BY10" s="17"/>
      <c r="BZ10" s="17"/>
      <c r="CA10" s="17"/>
      <c r="CB10" s="17"/>
      <c r="CC10" s="17"/>
      <c r="CD10" s="17"/>
      <c r="CE10" s="17"/>
    </row>
    <row r="11" spans="1:83" ht="14.25">
      <c r="A11" s="17"/>
      <c r="B11" s="33"/>
      <c r="C11" s="40">
        <v>1</v>
      </c>
      <c r="D11" s="74">
        <f>DailyMet!AD5</f>
        <v>5.5686193548387113</v>
      </c>
      <c r="E11" s="74">
        <f>DailyMet!AE5</f>
        <v>1.143870967741935</v>
      </c>
      <c r="F11" s="74">
        <f>DailyMet!AF5</f>
        <v>-2.8612903225806448</v>
      </c>
      <c r="G11" s="74">
        <v>0</v>
      </c>
      <c r="H11" s="74">
        <v>0</v>
      </c>
      <c r="I11" s="74">
        <v>0</v>
      </c>
      <c r="J11" s="343">
        <v>0</v>
      </c>
      <c r="K11" s="41">
        <f t="shared" ref="K11:K22" si="0">IF(AND(ISNUMBER(O$8),ISNUMBER(AK11)),AK11,IF(ISNUMBER(L11),L11,IF(ISNUMBER(M11),M11,IF(ISNUMBER(N11),N11,""))))</f>
        <v>0.28999999999999998</v>
      </c>
      <c r="L11" s="454">
        <v>0.28999999999999998</v>
      </c>
      <c r="M11" s="42">
        <f t="shared" ref="M11:M22" si="1">IF(OR($D11="",$E11="",$F11="",$G11="",$H11=""),"",$BI11+$BJ11)</f>
        <v>0.25591318672204927</v>
      </c>
      <c r="N11" s="41">
        <f t="shared" ref="N11:N22" si="2">IF(OR(E11="",F11=""),"",0.0023*AS11*BK11^0.5*(BC11+17.8)/2.45)</f>
        <v>0.39650838556951246</v>
      </c>
      <c r="O11" s="33"/>
      <c r="P11" s="33"/>
      <c r="Q11" s="17"/>
      <c r="R11" s="17"/>
      <c r="S11" s="17"/>
      <c r="T11" s="17"/>
      <c r="U11" s="17"/>
      <c r="V11" s="17"/>
      <c r="W11" s="17"/>
      <c r="X11" s="17"/>
      <c r="Y11" s="17"/>
      <c r="Z11" s="17"/>
      <c r="AA11" s="17"/>
      <c r="AB11" s="17"/>
      <c r="AC11" s="17"/>
      <c r="AD11" s="17"/>
      <c r="AE11" s="17"/>
      <c r="AF11" s="17"/>
      <c r="AG11" s="17"/>
      <c r="AH11" s="17">
        <v>1</v>
      </c>
      <c r="AI11" s="347">
        <f>VLOOKUP(AH11,Input!M$22:Y$387,13)</f>
        <v>1.1536309284926189</v>
      </c>
      <c r="AJ11" s="43" t="str">
        <f t="shared" ref="AJ11:AJ22" si="3">IF(ISNUMBER(O$8),0.86*O11-0.01*O11^2,"")</f>
        <v/>
      </c>
      <c r="AK11" s="43" t="str">
        <f t="shared" ref="AK11:AK22" si="4">IF(AJ11="","",IF(O$8&lt;100,AJ11-0.0017*(100-O$8)*O11,AJ11))</f>
        <v/>
      </c>
      <c r="AL11" s="17">
        <f>AM11</f>
        <v>31</v>
      </c>
      <c r="AM11" s="17">
        <v>31</v>
      </c>
      <c r="AN11" s="17">
        <f t="shared" ref="AN11:AN22" si="5">INT(30.5*C11-15)</f>
        <v>15</v>
      </c>
      <c r="AO11" s="28">
        <f t="shared" ref="AO11:AO22" si="6">1+0.033*COS(2*PI()/365*AN11)</f>
        <v>1.0319059778489741</v>
      </c>
      <c r="AP11" s="28">
        <f t="shared" ref="AP11:AP22" si="7">0.409*SIN(2*PI()/365*AN11-1.39)</f>
        <v>-0.37021581658662056</v>
      </c>
      <c r="AQ11" s="28">
        <f t="shared" ref="AQ11:AQ22" si="8">ACOS(-TAN($AS$4)*TAN(AP11))</f>
        <v>1.1845824505340476</v>
      </c>
      <c r="AR11" s="43">
        <f t="shared" ref="AR11:AR22" si="9">AQ11*24/PI()</f>
        <v>9.0495433201154061</v>
      </c>
      <c r="AS11" s="43">
        <f t="shared" ref="AS11:AS22" si="10">(24*60/PI())*$AS$3*AO11*(AQ11*SIN($AS$4)*SIN(AP11)+COS($AS$4)*COS(AP11)*SIN(AQ11))</f>
        <v>12.457592906071465</v>
      </c>
      <c r="AT11" s="43">
        <f t="shared" ref="AT11:AT22" si="11">AS11*(0.75+2*10^-5*G$6)</f>
        <v>9.3521641464459702</v>
      </c>
      <c r="AU11" s="28">
        <f t="shared" ref="AU11:AU24" si="12">(1-J$4)*D11</f>
        <v>4.2878369032258075</v>
      </c>
      <c r="AV11" s="28">
        <f t="shared" ref="AV11:AV22" si="13">1.35*D11/AT11-0.35</f>
        <v>0.45383919821265428</v>
      </c>
      <c r="AW11" s="28">
        <f t="shared" ref="AW11:AW22" si="14">0.6108*EXP((17.27*E11)/(E11+237.3))</f>
        <v>0.66355901774091663</v>
      </c>
      <c r="AX11" s="28">
        <f t="shared" ref="AX11:AX22" si="15">0.6108*EXP((17.27*F11)/(F11+237.3))</f>
        <v>0.49471989685642348</v>
      </c>
      <c r="AY11" s="28">
        <f t="shared" ref="AY11:AY22" si="16">0.61088*EXP((17.27*H11)/(H11+237.3))</f>
        <v>0.61087999999999998</v>
      </c>
      <c r="AZ11" s="28">
        <f t="shared" ref="AZ11:AZ22" si="17">0.34-0.14*SQRT(AY11)</f>
        <v>0.23057766224394582</v>
      </c>
      <c r="BA11" s="28">
        <f t="shared" ref="BA11:BA22" si="18">-AV11*AZ11*BA$5*(((E11+273.15)^4+(F11+273.15)^4)/2)</f>
        <v>-2.8196242544035965</v>
      </c>
      <c r="BB11" s="43">
        <f t="shared" ref="BB11:BB22" si="19">AU11+BA11</f>
        <v>1.4682126488222109</v>
      </c>
      <c r="BC11" s="43">
        <f t="shared" ref="BC11:BC22" si="20">(E11+F11)/2</f>
        <v>-0.85870967741935489</v>
      </c>
      <c r="BD11" s="43">
        <f>0.07*(BC12-BC22)</f>
        <v>-0.15982619577308124</v>
      </c>
      <c r="BE11" s="28">
        <f t="shared" ref="BE11:BE22" si="21">(AW11+AX11)/2</f>
        <v>0.57913945729867011</v>
      </c>
      <c r="BF11" s="28">
        <f t="shared" ref="BF11:BF22" si="22">BE11-AY11</f>
        <v>-3.1740542701329866E-2</v>
      </c>
      <c r="BG11" s="28">
        <f t="shared" ref="BG11:BG22" si="23">0.6108*EXP((17.27*BC11)/(BC11+237.3))</f>
        <v>0.5736665055618958</v>
      </c>
      <c r="BH11" s="28">
        <f t="shared" ref="BH11:BH22" si="24">4099*BG11/(BC11+237.3)^2</f>
        <v>4.2062082461890499E-2</v>
      </c>
      <c r="BI11" s="43">
        <f>0.408*BH11*(BB11-BD11)/(BH11+BI$6*(1+BJ$4*G11))</f>
        <v>0.25591318672204927</v>
      </c>
      <c r="BJ11" s="43">
        <f>(BI$6*900/(BC11+273)*G11*BF11)/(BH11+BI$6*(1+BJ$4*G11))</f>
        <v>0</v>
      </c>
      <c r="BK11" s="43">
        <f t="shared" ref="BK11:BK22" si="25">E11-F11</f>
        <v>4.0051612903225795</v>
      </c>
      <c r="BL11" s="17"/>
      <c r="BM11" s="17"/>
      <c r="BN11" s="17"/>
      <c r="BO11" s="17"/>
      <c r="BP11" s="17"/>
      <c r="BQ11" s="17"/>
      <c r="BR11" s="17"/>
      <c r="BS11" s="17"/>
      <c r="BT11" s="17"/>
      <c r="BU11" s="17"/>
      <c r="BV11" s="17"/>
      <c r="BW11" s="17"/>
      <c r="BX11" s="17"/>
      <c r="BY11" s="17"/>
      <c r="BZ11" s="17"/>
      <c r="CA11" s="17"/>
      <c r="CB11" s="17"/>
      <c r="CC11" s="17"/>
      <c r="CD11" s="17"/>
      <c r="CE11" s="17"/>
    </row>
    <row r="12" spans="1:83" ht="14.25">
      <c r="A12" s="17"/>
      <c r="B12" s="33"/>
      <c r="C12" s="40">
        <f t="shared" ref="C12:C22" si="26">C11+1</f>
        <v>2</v>
      </c>
      <c r="D12" s="74">
        <f>DailyMet!AD6</f>
        <v>7.2665379310344811</v>
      </c>
      <c r="E12" s="74">
        <f>DailyMet!AE6</f>
        <v>0.59482758620689602</v>
      </c>
      <c r="F12" s="74">
        <f>DailyMet!AF6</f>
        <v>-4.5999999999999996</v>
      </c>
      <c r="G12" s="74">
        <v>0</v>
      </c>
      <c r="H12" s="74">
        <v>0</v>
      </c>
      <c r="I12" s="74">
        <v>0</v>
      </c>
      <c r="J12" s="343">
        <v>0</v>
      </c>
      <c r="K12" s="41">
        <f t="shared" si="0"/>
        <v>0.46833216623671287</v>
      </c>
      <c r="L12" s="454">
        <f>DailyMet!AK6</f>
        <v>0.46833216623671287</v>
      </c>
      <c r="M12" s="42">
        <f t="shared" si="1"/>
        <v>0.40583539188968887</v>
      </c>
      <c r="N12" s="41">
        <f t="shared" si="2"/>
        <v>0.6071531818950745</v>
      </c>
      <c r="O12" s="33"/>
      <c r="P12" s="33"/>
      <c r="Q12" s="17"/>
      <c r="R12" s="17"/>
      <c r="S12" s="17"/>
      <c r="T12" s="17"/>
      <c r="U12" s="17"/>
      <c r="V12" s="17"/>
      <c r="W12" s="17"/>
      <c r="X12" s="17"/>
      <c r="Y12" s="17"/>
      <c r="Z12" s="17"/>
      <c r="AA12" s="17"/>
      <c r="AB12" s="17"/>
      <c r="AC12" s="17"/>
      <c r="AD12" s="17"/>
      <c r="AE12" s="17"/>
      <c r="AF12" s="17"/>
      <c r="AG12" s="17"/>
      <c r="AH12" s="17">
        <v>2</v>
      </c>
      <c r="AI12" s="347">
        <f>VLOOKUP(AH12,Input!M$22:Y$387,13)</f>
        <v>0.70892984401608183</v>
      </c>
      <c r="AJ12" s="43" t="str">
        <f t="shared" si="3"/>
        <v/>
      </c>
      <c r="AK12" s="43" t="str">
        <f t="shared" si="4"/>
        <v/>
      </c>
      <c r="AL12" s="17">
        <f t="shared" ref="AL12:AL22" si="27">AL11+AM12</f>
        <v>59</v>
      </c>
      <c r="AM12" s="17">
        <v>28</v>
      </c>
      <c r="AN12" s="17">
        <f t="shared" si="5"/>
        <v>46</v>
      </c>
      <c r="AO12" s="28">
        <f t="shared" si="6"/>
        <v>1.0231834066475822</v>
      </c>
      <c r="AP12" s="28">
        <f t="shared" si="7"/>
        <v>-0.23031270674563392</v>
      </c>
      <c r="AQ12" s="28">
        <f t="shared" si="8"/>
        <v>1.3412154816455613</v>
      </c>
      <c r="AR12" s="43">
        <f t="shared" si="9"/>
        <v>10.24613153545288</v>
      </c>
      <c r="AS12" s="43">
        <f t="shared" si="10"/>
        <v>17.962424700636213</v>
      </c>
      <c r="AT12" s="43">
        <f t="shared" si="11"/>
        <v>13.484751471261619</v>
      </c>
      <c r="AU12" s="28">
        <f t="shared" si="12"/>
        <v>5.5952342068965502</v>
      </c>
      <c r="AV12" s="28">
        <f t="shared" si="13"/>
        <v>0.37747549169170957</v>
      </c>
      <c r="AW12" s="28">
        <f t="shared" si="14"/>
        <v>0.63775305319155851</v>
      </c>
      <c r="AX12" s="28">
        <f t="shared" si="15"/>
        <v>0.43414441086343325</v>
      </c>
      <c r="AY12" s="28">
        <f t="shared" si="16"/>
        <v>0.61087999999999998</v>
      </c>
      <c r="AZ12" s="28">
        <f t="shared" si="17"/>
        <v>0.23057766224394582</v>
      </c>
      <c r="BA12" s="28">
        <f t="shared" si="18"/>
        <v>-2.3065506194777896</v>
      </c>
      <c r="BB12" s="43">
        <f t="shared" si="19"/>
        <v>3.2886835874187605</v>
      </c>
      <c r="BC12" s="43">
        <f t="shared" si="20"/>
        <v>-2.0025862068965519</v>
      </c>
      <c r="BD12" s="43">
        <f t="shared" ref="BD12:BD21" si="28">0.07*(BC13-BC11)</f>
        <v>0.58402580645161295</v>
      </c>
      <c r="BE12" s="28">
        <f t="shared" si="21"/>
        <v>0.53594873202749582</v>
      </c>
      <c r="BF12" s="28">
        <f t="shared" si="22"/>
        <v>-7.4931267972504156E-2</v>
      </c>
      <c r="BG12" s="28">
        <f t="shared" si="23"/>
        <v>0.52730905103091019</v>
      </c>
      <c r="BH12" s="28">
        <f t="shared" si="24"/>
        <v>3.9039912592357819E-2</v>
      </c>
      <c r="BI12" s="43">
        <f t="shared" ref="BI12:BI22" si="29">0.408*BH12*(BB12-BD12)/(BH12+BI$6*(1+BJ$4*G12))</f>
        <v>0.40583539188968887</v>
      </c>
      <c r="BJ12" s="43">
        <f t="shared" ref="BJ12:BJ22" si="30">(BI$6*900/(BC12+273)*G12*BF12)/(BH12+BI$6*(1+BJ$4*G12))</f>
        <v>0</v>
      </c>
      <c r="BK12" s="43">
        <f t="shared" si="25"/>
        <v>5.1948275862068956</v>
      </c>
      <c r="BL12" s="17"/>
      <c r="BM12" s="17"/>
      <c r="BN12" s="17"/>
      <c r="BO12" s="17"/>
      <c r="BP12" s="17"/>
      <c r="BQ12" s="17"/>
      <c r="BR12" s="17"/>
      <c r="BS12" s="17"/>
      <c r="BT12" s="17"/>
      <c r="BU12" s="17"/>
      <c r="BV12" s="17"/>
      <c r="BW12" s="17"/>
      <c r="BX12" s="17"/>
      <c r="BY12" s="17"/>
      <c r="BZ12" s="17"/>
      <c r="CA12" s="17"/>
      <c r="CB12" s="17"/>
      <c r="CC12" s="17"/>
      <c r="CD12" s="17"/>
      <c r="CE12" s="17"/>
    </row>
    <row r="13" spans="1:83" ht="14.25">
      <c r="A13" s="17"/>
      <c r="B13" s="33"/>
      <c r="C13" s="40">
        <f t="shared" si="26"/>
        <v>3</v>
      </c>
      <c r="D13" s="74">
        <f>DailyMet!AD7</f>
        <v>12.366348387096773</v>
      </c>
      <c r="E13" s="74">
        <f>DailyMet!AE7</f>
        <v>11.472258064516131</v>
      </c>
      <c r="F13" s="74">
        <f>DailyMet!AF7</f>
        <v>3.4967741935483869</v>
      </c>
      <c r="G13" s="74">
        <v>0</v>
      </c>
      <c r="H13" s="74">
        <v>0</v>
      </c>
      <c r="I13" s="74">
        <v>0</v>
      </c>
      <c r="J13" s="343">
        <v>0</v>
      </c>
      <c r="K13" s="41">
        <f t="shared" si="0"/>
        <v>1.3319948639124057</v>
      </c>
      <c r="L13" s="454">
        <f>DailyMet!AK7</f>
        <v>1.3319948639124057</v>
      </c>
      <c r="M13" s="42">
        <f t="shared" si="1"/>
        <v>1.0690942474470324</v>
      </c>
      <c r="N13" s="41">
        <f t="shared" si="2"/>
        <v>1.7306313180860808</v>
      </c>
      <c r="O13" s="33"/>
      <c r="P13" s="33"/>
      <c r="Q13" s="17"/>
      <c r="R13" s="17"/>
      <c r="S13" s="17"/>
      <c r="T13" s="17"/>
      <c r="U13" s="17"/>
      <c r="V13" s="17"/>
      <c r="W13" s="17"/>
      <c r="X13" s="17"/>
      <c r="Y13" s="17"/>
      <c r="Z13" s="17"/>
      <c r="AA13" s="17"/>
      <c r="AB13" s="17"/>
      <c r="AC13" s="17"/>
      <c r="AD13" s="17"/>
      <c r="AE13" s="17"/>
      <c r="AF13" s="17"/>
      <c r="AG13" s="17"/>
      <c r="AH13" s="17">
        <v>3</v>
      </c>
      <c r="AI13" s="347">
        <f>VLOOKUP(AH13,Input!M$22:Y$387,13)</f>
        <v>0.41068751843946011</v>
      </c>
      <c r="AJ13" s="43" t="str">
        <f t="shared" si="3"/>
        <v/>
      </c>
      <c r="AK13" s="43" t="str">
        <f t="shared" si="4"/>
        <v/>
      </c>
      <c r="AL13" s="17">
        <f t="shared" si="27"/>
        <v>90</v>
      </c>
      <c r="AM13" s="17">
        <v>31</v>
      </c>
      <c r="AN13" s="17">
        <f t="shared" si="5"/>
        <v>76</v>
      </c>
      <c r="AO13" s="28">
        <f t="shared" si="6"/>
        <v>1.0085638893033033</v>
      </c>
      <c r="AP13" s="28">
        <f t="shared" si="7"/>
        <v>-3.3386421484746936E-2</v>
      </c>
      <c r="AQ13" s="28">
        <f t="shared" si="8"/>
        <v>1.5383752136176176</v>
      </c>
      <c r="AR13" s="43">
        <f t="shared" si="9"/>
        <v>11.752320939710124</v>
      </c>
      <c r="AS13" s="43">
        <f t="shared" si="10"/>
        <v>25.817229741485157</v>
      </c>
      <c r="AT13" s="43">
        <f t="shared" si="11"/>
        <v>19.381510711527739</v>
      </c>
      <c r="AU13" s="28">
        <f t="shared" si="12"/>
        <v>9.5220882580645156</v>
      </c>
      <c r="AV13" s="28">
        <f t="shared" si="13"/>
        <v>0.51136579191688325</v>
      </c>
      <c r="AW13" s="28">
        <f t="shared" si="14"/>
        <v>1.3544954842176211</v>
      </c>
      <c r="AX13" s="28">
        <f t="shared" si="15"/>
        <v>0.78490212018916006</v>
      </c>
      <c r="AY13" s="28">
        <f t="shared" si="16"/>
        <v>0.61087999999999998</v>
      </c>
      <c r="AZ13" s="28">
        <f t="shared" si="17"/>
        <v>0.23057766224394582</v>
      </c>
      <c r="BA13" s="28">
        <f t="shared" si="18"/>
        <v>-3.5878573838307304</v>
      </c>
      <c r="BB13" s="43">
        <f t="shared" si="19"/>
        <v>5.9342308742337853</v>
      </c>
      <c r="BC13" s="43">
        <f t="shared" si="20"/>
        <v>7.4845161290322588</v>
      </c>
      <c r="BD13" s="43">
        <f t="shared" si="28"/>
        <v>0.83176936781609212</v>
      </c>
      <c r="BE13" s="28">
        <f t="shared" si="21"/>
        <v>1.0696988022033906</v>
      </c>
      <c r="BF13" s="28">
        <f t="shared" si="22"/>
        <v>0.45881880220339066</v>
      </c>
      <c r="BG13" s="28">
        <f t="shared" si="23"/>
        <v>1.0356826136559267</v>
      </c>
      <c r="BH13" s="28">
        <f t="shared" si="24"/>
        <v>7.0849488302840935E-2</v>
      </c>
      <c r="BI13" s="43">
        <f t="shared" si="29"/>
        <v>1.0690942474470324</v>
      </c>
      <c r="BJ13" s="43">
        <f t="shared" si="30"/>
        <v>0</v>
      </c>
      <c r="BK13" s="43">
        <f t="shared" si="25"/>
        <v>7.9754838709677447</v>
      </c>
      <c r="BL13" s="17"/>
      <c r="BM13" s="17"/>
      <c r="BN13" s="17"/>
      <c r="BO13" s="17"/>
      <c r="BP13" s="17"/>
      <c r="BQ13" s="17"/>
      <c r="BR13" s="17"/>
      <c r="BS13" s="17"/>
      <c r="BT13" s="17"/>
      <c r="BU13" s="17"/>
      <c r="BV13" s="17"/>
      <c r="BW13" s="17"/>
      <c r="BX13" s="17"/>
      <c r="BY13" s="17"/>
      <c r="BZ13" s="17"/>
      <c r="CA13" s="17"/>
      <c r="CB13" s="17"/>
      <c r="CC13" s="17"/>
      <c r="CD13" s="17"/>
      <c r="CE13" s="17"/>
    </row>
    <row r="14" spans="1:83" ht="14.25">
      <c r="A14" s="17"/>
      <c r="B14" s="33"/>
      <c r="C14" s="40">
        <f t="shared" si="26"/>
        <v>4</v>
      </c>
      <c r="D14" s="74">
        <f>DailyMet!AD8</f>
        <v>12.735360000000002</v>
      </c>
      <c r="E14" s="74">
        <f>DailyMet!AE8</f>
        <v>12.733000000000001</v>
      </c>
      <c r="F14" s="74">
        <f>DailyMet!AF8</f>
        <v>7.0266666666666682</v>
      </c>
      <c r="G14" s="74">
        <v>0</v>
      </c>
      <c r="H14" s="74">
        <v>0</v>
      </c>
      <c r="I14" s="74">
        <v>0</v>
      </c>
      <c r="J14" s="343">
        <v>0</v>
      </c>
      <c r="K14" s="41">
        <f t="shared" si="0"/>
        <v>1.4363211472069024</v>
      </c>
      <c r="L14" s="454">
        <f>DailyMet!AK8</f>
        <v>1.4363211472069024</v>
      </c>
      <c r="M14" s="42">
        <f t="shared" si="1"/>
        <v>1.5575219778411402</v>
      </c>
      <c r="N14" s="41">
        <f t="shared" si="2"/>
        <v>2.1075908038756119</v>
      </c>
      <c r="O14" s="33"/>
      <c r="P14" s="33"/>
      <c r="Q14" s="17"/>
      <c r="R14" s="17"/>
      <c r="S14" s="17"/>
      <c r="T14" s="17"/>
      <c r="U14" s="17"/>
      <c r="V14" s="17"/>
      <c r="W14" s="17"/>
      <c r="X14" s="17"/>
      <c r="Y14" s="17"/>
      <c r="Z14" s="17"/>
      <c r="AA14" s="17"/>
      <c r="AB14" s="17"/>
      <c r="AC14" s="17"/>
      <c r="AD14" s="17"/>
      <c r="AE14" s="17"/>
      <c r="AF14" s="17"/>
      <c r="AG14" s="17"/>
      <c r="AH14" s="17">
        <v>4</v>
      </c>
      <c r="AI14" s="347">
        <f>VLOOKUP(AH14,Input!M$22:Y$387,13)</f>
        <v>0.93951055333449485</v>
      </c>
      <c r="AJ14" s="43" t="str">
        <f t="shared" si="3"/>
        <v/>
      </c>
      <c r="AK14" s="43" t="str">
        <f t="shared" si="4"/>
        <v/>
      </c>
      <c r="AL14" s="17">
        <f t="shared" si="27"/>
        <v>120</v>
      </c>
      <c r="AM14" s="17">
        <v>30</v>
      </c>
      <c r="AN14" s="17">
        <f t="shared" si="5"/>
        <v>107</v>
      </c>
      <c r="AO14" s="28">
        <f t="shared" si="6"/>
        <v>0.99116212792964831</v>
      </c>
      <c r="AP14" s="28">
        <f t="shared" si="7"/>
        <v>0.17860770630347506</v>
      </c>
      <c r="AQ14" s="28">
        <f t="shared" si="8"/>
        <v>1.746921394152837</v>
      </c>
      <c r="AR14" s="43">
        <f t="shared" si="9"/>
        <v>13.345496403475643</v>
      </c>
      <c r="AS14" s="43">
        <f t="shared" si="10"/>
        <v>33.953340115308229</v>
      </c>
      <c r="AT14" s="43">
        <f t="shared" si="11"/>
        <v>25.489451491364196</v>
      </c>
      <c r="AU14" s="28">
        <f t="shared" si="12"/>
        <v>9.8062272000000021</v>
      </c>
      <c r="AV14" s="28">
        <f t="shared" si="13"/>
        <v>0.32450396121018488</v>
      </c>
      <c r="AW14" s="28">
        <f t="shared" si="14"/>
        <v>1.4718113351872211</v>
      </c>
      <c r="AX14" s="28">
        <f t="shared" si="15"/>
        <v>1.0036944081560548</v>
      </c>
      <c r="AY14" s="28">
        <f t="shared" si="16"/>
        <v>0.61087999999999998</v>
      </c>
      <c r="AZ14" s="28">
        <f t="shared" si="17"/>
        <v>0.23057766224394582</v>
      </c>
      <c r="BA14" s="28">
        <f t="shared" si="18"/>
        <v>-2.3541108291656427</v>
      </c>
      <c r="BB14" s="43">
        <f t="shared" si="19"/>
        <v>7.452116370834359</v>
      </c>
      <c r="BC14" s="43">
        <f t="shared" si="20"/>
        <v>9.8798333333333339</v>
      </c>
      <c r="BD14" s="43">
        <f t="shared" si="28"/>
        <v>0.49963064516129024</v>
      </c>
      <c r="BE14" s="28">
        <f t="shared" si="21"/>
        <v>1.2377528716716379</v>
      </c>
      <c r="BF14" s="28">
        <f t="shared" si="22"/>
        <v>0.62687287167163797</v>
      </c>
      <c r="BG14" s="28">
        <f t="shared" si="23"/>
        <v>1.2181094975447653</v>
      </c>
      <c r="BH14" s="28">
        <f t="shared" si="24"/>
        <v>8.1721847748357043E-2</v>
      </c>
      <c r="BI14" s="43">
        <f t="shared" si="29"/>
        <v>1.5575219778411402</v>
      </c>
      <c r="BJ14" s="43">
        <f t="shared" si="30"/>
        <v>0</v>
      </c>
      <c r="BK14" s="43">
        <f t="shared" si="25"/>
        <v>5.7063333333333324</v>
      </c>
      <c r="BL14" s="17"/>
      <c r="BM14" s="17"/>
      <c r="BN14" s="17"/>
      <c r="BO14" s="17"/>
      <c r="BP14" s="17"/>
      <c r="BQ14" s="17"/>
      <c r="BR14" s="17"/>
      <c r="BS14" s="17"/>
      <c r="BT14" s="17"/>
      <c r="BU14" s="17"/>
      <c r="BV14" s="17"/>
      <c r="BW14" s="17"/>
      <c r="BX14" s="17"/>
      <c r="BY14" s="17"/>
      <c r="BZ14" s="17"/>
      <c r="CA14" s="17"/>
      <c r="CB14" s="17"/>
      <c r="CC14" s="17"/>
      <c r="CD14" s="17"/>
      <c r="CE14" s="17"/>
    </row>
    <row r="15" spans="1:83" ht="14.25">
      <c r="A15" s="17"/>
      <c r="B15" s="33"/>
      <c r="C15" s="40">
        <f t="shared" si="26"/>
        <v>5</v>
      </c>
      <c r="D15" s="74">
        <f>DailyMet!AD9</f>
        <v>20.223174193548388</v>
      </c>
      <c r="E15" s="74">
        <f>DailyMet!AE9</f>
        <v>17.911935483870966</v>
      </c>
      <c r="F15" s="74">
        <f>DailyMet!AF9</f>
        <v>11.332258064516131</v>
      </c>
      <c r="G15" s="74">
        <v>0</v>
      </c>
      <c r="H15" s="74">
        <v>0</v>
      </c>
      <c r="I15" s="74">
        <v>127.29999998999999</v>
      </c>
      <c r="J15" s="343">
        <v>4</v>
      </c>
      <c r="K15" s="41">
        <f t="shared" si="0"/>
        <v>2.8676151950536086</v>
      </c>
      <c r="L15" s="454">
        <f>DailyMet!AK9</f>
        <v>2.8676151950536086</v>
      </c>
      <c r="M15" s="42">
        <f t="shared" si="1"/>
        <v>2.6199735823163799</v>
      </c>
      <c r="N15" s="41">
        <f t="shared" si="2"/>
        <v>3.0908589343659147</v>
      </c>
      <c r="O15" s="33"/>
      <c r="P15" s="33"/>
      <c r="Q15" s="17"/>
      <c r="R15" s="17"/>
      <c r="S15" s="17"/>
      <c r="T15" s="17"/>
      <c r="U15" s="17"/>
      <c r="V15" s="17"/>
      <c r="W15" s="17"/>
      <c r="X15" s="17"/>
      <c r="Y15" s="17"/>
      <c r="Z15" s="17"/>
      <c r="AA15" s="17"/>
      <c r="AB15" s="17"/>
      <c r="AC15" s="17"/>
      <c r="AD15" s="17"/>
      <c r="AE15" s="17"/>
      <c r="AF15" s="17"/>
      <c r="AG15" s="17"/>
      <c r="AH15" s="17">
        <v>5</v>
      </c>
      <c r="AI15" s="347">
        <f>VLOOKUP(AH15,Input!M$22:Y$387,13)</f>
        <v>0.67010446875719587</v>
      </c>
      <c r="AJ15" s="43" t="str">
        <f t="shared" si="3"/>
        <v/>
      </c>
      <c r="AK15" s="43" t="str">
        <f t="shared" si="4"/>
        <v/>
      </c>
      <c r="AL15" s="17">
        <f t="shared" si="27"/>
        <v>151</v>
      </c>
      <c r="AM15" s="17">
        <v>31</v>
      </c>
      <c r="AN15" s="17">
        <f t="shared" si="5"/>
        <v>137</v>
      </c>
      <c r="AO15" s="28">
        <f t="shared" si="6"/>
        <v>0.97661531961727288</v>
      </c>
      <c r="AP15" s="28">
        <f t="shared" si="7"/>
        <v>0.33699543987118497</v>
      </c>
      <c r="AQ15" s="28">
        <f t="shared" si="8"/>
        <v>1.91775991483355</v>
      </c>
      <c r="AR15" s="43">
        <f t="shared" si="9"/>
        <v>14.650606565244082</v>
      </c>
      <c r="AS15" s="43">
        <f t="shared" si="10"/>
        <v>39.588954625922788</v>
      </c>
      <c r="AT15" s="43">
        <f t="shared" si="11"/>
        <v>29.720220016772757</v>
      </c>
      <c r="AU15" s="28">
        <f t="shared" si="12"/>
        <v>15.571844129032259</v>
      </c>
      <c r="AV15" s="28">
        <f t="shared" si="13"/>
        <v>0.56860979312679072</v>
      </c>
      <c r="AW15" s="28">
        <f t="shared" si="14"/>
        <v>2.0525881642476671</v>
      </c>
      <c r="AX15" s="28">
        <f t="shared" si="15"/>
        <v>1.3419893363523983</v>
      </c>
      <c r="AY15" s="28">
        <f t="shared" si="16"/>
        <v>0.61087999999999998</v>
      </c>
      <c r="AZ15" s="28">
        <f t="shared" si="17"/>
        <v>0.23057766224394582</v>
      </c>
      <c r="BA15" s="28">
        <f t="shared" si="18"/>
        <v>-4.4092304781160108</v>
      </c>
      <c r="BB15" s="43">
        <f t="shared" si="19"/>
        <v>11.162613650916249</v>
      </c>
      <c r="BC15" s="43">
        <f t="shared" si="20"/>
        <v>14.622096774193547</v>
      </c>
      <c r="BD15" s="43">
        <f t="shared" si="28"/>
        <v>0.73182666666666663</v>
      </c>
      <c r="BE15" s="28">
        <f t="shared" si="21"/>
        <v>1.6972887503000327</v>
      </c>
      <c r="BF15" s="28">
        <f t="shared" si="22"/>
        <v>1.0864087503000328</v>
      </c>
      <c r="BG15" s="28">
        <f t="shared" si="23"/>
        <v>1.6642956399567956</v>
      </c>
      <c r="BH15" s="28">
        <f t="shared" si="24"/>
        <v>0.1074919320960258</v>
      </c>
      <c r="BI15" s="43">
        <f t="shared" si="29"/>
        <v>2.6199735823163799</v>
      </c>
      <c r="BJ15" s="43">
        <f t="shared" si="30"/>
        <v>0</v>
      </c>
      <c r="BK15" s="43">
        <f t="shared" si="25"/>
        <v>6.5796774193548355</v>
      </c>
      <c r="BL15" s="17"/>
      <c r="BM15" s="17"/>
      <c r="BN15" s="17"/>
      <c r="BO15" s="17"/>
      <c r="BP15" s="17"/>
      <c r="BQ15" s="17"/>
      <c r="BR15" s="17"/>
      <c r="BS15" s="17"/>
      <c r="BT15" s="17"/>
      <c r="BU15" s="17"/>
      <c r="BV15" s="17"/>
      <c r="BW15" s="17"/>
      <c r="BX15" s="17"/>
      <c r="BY15" s="17"/>
      <c r="BZ15" s="17"/>
      <c r="CA15" s="17"/>
      <c r="CB15" s="17"/>
      <c r="CC15" s="17"/>
      <c r="CD15" s="17"/>
      <c r="CE15" s="17"/>
    </row>
    <row r="16" spans="1:83" ht="14.25">
      <c r="A16" s="17"/>
      <c r="B16" s="33"/>
      <c r="C16" s="40">
        <f t="shared" si="26"/>
        <v>6</v>
      </c>
      <c r="D16" s="74">
        <f>DailyMet!AD10</f>
        <v>25.130879999999994</v>
      </c>
      <c r="E16" s="74">
        <f>DailyMet!AE10</f>
        <v>24.115666666666662</v>
      </c>
      <c r="F16" s="74">
        <f>DailyMet!AF10</f>
        <v>16.553333333333331</v>
      </c>
      <c r="G16" s="74">
        <v>0</v>
      </c>
      <c r="H16" s="74">
        <v>0</v>
      </c>
      <c r="I16" s="74">
        <v>94.899999989999998</v>
      </c>
      <c r="J16" s="343">
        <v>6</v>
      </c>
      <c r="K16" s="41">
        <f t="shared" si="0"/>
        <v>4.2334472483997461</v>
      </c>
      <c r="L16" s="454">
        <f>DailyMet!AK10</f>
        <v>4.2334472483997461</v>
      </c>
      <c r="M16" s="42">
        <f t="shared" si="1"/>
        <v>3.5604215102541348</v>
      </c>
      <c r="N16" s="41">
        <f t="shared" si="2"/>
        <v>4.1251879382032381</v>
      </c>
      <c r="O16" s="33"/>
      <c r="P16" s="33"/>
      <c r="Q16" s="17"/>
      <c r="R16" s="17"/>
      <c r="S16" s="17"/>
      <c r="T16" s="17"/>
      <c r="U16" s="17"/>
      <c r="V16" s="17"/>
      <c r="W16" s="17"/>
      <c r="X16" s="17"/>
      <c r="Y16" s="17"/>
      <c r="Z16" s="17"/>
      <c r="AA16" s="17"/>
      <c r="AB16" s="17"/>
      <c r="AC16" s="17"/>
      <c r="AD16" s="17"/>
      <c r="AE16" s="17"/>
      <c r="AF16" s="17"/>
      <c r="AG16" s="17"/>
      <c r="AH16" s="17">
        <v>6</v>
      </c>
      <c r="AI16" s="347">
        <f>VLOOKUP(AH16,Input!M$22:Y$387,13)</f>
        <v>0.78650793650793671</v>
      </c>
      <c r="AJ16" s="43" t="str">
        <f t="shared" si="3"/>
        <v/>
      </c>
      <c r="AK16" s="43" t="str">
        <f t="shared" si="4"/>
        <v/>
      </c>
      <c r="AL16" s="17">
        <f t="shared" si="27"/>
        <v>181</v>
      </c>
      <c r="AM16" s="17">
        <v>30</v>
      </c>
      <c r="AN16" s="17">
        <f t="shared" si="5"/>
        <v>168</v>
      </c>
      <c r="AO16" s="28">
        <f t="shared" si="6"/>
        <v>0.96802267575109457</v>
      </c>
      <c r="AP16" s="28">
        <f t="shared" si="7"/>
        <v>0.40803212152005325</v>
      </c>
      <c r="AQ16" s="28">
        <f t="shared" si="8"/>
        <v>2.0037624753943417</v>
      </c>
      <c r="AR16" s="43">
        <f t="shared" si="9"/>
        <v>15.307617731570966</v>
      </c>
      <c r="AS16" s="43">
        <f t="shared" si="10"/>
        <v>41.90212257001086</v>
      </c>
      <c r="AT16" s="43">
        <f t="shared" si="11"/>
        <v>31.456761455758556</v>
      </c>
      <c r="AU16" s="28">
        <f t="shared" si="12"/>
        <v>19.350777599999997</v>
      </c>
      <c r="AV16" s="28">
        <f t="shared" si="13"/>
        <v>0.72851814458761732</v>
      </c>
      <c r="AW16" s="28">
        <f t="shared" si="14"/>
        <v>3.0046963432679723</v>
      </c>
      <c r="AX16" s="28">
        <f t="shared" si="15"/>
        <v>1.8835548860765003</v>
      </c>
      <c r="AY16" s="28">
        <f t="shared" si="16"/>
        <v>0.61087999999999998</v>
      </c>
      <c r="AZ16" s="28">
        <f t="shared" si="17"/>
        <v>0.23057766224394582</v>
      </c>
      <c r="BA16" s="28">
        <f t="shared" si="18"/>
        <v>-6.1126100323094841</v>
      </c>
      <c r="BB16" s="43">
        <f t="shared" si="19"/>
        <v>13.238167567690514</v>
      </c>
      <c r="BC16" s="43">
        <f t="shared" si="20"/>
        <v>20.334499999999998</v>
      </c>
      <c r="BD16" s="43">
        <f t="shared" si="28"/>
        <v>0.53881935483870957</v>
      </c>
      <c r="BE16" s="28">
        <f t="shared" si="21"/>
        <v>2.4441256146722363</v>
      </c>
      <c r="BF16" s="28">
        <f t="shared" si="22"/>
        <v>1.8332456146722365</v>
      </c>
      <c r="BG16" s="28">
        <f t="shared" si="23"/>
        <v>2.3871394641567991</v>
      </c>
      <c r="BH16" s="28">
        <f t="shared" si="24"/>
        <v>0.14741703515558577</v>
      </c>
      <c r="BI16" s="43">
        <f t="shared" si="29"/>
        <v>3.5604215102541348</v>
      </c>
      <c r="BJ16" s="43">
        <f t="shared" si="30"/>
        <v>0</v>
      </c>
      <c r="BK16" s="43">
        <f t="shared" si="25"/>
        <v>7.5623333333333314</v>
      </c>
      <c r="BL16" s="17"/>
      <c r="BM16" s="17"/>
      <c r="BN16" s="17"/>
      <c r="BO16" s="17"/>
      <c r="BP16" s="17"/>
      <c r="BQ16" s="17"/>
      <c r="BR16" s="17"/>
      <c r="BS16" s="17"/>
      <c r="BT16" s="17"/>
      <c r="BU16" s="17"/>
      <c r="BV16" s="17"/>
      <c r="BW16" s="17"/>
      <c r="BX16" s="17"/>
      <c r="BY16" s="17"/>
      <c r="BZ16" s="17"/>
      <c r="CA16" s="17"/>
      <c r="CB16" s="17"/>
      <c r="CC16" s="17"/>
      <c r="CD16" s="17"/>
      <c r="CE16" s="17"/>
    </row>
    <row r="17" spans="1:83" ht="14.25">
      <c r="A17" s="17"/>
      <c r="B17" s="33"/>
      <c r="C17" s="40">
        <f t="shared" si="26"/>
        <v>7</v>
      </c>
      <c r="D17" s="74">
        <f>DailyMet!AD11</f>
        <v>24.743845161290324</v>
      </c>
      <c r="E17" s="74">
        <f>DailyMet!AE11</f>
        <v>26.132580645161287</v>
      </c>
      <c r="F17" s="74">
        <f>DailyMet!AF11</f>
        <v>18.506451612903223</v>
      </c>
      <c r="G17" s="74">
        <v>0</v>
      </c>
      <c r="H17" s="74">
        <v>0</v>
      </c>
      <c r="I17" s="74">
        <v>25.6</v>
      </c>
      <c r="J17" s="343">
        <v>0</v>
      </c>
      <c r="K17" s="41">
        <f t="shared" si="0"/>
        <v>4.4141750173092893</v>
      </c>
      <c r="L17" s="454">
        <f>DailyMet!AK11</f>
        <v>4.4141750173092893</v>
      </c>
      <c r="M17" s="42">
        <f t="shared" si="1"/>
        <v>3.5921077586219545</v>
      </c>
      <c r="N17" s="41">
        <f t="shared" si="2"/>
        <v>4.2060637930921079</v>
      </c>
      <c r="O17" s="33"/>
      <c r="P17" s="33"/>
      <c r="Q17" s="17"/>
      <c r="R17" s="17"/>
      <c r="S17" s="17"/>
      <c r="T17" s="17"/>
      <c r="U17" s="17"/>
      <c r="V17" s="17"/>
      <c r="W17" s="17"/>
      <c r="X17" s="17"/>
      <c r="Y17" s="17"/>
      <c r="Z17" s="17"/>
      <c r="AA17" s="17"/>
      <c r="AB17" s="17"/>
      <c r="AC17" s="17"/>
      <c r="AD17" s="17"/>
      <c r="AE17" s="17"/>
      <c r="AF17" s="17"/>
      <c r="AG17" s="17"/>
      <c r="AH17" s="17">
        <v>7</v>
      </c>
      <c r="AI17" s="347">
        <f>VLOOKUP(AH17,Input!M$22:Y$387,13)</f>
        <v>1.0596774193548395</v>
      </c>
      <c r="AJ17" s="43" t="str">
        <f t="shared" si="3"/>
        <v/>
      </c>
      <c r="AK17" s="43" t="str">
        <f t="shared" si="4"/>
        <v/>
      </c>
      <c r="AL17" s="17">
        <f t="shared" si="27"/>
        <v>212</v>
      </c>
      <c r="AM17" s="17">
        <v>31</v>
      </c>
      <c r="AN17" s="17">
        <f t="shared" si="5"/>
        <v>198</v>
      </c>
      <c r="AO17" s="28">
        <f t="shared" si="6"/>
        <v>0.96816773220218899</v>
      </c>
      <c r="AP17" s="28">
        <f t="shared" si="7"/>
        <v>0.36870584075881746</v>
      </c>
      <c r="AQ17" s="28">
        <f t="shared" si="8"/>
        <v>1.9551915882438362</v>
      </c>
      <c r="AR17" s="43">
        <f t="shared" si="9"/>
        <v>14.936563486113611</v>
      </c>
      <c r="AS17" s="43">
        <f t="shared" si="10"/>
        <v>40.439552642419173</v>
      </c>
      <c r="AT17" s="43">
        <f t="shared" si="11"/>
        <v>30.358780959716924</v>
      </c>
      <c r="AU17" s="28">
        <f t="shared" si="12"/>
        <v>19.052760774193551</v>
      </c>
      <c r="AV17" s="28">
        <f t="shared" si="13"/>
        <v>0.75031397545461298</v>
      </c>
      <c r="AW17" s="28">
        <f t="shared" si="14"/>
        <v>3.3878747065640695</v>
      </c>
      <c r="AX17" s="28">
        <f t="shared" si="15"/>
        <v>2.130638035941641</v>
      </c>
      <c r="AY17" s="28">
        <f t="shared" si="16"/>
        <v>0.61087999999999998</v>
      </c>
      <c r="AZ17" s="28">
        <f t="shared" si="17"/>
        <v>0.23057766224394582</v>
      </c>
      <c r="BA17" s="28">
        <f t="shared" si="18"/>
        <v>-6.4675654960911464</v>
      </c>
      <c r="BB17" s="43">
        <f t="shared" si="19"/>
        <v>12.585195278102404</v>
      </c>
      <c r="BC17" s="43">
        <f t="shared" si="20"/>
        <v>22.319516129032255</v>
      </c>
      <c r="BD17" s="43">
        <f t="shared" si="28"/>
        <v>0.17693177419354833</v>
      </c>
      <c r="BE17" s="28">
        <f t="shared" si="21"/>
        <v>2.7592563712528553</v>
      </c>
      <c r="BF17" s="28">
        <f t="shared" si="22"/>
        <v>2.1483763712528554</v>
      </c>
      <c r="BG17" s="28">
        <f t="shared" si="23"/>
        <v>2.6958618406127299</v>
      </c>
      <c r="BH17" s="28">
        <f t="shared" si="24"/>
        <v>0.1639460197481413</v>
      </c>
      <c r="BI17" s="43">
        <f t="shared" si="29"/>
        <v>3.5921077586219545</v>
      </c>
      <c r="BJ17" s="43">
        <f t="shared" si="30"/>
        <v>0</v>
      </c>
      <c r="BK17" s="43">
        <f t="shared" si="25"/>
        <v>7.6261290322580635</v>
      </c>
      <c r="BL17" s="17"/>
      <c r="BM17" s="17"/>
      <c r="BN17" s="17"/>
      <c r="BO17" s="17"/>
      <c r="BP17" s="17"/>
      <c r="BQ17" s="17"/>
      <c r="BR17" s="17"/>
      <c r="BS17" s="17"/>
      <c r="BT17" s="17"/>
      <c r="BU17" s="17"/>
      <c r="BV17" s="17"/>
      <c r="BW17" s="17"/>
      <c r="BX17" s="17"/>
      <c r="BY17" s="17"/>
      <c r="BZ17" s="17"/>
      <c r="CA17" s="17"/>
      <c r="CB17" s="17"/>
      <c r="CC17" s="17"/>
      <c r="CD17" s="17"/>
      <c r="CE17" s="17"/>
    </row>
    <row r="18" spans="1:83" ht="14.25">
      <c r="A18" s="17"/>
      <c r="B18" s="33"/>
      <c r="C18" s="40">
        <f t="shared" si="26"/>
        <v>8</v>
      </c>
      <c r="D18" s="74">
        <f>DailyMet!AD12</f>
        <v>20.167432258064512</v>
      </c>
      <c r="E18" s="74">
        <f>DailyMet!AE12</f>
        <v>26.940322580645155</v>
      </c>
      <c r="F18" s="74">
        <f>DailyMet!AF12</f>
        <v>18.783870967741933</v>
      </c>
      <c r="G18" s="74">
        <v>0</v>
      </c>
      <c r="H18" s="74">
        <v>0</v>
      </c>
      <c r="I18" s="74">
        <v>1.5</v>
      </c>
      <c r="J18" s="343">
        <v>0</v>
      </c>
      <c r="K18" s="41">
        <f t="shared" si="0"/>
        <v>3.6591010528330465</v>
      </c>
      <c r="L18" s="454">
        <f>DailyMet!AK12</f>
        <v>3.6591010528330465</v>
      </c>
      <c r="M18" s="42">
        <f t="shared" si="1"/>
        <v>2.9265521346805738</v>
      </c>
      <c r="N18" s="41">
        <f t="shared" si="2"/>
        <v>3.8571334219669269</v>
      </c>
      <c r="O18" s="33"/>
      <c r="P18" s="33"/>
      <c r="Q18" s="17"/>
      <c r="R18" s="17"/>
      <c r="S18" s="17"/>
      <c r="T18" s="17"/>
      <c r="U18" s="17"/>
      <c r="V18" s="17"/>
      <c r="W18" s="17"/>
      <c r="X18" s="17"/>
      <c r="Y18" s="17"/>
      <c r="Z18" s="17"/>
      <c r="AA18" s="17"/>
      <c r="AB18" s="17"/>
      <c r="AC18" s="17"/>
      <c r="AD18" s="17"/>
      <c r="AE18" s="17"/>
      <c r="AF18" s="17"/>
      <c r="AG18" s="17"/>
      <c r="AH18" s="17">
        <v>8</v>
      </c>
      <c r="AI18" s="347">
        <f>VLOOKUP(AH18,Input!M$22:Y$387,13)</f>
        <v>1.0230414746543786</v>
      </c>
      <c r="AJ18" s="43" t="str">
        <f t="shared" si="3"/>
        <v/>
      </c>
      <c r="AK18" s="43" t="str">
        <f t="shared" si="4"/>
        <v/>
      </c>
      <c r="AL18" s="17">
        <f t="shared" si="27"/>
        <v>243</v>
      </c>
      <c r="AM18" s="17">
        <v>31</v>
      </c>
      <c r="AN18" s="17">
        <f t="shared" si="5"/>
        <v>229</v>
      </c>
      <c r="AO18" s="28">
        <f t="shared" si="6"/>
        <v>0.97701958455530324</v>
      </c>
      <c r="AP18" s="28">
        <f t="shared" si="7"/>
        <v>0.22739509921095702</v>
      </c>
      <c r="AQ18" s="28">
        <f t="shared" si="8"/>
        <v>1.7973124762302852</v>
      </c>
      <c r="AR18" s="43">
        <f t="shared" si="9"/>
        <v>13.730455913893659</v>
      </c>
      <c r="AS18" s="43">
        <f t="shared" si="10"/>
        <v>35.380381249692363</v>
      </c>
      <c r="AT18" s="43">
        <f t="shared" si="11"/>
        <v>26.560759811769053</v>
      </c>
      <c r="AU18" s="28">
        <f t="shared" si="12"/>
        <v>15.528922838709674</v>
      </c>
      <c r="AV18" s="28">
        <f t="shared" si="13"/>
        <v>0.67504724041528574</v>
      </c>
      <c r="AW18" s="28">
        <f t="shared" si="14"/>
        <v>3.5528765436506822</v>
      </c>
      <c r="AX18" s="28">
        <f t="shared" si="15"/>
        <v>2.1679387292459484</v>
      </c>
      <c r="AY18" s="28">
        <f t="shared" si="16"/>
        <v>0.61087999999999998</v>
      </c>
      <c r="AZ18" s="28">
        <f t="shared" si="17"/>
        <v>0.23057766224394582</v>
      </c>
      <c r="BA18" s="28">
        <f t="shared" si="18"/>
        <v>-5.8624567908437051</v>
      </c>
      <c r="BB18" s="43">
        <f t="shared" si="19"/>
        <v>9.6664660478659687</v>
      </c>
      <c r="BC18" s="43">
        <f t="shared" si="20"/>
        <v>22.862096774193546</v>
      </c>
      <c r="BD18" s="43">
        <f t="shared" si="28"/>
        <v>-0.35955612903225792</v>
      </c>
      <c r="BE18" s="28">
        <f t="shared" si="21"/>
        <v>2.8604076364483153</v>
      </c>
      <c r="BF18" s="28">
        <f t="shared" si="22"/>
        <v>2.2495276364483154</v>
      </c>
      <c r="BG18" s="28">
        <f t="shared" si="23"/>
        <v>2.7860893481441504</v>
      </c>
      <c r="BH18" s="28">
        <f t="shared" si="24"/>
        <v>0.16872712634273135</v>
      </c>
      <c r="BI18" s="43">
        <f t="shared" si="29"/>
        <v>2.9265521346805738</v>
      </c>
      <c r="BJ18" s="43">
        <f t="shared" si="30"/>
        <v>0</v>
      </c>
      <c r="BK18" s="43">
        <f t="shared" si="25"/>
        <v>8.1564516129032221</v>
      </c>
      <c r="BL18" s="17"/>
      <c r="BM18" s="17"/>
      <c r="BN18" s="17"/>
      <c r="BO18" s="17"/>
      <c r="BP18" s="17"/>
      <c r="BQ18" s="17"/>
      <c r="BR18" s="17"/>
      <c r="BS18" s="17"/>
      <c r="BT18" s="17"/>
      <c r="BU18" s="17"/>
      <c r="BV18" s="17"/>
      <c r="BW18" s="17"/>
      <c r="BX18" s="17"/>
      <c r="BY18" s="17"/>
      <c r="BZ18" s="17"/>
      <c r="CA18" s="17"/>
      <c r="CB18" s="17"/>
      <c r="CC18" s="17"/>
      <c r="CD18" s="17"/>
      <c r="CE18" s="17"/>
    </row>
    <row r="19" spans="1:83" ht="14.25">
      <c r="A19" s="17"/>
      <c r="B19" s="33"/>
      <c r="C19" s="40">
        <f t="shared" si="26"/>
        <v>9</v>
      </c>
      <c r="D19" s="74">
        <f>DailyMet!AD13</f>
        <v>14.13504</v>
      </c>
      <c r="E19" s="74">
        <f>DailyMet!AE13</f>
        <v>19.839333333333332</v>
      </c>
      <c r="F19" s="74">
        <f>DailyMet!AF13</f>
        <v>14.526666666666667</v>
      </c>
      <c r="G19" s="74">
        <v>0</v>
      </c>
      <c r="H19" s="74">
        <v>0</v>
      </c>
      <c r="I19" s="74">
        <v>15.100000099999999</v>
      </c>
      <c r="J19" s="343">
        <v>2</v>
      </c>
      <c r="K19" s="41">
        <f t="shared" si="0"/>
        <v>2.0231525471596536</v>
      </c>
      <c r="L19" s="454">
        <f>DailyMet!AK13</f>
        <v>2.0231525471596536</v>
      </c>
      <c r="M19" s="42">
        <f t="shared" si="1"/>
        <v>1.8847494159000988</v>
      </c>
      <c r="N19" s="41">
        <f t="shared" si="2"/>
        <v>2.1168736169758589</v>
      </c>
      <c r="O19" s="33"/>
      <c r="P19" s="33"/>
      <c r="Q19" s="17"/>
      <c r="R19" s="17"/>
      <c r="S19" s="17"/>
      <c r="T19" s="17"/>
      <c r="U19" s="17"/>
      <c r="V19" s="17"/>
      <c r="W19" s="17"/>
      <c r="X19" s="17"/>
      <c r="Y19" s="17"/>
      <c r="Z19" s="17"/>
      <c r="AA19" s="17"/>
      <c r="AB19" s="17"/>
      <c r="AC19" s="17"/>
      <c r="AD19" s="17"/>
      <c r="AE19" s="17"/>
      <c r="AF19" s="17"/>
      <c r="AG19" s="17"/>
      <c r="AH19" s="17">
        <v>9</v>
      </c>
      <c r="AI19" s="347">
        <f>VLOOKUP(AH19,Input!M$22:Y$387,13)</f>
        <v>0.86773499699131917</v>
      </c>
      <c r="AJ19" s="43" t="str">
        <f t="shared" si="3"/>
        <v/>
      </c>
      <c r="AK19" s="43" t="str">
        <f t="shared" si="4"/>
        <v/>
      </c>
      <c r="AL19" s="17">
        <f t="shared" si="27"/>
        <v>273</v>
      </c>
      <c r="AM19" s="17">
        <v>30</v>
      </c>
      <c r="AN19" s="17">
        <f t="shared" si="5"/>
        <v>259</v>
      </c>
      <c r="AO19" s="28">
        <f t="shared" si="6"/>
        <v>0.99171072789180092</v>
      </c>
      <c r="AP19" s="28">
        <f t="shared" si="7"/>
        <v>2.9876671079227975E-2</v>
      </c>
      <c r="AQ19" s="28">
        <f t="shared" si="8"/>
        <v>1.5998060061164145</v>
      </c>
      <c r="AR19" s="43">
        <f t="shared" si="9"/>
        <v>12.221617625353455</v>
      </c>
      <c r="AS19" s="43">
        <f t="shared" si="10"/>
        <v>27.965323311577702</v>
      </c>
      <c r="AT19" s="43">
        <f t="shared" si="11"/>
        <v>20.994127516467614</v>
      </c>
      <c r="AU19" s="28">
        <f t="shared" si="12"/>
        <v>10.8839808</v>
      </c>
      <c r="AV19" s="28">
        <f t="shared" si="13"/>
        <v>0.55893531941406016</v>
      </c>
      <c r="AW19" s="28">
        <f t="shared" si="14"/>
        <v>2.3151262558883308</v>
      </c>
      <c r="AX19" s="28">
        <f t="shared" si="15"/>
        <v>1.6540674204710748</v>
      </c>
      <c r="AY19" s="28">
        <f t="shared" si="16"/>
        <v>0.61087999999999998</v>
      </c>
      <c r="AZ19" s="28">
        <f t="shared" si="17"/>
        <v>0.23057766224394582</v>
      </c>
      <c r="BA19" s="28">
        <f t="shared" si="18"/>
        <v>-4.4892991560655799</v>
      </c>
      <c r="BB19" s="43">
        <f t="shared" si="19"/>
        <v>6.3946816439344198</v>
      </c>
      <c r="BC19" s="43">
        <f t="shared" si="20"/>
        <v>17.183</v>
      </c>
      <c r="BD19" s="43">
        <f t="shared" si="28"/>
        <v>-0.72349516129032254</v>
      </c>
      <c r="BE19" s="28">
        <f t="shared" si="21"/>
        <v>1.9845968381797028</v>
      </c>
      <c r="BF19" s="28">
        <f t="shared" si="22"/>
        <v>1.3737168381797029</v>
      </c>
      <c r="BG19" s="28">
        <f t="shared" si="23"/>
        <v>1.9603158051361893</v>
      </c>
      <c r="BH19" s="28">
        <f t="shared" si="24"/>
        <v>0.12407560686613996</v>
      </c>
      <c r="BI19" s="43">
        <f t="shared" si="29"/>
        <v>1.8847494159000988</v>
      </c>
      <c r="BJ19" s="43">
        <f t="shared" si="30"/>
        <v>0</v>
      </c>
      <c r="BK19" s="43">
        <f t="shared" si="25"/>
        <v>5.3126666666666651</v>
      </c>
      <c r="BL19" s="17"/>
      <c r="BM19" s="17"/>
      <c r="BN19" s="17"/>
      <c r="BO19" s="17"/>
      <c r="BP19" s="17"/>
      <c r="BQ19" s="17"/>
      <c r="BR19" s="17"/>
      <c r="BS19" s="17"/>
      <c r="BT19" s="17"/>
      <c r="BU19" s="17"/>
      <c r="BV19" s="17"/>
      <c r="BW19" s="17"/>
      <c r="BX19" s="17"/>
      <c r="BY19" s="17"/>
      <c r="BZ19" s="17"/>
      <c r="CA19" s="17"/>
      <c r="CB19" s="17"/>
      <c r="CC19" s="17"/>
      <c r="CD19" s="17"/>
      <c r="CE19" s="17"/>
    </row>
    <row r="20" spans="1:83" ht="14.25">
      <c r="A20" s="17"/>
      <c r="B20" s="33"/>
      <c r="C20" s="40">
        <f t="shared" si="26"/>
        <v>10</v>
      </c>
      <c r="D20" s="74">
        <f>DailyMet!AD14</f>
        <v>8.4421161290322591</v>
      </c>
      <c r="E20" s="74">
        <f>DailyMet!AE14</f>
        <v>14.620645161290319</v>
      </c>
      <c r="F20" s="74">
        <f>DailyMet!AF14</f>
        <v>10.43225806451613</v>
      </c>
      <c r="G20" s="74">
        <v>0</v>
      </c>
      <c r="H20" s="74">
        <v>0</v>
      </c>
      <c r="I20" s="74">
        <v>19.599999999999998</v>
      </c>
      <c r="J20" s="343">
        <v>3</v>
      </c>
      <c r="K20" s="41">
        <f t="shared" si="0"/>
        <v>0.99080570399491297</v>
      </c>
      <c r="L20" s="454">
        <f>DailyMet!AK14</f>
        <v>0.99080570399491297</v>
      </c>
      <c r="M20" s="42">
        <f t="shared" si="1"/>
        <v>0.94885920091606302</v>
      </c>
      <c r="N20" s="41">
        <f t="shared" si="2"/>
        <v>1.1475301709089052</v>
      </c>
      <c r="O20" s="33"/>
      <c r="P20" s="33"/>
      <c r="Q20" s="17"/>
      <c r="R20" s="17"/>
      <c r="S20" s="17"/>
      <c r="T20" s="17"/>
      <c r="U20" s="17"/>
      <c r="V20" s="17"/>
      <c r="W20" s="17"/>
      <c r="X20" s="17"/>
      <c r="Y20" s="17"/>
      <c r="Z20" s="17"/>
      <c r="AA20" s="17"/>
      <c r="AB20" s="17"/>
      <c r="AC20" s="17"/>
      <c r="AD20" s="17"/>
      <c r="AE20" s="17"/>
      <c r="AF20" s="17"/>
      <c r="AG20" s="17"/>
      <c r="AH20" s="17">
        <v>10</v>
      </c>
      <c r="AI20" s="347">
        <f>VLOOKUP(AH20,Input!M$22:Y$387,13)</f>
        <v>0.97580164046852269</v>
      </c>
      <c r="AJ20" s="43" t="str">
        <f t="shared" si="3"/>
        <v/>
      </c>
      <c r="AK20" s="43" t="str">
        <f t="shared" si="4"/>
        <v/>
      </c>
      <c r="AL20" s="17">
        <f t="shared" si="27"/>
        <v>304</v>
      </c>
      <c r="AM20" s="17">
        <v>31</v>
      </c>
      <c r="AN20" s="17">
        <f t="shared" si="5"/>
        <v>290</v>
      </c>
      <c r="AO20" s="28">
        <f t="shared" si="6"/>
        <v>1.0091112001122164</v>
      </c>
      <c r="AP20" s="28">
        <f t="shared" si="7"/>
        <v>-0.18176795414041733</v>
      </c>
      <c r="AQ20" s="28">
        <f t="shared" si="8"/>
        <v>1.3914515563865453</v>
      </c>
      <c r="AR20" s="43">
        <f t="shared" si="9"/>
        <v>10.62990687704783</v>
      </c>
      <c r="AS20" s="43">
        <f t="shared" si="10"/>
        <v>19.695062195974888</v>
      </c>
      <c r="AT20" s="43">
        <f t="shared" si="11"/>
        <v>14.785477091762269</v>
      </c>
      <c r="AU20" s="28">
        <f t="shared" si="12"/>
        <v>6.5004294193548393</v>
      </c>
      <c r="AV20" s="28">
        <f t="shared" si="13"/>
        <v>0.4208142729153671</v>
      </c>
      <c r="AW20" s="28">
        <f t="shared" si="14"/>
        <v>1.6641396412513301</v>
      </c>
      <c r="AX20" s="28">
        <f t="shared" si="15"/>
        <v>1.2639877561672368</v>
      </c>
      <c r="AY20" s="28">
        <f t="shared" si="16"/>
        <v>0.61087999999999998</v>
      </c>
      <c r="AZ20" s="28">
        <f t="shared" si="17"/>
        <v>0.23057766224394582</v>
      </c>
      <c r="BA20" s="28">
        <f t="shared" si="18"/>
        <v>-3.1676818270504703</v>
      </c>
      <c r="BB20" s="43">
        <f t="shared" si="19"/>
        <v>3.332747592304369</v>
      </c>
      <c r="BC20" s="43">
        <f t="shared" si="20"/>
        <v>12.526451612903225</v>
      </c>
      <c r="BD20" s="43">
        <f t="shared" si="28"/>
        <v>-0.62962666666666678</v>
      </c>
      <c r="BE20" s="28">
        <f t="shared" si="21"/>
        <v>1.4640636987092834</v>
      </c>
      <c r="BF20" s="28">
        <f t="shared" si="22"/>
        <v>0.85318369870928346</v>
      </c>
      <c r="BG20" s="28">
        <f t="shared" si="23"/>
        <v>1.4520011286215533</v>
      </c>
      <c r="BH20" s="28">
        <f t="shared" si="24"/>
        <v>9.536039320436418E-2</v>
      </c>
      <c r="BI20" s="43">
        <f t="shared" si="29"/>
        <v>0.94885920091606302</v>
      </c>
      <c r="BJ20" s="43">
        <f t="shared" si="30"/>
        <v>0</v>
      </c>
      <c r="BK20" s="43">
        <f t="shared" si="25"/>
        <v>4.1883870967741892</v>
      </c>
      <c r="BL20" s="17"/>
      <c r="BM20" s="17"/>
      <c r="BN20" s="17"/>
      <c r="BO20" s="17"/>
      <c r="BP20" s="17"/>
      <c r="BQ20" s="17"/>
      <c r="BR20" s="17"/>
      <c r="BS20" s="17"/>
      <c r="BT20" s="17"/>
      <c r="BU20" s="17"/>
      <c r="BV20" s="17"/>
      <c r="BW20" s="17"/>
      <c r="BX20" s="17"/>
      <c r="BY20" s="17"/>
      <c r="BZ20" s="17"/>
      <c r="CA20" s="17"/>
      <c r="CB20" s="17"/>
      <c r="CC20" s="17"/>
      <c r="CD20" s="17"/>
      <c r="CE20" s="17"/>
    </row>
    <row r="21" spans="1:83" ht="14.25">
      <c r="A21" s="17"/>
      <c r="B21" s="33"/>
      <c r="C21" s="40">
        <f t="shared" si="26"/>
        <v>11</v>
      </c>
      <c r="D21" s="74">
        <f>DailyMet!AD15</f>
        <v>4.8038400000000001</v>
      </c>
      <c r="E21" s="74">
        <f>DailyMet!AE15</f>
        <v>9.7266666666666648</v>
      </c>
      <c r="F21" s="74">
        <f>DailyMet!AF15</f>
        <v>6.6500000000000012</v>
      </c>
      <c r="G21" s="74">
        <v>0</v>
      </c>
      <c r="H21" s="74">
        <v>0</v>
      </c>
      <c r="I21" s="74">
        <v>0</v>
      </c>
      <c r="J21" s="343">
        <v>0</v>
      </c>
      <c r="K21" s="41">
        <f t="shared" si="0"/>
        <v>0.44114151485900671</v>
      </c>
      <c r="L21" s="454">
        <f>DailyMet!AK15</f>
        <v>0.44114151485900671</v>
      </c>
      <c r="M21" s="42">
        <f t="shared" si="1"/>
        <v>0.54115935141065452</v>
      </c>
      <c r="N21" s="41">
        <f t="shared" si="2"/>
        <v>0.58117826325227206</v>
      </c>
      <c r="O21" s="33"/>
      <c r="P21" s="33"/>
      <c r="Q21" s="17"/>
      <c r="R21" s="17"/>
      <c r="S21" s="17"/>
      <c r="T21" s="17"/>
      <c r="U21" s="17"/>
      <c r="V21" s="17"/>
      <c r="W21" s="17"/>
      <c r="X21" s="17"/>
      <c r="Y21" s="17"/>
      <c r="Z21" s="17"/>
      <c r="AA21" s="17"/>
      <c r="AB21" s="17"/>
      <c r="AC21" s="17"/>
      <c r="AD21" s="17"/>
      <c r="AE21" s="17"/>
      <c r="AF21" s="17"/>
      <c r="AG21" s="17"/>
      <c r="AH21" s="17">
        <v>11</v>
      </c>
      <c r="AI21" s="347">
        <f>VLOOKUP(AH21,Input!M$22:Y$387,13)</f>
        <v>1.1917649599910223</v>
      </c>
      <c r="AJ21" s="43" t="str">
        <f t="shared" si="3"/>
        <v/>
      </c>
      <c r="AK21" s="43" t="str">
        <f t="shared" si="4"/>
        <v/>
      </c>
      <c r="AL21" s="17">
        <f t="shared" si="27"/>
        <v>334</v>
      </c>
      <c r="AM21" s="17">
        <v>30</v>
      </c>
      <c r="AN21" s="17">
        <f t="shared" si="5"/>
        <v>320</v>
      </c>
      <c r="AO21" s="28">
        <f t="shared" si="6"/>
        <v>1.0235842217394178</v>
      </c>
      <c r="AP21" s="28">
        <f t="shared" si="7"/>
        <v>-0.33897775897836779</v>
      </c>
      <c r="AQ21" s="28">
        <f t="shared" si="8"/>
        <v>1.2215331814181454</v>
      </c>
      <c r="AR21" s="43">
        <f t="shared" si="9"/>
        <v>9.3318261107264053</v>
      </c>
      <c r="AS21" s="43">
        <f t="shared" si="10"/>
        <v>13.580912761801278</v>
      </c>
      <c r="AT21" s="43">
        <f t="shared" si="11"/>
        <v>10.195462828539457</v>
      </c>
      <c r="AU21" s="28">
        <f t="shared" si="12"/>
        <v>3.6989568000000004</v>
      </c>
      <c r="AV21" s="28">
        <f t="shared" si="13"/>
        <v>0.28608529686817863</v>
      </c>
      <c r="AW21" s="28">
        <f t="shared" si="14"/>
        <v>1.2056513517406846</v>
      </c>
      <c r="AX21" s="28">
        <f t="shared" si="15"/>
        <v>0.97803389047166711</v>
      </c>
      <c r="AY21" s="28">
        <f t="shared" si="16"/>
        <v>0.61087999999999998</v>
      </c>
      <c r="AZ21" s="28">
        <f t="shared" si="17"/>
        <v>0.23057766224394582</v>
      </c>
      <c r="BA21" s="28">
        <f t="shared" si="18"/>
        <v>-2.0253607621606058</v>
      </c>
      <c r="BB21" s="43">
        <f t="shared" si="19"/>
        <v>1.6735960378393946</v>
      </c>
      <c r="BC21" s="43">
        <f t="shared" si="20"/>
        <v>8.1883333333333326</v>
      </c>
      <c r="BD21" s="43">
        <f t="shared" si="28"/>
        <v>-0.85720645161290321</v>
      </c>
      <c r="BE21" s="28">
        <f t="shared" si="21"/>
        <v>1.0918426211061758</v>
      </c>
      <c r="BF21" s="28">
        <f t="shared" si="22"/>
        <v>0.48096262110617582</v>
      </c>
      <c r="BG21" s="28">
        <f t="shared" si="23"/>
        <v>1.0866070758955093</v>
      </c>
      <c r="BH21" s="28">
        <f t="shared" si="24"/>
        <v>7.3907537484025856E-2</v>
      </c>
      <c r="BI21" s="43">
        <f t="shared" si="29"/>
        <v>0.54115935141065452</v>
      </c>
      <c r="BJ21" s="43">
        <f t="shared" si="30"/>
        <v>0</v>
      </c>
      <c r="BK21" s="43">
        <f t="shared" si="25"/>
        <v>3.0766666666666636</v>
      </c>
      <c r="BL21" s="17"/>
      <c r="BM21" s="17"/>
      <c r="BN21" s="17"/>
      <c r="BO21" s="17"/>
      <c r="BP21" s="17"/>
      <c r="BQ21" s="17"/>
      <c r="BR21" s="17"/>
      <c r="BS21" s="17"/>
      <c r="BT21" s="17"/>
      <c r="BU21" s="17"/>
      <c r="BV21" s="17"/>
      <c r="BW21" s="17"/>
      <c r="BX21" s="17"/>
      <c r="BY21" s="17"/>
      <c r="BZ21" s="17"/>
      <c r="CA21" s="17"/>
      <c r="CB21" s="17"/>
      <c r="CC21" s="17"/>
      <c r="CD21" s="17"/>
      <c r="CE21" s="17"/>
    </row>
    <row r="22" spans="1:83" ht="14.25">
      <c r="A22" s="17"/>
      <c r="B22" s="33"/>
      <c r="C22" s="40">
        <f t="shared" si="26"/>
        <v>12</v>
      </c>
      <c r="D22" s="74">
        <f>DailyMet!AD16</f>
        <v>3.7040516129032257</v>
      </c>
      <c r="E22" s="74">
        <f>DailyMet!AE16</f>
        <v>1.5935483870967744</v>
      </c>
      <c r="F22" s="74">
        <f>DailyMet!AF16</f>
        <v>-1.0322580645161292</v>
      </c>
      <c r="G22" s="74">
        <v>0</v>
      </c>
      <c r="H22" s="74">
        <v>0</v>
      </c>
      <c r="I22" s="74">
        <v>17</v>
      </c>
      <c r="J22" s="343">
        <v>2</v>
      </c>
      <c r="K22" s="41">
        <f t="shared" si="0"/>
        <v>0.20180602049198348</v>
      </c>
      <c r="L22" s="454">
        <f>DailyMet!AK16</f>
        <v>0.20180602049198348</v>
      </c>
      <c r="M22" s="42">
        <f t="shared" si="1"/>
        <v>0.30679163444458901</v>
      </c>
      <c r="N22" s="41">
        <f t="shared" si="2"/>
        <v>0.30218133626373622</v>
      </c>
      <c r="O22" s="33"/>
      <c r="P22" s="33"/>
      <c r="Q22" s="17"/>
      <c r="R22" s="17"/>
      <c r="S22" s="17"/>
      <c r="T22" s="17"/>
      <c r="U22" s="17"/>
      <c r="V22" s="17"/>
      <c r="W22" s="17"/>
      <c r="X22" s="17"/>
      <c r="Y22" s="17"/>
      <c r="Z22" s="17"/>
      <c r="AA22" s="17"/>
      <c r="AB22" s="17"/>
      <c r="AC22" s="17"/>
      <c r="AD22" s="17"/>
      <c r="AE22" s="17"/>
      <c r="AF22" s="17"/>
      <c r="AG22" s="17"/>
      <c r="AH22" s="17">
        <v>12</v>
      </c>
      <c r="AI22" s="347">
        <f>VLOOKUP(AH22,Input!M$22:Y$387,13)</f>
        <v>1.2000000000000002</v>
      </c>
      <c r="AJ22" s="43" t="str">
        <f t="shared" si="3"/>
        <v/>
      </c>
      <c r="AK22" s="43" t="str">
        <f t="shared" si="4"/>
        <v/>
      </c>
      <c r="AL22" s="17">
        <f t="shared" si="27"/>
        <v>365</v>
      </c>
      <c r="AM22" s="17">
        <v>31</v>
      </c>
      <c r="AN22" s="17">
        <f t="shared" si="5"/>
        <v>351</v>
      </c>
      <c r="AO22" s="28">
        <f t="shared" si="6"/>
        <v>1.0320463017121373</v>
      </c>
      <c r="AP22" s="28">
        <f t="shared" si="7"/>
        <v>-0.4082590445756144</v>
      </c>
      <c r="AQ22" s="28">
        <f t="shared" si="8"/>
        <v>1.1375421584393062</v>
      </c>
      <c r="AR22" s="43">
        <f t="shared" si="9"/>
        <v>8.6901819595698999</v>
      </c>
      <c r="AS22" s="43">
        <f t="shared" si="10"/>
        <v>10.986531546222203</v>
      </c>
      <c r="AT22" s="43">
        <f t="shared" si="11"/>
        <v>8.2478089623799331</v>
      </c>
      <c r="AU22" s="28">
        <f t="shared" si="12"/>
        <v>2.8521197419354838</v>
      </c>
      <c r="AV22" s="28">
        <f t="shared" si="13"/>
        <v>0.25627855230735763</v>
      </c>
      <c r="AW22" s="28">
        <f t="shared" si="14"/>
        <v>0.68537748329809944</v>
      </c>
      <c r="AX22" s="28">
        <f t="shared" si="15"/>
        <v>0.56640911155541318</v>
      </c>
      <c r="AY22" s="28">
        <f t="shared" si="16"/>
        <v>0.61087999999999998</v>
      </c>
      <c r="AZ22" s="28">
        <f t="shared" si="17"/>
        <v>0.23057766224394582</v>
      </c>
      <c r="BA22" s="28">
        <f t="shared" si="18"/>
        <v>-1.6187299245391815</v>
      </c>
      <c r="BB22" s="43">
        <f t="shared" si="19"/>
        <v>1.2333898173963023</v>
      </c>
      <c r="BC22" s="43">
        <f t="shared" si="20"/>
        <v>0.28064516129032258</v>
      </c>
      <c r="BD22" s="43">
        <f>0.07*(BC11-BC21)</f>
        <v>-0.63329301075268818</v>
      </c>
      <c r="BE22" s="28">
        <f t="shared" si="21"/>
        <v>0.62589329742675637</v>
      </c>
      <c r="BF22" s="28">
        <f t="shared" si="22"/>
        <v>1.5013297426756389E-2</v>
      </c>
      <c r="BG22" s="28">
        <f t="shared" si="23"/>
        <v>0.62338853786353654</v>
      </c>
      <c r="BH22" s="28">
        <f t="shared" si="24"/>
        <v>4.5270429655523484E-2</v>
      </c>
      <c r="BI22" s="43">
        <f t="shared" si="29"/>
        <v>0.30679163444458901</v>
      </c>
      <c r="BJ22" s="43">
        <f t="shared" si="30"/>
        <v>0</v>
      </c>
      <c r="BK22" s="43">
        <f t="shared" si="25"/>
        <v>2.6258064516129034</v>
      </c>
      <c r="BL22" s="17"/>
      <c r="BM22" s="17"/>
      <c r="BN22" s="17"/>
      <c r="BO22" s="17"/>
      <c r="BP22" s="17"/>
      <c r="BQ22" s="17"/>
      <c r="BR22" s="17"/>
      <c r="BS22" s="17"/>
      <c r="BT22" s="17"/>
      <c r="BU22" s="17"/>
      <c r="BV22" s="17"/>
      <c r="BW22" s="17"/>
      <c r="BX22" s="17"/>
      <c r="BY22" s="17"/>
      <c r="BZ22" s="17"/>
      <c r="CA22" s="17"/>
      <c r="CB22" s="17"/>
      <c r="CC22" s="17"/>
      <c r="CD22" s="17"/>
      <c r="CE22" s="17"/>
    </row>
    <row r="23" spans="1:83">
      <c r="A23" s="17"/>
      <c r="B23" s="33"/>
      <c r="C23" s="33"/>
      <c r="D23" s="33"/>
      <c r="E23" s="33"/>
      <c r="F23" s="33"/>
      <c r="G23" s="33"/>
      <c r="H23" s="33"/>
      <c r="I23" s="33"/>
      <c r="J23" s="33"/>
      <c r="K23" s="33"/>
      <c r="L23" s="33"/>
      <c r="M23" s="33"/>
      <c r="N23" s="33"/>
      <c r="O23" s="33"/>
      <c r="P23" s="33"/>
      <c r="Q23" s="17"/>
      <c r="R23" s="17"/>
      <c r="S23" s="17"/>
      <c r="T23" s="17"/>
      <c r="U23" s="17"/>
      <c r="V23" s="17"/>
      <c r="W23" s="17"/>
      <c r="X23" s="17"/>
      <c r="Y23" s="17"/>
      <c r="Z23" s="17"/>
      <c r="AA23" s="17"/>
      <c r="AB23" s="17"/>
      <c r="AC23" s="17"/>
      <c r="AD23" s="17"/>
      <c r="AE23" s="17"/>
      <c r="AF23" s="17"/>
      <c r="AG23" s="17"/>
      <c r="AH23" s="17"/>
      <c r="AI23" s="347"/>
      <c r="AJ23" s="17"/>
      <c r="AK23" s="17"/>
      <c r="AL23" s="17"/>
      <c r="AM23" s="17"/>
      <c r="AN23" s="17"/>
      <c r="AO23" s="17"/>
      <c r="AP23" s="17"/>
      <c r="AQ23" s="17"/>
      <c r="AR23" s="43"/>
      <c r="AS23" s="17"/>
      <c r="AT23" s="17"/>
      <c r="AU23" s="17">
        <f t="shared" si="12"/>
        <v>0</v>
      </c>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row>
    <row r="24" spans="1:83">
      <c r="A24" s="17"/>
      <c r="B24" s="33"/>
      <c r="C24" s="33"/>
      <c r="D24" s="33"/>
      <c r="E24" s="33"/>
      <c r="F24" s="33"/>
      <c r="G24" s="33"/>
      <c r="H24" s="33"/>
      <c r="I24" s="33"/>
      <c r="J24" s="33"/>
      <c r="K24" s="33"/>
      <c r="L24" s="33"/>
      <c r="M24" s="33"/>
      <c r="N24" s="33"/>
      <c r="O24" s="33"/>
      <c r="P24" s="33"/>
      <c r="Q24" s="17"/>
      <c r="R24" s="17"/>
      <c r="S24" s="17"/>
      <c r="T24" s="17"/>
      <c r="U24" s="17"/>
      <c r="V24" s="17"/>
      <c r="W24" s="17"/>
      <c r="X24" s="17"/>
      <c r="Y24" s="17"/>
      <c r="Z24" s="17"/>
      <c r="AA24" s="17"/>
      <c r="AB24" s="17"/>
      <c r="AC24" s="17"/>
      <c r="AD24" s="17"/>
      <c r="AE24" s="17"/>
      <c r="AF24" s="17"/>
      <c r="AG24" s="17"/>
      <c r="AH24" s="17"/>
      <c r="AI24" s="347"/>
      <c r="AJ24" s="17"/>
      <c r="AK24" s="17"/>
      <c r="AL24" s="17"/>
      <c r="AM24" s="17"/>
      <c r="AN24" s="17"/>
      <c r="AO24" s="17"/>
      <c r="AP24" s="17"/>
      <c r="AQ24" s="17"/>
      <c r="AR24" s="43"/>
      <c r="AS24" s="17"/>
      <c r="AT24" s="17"/>
      <c r="AU24" s="17">
        <f t="shared" si="12"/>
        <v>0</v>
      </c>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row>
    <row r="25" spans="1:83">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43"/>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row>
    <row r="26" spans="1:83">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43"/>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row>
    <row r="27" spans="1:83">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43"/>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row>
    <row r="28" spans="1:83">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43"/>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row>
    <row r="29" spans="1:83">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43"/>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row>
    <row r="30" spans="1:83">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43"/>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row>
    <row r="31" spans="1:83">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43"/>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row>
    <row r="32" spans="1:83">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43"/>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row>
    <row r="33" spans="1:83">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43"/>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row>
    <row r="34" spans="1:83">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43"/>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row>
    <row r="35" spans="1:83">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43"/>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row>
    <row r="36" spans="1:83">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43"/>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row>
    <row r="37" spans="1:83">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43"/>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row>
    <row r="38" spans="1:83">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43"/>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row>
    <row r="39" spans="1:83">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row>
    <row r="40" spans="1:83">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row>
    <row r="41" spans="1:83">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row>
    <row r="42" spans="1:83">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row>
    <row r="43" spans="1:83">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row>
    <row r="44" spans="1:83">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row>
    <row r="45" spans="1:83">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row>
    <row r="46" spans="1:83">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row>
    <row r="47" spans="1:83">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row>
    <row r="48" spans="1:83">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row>
    <row r="49" spans="1:83">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row>
    <row r="50" spans="1:83">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row>
    <row r="51" spans="1:83">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row>
    <row r="52" spans="1:83">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row>
    <row r="53" spans="1:83">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row>
    <row r="54" spans="1:83">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row>
  </sheetData>
  <sheetProtection sheet="1" objects="1" scenarios="1"/>
  <mergeCells count="1">
    <mergeCell ref="G3:H3"/>
  </mergeCells>
  <phoneticPr fontId="0" type="noConversion"/>
  <pageMargins left="0.75" right="0.75" top="1" bottom="1" header="0.5" footer="0.5"/>
  <pageSetup orientation="portrait" horizontalDpi="360" verticalDpi="360" r:id="rId1"/>
  <headerFooter alignWithMargins="0"/>
</worksheet>
</file>

<file path=xl/worksheets/sheet16.xml><?xml version="1.0" encoding="utf-8"?>
<worksheet xmlns="http://schemas.openxmlformats.org/spreadsheetml/2006/main" xmlns:r="http://schemas.openxmlformats.org/officeDocument/2006/relationships">
  <sheetPr>
    <tabColor rgb="FF00CC00"/>
  </sheetPr>
  <dimension ref="A1:N583"/>
  <sheetViews>
    <sheetView zoomScale="93" zoomScaleNormal="93" workbookViewId="0">
      <pane xSplit="2" ySplit="5" topLeftCell="C264" activePane="bottomRight" state="frozen"/>
      <selection pane="topRight" activeCell="C1" sqref="C1"/>
      <selection pane="bottomLeft" activeCell="A4" sqref="A4"/>
      <selection pane="bottomRight" activeCell="M281" sqref="M281"/>
    </sheetView>
  </sheetViews>
  <sheetFormatPr defaultRowHeight="12.75"/>
  <cols>
    <col min="1" max="1" width="10" bestFit="1" customWidth="1"/>
    <col min="3" max="3" width="9.42578125" style="371" bestFit="1" customWidth="1"/>
    <col min="4" max="4" width="8.5703125" style="371" bestFit="1" customWidth="1"/>
    <col min="5" max="5" width="8.42578125" style="371" bestFit="1" customWidth="1"/>
    <col min="6" max="6" width="9.42578125" style="371" bestFit="1" customWidth="1"/>
    <col min="7" max="7" width="7.7109375" style="371" bestFit="1" customWidth="1"/>
    <col min="8" max="8" width="8.42578125" style="371" bestFit="1" customWidth="1"/>
    <col min="9" max="9" width="9.42578125" style="371" bestFit="1" customWidth="1"/>
    <col min="10" max="10" width="7.7109375" style="371" bestFit="1" customWidth="1"/>
    <col min="11" max="11" width="8.42578125" style="371" bestFit="1" customWidth="1"/>
    <col min="12" max="12" width="9.42578125" style="371" bestFit="1" customWidth="1"/>
    <col min="13" max="13" width="7.7109375" style="371" bestFit="1" customWidth="1"/>
    <col min="14" max="14" width="8.42578125" bestFit="1" customWidth="1"/>
  </cols>
  <sheetData>
    <row r="1" spans="1:14">
      <c r="A1" s="49"/>
      <c r="B1" s="49"/>
      <c r="C1" s="372"/>
      <c r="D1" s="367"/>
      <c r="E1" s="367"/>
      <c r="F1" s="373"/>
      <c r="G1" s="374"/>
      <c r="H1" s="374"/>
      <c r="I1" s="373"/>
      <c r="J1" s="374"/>
      <c r="K1" s="374"/>
      <c r="L1" s="375"/>
      <c r="M1" s="375"/>
      <c r="N1" s="95"/>
    </row>
    <row r="2" spans="1:14">
      <c r="A2" s="49"/>
      <c r="B2" s="49"/>
      <c r="C2" s="372"/>
      <c r="D2" s="367"/>
      <c r="E2" s="367"/>
      <c r="F2" s="373"/>
      <c r="G2" s="374"/>
      <c r="H2" s="374"/>
      <c r="I2" s="373"/>
      <c r="J2" s="374"/>
      <c r="K2" s="374"/>
      <c r="L2" s="375"/>
      <c r="M2" s="375"/>
      <c r="N2" s="95"/>
    </row>
    <row r="3" spans="1:14">
      <c r="A3" s="49"/>
      <c r="B3" s="49"/>
      <c r="C3" s="372" t="s">
        <v>217</v>
      </c>
      <c r="D3" s="367" t="s">
        <v>218</v>
      </c>
      <c r="E3" s="367" t="s">
        <v>219</v>
      </c>
      <c r="F3" s="373" t="s">
        <v>217</v>
      </c>
      <c r="G3" s="374" t="s">
        <v>218</v>
      </c>
      <c r="H3" s="374" t="s">
        <v>219</v>
      </c>
      <c r="I3" s="373" t="s">
        <v>217</v>
      </c>
      <c r="J3" s="374" t="s">
        <v>218</v>
      </c>
      <c r="K3" s="374" t="s">
        <v>219</v>
      </c>
      <c r="L3" s="375" t="s">
        <v>217</v>
      </c>
      <c r="M3" s="375" t="s">
        <v>218</v>
      </c>
      <c r="N3" s="95" t="s">
        <v>219</v>
      </c>
    </row>
    <row r="4" spans="1:14" ht="14.25">
      <c r="A4" s="46"/>
      <c r="B4" s="46"/>
      <c r="C4" s="368" t="s">
        <v>263</v>
      </c>
      <c r="D4" s="368" t="s">
        <v>263</v>
      </c>
      <c r="E4" s="368" t="s">
        <v>263</v>
      </c>
      <c r="F4" s="376" t="s">
        <v>264</v>
      </c>
      <c r="G4" s="376" t="s">
        <v>264</v>
      </c>
      <c r="H4" s="376" t="s">
        <v>264</v>
      </c>
      <c r="I4" s="376" t="s">
        <v>264</v>
      </c>
      <c r="J4" s="376" t="s">
        <v>264</v>
      </c>
      <c r="K4" s="376" t="s">
        <v>264</v>
      </c>
      <c r="L4" s="377" t="s">
        <v>152</v>
      </c>
      <c r="M4" s="377" t="s">
        <v>152</v>
      </c>
      <c r="N4" s="97" t="s">
        <v>152</v>
      </c>
    </row>
    <row r="5" spans="1:14">
      <c r="A5" s="47" t="s">
        <v>198</v>
      </c>
      <c r="B5" s="48" t="s">
        <v>87</v>
      </c>
      <c r="C5" s="369" t="s">
        <v>65</v>
      </c>
      <c r="D5" s="369" t="s">
        <v>65</v>
      </c>
      <c r="E5" s="369" t="s">
        <v>65</v>
      </c>
      <c r="F5" s="378" t="s">
        <v>139</v>
      </c>
      <c r="G5" s="378" t="s">
        <v>139</v>
      </c>
      <c r="H5" s="378" t="s">
        <v>139</v>
      </c>
      <c r="I5" s="378" t="s">
        <v>140</v>
      </c>
      <c r="J5" s="378" t="s">
        <v>140</v>
      </c>
      <c r="K5" s="378" t="s">
        <v>140</v>
      </c>
      <c r="L5" s="379" t="s">
        <v>127</v>
      </c>
      <c r="M5" s="379" t="s">
        <v>127</v>
      </c>
      <c r="N5" s="96" t="s">
        <v>127</v>
      </c>
    </row>
    <row r="6" spans="1:14">
      <c r="A6" s="444">
        <f>Input!B22</f>
        <v>37987</v>
      </c>
      <c r="B6" s="44">
        <f>A6-DATE(YEAR(A6)-1,12,31)</f>
        <v>1</v>
      </c>
      <c r="C6" s="380">
        <f>PMSplint!T50</f>
        <v>0.2215792704707612</v>
      </c>
      <c r="D6" s="500">
        <v>0.24825455305211253</v>
      </c>
      <c r="E6" s="381">
        <f>IF(ISERROR(D6),C6,IF(D6="",C6,IF(D6&lt;0,0,D6)))</f>
        <v>0.24825455305211253</v>
      </c>
      <c r="F6" s="382">
        <f>TxSplint!N50</f>
        <v>0.80116040635782837</v>
      </c>
      <c r="G6" s="433"/>
      <c r="H6" s="381">
        <f>IF(G6="",F6,G6)</f>
        <v>0.80116040635782837</v>
      </c>
      <c r="I6" s="382">
        <f>TnSplint!N50</f>
        <v>-2.4086055481050677</v>
      </c>
      <c r="J6" s="433"/>
      <c r="K6" s="381">
        <f>IF(J6="",I6,J6)</f>
        <v>-2.4086055481050677</v>
      </c>
      <c r="L6" s="383"/>
      <c r="M6" s="433">
        <v>0</v>
      </c>
      <c r="N6" s="384"/>
    </row>
    <row r="7" spans="1:14">
      <c r="A7" s="444">
        <f>Input!B23</f>
        <v>37988</v>
      </c>
      <c r="B7" s="44">
        <f t="shared" ref="B7:B70" si="0">A7-DATE(YEAR(A7)-1,12,31)</f>
        <v>2</v>
      </c>
      <c r="C7" s="380">
        <f>PMSplint!T51</f>
        <v>0.22831276230435454</v>
      </c>
      <c r="D7" s="500">
        <v>0.26135759193647401</v>
      </c>
      <c r="E7" s="381">
        <f t="shared" ref="E7:E70" si="1">IF(ISERROR(D7),C7,IF(D7="",C7,IF(D7&lt;0,0,D7)))</f>
        <v>0.26135759193647401</v>
      </c>
      <c r="F7" s="382">
        <f>TxSplint!N51</f>
        <v>0.84555645997855822</v>
      </c>
      <c r="G7" s="455"/>
      <c r="H7" s="381">
        <f>IF(G7="",F7,G7)</f>
        <v>0.84555645997855822</v>
      </c>
      <c r="I7" s="382">
        <f>TnSplint!N51</f>
        <v>-2.4345473965709585</v>
      </c>
      <c r="J7" s="455"/>
      <c r="K7" s="381">
        <f>IF(J7="",I7,J7)</f>
        <v>-2.4345473965709585</v>
      </c>
      <c r="L7" s="383"/>
      <c r="M7" s="455">
        <v>1.8</v>
      </c>
      <c r="N7" s="384"/>
    </row>
    <row r="8" spans="1:14">
      <c r="A8" s="444">
        <f>Input!B24</f>
        <v>37989</v>
      </c>
      <c r="B8" s="44">
        <f t="shared" si="0"/>
        <v>3</v>
      </c>
      <c r="C8" s="380">
        <f>PMSplint!T52</f>
        <v>0.23504625413794789</v>
      </c>
      <c r="D8" s="500">
        <v>0.24892768940826782</v>
      </c>
      <c r="E8" s="381">
        <f t="shared" si="1"/>
        <v>0.24892768940826782</v>
      </c>
      <c r="F8" s="382">
        <f>TxSplint!N52</f>
        <v>0.88995251359928806</v>
      </c>
      <c r="G8" s="455"/>
      <c r="H8" s="381">
        <f t="shared" ref="H8:H71" si="2">IF(G8="",F8,G8)</f>
        <v>0.88995251359928806</v>
      </c>
      <c r="I8" s="382">
        <f>TnSplint!N52</f>
        <v>-2.4604892450368494</v>
      </c>
      <c r="J8" s="455"/>
      <c r="K8" s="381">
        <f t="shared" ref="K8:K71" si="3">IF(J8="",I8,J8)</f>
        <v>-2.4604892450368494</v>
      </c>
      <c r="L8" s="383"/>
      <c r="M8" s="455">
        <v>1.2</v>
      </c>
      <c r="N8" s="384"/>
    </row>
    <row r="9" spans="1:14">
      <c r="A9" s="444">
        <f>Input!B25</f>
        <v>37990</v>
      </c>
      <c r="B9" s="44">
        <f t="shared" si="0"/>
        <v>4</v>
      </c>
      <c r="C9" s="380">
        <f>PMSplint!T53</f>
        <v>0.24177974597154123</v>
      </c>
      <c r="D9" s="500">
        <v>0.15123086696486165</v>
      </c>
      <c r="E9" s="381">
        <f t="shared" si="1"/>
        <v>0.15123086696486165</v>
      </c>
      <c r="F9" s="382">
        <f>TxSplint!N53</f>
        <v>0.93434856722001791</v>
      </c>
      <c r="G9" s="455"/>
      <c r="H9" s="381">
        <f t="shared" si="2"/>
        <v>0.93434856722001791</v>
      </c>
      <c r="I9" s="382">
        <f>TnSplint!N53</f>
        <v>-2.4864310935027403</v>
      </c>
      <c r="J9" s="455"/>
      <c r="K9" s="381">
        <f t="shared" si="3"/>
        <v>-2.4864310935027403</v>
      </c>
      <c r="L9" s="383"/>
      <c r="M9" s="455">
        <v>0.2</v>
      </c>
      <c r="N9" s="384"/>
    </row>
    <row r="10" spans="1:14">
      <c r="A10" s="444">
        <f>Input!B26</f>
        <v>37991</v>
      </c>
      <c r="B10" s="44">
        <f t="shared" si="0"/>
        <v>5</v>
      </c>
      <c r="C10" s="380">
        <f>PMSplint!T54</f>
        <v>0.24851323780513457</v>
      </c>
      <c r="D10" s="500">
        <v>0.30270884965245604</v>
      </c>
      <c r="E10" s="381">
        <f t="shared" si="1"/>
        <v>0.30270884965245604</v>
      </c>
      <c r="F10" s="382">
        <f>TxSplint!N54</f>
        <v>0.97874462084074776</v>
      </c>
      <c r="G10" s="455"/>
      <c r="H10" s="381">
        <f t="shared" si="2"/>
        <v>0.97874462084074776</v>
      </c>
      <c r="I10" s="382">
        <f>TnSplint!N54</f>
        <v>-2.5123729419686311</v>
      </c>
      <c r="J10" s="455"/>
      <c r="K10" s="381">
        <f t="shared" si="3"/>
        <v>-2.5123729419686311</v>
      </c>
      <c r="L10" s="383"/>
      <c r="M10" s="455">
        <v>2</v>
      </c>
      <c r="N10" s="384"/>
    </row>
    <row r="11" spans="1:14">
      <c r="A11" s="444">
        <f>Input!B27</f>
        <v>37992</v>
      </c>
      <c r="B11" s="44">
        <f t="shared" si="0"/>
        <v>6</v>
      </c>
      <c r="C11" s="380">
        <f>PMSplint!T55</f>
        <v>0.25524672963872796</v>
      </c>
      <c r="D11" s="500">
        <v>0.34935131767173</v>
      </c>
      <c r="E11" s="381">
        <f t="shared" si="1"/>
        <v>0.34935131767173</v>
      </c>
      <c r="F11" s="382">
        <f>TxSplint!N55</f>
        <v>1.0231406744614777</v>
      </c>
      <c r="G11" s="455"/>
      <c r="H11" s="381">
        <f t="shared" si="2"/>
        <v>1.0231406744614777</v>
      </c>
      <c r="I11" s="382">
        <f>TnSplint!N55</f>
        <v>-2.5383147904345211</v>
      </c>
      <c r="J11" s="455"/>
      <c r="K11" s="381">
        <f t="shared" si="3"/>
        <v>-2.5383147904345211</v>
      </c>
      <c r="L11" s="383"/>
      <c r="M11" s="455">
        <v>0.2</v>
      </c>
      <c r="N11" s="384"/>
    </row>
    <row r="12" spans="1:14">
      <c r="A12" s="444">
        <f>Input!B28</f>
        <v>37993</v>
      </c>
      <c r="B12" s="44">
        <f t="shared" si="0"/>
        <v>7</v>
      </c>
      <c r="C12" s="380">
        <f>PMSplint!T56</f>
        <v>0.2602343339434332</v>
      </c>
      <c r="D12" s="500">
        <v>0.74494176690550129</v>
      </c>
      <c r="E12" s="381">
        <f t="shared" si="1"/>
        <v>0.74494176690550129</v>
      </c>
      <c r="F12" s="382">
        <f>TxSplint!N56</f>
        <v>1.0605041699794699</v>
      </c>
      <c r="G12" s="455"/>
      <c r="H12" s="381">
        <f t="shared" si="2"/>
        <v>1.0605041699794699</v>
      </c>
      <c r="I12" s="382">
        <f>TnSplint!N56</f>
        <v>-2.5570390675255013</v>
      </c>
      <c r="J12" s="455"/>
      <c r="K12" s="381">
        <f t="shared" si="3"/>
        <v>-2.5570390675255013</v>
      </c>
      <c r="L12" s="383"/>
      <c r="M12" s="455">
        <v>0</v>
      </c>
      <c r="N12" s="384"/>
    </row>
    <row r="13" spans="1:14">
      <c r="A13" s="444">
        <f>Input!B29</f>
        <v>37994</v>
      </c>
      <c r="B13" s="44">
        <f t="shared" si="0"/>
        <v>8</v>
      </c>
      <c r="C13" s="380">
        <f>PMSplint!T57</f>
        <v>0.26506159337069896</v>
      </c>
      <c r="D13" s="500">
        <v>0.26305806961331835</v>
      </c>
      <c r="E13" s="381">
        <f t="shared" si="1"/>
        <v>0.26305806961331835</v>
      </c>
      <c r="F13" s="382">
        <f>TxSplint!N57</f>
        <v>1.0948401822476554</v>
      </c>
      <c r="G13" s="455"/>
      <c r="H13" s="381">
        <f t="shared" si="2"/>
        <v>1.0948401822476554</v>
      </c>
      <c r="I13" s="382">
        <f>TnSplint!N57</f>
        <v>-2.5777175298868671</v>
      </c>
      <c r="J13" s="455"/>
      <c r="K13" s="381">
        <f t="shared" si="3"/>
        <v>-2.5777175298868671</v>
      </c>
      <c r="L13" s="383"/>
      <c r="M13" s="455">
        <v>0</v>
      </c>
      <c r="N13" s="384"/>
    </row>
    <row r="14" spans="1:14">
      <c r="A14" s="444">
        <f>Input!B30</f>
        <v>37995</v>
      </c>
      <c r="B14" s="44">
        <f t="shared" si="0"/>
        <v>9</v>
      </c>
      <c r="C14" s="380">
        <f>PMSplint!T58</f>
        <v>0.26967657038727227</v>
      </c>
      <c r="D14" s="500">
        <v>0.33856750769321325</v>
      </c>
      <c r="E14" s="381">
        <f t="shared" si="1"/>
        <v>0.33856750769321325</v>
      </c>
      <c r="F14" s="382">
        <f>TxSplint!N58</f>
        <v>1.1248802378209337</v>
      </c>
      <c r="G14" s="455"/>
      <c r="H14" s="381">
        <f t="shared" si="2"/>
        <v>1.1248802378209337</v>
      </c>
      <c r="I14" s="382">
        <f>TnSplint!N58</f>
        <v>-2.6013514438113967</v>
      </c>
      <c r="J14" s="455"/>
      <c r="K14" s="381">
        <f t="shared" si="3"/>
        <v>-2.6013514438113967</v>
      </c>
      <c r="L14" s="383"/>
      <c r="M14" s="455">
        <v>0</v>
      </c>
      <c r="N14" s="384"/>
    </row>
    <row r="15" spans="1:14">
      <c r="A15" s="444">
        <f>Input!B31</f>
        <v>37996</v>
      </c>
      <c r="B15" s="44">
        <f t="shared" si="0"/>
        <v>10</v>
      </c>
      <c r="C15" s="380">
        <f>PMSplint!T59</f>
        <v>0.27402732745990005</v>
      </c>
      <c r="D15" s="500">
        <v>0.26807099555554398</v>
      </c>
      <c r="E15" s="381">
        <f t="shared" si="1"/>
        <v>0.26807099555554398</v>
      </c>
      <c r="F15" s="382">
        <f>TxSplint!N59</f>
        <v>1.1493558632542045</v>
      </c>
      <c r="G15" s="455"/>
      <c r="H15" s="381">
        <f t="shared" si="2"/>
        <v>1.1493558632542045</v>
      </c>
      <c r="I15" s="382">
        <f>TnSplint!N59</f>
        <v>-2.6289420755918695</v>
      </c>
      <c r="J15" s="455"/>
      <c r="K15" s="381">
        <f t="shared" si="3"/>
        <v>-2.6289420755918695</v>
      </c>
      <c r="L15" s="383"/>
      <c r="M15" s="455">
        <v>0</v>
      </c>
      <c r="N15" s="384"/>
    </row>
    <row r="16" spans="1:14">
      <c r="A16" s="444">
        <f>Input!B32</f>
        <v>37997</v>
      </c>
      <c r="B16" s="44">
        <f t="shared" si="0"/>
        <v>11</v>
      </c>
      <c r="C16" s="380">
        <f>PMSplint!T60</f>
        <v>0.27806192705532923</v>
      </c>
      <c r="D16" s="500">
        <v>0.16986159983607474</v>
      </c>
      <c r="E16" s="381">
        <f t="shared" si="1"/>
        <v>0.16986159983607474</v>
      </c>
      <c r="F16" s="382">
        <f>TxSplint!N60</f>
        <v>1.1669985851023679</v>
      </c>
      <c r="G16" s="455"/>
      <c r="H16" s="381">
        <f t="shared" si="2"/>
        <v>1.1669985851023679</v>
      </c>
      <c r="I16" s="382">
        <f>TnSplint!N60</f>
        <v>-2.6614906915210645</v>
      </c>
      <c r="J16" s="455"/>
      <c r="K16" s="381">
        <f t="shared" si="3"/>
        <v>-2.6614906915210645</v>
      </c>
      <c r="L16" s="383"/>
      <c r="M16" s="455">
        <v>0</v>
      </c>
      <c r="N16" s="384"/>
    </row>
    <row r="17" spans="1:14">
      <c r="A17" s="444">
        <f>Input!B33</f>
        <v>37998</v>
      </c>
      <c r="B17" s="44">
        <f t="shared" si="0"/>
        <v>12</v>
      </c>
      <c r="C17" s="380">
        <f>PMSplint!T61</f>
        <v>0.28172843164030686</v>
      </c>
      <c r="D17" s="500">
        <v>0.23636606815417283</v>
      </c>
      <c r="E17" s="381">
        <f t="shared" si="1"/>
        <v>0.23636606815417283</v>
      </c>
      <c r="F17" s="382">
        <f>TxSplint!N61</f>
        <v>1.1765399299203225</v>
      </c>
      <c r="G17" s="455"/>
      <c r="H17" s="381">
        <f t="shared" si="2"/>
        <v>1.1765399299203225</v>
      </c>
      <c r="I17" s="382">
        <f>TnSplint!N61</f>
        <v>-2.6999985578917607</v>
      </c>
      <c r="J17" s="455"/>
      <c r="K17" s="381">
        <f t="shared" si="3"/>
        <v>-2.6999985578917607</v>
      </c>
      <c r="L17" s="383"/>
      <c r="M17" s="455">
        <v>0</v>
      </c>
      <c r="N17" s="384"/>
    </row>
    <row r="18" spans="1:14">
      <c r="A18" s="444">
        <f>Input!B34</f>
        <v>37999</v>
      </c>
      <c r="B18" s="44">
        <f t="shared" si="0"/>
        <v>13</v>
      </c>
      <c r="C18" s="380">
        <f>PMSplint!T62</f>
        <v>0.28497490368157985</v>
      </c>
      <c r="D18" s="500">
        <v>0.19150336319124778</v>
      </c>
      <c r="E18" s="381">
        <f t="shared" si="1"/>
        <v>0.19150336319124778</v>
      </c>
      <c r="F18" s="382">
        <f>TxSplint!N62</f>
        <v>1.1767114242629695</v>
      </c>
      <c r="G18" s="455"/>
      <c r="H18" s="381">
        <f t="shared" si="2"/>
        <v>1.1767114242629695</v>
      </c>
      <c r="I18" s="382">
        <f>TnSplint!N62</f>
        <v>-2.7454669409967365</v>
      </c>
      <c r="J18" s="455"/>
      <c r="K18" s="381">
        <f t="shared" si="3"/>
        <v>-2.7454669409967365</v>
      </c>
      <c r="L18" s="383"/>
      <c r="M18" s="455">
        <v>0.2</v>
      </c>
      <c r="N18" s="384"/>
    </row>
    <row r="19" spans="1:14">
      <c r="A19" s="444">
        <f>Input!B35</f>
        <v>38000</v>
      </c>
      <c r="B19" s="44">
        <f t="shared" si="0"/>
        <v>14</v>
      </c>
      <c r="C19" s="380">
        <f>PMSplint!T63</f>
        <v>0.28774940564589524</v>
      </c>
      <c r="D19" s="500">
        <v>0.16723499167272959</v>
      </c>
      <c r="E19" s="381">
        <f t="shared" si="1"/>
        <v>0.16723499167272959</v>
      </c>
      <c r="F19" s="382">
        <f>TxSplint!N63</f>
        <v>1.1662445946852065</v>
      </c>
      <c r="G19" s="455"/>
      <c r="H19" s="381">
        <f t="shared" si="2"/>
        <v>1.1662445946852065</v>
      </c>
      <c r="I19" s="382">
        <f>TnSplint!N63</f>
        <v>-2.7988971071287714</v>
      </c>
      <c r="J19" s="455"/>
      <c r="K19" s="381">
        <f t="shared" si="3"/>
        <v>-2.7988971071287714</v>
      </c>
      <c r="L19" s="383"/>
      <c r="M19" s="455">
        <v>0.2</v>
      </c>
      <c r="N19" s="384"/>
    </row>
    <row r="20" spans="1:14">
      <c r="A20" s="444">
        <f>Input!B36</f>
        <v>38001</v>
      </c>
      <c r="B20" s="44">
        <f t="shared" si="0"/>
        <v>15</v>
      </c>
      <c r="C20" s="380">
        <f>PMSplint!T64</f>
        <v>0.28999999999999998</v>
      </c>
      <c r="D20" s="500">
        <v>0.18422309026983519</v>
      </c>
      <c r="E20" s="381">
        <f t="shared" si="1"/>
        <v>0.18422309026983519</v>
      </c>
      <c r="F20" s="382">
        <f>TxSplint!N64</f>
        <v>1.143870967741935</v>
      </c>
      <c r="G20" s="455"/>
      <c r="H20" s="381">
        <f t="shared" si="2"/>
        <v>1.143870967741935</v>
      </c>
      <c r="I20" s="382">
        <f>TnSplint!N64</f>
        <v>-2.8612903225806448</v>
      </c>
      <c r="J20" s="455"/>
      <c r="K20" s="381">
        <f t="shared" si="3"/>
        <v>-2.8612903225806448</v>
      </c>
      <c r="L20" s="383"/>
      <c r="M20" s="455">
        <v>0.2</v>
      </c>
      <c r="N20" s="384"/>
    </row>
    <row r="21" spans="1:14">
      <c r="A21" s="444">
        <f>Input!B37</f>
        <v>38002</v>
      </c>
      <c r="B21" s="44">
        <f t="shared" si="0"/>
        <v>16</v>
      </c>
      <c r="C21" s="380">
        <f>PMSplint!T65</f>
        <v>0.29169662806993923</v>
      </c>
      <c r="D21" s="500">
        <v>0.27350161522473587</v>
      </c>
      <c r="E21" s="381">
        <f t="shared" si="1"/>
        <v>0.27350161522473587</v>
      </c>
      <c r="F21" s="382">
        <f>TxSplint!N65</f>
        <v>1.1087574733536161</v>
      </c>
      <c r="G21" s="455"/>
      <c r="H21" s="381">
        <f t="shared" si="2"/>
        <v>1.1087574733536161</v>
      </c>
      <c r="I21" s="382">
        <f>TnSplint!N65</f>
        <v>-2.9333086887511195</v>
      </c>
      <c r="J21" s="455"/>
      <c r="K21" s="381">
        <f t="shared" si="3"/>
        <v>-2.9333086887511195</v>
      </c>
      <c r="L21" s="383"/>
      <c r="M21" s="455">
        <v>0</v>
      </c>
      <c r="N21" s="384"/>
    </row>
    <row r="22" spans="1:14">
      <c r="A22" s="444">
        <f>Input!B38</f>
        <v>38003</v>
      </c>
      <c r="B22" s="44">
        <f t="shared" si="0"/>
        <v>17</v>
      </c>
      <c r="C22" s="380">
        <f>PMSplint!T66</f>
        <v>0.29289674661895093</v>
      </c>
      <c r="D22" s="500">
        <v>0.20161528149186347</v>
      </c>
      <c r="E22" s="381">
        <f t="shared" si="1"/>
        <v>0.20161528149186347</v>
      </c>
      <c r="F22" s="382">
        <f>TxSplint!N66</f>
        <v>1.0618126549029612</v>
      </c>
      <c r="G22" s="455"/>
      <c r="H22" s="381">
        <f t="shared" si="2"/>
        <v>1.0618126549029612</v>
      </c>
      <c r="I22" s="382">
        <f>TnSplint!N66</f>
        <v>-3.0142576474628928</v>
      </c>
      <c r="J22" s="455"/>
      <c r="K22" s="381">
        <f t="shared" si="3"/>
        <v>-3.0142576474628928</v>
      </c>
      <c r="L22" s="383"/>
      <c r="M22" s="455">
        <v>0</v>
      </c>
      <c r="N22" s="384"/>
    </row>
    <row r="23" spans="1:14">
      <c r="A23" s="444">
        <f>Input!B39</f>
        <v>38004</v>
      </c>
      <c r="B23" s="44">
        <f t="shared" si="0"/>
        <v>18</v>
      </c>
      <c r="C23" s="380">
        <f>PMSplint!T67</f>
        <v>0.29367969126957127</v>
      </c>
      <c r="D23" s="500">
        <v>0.2290955615783985</v>
      </c>
      <c r="E23" s="381">
        <f t="shared" si="1"/>
        <v>0.2290955615783985</v>
      </c>
      <c r="F23" s="382">
        <f>TxSplint!N67</f>
        <v>1.0043804591382428</v>
      </c>
      <c r="G23" s="455"/>
      <c r="H23" s="381">
        <f t="shared" si="2"/>
        <v>1.0043804591382428</v>
      </c>
      <c r="I23" s="382">
        <f>TnSplint!N67</f>
        <v>-3.1031034756446507</v>
      </c>
      <c r="J23" s="455"/>
      <c r="K23" s="381">
        <f t="shared" si="3"/>
        <v>-3.1031034756446507</v>
      </c>
      <c r="L23" s="383"/>
      <c r="M23" s="455">
        <v>0</v>
      </c>
      <c r="N23" s="384"/>
    </row>
    <row r="24" spans="1:14">
      <c r="A24" s="444">
        <f>Input!B40</f>
        <v>38005</v>
      </c>
      <c r="B24" s="44">
        <f t="shared" si="0"/>
        <v>19</v>
      </c>
      <c r="C24" s="380">
        <f>PMSplint!T68</f>
        <v>0.2941247976443363</v>
      </c>
      <c r="D24" s="500">
        <v>0.22358121107988677</v>
      </c>
      <c r="E24" s="381">
        <f t="shared" si="1"/>
        <v>0.22358121107988677</v>
      </c>
      <c r="F24" s="382">
        <f>TxSplint!N68</f>
        <v>0.93780483280773563</v>
      </c>
      <c r="G24" s="455"/>
      <c r="H24" s="381">
        <f t="shared" si="2"/>
        <v>0.93780483280773563</v>
      </c>
      <c r="I24" s="382">
        <f>TnSplint!N68</f>
        <v>-3.1988124502250739</v>
      </c>
      <c r="J24" s="455"/>
      <c r="K24" s="381">
        <f t="shared" si="3"/>
        <v>-3.1988124502250739</v>
      </c>
      <c r="L24" s="383"/>
      <c r="M24" s="455">
        <v>0</v>
      </c>
      <c r="N24" s="384"/>
    </row>
    <row r="25" spans="1:14">
      <c r="A25" s="444">
        <f>Input!B41</f>
        <v>38006</v>
      </c>
      <c r="B25" s="44">
        <f t="shared" si="0"/>
        <v>20</v>
      </c>
      <c r="C25" s="380">
        <f>PMSplint!T69</f>
        <v>0.29431140136578215</v>
      </c>
      <c r="D25" s="500">
        <v>0.26804063791324378</v>
      </c>
      <c r="E25" s="381">
        <f t="shared" si="1"/>
        <v>0.26804063791324378</v>
      </c>
      <c r="F25" s="382">
        <f>TxSplint!N69</f>
        <v>0.86342972265971241</v>
      </c>
      <c r="G25" s="455"/>
      <c r="H25" s="381">
        <f t="shared" si="2"/>
        <v>0.86342972265971241</v>
      </c>
      <c r="I25" s="382">
        <f>TnSplint!N69</f>
        <v>-3.3003508481328465</v>
      </c>
      <c r="J25" s="455"/>
      <c r="K25" s="381">
        <f t="shared" si="3"/>
        <v>-3.3003508481328465</v>
      </c>
      <c r="L25" s="383"/>
      <c r="M25" s="455">
        <v>0.2</v>
      </c>
      <c r="N25" s="384"/>
    </row>
    <row r="26" spans="1:14">
      <c r="A26" s="444">
        <f>Input!B42</f>
        <v>38007</v>
      </c>
      <c r="B26" s="44">
        <f t="shared" si="0"/>
        <v>21</v>
      </c>
      <c r="C26" s="380">
        <f>PMSplint!T70</f>
        <v>0.29431883805644499</v>
      </c>
      <c r="D26" s="500">
        <v>0.28864348777884957</v>
      </c>
      <c r="E26" s="381">
        <f t="shared" si="1"/>
        <v>0.28864348777884957</v>
      </c>
      <c r="F26" s="382">
        <f>TxSplint!N70</f>
        <v>0.78259907544244722</v>
      </c>
      <c r="G26" s="455"/>
      <c r="H26" s="381">
        <f t="shared" si="2"/>
        <v>0.78259907544244722</v>
      </c>
      <c r="I26" s="382">
        <f>TnSplint!N70</f>
        <v>-3.4066849462966511</v>
      </c>
      <c r="J26" s="455"/>
      <c r="K26" s="381">
        <f t="shared" si="3"/>
        <v>-3.4066849462966511</v>
      </c>
      <c r="L26" s="383"/>
      <c r="M26" s="455">
        <v>0.2</v>
      </c>
      <c r="N26" s="384"/>
    </row>
    <row r="27" spans="1:14">
      <c r="A27" s="444">
        <f>Input!B43</f>
        <v>38008</v>
      </c>
      <c r="B27" s="44">
        <f t="shared" si="0"/>
        <v>22</v>
      </c>
      <c r="C27" s="380">
        <f>PMSplint!T71</f>
        <v>0.294226443338861</v>
      </c>
      <c r="D27" s="500">
        <v>0.24714464880057616</v>
      </c>
      <c r="E27" s="381">
        <f t="shared" si="1"/>
        <v>0.24714464880057616</v>
      </c>
      <c r="F27" s="382">
        <f>TxSplint!N71</f>
        <v>0.69665683790421284</v>
      </c>
      <c r="G27" s="455"/>
      <c r="H27" s="381">
        <f t="shared" si="2"/>
        <v>0.69665683790421284</v>
      </c>
      <c r="I27" s="382">
        <f>TnSplint!N71</f>
        <v>-3.5167810216451714</v>
      </c>
      <c r="J27" s="455"/>
      <c r="K27" s="381">
        <f t="shared" si="3"/>
        <v>-3.5167810216451714</v>
      </c>
      <c r="L27" s="383"/>
      <c r="M27" s="455">
        <v>0.2</v>
      </c>
      <c r="N27" s="384"/>
    </row>
    <row r="28" spans="1:14">
      <c r="A28" s="444">
        <f>Input!B44</f>
        <v>38009</v>
      </c>
      <c r="B28" s="44">
        <f t="shared" si="0"/>
        <v>23</v>
      </c>
      <c r="C28" s="380">
        <f>PMSplint!T72</f>
        <v>0.29411355283556617</v>
      </c>
      <c r="D28" s="500">
        <v>0.26637772951772098</v>
      </c>
      <c r="E28" s="381">
        <f t="shared" si="1"/>
        <v>0.26637772951772098</v>
      </c>
      <c r="F28" s="382">
        <f>TxSplint!N72</f>
        <v>0.60694695679328281</v>
      </c>
      <c r="G28" s="455"/>
      <c r="H28" s="381">
        <f t="shared" si="2"/>
        <v>0.60694695679328281</v>
      </c>
      <c r="I28" s="382">
        <f>TnSplint!N72</f>
        <v>-3.6296053511070889</v>
      </c>
      <c r="J28" s="455"/>
      <c r="K28" s="381">
        <f t="shared" si="3"/>
        <v>-3.6296053511070889</v>
      </c>
      <c r="L28" s="383"/>
      <c r="M28" s="455">
        <v>0</v>
      </c>
      <c r="N28" s="384"/>
    </row>
    <row r="29" spans="1:14">
      <c r="A29" s="444">
        <f>Input!B45</f>
        <v>38010</v>
      </c>
      <c r="B29" s="44">
        <f t="shared" si="0"/>
        <v>24</v>
      </c>
      <c r="C29" s="380">
        <f>PMSplint!T73</f>
        <v>0.29405950216909676</v>
      </c>
      <c r="D29" s="500">
        <v>0.29309055308982468</v>
      </c>
      <c r="E29" s="381">
        <f t="shared" si="1"/>
        <v>0.29309055308982468</v>
      </c>
      <c r="F29" s="382">
        <f>TxSplint!N73</f>
        <v>0.51481337885793099</v>
      </c>
      <c r="G29" s="455"/>
      <c r="H29" s="381">
        <f t="shared" si="2"/>
        <v>0.51481337885793099</v>
      </c>
      <c r="I29" s="382">
        <f>TnSplint!N73</f>
        <v>-3.7441242116110889</v>
      </c>
      <c r="J29" s="455"/>
      <c r="K29" s="381">
        <f t="shared" si="3"/>
        <v>-3.7441242116110889</v>
      </c>
      <c r="L29" s="383"/>
      <c r="M29" s="455">
        <v>0.4</v>
      </c>
      <c r="N29" s="384"/>
    </row>
    <row r="30" spans="1:14">
      <c r="A30" s="444">
        <f>Input!B46</f>
        <v>38011</v>
      </c>
      <c r="B30" s="44">
        <f t="shared" si="0"/>
        <v>25</v>
      </c>
      <c r="C30" s="380">
        <f>PMSplint!T74</f>
        <v>0.29414362696198881</v>
      </c>
      <c r="D30" s="500">
        <v>0.31307647208209932</v>
      </c>
      <c r="E30" s="381">
        <f t="shared" si="1"/>
        <v>0.31307647208209932</v>
      </c>
      <c r="F30" s="382">
        <f>TxSplint!N74</f>
        <v>0.42160005084643126</v>
      </c>
      <c r="G30" s="455"/>
      <c r="H30" s="381">
        <f t="shared" si="2"/>
        <v>0.42160005084643126</v>
      </c>
      <c r="I30" s="382">
        <f>TnSplint!N74</f>
        <v>-3.8593038800858515</v>
      </c>
      <c r="J30" s="455"/>
      <c r="K30" s="381">
        <f t="shared" si="3"/>
        <v>-3.8593038800858515</v>
      </c>
      <c r="L30" s="383"/>
      <c r="M30" s="455">
        <v>0</v>
      </c>
      <c r="N30" s="384"/>
    </row>
    <row r="31" spans="1:14">
      <c r="A31" s="444">
        <f>Input!B47</f>
        <v>38012</v>
      </c>
      <c r="B31" s="44">
        <f t="shared" si="0"/>
        <v>26</v>
      </c>
      <c r="C31" s="380">
        <f>PMSplint!T75</f>
        <v>0.29444526283677852</v>
      </c>
      <c r="D31" s="500">
        <v>0.23124500724166852</v>
      </c>
      <c r="E31" s="381">
        <f t="shared" si="1"/>
        <v>0.23124500724166852</v>
      </c>
      <c r="F31" s="382">
        <f>TxSplint!N75</f>
        <v>0.32865091950705594</v>
      </c>
      <c r="G31" s="455"/>
      <c r="H31" s="381">
        <f t="shared" si="2"/>
        <v>0.32865091950705594</v>
      </c>
      <c r="I31" s="382">
        <f>TnSplint!N75</f>
        <v>-3.9741106334600618</v>
      </c>
      <c r="J31" s="455"/>
      <c r="K31" s="381">
        <f t="shared" si="3"/>
        <v>-3.9741106334600618</v>
      </c>
      <c r="L31" s="383"/>
      <c r="M31" s="455">
        <v>0</v>
      </c>
      <c r="N31" s="384"/>
    </row>
    <row r="32" spans="1:14">
      <c r="A32" s="444">
        <f>Input!B48</f>
        <v>38013</v>
      </c>
      <c r="B32" s="44">
        <f t="shared" si="0"/>
        <v>27</v>
      </c>
      <c r="C32" s="380">
        <f>PMSplint!T76</f>
        <v>0.29504374541600198</v>
      </c>
      <c r="D32" s="500">
        <v>0.2718053562480085</v>
      </c>
      <c r="E32" s="381">
        <f t="shared" si="1"/>
        <v>0.2718053562480085</v>
      </c>
      <c r="F32" s="382">
        <f>TxSplint!N76</f>
        <v>0.23730993158807878</v>
      </c>
      <c r="G32" s="455"/>
      <c r="H32" s="381">
        <f t="shared" si="2"/>
        <v>0.23730993158807878</v>
      </c>
      <c r="I32" s="382">
        <f>TnSplint!N76</f>
        <v>-4.0875107486624014</v>
      </c>
      <c r="J32" s="455"/>
      <c r="K32" s="381">
        <f t="shared" si="3"/>
        <v>-4.0875107486624014</v>
      </c>
      <c r="L32" s="383"/>
      <c r="M32" s="455">
        <v>0</v>
      </c>
      <c r="N32" s="384"/>
    </row>
    <row r="33" spans="1:14">
      <c r="A33" s="444">
        <f>Input!B49</f>
        <v>38014</v>
      </c>
      <c r="B33" s="44">
        <f t="shared" si="0"/>
        <v>28</v>
      </c>
      <c r="C33" s="380">
        <f>PMSplint!T77</f>
        <v>0.29601841032219528</v>
      </c>
      <c r="D33" s="500">
        <v>0.3157483417393101</v>
      </c>
      <c r="E33" s="381">
        <f t="shared" si="1"/>
        <v>0.3157483417393101</v>
      </c>
      <c r="F33" s="382">
        <f>TxSplint!N77</f>
        <v>0.14892103383777344</v>
      </c>
      <c r="G33" s="455"/>
      <c r="H33" s="381">
        <f t="shared" si="2"/>
        <v>0.14892103383777344</v>
      </c>
      <c r="I33" s="382">
        <f>TnSplint!N77</f>
        <v>-4.1984705026215563</v>
      </c>
      <c r="J33" s="455"/>
      <c r="K33" s="381">
        <f t="shared" si="3"/>
        <v>-4.1984705026215563</v>
      </c>
      <c r="L33" s="383"/>
      <c r="M33" s="455">
        <v>0</v>
      </c>
      <c r="N33" s="384"/>
    </row>
    <row r="34" spans="1:14">
      <c r="A34" s="444">
        <f>Input!B50</f>
        <v>38015</v>
      </c>
      <c r="B34" s="44">
        <f t="shared" si="0"/>
        <v>29</v>
      </c>
      <c r="C34" s="380">
        <f>PMSplint!T78</f>
        <v>0.29744859317789463</v>
      </c>
      <c r="D34" s="500">
        <v>0.7281902108347631</v>
      </c>
      <c r="E34" s="381">
        <f t="shared" si="1"/>
        <v>0.7281902108347631</v>
      </c>
      <c r="F34" s="382">
        <f>TxSplint!N78</f>
        <v>6.4828173004413681E-2</v>
      </c>
      <c r="G34" s="455"/>
      <c r="H34" s="381">
        <f t="shared" si="2"/>
        <v>6.4828173004413681E-2</v>
      </c>
      <c r="I34" s="382">
        <f>TnSplint!N78</f>
        <v>-4.305956172266205</v>
      </c>
      <c r="J34" s="455"/>
      <c r="K34" s="381">
        <f t="shared" si="3"/>
        <v>-4.305956172266205</v>
      </c>
      <c r="L34" s="383"/>
      <c r="M34" s="455">
        <v>0</v>
      </c>
      <c r="N34" s="384"/>
    </row>
    <row r="35" spans="1:14" ht="15.75">
      <c r="A35" s="444">
        <f>Input!B51</f>
        <v>38016</v>
      </c>
      <c r="B35" s="44">
        <f t="shared" si="0"/>
        <v>30</v>
      </c>
      <c r="C35" s="380">
        <f>PMSplint!T79</f>
        <v>0.29941362960563611</v>
      </c>
      <c r="D35" s="500">
        <v>0.52118754722097038</v>
      </c>
      <c r="E35" s="381">
        <f t="shared" si="1"/>
        <v>0.52118754722097038</v>
      </c>
      <c r="F35" s="382">
        <f>TxSplint!N79</f>
        <v>-1.3624704163727519E-2</v>
      </c>
      <c r="G35" s="455"/>
      <c r="H35" s="381">
        <f t="shared" si="2"/>
        <v>-1.3624704163727519E-2</v>
      </c>
      <c r="I35" s="382">
        <f>TnSplint!N79</f>
        <v>-4.4089340345250339</v>
      </c>
      <c r="J35" s="455"/>
      <c r="K35" s="381">
        <f t="shared" si="3"/>
        <v>-4.4089340345250339</v>
      </c>
      <c r="L35" s="383"/>
      <c r="M35" s="474">
        <v>0</v>
      </c>
      <c r="N35" s="384"/>
    </row>
    <row r="36" spans="1:14" ht="15.75">
      <c r="A36" s="444">
        <f>Input!B52</f>
        <v>38017</v>
      </c>
      <c r="B36" s="44">
        <f t="shared" si="0"/>
        <v>31</v>
      </c>
      <c r="C36" s="380">
        <f>PMSplint!T80</f>
        <v>0.30199285522795583</v>
      </c>
      <c r="D36" s="500">
        <v>0.4462916169068708</v>
      </c>
      <c r="E36" s="381">
        <f t="shared" si="1"/>
        <v>0.4462916169068708</v>
      </c>
      <c r="F36" s="382">
        <f>TxSplint!N80</f>
        <v>-8.5093650918376618E-2</v>
      </c>
      <c r="G36" s="455"/>
      <c r="H36" s="381">
        <f t="shared" si="2"/>
        <v>-8.5093650918376618E-2</v>
      </c>
      <c r="I36" s="382">
        <f>TnSplint!N80</f>
        <v>-4.5063703663267258</v>
      </c>
      <c r="J36" s="455"/>
      <c r="K36" s="381">
        <f t="shared" si="3"/>
        <v>-4.5063703663267258</v>
      </c>
      <c r="L36" s="383"/>
      <c r="M36" s="474">
        <v>0</v>
      </c>
      <c r="N36" s="384"/>
    </row>
    <row r="37" spans="1:14" ht="15.75">
      <c r="A37" s="444">
        <f>Input!B53</f>
        <v>38018</v>
      </c>
      <c r="B37" s="44">
        <f t="shared" si="0"/>
        <v>32</v>
      </c>
      <c r="C37" s="380">
        <f>PMSplint!T81</f>
        <v>0.30526560566738997</v>
      </c>
      <c r="D37" s="500">
        <v>0.34063662232689529</v>
      </c>
      <c r="E37" s="381">
        <f t="shared" si="1"/>
        <v>0.34063662232689529</v>
      </c>
      <c r="F37" s="382">
        <f>TxSplint!N81</f>
        <v>-0.14823472051126008</v>
      </c>
      <c r="G37" s="455"/>
      <c r="H37" s="381">
        <f t="shared" si="2"/>
        <v>-0.14823472051126008</v>
      </c>
      <c r="I37" s="382">
        <f>TnSplint!N81</f>
        <v>-4.5972314445999611</v>
      </c>
      <c r="J37" s="455"/>
      <c r="K37" s="381">
        <f t="shared" si="3"/>
        <v>-4.5972314445999611</v>
      </c>
      <c r="L37" s="383"/>
      <c r="M37" s="474">
        <v>0</v>
      </c>
      <c r="N37" s="384"/>
    </row>
    <row r="38" spans="1:14" ht="15.75">
      <c r="A38" s="444">
        <f>Input!B54</f>
        <v>38019</v>
      </c>
      <c r="B38" s="44">
        <f t="shared" si="0"/>
        <v>33</v>
      </c>
      <c r="C38" s="380">
        <f>PMSplint!T82</f>
        <v>0.3093112165464747</v>
      </c>
      <c r="D38" s="500">
        <v>0.58582927143330044</v>
      </c>
      <c r="E38" s="381">
        <f t="shared" si="1"/>
        <v>0.58582927143330044</v>
      </c>
      <c r="F38" s="382">
        <f>TxSplint!N82</f>
        <v>-0.20170396619410402</v>
      </c>
      <c r="G38" s="455"/>
      <c r="H38" s="381">
        <f t="shared" si="2"/>
        <v>-0.20170396619410402</v>
      </c>
      <c r="I38" s="382">
        <f>TnSplint!N82</f>
        <v>-4.6804835462734262</v>
      </c>
      <c r="J38" s="455"/>
      <c r="K38" s="381">
        <f t="shared" si="3"/>
        <v>-4.6804835462734262</v>
      </c>
      <c r="L38" s="383"/>
      <c r="M38" s="474">
        <v>0.2</v>
      </c>
      <c r="N38" s="384"/>
    </row>
    <row r="39" spans="1:14" ht="15.75">
      <c r="A39" s="444">
        <f>Input!B55</f>
        <v>38020</v>
      </c>
      <c r="B39" s="44">
        <f t="shared" si="0"/>
        <v>34</v>
      </c>
      <c r="C39" s="380">
        <f>PMSplint!T83</f>
        <v>0.31420902348774604</v>
      </c>
      <c r="D39" s="500">
        <v>0.43557071163111061</v>
      </c>
      <c r="E39" s="381">
        <f t="shared" si="1"/>
        <v>0.43557071163111061</v>
      </c>
      <c r="F39" s="382">
        <f>TxSplint!N83</f>
        <v>-0.24415744121863603</v>
      </c>
      <c r="G39" s="455"/>
      <c r="H39" s="381">
        <f t="shared" si="2"/>
        <v>-0.24415744121863603</v>
      </c>
      <c r="I39" s="382">
        <f>TnSplint!N83</f>
        <v>-4.7550929482758022</v>
      </c>
      <c r="J39" s="455"/>
      <c r="K39" s="381">
        <f t="shared" si="3"/>
        <v>-4.7550929482758022</v>
      </c>
      <c r="L39" s="383"/>
      <c r="M39" s="474">
        <v>0.2</v>
      </c>
      <c r="N39" s="384"/>
    </row>
    <row r="40" spans="1:14" ht="15.75">
      <c r="A40" s="444">
        <f>Input!B56</f>
        <v>38021</v>
      </c>
      <c r="B40" s="44">
        <f t="shared" si="0"/>
        <v>35</v>
      </c>
      <c r="C40" s="380">
        <f>PMSplint!T84</f>
        <v>0.3200383621137402</v>
      </c>
      <c r="D40" s="500">
        <v>0.29668482018556935</v>
      </c>
      <c r="E40" s="381">
        <f t="shared" si="1"/>
        <v>0.29668482018556935</v>
      </c>
      <c r="F40" s="382">
        <f>TxSplint!N84</f>
        <v>-0.27425119883658189</v>
      </c>
      <c r="G40" s="455"/>
      <c r="H40" s="381">
        <f t="shared" si="2"/>
        <v>-0.27425119883658189</v>
      </c>
      <c r="I40" s="382">
        <f>TnSplint!N84</f>
        <v>-4.820025927535772</v>
      </c>
      <c r="J40" s="455"/>
      <c r="K40" s="381">
        <f t="shared" si="3"/>
        <v>-4.820025927535772</v>
      </c>
      <c r="L40" s="383"/>
      <c r="M40" s="474">
        <v>0.2</v>
      </c>
      <c r="N40" s="384"/>
    </row>
    <row r="41" spans="1:14" ht="15.75">
      <c r="A41" s="444">
        <f>Input!B57</f>
        <v>38022</v>
      </c>
      <c r="B41" s="44">
        <f t="shared" si="0"/>
        <v>36</v>
      </c>
      <c r="C41" s="380">
        <f>PMSplint!T85</f>
        <v>0.32687856804699328</v>
      </c>
      <c r="D41" s="500">
        <v>0.29163966521745566</v>
      </c>
      <c r="E41" s="381">
        <f t="shared" si="1"/>
        <v>0.29163966521745566</v>
      </c>
      <c r="F41" s="382">
        <f>TxSplint!N85</f>
        <v>-0.2906412922996684</v>
      </c>
      <c r="G41" s="455"/>
      <c r="H41" s="381">
        <f t="shared" si="2"/>
        <v>-0.2906412922996684</v>
      </c>
      <c r="I41" s="382">
        <f>TnSplint!N85</f>
        <v>-4.8742487609820184</v>
      </c>
      <c r="J41" s="455"/>
      <c r="K41" s="381">
        <f t="shared" si="3"/>
        <v>-4.8742487609820184</v>
      </c>
      <c r="L41" s="383"/>
      <c r="M41" s="474">
        <v>0</v>
      </c>
      <c r="N41" s="384"/>
    </row>
    <row r="42" spans="1:14" ht="15.75">
      <c r="A42" s="444">
        <f>Input!B58</f>
        <v>38023</v>
      </c>
      <c r="B42" s="44">
        <f t="shared" si="0"/>
        <v>37</v>
      </c>
      <c r="C42" s="380">
        <f>PMSplint!T86</f>
        <v>0.33480897691004141</v>
      </c>
      <c r="D42" s="500">
        <v>0.28112812573389639</v>
      </c>
      <c r="E42" s="381">
        <f t="shared" si="1"/>
        <v>0.28112812573389639</v>
      </c>
      <c r="F42" s="382">
        <f>TxSplint!N86</f>
        <v>-0.29198377485962168</v>
      </c>
      <c r="G42" s="455"/>
      <c r="H42" s="381">
        <f t="shared" si="2"/>
        <v>-0.29198377485962168</v>
      </c>
      <c r="I42" s="382">
        <f>TnSplint!N86</f>
        <v>-4.9167277255432262</v>
      </c>
      <c r="J42" s="455"/>
      <c r="K42" s="381">
        <f t="shared" si="3"/>
        <v>-4.9167277255432262</v>
      </c>
      <c r="L42" s="383"/>
      <c r="M42" s="474">
        <v>0.4</v>
      </c>
      <c r="N42" s="384"/>
    </row>
    <row r="43" spans="1:14" ht="15.75">
      <c r="A43" s="444">
        <f>Input!B59</f>
        <v>38024</v>
      </c>
      <c r="B43" s="44">
        <f t="shared" si="0"/>
        <v>38</v>
      </c>
      <c r="C43" s="380">
        <f>PMSplint!T87</f>
        <v>0.34390892432542064</v>
      </c>
      <c r="D43" s="500">
        <v>0.37718204673649641</v>
      </c>
      <c r="E43" s="381">
        <f t="shared" si="1"/>
        <v>0.37718204673649641</v>
      </c>
      <c r="F43" s="382">
        <f>TxSplint!N87</f>
        <v>-0.27693469976816898</v>
      </c>
      <c r="G43" s="455"/>
      <c r="H43" s="381">
        <f t="shared" si="2"/>
        <v>-0.27693469976816898</v>
      </c>
      <c r="I43" s="382">
        <f>TnSplint!N87</f>
        <v>-4.9464290981480774</v>
      </c>
      <c r="J43" s="455"/>
      <c r="K43" s="381">
        <f t="shared" si="3"/>
        <v>-4.9464290981480774</v>
      </c>
      <c r="L43" s="383"/>
      <c r="M43" s="474">
        <v>0</v>
      </c>
      <c r="N43" s="384"/>
    </row>
    <row r="44" spans="1:14" ht="15.75">
      <c r="A44" s="444">
        <f>Input!B60</f>
        <v>38025</v>
      </c>
      <c r="B44" s="44">
        <f t="shared" si="0"/>
        <v>39</v>
      </c>
      <c r="C44" s="380">
        <f>PMSplint!T88</f>
        <v>0.35425774591566722</v>
      </c>
      <c r="D44" s="500">
        <v>0.40184909694054805</v>
      </c>
      <c r="E44" s="381">
        <f t="shared" si="1"/>
        <v>0.40184909694054805</v>
      </c>
      <c r="F44" s="382">
        <f>TxSplint!N88</f>
        <v>-0.24415012027703631</v>
      </c>
      <c r="G44" s="455"/>
      <c r="H44" s="381">
        <f t="shared" si="2"/>
        <v>-0.24415012027703631</v>
      </c>
      <c r="I44" s="382">
        <f>TnSplint!N88</f>
        <v>-4.9623191557252539</v>
      </c>
      <c r="J44" s="455"/>
      <c r="K44" s="381">
        <f t="shared" si="3"/>
        <v>-4.9623191557252539</v>
      </c>
      <c r="L44" s="383"/>
      <c r="M44" s="474">
        <v>0</v>
      </c>
      <c r="N44" s="384"/>
    </row>
    <row r="45" spans="1:14" ht="15.75">
      <c r="A45" s="444">
        <f>Input!B61</f>
        <v>38026</v>
      </c>
      <c r="B45" s="44">
        <f t="shared" si="0"/>
        <v>40</v>
      </c>
      <c r="C45" s="380">
        <f>PMSplint!T89</f>
        <v>0.36593477730331719</v>
      </c>
      <c r="D45" s="500">
        <v>0.35697698080417573</v>
      </c>
      <c r="E45" s="381">
        <f t="shared" si="1"/>
        <v>0.35697698080417573</v>
      </c>
      <c r="F45" s="382">
        <f>TxSplint!N89</f>
        <v>-0.19228608963795113</v>
      </c>
      <c r="G45" s="455"/>
      <c r="H45" s="381">
        <f t="shared" si="2"/>
        <v>-0.19228608963795113</v>
      </c>
      <c r="I45" s="382">
        <f>TnSplint!N89</f>
        <v>-4.9633641752034405</v>
      </c>
      <c r="J45" s="455"/>
      <c r="K45" s="381">
        <f t="shared" si="3"/>
        <v>-4.9633641752034405</v>
      </c>
      <c r="L45" s="383"/>
      <c r="M45" s="474">
        <v>0</v>
      </c>
      <c r="N45" s="384"/>
    </row>
    <row r="46" spans="1:14" ht="15.75">
      <c r="A46" s="444">
        <f>Input!B62</f>
        <v>38027</v>
      </c>
      <c r="B46" s="44">
        <f t="shared" si="0"/>
        <v>41</v>
      </c>
      <c r="C46" s="380">
        <f>PMSplint!T90</f>
        <v>0.37901935411090687</v>
      </c>
      <c r="D46" s="500">
        <v>0.40150119165400022</v>
      </c>
      <c r="E46" s="381">
        <f t="shared" si="1"/>
        <v>0.40150119165400022</v>
      </c>
      <c r="F46" s="382">
        <f>TxSplint!N90</f>
        <v>-0.11999866110263779</v>
      </c>
      <c r="G46" s="455"/>
      <c r="H46" s="381">
        <f t="shared" si="2"/>
        <v>-0.11999866110263779</v>
      </c>
      <c r="I46" s="382">
        <f>TnSplint!N90</f>
        <v>-4.9485304335113183</v>
      </c>
      <c r="J46" s="455"/>
      <c r="K46" s="381">
        <f t="shared" si="3"/>
        <v>-4.9485304335113183</v>
      </c>
      <c r="L46" s="383"/>
      <c r="M46" s="474">
        <v>0</v>
      </c>
      <c r="N46" s="384"/>
    </row>
    <row r="47" spans="1:14" ht="15.75">
      <c r="A47" s="444">
        <f>Input!B63</f>
        <v>38028</v>
      </c>
      <c r="B47" s="44">
        <f t="shared" si="0"/>
        <v>42</v>
      </c>
      <c r="C47" s="380">
        <f>PMSplint!T91</f>
        <v>0.39359081196097212</v>
      </c>
      <c r="D47" s="500">
        <v>0.52184810169343809</v>
      </c>
      <c r="E47" s="381">
        <f t="shared" si="1"/>
        <v>0.52184810169343809</v>
      </c>
      <c r="F47" s="382">
        <f>TxSplint!N91</f>
        <v>-2.5943887922825759E-2</v>
      </c>
      <c r="G47" s="455"/>
      <c r="H47" s="381">
        <f t="shared" si="2"/>
        <v>-2.5943887922825759E-2</v>
      </c>
      <c r="I47" s="382">
        <f>TnSplint!N91</f>
        <v>-4.9167842075775718</v>
      </c>
      <c r="J47" s="455"/>
      <c r="K47" s="381">
        <f t="shared" si="3"/>
        <v>-4.9167842075775718</v>
      </c>
      <c r="L47" s="383"/>
      <c r="M47" s="474">
        <v>0</v>
      </c>
      <c r="N47" s="384"/>
    </row>
    <row r="48" spans="1:14" ht="15.75">
      <c r="A48" s="444">
        <f>Input!B64</f>
        <v>38029</v>
      </c>
      <c r="B48" s="44">
        <f t="shared" si="0"/>
        <v>43</v>
      </c>
      <c r="C48" s="380">
        <f>PMSplint!T92</f>
        <v>0.40972848647604926</v>
      </c>
      <c r="D48" s="500">
        <v>0.36790181555226631</v>
      </c>
      <c r="E48" s="381">
        <f t="shared" si="1"/>
        <v>0.36790181555226631</v>
      </c>
      <c r="F48" s="382">
        <f>TxSplint!N92</f>
        <v>9.1222176649760733E-2</v>
      </c>
      <c r="G48" s="455"/>
      <c r="H48" s="381">
        <f t="shared" si="2"/>
        <v>9.1222176649760733E-2</v>
      </c>
      <c r="I48" s="382">
        <f>TnSplint!N92</f>
        <v>-4.8670917743308841</v>
      </c>
      <c r="J48" s="455"/>
      <c r="K48" s="381">
        <f t="shared" si="3"/>
        <v>-4.8670917743308841</v>
      </c>
      <c r="L48" s="383"/>
      <c r="M48" s="474">
        <v>0</v>
      </c>
      <c r="N48" s="384"/>
    </row>
    <row r="49" spans="1:14" ht="15.75">
      <c r="A49" s="444">
        <f>Input!B65</f>
        <v>38030</v>
      </c>
      <c r="B49" s="44">
        <f t="shared" si="0"/>
        <v>44</v>
      </c>
      <c r="C49" s="380">
        <f>PMSplint!T93</f>
        <v>0.42751171327867432</v>
      </c>
      <c r="D49" s="500">
        <v>0.41322020685184946</v>
      </c>
      <c r="E49" s="381">
        <f t="shared" si="1"/>
        <v>0.41322020685184946</v>
      </c>
      <c r="F49" s="382">
        <f>TxSplint!N93</f>
        <v>0.23284347936339356</v>
      </c>
      <c r="G49" s="455"/>
      <c r="H49" s="381">
        <f t="shared" si="2"/>
        <v>0.23284347936339356</v>
      </c>
      <c r="I49" s="382">
        <f>TnSplint!N93</f>
        <v>-4.798419410699938</v>
      </c>
      <c r="J49" s="455"/>
      <c r="K49" s="381">
        <f t="shared" si="3"/>
        <v>-4.798419410699938</v>
      </c>
      <c r="L49" s="383"/>
      <c r="M49" s="474">
        <v>0</v>
      </c>
      <c r="N49" s="384"/>
    </row>
    <row r="50" spans="1:14" ht="15.75">
      <c r="A50" s="444">
        <f>Input!B66</f>
        <v>38031</v>
      </c>
      <c r="B50" s="44">
        <f t="shared" si="0"/>
        <v>45</v>
      </c>
      <c r="C50" s="380">
        <f>PMSplint!T94</f>
        <v>0.44701982799138351</v>
      </c>
      <c r="D50" s="500">
        <v>0.39576125991328082</v>
      </c>
      <c r="E50" s="381">
        <f t="shared" si="1"/>
        <v>0.39576125991328082</v>
      </c>
      <c r="F50" s="382">
        <f>TxSplint!N94</f>
        <v>0.40026396696634847</v>
      </c>
      <c r="G50" s="455"/>
      <c r="H50" s="381">
        <f t="shared" si="2"/>
        <v>0.40026396696634847</v>
      </c>
      <c r="I50" s="382">
        <f>TnSplint!N94</f>
        <v>-4.7097333936134147</v>
      </c>
      <c r="J50" s="455"/>
      <c r="K50" s="381">
        <f t="shared" si="3"/>
        <v>-4.7097333936134147</v>
      </c>
      <c r="L50" s="383"/>
      <c r="M50" s="474">
        <v>0.2</v>
      </c>
      <c r="N50" s="384"/>
    </row>
    <row r="51" spans="1:14" ht="15.75">
      <c r="A51" s="444">
        <f>Input!B67</f>
        <v>38032</v>
      </c>
      <c r="B51" s="44">
        <f t="shared" si="0"/>
        <v>46</v>
      </c>
      <c r="C51" s="380">
        <f>PMSplint!T95</f>
        <v>0.46833216623671287</v>
      </c>
      <c r="D51" s="500">
        <v>0.2110792416261621</v>
      </c>
      <c r="E51" s="381">
        <f t="shared" si="1"/>
        <v>0.2110792416261621</v>
      </c>
      <c r="F51" s="382">
        <f>TxSplint!N95</f>
        <v>0.59482758620689602</v>
      </c>
      <c r="G51" s="455"/>
      <c r="H51" s="381">
        <f t="shared" si="2"/>
        <v>0.59482758620689602</v>
      </c>
      <c r="I51" s="382">
        <f>TnSplint!N95</f>
        <v>-4.5999999999999996</v>
      </c>
      <c r="J51" s="455"/>
      <c r="K51" s="381">
        <f t="shared" si="3"/>
        <v>-4.5999999999999996</v>
      </c>
      <c r="L51" s="383"/>
      <c r="M51" s="474">
        <v>0</v>
      </c>
      <c r="N51" s="384"/>
    </row>
    <row r="52" spans="1:14" ht="15.75">
      <c r="A52" s="444">
        <f>Input!B68</f>
        <v>38033</v>
      </c>
      <c r="B52" s="44">
        <f t="shared" si="0"/>
        <v>47</v>
      </c>
      <c r="C52" s="380">
        <f>PMSplint!T96</f>
        <v>0.4914907237823789</v>
      </c>
      <c r="D52" s="500">
        <v>0.16164582054947796</v>
      </c>
      <c r="E52" s="381">
        <f t="shared" si="1"/>
        <v>0.16164582054947796</v>
      </c>
      <c r="F52" s="382">
        <f>TxSplint!N96</f>
        <v>0.81735061678953991</v>
      </c>
      <c r="G52" s="455"/>
      <c r="H52" s="381">
        <f t="shared" si="2"/>
        <v>0.81735061678953991</v>
      </c>
      <c r="I52" s="382">
        <f>TnSplint!N96</f>
        <v>-4.4685599336081374</v>
      </c>
      <c r="J52" s="455"/>
      <c r="K52" s="381">
        <f t="shared" si="3"/>
        <v>-4.4685599336081374</v>
      </c>
      <c r="L52" s="383"/>
      <c r="M52" s="474">
        <v>0</v>
      </c>
      <c r="N52" s="384"/>
    </row>
    <row r="53" spans="1:14" ht="15.75">
      <c r="A53" s="444">
        <f>Input!B69</f>
        <v>38034</v>
      </c>
      <c r="B53" s="44">
        <f t="shared" si="0"/>
        <v>48</v>
      </c>
      <c r="C53" s="380">
        <f>PMSplint!T97</f>
        <v>0.51638813697681918</v>
      </c>
      <c r="D53" s="500">
        <v>0.42844195262703466</v>
      </c>
      <c r="E53" s="381">
        <f t="shared" si="1"/>
        <v>0.42844195262703466</v>
      </c>
      <c r="F53" s="382">
        <f>TxSplint!N97</f>
        <v>1.0665386702436974</v>
      </c>
      <c r="G53" s="455"/>
      <c r="H53" s="381">
        <f t="shared" si="2"/>
        <v>1.0665386702436974</v>
      </c>
      <c r="I53" s="382">
        <f>TnSplint!N97</f>
        <v>-4.3162516054653235</v>
      </c>
      <c r="J53" s="455"/>
      <c r="K53" s="381">
        <f t="shared" si="3"/>
        <v>-4.3162516054653235</v>
      </c>
      <c r="L53" s="383"/>
      <c r="M53" s="474">
        <v>0</v>
      </c>
      <c r="N53" s="384"/>
    </row>
    <row r="54" spans="1:14" ht="15.75">
      <c r="A54" s="444">
        <f>Input!B70</f>
        <v>38035</v>
      </c>
      <c r="B54" s="44">
        <f t="shared" si="0"/>
        <v>49</v>
      </c>
      <c r="C54" s="380">
        <f>PMSplint!T98</f>
        <v>0.54287970231365179</v>
      </c>
      <c r="D54" s="500">
        <v>0.27012829790668447</v>
      </c>
      <c r="E54" s="381">
        <f t="shared" si="1"/>
        <v>0.27012829790668447</v>
      </c>
      <c r="F54" s="382">
        <f>TxSplint!N98</f>
        <v>1.3405696910550136</v>
      </c>
      <c r="G54" s="455"/>
      <c r="H54" s="381">
        <f t="shared" si="2"/>
        <v>1.3405696910550136</v>
      </c>
      <c r="I54" s="382">
        <f>TnSplint!N98</f>
        <v>-4.1442878534188186</v>
      </c>
      <c r="J54" s="455"/>
      <c r="K54" s="381">
        <f t="shared" si="3"/>
        <v>-4.1442878534188186</v>
      </c>
      <c r="L54" s="383"/>
      <c r="M54" s="474">
        <v>0</v>
      </c>
      <c r="N54" s="384"/>
    </row>
    <row r="55" spans="1:14" ht="15.75">
      <c r="A55" s="444">
        <f>Input!B71</f>
        <v>38036</v>
      </c>
      <c r="B55" s="44">
        <f t="shared" si="0"/>
        <v>50</v>
      </c>
      <c r="C55" s="380">
        <f>PMSplint!T99</f>
        <v>0.57082071628649456</v>
      </c>
      <c r="D55" s="500">
        <v>0.20151220317447621</v>
      </c>
      <c r="E55" s="381">
        <f t="shared" si="1"/>
        <v>0.20151220317447621</v>
      </c>
      <c r="F55" s="382">
        <f>TxSplint!N99</f>
        <v>1.6376216237091337</v>
      </c>
      <c r="G55" s="455"/>
      <c r="H55" s="381">
        <f t="shared" si="2"/>
        <v>1.6376216237091337</v>
      </c>
      <c r="I55" s="382">
        <f>TnSplint!N99</f>
        <v>-3.9538815153158806</v>
      </c>
      <c r="J55" s="455"/>
      <c r="K55" s="381">
        <f t="shared" si="3"/>
        <v>-3.9538815153158806</v>
      </c>
      <c r="L55" s="383"/>
      <c r="M55" s="474">
        <v>0</v>
      </c>
      <c r="N55" s="384"/>
    </row>
    <row r="56" spans="1:14" ht="15.75">
      <c r="A56" s="444">
        <f>Input!B72</f>
        <v>38037</v>
      </c>
      <c r="B56" s="44">
        <f t="shared" si="0"/>
        <v>51</v>
      </c>
      <c r="C56" s="380">
        <f>PMSplint!T100</f>
        <v>0.60006647538896551</v>
      </c>
      <c r="D56" s="500">
        <v>0.40302323288783826</v>
      </c>
      <c r="E56" s="381">
        <f t="shared" si="1"/>
        <v>0.40302323288783826</v>
      </c>
      <c r="F56" s="382">
        <f>TxSplint!N100</f>
        <v>1.9558724126917051</v>
      </c>
      <c r="G56" s="455"/>
      <c r="H56" s="381">
        <f t="shared" si="2"/>
        <v>1.9558724126917051</v>
      </c>
      <c r="I56" s="382">
        <f>TnSplint!N100</f>
        <v>-3.7462454290037681</v>
      </c>
      <c r="J56" s="455"/>
      <c r="K56" s="381">
        <f t="shared" si="3"/>
        <v>-3.7462454290037681</v>
      </c>
      <c r="L56" s="383"/>
      <c r="M56" s="474">
        <v>0</v>
      </c>
      <c r="N56" s="384"/>
    </row>
    <row r="57" spans="1:14" ht="15.75">
      <c r="A57" s="444">
        <f>Input!B73</f>
        <v>38038</v>
      </c>
      <c r="B57" s="44">
        <f t="shared" si="0"/>
        <v>52</v>
      </c>
      <c r="C57" s="380">
        <f>PMSplint!T101</f>
        <v>0.63047227611468248</v>
      </c>
      <c r="D57" s="500">
        <v>0.52880251796818045</v>
      </c>
      <c r="E57" s="381">
        <f t="shared" si="1"/>
        <v>0.52880251796818045</v>
      </c>
      <c r="F57" s="382">
        <f>TxSplint!N101</f>
        <v>2.2935000024883725</v>
      </c>
      <c r="G57" s="455"/>
      <c r="H57" s="381">
        <f t="shared" si="2"/>
        <v>2.2935000024883725</v>
      </c>
      <c r="I57" s="382">
        <f>TnSplint!N101</f>
        <v>-3.5225924323297408</v>
      </c>
      <c r="J57" s="455"/>
      <c r="K57" s="381">
        <f t="shared" si="3"/>
        <v>-3.5225924323297408</v>
      </c>
      <c r="L57" s="383"/>
      <c r="M57" s="474">
        <v>0</v>
      </c>
      <c r="N57" s="384"/>
    </row>
    <row r="58" spans="1:14" ht="15.75">
      <c r="A58" s="444">
        <f>Input!B74</f>
        <v>38039</v>
      </c>
      <c r="B58" s="44">
        <f t="shared" si="0"/>
        <v>53</v>
      </c>
      <c r="C58" s="380">
        <f>PMSplint!T102</f>
        <v>0.66189341495726361</v>
      </c>
      <c r="D58" s="500">
        <v>0.35968353967974764</v>
      </c>
      <c r="E58" s="381">
        <f t="shared" si="1"/>
        <v>0.35968353967974764</v>
      </c>
      <c r="F58" s="382">
        <f>TxSplint!N102</f>
        <v>2.648682337584781</v>
      </c>
      <c r="G58" s="455"/>
      <c r="H58" s="381">
        <f t="shared" si="2"/>
        <v>2.648682337584781</v>
      </c>
      <c r="I58" s="382">
        <f>TnSplint!N102</f>
        <v>-3.2841353631410577</v>
      </c>
      <c r="J58" s="455"/>
      <c r="K58" s="381">
        <f t="shared" si="3"/>
        <v>-3.2841353631410577</v>
      </c>
      <c r="L58" s="383"/>
      <c r="M58" s="474">
        <v>0</v>
      </c>
      <c r="N58" s="384"/>
    </row>
    <row r="59" spans="1:14" ht="15.75">
      <c r="A59" s="444">
        <f>Input!B75</f>
        <v>38040</v>
      </c>
      <c r="B59" s="44">
        <f t="shared" si="0"/>
        <v>54</v>
      </c>
      <c r="C59" s="380">
        <f>PMSplint!T103</f>
        <v>0.69418518841032661</v>
      </c>
      <c r="D59" s="500">
        <v>0.83176917696877539</v>
      </c>
      <c r="E59" s="381">
        <f t="shared" si="1"/>
        <v>0.83176917696877539</v>
      </c>
      <c r="F59" s="382">
        <f>TxSplint!N103</f>
        <v>3.0195973624665768</v>
      </c>
      <c r="G59" s="455"/>
      <c r="H59" s="381">
        <f t="shared" si="2"/>
        <v>3.0195973624665768</v>
      </c>
      <c r="I59" s="382">
        <f>TnSplint!N103</f>
        <v>-3.0320870592849758</v>
      </c>
      <c r="J59" s="455"/>
      <c r="K59" s="381">
        <f t="shared" si="3"/>
        <v>-3.0320870592849758</v>
      </c>
      <c r="L59" s="383"/>
      <c r="M59" s="474">
        <v>0</v>
      </c>
      <c r="N59" s="384"/>
    </row>
    <row r="60" spans="1:14" ht="15.75">
      <c r="A60" s="444">
        <f>Input!B76</f>
        <v>38041</v>
      </c>
      <c r="B60" s="44">
        <f t="shared" si="0"/>
        <v>55</v>
      </c>
      <c r="C60" s="380">
        <f>PMSplint!T104</f>
        <v>0.72720289296748974</v>
      </c>
      <c r="D60" s="500">
        <v>0.65738291518508896</v>
      </c>
      <c r="E60" s="381">
        <f t="shared" si="1"/>
        <v>0.65738291518508896</v>
      </c>
      <c r="F60" s="382">
        <f>TxSplint!N104</f>
        <v>3.4044230216194067</v>
      </c>
      <c r="G60" s="455"/>
      <c r="H60" s="381">
        <f t="shared" si="2"/>
        <v>3.4044230216194067</v>
      </c>
      <c r="I60" s="382">
        <f>TnSplint!N104</f>
        <v>-2.7676603586087563</v>
      </c>
      <c r="J60" s="455"/>
      <c r="K60" s="381">
        <f t="shared" si="3"/>
        <v>-2.7676603586087563</v>
      </c>
      <c r="L60" s="383"/>
      <c r="M60" s="474">
        <v>0</v>
      </c>
      <c r="N60" s="384"/>
    </row>
    <row r="61" spans="1:14">
      <c r="A61" s="444">
        <f>Input!B77</f>
        <v>38042</v>
      </c>
      <c r="B61" s="44">
        <f t="shared" si="0"/>
        <v>56</v>
      </c>
      <c r="C61" s="380">
        <f>PMSplint!T105</f>
        <v>0.76080182512237071</v>
      </c>
      <c r="D61" s="500">
        <v>0.63911787151342603</v>
      </c>
      <c r="E61" s="381">
        <f t="shared" si="1"/>
        <v>0.63911787151342603</v>
      </c>
      <c r="F61" s="382">
        <f>TxSplint!N105</f>
        <v>3.8013372595289163</v>
      </c>
      <c r="G61" s="455"/>
      <c r="H61" s="381">
        <f t="shared" si="2"/>
        <v>3.8013372595289163</v>
      </c>
      <c r="I61" s="382">
        <f>TnSplint!N105</f>
        <v>-2.4920680989596562</v>
      </c>
      <c r="J61" s="455"/>
      <c r="K61" s="381">
        <f t="shared" si="3"/>
        <v>-2.4920680989596562</v>
      </c>
      <c r="L61" s="383"/>
      <c r="M61" s="455">
        <v>0</v>
      </c>
      <c r="N61" s="384"/>
    </row>
    <row r="62" spans="1:14">
      <c r="A62" s="444">
        <f>Input!B78</f>
        <v>38043</v>
      </c>
      <c r="B62" s="44">
        <f t="shared" si="0"/>
        <v>57</v>
      </c>
      <c r="C62" s="380">
        <f>PMSplint!T106</f>
        <v>0.79483728136858767</v>
      </c>
      <c r="D62" s="500">
        <v>0.79120631579769019</v>
      </c>
      <c r="E62" s="381">
        <f t="shared" si="1"/>
        <v>0.79120631579769019</v>
      </c>
      <c r="F62" s="382">
        <f>TxSplint!N106</f>
        <v>4.2085180206807493</v>
      </c>
      <c r="G62" s="455"/>
      <c r="H62" s="381">
        <f t="shared" si="2"/>
        <v>4.2085180206807493</v>
      </c>
      <c r="I62" s="382">
        <f>TnSplint!N106</f>
        <v>-2.2065231181849363</v>
      </c>
      <c r="J62" s="455"/>
      <c r="K62" s="381">
        <f t="shared" si="3"/>
        <v>-2.2065231181849363</v>
      </c>
      <c r="L62" s="383"/>
      <c r="M62" s="455">
        <v>0</v>
      </c>
      <c r="N62" s="384"/>
    </row>
    <row r="63" spans="1:14">
      <c r="A63" s="444">
        <f>Input!B79</f>
        <v>38044</v>
      </c>
      <c r="B63" s="44">
        <f t="shared" si="0"/>
        <v>58</v>
      </c>
      <c r="C63" s="380">
        <f>PMSplint!T107</f>
        <v>0.82916455819975843</v>
      </c>
      <c r="D63" s="500">
        <v>0.50865297494834683</v>
      </c>
      <c r="E63" s="381">
        <f t="shared" si="1"/>
        <v>0.50865297494834683</v>
      </c>
      <c r="F63" s="382">
        <f>TxSplint!N107</f>
        <v>4.6241432495605537</v>
      </c>
      <c r="G63" s="455"/>
      <c r="H63" s="381">
        <f t="shared" si="2"/>
        <v>4.6241432495605537</v>
      </c>
      <c r="I63" s="382">
        <f>TnSplint!N107</f>
        <v>-1.9122382541318537</v>
      </c>
      <c r="J63" s="455"/>
      <c r="K63" s="381">
        <f t="shared" si="3"/>
        <v>-1.9122382541318537</v>
      </c>
      <c r="L63" s="383"/>
      <c r="M63" s="455">
        <v>0.2</v>
      </c>
      <c r="N63" s="384"/>
    </row>
    <row r="64" spans="1:14">
      <c r="A64" s="444">
        <f>Input!B80</f>
        <v>38045</v>
      </c>
      <c r="B64" s="44">
        <f t="shared" si="0"/>
        <v>59</v>
      </c>
      <c r="C64" s="380">
        <f>PMSplint!T108</f>
        <v>0.86363895210950103</v>
      </c>
      <c r="D64" s="500">
        <v>0.83577336875360686</v>
      </c>
      <c r="E64" s="381">
        <f t="shared" si="1"/>
        <v>0.83577336875360686</v>
      </c>
      <c r="F64" s="382">
        <f>TxSplint!N108</f>
        <v>5.0463908906539734</v>
      </c>
      <c r="G64" s="455"/>
      <c r="H64" s="381">
        <f t="shared" si="2"/>
        <v>5.0463908906539734</v>
      </c>
      <c r="I64" s="382">
        <f>TnSplint!N108</f>
        <v>-1.6104263446476681</v>
      </c>
      <c r="J64" s="455"/>
      <c r="K64" s="381">
        <f t="shared" si="3"/>
        <v>-1.6104263446476681</v>
      </c>
      <c r="L64" s="383"/>
      <c r="M64" s="455">
        <v>0</v>
      </c>
      <c r="N64" s="384"/>
    </row>
    <row r="65" spans="1:14">
      <c r="A65" s="444">
        <f>Input!B81</f>
        <v>38046</v>
      </c>
      <c r="B65" s="44">
        <f t="shared" si="0"/>
        <v>60</v>
      </c>
      <c r="C65" s="380">
        <f>PMSplint!T109</f>
        <v>0.8981157595914333</v>
      </c>
      <c r="D65" s="500">
        <v>1.2856834746038537</v>
      </c>
      <c r="E65" s="381">
        <f t="shared" si="1"/>
        <v>1.2856834746038537</v>
      </c>
      <c r="F65" s="382">
        <f>TxSplint!N109</f>
        <v>5.4734388884466565</v>
      </c>
      <c r="G65" s="455"/>
      <c r="H65" s="381">
        <f t="shared" si="2"/>
        <v>5.4734388884466565</v>
      </c>
      <c r="I65" s="382">
        <f>TnSplint!N109</f>
        <v>-1.3023002275796387</v>
      </c>
      <c r="J65" s="455"/>
      <c r="K65" s="381">
        <f t="shared" si="3"/>
        <v>-1.3023002275796387</v>
      </c>
      <c r="L65" s="383"/>
      <c r="M65" s="455">
        <v>0</v>
      </c>
      <c r="N65" s="384"/>
    </row>
    <row r="66" spans="1:14">
      <c r="A66" s="444">
        <f>Input!B82</f>
        <v>38047</v>
      </c>
      <c r="B66" s="44">
        <f t="shared" si="0"/>
        <v>61</v>
      </c>
      <c r="C66" s="380">
        <f>PMSplint!T110</f>
        <v>0.93245027713917328</v>
      </c>
      <c r="D66" s="500">
        <v>0.92411704693883201</v>
      </c>
      <c r="E66" s="381">
        <f t="shared" si="1"/>
        <v>0.92411704693883201</v>
      </c>
      <c r="F66" s="382">
        <f>TxSplint!N110</f>
        <v>5.9034651874242474</v>
      </c>
      <c r="G66" s="455"/>
      <c r="H66" s="381">
        <f t="shared" si="2"/>
        <v>5.9034651874242474</v>
      </c>
      <c r="I66" s="382">
        <f>TnSplint!N110</f>
        <v>-0.98907274077502372</v>
      </c>
      <c r="J66" s="455"/>
      <c r="K66" s="381">
        <f t="shared" si="3"/>
        <v>-0.98907274077502372</v>
      </c>
      <c r="L66" s="383"/>
      <c r="M66" s="455">
        <v>0</v>
      </c>
      <c r="N66" s="384"/>
    </row>
    <row r="67" spans="1:14">
      <c r="A67" s="444">
        <f>Input!B83</f>
        <v>38048</v>
      </c>
      <c r="B67" s="44">
        <f t="shared" si="0"/>
        <v>62</v>
      </c>
      <c r="C67" s="380">
        <f>PMSplint!T111</f>
        <v>0.96649780124633888</v>
      </c>
      <c r="D67" s="500">
        <v>1.0608928706242404</v>
      </c>
      <c r="E67" s="381">
        <f t="shared" si="1"/>
        <v>1.0608928706242404</v>
      </c>
      <c r="F67" s="382">
        <f>TxSplint!N111</f>
        <v>6.3346477320723906</v>
      </c>
      <c r="G67" s="455"/>
      <c r="H67" s="381">
        <f t="shared" si="2"/>
        <v>6.3346477320723906</v>
      </c>
      <c r="I67" s="382">
        <f>TnSplint!N111</f>
        <v>-0.6719567220810827</v>
      </c>
      <c r="J67" s="455"/>
      <c r="K67" s="381">
        <f t="shared" si="3"/>
        <v>-0.6719567220810827</v>
      </c>
      <c r="L67" s="383"/>
      <c r="M67" s="455">
        <v>0</v>
      </c>
      <c r="N67" s="384"/>
    </row>
    <row r="68" spans="1:14">
      <c r="A68" s="444">
        <f>Input!B84</f>
        <v>38049</v>
      </c>
      <c r="B68" s="44">
        <f t="shared" si="0"/>
        <v>63</v>
      </c>
      <c r="C68" s="380">
        <f>PMSplint!T112</f>
        <v>1.0001136284065482</v>
      </c>
      <c r="D68" s="500">
        <v>0.96808272715190891</v>
      </c>
      <c r="E68" s="381">
        <f t="shared" si="1"/>
        <v>0.96808272715190891</v>
      </c>
      <c r="F68" s="382">
        <f>TxSplint!N112</f>
        <v>6.7651644668767341</v>
      </c>
      <c r="G68" s="455"/>
      <c r="H68" s="381">
        <f t="shared" si="2"/>
        <v>6.7651644668767341</v>
      </c>
      <c r="I68" s="382">
        <f>TnSplint!N112</f>
        <v>-0.35216500934507389</v>
      </c>
      <c r="J68" s="455"/>
      <c r="K68" s="381">
        <f t="shared" si="3"/>
        <v>-0.35216500934507389</v>
      </c>
      <c r="L68" s="383"/>
      <c r="M68" s="455">
        <v>0</v>
      </c>
      <c r="N68" s="384"/>
    </row>
    <row r="69" spans="1:14">
      <c r="A69" s="444">
        <f>Input!B85</f>
        <v>38050</v>
      </c>
      <c r="B69" s="44">
        <f t="shared" si="0"/>
        <v>64</v>
      </c>
      <c r="C69" s="380">
        <f>PMSplint!T113</f>
        <v>1.0331530551134189</v>
      </c>
      <c r="D69" s="500">
        <v>0.98359335507564682</v>
      </c>
      <c r="E69" s="381">
        <f t="shared" si="1"/>
        <v>0.98359335507564682</v>
      </c>
      <c r="F69" s="382">
        <f>TxSplint!N113</f>
        <v>7.1931933363229215</v>
      </c>
      <c r="G69" s="455"/>
      <c r="H69" s="381">
        <f t="shared" si="2"/>
        <v>7.1931933363229215</v>
      </c>
      <c r="I69" s="382">
        <f>TnSplint!N113</f>
        <v>-3.091044041425689E-2</v>
      </c>
      <c r="J69" s="455"/>
      <c r="K69" s="381">
        <f t="shared" si="3"/>
        <v>-3.091044041425689E-2</v>
      </c>
      <c r="L69" s="383"/>
      <c r="M69" s="455">
        <v>0</v>
      </c>
      <c r="N69" s="384"/>
    </row>
    <row r="70" spans="1:14">
      <c r="A70" s="444">
        <f>Input!B86</f>
        <v>38051</v>
      </c>
      <c r="B70" s="44">
        <f t="shared" si="0"/>
        <v>65</v>
      </c>
      <c r="C70" s="380">
        <f>PMSplint!T114</f>
        <v>1.0654713778605693</v>
      </c>
      <c r="D70" s="500">
        <v>1.2950054322307294</v>
      </c>
      <c r="E70" s="381">
        <f t="shared" si="1"/>
        <v>1.2950054322307294</v>
      </c>
      <c r="F70" s="382">
        <f>TxSplint!N114</f>
        <v>7.6169122848965989</v>
      </c>
      <c r="G70" s="455"/>
      <c r="H70" s="381">
        <f t="shared" si="2"/>
        <v>7.6169122848965989</v>
      </c>
      <c r="I70" s="382">
        <f>TnSplint!N114</f>
        <v>0.29059414686411056</v>
      </c>
      <c r="J70" s="455"/>
      <c r="K70" s="381">
        <f t="shared" si="3"/>
        <v>0.29059414686411056</v>
      </c>
      <c r="L70" s="383"/>
      <c r="M70" s="455">
        <v>0</v>
      </c>
      <c r="N70" s="384"/>
    </row>
    <row r="71" spans="1:14">
      <c r="A71" s="444">
        <f>Input!B87</f>
        <v>38052</v>
      </c>
      <c r="B71" s="44">
        <f t="shared" ref="B71:B134" si="4">A71-DATE(YEAR(A71)-1,12,31)</f>
        <v>66</v>
      </c>
      <c r="C71" s="380">
        <f>PMSplint!T115</f>
        <v>1.096923893141617</v>
      </c>
      <c r="D71" s="500">
        <v>1.5724939236484043</v>
      </c>
      <c r="E71" s="381">
        <f t="shared" ref="E71:E134" si="5">IF(ISERROR(D71),C71,IF(D71="",C71,IF(D71&lt;0,0,D71)))</f>
        <v>1.5724939236484043</v>
      </c>
      <c r="F71" s="382">
        <f>TxSplint!N115</f>
        <v>8.0344992570834144</v>
      </c>
      <c r="G71" s="455"/>
      <c r="H71" s="381">
        <f t="shared" si="2"/>
        <v>8.0344992570834144</v>
      </c>
      <c r="I71" s="382">
        <f>TnSplint!N115</f>
        <v>0.61113591464276817</v>
      </c>
      <c r="J71" s="455"/>
      <c r="K71" s="381">
        <f t="shared" si="3"/>
        <v>0.61113591464276817</v>
      </c>
      <c r="L71" s="383"/>
      <c r="M71" s="455">
        <v>0</v>
      </c>
      <c r="N71" s="384"/>
    </row>
    <row r="72" spans="1:14">
      <c r="A72" s="444">
        <f>Input!B88</f>
        <v>38053</v>
      </c>
      <c r="B72" s="44">
        <f t="shared" si="4"/>
        <v>67</v>
      </c>
      <c r="C72" s="380">
        <f>PMSplint!T116</f>
        <v>1.1273658974501801</v>
      </c>
      <c r="D72" s="500">
        <v>1.0836619209021265</v>
      </c>
      <c r="E72" s="381">
        <f t="shared" si="5"/>
        <v>1.0836619209021265</v>
      </c>
      <c r="F72" s="382">
        <f>TxSplint!N116</f>
        <v>8.4441321973690115</v>
      </c>
      <c r="G72" s="455"/>
      <c r="H72" s="381">
        <f t="shared" ref="H72:H135" si="6">IF(G72="",F72,G72)</f>
        <v>8.4441321973690115</v>
      </c>
      <c r="I72" s="382">
        <f>TnSplint!N116</f>
        <v>0.92950202507445789</v>
      </c>
      <c r="J72" s="455"/>
      <c r="K72" s="381">
        <f t="shared" ref="K72:K135" si="7">IF(J72="",I72,J72)</f>
        <v>0.92950202507445789</v>
      </c>
      <c r="L72" s="383"/>
      <c r="M72" s="455">
        <v>0</v>
      </c>
      <c r="N72" s="384"/>
    </row>
    <row r="73" spans="1:14">
      <c r="A73" s="444">
        <f>Input!B89</f>
        <v>38054</v>
      </c>
      <c r="B73" s="44">
        <f t="shared" si="4"/>
        <v>68</v>
      </c>
      <c r="C73" s="380">
        <f>PMSplint!T117</f>
        <v>1.1566526872798768</v>
      </c>
      <c r="D73" s="500">
        <v>1.1424230304692966</v>
      </c>
      <c r="E73" s="381">
        <f t="shared" si="5"/>
        <v>1.1424230304692966</v>
      </c>
      <c r="F73" s="382">
        <f>TxSplint!N117</f>
        <v>8.8439890502390384</v>
      </c>
      <c r="G73" s="455"/>
      <c r="H73" s="381">
        <f t="shared" si="6"/>
        <v>8.8439890502390384</v>
      </c>
      <c r="I73" s="382">
        <f>TnSplint!N117</f>
        <v>1.2444796403119209</v>
      </c>
      <c r="J73" s="455"/>
      <c r="K73" s="381">
        <f t="shared" si="7"/>
        <v>1.2444796403119209</v>
      </c>
      <c r="L73" s="383"/>
      <c r="M73" s="455">
        <v>0</v>
      </c>
      <c r="N73" s="384"/>
    </row>
    <row r="74" spans="1:14">
      <c r="A74" s="444">
        <f>Input!B90</f>
        <v>38055</v>
      </c>
      <c r="B74" s="44">
        <f t="shared" si="4"/>
        <v>69</v>
      </c>
      <c r="C74" s="380">
        <f>PMSplint!T118</f>
        <v>1.1846395591243248</v>
      </c>
      <c r="D74" s="500">
        <v>1.3410329982487244</v>
      </c>
      <c r="E74" s="381">
        <f t="shared" si="5"/>
        <v>1.3410329982487244</v>
      </c>
      <c r="F74" s="382">
        <f>TxSplint!N118</f>
        <v>9.2322477601791366</v>
      </c>
      <c r="G74" s="455"/>
      <c r="H74" s="381">
        <f t="shared" si="6"/>
        <v>9.2322477601791366</v>
      </c>
      <c r="I74" s="382">
        <f>TnSplint!N118</f>
        <v>1.5548559225078984</v>
      </c>
      <c r="J74" s="455"/>
      <c r="K74" s="381">
        <f t="shared" si="7"/>
        <v>1.5548559225078984</v>
      </c>
      <c r="L74" s="383"/>
      <c r="M74" s="455">
        <v>0</v>
      </c>
      <c r="N74" s="384"/>
    </row>
    <row r="75" spans="1:14">
      <c r="A75" s="444">
        <f>Input!B91</f>
        <v>38056</v>
      </c>
      <c r="B75" s="44">
        <f t="shared" si="4"/>
        <v>70</v>
      </c>
      <c r="C75" s="380">
        <f>PMSplint!T119</f>
        <v>1.211181809477142</v>
      </c>
      <c r="D75" s="500">
        <v>1.1150450964331124</v>
      </c>
      <c r="E75" s="381">
        <f t="shared" si="5"/>
        <v>1.1150450964331124</v>
      </c>
      <c r="F75" s="382">
        <f>TxSplint!N119</f>
        <v>9.6070862716749552</v>
      </c>
      <c r="G75" s="455"/>
      <c r="H75" s="381">
        <f t="shared" si="6"/>
        <v>9.6070862716749552</v>
      </c>
      <c r="I75" s="382">
        <f>TnSplint!N119</f>
        <v>1.85941803381513</v>
      </c>
      <c r="J75" s="455"/>
      <c r="K75" s="381">
        <f t="shared" si="7"/>
        <v>1.85941803381513</v>
      </c>
      <c r="L75" s="383"/>
      <c r="M75" s="455">
        <v>0</v>
      </c>
      <c r="N75" s="384"/>
    </row>
    <row r="76" spans="1:14">
      <c r="A76" s="444">
        <f>Input!B92</f>
        <v>38057</v>
      </c>
      <c r="B76" s="44">
        <f t="shared" si="4"/>
        <v>71</v>
      </c>
      <c r="C76" s="380">
        <f>PMSplint!T120</f>
        <v>1.2361347348319465</v>
      </c>
      <c r="D76" s="500">
        <v>1.6884894294026032</v>
      </c>
      <c r="E76" s="381">
        <f t="shared" si="5"/>
        <v>1.6884894294026032</v>
      </c>
      <c r="F76" s="382">
        <f>TxSplint!N120</f>
        <v>9.9666825292121359</v>
      </c>
      <c r="G76" s="455"/>
      <c r="H76" s="381">
        <f t="shared" si="6"/>
        <v>9.9666825292121359</v>
      </c>
      <c r="I76" s="382">
        <f>TnSplint!N120</f>
        <v>2.1569531363863588</v>
      </c>
      <c r="J76" s="455"/>
      <c r="K76" s="381">
        <f t="shared" si="7"/>
        <v>2.1569531363863588</v>
      </c>
      <c r="L76" s="383"/>
      <c r="M76" s="455">
        <v>0</v>
      </c>
      <c r="N76" s="384"/>
    </row>
    <row r="77" spans="1:14">
      <c r="A77" s="444">
        <f>Input!B93</f>
        <v>38058</v>
      </c>
      <c r="B77" s="44">
        <f t="shared" si="4"/>
        <v>72</v>
      </c>
      <c r="C77" s="380">
        <f>PMSplint!T121</f>
        <v>1.2593536316823561</v>
      </c>
      <c r="D77" s="500">
        <v>1.5557057936289045</v>
      </c>
      <c r="E77" s="381">
        <f t="shared" si="5"/>
        <v>1.5557057936289045</v>
      </c>
      <c r="F77" s="382">
        <f>TxSplint!N121</f>
        <v>10.309214477276331</v>
      </c>
      <c r="G77" s="455"/>
      <c r="H77" s="381">
        <f t="shared" si="6"/>
        <v>10.309214477276331</v>
      </c>
      <c r="I77" s="382">
        <f>TnSplint!N121</f>
        <v>2.4462483923743248</v>
      </c>
      <c r="J77" s="455"/>
      <c r="K77" s="381">
        <f t="shared" si="7"/>
        <v>2.4462483923743248</v>
      </c>
      <c r="L77" s="383"/>
      <c r="M77" s="455">
        <v>0</v>
      </c>
      <c r="N77" s="384"/>
    </row>
    <row r="78" spans="1:14">
      <c r="A78" s="444">
        <f>Input!B94</f>
        <v>38059</v>
      </c>
      <c r="B78" s="44">
        <f t="shared" si="4"/>
        <v>73</v>
      </c>
      <c r="C78" s="380">
        <f>PMSplint!T122</f>
        <v>1.2806937965219891</v>
      </c>
      <c r="D78" s="500">
        <v>1.3808451880317716</v>
      </c>
      <c r="E78" s="381">
        <f t="shared" si="5"/>
        <v>1.3808451880317716</v>
      </c>
      <c r="F78" s="382">
        <f>TxSplint!N122</f>
        <v>10.632860060353181</v>
      </c>
      <c r="G78" s="455"/>
      <c r="H78" s="381">
        <f t="shared" si="6"/>
        <v>10.632860060353181</v>
      </c>
      <c r="I78" s="382">
        <f>TnSplint!N122</f>
        <v>2.7260909639317696</v>
      </c>
      <c r="J78" s="455"/>
      <c r="K78" s="381">
        <f t="shared" si="7"/>
        <v>2.7260909639317696</v>
      </c>
      <c r="L78" s="383"/>
      <c r="M78" s="455">
        <v>0</v>
      </c>
      <c r="N78" s="384"/>
    </row>
    <row r="79" spans="1:14">
      <c r="A79" s="444">
        <f>Input!B95</f>
        <v>38060</v>
      </c>
      <c r="B79" s="44">
        <f t="shared" si="4"/>
        <v>74</v>
      </c>
      <c r="C79" s="380">
        <f>PMSplint!T123</f>
        <v>1.3000105258444627</v>
      </c>
      <c r="D79" s="500">
        <v>1.4003264529478212</v>
      </c>
      <c r="E79" s="381">
        <f t="shared" si="5"/>
        <v>1.4003264529478212</v>
      </c>
      <c r="F79" s="382">
        <f>TxSplint!N123</f>
        <v>10.935797222928336</v>
      </c>
      <c r="G79" s="455"/>
      <c r="H79" s="381">
        <f t="shared" si="6"/>
        <v>10.935797222928336</v>
      </c>
      <c r="I79" s="382">
        <f>TnSplint!N123</f>
        <v>2.9952680132114344</v>
      </c>
      <c r="J79" s="455"/>
      <c r="K79" s="381">
        <f t="shared" si="7"/>
        <v>2.9952680132114344</v>
      </c>
      <c r="L79" s="383"/>
      <c r="M79" s="455">
        <v>0</v>
      </c>
      <c r="N79" s="384"/>
    </row>
    <row r="80" spans="1:14">
      <c r="A80" s="444">
        <f>Input!B96</f>
        <v>38061</v>
      </c>
      <c r="B80" s="44">
        <f t="shared" si="4"/>
        <v>75</v>
      </c>
      <c r="C80" s="380">
        <f>PMSplint!T124</f>
        <v>1.3171591161433958</v>
      </c>
      <c r="D80" s="500">
        <v>0.98386499581817932</v>
      </c>
      <c r="E80" s="381">
        <f t="shared" si="5"/>
        <v>0.98386499581817932</v>
      </c>
      <c r="F80" s="382">
        <f>TxSplint!N124</f>
        <v>11.216203909487437</v>
      </c>
      <c r="G80" s="455"/>
      <c r="H80" s="381">
        <f t="shared" si="6"/>
        <v>11.216203909487437</v>
      </c>
      <c r="I80" s="382">
        <f>TnSplint!N124</f>
        <v>3.2525667023660594</v>
      </c>
      <c r="J80" s="455"/>
      <c r="K80" s="381">
        <f t="shared" si="7"/>
        <v>3.2525667023660594</v>
      </c>
      <c r="L80" s="383"/>
      <c r="M80" s="455">
        <v>0</v>
      </c>
      <c r="N80" s="384"/>
    </row>
    <row r="81" spans="1:14">
      <c r="A81" s="444">
        <f>Input!B97</f>
        <v>38062</v>
      </c>
      <c r="B81" s="44">
        <f t="shared" si="4"/>
        <v>76</v>
      </c>
      <c r="C81" s="380">
        <f>PMSplint!T125</f>
        <v>1.3319948639124057</v>
      </c>
      <c r="D81" s="500">
        <v>1.3348911220504578</v>
      </c>
      <c r="E81" s="381">
        <f t="shared" si="5"/>
        <v>1.3348911220504578</v>
      </c>
      <c r="F81" s="382">
        <f>TxSplint!N125</f>
        <v>11.472258064516131</v>
      </c>
      <c r="G81" s="455"/>
      <c r="H81" s="381">
        <f t="shared" si="6"/>
        <v>11.472258064516131</v>
      </c>
      <c r="I81" s="382">
        <f>TnSplint!N125</f>
        <v>3.4967741935483869</v>
      </c>
      <c r="J81" s="455"/>
      <c r="K81" s="381">
        <f t="shared" si="7"/>
        <v>3.4967741935483869</v>
      </c>
      <c r="L81" s="383"/>
      <c r="M81" s="455">
        <v>0</v>
      </c>
      <c r="N81" s="384"/>
    </row>
    <row r="82" spans="1:14">
      <c r="A82" s="444">
        <f>Input!B98</f>
        <v>38063</v>
      </c>
      <c r="B82" s="44">
        <f t="shared" si="4"/>
        <v>77</v>
      </c>
      <c r="C82" s="380">
        <f>PMSplint!T126</f>
        <v>1.3444261383962139</v>
      </c>
      <c r="D82" s="500">
        <v>1.3733747862333849</v>
      </c>
      <c r="E82" s="381">
        <f t="shared" si="5"/>
        <v>1.3733747862333849</v>
      </c>
      <c r="F82" s="382">
        <f>TxSplint!N126</f>
        <v>11.702652655616276</v>
      </c>
      <c r="G82" s="455"/>
      <c r="H82" s="381">
        <f t="shared" si="6"/>
        <v>11.702652655616276</v>
      </c>
      <c r="I82" s="382">
        <f>TnSplint!N126</f>
        <v>3.7269821011865214</v>
      </c>
      <c r="J82" s="455"/>
      <c r="K82" s="381">
        <f t="shared" si="7"/>
        <v>3.7269821011865214</v>
      </c>
      <c r="L82" s="383"/>
      <c r="M82" s="455">
        <v>0</v>
      </c>
      <c r="N82" s="384"/>
    </row>
    <row r="83" spans="1:14">
      <c r="A83" s="444">
        <f>Input!B99</f>
        <v>38064</v>
      </c>
      <c r="B83" s="44">
        <f t="shared" si="4"/>
        <v>78</v>
      </c>
      <c r="C83" s="380">
        <f>PMSplint!T127</f>
        <v>1.3545735998439545</v>
      </c>
      <c r="D83" s="500">
        <v>1.5527441502753514</v>
      </c>
      <c r="E83" s="381">
        <f t="shared" si="5"/>
        <v>1.5527441502753514</v>
      </c>
      <c r="F83" s="382">
        <f>TxSplint!N127</f>
        <v>11.90814074285456</v>
      </c>
      <c r="G83" s="455"/>
      <c r="H83" s="381">
        <f t="shared" si="6"/>
        <v>11.90814074285456</v>
      </c>
      <c r="I83" s="382">
        <f>TnSplint!N127</f>
        <v>3.9434998488100241</v>
      </c>
      <c r="J83" s="455"/>
      <c r="K83" s="381">
        <f t="shared" si="7"/>
        <v>3.9434998488100241</v>
      </c>
      <c r="L83" s="383"/>
      <c r="M83" s="455">
        <v>0.2</v>
      </c>
      <c r="N83" s="384"/>
    </row>
    <row r="84" spans="1:14">
      <c r="A84" s="444">
        <f>Input!B100</f>
        <v>38065</v>
      </c>
      <c r="B84" s="44">
        <f t="shared" si="4"/>
        <v>79</v>
      </c>
      <c r="C84" s="380">
        <f>PMSplint!T128</f>
        <v>1.3626109812558653</v>
      </c>
      <c r="D84" s="500">
        <v>1.2539160732494974</v>
      </c>
      <c r="E84" s="381">
        <f t="shared" si="5"/>
        <v>1.2539160732494974</v>
      </c>
      <c r="F84" s="382">
        <f>TxSplint!N128</f>
        <v>12.089990409413888</v>
      </c>
      <c r="G84" s="455"/>
      <c r="H84" s="381">
        <f t="shared" si="6"/>
        <v>12.089990409413888</v>
      </c>
      <c r="I84" s="382">
        <f>TnSplint!N128</f>
        <v>4.146941312223821</v>
      </c>
      <c r="J84" s="455"/>
      <c r="K84" s="381">
        <f t="shared" si="7"/>
        <v>4.146941312223821</v>
      </c>
      <c r="L84" s="383"/>
      <c r="M84" s="455">
        <v>1.2</v>
      </c>
      <c r="N84" s="384"/>
    </row>
    <row r="85" spans="1:14">
      <c r="A85" s="444">
        <f>Input!B101</f>
        <v>38066</v>
      </c>
      <c r="B85" s="44">
        <f t="shared" si="4"/>
        <v>80</v>
      </c>
      <c r="C85" s="380">
        <f>PMSplint!T129</f>
        <v>1.3687120156321837</v>
      </c>
      <c r="D85" s="500">
        <v>0.47253029285191905</v>
      </c>
      <c r="E85" s="381">
        <f t="shared" si="5"/>
        <v>0.47253029285191905</v>
      </c>
      <c r="F85" s="382">
        <f>TxSplint!N129</f>
        <v>12.249469738477162</v>
      </c>
      <c r="G85" s="455"/>
      <c r="H85" s="381">
        <f t="shared" si="6"/>
        <v>12.249469738477162</v>
      </c>
      <c r="I85" s="382">
        <f>TnSplint!N129</f>
        <v>4.3379203672328375</v>
      </c>
      <c r="J85" s="455"/>
      <c r="K85" s="381">
        <f t="shared" si="7"/>
        <v>4.3379203672328375</v>
      </c>
      <c r="L85" s="383"/>
      <c r="M85" s="455">
        <v>0.2</v>
      </c>
      <c r="N85" s="384"/>
    </row>
    <row r="86" spans="1:14">
      <c r="A86" s="444">
        <f>Input!B102</f>
        <v>38067</v>
      </c>
      <c r="B86" s="44">
        <f t="shared" si="4"/>
        <v>81</v>
      </c>
      <c r="C86" s="380">
        <f>PMSplint!T130</f>
        <v>1.3730504359731475</v>
      </c>
      <c r="D86" s="500">
        <v>1.4014913229730439</v>
      </c>
      <c r="E86" s="381">
        <f t="shared" si="5"/>
        <v>1.4014913229730439</v>
      </c>
      <c r="F86" s="382">
        <f>TxSplint!N130</f>
        <v>12.387846813227281</v>
      </c>
      <c r="G86" s="455"/>
      <c r="H86" s="381">
        <f t="shared" si="6"/>
        <v>12.387846813227281</v>
      </c>
      <c r="I86" s="382">
        <f>TnSplint!N130</f>
        <v>4.5170508896419976</v>
      </c>
      <c r="J86" s="455"/>
      <c r="K86" s="381">
        <f t="shared" si="7"/>
        <v>4.5170508896419976</v>
      </c>
      <c r="L86" s="383"/>
      <c r="M86" s="455">
        <v>0</v>
      </c>
      <c r="N86" s="384"/>
    </row>
    <row r="87" spans="1:14">
      <c r="A87" s="444">
        <f>Input!B103</f>
        <v>38068</v>
      </c>
      <c r="B87" s="44">
        <f t="shared" si="4"/>
        <v>82</v>
      </c>
      <c r="C87" s="380">
        <f>PMSplint!T131</f>
        <v>1.3757999752789938</v>
      </c>
      <c r="D87" s="500">
        <v>1.8243026445582893</v>
      </c>
      <c r="E87" s="381">
        <f t="shared" si="5"/>
        <v>1.8243026445582893</v>
      </c>
      <c r="F87" s="382">
        <f>TxSplint!N131</f>
        <v>12.506389716847151</v>
      </c>
      <c r="G87" s="455"/>
      <c r="H87" s="381">
        <f t="shared" si="6"/>
        <v>12.506389716847151</v>
      </c>
      <c r="I87" s="382">
        <f>TnSplint!N131</f>
        <v>4.6849467552562292</v>
      </c>
      <c r="J87" s="455"/>
      <c r="K87" s="381">
        <f t="shared" si="7"/>
        <v>4.6849467552562292</v>
      </c>
      <c r="L87" s="383"/>
      <c r="M87" s="455">
        <v>0</v>
      </c>
      <c r="N87" s="384"/>
    </row>
    <row r="88" spans="1:14">
      <c r="A88" s="444">
        <f>Input!B104</f>
        <v>38069</v>
      </c>
      <c r="B88" s="44">
        <f t="shared" si="4"/>
        <v>83</v>
      </c>
      <c r="C88" s="380">
        <f>PMSplint!T132</f>
        <v>1.3771343665499607</v>
      </c>
      <c r="D88" s="500">
        <v>0.49590084445667348</v>
      </c>
      <c r="E88" s="381">
        <f t="shared" si="5"/>
        <v>0.49590084445667348</v>
      </c>
      <c r="F88" s="382">
        <f>TxSplint!N132</f>
        <v>12.606366532519669</v>
      </c>
      <c r="G88" s="455"/>
      <c r="H88" s="381">
        <f t="shared" si="6"/>
        <v>12.606366532519669</v>
      </c>
      <c r="I88" s="382">
        <f>TnSplint!N132</f>
        <v>4.8422218398804562</v>
      </c>
      <c r="J88" s="455"/>
      <c r="K88" s="381">
        <f t="shared" si="7"/>
        <v>4.8422218398804562</v>
      </c>
      <c r="L88" s="383"/>
      <c r="M88" s="455">
        <v>0</v>
      </c>
      <c r="N88" s="384"/>
    </row>
    <row r="89" spans="1:14">
      <c r="A89" s="444">
        <f>Input!B105</f>
        <v>38070</v>
      </c>
      <c r="B89" s="44">
        <f t="shared" si="4"/>
        <v>84</v>
      </c>
      <c r="C89" s="380">
        <f>PMSplint!T133</f>
        <v>1.3772273427862851</v>
      </c>
      <c r="D89" s="500">
        <v>1.5357753584385381</v>
      </c>
      <c r="E89" s="381">
        <f t="shared" si="5"/>
        <v>1.5357753584385381</v>
      </c>
      <c r="F89" s="382">
        <f>TxSplint!N133</f>
        <v>12.689045343427743</v>
      </c>
      <c r="G89" s="455"/>
      <c r="H89" s="381">
        <f t="shared" si="6"/>
        <v>12.689045343427743</v>
      </c>
      <c r="I89" s="382">
        <f>TnSplint!N133</f>
        <v>4.9894900193196037</v>
      </c>
      <c r="J89" s="455"/>
      <c r="K89" s="381">
        <f t="shared" si="7"/>
        <v>4.9894900193196037</v>
      </c>
      <c r="L89" s="383"/>
      <c r="M89" s="455">
        <v>0</v>
      </c>
      <c r="N89" s="384"/>
    </row>
    <row r="90" spans="1:14">
      <c r="A90" s="444">
        <f>Input!B106</f>
        <v>38071</v>
      </c>
      <c r="B90" s="44">
        <f t="shared" si="4"/>
        <v>85</v>
      </c>
      <c r="C90" s="380">
        <f>PMSplint!T134</f>
        <v>1.3762526369882051</v>
      </c>
      <c r="D90" s="500">
        <v>1.8042864664435185</v>
      </c>
      <c r="E90" s="381">
        <f t="shared" si="5"/>
        <v>1.8042864664435185</v>
      </c>
      <c r="F90" s="382">
        <f>TxSplint!N134</f>
        <v>12.755694232754266</v>
      </c>
      <c r="G90" s="455"/>
      <c r="H90" s="381">
        <f t="shared" si="6"/>
        <v>12.755694232754266</v>
      </c>
      <c r="I90" s="382">
        <f>TnSplint!N134</f>
        <v>5.1273651693785975</v>
      </c>
      <c r="J90" s="455"/>
      <c r="K90" s="381">
        <f t="shared" si="7"/>
        <v>5.1273651693785975</v>
      </c>
      <c r="L90" s="383"/>
      <c r="M90" s="455">
        <v>0</v>
      </c>
      <c r="N90" s="384"/>
    </row>
    <row r="91" spans="1:14">
      <c r="A91" s="444">
        <f>Input!B107</f>
        <v>38072</v>
      </c>
      <c r="B91" s="44">
        <f t="shared" si="4"/>
        <v>86</v>
      </c>
      <c r="C91" s="380">
        <f>PMSplint!T135</f>
        <v>1.3743839821559578</v>
      </c>
      <c r="D91" s="500">
        <v>1.0646170170755511</v>
      </c>
      <c r="E91" s="381">
        <f t="shared" si="5"/>
        <v>1.0646170170755511</v>
      </c>
      <c r="F91" s="382">
        <f>TxSplint!N135</f>
        <v>12.807581283682149</v>
      </c>
      <c r="G91" s="455"/>
      <c r="H91" s="381">
        <f t="shared" si="6"/>
        <v>12.807581283682149</v>
      </c>
      <c r="I91" s="382">
        <f>TnSplint!N135</f>
        <v>5.2564611658623628</v>
      </c>
      <c r="J91" s="455"/>
      <c r="K91" s="381">
        <f t="shared" si="7"/>
        <v>5.2564611658623628</v>
      </c>
      <c r="L91" s="383"/>
      <c r="M91" s="455">
        <v>0</v>
      </c>
      <c r="N91" s="384"/>
    </row>
    <row r="92" spans="1:14">
      <c r="A92" s="444">
        <f>Input!B108</f>
        <v>38073</v>
      </c>
      <c r="B92" s="44">
        <f t="shared" si="4"/>
        <v>87</v>
      </c>
      <c r="C92" s="380">
        <f>PMSplint!T136</f>
        <v>1.3717951112897815</v>
      </c>
      <c r="D92" s="500">
        <v>0.68732022495647926</v>
      </c>
      <c r="E92" s="381">
        <f t="shared" si="5"/>
        <v>0.68732022495647926</v>
      </c>
      <c r="F92" s="382">
        <f>TxSplint!N136</f>
        <v>12.845974579394289</v>
      </c>
      <c r="G92" s="455"/>
      <c r="H92" s="381">
        <f t="shared" si="6"/>
        <v>12.845974579394289</v>
      </c>
      <c r="I92" s="382">
        <f>TnSplint!N136</f>
        <v>5.3773918845758271</v>
      </c>
      <c r="J92" s="455"/>
      <c r="K92" s="381">
        <f t="shared" si="7"/>
        <v>5.3773918845758271</v>
      </c>
      <c r="L92" s="383"/>
      <c r="M92" s="455">
        <v>0</v>
      </c>
      <c r="N92" s="384"/>
    </row>
    <row r="93" spans="1:14">
      <c r="A93" s="444">
        <f>Input!B109</f>
        <v>38074</v>
      </c>
      <c r="B93" s="44">
        <f t="shared" si="4"/>
        <v>88</v>
      </c>
      <c r="C93" s="380">
        <f>PMSplint!T137</f>
        <v>1.3686597573899133</v>
      </c>
      <c r="D93" s="500">
        <v>2.3931185072781882</v>
      </c>
      <c r="E93" s="381">
        <f t="shared" si="5"/>
        <v>2.3931185072781882</v>
      </c>
      <c r="F93" s="382">
        <f>TxSplint!N137</f>
        <v>12.872142203073588</v>
      </c>
      <c r="G93" s="455"/>
      <c r="H93" s="381">
        <f t="shared" si="6"/>
        <v>12.872142203073588</v>
      </c>
      <c r="I93" s="382">
        <f>TnSplint!N137</f>
        <v>5.4907712013239136</v>
      </c>
      <c r="J93" s="455"/>
      <c r="K93" s="381">
        <f t="shared" si="7"/>
        <v>5.4907712013239136</v>
      </c>
      <c r="L93" s="383"/>
      <c r="M93" s="455">
        <v>0</v>
      </c>
      <c r="N93" s="384"/>
    </row>
    <row r="94" spans="1:14">
      <c r="A94" s="444">
        <f>Input!B110</f>
        <v>38075</v>
      </c>
      <c r="B94" s="44">
        <f t="shared" si="4"/>
        <v>89</v>
      </c>
      <c r="C94" s="380">
        <f>PMSplint!T138</f>
        <v>1.3651516534565904</v>
      </c>
      <c r="D94" s="500">
        <v>2.1526092770776621</v>
      </c>
      <c r="E94" s="381">
        <f t="shared" si="5"/>
        <v>2.1526092770776621</v>
      </c>
      <c r="F94" s="382">
        <f>TxSplint!N138</f>
        <v>12.887352237902951</v>
      </c>
      <c r="G94" s="455"/>
      <c r="H94" s="381">
        <f t="shared" si="6"/>
        <v>12.887352237902951</v>
      </c>
      <c r="I94" s="382">
        <f>TnSplint!N138</f>
        <v>5.5972129919115465</v>
      </c>
      <c r="J94" s="455"/>
      <c r="K94" s="381">
        <f t="shared" si="7"/>
        <v>5.5972129919115465</v>
      </c>
      <c r="L94" s="383"/>
      <c r="M94" s="455">
        <v>0</v>
      </c>
      <c r="N94" s="384"/>
    </row>
    <row r="95" spans="1:14">
      <c r="A95" s="444">
        <f>Input!B111</f>
        <v>38076</v>
      </c>
      <c r="B95" s="44">
        <f t="shared" si="4"/>
        <v>90</v>
      </c>
      <c r="C95" s="380">
        <f>PMSplint!T139</f>
        <v>1.3614445324900508</v>
      </c>
      <c r="D95" s="500">
        <v>2.5106888403813876</v>
      </c>
      <c r="E95" s="381">
        <f t="shared" si="5"/>
        <v>2.5106888403813876</v>
      </c>
      <c r="F95" s="382">
        <f>TxSplint!N139</f>
        <v>12.892872767065272</v>
      </c>
      <c r="G95" s="455"/>
      <c r="H95" s="381">
        <f t="shared" si="6"/>
        <v>12.892872767065272</v>
      </c>
      <c r="I95" s="382">
        <f>TnSplint!N139</f>
        <v>5.6973311321436535</v>
      </c>
      <c r="J95" s="455"/>
      <c r="K95" s="381">
        <f t="shared" si="7"/>
        <v>5.6973311321436535</v>
      </c>
      <c r="L95" s="383"/>
      <c r="M95" s="455">
        <v>0</v>
      </c>
      <c r="N95" s="384"/>
    </row>
    <row r="96" spans="1:14">
      <c r="A96" s="444">
        <f>Input!B112</f>
        <v>38077</v>
      </c>
      <c r="B96" s="44">
        <f t="shared" si="4"/>
        <v>91</v>
      </c>
      <c r="C96" s="380">
        <f>PMSplint!T140</f>
        <v>1.3577121274905322</v>
      </c>
      <c r="D96" s="500">
        <v>0.93869359143232689</v>
      </c>
      <c r="E96" s="381">
        <f t="shared" si="5"/>
        <v>0.93869359143232689</v>
      </c>
      <c r="F96" s="382">
        <f>TxSplint!N140</f>
        <v>12.889971873743459</v>
      </c>
      <c r="G96" s="455"/>
      <c r="H96" s="381">
        <f t="shared" si="6"/>
        <v>12.889971873743459</v>
      </c>
      <c r="I96" s="382">
        <f>TnSplint!N140</f>
        <v>5.7917394978251613</v>
      </c>
      <c r="J96" s="455"/>
      <c r="K96" s="381">
        <f t="shared" si="7"/>
        <v>5.7917394978251613</v>
      </c>
      <c r="L96" s="383"/>
      <c r="M96" s="455">
        <v>0</v>
      </c>
      <c r="N96" s="384"/>
    </row>
    <row r="97" spans="1:14">
      <c r="A97" s="444">
        <f>Input!B113</f>
        <v>38078</v>
      </c>
      <c r="B97" s="44">
        <f t="shared" si="4"/>
        <v>92</v>
      </c>
      <c r="C97" s="380">
        <f>PMSplint!T141</f>
        <v>1.3541281714582716</v>
      </c>
      <c r="D97" s="500">
        <v>1.6167318103592816</v>
      </c>
      <c r="E97" s="381">
        <f t="shared" si="5"/>
        <v>1.6167318103592816</v>
      </c>
      <c r="F97" s="382">
        <f>TxSplint!N141</f>
        <v>12.879917641120414</v>
      </c>
      <c r="G97" s="455"/>
      <c r="H97" s="381">
        <f t="shared" si="6"/>
        <v>12.879917641120414</v>
      </c>
      <c r="I97" s="382">
        <f>TnSplint!N141</f>
        <v>5.8810519647609922</v>
      </c>
      <c r="J97" s="455"/>
      <c r="K97" s="381">
        <f t="shared" si="7"/>
        <v>5.8810519647609922</v>
      </c>
      <c r="L97" s="383"/>
      <c r="M97" s="455">
        <v>0</v>
      </c>
      <c r="N97" s="384"/>
    </row>
    <row r="98" spans="1:14">
      <c r="A98" s="444">
        <f>Input!B114</f>
        <v>38079</v>
      </c>
      <c r="B98" s="44">
        <f t="shared" si="4"/>
        <v>93</v>
      </c>
      <c r="C98" s="380">
        <f>PMSplint!T142</f>
        <v>1.3508663973935069</v>
      </c>
      <c r="D98" s="500">
        <v>1.8984918973670475</v>
      </c>
      <c r="E98" s="381">
        <f t="shared" si="5"/>
        <v>1.8984918973670475</v>
      </c>
      <c r="F98" s="382">
        <f>TxSplint!N142</f>
        <v>12.863978152379039</v>
      </c>
      <c r="G98" s="455"/>
      <c r="H98" s="381">
        <f t="shared" si="6"/>
        <v>12.863978152379039</v>
      </c>
      <c r="I98" s="382">
        <f>TnSplint!N142</f>
        <v>5.9658824087560722</v>
      </c>
      <c r="J98" s="455"/>
      <c r="K98" s="381">
        <f t="shared" si="7"/>
        <v>5.9658824087560722</v>
      </c>
      <c r="L98" s="383"/>
      <c r="M98" s="455">
        <v>0</v>
      </c>
      <c r="N98" s="384"/>
    </row>
    <row r="99" spans="1:14">
      <c r="A99" s="444">
        <f>Input!B115</f>
        <v>38080</v>
      </c>
      <c r="B99" s="44">
        <f t="shared" si="4"/>
        <v>94</v>
      </c>
      <c r="C99" s="380">
        <f>PMSplint!T143</f>
        <v>1.3481005382964759</v>
      </c>
      <c r="D99" s="500">
        <v>2.1128725013730758</v>
      </c>
      <c r="E99" s="381">
        <f t="shared" si="5"/>
        <v>2.1128725013730758</v>
      </c>
      <c r="F99" s="382">
        <f>TxSplint!N143</f>
        <v>12.843421490702234</v>
      </c>
      <c r="G99" s="455"/>
      <c r="H99" s="381">
        <f t="shared" si="6"/>
        <v>12.843421490702234</v>
      </c>
      <c r="I99" s="382">
        <f>TnSplint!N143</f>
        <v>6.0468447056153289</v>
      </c>
      <c r="J99" s="455"/>
      <c r="K99" s="381">
        <f t="shared" si="7"/>
        <v>6.0468447056153289</v>
      </c>
      <c r="L99" s="383"/>
      <c r="M99" s="455">
        <v>2</v>
      </c>
      <c r="N99" s="384"/>
    </row>
    <row r="100" spans="1:14">
      <c r="A100" s="444">
        <f>Input!B116</f>
        <v>38081</v>
      </c>
      <c r="B100" s="44">
        <f t="shared" si="4"/>
        <v>95</v>
      </c>
      <c r="C100" s="380">
        <f>PMSplint!T144</f>
        <v>1.3460043271674156</v>
      </c>
      <c r="D100" s="500">
        <v>0.44427184411836929</v>
      </c>
      <c r="E100" s="381">
        <f t="shared" si="5"/>
        <v>0.44427184411836929</v>
      </c>
      <c r="F100" s="382">
        <f>TxSplint!N144</f>
        <v>12.8195157392729</v>
      </c>
      <c r="G100" s="455"/>
      <c r="H100" s="381">
        <f t="shared" si="6"/>
        <v>12.8195157392729</v>
      </c>
      <c r="I100" s="382">
        <f>TnSplint!N144</f>
        <v>6.1245527311436847</v>
      </c>
      <c r="J100" s="455"/>
      <c r="K100" s="381">
        <f t="shared" si="7"/>
        <v>6.1245527311436847</v>
      </c>
      <c r="L100" s="383"/>
      <c r="M100" s="455">
        <v>2.4</v>
      </c>
      <c r="N100" s="384"/>
    </row>
    <row r="101" spans="1:14">
      <c r="A101" s="444">
        <f>Input!B117</f>
        <v>38082</v>
      </c>
      <c r="B101" s="44">
        <f t="shared" si="4"/>
        <v>96</v>
      </c>
      <c r="C101" s="380">
        <f>PMSplint!T145</f>
        <v>1.3447514970065642</v>
      </c>
      <c r="D101" s="500">
        <v>1.2870475400541517</v>
      </c>
      <c r="E101" s="381">
        <f t="shared" si="5"/>
        <v>1.2870475400541517</v>
      </c>
      <c r="F101" s="382">
        <f>TxSplint!N145</f>
        <v>12.793528981273941</v>
      </c>
      <c r="G101" s="455"/>
      <c r="H101" s="381">
        <f t="shared" si="6"/>
        <v>12.793528981273941</v>
      </c>
      <c r="I101" s="382">
        <f>TnSplint!N145</f>
        <v>6.1996203611460672</v>
      </c>
      <c r="J101" s="455"/>
      <c r="K101" s="381">
        <f t="shared" si="7"/>
        <v>6.1996203611460672</v>
      </c>
      <c r="L101" s="383"/>
      <c r="M101" s="455">
        <v>4</v>
      </c>
      <c r="N101" s="384"/>
    </row>
    <row r="102" spans="1:14">
      <c r="A102" s="444">
        <f>Input!B118</f>
        <v>38083</v>
      </c>
      <c r="B102" s="44">
        <f t="shared" si="4"/>
        <v>97</v>
      </c>
      <c r="C102" s="380">
        <f>PMSplint!T146</f>
        <v>1.3445157808141583</v>
      </c>
      <c r="D102" s="500">
        <v>1.8718532351116166</v>
      </c>
      <c r="E102" s="381">
        <f t="shared" si="5"/>
        <v>1.8718532351116166</v>
      </c>
      <c r="F102" s="382">
        <f>TxSplint!N146</f>
        <v>12.766729299888258</v>
      </c>
      <c r="G102" s="455"/>
      <c r="H102" s="381">
        <f t="shared" si="6"/>
        <v>12.766729299888258</v>
      </c>
      <c r="I102" s="382">
        <f>TnSplint!N146</f>
        <v>6.2726614714274014</v>
      </c>
      <c r="J102" s="455"/>
      <c r="K102" s="381">
        <f t="shared" si="7"/>
        <v>6.2726614714274014</v>
      </c>
      <c r="L102" s="383"/>
      <c r="M102" s="455">
        <v>0.8</v>
      </c>
      <c r="N102" s="384"/>
    </row>
    <row r="103" spans="1:14">
      <c r="A103" s="444">
        <f>Input!B119</f>
        <v>38084</v>
      </c>
      <c r="B103" s="44">
        <f t="shared" si="4"/>
        <v>98</v>
      </c>
      <c r="C103" s="380">
        <f>PMSplint!T147</f>
        <v>1.3454709115904369</v>
      </c>
      <c r="D103" s="500">
        <v>2.4478030510786795</v>
      </c>
      <c r="E103" s="381">
        <f t="shared" si="5"/>
        <v>2.4478030510786795</v>
      </c>
      <c r="F103" s="382">
        <f>TxSplint!N147</f>
        <v>12.740384778298754</v>
      </c>
      <c r="G103" s="455"/>
      <c r="H103" s="381">
        <f t="shared" si="6"/>
        <v>12.740384778298754</v>
      </c>
      <c r="I103" s="382">
        <f>TnSplint!N147</f>
        <v>6.3442899377926132</v>
      </c>
      <c r="J103" s="455"/>
      <c r="K103" s="381">
        <f t="shared" si="7"/>
        <v>6.3442899377926132</v>
      </c>
      <c r="L103" s="383"/>
      <c r="M103" s="455">
        <v>0</v>
      </c>
      <c r="N103" s="384"/>
    </row>
    <row r="104" spans="1:14">
      <c r="A104" s="444">
        <f>Input!B120</f>
        <v>38085</v>
      </c>
      <c r="B104" s="44">
        <f t="shared" si="4"/>
        <v>99</v>
      </c>
      <c r="C104" s="380">
        <f>PMSplint!T148</f>
        <v>1.3477906223356362</v>
      </c>
      <c r="D104" s="500">
        <v>0.46595535146604128</v>
      </c>
      <c r="E104" s="381">
        <f t="shared" si="5"/>
        <v>0.46595535146604128</v>
      </c>
      <c r="F104" s="382">
        <f>TxSplint!N148</f>
        <v>12.715763499688325</v>
      </c>
      <c r="G104" s="455"/>
      <c r="H104" s="381">
        <f t="shared" si="6"/>
        <v>12.715763499688325</v>
      </c>
      <c r="I104" s="382">
        <f>TnSplint!N148</f>
        <v>6.4151196360466267</v>
      </c>
      <c r="J104" s="455"/>
      <c r="K104" s="381">
        <f t="shared" si="7"/>
        <v>6.4151196360466267</v>
      </c>
      <c r="L104" s="383"/>
      <c r="M104" s="455">
        <v>8</v>
      </c>
      <c r="N104" s="384"/>
    </row>
    <row r="105" spans="1:14">
      <c r="A105" s="444">
        <f>Input!B121</f>
        <v>38086</v>
      </c>
      <c r="B105" s="44">
        <f t="shared" si="4"/>
        <v>100</v>
      </c>
      <c r="C105" s="380">
        <f>PMSplint!T149</f>
        <v>1.3516486460499944</v>
      </c>
      <c r="D105" s="500">
        <v>0.54789851191428862</v>
      </c>
      <c r="E105" s="381">
        <f t="shared" si="5"/>
        <v>0.54789851191428862</v>
      </c>
      <c r="F105" s="382">
        <f>TxSplint!N149</f>
        <v>12.694133547239881</v>
      </c>
      <c r="G105" s="455"/>
      <c r="H105" s="381">
        <f t="shared" si="6"/>
        <v>12.694133547239881</v>
      </c>
      <c r="I105" s="382">
        <f>TnSplint!N149</f>
        <v>6.4857644419943679</v>
      </c>
      <c r="J105" s="455"/>
      <c r="K105" s="381">
        <f t="shared" si="7"/>
        <v>6.4857644419943679</v>
      </c>
      <c r="L105" s="383"/>
      <c r="M105" s="455">
        <v>0</v>
      </c>
      <c r="N105" s="384"/>
    </row>
    <row r="106" spans="1:14">
      <c r="A106" s="444">
        <f>Input!B122</f>
        <v>38087</v>
      </c>
      <c r="B106" s="44">
        <f t="shared" si="4"/>
        <v>101</v>
      </c>
      <c r="C106" s="380">
        <f>PMSplint!T150</f>
        <v>1.3572187157337487</v>
      </c>
      <c r="D106" s="500">
        <v>1.5021347877701818</v>
      </c>
      <c r="E106" s="381">
        <f t="shared" si="5"/>
        <v>1.5021347877701818</v>
      </c>
      <c r="F106" s="382">
        <f>TxSplint!N150</f>
        <v>12.676763004136319</v>
      </c>
      <c r="G106" s="455"/>
      <c r="H106" s="381">
        <f t="shared" si="6"/>
        <v>12.676763004136319</v>
      </c>
      <c r="I106" s="382">
        <f>TnSplint!N150</f>
        <v>6.5568382314407625</v>
      </c>
      <c r="J106" s="455"/>
      <c r="K106" s="381">
        <f t="shared" si="7"/>
        <v>6.5568382314407625</v>
      </c>
      <c r="L106" s="383"/>
      <c r="M106" s="455">
        <v>0.6</v>
      </c>
      <c r="N106" s="384"/>
    </row>
    <row r="107" spans="1:14">
      <c r="A107" s="444">
        <f>Input!B123</f>
        <v>38088</v>
      </c>
      <c r="B107" s="44">
        <f t="shared" si="4"/>
        <v>102</v>
      </c>
      <c r="C107" s="380">
        <f>PMSplint!T151</f>
        <v>1.3646745643871374</v>
      </c>
      <c r="D107" s="500">
        <v>1.4775161847336267</v>
      </c>
      <c r="E107" s="381">
        <f t="shared" si="5"/>
        <v>1.4775161847336267</v>
      </c>
      <c r="F107" s="382">
        <f>TxSplint!N151</f>
        <v>12.664919953560545</v>
      </c>
      <c r="G107" s="455"/>
      <c r="H107" s="381">
        <f t="shared" si="6"/>
        <v>12.664919953560545</v>
      </c>
      <c r="I107" s="382">
        <f>TnSplint!N151</f>
        <v>6.6289548801907348</v>
      </c>
      <c r="J107" s="455"/>
      <c r="K107" s="381">
        <f t="shared" si="7"/>
        <v>6.6289548801907348</v>
      </c>
      <c r="L107" s="383"/>
      <c r="M107" s="455">
        <v>15</v>
      </c>
      <c r="N107" s="384"/>
    </row>
    <row r="108" spans="1:14">
      <c r="A108" s="444">
        <f>Input!B124</f>
        <v>38089</v>
      </c>
      <c r="B108" s="44">
        <f t="shared" si="4"/>
        <v>103</v>
      </c>
      <c r="C108" s="380">
        <f>PMSplint!T152</f>
        <v>1.3741899250103971</v>
      </c>
      <c r="D108" s="500">
        <v>2.3188094411304103</v>
      </c>
      <c r="E108" s="381">
        <f t="shared" si="5"/>
        <v>2.3188094411304103</v>
      </c>
      <c r="F108" s="382">
        <f>TxSplint!N152</f>
        <v>12.659872478695455</v>
      </c>
      <c r="G108" s="455"/>
      <c r="H108" s="381">
        <f t="shared" si="6"/>
        <v>12.659872478695455</v>
      </c>
      <c r="I108" s="382">
        <f>TnSplint!N152</f>
        <v>6.7027282640492114</v>
      </c>
      <c r="J108" s="455"/>
      <c r="K108" s="381">
        <f t="shared" si="7"/>
        <v>6.7027282640492114</v>
      </c>
      <c r="L108" s="383"/>
      <c r="M108" s="455">
        <v>0</v>
      </c>
      <c r="N108" s="384"/>
    </row>
    <row r="109" spans="1:14">
      <c r="A109" s="444">
        <f>Input!B125</f>
        <v>38090</v>
      </c>
      <c r="B109" s="44">
        <f t="shared" si="4"/>
        <v>104</v>
      </c>
      <c r="C109" s="380">
        <f>PMSplint!T153</f>
        <v>1.3859385306037662</v>
      </c>
      <c r="D109" s="500">
        <v>2.3817274499732548</v>
      </c>
      <c r="E109" s="381">
        <f t="shared" si="5"/>
        <v>2.3817274499732548</v>
      </c>
      <c r="F109" s="382">
        <f>TxSplint!N153</f>
        <v>12.662888662723953</v>
      </c>
      <c r="G109" s="455"/>
      <c r="H109" s="381">
        <f t="shared" si="6"/>
        <v>12.662888662723953</v>
      </c>
      <c r="I109" s="382">
        <f>TnSplint!N153</f>
        <v>6.7787722588211174</v>
      </c>
      <c r="J109" s="455"/>
      <c r="K109" s="381">
        <f t="shared" si="7"/>
        <v>6.7787722588211174</v>
      </c>
      <c r="L109" s="383"/>
      <c r="M109" s="455">
        <v>8.4</v>
      </c>
      <c r="N109" s="384"/>
    </row>
    <row r="110" spans="1:14">
      <c r="A110" s="444">
        <f>Input!B126</f>
        <v>38091</v>
      </c>
      <c r="B110" s="44">
        <f t="shared" si="4"/>
        <v>105</v>
      </c>
      <c r="C110" s="380">
        <f>PMSplint!T154</f>
        <v>1.4000941141674814</v>
      </c>
      <c r="D110" s="500">
        <v>1.2746820392788025</v>
      </c>
      <c r="E110" s="381">
        <f t="shared" si="5"/>
        <v>1.2746820392788025</v>
      </c>
      <c r="F110" s="382">
        <f>TxSplint!N154</f>
        <v>12.675236588828941</v>
      </c>
      <c r="G110" s="455"/>
      <c r="H110" s="381">
        <f t="shared" si="6"/>
        <v>12.675236588828941</v>
      </c>
      <c r="I110" s="382">
        <f>TnSplint!N154</f>
        <v>6.8577007403113788</v>
      </c>
      <c r="J110" s="455"/>
      <c r="K110" s="381">
        <f t="shared" si="7"/>
        <v>6.8577007403113788</v>
      </c>
      <c r="L110" s="383"/>
      <c r="M110" s="455">
        <v>2.4</v>
      </c>
      <c r="N110" s="384"/>
    </row>
    <row r="111" spans="1:14">
      <c r="A111" s="444">
        <f>Input!B127</f>
        <v>38092</v>
      </c>
      <c r="B111" s="44">
        <f t="shared" si="4"/>
        <v>106</v>
      </c>
      <c r="C111" s="380">
        <f>PMSplint!T155</f>
        <v>1.4168304087017813</v>
      </c>
      <c r="D111" s="500">
        <v>1.7042348255788369</v>
      </c>
      <c r="E111" s="381">
        <f t="shared" si="5"/>
        <v>1.7042348255788369</v>
      </c>
      <c r="F111" s="382">
        <f>TxSplint!N155</f>
        <v>12.698184340193325</v>
      </c>
      <c r="G111" s="455"/>
      <c r="H111" s="381">
        <f t="shared" si="6"/>
        <v>12.698184340193325</v>
      </c>
      <c r="I111" s="382">
        <f>TnSplint!N155</f>
        <v>6.9401275843249213</v>
      </c>
      <c r="J111" s="455"/>
      <c r="K111" s="381">
        <f t="shared" si="7"/>
        <v>6.9401275843249213</v>
      </c>
      <c r="L111" s="383"/>
      <c r="M111" s="455">
        <v>6</v>
      </c>
      <c r="N111" s="384"/>
    </row>
    <row r="112" spans="1:14">
      <c r="A112" s="444">
        <f>Input!B128</f>
        <v>38093</v>
      </c>
      <c r="B112" s="44">
        <f t="shared" si="4"/>
        <v>107</v>
      </c>
      <c r="C112" s="380">
        <f>PMSplint!T156</f>
        <v>1.4363211472069024</v>
      </c>
      <c r="D112" s="500">
        <v>0.75456294317937433</v>
      </c>
      <c r="E112" s="381">
        <f t="shared" si="5"/>
        <v>0.75456294317937433</v>
      </c>
      <c r="F112" s="382">
        <f>TxSplint!N156</f>
        <v>12.733000000000001</v>
      </c>
      <c r="G112" s="455"/>
      <c r="H112" s="381">
        <f t="shared" si="6"/>
        <v>12.733000000000001</v>
      </c>
      <c r="I112" s="382">
        <f>TnSplint!N156</f>
        <v>7.0266666666666682</v>
      </c>
      <c r="J112" s="455"/>
      <c r="K112" s="381">
        <f t="shared" si="7"/>
        <v>7.0266666666666682</v>
      </c>
      <c r="L112" s="383"/>
      <c r="M112" s="455">
        <v>7.6</v>
      </c>
      <c r="N112" s="384"/>
    </row>
    <row r="113" spans="1:14">
      <c r="A113" s="444">
        <f>Input!B129</f>
        <v>38094</v>
      </c>
      <c r="B113" s="44">
        <f t="shared" si="4"/>
        <v>108</v>
      </c>
      <c r="C113" s="380">
        <f>PMSplint!T157</f>
        <v>1.4586920641558638</v>
      </c>
      <c r="D113" s="500">
        <v>1.6714663384207553</v>
      </c>
      <c r="E113" s="381">
        <f t="shared" si="5"/>
        <v>1.6714663384207553</v>
      </c>
      <c r="F113" s="382">
        <f>TxSplint!N157</f>
        <v>12.780667436456939</v>
      </c>
      <c r="G113" s="455"/>
      <c r="H113" s="381">
        <f t="shared" si="6"/>
        <v>12.780667436456939</v>
      </c>
      <c r="I113" s="382">
        <f>TnSplint!N157</f>
        <v>7.1178115818123819</v>
      </c>
      <c r="J113" s="455"/>
      <c r="K113" s="381">
        <f t="shared" si="7"/>
        <v>7.1178115818123819</v>
      </c>
      <c r="L113" s="383"/>
      <c r="M113" s="455">
        <v>0.2</v>
      </c>
      <c r="N113" s="384"/>
    </row>
    <row r="114" spans="1:14">
      <c r="A114" s="444">
        <f>Input!B130</f>
        <v>38095</v>
      </c>
      <c r="B114" s="44">
        <f t="shared" si="4"/>
        <v>109</v>
      </c>
      <c r="C114" s="380">
        <f>PMSplint!T158</f>
        <v>1.4838768999128071</v>
      </c>
      <c r="D114" s="500">
        <v>2.3496203991815219</v>
      </c>
      <c r="E114" s="381">
        <f t="shared" si="5"/>
        <v>2.3496203991815219</v>
      </c>
      <c r="F114" s="382">
        <f>TxSplint!N158</f>
        <v>12.84103365787238</v>
      </c>
      <c r="G114" s="455"/>
      <c r="H114" s="381">
        <f t="shared" si="6"/>
        <v>12.84103365787238</v>
      </c>
      <c r="I114" s="382">
        <f>TnSplint!N158</f>
        <v>7.2135747989211634</v>
      </c>
      <c r="J114" s="455"/>
      <c r="K114" s="381">
        <f t="shared" si="7"/>
        <v>7.2135747989211634</v>
      </c>
      <c r="L114" s="383"/>
      <c r="M114" s="455">
        <v>0.6</v>
      </c>
      <c r="N114" s="384"/>
    </row>
    <row r="115" spans="1:14">
      <c r="A115" s="444">
        <f>Input!B131</f>
        <v>38096</v>
      </c>
      <c r="B115" s="44">
        <f t="shared" si="4"/>
        <v>110</v>
      </c>
      <c r="C115" s="380">
        <f>PMSplint!T159</f>
        <v>1.5117613963146546</v>
      </c>
      <c r="D115" s="500">
        <v>2.1232463360499847</v>
      </c>
      <c r="E115" s="381">
        <f t="shared" si="5"/>
        <v>2.1232463360499847</v>
      </c>
      <c r="F115" s="382">
        <f>TxSplint!N159</f>
        <v>12.913661457579623</v>
      </c>
      <c r="G115" s="455"/>
      <c r="H115" s="381">
        <f t="shared" si="6"/>
        <v>12.913661457579623</v>
      </c>
      <c r="I115" s="382">
        <f>TnSplint!N159</f>
        <v>7.3138485058229499</v>
      </c>
      <c r="J115" s="455"/>
      <c r="K115" s="381">
        <f t="shared" si="7"/>
        <v>7.3138485058229499</v>
      </c>
      <c r="L115" s="383"/>
      <c r="M115" s="455">
        <v>1.4</v>
      </c>
      <c r="N115" s="384"/>
    </row>
    <row r="116" spans="1:14">
      <c r="A116" s="444">
        <f>Input!B132</f>
        <v>38097</v>
      </c>
      <c r="B116" s="44">
        <f t="shared" si="4"/>
        <v>111</v>
      </c>
      <c r="C116" s="380">
        <f>PMSplint!T160</f>
        <v>1.5422312951983292</v>
      </c>
      <c r="D116" s="500">
        <v>2.3856445539884792</v>
      </c>
      <c r="E116" s="381">
        <f t="shared" si="5"/>
        <v>2.3856445539884792</v>
      </c>
      <c r="F116" s="382">
        <f>TxSplint!N160</f>
        <v>12.998113628911973</v>
      </c>
      <c r="G116" s="455"/>
      <c r="H116" s="381">
        <f t="shared" si="6"/>
        <v>12.998113628911973</v>
      </c>
      <c r="I116" s="382">
        <f>TnSplint!N160</f>
        <v>7.4185248903476788</v>
      </c>
      <c r="J116" s="455"/>
      <c r="K116" s="381">
        <f t="shared" si="7"/>
        <v>7.4185248903476788</v>
      </c>
      <c r="L116" s="383"/>
      <c r="M116" s="455">
        <v>3.2</v>
      </c>
      <c r="N116" s="384"/>
    </row>
    <row r="117" spans="1:14">
      <c r="A117" s="444">
        <f>Input!B133</f>
        <v>38098</v>
      </c>
      <c r="B117" s="44">
        <f t="shared" si="4"/>
        <v>112</v>
      </c>
      <c r="C117" s="380">
        <f>PMSplint!T161</f>
        <v>1.5751723384007537</v>
      </c>
      <c r="D117" s="500">
        <v>2.5681773320425307</v>
      </c>
      <c r="E117" s="381">
        <f t="shared" si="5"/>
        <v>2.5681773320425307</v>
      </c>
      <c r="F117" s="382">
        <f>TxSplint!N161</f>
        <v>13.093952965202739</v>
      </c>
      <c r="G117" s="455"/>
      <c r="H117" s="381">
        <f t="shared" si="6"/>
        <v>13.093952965202739</v>
      </c>
      <c r="I117" s="382">
        <f>TnSplint!N161</f>
        <v>7.5274961403252831</v>
      </c>
      <c r="J117" s="455"/>
      <c r="K117" s="381">
        <f t="shared" si="7"/>
        <v>7.5274961403252831</v>
      </c>
      <c r="L117" s="383"/>
      <c r="M117" s="455">
        <v>0</v>
      </c>
      <c r="N117" s="384"/>
    </row>
    <row r="118" spans="1:14">
      <c r="A118" s="444">
        <f>Input!B134</f>
        <v>38099</v>
      </c>
      <c r="B118" s="44">
        <f t="shared" si="4"/>
        <v>113</v>
      </c>
      <c r="C118" s="380">
        <f>PMSplint!T162</f>
        <v>1.6104702677588503</v>
      </c>
      <c r="D118" s="500">
        <v>2.6660228759485736</v>
      </c>
      <c r="E118" s="381">
        <f t="shared" si="5"/>
        <v>2.6660228759485736</v>
      </c>
      <c r="F118" s="382">
        <f>TxSplint!N162</f>
        <v>13.200742259785221</v>
      </c>
      <c r="G118" s="455"/>
      <c r="H118" s="381">
        <f t="shared" si="6"/>
        <v>13.200742259785221</v>
      </c>
      <c r="I118" s="382">
        <f>TnSplint!N162</f>
        <v>7.6406544435857056</v>
      </c>
      <c r="J118" s="455"/>
      <c r="K118" s="381">
        <f t="shared" si="7"/>
        <v>7.6406544435857056</v>
      </c>
      <c r="L118" s="383"/>
      <c r="M118" s="455">
        <v>0</v>
      </c>
      <c r="N118" s="384"/>
    </row>
    <row r="119" spans="1:14">
      <c r="A119" s="444">
        <f>Input!B135</f>
        <v>38100</v>
      </c>
      <c r="B119" s="44">
        <f t="shared" si="4"/>
        <v>114</v>
      </c>
      <c r="C119" s="380">
        <f>PMSplint!T163</f>
        <v>1.6480108251095418</v>
      </c>
      <c r="D119" s="500">
        <v>2.2909912187436534</v>
      </c>
      <c r="E119" s="381">
        <f t="shared" si="5"/>
        <v>2.2909912187436534</v>
      </c>
      <c r="F119" s="382">
        <f>TxSplint!N163</f>
        <v>13.318044305992725</v>
      </c>
      <c r="G119" s="455"/>
      <c r="H119" s="381">
        <f t="shared" si="6"/>
        <v>13.318044305992725</v>
      </c>
      <c r="I119" s="382">
        <f>TnSplint!N163</f>
        <v>7.757891987958879</v>
      </c>
      <c r="J119" s="455"/>
      <c r="K119" s="381">
        <f t="shared" si="7"/>
        <v>7.757891987958879</v>
      </c>
      <c r="L119" s="383"/>
      <c r="M119" s="455">
        <v>0</v>
      </c>
      <c r="N119" s="384"/>
    </row>
    <row r="120" spans="1:14">
      <c r="A120" s="444">
        <f>Input!B136</f>
        <v>38101</v>
      </c>
      <c r="B120" s="44">
        <f t="shared" si="4"/>
        <v>115</v>
      </c>
      <c r="C120" s="380">
        <f>PMSplint!T164</f>
        <v>1.6876797522897506</v>
      </c>
      <c r="D120" s="500">
        <v>1.7423348114641519</v>
      </c>
      <c r="E120" s="381">
        <f t="shared" si="5"/>
        <v>1.7423348114641519</v>
      </c>
      <c r="F120" s="382">
        <f>TxSplint!N164</f>
        <v>13.445421897158553</v>
      </c>
      <c r="G120" s="455"/>
      <c r="H120" s="381">
        <f t="shared" si="6"/>
        <v>13.445421897158553</v>
      </c>
      <c r="I120" s="382">
        <f>TnSplint!N164</f>
        <v>7.8791009612747409</v>
      </c>
      <c r="J120" s="455"/>
      <c r="K120" s="381">
        <f t="shared" si="7"/>
        <v>7.8791009612747409</v>
      </c>
      <c r="L120" s="383"/>
      <c r="M120" s="455">
        <v>0.6</v>
      </c>
      <c r="N120" s="384"/>
    </row>
    <row r="121" spans="1:14">
      <c r="A121" s="444">
        <f>Input!B137</f>
        <v>38102</v>
      </c>
      <c r="B121" s="44">
        <f t="shared" si="4"/>
        <v>116</v>
      </c>
      <c r="C121" s="380">
        <f>PMSplint!T165</f>
        <v>1.7293627911363993</v>
      </c>
      <c r="D121" s="500">
        <v>0.3063071784918493</v>
      </c>
      <c r="E121" s="381">
        <f t="shared" si="5"/>
        <v>0.3063071784918493</v>
      </c>
      <c r="F121" s="382">
        <f>TxSplint!N165</f>
        <v>13.582437826616012</v>
      </c>
      <c r="G121" s="455"/>
      <c r="H121" s="381">
        <f t="shared" si="6"/>
        <v>13.582437826616012</v>
      </c>
      <c r="I121" s="382">
        <f>TnSplint!N165</f>
        <v>8.0041735513632286</v>
      </c>
      <c r="J121" s="455"/>
      <c r="K121" s="381">
        <f t="shared" si="7"/>
        <v>8.0041735513632286</v>
      </c>
      <c r="L121" s="383"/>
      <c r="M121" s="455">
        <v>0</v>
      </c>
      <c r="N121" s="384"/>
    </row>
    <row r="122" spans="1:14">
      <c r="A122" s="444">
        <f>Input!B138</f>
        <v>38103</v>
      </c>
      <c r="B122" s="44">
        <f t="shared" si="4"/>
        <v>117</v>
      </c>
      <c r="C122" s="380">
        <f>PMSplint!T166</f>
        <v>1.772945683486411</v>
      </c>
      <c r="D122" s="501">
        <v>0.21108337461382062</v>
      </c>
      <c r="E122" s="381">
        <f t="shared" si="5"/>
        <v>0.21108337461382062</v>
      </c>
      <c r="F122" s="382">
        <f>TxSplint!N166</f>
        <v>13.728654887698404</v>
      </c>
      <c r="G122" s="455"/>
      <c r="H122" s="381">
        <f t="shared" si="6"/>
        <v>13.728654887698404</v>
      </c>
      <c r="I122" s="382">
        <f>TnSplint!N166</f>
        <v>8.1330019460542786</v>
      </c>
      <c r="J122" s="455"/>
      <c r="K122" s="381">
        <f t="shared" si="7"/>
        <v>8.1330019460542786</v>
      </c>
      <c r="L122" s="383"/>
      <c r="M122" s="455">
        <v>0</v>
      </c>
      <c r="N122" s="384"/>
    </row>
    <row r="123" spans="1:14">
      <c r="A123" s="444">
        <f>Input!B139</f>
        <v>38104</v>
      </c>
      <c r="B123" s="44">
        <f t="shared" si="4"/>
        <v>118</v>
      </c>
      <c r="C123" s="380">
        <f>PMSplint!T167</f>
        <v>1.8183141711767077</v>
      </c>
      <c r="D123" s="501">
        <v>0.15562453823735539</v>
      </c>
      <c r="E123" s="381">
        <f t="shared" si="5"/>
        <v>0.15562453823735539</v>
      </c>
      <c r="F123" s="382">
        <f>TxSplint!N167</f>
        <v>13.883635873739038</v>
      </c>
      <c r="G123" s="455"/>
      <c r="H123" s="381">
        <f t="shared" si="6"/>
        <v>13.883635873739038</v>
      </c>
      <c r="I123" s="382">
        <f>TnSplint!N167</f>
        <v>8.2654783331778301</v>
      </c>
      <c r="J123" s="455"/>
      <c r="K123" s="381">
        <f t="shared" si="7"/>
        <v>8.2654783331778301</v>
      </c>
      <c r="L123" s="383"/>
      <c r="M123" s="455">
        <v>0</v>
      </c>
      <c r="N123" s="384"/>
    </row>
    <row r="124" spans="1:14">
      <c r="A124" s="444">
        <f>Input!B140</f>
        <v>38105</v>
      </c>
      <c r="B124" s="44">
        <f t="shared" si="4"/>
        <v>119</v>
      </c>
      <c r="C124" s="380">
        <f>PMSplint!T168</f>
        <v>1.8653539960442129</v>
      </c>
      <c r="D124" s="501">
        <v>0.19878373475728461</v>
      </c>
      <c r="E124" s="381">
        <f t="shared" si="5"/>
        <v>0.19878373475728461</v>
      </c>
      <c r="F124" s="382">
        <f>TxSplint!N168</f>
        <v>14.046943578071211</v>
      </c>
      <c r="G124" s="455"/>
      <c r="H124" s="381">
        <f t="shared" si="6"/>
        <v>14.046943578071211</v>
      </c>
      <c r="I124" s="382">
        <f>TnSplint!N168</f>
        <v>8.4014949005638169</v>
      </c>
      <c r="J124" s="455"/>
      <c r="K124" s="381">
        <f t="shared" si="7"/>
        <v>8.4014949005638169</v>
      </c>
      <c r="L124" s="383"/>
      <c r="M124" s="455">
        <v>0</v>
      </c>
      <c r="N124" s="384"/>
    </row>
    <row r="125" spans="1:14">
      <c r="A125" s="444">
        <f>Input!B141</f>
        <v>38106</v>
      </c>
      <c r="B125" s="44">
        <f t="shared" si="4"/>
        <v>120</v>
      </c>
      <c r="C125" s="380">
        <f>PMSplint!T169</f>
        <v>1.9139508999258481</v>
      </c>
      <c r="D125" s="501">
        <v>0.18408138027917034</v>
      </c>
      <c r="E125" s="381">
        <f t="shared" si="5"/>
        <v>0.18408138027917034</v>
      </c>
      <c r="F125" s="382">
        <f>TxSplint!N169</f>
        <v>14.218140794028233</v>
      </c>
      <c r="G125" s="455"/>
      <c r="H125" s="381">
        <f t="shared" si="6"/>
        <v>14.218140794028233</v>
      </c>
      <c r="I125" s="382">
        <f>TnSplint!N169</f>
        <v>8.5409438360421746</v>
      </c>
      <c r="J125" s="455"/>
      <c r="K125" s="381">
        <f t="shared" si="7"/>
        <v>8.5409438360421746</v>
      </c>
      <c r="L125" s="383"/>
      <c r="M125" s="455">
        <v>0.8</v>
      </c>
      <c r="N125" s="384"/>
    </row>
    <row r="126" spans="1:14">
      <c r="A126" s="444">
        <f>Input!B142</f>
        <v>38107</v>
      </c>
      <c r="B126" s="44">
        <f t="shared" si="4"/>
        <v>121</v>
      </c>
      <c r="C126" s="380">
        <f>PMSplint!T170</f>
        <v>1.9639906246585359</v>
      </c>
      <c r="D126" s="501">
        <v>0.12965692950090307</v>
      </c>
      <c r="E126" s="381">
        <f t="shared" si="5"/>
        <v>0.12965692950090307</v>
      </c>
      <c r="F126" s="382">
        <f>TxSplint!N170</f>
        <v>14.396790314943404</v>
      </c>
      <c r="G126" s="455"/>
      <c r="H126" s="381">
        <f t="shared" si="6"/>
        <v>14.396790314943404</v>
      </c>
      <c r="I126" s="382">
        <f>TnSplint!N170</f>
        <v>8.6837173274428459</v>
      </c>
      <c r="J126" s="455"/>
      <c r="K126" s="381">
        <f t="shared" si="7"/>
        <v>8.6837173274428459</v>
      </c>
      <c r="L126" s="383"/>
      <c r="M126" s="455">
        <v>11.4</v>
      </c>
      <c r="N126" s="384"/>
    </row>
    <row r="127" spans="1:14">
      <c r="A127" s="444">
        <f>Input!B143</f>
        <v>38108</v>
      </c>
      <c r="B127" s="44">
        <f t="shared" si="4"/>
        <v>122</v>
      </c>
      <c r="C127" s="380">
        <f>PMSplint!T171</f>
        <v>2.0153589120792001</v>
      </c>
      <c r="D127" s="500">
        <v>0.1468710709433419</v>
      </c>
      <c r="E127" s="381">
        <f t="shared" si="5"/>
        <v>0.1468710709433419</v>
      </c>
      <c r="F127" s="382">
        <f>TxSplint!N171</f>
        <v>14.58245493415003</v>
      </c>
      <c r="G127" s="455"/>
      <c r="H127" s="381">
        <f t="shared" si="6"/>
        <v>14.58245493415003</v>
      </c>
      <c r="I127" s="382">
        <f>TnSplint!N171</f>
        <v>8.8297075625957611</v>
      </c>
      <c r="J127" s="455"/>
      <c r="K127" s="381">
        <f t="shared" si="7"/>
        <v>8.8297075625957611</v>
      </c>
      <c r="L127" s="383"/>
      <c r="M127" s="455">
        <v>16</v>
      </c>
      <c r="N127" s="384"/>
    </row>
    <row r="128" spans="1:14">
      <c r="A128" s="444">
        <f>Input!B144</f>
        <v>38109</v>
      </c>
      <c r="B128" s="44">
        <f t="shared" si="4"/>
        <v>123</v>
      </c>
      <c r="C128" s="380">
        <f>PMSplint!T172</f>
        <v>2.0679415040247622</v>
      </c>
      <c r="D128" s="500">
        <v>2.7175793432871416</v>
      </c>
      <c r="E128" s="381">
        <f t="shared" si="5"/>
        <v>2.7175793432871416</v>
      </c>
      <c r="F128" s="382">
        <f>TxSplint!N172</f>
        <v>14.774697444981419</v>
      </c>
      <c r="G128" s="455"/>
      <c r="H128" s="381">
        <f t="shared" si="6"/>
        <v>14.774697444981419</v>
      </c>
      <c r="I128" s="382">
        <f>TnSplint!N172</f>
        <v>8.9788067293308593</v>
      </c>
      <c r="J128" s="455"/>
      <c r="K128" s="381">
        <f t="shared" si="7"/>
        <v>8.9788067293308593</v>
      </c>
      <c r="L128" s="383"/>
      <c r="M128" s="455">
        <v>0</v>
      </c>
      <c r="N128" s="384"/>
    </row>
    <row r="129" spans="1:14">
      <c r="A129" s="444">
        <f>Input!B145</f>
        <v>38110</v>
      </c>
      <c r="B129" s="44">
        <f t="shared" si="4"/>
        <v>124</v>
      </c>
      <c r="C129" s="380">
        <f>PMSplint!T173</f>
        <v>2.1216241423321454</v>
      </c>
      <c r="D129" s="500">
        <v>3.2908053176774832</v>
      </c>
      <c r="E129" s="381">
        <f t="shared" si="5"/>
        <v>3.2908053176774832</v>
      </c>
      <c r="F129" s="382">
        <f>TxSplint!N173</f>
        <v>14.973080640770871</v>
      </c>
      <c r="G129" s="455"/>
      <c r="H129" s="381">
        <f t="shared" si="6"/>
        <v>14.973080640770871</v>
      </c>
      <c r="I129" s="382">
        <f>TnSplint!N173</f>
        <v>9.1309070154780798</v>
      </c>
      <c r="J129" s="455"/>
      <c r="K129" s="381">
        <f t="shared" si="7"/>
        <v>9.1309070154780798</v>
      </c>
      <c r="L129" s="383"/>
      <c r="M129" s="455">
        <v>0</v>
      </c>
      <c r="N129" s="384"/>
    </row>
    <row r="130" spans="1:14">
      <c r="A130" s="444">
        <f>Input!B146</f>
        <v>38111</v>
      </c>
      <c r="B130" s="44">
        <f t="shared" si="4"/>
        <v>125</v>
      </c>
      <c r="C130" s="380">
        <f>PMSplint!T174</f>
        <v>2.1762925688382717</v>
      </c>
      <c r="D130" s="500">
        <v>1.9868260661321759</v>
      </c>
      <c r="E130" s="381">
        <f t="shared" si="5"/>
        <v>1.9868260661321759</v>
      </c>
      <c r="F130" s="382">
        <f>TxSplint!N174</f>
        <v>15.177167314851687</v>
      </c>
      <c r="G130" s="455"/>
      <c r="H130" s="381">
        <f t="shared" si="6"/>
        <v>15.177167314851687</v>
      </c>
      <c r="I130" s="382">
        <f>TnSplint!N174</f>
        <v>9.2859006088673546</v>
      </c>
      <c r="J130" s="455"/>
      <c r="K130" s="381">
        <f t="shared" si="7"/>
        <v>9.2859006088673546</v>
      </c>
      <c r="L130" s="383"/>
      <c r="M130" s="455">
        <v>0</v>
      </c>
      <c r="N130" s="384"/>
    </row>
    <row r="131" spans="1:14">
      <c r="A131" s="444">
        <f>Input!B147</f>
        <v>38112</v>
      </c>
      <c r="B131" s="44">
        <f t="shared" si="4"/>
        <v>126</v>
      </c>
      <c r="C131" s="380">
        <f>PMSplint!T175</f>
        <v>2.2318325253800646</v>
      </c>
      <c r="D131" s="500">
        <v>2.9434706790229859</v>
      </c>
      <c r="E131" s="381">
        <f t="shared" si="5"/>
        <v>2.9434706790229859</v>
      </c>
      <c r="F131" s="382">
        <f>TxSplint!N175</f>
        <v>15.386520260557177</v>
      </c>
      <c r="G131" s="455"/>
      <c r="H131" s="381">
        <f t="shared" si="6"/>
        <v>15.386520260557177</v>
      </c>
      <c r="I131" s="382">
        <f>TnSplint!N175</f>
        <v>9.4436796973286246</v>
      </c>
      <c r="J131" s="455"/>
      <c r="K131" s="381">
        <f t="shared" si="7"/>
        <v>9.4436796973286246</v>
      </c>
      <c r="L131" s="383"/>
      <c r="M131" s="455">
        <v>0</v>
      </c>
      <c r="N131" s="384"/>
    </row>
    <row r="132" spans="1:14">
      <c r="A132" s="444">
        <f>Input!B148</f>
        <v>38113</v>
      </c>
      <c r="B132" s="44">
        <f t="shared" si="4"/>
        <v>127</v>
      </c>
      <c r="C132" s="380">
        <f>PMSplint!T176</f>
        <v>2.2881297537944461</v>
      </c>
      <c r="D132" s="500">
        <v>3.3627214264420116</v>
      </c>
      <c r="E132" s="381">
        <f t="shared" si="5"/>
        <v>3.3627214264420116</v>
      </c>
      <c r="F132" s="382">
        <f>TxSplint!N176</f>
        <v>15.600702271220648</v>
      </c>
      <c r="G132" s="455"/>
      <c r="H132" s="381">
        <f t="shared" si="6"/>
        <v>15.600702271220648</v>
      </c>
      <c r="I132" s="382">
        <f>TnSplint!N176</f>
        <v>9.6041364686918254</v>
      </c>
      <c r="J132" s="455"/>
      <c r="K132" s="381">
        <f t="shared" si="7"/>
        <v>9.6041364686918254</v>
      </c>
      <c r="L132" s="383"/>
      <c r="M132" s="455">
        <v>2.2000000000000002</v>
      </c>
      <c r="N132" s="384"/>
    </row>
    <row r="133" spans="1:14">
      <c r="A133" s="444">
        <f>Input!B149</f>
        <v>38114</v>
      </c>
      <c r="B133" s="44">
        <f t="shared" si="4"/>
        <v>128</v>
      </c>
      <c r="C133" s="380">
        <f>PMSplint!T177</f>
        <v>2.3450699959183381</v>
      </c>
      <c r="D133" s="500">
        <v>1.8421522137245261</v>
      </c>
      <c r="E133" s="381">
        <f t="shared" si="5"/>
        <v>1.8421522137245261</v>
      </c>
      <c r="F133" s="382">
        <f>TxSplint!N177</f>
        <v>15.819276140175395</v>
      </c>
      <c r="G133" s="455"/>
      <c r="H133" s="381">
        <f t="shared" si="6"/>
        <v>15.819276140175395</v>
      </c>
      <c r="I133" s="382">
        <f>TnSplint!N177</f>
        <v>9.7671631107868944</v>
      </c>
      <c r="J133" s="455"/>
      <c r="K133" s="381">
        <f t="shared" si="7"/>
        <v>9.7671631107868944</v>
      </c>
      <c r="L133" s="383"/>
      <c r="M133" s="455">
        <v>0</v>
      </c>
      <c r="N133" s="384"/>
    </row>
    <row r="134" spans="1:14">
      <c r="A134" s="444">
        <f>Input!B150</f>
        <v>38115</v>
      </c>
      <c r="B134" s="44">
        <f t="shared" si="4"/>
        <v>129</v>
      </c>
      <c r="C134" s="380">
        <f>PMSplint!T178</f>
        <v>2.4025389935886645</v>
      </c>
      <c r="D134" s="500">
        <v>1.6487735550847691</v>
      </c>
      <c r="E134" s="381">
        <f t="shared" si="5"/>
        <v>1.6487735550847691</v>
      </c>
      <c r="F134" s="382">
        <f>TxSplint!N178</f>
        <v>16.041804660754728</v>
      </c>
      <c r="G134" s="455"/>
      <c r="H134" s="381">
        <f t="shared" si="6"/>
        <v>16.041804660754728</v>
      </c>
      <c r="I134" s="382">
        <f>TnSplint!N178</f>
        <v>9.9326518114437672</v>
      </c>
      <c r="J134" s="455"/>
      <c r="K134" s="381">
        <f t="shared" si="7"/>
        <v>9.9326518114437672</v>
      </c>
      <c r="L134" s="383"/>
      <c r="M134" s="455">
        <v>0</v>
      </c>
      <c r="N134" s="384"/>
    </row>
    <row r="135" spans="1:14">
      <c r="A135" s="444">
        <f>Input!B151</f>
        <v>38116</v>
      </c>
      <c r="B135" s="44">
        <f t="shared" ref="B135:B198" si="8">A135-DATE(YEAR(A135)-1,12,31)</f>
        <v>130</v>
      </c>
      <c r="C135" s="380">
        <f>PMSplint!T179</f>
        <v>2.4604224886423482</v>
      </c>
      <c r="D135" s="500">
        <v>2.9498016282126498</v>
      </c>
      <c r="E135" s="381">
        <f t="shared" ref="E135:E198" si="9">IF(ISERROR(D135),C135,IF(D135="",C135,IF(D135&lt;0,0,D135)))</f>
        <v>2.9498016282126498</v>
      </c>
      <c r="F135" s="382">
        <f>TxSplint!N179</f>
        <v>16.267850626291953</v>
      </c>
      <c r="G135" s="455"/>
      <c r="H135" s="381">
        <f t="shared" si="6"/>
        <v>16.267850626291953</v>
      </c>
      <c r="I135" s="382">
        <f>TnSplint!N179</f>
        <v>10.100494758492381</v>
      </c>
      <c r="J135" s="455"/>
      <c r="K135" s="381">
        <f t="shared" si="7"/>
        <v>10.100494758492381</v>
      </c>
      <c r="L135" s="383"/>
      <c r="M135" s="455">
        <v>0</v>
      </c>
      <c r="N135" s="384"/>
    </row>
    <row r="136" spans="1:14">
      <c r="A136" s="444">
        <f>Input!B152</f>
        <v>38117</v>
      </c>
      <c r="B136" s="44">
        <f t="shared" si="8"/>
        <v>131</v>
      </c>
      <c r="C136" s="380">
        <f>PMSplint!T180</f>
        <v>2.51860622291631</v>
      </c>
      <c r="D136" s="500">
        <v>3.8585248973018555</v>
      </c>
      <c r="E136" s="381">
        <f t="shared" si="9"/>
        <v>3.8585248973018555</v>
      </c>
      <c r="F136" s="382">
        <f>TxSplint!N180</f>
        <v>16.496976830120367</v>
      </c>
      <c r="G136" s="455"/>
      <c r="H136" s="381">
        <f t="shared" ref="H136:H199" si="10">IF(G136="",F136,G136)</f>
        <v>16.496976830120367</v>
      </c>
      <c r="I136" s="382">
        <f>TnSplint!N180</f>
        <v>10.270584139762676</v>
      </c>
      <c r="J136" s="455"/>
      <c r="K136" s="381">
        <f t="shared" ref="K136:K199" si="11">IF(J136="",I136,J136)</f>
        <v>10.270584139762676</v>
      </c>
      <c r="L136" s="383"/>
      <c r="M136" s="455">
        <v>0</v>
      </c>
      <c r="N136" s="384"/>
    </row>
    <row r="137" spans="1:14">
      <c r="A137" s="444">
        <f>Input!B153</f>
        <v>38118</v>
      </c>
      <c r="B137" s="44">
        <f t="shared" si="8"/>
        <v>132</v>
      </c>
      <c r="C137" s="380">
        <f>PMSplint!T181</f>
        <v>2.5769759382474735</v>
      </c>
      <c r="D137" s="500">
        <v>3.672381118675212</v>
      </c>
      <c r="E137" s="381">
        <f t="shared" si="9"/>
        <v>3.672381118675212</v>
      </c>
      <c r="F137" s="382">
        <f>TxSplint!N181</f>
        <v>16.728746065573283</v>
      </c>
      <c r="G137" s="455"/>
      <c r="H137" s="381">
        <f t="shared" si="10"/>
        <v>16.728746065573283</v>
      </c>
      <c r="I137" s="382">
        <f>TnSplint!N181</f>
        <v>10.442812143084582</v>
      </c>
      <c r="J137" s="455"/>
      <c r="K137" s="381">
        <f t="shared" si="11"/>
        <v>10.442812143084582</v>
      </c>
      <c r="L137" s="383"/>
      <c r="M137" s="455">
        <v>0</v>
      </c>
      <c r="N137" s="384"/>
    </row>
    <row r="138" spans="1:14">
      <c r="A138" s="444">
        <f>Input!B154</f>
        <v>38119</v>
      </c>
      <c r="B138" s="44">
        <f t="shared" si="8"/>
        <v>133</v>
      </c>
      <c r="C138" s="380">
        <f>PMSplint!T182</f>
        <v>2.6354173764727618</v>
      </c>
      <c r="D138" s="500">
        <v>3.9687784154374723</v>
      </c>
      <c r="E138" s="381">
        <f t="shared" si="9"/>
        <v>3.9687784154374723</v>
      </c>
      <c r="F138" s="382">
        <f>TxSplint!N182</f>
        <v>16.962721125983997</v>
      </c>
      <c r="G138" s="455"/>
      <c r="H138" s="381">
        <f t="shared" si="10"/>
        <v>16.962721125983997</v>
      </c>
      <c r="I138" s="382">
        <f>TnSplint!N182</f>
        <v>10.617070956288041</v>
      </c>
      <c r="J138" s="455"/>
      <c r="K138" s="381">
        <f t="shared" si="11"/>
        <v>10.617070956288041</v>
      </c>
      <c r="L138" s="383"/>
      <c r="M138" s="455">
        <v>0</v>
      </c>
      <c r="N138" s="384"/>
    </row>
    <row r="139" spans="1:14">
      <c r="A139" s="444">
        <f>Input!B155</f>
        <v>38120</v>
      </c>
      <c r="B139" s="44">
        <f t="shared" si="8"/>
        <v>134</v>
      </c>
      <c r="C139" s="380">
        <f>PMSplint!T183</f>
        <v>2.6938162794290963</v>
      </c>
      <c r="D139" s="500">
        <v>2.7737374970843311</v>
      </c>
      <c r="E139" s="381">
        <f t="shared" si="9"/>
        <v>2.7737374970843311</v>
      </c>
      <c r="F139" s="382">
        <f>TxSplint!N183</f>
        <v>17.19846480468582</v>
      </c>
      <c r="G139" s="455"/>
      <c r="H139" s="381">
        <f t="shared" si="10"/>
        <v>17.19846480468582</v>
      </c>
      <c r="I139" s="382">
        <f>TnSplint!N183</f>
        <v>10.79325276720299</v>
      </c>
      <c r="J139" s="455"/>
      <c r="K139" s="381">
        <f t="shared" si="11"/>
        <v>10.79325276720299</v>
      </c>
      <c r="L139" s="383"/>
      <c r="M139" s="455">
        <v>9.8000000000000007</v>
      </c>
      <c r="N139" s="384"/>
    </row>
    <row r="140" spans="1:14">
      <c r="A140" s="444">
        <f>Input!B156</f>
        <v>38121</v>
      </c>
      <c r="B140" s="44">
        <f t="shared" si="8"/>
        <v>135</v>
      </c>
      <c r="C140" s="380">
        <f>PMSplint!T184</f>
        <v>2.7520583889534009</v>
      </c>
      <c r="D140" s="500">
        <v>2.5122717623350574</v>
      </c>
      <c r="E140" s="381">
        <f t="shared" si="9"/>
        <v>2.5122717623350574</v>
      </c>
      <c r="F140" s="382">
        <f>TxSplint!N184</f>
        <v>17.435539895012052</v>
      </c>
      <c r="G140" s="455"/>
      <c r="H140" s="381">
        <f t="shared" si="10"/>
        <v>17.435539895012052</v>
      </c>
      <c r="I140" s="382">
        <f>TnSplint!N184</f>
        <v>10.97124976365936</v>
      </c>
      <c r="J140" s="455"/>
      <c r="K140" s="381">
        <f t="shared" si="11"/>
        <v>10.97124976365936</v>
      </c>
      <c r="L140" s="383"/>
      <c r="M140" s="455">
        <v>0</v>
      </c>
      <c r="N140" s="384"/>
    </row>
    <row r="141" spans="1:14">
      <c r="A141" s="444">
        <f>Input!B157</f>
        <v>38122</v>
      </c>
      <c r="B141" s="44">
        <f t="shared" si="8"/>
        <v>136</v>
      </c>
      <c r="C141" s="380">
        <f>PMSplint!T185</f>
        <v>2.8100294468825973</v>
      </c>
      <c r="D141" s="500">
        <v>2.6871893259664557</v>
      </c>
      <c r="E141" s="381">
        <f t="shared" si="9"/>
        <v>2.6871893259664557</v>
      </c>
      <c r="F141" s="382">
        <f>TxSplint!N185</f>
        <v>17.673509190296002</v>
      </c>
      <c r="G141" s="455"/>
      <c r="H141" s="381">
        <f t="shared" si="10"/>
        <v>17.673509190296002</v>
      </c>
      <c r="I141" s="382">
        <f>TnSplint!N185</f>
        <v>11.150954133487097</v>
      </c>
      <c r="J141" s="455"/>
      <c r="K141" s="381">
        <f t="shared" si="11"/>
        <v>11.150954133487097</v>
      </c>
      <c r="L141" s="383"/>
      <c r="M141" s="455">
        <v>0</v>
      </c>
      <c r="N141" s="384"/>
    </row>
    <row r="142" spans="1:14">
      <c r="A142" s="444">
        <f>Input!B158</f>
        <v>38123</v>
      </c>
      <c r="B142" s="44">
        <f t="shared" si="8"/>
        <v>137</v>
      </c>
      <c r="C142" s="380">
        <f>PMSplint!T186</f>
        <v>2.8676151950536086</v>
      </c>
      <c r="D142" s="500">
        <v>2.6582090288371689</v>
      </c>
      <c r="E142" s="381">
        <f t="shared" si="9"/>
        <v>2.6582090288371689</v>
      </c>
      <c r="F142" s="382">
        <f>TxSplint!N186</f>
        <v>17.911935483870966</v>
      </c>
      <c r="G142" s="455"/>
      <c r="H142" s="381">
        <f t="shared" si="10"/>
        <v>17.911935483870966</v>
      </c>
      <c r="I142" s="382">
        <f>TnSplint!N186</f>
        <v>11.332258064516131</v>
      </c>
      <c r="J142" s="455"/>
      <c r="K142" s="381">
        <f t="shared" si="11"/>
        <v>11.332258064516131</v>
      </c>
      <c r="L142" s="383"/>
      <c r="M142" s="455">
        <v>1</v>
      </c>
      <c r="N142" s="384"/>
    </row>
    <row r="143" spans="1:14">
      <c r="A143" s="444">
        <f>Input!B159</f>
        <v>38124</v>
      </c>
      <c r="B143" s="44">
        <f t="shared" si="8"/>
        <v>138</v>
      </c>
      <c r="C143" s="380">
        <f>PMSplint!T187</f>
        <v>2.9247146403846855</v>
      </c>
      <c r="D143" s="500">
        <v>2.1669250851470583</v>
      </c>
      <c r="E143" s="381">
        <f t="shared" si="9"/>
        <v>2.1669250851470583</v>
      </c>
      <c r="F143" s="382">
        <f>TxSplint!N187</f>
        <v>18.150414171013903</v>
      </c>
      <c r="G143" s="455"/>
      <c r="H143" s="381">
        <f t="shared" si="10"/>
        <v>18.150414171013903</v>
      </c>
      <c r="I143" s="382">
        <f>TnSplint!N187</f>
        <v>11.515033453020257</v>
      </c>
      <c r="J143" s="455"/>
      <c r="K143" s="381">
        <f t="shared" si="11"/>
        <v>11.515033453020257</v>
      </c>
      <c r="L143" s="383"/>
      <c r="M143" s="455">
        <v>0</v>
      </c>
      <c r="N143" s="384"/>
    </row>
    <row r="144" spans="1:14">
      <c r="A144" s="444">
        <f>Input!B160</f>
        <v>38125</v>
      </c>
      <c r="B144" s="44">
        <f t="shared" si="8"/>
        <v>139</v>
      </c>
      <c r="C144" s="380">
        <f>PMSplint!T188</f>
        <v>2.9812798501193929</v>
      </c>
      <c r="D144" s="500">
        <v>3.1563511268161637</v>
      </c>
      <c r="E144" s="381">
        <f t="shared" si="9"/>
        <v>3.1563511268161637</v>
      </c>
      <c r="F144" s="382">
        <f>TxSplint!N188</f>
        <v>18.388671054776328</v>
      </c>
      <c r="G144" s="455"/>
      <c r="H144" s="381">
        <f t="shared" si="10"/>
        <v>18.388671054776328</v>
      </c>
      <c r="I144" s="382">
        <f>TnSplint!N188</f>
        <v>11.699071029048698</v>
      </c>
      <c r="J144" s="455"/>
      <c r="K144" s="381">
        <f t="shared" si="11"/>
        <v>11.699071029048698</v>
      </c>
      <c r="L144" s="383"/>
      <c r="M144" s="455">
        <v>0</v>
      </c>
      <c r="N144" s="384"/>
    </row>
    <row r="145" spans="1:14">
      <c r="A145" s="444">
        <f>Input!B161</f>
        <v>38126</v>
      </c>
      <c r="B145" s="44">
        <f t="shared" si="8"/>
        <v>140</v>
      </c>
      <c r="C145" s="380">
        <f>PMSplint!T189</f>
        <v>3.0372761565826236</v>
      </c>
      <c r="D145" s="500">
        <v>2.2714870024934979</v>
      </c>
      <c r="E145" s="381">
        <f t="shared" si="9"/>
        <v>2.2714870024934979</v>
      </c>
      <c r="F145" s="382">
        <f>TxSplint!N189</f>
        <v>18.626464540153428</v>
      </c>
      <c r="G145" s="455"/>
      <c r="H145" s="381">
        <f t="shared" si="10"/>
        <v>18.626464540153428</v>
      </c>
      <c r="I145" s="382">
        <f>TnSplint!N189</f>
        <v>11.884141231094528</v>
      </c>
      <c r="J145" s="455"/>
      <c r="K145" s="381">
        <f t="shared" si="11"/>
        <v>11.884141231094528</v>
      </c>
      <c r="L145" s="383"/>
      <c r="M145" s="455">
        <v>0.2</v>
      </c>
      <c r="N145" s="384"/>
    </row>
    <row r="146" spans="1:14">
      <c r="A146" s="444">
        <f>Input!B162</f>
        <v>38127</v>
      </c>
      <c r="B146" s="44">
        <f t="shared" si="8"/>
        <v>141</v>
      </c>
      <c r="C146" s="380">
        <f>PMSplint!T190</f>
        <v>3.0926688920992711</v>
      </c>
      <c r="D146" s="500">
        <v>2.3149334984040815</v>
      </c>
      <c r="E146" s="381">
        <f t="shared" si="9"/>
        <v>2.3149334984040815</v>
      </c>
      <c r="F146" s="382">
        <f>TxSplint!N190</f>
        <v>18.863553032140366</v>
      </c>
      <c r="G146" s="455"/>
      <c r="H146" s="381">
        <f t="shared" si="10"/>
        <v>18.863553032140366</v>
      </c>
      <c r="I146" s="382">
        <f>TnSplint!N190</f>
        <v>12.070014497650829</v>
      </c>
      <c r="J146" s="455"/>
      <c r="K146" s="381">
        <f t="shared" si="11"/>
        <v>12.070014497650829</v>
      </c>
      <c r="L146" s="383"/>
      <c r="M146" s="455">
        <v>0</v>
      </c>
      <c r="N146" s="384"/>
    </row>
    <row r="147" spans="1:14">
      <c r="A147" s="444">
        <f>Input!B163</f>
        <v>38128</v>
      </c>
      <c r="B147" s="44">
        <f t="shared" si="8"/>
        <v>142</v>
      </c>
      <c r="C147" s="380">
        <f>PMSplint!T191</f>
        <v>3.1474233889942287</v>
      </c>
      <c r="D147" s="500">
        <v>2.6663210175425371</v>
      </c>
      <c r="E147" s="381">
        <f t="shared" si="9"/>
        <v>2.6663210175425371</v>
      </c>
      <c r="F147" s="382">
        <f>TxSplint!N191</f>
        <v>19.099694935732316</v>
      </c>
      <c r="G147" s="455"/>
      <c r="H147" s="381">
        <f t="shared" si="10"/>
        <v>19.099694935732316</v>
      </c>
      <c r="I147" s="382">
        <f>TnSplint!N191</f>
        <v>12.256461267210675</v>
      </c>
      <c r="J147" s="455"/>
      <c r="K147" s="381">
        <f t="shared" si="11"/>
        <v>12.256461267210675</v>
      </c>
      <c r="L147" s="383"/>
      <c r="M147" s="455">
        <v>0</v>
      </c>
      <c r="N147" s="384"/>
    </row>
    <row r="148" spans="1:14">
      <c r="A148" s="444">
        <f>Input!B164</f>
        <v>38129</v>
      </c>
      <c r="B148" s="44">
        <f t="shared" si="8"/>
        <v>143</v>
      </c>
      <c r="C148" s="380">
        <f>PMSplint!T192</f>
        <v>3.2015049795923889</v>
      </c>
      <c r="D148" s="500">
        <v>2.0078951527307867</v>
      </c>
      <c r="E148" s="381">
        <f t="shared" si="9"/>
        <v>2.0078951527307867</v>
      </c>
      <c r="F148" s="382">
        <f>TxSplint!N192</f>
        <v>19.33464865592445</v>
      </c>
      <c r="G148" s="455"/>
      <c r="H148" s="381">
        <f t="shared" si="10"/>
        <v>19.33464865592445</v>
      </c>
      <c r="I148" s="382">
        <f>TnSplint!N192</f>
        <v>12.44325197826714</v>
      </c>
      <c r="J148" s="455"/>
      <c r="K148" s="381">
        <f t="shared" si="11"/>
        <v>12.44325197826714</v>
      </c>
      <c r="L148" s="383"/>
      <c r="M148" s="455">
        <v>0.2</v>
      </c>
      <c r="N148" s="384"/>
    </row>
    <row r="149" spans="1:14">
      <c r="A149" s="444">
        <f>Input!B165</f>
        <v>38130</v>
      </c>
      <c r="B149" s="44">
        <f t="shared" si="8"/>
        <v>144</v>
      </c>
      <c r="C149" s="380">
        <f>PMSplint!T193</f>
        <v>3.254878996218646</v>
      </c>
      <c r="D149" s="500">
        <v>3.3353746158162507</v>
      </c>
      <c r="E149" s="381">
        <f t="shared" si="9"/>
        <v>3.3353746158162507</v>
      </c>
      <c r="F149" s="382">
        <f>TxSplint!N193</f>
        <v>19.568172597711939</v>
      </c>
      <c r="G149" s="455"/>
      <c r="H149" s="381">
        <f t="shared" si="10"/>
        <v>19.568172597711939</v>
      </c>
      <c r="I149" s="382">
        <f>TnSplint!N193</f>
        <v>12.630157069313313</v>
      </c>
      <c r="J149" s="455"/>
      <c r="K149" s="381">
        <f t="shared" si="11"/>
        <v>12.630157069313313</v>
      </c>
      <c r="L149" s="383"/>
      <c r="M149" s="455">
        <v>0.2</v>
      </c>
      <c r="N149" s="384"/>
    </row>
    <row r="150" spans="1:14">
      <c r="A150" s="444">
        <f>Input!B166</f>
        <v>38131</v>
      </c>
      <c r="B150" s="44">
        <f t="shared" si="8"/>
        <v>145</v>
      </c>
      <c r="C150" s="380">
        <f>PMSplint!T194</f>
        <v>3.3075107711978906</v>
      </c>
      <c r="D150" s="500">
        <v>3.6860224665711194</v>
      </c>
      <c r="E150" s="381">
        <f t="shared" si="9"/>
        <v>3.6860224665711194</v>
      </c>
      <c r="F150" s="382">
        <f>TxSplint!N194</f>
        <v>19.800025166089963</v>
      </c>
      <c r="G150" s="455"/>
      <c r="H150" s="381">
        <f t="shared" si="10"/>
        <v>19.800025166089963</v>
      </c>
      <c r="I150" s="382">
        <f>TnSplint!N194</f>
        <v>12.816946978842259</v>
      </c>
      <c r="J150" s="455"/>
      <c r="K150" s="381">
        <f t="shared" si="11"/>
        <v>12.816946978842259</v>
      </c>
      <c r="L150" s="383"/>
      <c r="M150" s="455">
        <v>6.6</v>
      </c>
      <c r="N150" s="384"/>
    </row>
    <row r="151" spans="1:14">
      <c r="A151" s="444">
        <f>Input!B167</f>
        <v>38132</v>
      </c>
      <c r="B151" s="44">
        <f t="shared" si="8"/>
        <v>146</v>
      </c>
      <c r="C151" s="380">
        <f>PMSplint!T195</f>
        <v>3.3593656368550193</v>
      </c>
      <c r="D151" s="500">
        <v>3.28904064531531</v>
      </c>
      <c r="E151" s="381">
        <f t="shared" si="9"/>
        <v>3.28904064531531</v>
      </c>
      <c r="F151" s="382">
        <f>TxSplint!N195</f>
        <v>20.029964766053684</v>
      </c>
      <c r="G151" s="455"/>
      <c r="H151" s="381">
        <f t="shared" si="10"/>
        <v>20.029964766053684</v>
      </c>
      <c r="I151" s="382">
        <f>TnSplint!N195</f>
        <v>13.003392145347066</v>
      </c>
      <c r="J151" s="455"/>
      <c r="K151" s="381">
        <f t="shared" si="11"/>
        <v>13.003392145347066</v>
      </c>
      <c r="L151" s="383"/>
      <c r="M151" s="455">
        <v>5.2</v>
      </c>
      <c r="N151" s="384"/>
    </row>
    <row r="152" spans="1:14">
      <c r="A152" s="444">
        <f>Input!B168</f>
        <v>38133</v>
      </c>
      <c r="B152" s="44">
        <f t="shared" si="8"/>
        <v>147</v>
      </c>
      <c r="C152" s="380">
        <f>PMSplint!T196</f>
        <v>3.4104089255149224</v>
      </c>
      <c r="D152" s="500">
        <v>3.2219838024285434</v>
      </c>
      <c r="E152" s="381">
        <f t="shared" si="9"/>
        <v>3.2219838024285434</v>
      </c>
      <c r="F152" s="382">
        <f>TxSplint!N196</f>
        <v>20.25774980259828</v>
      </c>
      <c r="G152" s="455"/>
      <c r="H152" s="381">
        <f t="shared" si="10"/>
        <v>20.25774980259828</v>
      </c>
      <c r="I152" s="382">
        <f>TnSplint!N196</f>
        <v>13.189263007320802</v>
      </c>
      <c r="J152" s="455"/>
      <c r="K152" s="381">
        <f t="shared" si="11"/>
        <v>13.189263007320802</v>
      </c>
      <c r="L152" s="383"/>
      <c r="M152" s="455">
        <v>0</v>
      </c>
      <c r="N152" s="384"/>
    </row>
    <row r="153" spans="1:14">
      <c r="A153" s="444">
        <f>Input!B169</f>
        <v>38134</v>
      </c>
      <c r="B153" s="44">
        <f t="shared" si="8"/>
        <v>148</v>
      </c>
      <c r="C153" s="380">
        <f>PMSplint!T197</f>
        <v>3.4606059695024944</v>
      </c>
      <c r="D153" s="500">
        <v>2.8444012802599774</v>
      </c>
      <c r="E153" s="381">
        <f t="shared" si="9"/>
        <v>2.8444012802599774</v>
      </c>
      <c r="F153" s="382">
        <f>TxSplint!N197</f>
        <v>20.483138680718923</v>
      </c>
      <c r="G153" s="455"/>
      <c r="H153" s="381">
        <f t="shared" si="10"/>
        <v>20.483138680718923</v>
      </c>
      <c r="I153" s="382">
        <f>TnSplint!N197</f>
        <v>13.374330003256553</v>
      </c>
      <c r="J153" s="455"/>
      <c r="K153" s="381">
        <f t="shared" si="11"/>
        <v>13.374330003256553</v>
      </c>
      <c r="L153" s="383"/>
      <c r="M153" s="455">
        <v>0</v>
      </c>
      <c r="N153" s="384"/>
    </row>
    <row r="154" spans="1:14">
      <c r="A154" s="444">
        <f>Input!B170</f>
        <v>38135</v>
      </c>
      <c r="B154" s="44">
        <f t="shared" si="8"/>
        <v>149</v>
      </c>
      <c r="C154" s="380">
        <f>PMSplint!T198</f>
        <v>3.5099221011426276</v>
      </c>
      <c r="D154" s="500">
        <v>3.3058542029797064</v>
      </c>
      <c r="E154" s="381">
        <f t="shared" si="9"/>
        <v>3.3058542029797064</v>
      </c>
      <c r="F154" s="382">
        <f>TxSplint!N198</f>
        <v>20.705889805410781</v>
      </c>
      <c r="G154" s="455"/>
      <c r="H154" s="381">
        <f t="shared" si="10"/>
        <v>20.705889805410781</v>
      </c>
      <c r="I154" s="382">
        <f>TnSplint!N198</f>
        <v>13.558363571647391</v>
      </c>
      <c r="J154" s="455"/>
      <c r="K154" s="381">
        <f t="shared" si="11"/>
        <v>13.558363571647391</v>
      </c>
      <c r="L154" s="383"/>
      <c r="M154" s="455">
        <v>0</v>
      </c>
      <c r="N154" s="384"/>
    </row>
    <row r="155" spans="1:14">
      <c r="A155" s="444">
        <f>Input!B171</f>
        <v>38136</v>
      </c>
      <c r="B155" s="44">
        <f t="shared" si="8"/>
        <v>150</v>
      </c>
      <c r="C155" s="380">
        <f>PMSplint!T199</f>
        <v>3.5583226527602165</v>
      </c>
      <c r="D155" s="500">
        <v>4.038093828748214</v>
      </c>
      <c r="E155" s="381">
        <f t="shared" si="9"/>
        <v>4.038093828748214</v>
      </c>
      <c r="F155" s="382">
        <f>TxSplint!N199</f>
        <v>20.925761581669029</v>
      </c>
      <c r="G155" s="455"/>
      <c r="H155" s="381">
        <f t="shared" si="10"/>
        <v>20.925761581669029</v>
      </c>
      <c r="I155" s="382">
        <f>TnSplint!N199</f>
        <v>13.741134150986397</v>
      </c>
      <c r="J155" s="455"/>
      <c r="K155" s="381">
        <f t="shared" si="11"/>
        <v>13.741134150986397</v>
      </c>
      <c r="L155" s="383"/>
      <c r="M155" s="455">
        <v>0.2</v>
      </c>
      <c r="N155" s="384"/>
    </row>
    <row r="156" spans="1:14">
      <c r="A156" s="444">
        <f>Input!B172</f>
        <v>38137</v>
      </c>
      <c r="B156" s="44">
        <f t="shared" si="8"/>
        <v>151</v>
      </c>
      <c r="C156" s="380">
        <f>PMSplint!T200</f>
        <v>3.6057729566801524</v>
      </c>
      <c r="D156" s="500">
        <v>3.6071849907178821</v>
      </c>
      <c r="E156" s="381">
        <f t="shared" si="9"/>
        <v>3.6071849907178821</v>
      </c>
      <c r="F156" s="382">
        <f>TxSplint!N200</f>
        <v>21.142512414488845</v>
      </c>
      <c r="G156" s="455"/>
      <c r="H156" s="381">
        <f t="shared" si="10"/>
        <v>21.142512414488845</v>
      </c>
      <c r="I156" s="382">
        <f>TnSplint!N200</f>
        <v>13.922412179766644</v>
      </c>
      <c r="J156" s="455"/>
      <c r="K156" s="381">
        <f t="shared" si="11"/>
        <v>13.922412179766644</v>
      </c>
      <c r="L156" s="383"/>
      <c r="M156" s="455">
        <v>0</v>
      </c>
      <c r="N156" s="384"/>
    </row>
    <row r="157" spans="1:14">
      <c r="A157" s="444">
        <f>Input!B173</f>
        <v>38138</v>
      </c>
      <c r="B157" s="44">
        <f t="shared" si="8"/>
        <v>152</v>
      </c>
      <c r="C157" s="380">
        <f>PMSplint!T201</f>
        <v>3.6522383452273299</v>
      </c>
      <c r="D157" s="500">
        <v>3.9641089845261237</v>
      </c>
      <c r="E157" s="381">
        <f t="shared" si="9"/>
        <v>3.9641089845261237</v>
      </c>
      <c r="F157" s="382">
        <f>TxSplint!N201</f>
        <v>21.355900708865388</v>
      </c>
      <c r="G157" s="455"/>
      <c r="H157" s="381">
        <f t="shared" si="10"/>
        <v>21.355900708865388</v>
      </c>
      <c r="I157" s="382">
        <f>TnSplint!N201</f>
        <v>14.101968096481214</v>
      </c>
      <c r="J157" s="455"/>
      <c r="K157" s="381">
        <f t="shared" si="11"/>
        <v>14.101968096481214</v>
      </c>
      <c r="L157" s="383"/>
      <c r="M157" s="455">
        <v>0</v>
      </c>
      <c r="N157" s="384"/>
    </row>
    <row r="158" spans="1:14">
      <c r="A158" s="444">
        <f>Input!B174</f>
        <v>38139</v>
      </c>
      <c r="B158" s="44">
        <f t="shared" si="8"/>
        <v>153</v>
      </c>
      <c r="C158" s="380">
        <f>PMSplint!T202</f>
        <v>3.6976841507266416</v>
      </c>
      <c r="D158" s="500">
        <v>4.342203995140836</v>
      </c>
      <c r="E158" s="381">
        <f t="shared" si="9"/>
        <v>4.342203995140836</v>
      </c>
      <c r="F158" s="382">
        <f>TxSplint!N202</f>
        <v>21.565684869793841</v>
      </c>
      <c r="G158" s="455"/>
      <c r="H158" s="381">
        <f t="shared" si="10"/>
        <v>21.565684869793841</v>
      </c>
      <c r="I158" s="382">
        <f>TnSplint!N202</f>
        <v>14.279572339623185</v>
      </c>
      <c r="J158" s="455"/>
      <c r="K158" s="381">
        <f t="shared" si="11"/>
        <v>14.279572339623185</v>
      </c>
      <c r="L158" s="383"/>
      <c r="M158" s="455">
        <v>0</v>
      </c>
      <c r="N158" s="384"/>
    </row>
    <row r="159" spans="1:14">
      <c r="A159" s="444">
        <f>Input!B175</f>
        <v>38140</v>
      </c>
      <c r="B159" s="44">
        <f t="shared" si="8"/>
        <v>154</v>
      </c>
      <c r="C159" s="380">
        <f>PMSplint!T203</f>
        <v>3.7420757055029803</v>
      </c>
      <c r="D159" s="500">
        <v>3.9718550288769805</v>
      </c>
      <c r="E159" s="381">
        <f t="shared" si="9"/>
        <v>3.9718550288769805</v>
      </c>
      <c r="F159" s="382">
        <f>TxSplint!N203</f>
        <v>21.771623302269379</v>
      </c>
      <c r="G159" s="455"/>
      <c r="H159" s="381">
        <f t="shared" si="10"/>
        <v>21.771623302269379</v>
      </c>
      <c r="I159" s="382">
        <f>TnSplint!N203</f>
        <v>14.45499534768563</v>
      </c>
      <c r="J159" s="455"/>
      <c r="K159" s="381">
        <f t="shared" si="11"/>
        <v>14.45499534768563</v>
      </c>
      <c r="L159" s="383"/>
      <c r="M159" s="455">
        <v>0</v>
      </c>
      <c r="N159" s="384"/>
    </row>
    <row r="160" spans="1:14">
      <c r="A160" s="444">
        <f>Input!B176</f>
        <v>38141</v>
      </c>
      <c r="B160" s="44">
        <f t="shared" si="8"/>
        <v>155</v>
      </c>
      <c r="C160" s="380">
        <f>PMSplint!T204</f>
        <v>3.7853783418812403</v>
      </c>
      <c r="D160" s="500">
        <v>4.7508185916955172</v>
      </c>
      <c r="E160" s="381">
        <f t="shared" si="9"/>
        <v>4.7508185916955172</v>
      </c>
      <c r="F160" s="382">
        <f>TxSplint!N204</f>
        <v>21.973474411287164</v>
      </c>
      <c r="G160" s="455"/>
      <c r="H160" s="381">
        <f t="shared" si="10"/>
        <v>21.973474411287164</v>
      </c>
      <c r="I160" s="382">
        <f>TnSplint!N204</f>
        <v>14.628007559161629</v>
      </c>
      <c r="J160" s="455"/>
      <c r="K160" s="381">
        <f t="shared" si="11"/>
        <v>14.628007559161629</v>
      </c>
      <c r="L160" s="383"/>
      <c r="M160" s="455">
        <v>0</v>
      </c>
      <c r="N160" s="384"/>
    </row>
    <row r="161" spans="1:14">
      <c r="A161" s="444">
        <f>Input!B177</f>
        <v>38142</v>
      </c>
      <c r="B161" s="44">
        <f t="shared" si="8"/>
        <v>156</v>
      </c>
      <c r="C161" s="380">
        <f>PMSplint!T205</f>
        <v>3.8275573921863124</v>
      </c>
      <c r="D161" s="500">
        <v>3.9279677078967485</v>
      </c>
      <c r="E161" s="381">
        <f t="shared" si="9"/>
        <v>3.9279677078967485</v>
      </c>
      <c r="F161" s="382">
        <f>TxSplint!N205</f>
        <v>22.170996601842372</v>
      </c>
      <c r="G161" s="455"/>
      <c r="H161" s="381">
        <f t="shared" si="10"/>
        <v>22.170996601842372</v>
      </c>
      <c r="I161" s="382">
        <f>TnSplint!N205</f>
        <v>14.798379412544261</v>
      </c>
      <c r="J161" s="455"/>
      <c r="K161" s="381">
        <f t="shared" si="11"/>
        <v>14.798379412544261</v>
      </c>
      <c r="L161" s="383"/>
      <c r="M161" s="455">
        <v>7.2</v>
      </c>
      <c r="N161" s="384"/>
    </row>
    <row r="162" spans="1:14">
      <c r="A162" s="444">
        <f>Input!B178</f>
        <v>38143</v>
      </c>
      <c r="B162" s="44">
        <f t="shared" si="8"/>
        <v>157</v>
      </c>
      <c r="C162" s="380">
        <f>PMSplint!T206</f>
        <v>3.8685781887430926</v>
      </c>
      <c r="D162" s="500">
        <v>3.6238138037089076</v>
      </c>
      <c r="E162" s="381">
        <f t="shared" si="9"/>
        <v>3.6238138037089076</v>
      </c>
      <c r="F162" s="382">
        <f>TxSplint!N206</f>
        <v>22.363948278930177</v>
      </c>
      <c r="G162" s="455"/>
      <c r="H162" s="381">
        <f t="shared" si="10"/>
        <v>22.363948278930177</v>
      </c>
      <c r="I162" s="382">
        <f>TnSplint!N206</f>
        <v>14.965881346326601</v>
      </c>
      <c r="J162" s="455"/>
      <c r="K162" s="381">
        <f t="shared" si="11"/>
        <v>14.965881346326601</v>
      </c>
      <c r="L162" s="383"/>
      <c r="M162" s="455">
        <v>0</v>
      </c>
      <c r="N162" s="384"/>
    </row>
    <row r="163" spans="1:14">
      <c r="A163" s="444">
        <f>Input!B179</f>
        <v>38144</v>
      </c>
      <c r="B163" s="44">
        <f t="shared" si="8"/>
        <v>158</v>
      </c>
      <c r="C163" s="380">
        <f>PMSplint!T207</f>
        <v>3.9084060638764724</v>
      </c>
      <c r="D163" s="500">
        <v>4.1290757913512</v>
      </c>
      <c r="E163" s="381">
        <f t="shared" si="9"/>
        <v>4.1290757913512</v>
      </c>
      <c r="F163" s="382">
        <f>TxSplint!N207</f>
        <v>22.552087847545753</v>
      </c>
      <c r="G163" s="455"/>
      <c r="H163" s="381">
        <f t="shared" si="10"/>
        <v>22.552087847545753</v>
      </c>
      <c r="I163" s="382">
        <f>TnSplint!N207</f>
        <v>15.130283799001727</v>
      </c>
      <c r="J163" s="455"/>
      <c r="K163" s="381">
        <f t="shared" si="11"/>
        <v>15.130283799001727</v>
      </c>
      <c r="L163" s="383"/>
      <c r="M163" s="455">
        <v>0.4</v>
      </c>
      <c r="N163" s="384"/>
    </row>
    <row r="164" spans="1:14">
      <c r="A164" s="444">
        <f>Input!B180</f>
        <v>38145</v>
      </c>
      <c r="B164" s="44">
        <f t="shared" si="8"/>
        <v>159</v>
      </c>
      <c r="C164" s="380">
        <f>PMSplint!T208</f>
        <v>3.9470063499113448</v>
      </c>
      <c r="D164" s="500">
        <v>4.4462286753676405</v>
      </c>
      <c r="E164" s="381">
        <f t="shared" si="9"/>
        <v>4.4462286753676405</v>
      </c>
      <c r="F164" s="382">
        <f>TxSplint!N208</f>
        <v>22.735173712684269</v>
      </c>
      <c r="G164" s="455"/>
      <c r="H164" s="381">
        <f t="shared" si="10"/>
        <v>22.735173712684269</v>
      </c>
      <c r="I164" s="382">
        <f>TnSplint!N208</f>
        <v>15.291357209062721</v>
      </c>
      <c r="J164" s="455"/>
      <c r="K164" s="381">
        <f t="shared" si="11"/>
        <v>15.291357209062721</v>
      </c>
      <c r="L164" s="383"/>
      <c r="M164" s="455">
        <v>0</v>
      </c>
      <c r="N164" s="384"/>
    </row>
    <row r="165" spans="1:14">
      <c r="A165" s="444">
        <f>Input!B181</f>
        <v>38146</v>
      </c>
      <c r="B165" s="44">
        <f t="shared" si="8"/>
        <v>160</v>
      </c>
      <c r="C165" s="380">
        <f>PMSplint!T209</f>
        <v>3.9843443791726036</v>
      </c>
      <c r="D165" s="500">
        <v>4.3562374293007231</v>
      </c>
      <c r="E165" s="381">
        <f t="shared" si="9"/>
        <v>4.3562374293007231</v>
      </c>
      <c r="F165" s="382">
        <f>TxSplint!N209</f>
        <v>22.912964279340894</v>
      </c>
      <c r="G165" s="455"/>
      <c r="H165" s="381">
        <f t="shared" si="10"/>
        <v>22.912964279340894</v>
      </c>
      <c r="I165" s="382">
        <f>TnSplint!N209</f>
        <v>15.448872015002653</v>
      </c>
      <c r="J165" s="455"/>
      <c r="K165" s="381">
        <f t="shared" si="11"/>
        <v>15.448872015002653</v>
      </c>
      <c r="L165" s="383"/>
      <c r="M165" s="455">
        <v>0</v>
      </c>
      <c r="N165" s="384"/>
    </row>
    <row r="166" spans="1:14">
      <c r="A166" s="444">
        <f>Input!B182</f>
        <v>38147</v>
      </c>
      <c r="B166" s="44">
        <f t="shared" si="8"/>
        <v>161</v>
      </c>
      <c r="C166" s="380">
        <f>PMSplint!T210</f>
        <v>4.020385483985141</v>
      </c>
      <c r="D166" s="500">
        <v>4.1459186279255205</v>
      </c>
      <c r="E166" s="381">
        <f t="shared" si="9"/>
        <v>4.1459186279255205</v>
      </c>
      <c r="F166" s="382">
        <f>TxSplint!N210</f>
        <v>23.08521795251081</v>
      </c>
      <c r="G166" s="455"/>
      <c r="H166" s="381">
        <f t="shared" si="10"/>
        <v>23.08521795251081</v>
      </c>
      <c r="I166" s="382">
        <f>TnSplint!N210</f>
        <v>15.602598655314605</v>
      </c>
      <c r="J166" s="455"/>
      <c r="K166" s="381">
        <f t="shared" si="11"/>
        <v>15.602598655314605</v>
      </c>
      <c r="L166" s="383"/>
      <c r="M166" s="455">
        <v>0.2</v>
      </c>
      <c r="N166" s="384"/>
    </row>
    <row r="167" spans="1:14">
      <c r="A167" s="444">
        <f>Input!B183</f>
        <v>38148</v>
      </c>
      <c r="B167" s="44">
        <f t="shared" si="8"/>
        <v>162</v>
      </c>
      <c r="C167" s="380">
        <f>PMSplint!T211</f>
        <v>4.0550949966738505</v>
      </c>
      <c r="D167" s="500">
        <v>4.411672347114922</v>
      </c>
      <c r="E167" s="381">
        <f t="shared" si="9"/>
        <v>4.411672347114922</v>
      </c>
      <c r="F167" s="382">
        <f>TxSplint!N211</f>
        <v>23.251693137189179</v>
      </c>
      <c r="G167" s="455"/>
      <c r="H167" s="381">
        <f t="shared" si="10"/>
        <v>23.251693137189179</v>
      </c>
      <c r="I167" s="382">
        <f>TnSplint!N211</f>
        <v>15.752307568491654</v>
      </c>
      <c r="J167" s="455"/>
      <c r="K167" s="381">
        <f t="shared" si="11"/>
        <v>15.752307568491654</v>
      </c>
      <c r="L167" s="383"/>
      <c r="M167" s="455">
        <v>0</v>
      </c>
      <c r="N167" s="384"/>
    </row>
    <row r="168" spans="1:14">
      <c r="A168" s="444">
        <f>Input!B184</f>
        <v>38149</v>
      </c>
      <c r="B168" s="44">
        <f t="shared" si="8"/>
        <v>163</v>
      </c>
      <c r="C168" s="380">
        <f>PMSplint!T212</f>
        <v>4.0884382495636267</v>
      </c>
      <c r="D168" s="500">
        <v>4.3849772680391643</v>
      </c>
      <c r="E168" s="381">
        <f t="shared" si="9"/>
        <v>4.3849772680391643</v>
      </c>
      <c r="F168" s="382">
        <f>TxSplint!N212</f>
        <v>23.412148238371184</v>
      </c>
      <c r="G168" s="455"/>
      <c r="H168" s="381">
        <f t="shared" si="10"/>
        <v>23.412148238371184</v>
      </c>
      <c r="I168" s="382">
        <f>TnSplint!N212</f>
        <v>15.897769193026882</v>
      </c>
      <c r="J168" s="455"/>
      <c r="K168" s="381">
        <f t="shared" si="11"/>
        <v>15.897769193026882</v>
      </c>
      <c r="L168" s="383"/>
      <c r="M168" s="455">
        <v>0</v>
      </c>
      <c r="N168" s="384"/>
    </row>
    <row r="169" spans="1:14">
      <c r="A169" s="444">
        <f>Input!B185</f>
        <v>38150</v>
      </c>
      <c r="B169" s="44">
        <f t="shared" si="8"/>
        <v>164</v>
      </c>
      <c r="C169" s="380">
        <f>PMSplint!T213</f>
        <v>4.1203805749793609</v>
      </c>
      <c r="D169" s="500">
        <v>3.8091930190969734</v>
      </c>
      <c r="E169" s="381">
        <f t="shared" si="9"/>
        <v>3.8091930190969734</v>
      </c>
      <c r="F169" s="382">
        <f>TxSplint!N213</f>
        <v>23.566341661051982</v>
      </c>
      <c r="G169" s="455"/>
      <c r="H169" s="381">
        <f t="shared" si="10"/>
        <v>23.566341661051982</v>
      </c>
      <c r="I169" s="382">
        <f>TnSplint!N213</f>
        <v>16.038753967413356</v>
      </c>
      <c r="J169" s="455"/>
      <c r="K169" s="381">
        <f t="shared" si="11"/>
        <v>16.038753967413356</v>
      </c>
      <c r="L169" s="383"/>
      <c r="M169" s="455">
        <v>0</v>
      </c>
      <c r="N169" s="384"/>
    </row>
    <row r="170" spans="1:14">
      <c r="A170" s="444">
        <f>Input!B186</f>
        <v>38151</v>
      </c>
      <c r="B170" s="44">
        <f t="shared" si="8"/>
        <v>165</v>
      </c>
      <c r="C170" s="380">
        <f>PMSplint!T214</f>
        <v>4.1508873052459467</v>
      </c>
      <c r="D170" s="500">
        <v>4.0988775716802071</v>
      </c>
      <c r="E170" s="381">
        <f t="shared" si="9"/>
        <v>4.0988775716802071</v>
      </c>
      <c r="F170" s="382">
        <f>TxSplint!N214</f>
        <v>23.714031810226761</v>
      </c>
      <c r="G170" s="455"/>
      <c r="H170" s="381">
        <f t="shared" si="10"/>
        <v>23.714031810226761</v>
      </c>
      <c r="I170" s="382">
        <f>TnSplint!N214</f>
        <v>16.175032330144163</v>
      </c>
      <c r="J170" s="455"/>
      <c r="K170" s="381">
        <f t="shared" si="11"/>
        <v>16.175032330144163</v>
      </c>
      <c r="L170" s="383"/>
      <c r="M170" s="455">
        <v>0</v>
      </c>
      <c r="N170" s="384"/>
    </row>
    <row r="171" spans="1:14">
      <c r="A171" s="444">
        <f>Input!B187</f>
        <v>38152</v>
      </c>
      <c r="B171" s="44">
        <f t="shared" si="8"/>
        <v>166</v>
      </c>
      <c r="C171" s="380">
        <f>PMSplint!T215</f>
        <v>4.1799237726882774</v>
      </c>
      <c r="D171" s="500">
        <v>4.1796010570230111</v>
      </c>
      <c r="E171" s="381">
        <f t="shared" si="9"/>
        <v>4.1796010570230111</v>
      </c>
      <c r="F171" s="382">
        <f>TxSplint!N215</f>
        <v>23.854977090890685</v>
      </c>
      <c r="G171" s="455"/>
      <c r="H171" s="381">
        <f t="shared" si="10"/>
        <v>23.854977090890685</v>
      </c>
      <c r="I171" s="382">
        <f>TnSplint!N215</f>
        <v>16.306374719712373</v>
      </c>
      <c r="J171" s="455"/>
      <c r="K171" s="381">
        <f t="shared" si="11"/>
        <v>16.306374719712373</v>
      </c>
      <c r="L171" s="383"/>
      <c r="M171" s="455">
        <v>0</v>
      </c>
      <c r="N171" s="384"/>
    </row>
    <row r="172" spans="1:14">
      <c r="A172" s="444">
        <f>Input!B188</f>
        <v>38153</v>
      </c>
      <c r="B172" s="44">
        <f t="shared" si="8"/>
        <v>167</v>
      </c>
      <c r="C172" s="380">
        <f>PMSplint!T216</f>
        <v>4.2074553096312464</v>
      </c>
      <c r="D172" s="500">
        <v>3.089182056521572</v>
      </c>
      <c r="E172" s="381">
        <f t="shared" si="9"/>
        <v>3.089182056521572</v>
      </c>
      <c r="F172" s="382">
        <f>TxSplint!N216</f>
        <v>23.988935908038926</v>
      </c>
      <c r="G172" s="455"/>
      <c r="H172" s="381">
        <f t="shared" si="10"/>
        <v>23.988935908038926</v>
      </c>
      <c r="I172" s="382">
        <f>TnSplint!N216</f>
        <v>16.432551574611072</v>
      </c>
      <c r="J172" s="455"/>
      <c r="K172" s="381">
        <f t="shared" si="11"/>
        <v>16.432551574611072</v>
      </c>
      <c r="L172" s="383"/>
      <c r="M172" s="455">
        <v>0</v>
      </c>
      <c r="N172" s="384"/>
    </row>
    <row r="173" spans="1:14">
      <c r="A173" s="444">
        <f>Input!B189</f>
        <v>38154</v>
      </c>
      <c r="B173" s="44">
        <f t="shared" si="8"/>
        <v>168</v>
      </c>
      <c r="C173" s="380">
        <f>PMSplint!T217</f>
        <v>4.2334472483997461</v>
      </c>
      <c r="D173" s="500">
        <v>3.6056847789219049</v>
      </c>
      <c r="E173" s="381">
        <f t="shared" si="9"/>
        <v>3.6056847789219049</v>
      </c>
      <c r="F173" s="382">
        <f>TxSplint!N217</f>
        <v>24.115666666666662</v>
      </c>
      <c r="G173" s="455"/>
      <c r="H173" s="381">
        <f t="shared" si="10"/>
        <v>24.115666666666662</v>
      </c>
      <c r="I173" s="382">
        <f>TnSplint!N217</f>
        <v>16.553333333333331</v>
      </c>
      <c r="J173" s="455"/>
      <c r="K173" s="381">
        <f t="shared" si="11"/>
        <v>16.553333333333331</v>
      </c>
      <c r="L173" s="383"/>
      <c r="M173" s="455">
        <v>0</v>
      </c>
      <c r="N173" s="384"/>
    </row>
    <row r="174" spans="1:14">
      <c r="A174" s="444">
        <f>Input!B190</f>
        <v>38155</v>
      </c>
      <c r="B174" s="44">
        <f t="shared" si="8"/>
        <v>169</v>
      </c>
      <c r="C174" s="380">
        <f>PMSplint!T218</f>
        <v>4.2578756188899858</v>
      </c>
      <c r="D174" s="500">
        <v>3.7174724563255186</v>
      </c>
      <c r="E174" s="381">
        <f t="shared" si="9"/>
        <v>3.7174724563255186</v>
      </c>
      <c r="F174" s="382">
        <f>TxSplint!N218</f>
        <v>24.235030525460012</v>
      </c>
      <c r="G174" s="455"/>
      <c r="H174" s="381">
        <f t="shared" si="10"/>
        <v>24.235030525460012</v>
      </c>
      <c r="I174" s="382">
        <f>TnSplint!N218</f>
        <v>16.668563656976467</v>
      </c>
      <c r="J174" s="455"/>
      <c r="K174" s="381">
        <f t="shared" si="11"/>
        <v>16.668563656976467</v>
      </c>
      <c r="L174" s="383"/>
      <c r="M174" s="455">
        <v>0</v>
      </c>
      <c r="N174" s="384"/>
    </row>
    <row r="175" spans="1:14">
      <c r="A175" s="444">
        <f>Input!B191</f>
        <v>38156</v>
      </c>
      <c r="B175" s="44">
        <f t="shared" si="8"/>
        <v>170</v>
      </c>
      <c r="C175" s="380">
        <f>PMSplint!T219</f>
        <v>4.2807592412834339</v>
      </c>
      <c r="D175" s="500">
        <v>4.2638464795477748</v>
      </c>
      <c r="E175" s="381">
        <f t="shared" si="9"/>
        <v>4.2638464795477748</v>
      </c>
      <c r="F175" s="382">
        <f>TxSplint!N219</f>
        <v>24.347299657868888</v>
      </c>
      <c r="G175" s="455"/>
      <c r="H175" s="381">
        <f t="shared" si="10"/>
        <v>24.347299657868888</v>
      </c>
      <c r="I175" s="382">
        <f>TnSplint!N219</f>
        <v>16.77837909705471</v>
      </c>
      <c r="J175" s="455"/>
      <c r="K175" s="381">
        <f t="shared" si="11"/>
        <v>16.77837909705471</v>
      </c>
      <c r="L175" s="383"/>
      <c r="M175" s="455">
        <v>0</v>
      </c>
      <c r="N175" s="384"/>
    </row>
    <row r="176" spans="1:14">
      <c r="A176" s="444">
        <f>Input!B192</f>
        <v>38157</v>
      </c>
      <c r="B176" s="44">
        <f t="shared" si="8"/>
        <v>171</v>
      </c>
      <c r="C176" s="380">
        <f>PMSplint!T220</f>
        <v>4.3021276333328764</v>
      </c>
      <c r="D176" s="500">
        <v>4.3448768618195519</v>
      </c>
      <c r="E176" s="381">
        <f t="shared" si="9"/>
        <v>4.3448768618195519</v>
      </c>
      <c r="F176" s="382">
        <f>TxSplint!N220</f>
        <v>24.452848991034177</v>
      </c>
      <c r="G176" s="455"/>
      <c r="H176" s="381">
        <f t="shared" si="10"/>
        <v>24.452848991034177</v>
      </c>
      <c r="I176" s="382">
        <f>TnSplint!N220</f>
        <v>16.882989427686539</v>
      </c>
      <c r="J176" s="455"/>
      <c r="K176" s="381">
        <f t="shared" si="11"/>
        <v>16.882989427686539</v>
      </c>
      <c r="L176" s="383"/>
      <c r="M176" s="455">
        <v>0</v>
      </c>
      <c r="N176" s="384"/>
    </row>
    <row r="177" spans="1:14">
      <c r="A177" s="444">
        <f>Input!B193</f>
        <v>38158</v>
      </c>
      <c r="B177" s="44">
        <f t="shared" si="8"/>
        <v>172</v>
      </c>
      <c r="C177" s="380">
        <f>PMSplint!T221</f>
        <v>4.3220103127910967</v>
      </c>
      <c r="D177" s="500">
        <v>4.2189462561948528</v>
      </c>
      <c r="E177" s="381">
        <f t="shared" si="9"/>
        <v>4.2189462561948528</v>
      </c>
      <c r="F177" s="382">
        <f>TxSplint!N221</f>
        <v>24.552053452096743</v>
      </c>
      <c r="G177" s="455"/>
      <c r="H177" s="381">
        <f t="shared" si="10"/>
        <v>24.552053452096743</v>
      </c>
      <c r="I177" s="382">
        <f>TnSplint!N221</f>
        <v>16.98260442299043</v>
      </c>
      <c r="J177" s="455"/>
      <c r="K177" s="381">
        <f t="shared" si="11"/>
        <v>16.98260442299043</v>
      </c>
      <c r="L177" s="383"/>
      <c r="M177" s="455">
        <v>0</v>
      </c>
      <c r="N177" s="384"/>
    </row>
    <row r="178" spans="1:14">
      <c r="A178" s="444">
        <f>Input!B194</f>
        <v>38159</v>
      </c>
      <c r="B178" s="44">
        <f t="shared" si="8"/>
        <v>173</v>
      </c>
      <c r="C178" s="380">
        <f>PMSplint!T222</f>
        <v>4.3404367974108817</v>
      </c>
      <c r="D178" s="500">
        <v>4.815483037784154</v>
      </c>
      <c r="E178" s="381">
        <f t="shared" si="9"/>
        <v>4.815483037784154</v>
      </c>
      <c r="F178" s="382">
        <f>TxSplint!N222</f>
        <v>24.645287968197454</v>
      </c>
      <c r="G178" s="455"/>
      <c r="H178" s="381">
        <f t="shared" si="10"/>
        <v>24.645287968197454</v>
      </c>
      <c r="I178" s="382">
        <f>TnSplint!N222</f>
        <v>17.077433857084856</v>
      </c>
      <c r="J178" s="455"/>
      <c r="K178" s="381">
        <f t="shared" si="11"/>
        <v>17.077433857084856</v>
      </c>
      <c r="L178" s="383"/>
      <c r="M178" s="455">
        <v>0</v>
      </c>
      <c r="N178" s="384"/>
    </row>
    <row r="179" spans="1:14">
      <c r="A179" s="444">
        <f>Input!B195</f>
        <v>38160</v>
      </c>
      <c r="B179" s="44">
        <f t="shared" si="8"/>
        <v>174</v>
      </c>
      <c r="C179" s="380">
        <f>PMSplint!T223</f>
        <v>4.3574366049450157</v>
      </c>
      <c r="D179" s="500">
        <v>5.2090818304770883</v>
      </c>
      <c r="E179" s="381">
        <f t="shared" si="9"/>
        <v>5.2090818304770883</v>
      </c>
      <c r="F179" s="382">
        <f>TxSplint!N223</f>
        <v>24.732927466477186</v>
      </c>
      <c r="G179" s="455"/>
      <c r="H179" s="381">
        <f t="shared" si="10"/>
        <v>24.732927466477186</v>
      </c>
      <c r="I179" s="382">
        <f>TnSplint!N223</f>
        <v>17.167687504088288</v>
      </c>
      <c r="J179" s="455"/>
      <c r="K179" s="381">
        <f t="shared" si="11"/>
        <v>17.167687504088288</v>
      </c>
      <c r="L179" s="383"/>
      <c r="M179" s="455">
        <v>0</v>
      </c>
      <c r="N179" s="384"/>
    </row>
    <row r="180" spans="1:14">
      <c r="A180" s="444">
        <f>Input!B196</f>
        <v>38161</v>
      </c>
      <c r="B180" s="44">
        <f t="shared" si="8"/>
        <v>175</v>
      </c>
      <c r="C180" s="380">
        <f>PMSplint!T224</f>
        <v>4.3730392531462812</v>
      </c>
      <c r="D180" s="500">
        <v>4.2242359034504471</v>
      </c>
      <c r="E180" s="381">
        <f t="shared" si="9"/>
        <v>4.2242359034504471</v>
      </c>
      <c r="F180" s="382">
        <f>TxSplint!N224</f>
        <v>24.815346874076809</v>
      </c>
      <c r="G180" s="455"/>
      <c r="H180" s="381">
        <f t="shared" si="10"/>
        <v>24.815346874076809</v>
      </c>
      <c r="I180" s="382">
        <f>TnSplint!N224</f>
        <v>17.253575138119196</v>
      </c>
      <c r="J180" s="455"/>
      <c r="K180" s="381">
        <f t="shared" si="11"/>
        <v>17.253575138119196</v>
      </c>
      <c r="L180" s="383"/>
      <c r="M180" s="455">
        <v>0</v>
      </c>
      <c r="N180" s="384"/>
    </row>
    <row r="181" spans="1:14">
      <c r="A181" s="444">
        <f>Input!B197</f>
        <v>38162</v>
      </c>
      <c r="B181" s="44">
        <f t="shared" si="8"/>
        <v>176</v>
      </c>
      <c r="C181" s="380">
        <f>PMSplint!T225</f>
        <v>4.387274259767465</v>
      </c>
      <c r="D181" s="500">
        <v>3.6770090379365259</v>
      </c>
      <c r="E181" s="381">
        <f t="shared" si="9"/>
        <v>3.6770090379365259</v>
      </c>
      <c r="F181" s="382">
        <f>TxSplint!N225</f>
        <v>24.892921118137185</v>
      </c>
      <c r="G181" s="455"/>
      <c r="H181" s="381">
        <f t="shared" si="10"/>
        <v>24.892921118137185</v>
      </c>
      <c r="I181" s="382">
        <f>TnSplint!N225</f>
        <v>17.335306533296059</v>
      </c>
      <c r="J181" s="455"/>
      <c r="K181" s="381">
        <f t="shared" si="11"/>
        <v>17.335306533296059</v>
      </c>
      <c r="L181" s="383"/>
      <c r="M181" s="455">
        <v>0</v>
      </c>
      <c r="N181" s="384"/>
    </row>
    <row r="182" spans="1:14">
      <c r="A182" s="444">
        <f>Input!B198</f>
        <v>38163</v>
      </c>
      <c r="B182" s="44">
        <f t="shared" si="8"/>
        <v>177</v>
      </c>
      <c r="C182" s="380">
        <f>PMSplint!T226</f>
        <v>4.4001711425613523</v>
      </c>
      <c r="D182" s="500">
        <v>4.9307354305868794</v>
      </c>
      <c r="E182" s="381">
        <f t="shared" si="9"/>
        <v>4.9307354305868794</v>
      </c>
      <c r="F182" s="382">
        <f>TxSplint!N226</f>
        <v>24.966025125799199</v>
      </c>
      <c r="G182" s="455"/>
      <c r="H182" s="381">
        <f t="shared" si="10"/>
        <v>24.966025125799199</v>
      </c>
      <c r="I182" s="382">
        <f>TnSplint!N226</f>
        <v>17.413091463737345</v>
      </c>
      <c r="J182" s="455"/>
      <c r="K182" s="381">
        <f t="shared" si="11"/>
        <v>17.413091463737345</v>
      </c>
      <c r="L182" s="383"/>
      <c r="M182" s="455">
        <v>0</v>
      </c>
      <c r="N182" s="384"/>
    </row>
    <row r="183" spans="1:14">
      <c r="A183" s="444">
        <f>Input!B199</f>
        <v>38164</v>
      </c>
      <c r="B183" s="44">
        <f t="shared" si="8"/>
        <v>178</v>
      </c>
      <c r="C183" s="380">
        <f>PMSplint!T227</f>
        <v>4.4117594192807275</v>
      </c>
      <c r="D183" s="500">
        <v>4.4419396786312708</v>
      </c>
      <c r="E183" s="381">
        <f t="shared" si="9"/>
        <v>4.4419396786312708</v>
      </c>
      <c r="F183" s="382">
        <f>TxSplint!N227</f>
        <v>25.035033824203719</v>
      </c>
      <c r="G183" s="455"/>
      <c r="H183" s="381">
        <f t="shared" si="10"/>
        <v>25.035033824203719</v>
      </c>
      <c r="I183" s="382">
        <f>TnSplint!N227</f>
        <v>17.487139703561539</v>
      </c>
      <c r="J183" s="455"/>
      <c r="K183" s="381">
        <f t="shared" si="11"/>
        <v>17.487139703561539</v>
      </c>
      <c r="L183" s="383"/>
      <c r="M183" s="455">
        <v>0</v>
      </c>
      <c r="N183" s="384"/>
    </row>
    <row r="184" spans="1:14">
      <c r="A184" s="444">
        <f>Input!B200</f>
        <v>38165</v>
      </c>
      <c r="B184" s="44">
        <f t="shared" si="8"/>
        <v>179</v>
      </c>
      <c r="C184" s="380">
        <f>PMSplint!T228</f>
        <v>4.4220686076783746</v>
      </c>
      <c r="D184" s="500">
        <v>3.9969408725133637</v>
      </c>
      <c r="E184" s="381">
        <f t="shared" si="9"/>
        <v>3.9969408725133637</v>
      </c>
      <c r="F184" s="382">
        <f>TxSplint!N228</f>
        <v>25.10032214049161</v>
      </c>
      <c r="G184" s="455"/>
      <c r="H184" s="381">
        <f t="shared" si="10"/>
        <v>25.10032214049161</v>
      </c>
      <c r="I184" s="382">
        <f>TnSplint!N228</f>
        <v>17.5576610268871</v>
      </c>
      <c r="J184" s="455"/>
      <c r="K184" s="381">
        <f t="shared" si="11"/>
        <v>17.5576610268871</v>
      </c>
      <c r="L184" s="383"/>
      <c r="M184" s="455">
        <v>0</v>
      </c>
      <c r="N184" s="384"/>
    </row>
    <row r="185" spans="1:14">
      <c r="A185" s="444">
        <f>Input!B201</f>
        <v>38166</v>
      </c>
      <c r="B185" s="44">
        <f t="shared" si="8"/>
        <v>180</v>
      </c>
      <c r="C185" s="380">
        <f>PMSplint!T229</f>
        <v>4.431128225507079</v>
      </c>
      <c r="D185" s="500">
        <v>3.6508180022650345</v>
      </c>
      <c r="E185" s="381">
        <f t="shared" si="9"/>
        <v>3.6508180022650345</v>
      </c>
      <c r="F185" s="382">
        <f>TxSplint!N229</f>
        <v>25.162265001803746</v>
      </c>
      <c r="G185" s="455"/>
      <c r="H185" s="381">
        <f t="shared" si="10"/>
        <v>25.162265001803746</v>
      </c>
      <c r="I185" s="382">
        <f>TnSplint!N229</f>
        <v>17.62486520783251</v>
      </c>
      <c r="J185" s="455"/>
      <c r="K185" s="381">
        <f t="shared" si="11"/>
        <v>17.62486520783251</v>
      </c>
      <c r="L185" s="383"/>
      <c r="M185" s="455">
        <v>0</v>
      </c>
      <c r="N185" s="384"/>
    </row>
    <row r="186" spans="1:14">
      <c r="A186" s="444">
        <f>Input!B202</f>
        <v>38167</v>
      </c>
      <c r="B186" s="44">
        <f t="shared" si="8"/>
        <v>181</v>
      </c>
      <c r="C186" s="380">
        <f>PMSplint!T230</f>
        <v>4.4389677905196265</v>
      </c>
      <c r="D186" s="500">
        <v>5.0784150259928538</v>
      </c>
      <c r="E186" s="381">
        <f t="shared" si="9"/>
        <v>5.0784150259928538</v>
      </c>
      <c r="F186" s="382">
        <f>TxSplint!N230</f>
        <v>25.221237335281</v>
      </c>
      <c r="G186" s="455"/>
      <c r="H186" s="381">
        <f t="shared" si="10"/>
        <v>25.221237335281</v>
      </c>
      <c r="I186" s="382">
        <f>TnSplint!N230</f>
        <v>17.688962020516239</v>
      </c>
      <c r="J186" s="455"/>
      <c r="K186" s="381">
        <f t="shared" si="11"/>
        <v>17.688962020516239</v>
      </c>
      <c r="L186" s="383"/>
      <c r="M186" s="455">
        <v>0</v>
      </c>
      <c r="N186" s="384"/>
    </row>
    <row r="187" spans="1:14">
      <c r="A187" s="444">
        <f>Input!B203</f>
        <v>38168</v>
      </c>
      <c r="B187" s="44">
        <f t="shared" si="8"/>
        <v>182</v>
      </c>
      <c r="C187" s="380">
        <f>PMSplint!T231</f>
        <v>4.4456168204688007</v>
      </c>
      <c r="D187" s="500">
        <v>5.1603088288052135</v>
      </c>
      <c r="E187" s="381">
        <f t="shared" si="9"/>
        <v>5.1603088288052135</v>
      </c>
      <c r="F187" s="382">
        <f>TxSplint!N231</f>
        <v>25.277614068064249</v>
      </c>
      <c r="G187" s="455"/>
      <c r="H187" s="381">
        <f t="shared" si="10"/>
        <v>25.277614068064249</v>
      </c>
      <c r="I187" s="382">
        <f>TnSplint!N231</f>
        <v>17.750161239056759</v>
      </c>
      <c r="J187" s="455"/>
      <c r="K187" s="381">
        <f t="shared" si="11"/>
        <v>17.750161239056759</v>
      </c>
      <c r="L187" s="383"/>
      <c r="M187" s="455">
        <v>0</v>
      </c>
      <c r="N187" s="384"/>
    </row>
    <row r="188" spans="1:14">
      <c r="A188" s="444">
        <f>Input!B204</f>
        <v>38169</v>
      </c>
      <c r="B188" s="44">
        <f t="shared" si="8"/>
        <v>183</v>
      </c>
      <c r="C188" s="380">
        <f>PMSplint!T232</f>
        <v>4.4511048331073866</v>
      </c>
      <c r="D188" s="500">
        <v>5.3632519936455187</v>
      </c>
      <c r="E188" s="381">
        <f t="shared" si="9"/>
        <v>5.3632519936455187</v>
      </c>
      <c r="F188" s="382">
        <f>TxSplint!N232</f>
        <v>25.331770127294348</v>
      </c>
      <c r="G188" s="455"/>
      <c r="H188" s="381">
        <f t="shared" si="10"/>
        <v>25.331770127294348</v>
      </c>
      <c r="I188" s="382">
        <f>TnSplint!N232</f>
        <v>17.808672637572549</v>
      </c>
      <c r="J188" s="455"/>
      <c r="K188" s="381">
        <f t="shared" si="11"/>
        <v>17.808672637572549</v>
      </c>
      <c r="L188" s="383"/>
      <c r="M188" s="455">
        <v>0</v>
      </c>
      <c r="N188" s="384"/>
    </row>
    <row r="189" spans="1:14">
      <c r="A189" s="444">
        <f>Input!B205</f>
        <v>38170</v>
      </c>
      <c r="B189" s="44">
        <f t="shared" si="8"/>
        <v>184</v>
      </c>
      <c r="C189" s="380">
        <f>PMSplint!T233</f>
        <v>4.4554613461881694</v>
      </c>
      <c r="D189" s="500">
        <v>5.5388845439925944</v>
      </c>
      <c r="E189" s="381">
        <f t="shared" si="9"/>
        <v>5.5388845439925944</v>
      </c>
      <c r="F189" s="382">
        <f>TxSplint!N233</f>
        <v>25.384080440112179</v>
      </c>
      <c r="G189" s="455"/>
      <c r="H189" s="381">
        <f t="shared" si="10"/>
        <v>25.384080440112179</v>
      </c>
      <c r="I189" s="382">
        <f>TnSplint!N233</f>
        <v>17.864705990182081</v>
      </c>
      <c r="J189" s="455"/>
      <c r="K189" s="381">
        <f t="shared" si="11"/>
        <v>17.864705990182081</v>
      </c>
      <c r="L189" s="383"/>
      <c r="M189" s="455">
        <v>0</v>
      </c>
      <c r="N189" s="384"/>
    </row>
    <row r="190" spans="1:14">
      <c r="A190" s="444">
        <f>Input!B206</f>
        <v>38171</v>
      </c>
      <c r="B190" s="44">
        <f t="shared" si="8"/>
        <v>185</v>
      </c>
      <c r="C190" s="380">
        <f>PMSplint!T234</f>
        <v>4.4587158774639333</v>
      </c>
      <c r="D190" s="500">
        <v>5.0489004426417008</v>
      </c>
      <c r="E190" s="381">
        <f t="shared" si="9"/>
        <v>5.0489004426417008</v>
      </c>
      <c r="F190" s="382">
        <f>TxSplint!N234</f>
        <v>25.434919933658609</v>
      </c>
      <c r="G190" s="455"/>
      <c r="H190" s="381">
        <f t="shared" si="10"/>
        <v>25.434919933658609</v>
      </c>
      <c r="I190" s="382">
        <f>TnSplint!N234</f>
        <v>17.918471071003822</v>
      </c>
      <c r="J190" s="455"/>
      <c r="K190" s="381">
        <f t="shared" si="11"/>
        <v>17.918471071003822</v>
      </c>
      <c r="L190" s="383"/>
      <c r="M190" s="455">
        <v>0</v>
      </c>
      <c r="N190" s="384"/>
    </row>
    <row r="191" spans="1:14">
      <c r="A191" s="444">
        <f>Input!B207</f>
        <v>38172</v>
      </c>
      <c r="B191" s="44">
        <f t="shared" si="8"/>
        <v>186</v>
      </c>
      <c r="C191" s="380">
        <f>PMSplint!T235</f>
        <v>4.4608979446874644</v>
      </c>
      <c r="D191" s="500">
        <v>5.1819685613911384</v>
      </c>
      <c r="E191" s="381">
        <f t="shared" si="9"/>
        <v>5.1819685613911384</v>
      </c>
      <c r="F191" s="382">
        <f>TxSplint!N235</f>
        <v>25.484663535074514</v>
      </c>
      <c r="G191" s="455"/>
      <c r="H191" s="381">
        <f t="shared" si="10"/>
        <v>25.484663535074514</v>
      </c>
      <c r="I191" s="382">
        <f>TnSplint!N235</f>
        <v>17.970177654156249</v>
      </c>
      <c r="J191" s="455"/>
      <c r="K191" s="381">
        <f t="shared" si="11"/>
        <v>17.970177654156249</v>
      </c>
      <c r="L191" s="383"/>
      <c r="M191" s="455">
        <v>0</v>
      </c>
      <c r="N191" s="384"/>
    </row>
    <row r="192" spans="1:14">
      <c r="A192" s="444">
        <f>Input!B208</f>
        <v>38173</v>
      </c>
      <c r="B192" s="44">
        <f t="shared" si="8"/>
        <v>187</v>
      </c>
      <c r="C192" s="380">
        <f>PMSplint!T236</f>
        <v>4.462037065611546</v>
      </c>
      <c r="D192" s="500">
        <v>3.4769314126585869</v>
      </c>
      <c r="E192" s="381">
        <f t="shared" si="9"/>
        <v>3.4769314126585869</v>
      </c>
      <c r="F192" s="382">
        <f>TxSplint!N236</f>
        <v>25.533686171500758</v>
      </c>
      <c r="G192" s="455"/>
      <c r="H192" s="381">
        <f t="shared" si="10"/>
        <v>25.533686171500758</v>
      </c>
      <c r="I192" s="382">
        <f>TnSplint!N236</f>
        <v>18.020035513757833</v>
      </c>
      <c r="J192" s="455"/>
      <c r="K192" s="381">
        <f t="shared" si="11"/>
        <v>18.020035513757833</v>
      </c>
      <c r="L192" s="383"/>
      <c r="M192" s="455">
        <v>0</v>
      </c>
      <c r="N192" s="384"/>
    </row>
    <row r="193" spans="1:14">
      <c r="A193" s="444">
        <f>Input!B209</f>
        <v>38174</v>
      </c>
      <c r="B193" s="44">
        <f t="shared" si="8"/>
        <v>188</v>
      </c>
      <c r="C193" s="380">
        <f>PMSplint!T237</f>
        <v>4.4621627579889642</v>
      </c>
      <c r="D193" s="500">
        <v>3.3390863812371721</v>
      </c>
      <c r="E193" s="381">
        <f t="shared" si="9"/>
        <v>3.3390863812371721</v>
      </c>
      <c r="F193" s="382">
        <f>TxSplint!N237</f>
        <v>25.582362770078223</v>
      </c>
      <c r="G193" s="455"/>
      <c r="H193" s="381">
        <f t="shared" si="10"/>
        <v>25.582362770078223</v>
      </c>
      <c r="I193" s="382">
        <f>TnSplint!N237</f>
        <v>18.068254423927055</v>
      </c>
      <c r="J193" s="455"/>
      <c r="K193" s="381">
        <f t="shared" si="11"/>
        <v>18.068254423927055</v>
      </c>
      <c r="L193" s="383"/>
      <c r="M193" s="455">
        <v>36.4</v>
      </c>
      <c r="N193" s="384"/>
    </row>
    <row r="194" spans="1:14">
      <c r="A194" s="444">
        <f>Input!B210</f>
        <v>38175</v>
      </c>
      <c r="B194" s="44">
        <f t="shared" si="8"/>
        <v>189</v>
      </c>
      <c r="C194" s="380">
        <f>PMSplint!T238</f>
        <v>4.4613045395725024</v>
      </c>
      <c r="D194" s="500">
        <v>4.4509781454770909</v>
      </c>
      <c r="E194" s="381">
        <f t="shared" si="9"/>
        <v>4.4509781454770909</v>
      </c>
      <c r="F194" s="382">
        <f>TxSplint!N238</f>
        <v>25.631068257947774</v>
      </c>
      <c r="G194" s="455"/>
      <c r="H194" s="381">
        <f t="shared" si="10"/>
        <v>25.631068257947774</v>
      </c>
      <c r="I194" s="382">
        <f>TnSplint!N238</f>
        <v>18.115044158782382</v>
      </c>
      <c r="J194" s="455"/>
      <c r="K194" s="381">
        <f t="shared" si="11"/>
        <v>18.115044158782382</v>
      </c>
      <c r="L194" s="383"/>
      <c r="M194" s="455">
        <v>0</v>
      </c>
      <c r="N194" s="384"/>
    </row>
    <row r="195" spans="1:14">
      <c r="A195" s="444">
        <f>Input!B211</f>
        <v>38176</v>
      </c>
      <c r="B195" s="44">
        <f t="shared" si="8"/>
        <v>190</v>
      </c>
      <c r="C195" s="380">
        <f>PMSplint!T239</f>
        <v>4.4594919281149474</v>
      </c>
      <c r="D195" s="500">
        <v>4.4175903643995147</v>
      </c>
      <c r="E195" s="381">
        <f t="shared" si="9"/>
        <v>4.4175903643995147</v>
      </c>
      <c r="F195" s="382">
        <f>TxSplint!N239</f>
        <v>25.680177562250272</v>
      </c>
      <c r="G195" s="455"/>
      <c r="H195" s="381">
        <f t="shared" si="10"/>
        <v>25.680177562250272</v>
      </c>
      <c r="I195" s="382">
        <f>TnSplint!N239</f>
        <v>18.160614492442292</v>
      </c>
      <c r="J195" s="455"/>
      <c r="K195" s="381">
        <f t="shared" si="11"/>
        <v>18.160614492442292</v>
      </c>
      <c r="L195" s="383"/>
      <c r="M195" s="455">
        <v>0</v>
      </c>
      <c r="N195" s="384"/>
    </row>
    <row r="196" spans="1:14">
      <c r="A196" s="444">
        <f>Input!B212</f>
        <v>38177</v>
      </c>
      <c r="B196" s="44">
        <f t="shared" si="8"/>
        <v>191</v>
      </c>
      <c r="C196" s="380">
        <f>PMSplint!T240</f>
        <v>4.4567544413690818</v>
      </c>
      <c r="D196" s="500">
        <v>4.7621015055229519</v>
      </c>
      <c r="E196" s="381">
        <f t="shared" si="9"/>
        <v>4.7621015055229519</v>
      </c>
      <c r="F196" s="382">
        <f>TxSplint!N240</f>
        <v>25.730065610126612</v>
      </c>
      <c r="G196" s="455"/>
      <c r="H196" s="381">
        <f t="shared" si="10"/>
        <v>25.730065610126612</v>
      </c>
      <c r="I196" s="382">
        <f>TnSplint!N240</f>
        <v>18.205175199025252</v>
      </c>
      <c r="J196" s="455"/>
      <c r="K196" s="381">
        <f t="shared" si="11"/>
        <v>18.205175199025252</v>
      </c>
      <c r="L196" s="383"/>
      <c r="M196" s="455">
        <v>0</v>
      </c>
      <c r="N196" s="384"/>
    </row>
    <row r="197" spans="1:14">
      <c r="A197" s="444">
        <f>Input!B213</f>
        <v>38178</v>
      </c>
      <c r="B197" s="44">
        <f t="shared" si="8"/>
        <v>192</v>
      </c>
      <c r="C197" s="380">
        <f>PMSplint!T241</f>
        <v>4.4531215970876934</v>
      </c>
      <c r="D197" s="500">
        <v>4.8331833809099534</v>
      </c>
      <c r="E197" s="381">
        <f t="shared" si="9"/>
        <v>4.8331833809099534</v>
      </c>
      <c r="F197" s="382">
        <f>TxSplint!N241</f>
        <v>25.781107328717646</v>
      </c>
      <c r="G197" s="455"/>
      <c r="H197" s="381">
        <f t="shared" si="10"/>
        <v>25.781107328717646</v>
      </c>
      <c r="I197" s="382">
        <f>TnSplint!N241</f>
        <v>18.248936052649739</v>
      </c>
      <c r="J197" s="455"/>
      <c r="K197" s="381">
        <f t="shared" si="11"/>
        <v>18.248936052649739</v>
      </c>
      <c r="L197" s="383"/>
      <c r="M197" s="455">
        <v>0</v>
      </c>
      <c r="N197" s="384"/>
    </row>
    <row r="198" spans="1:14">
      <c r="A198" s="444">
        <f>Input!B214</f>
        <v>38179</v>
      </c>
      <c r="B198" s="44">
        <f t="shared" si="8"/>
        <v>193</v>
      </c>
      <c r="C198" s="380">
        <f>PMSplint!T242</f>
        <v>4.4486229130235637</v>
      </c>
      <c r="D198" s="500">
        <v>5.1474550835259034</v>
      </c>
      <c r="E198" s="381">
        <f t="shared" si="9"/>
        <v>5.1474550835259034</v>
      </c>
      <c r="F198" s="382">
        <f>TxSplint!N242</f>
        <v>25.83367764516424</v>
      </c>
      <c r="G198" s="455"/>
      <c r="H198" s="381">
        <f t="shared" si="10"/>
        <v>25.83367764516424</v>
      </c>
      <c r="I198" s="382">
        <f>TnSplint!N242</f>
        <v>18.292106827434225</v>
      </c>
      <c r="J198" s="455"/>
      <c r="K198" s="381">
        <f t="shared" si="11"/>
        <v>18.292106827434225</v>
      </c>
      <c r="L198" s="383"/>
      <c r="M198" s="455">
        <v>0</v>
      </c>
      <c r="N198" s="384"/>
    </row>
    <row r="199" spans="1:14">
      <c r="A199" s="444">
        <f>Input!B215</f>
        <v>38180</v>
      </c>
      <c r="B199" s="44">
        <f t="shared" ref="B199:B262" si="12">A199-DATE(YEAR(A199)-1,12,31)</f>
        <v>194</v>
      </c>
      <c r="C199" s="380">
        <f>PMSplint!T243</f>
        <v>4.4432879069294788</v>
      </c>
      <c r="D199" s="500">
        <v>4.4444365747997825</v>
      </c>
      <c r="E199" s="381">
        <f t="shared" ref="E199:E262" si="13">IF(ISERROR(D199),C199,IF(D199="",C199,IF(D199&lt;0,0,D199)))</f>
        <v>4.4444365747997825</v>
      </c>
      <c r="F199" s="382">
        <f>TxSplint!N243</f>
        <v>25.888151486607285</v>
      </c>
      <c r="G199" s="455"/>
      <c r="H199" s="381">
        <f t="shared" si="10"/>
        <v>25.888151486607285</v>
      </c>
      <c r="I199" s="382">
        <f>TnSplint!N243</f>
        <v>18.334897297497186</v>
      </c>
      <c r="J199" s="455"/>
      <c r="K199" s="381">
        <f t="shared" si="11"/>
        <v>18.334897297497186</v>
      </c>
      <c r="L199" s="383"/>
      <c r="M199" s="455">
        <v>0</v>
      </c>
      <c r="N199" s="384"/>
    </row>
    <row r="200" spans="1:14">
      <c r="A200" s="444">
        <f>Input!B216</f>
        <v>38181</v>
      </c>
      <c r="B200" s="44">
        <f t="shared" si="12"/>
        <v>195</v>
      </c>
      <c r="C200" s="380">
        <f>PMSplint!T244</f>
        <v>4.4371460965582248</v>
      </c>
      <c r="D200" s="500">
        <v>4.154374970844211</v>
      </c>
      <c r="E200" s="381">
        <f t="shared" si="13"/>
        <v>4.154374970844211</v>
      </c>
      <c r="F200" s="382">
        <f>TxSplint!N244</f>
        <v>25.944903780187641</v>
      </c>
      <c r="G200" s="455"/>
      <c r="H200" s="381">
        <f t="shared" ref="H200:H263" si="14">IF(G200="",F200,G200)</f>
        <v>25.944903780187641</v>
      </c>
      <c r="I200" s="382">
        <f>TnSplint!N244</f>
        <v>18.377517236957093</v>
      </c>
      <c r="J200" s="455"/>
      <c r="K200" s="381">
        <f t="shared" ref="K200:K263" si="15">IF(J200="",I200,J200)</f>
        <v>18.377517236957093</v>
      </c>
      <c r="L200" s="383"/>
      <c r="M200" s="455">
        <v>0</v>
      </c>
      <c r="N200" s="384"/>
    </row>
    <row r="201" spans="1:14">
      <c r="A201" s="444">
        <f>Input!B217</f>
        <v>38182</v>
      </c>
      <c r="B201" s="44">
        <f t="shared" si="12"/>
        <v>196</v>
      </c>
      <c r="C201" s="380">
        <f>PMSplint!T245</f>
        <v>4.4302269996625849</v>
      </c>
      <c r="D201" s="500">
        <v>4.3856695518355373</v>
      </c>
      <c r="E201" s="381">
        <f t="shared" si="13"/>
        <v>4.3856695518355373</v>
      </c>
      <c r="F201" s="382">
        <f>TxSplint!N245</f>
        <v>26.004309453046179</v>
      </c>
      <c r="G201" s="455"/>
      <c r="H201" s="381">
        <f t="shared" si="14"/>
        <v>26.004309453046179</v>
      </c>
      <c r="I201" s="382">
        <f>TnSplint!N245</f>
        <v>18.420176419932417</v>
      </c>
      <c r="J201" s="455"/>
      <c r="K201" s="381">
        <f t="shared" si="15"/>
        <v>18.420176419932417</v>
      </c>
      <c r="L201" s="383"/>
      <c r="M201" s="455">
        <v>0</v>
      </c>
      <c r="N201" s="384"/>
    </row>
    <row r="202" spans="1:14">
      <c r="A202" s="444">
        <f>Input!B218</f>
        <v>38183</v>
      </c>
      <c r="B202" s="44">
        <f t="shared" si="12"/>
        <v>197</v>
      </c>
      <c r="C202" s="380">
        <f>PMSplint!T246</f>
        <v>4.4225601339953453</v>
      </c>
      <c r="D202" s="500">
        <v>4.3782405218811054</v>
      </c>
      <c r="E202" s="381">
        <f t="shared" si="13"/>
        <v>4.3782405218811054</v>
      </c>
      <c r="F202" s="382">
        <f>TxSplint!N246</f>
        <v>26.066743432323765</v>
      </c>
      <c r="G202" s="455"/>
      <c r="H202" s="381">
        <f t="shared" si="14"/>
        <v>26.066743432323765</v>
      </c>
      <c r="I202" s="382">
        <f>TnSplint!N246</f>
        <v>18.463084620541636</v>
      </c>
      <c r="J202" s="455"/>
      <c r="K202" s="381">
        <f t="shared" si="15"/>
        <v>18.463084620541636</v>
      </c>
      <c r="L202" s="383"/>
      <c r="M202" s="455">
        <v>0</v>
      </c>
      <c r="N202" s="384"/>
    </row>
    <row r="203" spans="1:14">
      <c r="A203" s="444">
        <f>Input!B219</f>
        <v>38184</v>
      </c>
      <c r="B203" s="44">
        <f t="shared" si="12"/>
        <v>198</v>
      </c>
      <c r="C203" s="380">
        <f>PMSplint!T247</f>
        <v>4.4141750173092893</v>
      </c>
      <c r="D203" s="500">
        <v>4.6146636278569044</v>
      </c>
      <c r="E203" s="381">
        <f t="shared" si="13"/>
        <v>4.6146636278569044</v>
      </c>
      <c r="F203" s="382">
        <f>TxSplint!N247</f>
        <v>26.132580645161287</v>
      </c>
      <c r="G203" s="455"/>
      <c r="H203" s="381">
        <f t="shared" si="14"/>
        <v>26.132580645161287</v>
      </c>
      <c r="I203" s="382">
        <f>TnSplint!N247</f>
        <v>18.506451612903223</v>
      </c>
      <c r="J203" s="455"/>
      <c r="K203" s="381">
        <f t="shared" si="15"/>
        <v>18.506451612903223</v>
      </c>
      <c r="L203" s="383"/>
      <c r="M203" s="455">
        <v>0</v>
      </c>
      <c r="N203" s="384"/>
    </row>
    <row r="204" spans="1:14">
      <c r="A204" s="444">
        <f>Input!B220</f>
        <v>38185</v>
      </c>
      <c r="B204" s="44">
        <f t="shared" si="12"/>
        <v>199</v>
      </c>
      <c r="C204" s="380">
        <f>PMSplint!T248</f>
        <v>4.4050910994943893</v>
      </c>
      <c r="D204" s="500">
        <v>4.4565907017106809</v>
      </c>
      <c r="E204" s="381">
        <f t="shared" si="13"/>
        <v>4.4565907017106809</v>
      </c>
      <c r="F204" s="382">
        <f>TxSplint!N248</f>
        <v>26.202029296602703</v>
      </c>
      <c r="G204" s="455"/>
      <c r="H204" s="381">
        <f t="shared" si="14"/>
        <v>26.202029296602703</v>
      </c>
      <c r="I204" s="382">
        <f>TnSplint!N248</f>
        <v>18.550405299237831</v>
      </c>
      <c r="J204" s="455"/>
      <c r="K204" s="381">
        <f t="shared" si="15"/>
        <v>18.550405299237831</v>
      </c>
      <c r="L204" s="383"/>
      <c r="M204" s="455">
        <v>0</v>
      </c>
      <c r="N204" s="384"/>
    </row>
    <row r="205" spans="1:14">
      <c r="A205" s="444">
        <f>Input!B221</f>
        <v>38186</v>
      </c>
      <c r="B205" s="44">
        <f t="shared" si="12"/>
        <v>200</v>
      </c>
      <c r="C205" s="380">
        <f>PMSplint!T249</f>
        <v>4.3952875589893639</v>
      </c>
      <c r="D205" s="500">
        <v>4.3856661721297474</v>
      </c>
      <c r="E205" s="381">
        <f t="shared" si="13"/>
        <v>4.3856661721297474</v>
      </c>
      <c r="F205" s="382">
        <f>TxSplint!N249</f>
        <v>26.274630703304371</v>
      </c>
      <c r="G205" s="455"/>
      <c r="H205" s="381">
        <f t="shared" si="14"/>
        <v>26.274630703304371</v>
      </c>
      <c r="I205" s="382">
        <f>TnSplint!N249</f>
        <v>18.594746094174834</v>
      </c>
      <c r="J205" s="455"/>
      <c r="K205" s="381">
        <f t="shared" si="15"/>
        <v>18.594746094174834</v>
      </c>
      <c r="L205" s="383"/>
      <c r="M205" s="455">
        <v>0</v>
      </c>
      <c r="N205" s="384"/>
    </row>
    <row r="206" spans="1:14">
      <c r="A206" s="444">
        <f>Input!B222</f>
        <v>38187</v>
      </c>
      <c r="B206" s="44">
        <f t="shared" si="12"/>
        <v>201</v>
      </c>
      <c r="C206" s="380">
        <f>PMSplint!T250</f>
        <v>4.3847335063701181</v>
      </c>
      <c r="D206" s="500">
        <v>4.5585086386905456</v>
      </c>
      <c r="E206" s="381">
        <f t="shared" si="13"/>
        <v>4.5585086386905456</v>
      </c>
      <c r="F206" s="382">
        <f>TxSplint!N250</f>
        <v>26.349759459825762</v>
      </c>
      <c r="G206" s="455"/>
      <c r="H206" s="381">
        <f t="shared" si="14"/>
        <v>26.349759459825762</v>
      </c>
      <c r="I206" s="382">
        <f>TnSplint!N250</f>
        <v>18.639192540445794</v>
      </c>
      <c r="J206" s="455"/>
      <c r="K206" s="381">
        <f t="shared" si="15"/>
        <v>18.639192540445794</v>
      </c>
      <c r="L206" s="383"/>
      <c r="M206" s="455">
        <v>0</v>
      </c>
      <c r="N206" s="384"/>
    </row>
    <row r="207" spans="1:14">
      <c r="A207" s="444">
        <f>Input!B223</f>
        <v>38188</v>
      </c>
      <c r="B207" s="44">
        <f t="shared" si="12"/>
        <v>202</v>
      </c>
      <c r="C207" s="380">
        <f>PMSplint!T251</f>
        <v>4.3733980522125577</v>
      </c>
      <c r="D207" s="500">
        <v>5.0131309788816969</v>
      </c>
      <c r="E207" s="381">
        <f t="shared" si="13"/>
        <v>5.0131309788816969</v>
      </c>
      <c r="F207" s="382">
        <f>TxSplint!N251</f>
        <v>26.426790160726334</v>
      </c>
      <c r="G207" s="455"/>
      <c r="H207" s="381">
        <f t="shared" si="14"/>
        <v>26.426790160726334</v>
      </c>
      <c r="I207" s="382">
        <f>TnSplint!N251</f>
        <v>18.683463180782262</v>
      </c>
      <c r="J207" s="455"/>
      <c r="K207" s="381">
        <f t="shared" si="15"/>
        <v>18.683463180782262</v>
      </c>
      <c r="L207" s="383"/>
      <c r="M207" s="455">
        <v>0</v>
      </c>
      <c r="N207" s="384"/>
    </row>
    <row r="208" spans="1:14">
      <c r="A208" s="444">
        <f>Input!B224</f>
        <v>38189</v>
      </c>
      <c r="B208" s="44">
        <f t="shared" si="12"/>
        <v>203</v>
      </c>
      <c r="C208" s="380">
        <f>PMSplint!T252</f>
        <v>4.361250307092587</v>
      </c>
      <c r="D208" s="500">
        <v>4.3086235392401058</v>
      </c>
      <c r="E208" s="381">
        <f t="shared" si="13"/>
        <v>4.3086235392401058</v>
      </c>
      <c r="F208" s="382">
        <f>TxSplint!N252</f>
        <v>26.50509740056555</v>
      </c>
      <c r="G208" s="455"/>
      <c r="H208" s="381">
        <f t="shared" si="14"/>
        <v>26.50509740056555</v>
      </c>
      <c r="I208" s="382">
        <f>TnSplint!N252</f>
        <v>18.727276557915804</v>
      </c>
      <c r="J208" s="455"/>
      <c r="K208" s="381">
        <f t="shared" si="15"/>
        <v>18.727276557915804</v>
      </c>
      <c r="L208" s="383"/>
      <c r="M208" s="455">
        <v>0.4</v>
      </c>
      <c r="N208" s="384"/>
    </row>
    <row r="209" spans="1:14">
      <c r="A209" s="444">
        <f>Input!B225</f>
        <v>38190</v>
      </c>
      <c r="B209" s="44">
        <f t="shared" si="12"/>
        <v>204</v>
      </c>
      <c r="C209" s="380">
        <f>PMSplint!T253</f>
        <v>4.3482593815861117</v>
      </c>
      <c r="D209" s="500">
        <v>3.9753833592271319</v>
      </c>
      <c r="E209" s="381">
        <f t="shared" si="13"/>
        <v>3.9753833592271319</v>
      </c>
      <c r="F209" s="382">
        <f>TxSplint!N253</f>
        <v>26.584055773902868</v>
      </c>
      <c r="G209" s="455"/>
      <c r="H209" s="381">
        <f t="shared" si="14"/>
        <v>26.584055773902868</v>
      </c>
      <c r="I209" s="382">
        <f>TnSplint!N253</f>
        <v>18.770351214577971</v>
      </c>
      <c r="J209" s="455"/>
      <c r="K209" s="381">
        <f t="shared" si="15"/>
        <v>18.770351214577971</v>
      </c>
      <c r="L209" s="383"/>
      <c r="M209" s="455">
        <v>0</v>
      </c>
      <c r="N209" s="384"/>
    </row>
    <row r="210" spans="1:14">
      <c r="A210" s="444">
        <f>Input!B226</f>
        <v>38191</v>
      </c>
      <c r="B210" s="44">
        <f t="shared" si="12"/>
        <v>205</v>
      </c>
      <c r="C210" s="380">
        <f>PMSplint!T254</f>
        <v>4.3343943862690368</v>
      </c>
      <c r="D210" s="500">
        <v>4.0457230402672915</v>
      </c>
      <c r="E210" s="381">
        <f t="shared" si="13"/>
        <v>4.0457230402672915</v>
      </c>
      <c r="F210" s="382">
        <f>TxSplint!N254</f>
        <v>26.663039875297759</v>
      </c>
      <c r="G210" s="455"/>
      <c r="H210" s="381">
        <f t="shared" si="14"/>
        <v>26.663039875297759</v>
      </c>
      <c r="I210" s="382">
        <f>TnSplint!N254</f>
        <v>18.812405693500327</v>
      </c>
      <c r="J210" s="455"/>
      <c r="K210" s="381">
        <f t="shared" si="15"/>
        <v>18.812405693500327</v>
      </c>
      <c r="L210" s="383"/>
      <c r="M210" s="455">
        <v>0.2</v>
      </c>
      <c r="N210" s="384"/>
    </row>
    <row r="211" spans="1:14">
      <c r="A211" s="444">
        <f>Input!B227</f>
        <v>38192</v>
      </c>
      <c r="B211" s="44">
        <f t="shared" si="12"/>
        <v>206</v>
      </c>
      <c r="C211" s="380">
        <f>PMSplint!T255</f>
        <v>4.3196244317172692</v>
      </c>
      <c r="D211" s="500">
        <v>4.087687667829055</v>
      </c>
      <c r="E211" s="381">
        <f t="shared" si="13"/>
        <v>4.087687667829055</v>
      </c>
      <c r="F211" s="382">
        <f>TxSplint!N255</f>
        <v>26.741424299309674</v>
      </c>
      <c r="G211" s="455"/>
      <c r="H211" s="381">
        <f t="shared" si="14"/>
        <v>26.741424299309674</v>
      </c>
      <c r="I211" s="382">
        <f>TnSplint!N255</f>
        <v>18.853158537414426</v>
      </c>
      <c r="J211" s="455"/>
      <c r="K211" s="381">
        <f t="shared" si="15"/>
        <v>18.853158537414426</v>
      </c>
      <c r="L211" s="383"/>
      <c r="M211" s="455">
        <v>0</v>
      </c>
      <c r="N211" s="384"/>
    </row>
    <row r="212" spans="1:14">
      <c r="A212" s="444">
        <f>Input!B228</f>
        <v>38193</v>
      </c>
      <c r="B212" s="44">
        <f t="shared" si="12"/>
        <v>207</v>
      </c>
      <c r="C212" s="380">
        <f>PMSplint!T256</f>
        <v>4.3039186285067119</v>
      </c>
      <c r="D212" s="500">
        <v>3.7454392842547892</v>
      </c>
      <c r="E212" s="381">
        <f t="shared" si="13"/>
        <v>3.7454392842547892</v>
      </c>
      <c r="F212" s="382">
        <f>TxSplint!N256</f>
        <v>26.818583640498076</v>
      </c>
      <c r="G212" s="455"/>
      <c r="H212" s="381">
        <f t="shared" si="14"/>
        <v>26.818583640498076</v>
      </c>
      <c r="I212" s="382">
        <f>TnSplint!N256</f>
        <v>18.892328289051822</v>
      </c>
      <c r="J212" s="455"/>
      <c r="K212" s="381">
        <f t="shared" si="15"/>
        <v>18.892328289051822</v>
      </c>
      <c r="L212" s="383"/>
      <c r="M212" s="455">
        <v>0</v>
      </c>
      <c r="N212" s="384"/>
    </row>
    <row r="213" spans="1:14">
      <c r="A213" s="444">
        <f>Input!B229</f>
        <v>38194</v>
      </c>
      <c r="B213" s="44">
        <f t="shared" si="12"/>
        <v>208</v>
      </c>
      <c r="C213" s="380">
        <f>PMSplint!T257</f>
        <v>4.2872460872132701</v>
      </c>
      <c r="D213" s="500">
        <v>4.4864865244293437</v>
      </c>
      <c r="E213" s="381">
        <f t="shared" si="13"/>
        <v>4.4864865244293437</v>
      </c>
      <c r="F213" s="382">
        <f>TxSplint!N257</f>
        <v>26.893892493422431</v>
      </c>
      <c r="G213" s="455"/>
      <c r="H213" s="381">
        <f t="shared" si="14"/>
        <v>26.893892493422431</v>
      </c>
      <c r="I213" s="382">
        <f>TnSplint!N257</f>
        <v>18.929633491144074</v>
      </c>
      <c r="J213" s="455"/>
      <c r="K213" s="381">
        <f t="shared" si="15"/>
        <v>18.929633491144074</v>
      </c>
      <c r="L213" s="383"/>
      <c r="M213" s="455">
        <v>0</v>
      </c>
      <c r="N213" s="384"/>
    </row>
    <row r="214" spans="1:14">
      <c r="A214" s="444">
        <f>Input!B230</f>
        <v>38195</v>
      </c>
      <c r="B214" s="44">
        <f t="shared" si="12"/>
        <v>209</v>
      </c>
      <c r="C214" s="380">
        <f>PMSplint!T258</f>
        <v>4.2695759184128503</v>
      </c>
      <c r="D214" s="500">
        <v>3.6827022385919621</v>
      </c>
      <c r="E214" s="381">
        <f t="shared" si="13"/>
        <v>3.6827022385919621</v>
      </c>
      <c r="F214" s="382">
        <f>TxSplint!N258</f>
        <v>26.966725452642201</v>
      </c>
      <c r="G214" s="455"/>
      <c r="H214" s="381">
        <f t="shared" si="14"/>
        <v>26.966725452642201</v>
      </c>
      <c r="I214" s="382">
        <f>TnSplint!N258</f>
        <v>18.964792686422747</v>
      </c>
      <c r="J214" s="455"/>
      <c r="K214" s="381">
        <f t="shared" si="15"/>
        <v>18.964792686422747</v>
      </c>
      <c r="L214" s="383"/>
      <c r="M214" s="455">
        <v>0</v>
      </c>
      <c r="N214" s="384"/>
    </row>
    <row r="215" spans="1:14">
      <c r="A215" s="444">
        <f>Input!B231</f>
        <v>38196</v>
      </c>
      <c r="B215" s="44">
        <f t="shared" si="12"/>
        <v>210</v>
      </c>
      <c r="C215" s="380">
        <f>PMSplint!T259</f>
        <v>4.2508772326813578</v>
      </c>
      <c r="D215" s="500">
        <v>4.5469371783869423</v>
      </c>
      <c r="E215" s="381">
        <f t="shared" si="13"/>
        <v>4.5469371783869423</v>
      </c>
      <c r="F215" s="382">
        <f>TxSplint!N259</f>
        <v>27.036457112716846</v>
      </c>
      <c r="G215" s="455"/>
      <c r="H215" s="381">
        <f t="shared" si="14"/>
        <v>27.036457112716846</v>
      </c>
      <c r="I215" s="382">
        <f>TnSplint!N259</f>
        <v>18.997524417619388</v>
      </c>
      <c r="J215" s="455"/>
      <c r="K215" s="381">
        <f t="shared" si="15"/>
        <v>18.997524417619388</v>
      </c>
      <c r="L215" s="383"/>
      <c r="M215" s="455">
        <v>0</v>
      </c>
      <c r="N215" s="384"/>
    </row>
    <row r="216" spans="1:14">
      <c r="A216" s="444">
        <f>Input!B232</f>
        <v>38197</v>
      </c>
      <c r="B216" s="44">
        <f t="shared" si="12"/>
        <v>211</v>
      </c>
      <c r="C216" s="380">
        <f>PMSplint!T260</f>
        <v>4.2311191405946973</v>
      </c>
      <c r="D216" s="500">
        <v>4.4553960861591095</v>
      </c>
      <c r="E216" s="381">
        <f t="shared" si="13"/>
        <v>4.4553960861591095</v>
      </c>
      <c r="F216" s="382">
        <f>TxSplint!N260</f>
        <v>27.102462068205824</v>
      </c>
      <c r="G216" s="455"/>
      <c r="H216" s="381">
        <f t="shared" si="14"/>
        <v>27.102462068205824</v>
      </c>
      <c r="I216" s="382">
        <f>TnSplint!N260</f>
        <v>19.027547227465565</v>
      </c>
      <c r="J216" s="455"/>
      <c r="K216" s="381">
        <f t="shared" si="15"/>
        <v>19.027547227465565</v>
      </c>
      <c r="L216" s="383"/>
      <c r="M216" s="455">
        <v>0</v>
      </c>
      <c r="N216" s="384"/>
    </row>
    <row r="217" spans="1:14">
      <c r="A217" s="444">
        <f>Input!B233</f>
        <v>38198</v>
      </c>
      <c r="B217" s="44">
        <f t="shared" si="12"/>
        <v>212</v>
      </c>
      <c r="C217" s="380">
        <f>PMSplint!T261</f>
        <v>4.210270752728773</v>
      </c>
      <c r="D217" s="500">
        <v>3.8584668114409286</v>
      </c>
      <c r="E217" s="381">
        <f t="shared" si="13"/>
        <v>3.8584668114409286</v>
      </c>
      <c r="F217" s="382">
        <f>TxSplint!N261</f>
        <v>27.164114913668598</v>
      </c>
      <c r="G217" s="455"/>
      <c r="H217" s="381">
        <f t="shared" si="14"/>
        <v>27.164114913668598</v>
      </c>
      <c r="I217" s="382">
        <f>TnSplint!N261</f>
        <v>19.054579658692823</v>
      </c>
      <c r="J217" s="455"/>
      <c r="K217" s="381">
        <f t="shared" si="15"/>
        <v>19.054579658692823</v>
      </c>
      <c r="L217" s="383"/>
      <c r="M217" s="455">
        <v>0</v>
      </c>
      <c r="N217" s="384"/>
    </row>
    <row r="218" spans="1:14">
      <c r="A218" s="444">
        <f>Input!B234</f>
        <v>38199</v>
      </c>
      <c r="B218" s="44">
        <f t="shared" si="12"/>
        <v>213</v>
      </c>
      <c r="C218" s="380">
        <f>PMSplint!T262</f>
        <v>4.1883011796594918</v>
      </c>
      <c r="D218" s="500">
        <v>3.6949662527290243</v>
      </c>
      <c r="E218" s="381">
        <f t="shared" si="13"/>
        <v>3.6949662527290243</v>
      </c>
      <c r="F218" s="382">
        <f>TxSplint!N262</f>
        <v>27.220790243664638</v>
      </c>
      <c r="G218" s="455"/>
      <c r="H218" s="381">
        <f t="shared" si="14"/>
        <v>27.220790243664638</v>
      </c>
      <c r="I218" s="382">
        <f>TnSplint!N262</f>
        <v>19.078340254032728</v>
      </c>
      <c r="J218" s="455"/>
      <c r="K218" s="381">
        <f t="shared" si="15"/>
        <v>19.078340254032728</v>
      </c>
      <c r="L218" s="383"/>
      <c r="M218" s="455">
        <v>0</v>
      </c>
      <c r="N218" s="384"/>
    </row>
    <row r="219" spans="1:14">
      <c r="A219" s="444">
        <f>Input!B235</f>
        <v>38200</v>
      </c>
      <c r="B219" s="44">
        <f t="shared" si="12"/>
        <v>214</v>
      </c>
      <c r="C219" s="380">
        <f>PMSplint!T263</f>
        <v>4.1651795319627585</v>
      </c>
      <c r="D219" s="500">
        <v>4.4242680611832448</v>
      </c>
      <c r="E219" s="381">
        <f t="shared" si="13"/>
        <v>4.4242680611832448</v>
      </c>
      <c r="F219" s="382">
        <f>TxSplint!N263</f>
        <v>27.271862652753391</v>
      </c>
      <c r="G219" s="455"/>
      <c r="H219" s="381">
        <f t="shared" si="14"/>
        <v>27.271862652753391</v>
      </c>
      <c r="I219" s="382">
        <f>TnSplint!N263</f>
        <v>19.09854755621684</v>
      </c>
      <c r="J219" s="455"/>
      <c r="K219" s="381">
        <f t="shared" si="15"/>
        <v>19.09854755621684</v>
      </c>
      <c r="L219" s="383"/>
      <c r="M219" s="455">
        <v>0</v>
      </c>
      <c r="N219" s="384"/>
    </row>
    <row r="220" spans="1:14">
      <c r="A220" s="444">
        <f>Input!B236</f>
        <v>38201</v>
      </c>
      <c r="B220" s="44">
        <f t="shared" si="12"/>
        <v>215</v>
      </c>
      <c r="C220" s="380">
        <f>PMSplint!T264</f>
        <v>4.140874920214479</v>
      </c>
      <c r="D220" s="500">
        <v>3.118024395994059</v>
      </c>
      <c r="E220" s="381">
        <f t="shared" si="13"/>
        <v>3.118024395994059</v>
      </c>
      <c r="F220" s="382">
        <f>TxSplint!N264</f>
        <v>27.316706735494328</v>
      </c>
      <c r="G220" s="455"/>
      <c r="H220" s="381">
        <f t="shared" si="14"/>
        <v>27.316706735494328</v>
      </c>
      <c r="I220" s="382">
        <f>TnSplint!N264</f>
        <v>19.114920107976705</v>
      </c>
      <c r="J220" s="455"/>
      <c r="K220" s="381">
        <f t="shared" si="15"/>
        <v>19.114920107976705</v>
      </c>
      <c r="L220" s="383"/>
      <c r="M220" s="455">
        <v>0</v>
      </c>
      <c r="N220" s="384"/>
    </row>
    <row r="221" spans="1:14">
      <c r="A221" s="444">
        <f>Input!B237</f>
        <v>38202</v>
      </c>
      <c r="B221" s="44">
        <f t="shared" si="12"/>
        <v>216</v>
      </c>
      <c r="C221" s="380">
        <f>PMSplint!T265</f>
        <v>4.1153564549905566</v>
      </c>
      <c r="D221" s="500">
        <v>4.5357482562597031</v>
      </c>
      <c r="E221" s="381">
        <f t="shared" si="13"/>
        <v>4.5357482562597031</v>
      </c>
      <c r="F221" s="382">
        <f>TxSplint!N265</f>
        <v>27.354697086446919</v>
      </c>
      <c r="G221" s="455"/>
      <c r="H221" s="381">
        <f t="shared" si="14"/>
        <v>27.354697086446919</v>
      </c>
      <c r="I221" s="382">
        <f>TnSplint!N265</f>
        <v>19.127176452043894</v>
      </c>
      <c r="J221" s="455"/>
      <c r="K221" s="381">
        <f t="shared" si="15"/>
        <v>19.127176452043894</v>
      </c>
      <c r="L221" s="383"/>
      <c r="M221" s="455">
        <v>0</v>
      </c>
      <c r="N221" s="384"/>
    </row>
    <row r="222" spans="1:14">
      <c r="A222" s="444">
        <f>Input!B238</f>
        <v>38203</v>
      </c>
      <c r="B222" s="44">
        <f t="shared" si="12"/>
        <v>217</v>
      </c>
      <c r="C222" s="380">
        <f>PMSplint!T266</f>
        <v>4.088593246866898</v>
      </c>
      <c r="D222" s="500">
        <v>4.20416831576504</v>
      </c>
      <c r="E222" s="381">
        <f t="shared" si="13"/>
        <v>4.20416831576504</v>
      </c>
      <c r="F222" s="382">
        <f>TxSplint!N266</f>
        <v>27.385208300170607</v>
      </c>
      <c r="G222" s="455"/>
      <c r="H222" s="381">
        <f t="shared" si="14"/>
        <v>27.385208300170607</v>
      </c>
      <c r="I222" s="382">
        <f>TnSplint!N266</f>
        <v>19.135035131149955</v>
      </c>
      <c r="J222" s="455"/>
      <c r="K222" s="381">
        <f t="shared" si="15"/>
        <v>19.135035131149955</v>
      </c>
      <c r="L222" s="383"/>
      <c r="M222" s="455">
        <v>0</v>
      </c>
      <c r="N222" s="384"/>
    </row>
    <row r="223" spans="1:14">
      <c r="A223" s="444">
        <f>Input!B239</f>
        <v>38204</v>
      </c>
      <c r="B223" s="44">
        <f t="shared" si="12"/>
        <v>218</v>
      </c>
      <c r="C223" s="380">
        <f>PMSplint!T267</f>
        <v>4.0605544064194081</v>
      </c>
      <c r="D223" s="500">
        <v>3.9882386942261037</v>
      </c>
      <c r="E223" s="381">
        <f t="shared" si="13"/>
        <v>3.9882386942261037</v>
      </c>
      <c r="F223" s="382">
        <f>TxSplint!N267</f>
        <v>27.407614971224859</v>
      </c>
      <c r="G223" s="455"/>
      <c r="H223" s="381">
        <f t="shared" si="14"/>
        <v>27.407614971224859</v>
      </c>
      <c r="I223" s="382">
        <f>TnSplint!N267</f>
        <v>19.138214688026451</v>
      </c>
      <c r="J223" s="455"/>
      <c r="K223" s="381">
        <f t="shared" si="15"/>
        <v>19.138214688026451</v>
      </c>
      <c r="L223" s="383"/>
      <c r="M223" s="455">
        <v>0</v>
      </c>
      <c r="N223" s="384"/>
    </row>
    <row r="224" spans="1:14">
      <c r="A224" s="444">
        <f>Input!B240</f>
        <v>38205</v>
      </c>
      <c r="B224" s="44">
        <f t="shared" si="12"/>
        <v>219</v>
      </c>
      <c r="C224" s="380">
        <f>PMSplint!T268</f>
        <v>4.0312090442239912</v>
      </c>
      <c r="D224" s="500">
        <v>4.4909729125824436</v>
      </c>
      <c r="E224" s="381">
        <f t="shared" si="13"/>
        <v>4.4909729125824436</v>
      </c>
      <c r="F224" s="382">
        <f>TxSplint!N268</f>
        <v>27.421291694169149</v>
      </c>
      <c r="G224" s="455"/>
      <c r="H224" s="381">
        <f t="shared" si="14"/>
        <v>27.421291694169149</v>
      </c>
      <c r="I224" s="382">
        <f>TnSplint!N268</f>
        <v>19.136433665404933</v>
      </c>
      <c r="J224" s="455"/>
      <c r="K224" s="381">
        <f t="shared" si="15"/>
        <v>19.136433665404933</v>
      </c>
      <c r="L224" s="383"/>
      <c r="M224" s="455">
        <v>0</v>
      </c>
      <c r="N224" s="384"/>
    </row>
    <row r="225" spans="1:14">
      <c r="A225" s="444">
        <f>Input!B241</f>
        <v>38206</v>
      </c>
      <c r="B225" s="44">
        <f t="shared" si="12"/>
        <v>220</v>
      </c>
      <c r="C225" s="380">
        <f>PMSplint!T269</f>
        <v>4.0005262708565548</v>
      </c>
      <c r="D225" s="500">
        <v>4.7594598896694214</v>
      </c>
      <c r="E225" s="381">
        <f t="shared" si="13"/>
        <v>4.7594598896694214</v>
      </c>
      <c r="F225" s="382">
        <f>TxSplint!N269</f>
        <v>27.425613063562924</v>
      </c>
      <c r="G225" s="455"/>
      <c r="H225" s="381">
        <f t="shared" si="14"/>
        <v>27.425613063562924</v>
      </c>
      <c r="I225" s="382">
        <f>TnSplint!N269</f>
        <v>19.129410606016972</v>
      </c>
      <c r="J225" s="455"/>
      <c r="K225" s="381">
        <f t="shared" si="15"/>
        <v>19.129410606016972</v>
      </c>
      <c r="L225" s="383"/>
      <c r="M225" s="455">
        <v>0</v>
      </c>
      <c r="N225" s="384"/>
    </row>
    <row r="226" spans="1:14">
      <c r="A226" s="444">
        <f>Input!B242</f>
        <v>38207</v>
      </c>
      <c r="B226" s="44">
        <f t="shared" si="12"/>
        <v>221</v>
      </c>
      <c r="C226" s="380">
        <f>PMSplint!T270</f>
        <v>3.9684751968930017</v>
      </c>
      <c r="D226" s="500">
        <v>3.5860255885033321</v>
      </c>
      <c r="E226" s="381">
        <f t="shared" si="13"/>
        <v>3.5860255885033321</v>
      </c>
      <c r="F226" s="382">
        <f>TxSplint!N270</f>
        <v>27.419953673965651</v>
      </c>
      <c r="G226" s="455"/>
      <c r="H226" s="381">
        <f t="shared" si="14"/>
        <v>27.419953673965651</v>
      </c>
      <c r="I226" s="382">
        <f>TnSplint!N270</f>
        <v>19.11686405259411</v>
      </c>
      <c r="J226" s="455"/>
      <c r="K226" s="381">
        <f t="shared" si="15"/>
        <v>19.11686405259411</v>
      </c>
      <c r="L226" s="383"/>
      <c r="M226" s="455">
        <v>0</v>
      </c>
      <c r="N226" s="384"/>
    </row>
    <row r="227" spans="1:14">
      <c r="A227" s="444">
        <f>Input!B243</f>
        <v>38208</v>
      </c>
      <c r="B227" s="44">
        <f t="shared" si="12"/>
        <v>222</v>
      </c>
      <c r="C227" s="380">
        <f>PMSplint!T271</f>
        <v>3.9350249329092386</v>
      </c>
      <c r="D227" s="500">
        <v>4.1359534061889187</v>
      </c>
      <c r="E227" s="381">
        <f t="shared" si="13"/>
        <v>4.1359534061889187</v>
      </c>
      <c r="F227" s="382">
        <f>TxSplint!N271</f>
        <v>27.403688119936795</v>
      </c>
      <c r="G227" s="455"/>
      <c r="H227" s="381">
        <f t="shared" si="14"/>
        <v>27.403688119936795</v>
      </c>
      <c r="I227" s="382">
        <f>TnSplint!N271</f>
        <v>19.098512547867912</v>
      </c>
      <c r="J227" s="455"/>
      <c r="K227" s="381">
        <f t="shared" si="15"/>
        <v>19.098512547867912</v>
      </c>
      <c r="L227" s="383"/>
      <c r="M227" s="455">
        <v>0</v>
      </c>
      <c r="N227" s="384"/>
    </row>
    <row r="228" spans="1:14">
      <c r="A228" s="444">
        <f>Input!B244</f>
        <v>38209</v>
      </c>
      <c r="B228" s="44">
        <f t="shared" si="12"/>
        <v>223</v>
      </c>
      <c r="C228" s="380">
        <f>PMSplint!T272</f>
        <v>3.9001445894811702</v>
      </c>
      <c r="D228" s="500">
        <v>3.8777053791530784</v>
      </c>
      <c r="E228" s="381">
        <f t="shared" si="13"/>
        <v>3.8777053791530784</v>
      </c>
      <c r="F228" s="382">
        <f>TxSplint!N272</f>
        <v>27.376190996035817</v>
      </c>
      <c r="G228" s="455"/>
      <c r="H228" s="381">
        <f t="shared" si="14"/>
        <v>27.376190996035817</v>
      </c>
      <c r="I228" s="382">
        <f>TnSplint!N272</f>
        <v>19.074074634569936</v>
      </c>
      <c r="J228" s="455"/>
      <c r="K228" s="381">
        <f t="shared" si="15"/>
        <v>19.074074634569936</v>
      </c>
      <c r="L228" s="383"/>
      <c r="M228" s="455">
        <v>0</v>
      </c>
      <c r="N228" s="384"/>
    </row>
    <row r="229" spans="1:14">
      <c r="A229" s="444">
        <f>Input!B245</f>
        <v>38210</v>
      </c>
      <c r="B229" s="44">
        <f t="shared" si="12"/>
        <v>224</v>
      </c>
      <c r="C229" s="380">
        <f>PMSplint!T273</f>
        <v>3.8638032771847031</v>
      </c>
      <c r="D229" s="500">
        <v>3.3740396451178154</v>
      </c>
      <c r="E229" s="381">
        <f t="shared" si="13"/>
        <v>3.3740396451178154</v>
      </c>
      <c r="F229" s="382">
        <f>TxSplint!N273</f>
        <v>27.336836896822167</v>
      </c>
      <c r="G229" s="455"/>
      <c r="H229" s="381">
        <f t="shared" si="14"/>
        <v>27.336836896822167</v>
      </c>
      <c r="I229" s="382">
        <f>TnSplint!N273</f>
        <v>19.043268855431737</v>
      </c>
      <c r="J229" s="455"/>
      <c r="K229" s="381">
        <f t="shared" si="15"/>
        <v>19.043268855431737</v>
      </c>
      <c r="L229" s="383"/>
      <c r="M229" s="455">
        <v>0</v>
      </c>
      <c r="N229" s="384"/>
    </row>
    <row r="230" spans="1:14">
      <c r="A230" s="444">
        <f>Input!B246</f>
        <v>38211</v>
      </c>
      <c r="B230" s="44">
        <f t="shared" si="12"/>
        <v>225</v>
      </c>
      <c r="C230" s="380">
        <f>PMSplint!T274</f>
        <v>3.8259701065957397</v>
      </c>
      <c r="D230" s="500">
        <v>3.3160077738536158</v>
      </c>
      <c r="E230" s="381">
        <f t="shared" si="13"/>
        <v>3.3160077738536158</v>
      </c>
      <c r="F230" s="382">
        <f>TxSplint!N274</f>
        <v>27.285000416855322</v>
      </c>
      <c r="G230" s="455"/>
      <c r="H230" s="381">
        <f t="shared" si="14"/>
        <v>27.285000416855322</v>
      </c>
      <c r="I230" s="382">
        <f>TnSplint!N274</f>
        <v>19.005813753184878</v>
      </c>
      <c r="J230" s="455"/>
      <c r="K230" s="381">
        <f t="shared" si="15"/>
        <v>19.005813753184878</v>
      </c>
      <c r="L230" s="383"/>
      <c r="M230" s="455">
        <v>0</v>
      </c>
      <c r="N230" s="384"/>
    </row>
    <row r="231" spans="1:14">
      <c r="A231" s="444">
        <f>Input!B247</f>
        <v>38212</v>
      </c>
      <c r="B231" s="44">
        <f t="shared" si="12"/>
        <v>226</v>
      </c>
      <c r="C231" s="380">
        <f>PMSplint!T275</f>
        <v>3.7866141882901876</v>
      </c>
      <c r="D231" s="500">
        <v>3.9755356514785003</v>
      </c>
      <c r="E231" s="381">
        <f t="shared" si="13"/>
        <v>3.9755356514785003</v>
      </c>
      <c r="F231" s="382">
        <f>TxSplint!N275</f>
        <v>27.220056150694734</v>
      </c>
      <c r="G231" s="455"/>
      <c r="H231" s="381">
        <f t="shared" si="14"/>
        <v>27.220056150694734</v>
      </c>
      <c r="I231" s="382">
        <f>TnSplint!N275</f>
        <v>18.961427870560907</v>
      </c>
      <c r="J231" s="455"/>
      <c r="K231" s="381">
        <f t="shared" si="15"/>
        <v>18.961427870560907</v>
      </c>
      <c r="L231" s="383"/>
      <c r="M231" s="455">
        <v>0</v>
      </c>
      <c r="N231" s="384"/>
    </row>
    <row r="232" spans="1:14">
      <c r="A232" s="444">
        <f>Input!B248</f>
        <v>38213</v>
      </c>
      <c r="B232" s="44">
        <f t="shared" si="12"/>
        <v>227</v>
      </c>
      <c r="C232" s="380">
        <f>PMSplint!T276</f>
        <v>3.7457046328439509</v>
      </c>
      <c r="D232" s="500">
        <v>3.7997193760539565</v>
      </c>
      <c r="E232" s="381">
        <f t="shared" si="13"/>
        <v>3.7997193760539565</v>
      </c>
      <c r="F232" s="382">
        <f>TxSplint!N276</f>
        <v>27.141378692899874</v>
      </c>
      <c r="G232" s="455"/>
      <c r="H232" s="381">
        <f t="shared" si="14"/>
        <v>27.141378692899874</v>
      </c>
      <c r="I232" s="382">
        <f>TnSplint!N276</f>
        <v>18.90982975029139</v>
      </c>
      <c r="J232" s="455"/>
      <c r="K232" s="381">
        <f t="shared" si="15"/>
        <v>18.90982975029139</v>
      </c>
      <c r="L232" s="383"/>
      <c r="M232" s="455">
        <v>0</v>
      </c>
      <c r="N232" s="384"/>
    </row>
    <row r="233" spans="1:14">
      <c r="A233" s="444">
        <f>Input!B249</f>
        <v>38214</v>
      </c>
      <c r="B233" s="44">
        <f t="shared" si="12"/>
        <v>228</v>
      </c>
      <c r="C233" s="380">
        <f>PMSplint!T277</f>
        <v>3.7032105508329356</v>
      </c>
      <c r="D233" s="500">
        <v>1.4804598800034643</v>
      </c>
      <c r="E233" s="381">
        <f t="shared" si="13"/>
        <v>1.4804598800034643</v>
      </c>
      <c r="F233" s="382">
        <f>TxSplint!N277</f>
        <v>27.048342638030189</v>
      </c>
      <c r="G233" s="455"/>
      <c r="H233" s="381">
        <f t="shared" si="14"/>
        <v>27.048342638030189</v>
      </c>
      <c r="I233" s="382">
        <f>TnSplint!N277</f>
        <v>18.850737935107876</v>
      </c>
      <c r="J233" s="455"/>
      <c r="K233" s="381">
        <f t="shared" si="15"/>
        <v>18.850737935107876</v>
      </c>
      <c r="L233" s="383"/>
      <c r="M233" s="455">
        <v>0</v>
      </c>
      <c r="N233" s="384"/>
    </row>
    <row r="234" spans="1:14">
      <c r="A234" s="444">
        <f>Input!B250</f>
        <v>38215</v>
      </c>
      <c r="B234" s="44">
        <f t="shared" si="12"/>
        <v>229</v>
      </c>
      <c r="C234" s="380">
        <f>PMSplint!T278</f>
        <v>3.6591010528330465</v>
      </c>
      <c r="D234" s="500">
        <v>2.3526245965089925</v>
      </c>
      <c r="E234" s="381">
        <f t="shared" si="13"/>
        <v>2.3526245965089925</v>
      </c>
      <c r="F234" s="382">
        <f>TxSplint!N278</f>
        <v>26.940322580645155</v>
      </c>
      <c r="G234" s="455"/>
      <c r="H234" s="381">
        <f t="shared" si="14"/>
        <v>26.940322580645155</v>
      </c>
      <c r="I234" s="382">
        <f>TnSplint!N278</f>
        <v>18.783870967741933</v>
      </c>
      <c r="J234" s="455"/>
      <c r="K234" s="381">
        <f t="shared" si="15"/>
        <v>18.783870967741933</v>
      </c>
      <c r="L234" s="383"/>
      <c r="M234" s="455">
        <v>0</v>
      </c>
      <c r="N234" s="384"/>
    </row>
    <row r="235" spans="1:14">
      <c r="A235" s="444">
        <f>Input!B251</f>
        <v>38216</v>
      </c>
      <c r="B235" s="44">
        <f t="shared" si="12"/>
        <v>230</v>
      </c>
      <c r="C235" s="380">
        <f>PMSplint!T279</f>
        <v>3.6133671648428796</v>
      </c>
      <c r="D235" s="500">
        <v>4.1749276666966058</v>
      </c>
      <c r="E235" s="381">
        <f t="shared" si="13"/>
        <v>4.1749276666966058</v>
      </c>
      <c r="F235" s="382">
        <f>TxSplint!N279</f>
        <v>26.816923085105298</v>
      </c>
      <c r="G235" s="455"/>
      <c r="H235" s="381">
        <f t="shared" si="14"/>
        <v>26.816923085105298</v>
      </c>
      <c r="I235" s="382">
        <f>TnSplint!N279</f>
        <v>18.709049623463493</v>
      </c>
      <c r="J235" s="455"/>
      <c r="K235" s="381">
        <f t="shared" si="15"/>
        <v>18.709049623463493</v>
      </c>
      <c r="L235" s="383"/>
      <c r="M235" s="455">
        <v>0</v>
      </c>
      <c r="N235" s="384"/>
    </row>
    <row r="236" spans="1:14">
      <c r="A236" s="444">
        <f>Input!B252</f>
        <v>38217</v>
      </c>
      <c r="B236" s="44">
        <f t="shared" si="12"/>
        <v>231</v>
      </c>
      <c r="C236" s="380">
        <f>PMSplint!T280</f>
        <v>3.5660875745517968</v>
      </c>
      <c r="D236" s="500">
        <v>3.0294218913691475</v>
      </c>
      <c r="E236" s="381">
        <f t="shared" si="13"/>
        <v>3.0294218913691475</v>
      </c>
      <c r="F236" s="382">
        <f>TxSplint!N280</f>
        <v>26.678668594975441</v>
      </c>
      <c r="G236" s="455"/>
      <c r="H236" s="381">
        <f t="shared" si="14"/>
        <v>26.678668594975441</v>
      </c>
      <c r="I236" s="382">
        <f>TnSplint!N280</f>
        <v>18.626503607695998</v>
      </c>
      <c r="J236" s="455"/>
      <c r="K236" s="381">
        <f t="shared" si="15"/>
        <v>18.626503607695998</v>
      </c>
      <c r="L236" s="383"/>
      <c r="M236" s="455">
        <v>0</v>
      </c>
      <c r="N236" s="384"/>
    </row>
    <row r="237" spans="1:14">
      <c r="A237" s="444">
        <f>Input!B253</f>
        <v>38218</v>
      </c>
      <c r="B237" s="44">
        <f t="shared" si="12"/>
        <v>232</v>
      </c>
      <c r="C237" s="380">
        <f>PMSplint!T281</f>
        <v>3.5173628850718486</v>
      </c>
      <c r="D237" s="500">
        <v>4.0744982807337342</v>
      </c>
      <c r="E237" s="381">
        <f t="shared" si="13"/>
        <v>4.0744982807337342</v>
      </c>
      <c r="F237" s="382">
        <f>TxSplint!N281</f>
        <v>26.526313523621486</v>
      </c>
      <c r="G237" s="455"/>
      <c r="H237" s="381">
        <f t="shared" si="14"/>
        <v>26.526313523621486</v>
      </c>
      <c r="I237" s="382">
        <f>TnSplint!N281</f>
        <v>18.536564858401277</v>
      </c>
      <c r="J237" s="455"/>
      <c r="K237" s="381">
        <f t="shared" si="15"/>
        <v>18.536564858401277</v>
      </c>
      <c r="L237" s="383"/>
      <c r="M237" s="455">
        <v>0</v>
      </c>
      <c r="N237" s="384"/>
    </row>
    <row r="238" spans="1:14">
      <c r="A238" s="444">
        <f>Input!B254</f>
        <v>38219</v>
      </c>
      <c r="B238" s="44">
        <f t="shared" si="12"/>
        <v>233</v>
      </c>
      <c r="C238" s="380">
        <f>PMSplint!T282</f>
        <v>3.4672936995150878</v>
      </c>
      <c r="D238" s="500">
        <v>4.259246672317726</v>
      </c>
      <c r="E238" s="381">
        <f t="shared" si="13"/>
        <v>4.259246672317726</v>
      </c>
      <c r="F238" s="382">
        <f>TxSplint!N282</f>
        <v>26.360612284409321</v>
      </c>
      <c r="G238" s="455"/>
      <c r="H238" s="381">
        <f t="shared" si="14"/>
        <v>26.360612284409321</v>
      </c>
      <c r="I238" s="382">
        <f>TnSplint!N282</f>
        <v>18.439565313541163</v>
      </c>
      <c r="J238" s="455"/>
      <c r="K238" s="381">
        <f t="shared" si="15"/>
        <v>18.439565313541163</v>
      </c>
      <c r="L238" s="383"/>
      <c r="M238" s="455">
        <v>0</v>
      </c>
      <c r="N238" s="384"/>
    </row>
    <row r="239" spans="1:14">
      <c r="A239" s="444">
        <f>Input!B255</f>
        <v>38220</v>
      </c>
      <c r="B239" s="44">
        <f t="shared" si="12"/>
        <v>234</v>
      </c>
      <c r="C239" s="380">
        <f>PMSplint!T283</f>
        <v>3.4159806209935648</v>
      </c>
      <c r="D239" s="500">
        <v>4.3146765128124835</v>
      </c>
      <c r="E239" s="381">
        <f t="shared" si="13"/>
        <v>4.3146765128124835</v>
      </c>
      <c r="F239" s="382">
        <f>TxSplint!N283</f>
        <v>26.182319290704836</v>
      </c>
      <c r="G239" s="455"/>
      <c r="H239" s="381">
        <f t="shared" si="14"/>
        <v>26.182319290704836</v>
      </c>
      <c r="I239" s="382">
        <f>TnSplint!N283</f>
        <v>18.335836911077482</v>
      </c>
      <c r="J239" s="455"/>
      <c r="K239" s="381">
        <f t="shared" si="15"/>
        <v>18.335836911077482</v>
      </c>
      <c r="L239" s="383"/>
      <c r="M239" s="455">
        <v>0</v>
      </c>
      <c r="N239" s="384"/>
    </row>
    <row r="240" spans="1:14">
      <c r="A240" s="444">
        <f>Input!B256</f>
        <v>38221</v>
      </c>
      <c r="B240" s="44">
        <f t="shared" si="12"/>
        <v>235</v>
      </c>
      <c r="C240" s="380">
        <f>PMSplint!T284</f>
        <v>3.3635242526193334</v>
      </c>
      <c r="D240" s="500">
        <v>3.9046189691941287</v>
      </c>
      <c r="E240" s="381">
        <f t="shared" si="13"/>
        <v>3.9046189691941287</v>
      </c>
      <c r="F240" s="382">
        <f>TxSplint!N284</f>
        <v>25.992188955873939</v>
      </c>
      <c r="G240" s="455"/>
      <c r="H240" s="381">
        <f t="shared" si="14"/>
        <v>25.992188955873939</v>
      </c>
      <c r="I240" s="382">
        <f>TnSplint!N284</f>
        <v>18.22571158897205</v>
      </c>
      <c r="J240" s="455"/>
      <c r="K240" s="381">
        <f t="shared" si="15"/>
        <v>18.22571158897205</v>
      </c>
      <c r="L240" s="383"/>
      <c r="M240" s="455">
        <v>0</v>
      </c>
      <c r="N240" s="384"/>
    </row>
    <row r="241" spans="1:14">
      <c r="A241" s="444">
        <f>Input!B257</f>
        <v>38222</v>
      </c>
      <c r="B241" s="44">
        <f t="shared" si="12"/>
        <v>236</v>
      </c>
      <c r="C241" s="380">
        <f>PMSplint!T285</f>
        <v>3.3100251975044439</v>
      </c>
      <c r="D241" s="500">
        <v>3.1599844462605367</v>
      </c>
      <c r="E241" s="381">
        <f t="shared" si="13"/>
        <v>3.1599844462605367</v>
      </c>
      <c r="F241" s="382">
        <f>TxSplint!N285</f>
        <v>25.790975693282515</v>
      </c>
      <c r="G241" s="455"/>
      <c r="H241" s="381">
        <f t="shared" si="14"/>
        <v>25.790975693282515</v>
      </c>
      <c r="I241" s="382">
        <f>TnSplint!N285</f>
        <v>18.109521285186698</v>
      </c>
      <c r="J241" s="455"/>
      <c r="K241" s="381">
        <f t="shared" si="15"/>
        <v>18.109521285186698</v>
      </c>
      <c r="L241" s="383"/>
      <c r="M241" s="455">
        <v>0</v>
      </c>
      <c r="N241" s="384"/>
    </row>
    <row r="242" spans="1:14">
      <c r="A242" s="444">
        <f>Input!B258</f>
        <v>38223</v>
      </c>
      <c r="B242" s="44">
        <f t="shared" si="12"/>
        <v>237</v>
      </c>
      <c r="C242" s="380">
        <f>PMSplint!T286</f>
        <v>3.2555840587609484</v>
      </c>
      <c r="D242" s="500">
        <v>3.8247380758573639</v>
      </c>
      <c r="E242" s="381">
        <f t="shared" si="13"/>
        <v>3.8247380758573639</v>
      </c>
      <c r="F242" s="382">
        <f>TxSplint!N286</f>
        <v>25.579433916296459</v>
      </c>
      <c r="G242" s="455"/>
      <c r="H242" s="381">
        <f t="shared" si="14"/>
        <v>25.579433916296459</v>
      </c>
      <c r="I242" s="382">
        <f>TnSplint!N286</f>
        <v>17.987597937683255</v>
      </c>
      <c r="J242" s="455"/>
      <c r="K242" s="381">
        <f t="shared" si="15"/>
        <v>17.987597937683255</v>
      </c>
      <c r="L242" s="383"/>
      <c r="M242" s="455">
        <v>0</v>
      </c>
      <c r="N242" s="384"/>
    </row>
    <row r="243" spans="1:14">
      <c r="A243" s="444">
        <f>Input!B259</f>
        <v>38224</v>
      </c>
      <c r="B243" s="44">
        <f t="shared" si="12"/>
        <v>238</v>
      </c>
      <c r="C243" s="380">
        <f>PMSplint!T287</f>
        <v>3.2003014395008988</v>
      </c>
      <c r="D243" s="500">
        <v>3.7913485075397029</v>
      </c>
      <c r="E243" s="381">
        <f t="shared" si="13"/>
        <v>3.7913485075397029</v>
      </c>
      <c r="F243" s="382">
        <f>TxSplint!N287</f>
        <v>25.358318038281674</v>
      </c>
      <c r="G243" s="455"/>
      <c r="H243" s="381">
        <f t="shared" si="14"/>
        <v>25.358318038281674</v>
      </c>
      <c r="I243" s="382">
        <f>TnSplint!N287</f>
        <v>17.860273484423548</v>
      </c>
      <c r="J243" s="455"/>
      <c r="K243" s="381">
        <f t="shared" si="15"/>
        <v>17.860273484423548</v>
      </c>
      <c r="L243" s="383"/>
      <c r="M243" s="455">
        <v>0</v>
      </c>
      <c r="N243" s="384"/>
    </row>
    <row r="244" spans="1:14">
      <c r="A244" s="444">
        <f>Input!B260</f>
        <v>38225</v>
      </c>
      <c r="B244" s="44">
        <f t="shared" si="12"/>
        <v>239</v>
      </c>
      <c r="C244" s="380">
        <f>PMSplint!T288</f>
        <v>3.144277942836347</v>
      </c>
      <c r="D244" s="500">
        <v>3.2718370581858034</v>
      </c>
      <c r="E244" s="381">
        <f t="shared" si="13"/>
        <v>3.2718370581858034</v>
      </c>
      <c r="F244" s="382">
        <f>TxSplint!N288</f>
        <v>25.128382472604045</v>
      </c>
      <c r="G244" s="455"/>
      <c r="H244" s="381">
        <f t="shared" si="14"/>
        <v>25.128382472604045</v>
      </c>
      <c r="I244" s="382">
        <f>TnSplint!N288</f>
        <v>17.727879863369402</v>
      </c>
      <c r="J244" s="455"/>
      <c r="K244" s="381">
        <f t="shared" si="15"/>
        <v>17.727879863369402</v>
      </c>
      <c r="L244" s="383"/>
      <c r="M244" s="455">
        <v>0.2</v>
      </c>
      <c r="N244" s="384"/>
    </row>
    <row r="245" spans="1:14">
      <c r="A245" s="444">
        <f>Input!B261</f>
        <v>38226</v>
      </c>
      <c r="B245" s="44">
        <f t="shared" si="12"/>
        <v>240</v>
      </c>
      <c r="C245" s="380">
        <f>PMSplint!T289</f>
        <v>3.0876141718793457</v>
      </c>
      <c r="D245" s="500">
        <v>2.394984867373108</v>
      </c>
      <c r="E245" s="381">
        <f t="shared" si="13"/>
        <v>2.394984867373108</v>
      </c>
      <c r="F245" s="382">
        <f>TxSplint!N289</f>
        <v>24.890381632629477</v>
      </c>
      <c r="G245" s="455"/>
      <c r="H245" s="381">
        <f t="shared" si="14"/>
        <v>24.890381632629477</v>
      </c>
      <c r="I245" s="382">
        <f>TnSplint!N289</f>
        <v>17.59074901248264</v>
      </c>
      <c r="J245" s="455"/>
      <c r="K245" s="381">
        <f t="shared" si="15"/>
        <v>17.59074901248264</v>
      </c>
      <c r="L245" s="383"/>
      <c r="M245" s="455">
        <v>0</v>
      </c>
      <c r="N245" s="384"/>
    </row>
    <row r="246" spans="1:14">
      <c r="A246" s="444">
        <f>Input!B262</f>
        <v>38227</v>
      </c>
      <c r="B246" s="44">
        <f t="shared" si="12"/>
        <v>241</v>
      </c>
      <c r="C246" s="380">
        <f>PMSplint!T290</f>
        <v>3.0304107297419449</v>
      </c>
      <c r="D246" s="500">
        <v>3.2809923263348102</v>
      </c>
      <c r="E246" s="381">
        <f t="shared" si="13"/>
        <v>3.2809923263348102</v>
      </c>
      <c r="F246" s="382">
        <f>TxSplint!N290</f>
        <v>24.64506993172386</v>
      </c>
      <c r="G246" s="455"/>
      <c r="H246" s="381">
        <f t="shared" si="14"/>
        <v>24.64506993172386</v>
      </c>
      <c r="I246" s="382">
        <f>TnSplint!N290</f>
        <v>17.449212869725095</v>
      </c>
      <c r="J246" s="455"/>
      <c r="K246" s="381">
        <f t="shared" si="15"/>
        <v>17.449212869725095</v>
      </c>
      <c r="L246" s="383"/>
      <c r="M246" s="455">
        <v>0</v>
      </c>
      <c r="N246" s="384"/>
    </row>
    <row r="247" spans="1:14">
      <c r="A247" s="444">
        <f>Input!B263</f>
        <v>38228</v>
      </c>
      <c r="B247" s="44">
        <f t="shared" si="12"/>
        <v>242</v>
      </c>
      <c r="C247" s="380">
        <f>PMSplint!T291</f>
        <v>2.9727682195361984</v>
      </c>
      <c r="D247" s="500">
        <v>3.6588226044606817</v>
      </c>
      <c r="E247" s="381">
        <f t="shared" si="13"/>
        <v>3.6588226044606817</v>
      </c>
      <c r="F247" s="382">
        <f>TxSplint!N291</f>
        <v>24.393201783253083</v>
      </c>
      <c r="G247" s="455"/>
      <c r="H247" s="381">
        <f t="shared" si="14"/>
        <v>24.393201783253083</v>
      </c>
      <c r="I247" s="382">
        <f>TnSplint!N291</f>
        <v>17.303603373058586</v>
      </c>
      <c r="J247" s="455"/>
      <c r="K247" s="381">
        <f t="shared" si="15"/>
        <v>17.303603373058586</v>
      </c>
      <c r="L247" s="383"/>
      <c r="M247" s="455">
        <v>0</v>
      </c>
      <c r="N247" s="384"/>
    </row>
    <row r="248" spans="1:14">
      <c r="A248" s="444">
        <f>Input!B264</f>
        <v>38229</v>
      </c>
      <c r="B248" s="44">
        <f t="shared" si="12"/>
        <v>243</v>
      </c>
      <c r="C248" s="380">
        <f>PMSplint!T292</f>
        <v>2.9147872443741556</v>
      </c>
      <c r="D248" s="500">
        <v>3.7539661230494863</v>
      </c>
      <c r="E248" s="381">
        <f t="shared" si="13"/>
        <v>3.7539661230494863</v>
      </c>
      <c r="F248" s="382">
        <f>TxSplint!N292</f>
        <v>24.135531600583047</v>
      </c>
      <c r="G248" s="455"/>
      <c r="H248" s="381">
        <f t="shared" si="14"/>
        <v>24.135531600583047</v>
      </c>
      <c r="I248" s="382">
        <f>TnSplint!N292</f>
        <v>17.154252460444944</v>
      </c>
      <c r="J248" s="455"/>
      <c r="K248" s="381">
        <f t="shared" si="15"/>
        <v>17.154252460444944</v>
      </c>
      <c r="L248" s="383"/>
      <c r="M248" s="455">
        <v>0</v>
      </c>
      <c r="N248" s="384"/>
    </row>
    <row r="249" spans="1:14">
      <c r="A249" s="444">
        <f>Input!B265</f>
        <v>38230</v>
      </c>
      <c r="B249" s="44">
        <f t="shared" si="12"/>
        <v>244</v>
      </c>
      <c r="C249" s="380">
        <f>PMSplint!T293</f>
        <v>2.8565684073678708</v>
      </c>
      <c r="D249" s="500">
        <v>3.1191168130974036</v>
      </c>
      <c r="E249" s="381">
        <f t="shared" si="13"/>
        <v>3.1191168130974036</v>
      </c>
      <c r="F249" s="382">
        <f>TxSplint!N293</f>
        <v>23.872813797079644</v>
      </c>
      <c r="G249" s="455"/>
      <c r="H249" s="381">
        <f t="shared" si="14"/>
        <v>23.872813797079644</v>
      </c>
      <c r="I249" s="382">
        <f>TnSplint!N293</f>
        <v>17.001492069845995</v>
      </c>
      <c r="J249" s="455"/>
      <c r="K249" s="381">
        <f t="shared" si="15"/>
        <v>17.001492069845995</v>
      </c>
      <c r="L249" s="383"/>
      <c r="M249" s="455">
        <v>0.2</v>
      </c>
      <c r="N249" s="384"/>
    </row>
    <row r="250" spans="1:14">
      <c r="A250" s="444">
        <f>Input!B266</f>
        <v>38231</v>
      </c>
      <c r="B250" s="44">
        <f t="shared" si="12"/>
        <v>245</v>
      </c>
      <c r="C250" s="380">
        <f>PMSplint!T294</f>
        <v>2.7982123116293942</v>
      </c>
      <c r="D250" s="500">
        <v>2.5079702328575904</v>
      </c>
      <c r="E250" s="381">
        <f t="shared" si="13"/>
        <v>2.5079702328575904</v>
      </c>
      <c r="F250" s="382">
        <f>TxSplint!N294</f>
        <v>23.605802786108772</v>
      </c>
      <c r="G250" s="455"/>
      <c r="H250" s="381">
        <f t="shared" si="14"/>
        <v>23.605802786108772</v>
      </c>
      <c r="I250" s="382">
        <f>TnSplint!N294</f>
        <v>16.845654139223562</v>
      </c>
      <c r="J250" s="455"/>
      <c r="K250" s="381">
        <f t="shared" si="15"/>
        <v>16.845654139223562</v>
      </c>
      <c r="L250" s="383"/>
      <c r="M250" s="455">
        <v>50.8</v>
      </c>
      <c r="N250" s="384"/>
    </row>
    <row r="251" spans="1:14">
      <c r="A251" s="444">
        <f>Input!B267</f>
        <v>38232</v>
      </c>
      <c r="B251" s="44">
        <f t="shared" si="12"/>
        <v>246</v>
      </c>
      <c r="C251" s="380">
        <f>PMSplint!T295</f>
        <v>2.7398195602707784</v>
      </c>
      <c r="D251" s="500">
        <v>2.6826089915955298</v>
      </c>
      <c r="E251" s="381">
        <f t="shared" si="13"/>
        <v>2.6826089915955298</v>
      </c>
      <c r="F251" s="382">
        <f>TxSplint!N295</f>
        <v>23.335252981036327</v>
      </c>
      <c r="G251" s="455"/>
      <c r="H251" s="381">
        <f t="shared" si="14"/>
        <v>23.335252981036327</v>
      </c>
      <c r="I251" s="382">
        <f>TnSplint!N295</f>
        <v>16.687070606539471</v>
      </c>
      <c r="J251" s="455"/>
      <c r="K251" s="381">
        <f t="shared" si="15"/>
        <v>16.687070606539471</v>
      </c>
      <c r="L251" s="383"/>
      <c r="M251" s="455">
        <v>0</v>
      </c>
      <c r="N251" s="384"/>
    </row>
    <row r="252" spans="1:14">
      <c r="A252" s="444">
        <f>Input!B268</f>
        <v>38233</v>
      </c>
      <c r="B252" s="44">
        <f t="shared" si="12"/>
        <v>247</v>
      </c>
      <c r="C252" s="380">
        <f>PMSplint!T296</f>
        <v>2.6814907564040751</v>
      </c>
      <c r="D252" s="500">
        <v>2.8397308044820977</v>
      </c>
      <c r="E252" s="381">
        <f t="shared" si="13"/>
        <v>2.8397308044820977</v>
      </c>
      <c r="F252" s="382">
        <f>TxSplint!N296</f>
        <v>23.061918795228198</v>
      </c>
      <c r="G252" s="455"/>
      <c r="H252" s="381">
        <f t="shared" si="14"/>
        <v>23.061918795228198</v>
      </c>
      <c r="I252" s="382">
        <f>TnSplint!N296</f>
        <v>16.526073409755554</v>
      </c>
      <c r="J252" s="455"/>
      <c r="K252" s="381">
        <f t="shared" si="15"/>
        <v>16.526073409755554</v>
      </c>
      <c r="L252" s="383"/>
      <c r="M252" s="455">
        <v>36</v>
      </c>
      <c r="N252" s="384"/>
    </row>
    <row r="253" spans="1:14">
      <c r="A253" s="444">
        <f>Input!B269</f>
        <v>38234</v>
      </c>
      <c r="B253" s="44">
        <f t="shared" si="12"/>
        <v>248</v>
      </c>
      <c r="C253" s="380">
        <f>PMSplint!T297</f>
        <v>2.6233265031413349</v>
      </c>
      <c r="D253" s="500">
        <v>2.7938136612243123</v>
      </c>
      <c r="E253" s="381">
        <f t="shared" si="13"/>
        <v>2.7938136612243123</v>
      </c>
      <c r="F253" s="382">
        <f>TxSplint!N297</f>
        <v>22.786554642050284</v>
      </c>
      <c r="G253" s="455"/>
      <c r="H253" s="381">
        <f t="shared" si="14"/>
        <v>22.786554642050284</v>
      </c>
      <c r="I253" s="382">
        <f>TnSplint!N297</f>
        <v>16.362994486833635</v>
      </c>
      <c r="J253" s="455"/>
      <c r="K253" s="381">
        <f t="shared" si="15"/>
        <v>16.362994486833635</v>
      </c>
      <c r="L253" s="383"/>
      <c r="M253" s="455">
        <v>11</v>
      </c>
      <c r="N253" s="384"/>
    </row>
    <row r="254" spans="1:14">
      <c r="A254" s="444">
        <f>Input!B270</f>
        <v>38235</v>
      </c>
      <c r="B254" s="44">
        <f t="shared" si="12"/>
        <v>249</v>
      </c>
      <c r="C254" s="380">
        <f>PMSplint!T298</f>
        <v>2.5654274035946112</v>
      </c>
      <c r="D254" s="500">
        <v>2.6424369934627041</v>
      </c>
      <c r="E254" s="381">
        <f t="shared" si="13"/>
        <v>2.6424369934627041</v>
      </c>
      <c r="F254" s="382">
        <f>TxSplint!N298</f>
        <v>22.50991493486848</v>
      </c>
      <c r="G254" s="455"/>
      <c r="H254" s="381">
        <f t="shared" si="14"/>
        <v>22.50991493486848</v>
      </c>
      <c r="I254" s="382">
        <f>TnSplint!N298</f>
        <v>16.198165775735539</v>
      </c>
      <c r="J254" s="455"/>
      <c r="K254" s="381">
        <f t="shared" si="15"/>
        <v>16.198165775735539</v>
      </c>
      <c r="L254" s="383"/>
      <c r="M254" s="455">
        <v>2.2000000000000002</v>
      </c>
      <c r="N254" s="384"/>
    </row>
    <row r="255" spans="1:14">
      <c r="A255" s="444">
        <f>Input!B271</f>
        <v>38236</v>
      </c>
      <c r="B255" s="44">
        <f t="shared" si="12"/>
        <v>250</v>
      </c>
      <c r="C255" s="380">
        <f>PMSplint!T299</f>
        <v>2.5078940608759557</v>
      </c>
      <c r="D255" s="500">
        <v>2.578113702697407</v>
      </c>
      <c r="E255" s="381">
        <f t="shared" si="13"/>
        <v>2.578113702697407</v>
      </c>
      <c r="F255" s="382">
        <f>TxSplint!N299</f>
        <v>22.232754087048686</v>
      </c>
      <c r="G255" s="455"/>
      <c r="H255" s="381">
        <f t="shared" si="14"/>
        <v>22.232754087048686</v>
      </c>
      <c r="I255" s="382">
        <f>TnSplint!N299</f>
        <v>16.031919214423091</v>
      </c>
      <c r="J255" s="455"/>
      <c r="K255" s="381">
        <f t="shared" si="15"/>
        <v>16.031919214423091</v>
      </c>
      <c r="L255" s="383"/>
      <c r="M255" s="455">
        <v>0</v>
      </c>
      <c r="N255" s="384"/>
    </row>
    <row r="256" spans="1:14">
      <c r="A256" s="444">
        <f>Input!B272</f>
        <v>38237</v>
      </c>
      <c r="B256" s="44">
        <f t="shared" si="12"/>
        <v>251</v>
      </c>
      <c r="C256" s="380">
        <f>PMSplint!T300</f>
        <v>2.4508270780974195</v>
      </c>
      <c r="D256" s="500">
        <v>2.0862799704609447</v>
      </c>
      <c r="E256" s="381">
        <f t="shared" si="13"/>
        <v>2.0862799704609447</v>
      </c>
      <c r="F256" s="382">
        <f>TxSplint!N300</f>
        <v>21.955826511956783</v>
      </c>
      <c r="G256" s="455"/>
      <c r="H256" s="381">
        <f t="shared" si="14"/>
        <v>21.955826511956783</v>
      </c>
      <c r="I256" s="382">
        <f>TnSplint!N300</f>
        <v>15.864586740858121</v>
      </c>
      <c r="J256" s="455"/>
      <c r="K256" s="381">
        <f t="shared" si="15"/>
        <v>15.864586740858121</v>
      </c>
      <c r="L256" s="383"/>
      <c r="M256" s="455">
        <v>0</v>
      </c>
      <c r="N256" s="384"/>
    </row>
    <row r="257" spans="1:14">
      <c r="A257" s="444">
        <f>Input!B273</f>
        <v>38238</v>
      </c>
      <c r="B257" s="44">
        <f t="shared" si="12"/>
        <v>252</v>
      </c>
      <c r="C257" s="380">
        <f>PMSplint!T301</f>
        <v>2.3943270583710548</v>
      </c>
      <c r="D257" s="500">
        <v>2.9138217266599553</v>
      </c>
      <c r="E257" s="381">
        <f t="shared" si="13"/>
        <v>2.9138217266599553</v>
      </c>
      <c r="F257" s="382">
        <f>TxSplint!N301</f>
        <v>21.67988662295868</v>
      </c>
      <c r="G257" s="455"/>
      <c r="H257" s="381">
        <f t="shared" si="14"/>
        <v>21.67988662295868</v>
      </c>
      <c r="I257" s="382">
        <f>TnSplint!N301</f>
        <v>15.696500293002456</v>
      </c>
      <c r="J257" s="455"/>
      <c r="K257" s="381">
        <f t="shared" si="15"/>
        <v>15.696500293002456</v>
      </c>
      <c r="L257" s="383"/>
      <c r="M257" s="455">
        <v>0</v>
      </c>
      <c r="N257" s="384"/>
    </row>
    <row r="258" spans="1:14">
      <c r="A258" s="444">
        <f>Input!B274</f>
        <v>38239</v>
      </c>
      <c r="B258" s="44">
        <f t="shared" si="12"/>
        <v>253</v>
      </c>
      <c r="C258" s="380">
        <f>PMSplint!T302</f>
        <v>2.3384946048089135</v>
      </c>
      <c r="D258" s="500">
        <v>2.9219428494973703</v>
      </c>
      <c r="E258" s="381">
        <f t="shared" si="13"/>
        <v>2.9219428494973703</v>
      </c>
      <c r="F258" s="382">
        <f>TxSplint!N302</f>
        <v>21.405688833420264</v>
      </c>
      <c r="G258" s="455"/>
      <c r="H258" s="381">
        <f t="shared" si="14"/>
        <v>21.405688833420264</v>
      </c>
      <c r="I258" s="382">
        <f>TnSplint!N302</f>
        <v>15.527991808817916</v>
      </c>
      <c r="J258" s="455"/>
      <c r="K258" s="381">
        <f t="shared" si="15"/>
        <v>15.527991808817916</v>
      </c>
      <c r="L258" s="383"/>
      <c r="M258" s="455">
        <v>0</v>
      </c>
      <c r="N258" s="384"/>
    </row>
    <row r="259" spans="1:14">
      <c r="A259" s="444">
        <f>Input!B275</f>
        <v>38240</v>
      </c>
      <c r="B259" s="44">
        <f t="shared" si="12"/>
        <v>254</v>
      </c>
      <c r="C259" s="380">
        <f>PMSplint!T303</f>
        <v>2.2834303205230468</v>
      </c>
      <c r="D259" s="500">
        <v>2.6313715600740846</v>
      </c>
      <c r="E259" s="381">
        <f t="shared" si="13"/>
        <v>2.6313715600740846</v>
      </c>
      <c r="F259" s="382">
        <f>TxSplint!N303</f>
        <v>21.133987556707428</v>
      </c>
      <c r="G259" s="455"/>
      <c r="H259" s="381">
        <f t="shared" si="14"/>
        <v>21.133987556707428</v>
      </c>
      <c r="I259" s="382">
        <f>TnSplint!N303</f>
        <v>15.359393226266334</v>
      </c>
      <c r="J259" s="455"/>
      <c r="K259" s="381">
        <f t="shared" si="15"/>
        <v>15.359393226266334</v>
      </c>
      <c r="L259" s="383"/>
      <c r="M259" s="455">
        <v>0</v>
      </c>
      <c r="N259" s="384"/>
    </row>
    <row r="260" spans="1:14">
      <c r="A260" s="444">
        <f>Input!B276</f>
        <v>38241</v>
      </c>
      <c r="B260" s="44">
        <f t="shared" si="12"/>
        <v>255</v>
      </c>
      <c r="C260" s="380">
        <f>PMSplint!T304</f>
        <v>2.2292348086255074</v>
      </c>
      <c r="D260" s="500">
        <v>2.9416653353000819</v>
      </c>
      <c r="E260" s="381">
        <f t="shared" si="13"/>
        <v>2.9416653353000819</v>
      </c>
      <c r="F260" s="382">
        <f>TxSplint!N304</f>
        <v>20.865537206186072</v>
      </c>
      <c r="G260" s="455"/>
      <c r="H260" s="381">
        <f t="shared" si="14"/>
        <v>20.865537206186072</v>
      </c>
      <c r="I260" s="382">
        <f>TnSplint!N304</f>
        <v>15.191036483309531</v>
      </c>
      <c r="J260" s="455"/>
      <c r="K260" s="381">
        <f t="shared" si="15"/>
        <v>15.191036483309531</v>
      </c>
      <c r="L260" s="383"/>
      <c r="M260" s="455">
        <v>0</v>
      </c>
      <c r="N260" s="384"/>
    </row>
    <row r="261" spans="1:14">
      <c r="A261" s="444">
        <f>Input!B277</f>
        <v>38242</v>
      </c>
      <c r="B261" s="44">
        <f t="shared" si="12"/>
        <v>256</v>
      </c>
      <c r="C261" s="380">
        <f>PMSplint!T305</f>
        <v>2.1760086722283467</v>
      </c>
      <c r="D261" s="500">
        <v>2.4586716698177891</v>
      </c>
      <c r="E261" s="381">
        <f t="shared" si="13"/>
        <v>2.4586716698177891</v>
      </c>
      <c r="F261" s="382">
        <f>TxSplint!N305</f>
        <v>20.60109219522209</v>
      </c>
      <c r="G261" s="455"/>
      <c r="H261" s="381">
        <f t="shared" si="14"/>
        <v>20.60109219522209</v>
      </c>
      <c r="I261" s="382">
        <f>TnSplint!N305</f>
        <v>15.023253517909339</v>
      </c>
      <c r="J261" s="455"/>
      <c r="K261" s="381">
        <f t="shared" si="15"/>
        <v>15.023253517909339</v>
      </c>
      <c r="L261" s="383"/>
      <c r="M261" s="455">
        <v>9.4</v>
      </c>
      <c r="N261" s="384"/>
    </row>
    <row r="262" spans="1:14">
      <c r="A262" s="444">
        <f>Input!B278</f>
        <v>38243</v>
      </c>
      <c r="B262" s="44">
        <f t="shared" si="12"/>
        <v>257</v>
      </c>
      <c r="C262" s="380">
        <f>PMSplint!T306</f>
        <v>2.1238525144436156</v>
      </c>
      <c r="D262" s="500">
        <v>0.60772138538312692</v>
      </c>
      <c r="E262" s="381">
        <f t="shared" si="13"/>
        <v>0.60772138538312692</v>
      </c>
      <c r="F262" s="382">
        <f>TxSplint!N306</f>
        <v>20.341406937181379</v>
      </c>
      <c r="G262" s="455"/>
      <c r="H262" s="381">
        <f t="shared" si="14"/>
        <v>20.341406937181379</v>
      </c>
      <c r="I262" s="382">
        <f>TnSplint!N306</f>
        <v>14.85637626802758</v>
      </c>
      <c r="J262" s="455"/>
      <c r="K262" s="381">
        <f t="shared" si="15"/>
        <v>14.85637626802758</v>
      </c>
      <c r="L262" s="383"/>
      <c r="M262" s="455">
        <v>1.2</v>
      </c>
      <c r="N262" s="384"/>
    </row>
    <row r="263" spans="1:14">
      <c r="A263" s="444">
        <f>Input!B279</f>
        <v>38244</v>
      </c>
      <c r="B263" s="44">
        <f t="shared" ref="B263:B326" si="16">A263-DATE(YEAR(A263)-1,12,31)</f>
        <v>258</v>
      </c>
      <c r="C263" s="380">
        <f>PMSplint!T307</f>
        <v>2.0728669383833678</v>
      </c>
      <c r="D263" s="500">
        <v>1.6459072285947327</v>
      </c>
      <c r="E263" s="381">
        <f t="shared" ref="E263:E326" si="17">IF(ISERROR(D263),C263,IF(D263="",C263,IF(D263&lt;0,0,D263)))</f>
        <v>1.6459072285947327</v>
      </c>
      <c r="F263" s="382">
        <f>TxSplint!N307</f>
        <v>20.087235845429827</v>
      </c>
      <c r="G263" s="455"/>
      <c r="H263" s="381">
        <f t="shared" si="14"/>
        <v>20.087235845429827</v>
      </c>
      <c r="I263" s="382">
        <f>TnSplint!N307</f>
        <v>14.690736671626079</v>
      </c>
      <c r="J263" s="455"/>
      <c r="K263" s="381">
        <f t="shared" si="15"/>
        <v>14.690736671626079</v>
      </c>
      <c r="L263" s="383"/>
      <c r="M263" s="455">
        <v>0</v>
      </c>
      <c r="N263" s="384"/>
    </row>
    <row r="264" spans="1:14">
      <c r="A264" s="444">
        <f>Input!B280</f>
        <v>38245</v>
      </c>
      <c r="B264" s="44">
        <f t="shared" si="16"/>
        <v>259</v>
      </c>
      <c r="C264" s="380">
        <f>PMSplint!T308</f>
        <v>2.0231525471596536</v>
      </c>
      <c r="D264" s="500">
        <v>1.7463882963650035</v>
      </c>
      <c r="E264" s="381">
        <f t="shared" si="17"/>
        <v>1.7463882963650035</v>
      </c>
      <c r="F264" s="382">
        <f>TxSplint!N308</f>
        <v>19.839333333333332</v>
      </c>
      <c r="G264" s="455"/>
      <c r="H264" s="381">
        <f t="shared" ref="H264:H327" si="18">IF(G264="",F264,G264)</f>
        <v>19.839333333333332</v>
      </c>
      <c r="I264" s="382">
        <f>TnSplint!N308</f>
        <v>14.526666666666667</v>
      </c>
      <c r="J264" s="455"/>
      <c r="K264" s="381">
        <f t="shared" ref="K264:K327" si="19">IF(J264="",I264,J264)</f>
        <v>14.526666666666667</v>
      </c>
      <c r="L264" s="383"/>
      <c r="M264" s="455">
        <v>0</v>
      </c>
      <c r="N264" s="384"/>
    </row>
    <row r="265" spans="1:14">
      <c r="A265" s="444">
        <f>Input!B281</f>
        <v>38246</v>
      </c>
      <c r="B265" s="44">
        <f t="shared" si="16"/>
        <v>260</v>
      </c>
      <c r="C265" s="380">
        <f>PMSplint!T309</f>
        <v>1.9747874337649087</v>
      </c>
      <c r="D265" s="500">
        <v>1.7418765144277353</v>
      </c>
      <c r="E265" s="381">
        <f t="shared" si="17"/>
        <v>1.7418765144277353</v>
      </c>
      <c r="F265" s="382">
        <f>TxSplint!N309</f>
        <v>19.598294067853502</v>
      </c>
      <c r="G265" s="455"/>
      <c r="H265" s="381">
        <f t="shared" si="18"/>
        <v>19.598294067853502</v>
      </c>
      <c r="I265" s="382">
        <f>TnSplint!N309</f>
        <v>14.364444557150462</v>
      </c>
      <c r="J265" s="455"/>
      <c r="K265" s="381">
        <f t="shared" si="19"/>
        <v>14.364444557150462</v>
      </c>
      <c r="L265" s="383"/>
      <c r="M265" s="455">
        <v>0</v>
      </c>
      <c r="N265" s="384"/>
    </row>
    <row r="266" spans="1:14">
      <c r="A266" s="444">
        <f>Input!B282</f>
        <v>38247</v>
      </c>
      <c r="B266" s="44">
        <f t="shared" si="16"/>
        <v>261</v>
      </c>
      <c r="C266" s="380">
        <f>PMSplint!T310</f>
        <v>1.9277596507131003</v>
      </c>
      <c r="D266" s="500">
        <v>1.510606778004419</v>
      </c>
      <c r="E266" s="381">
        <f t="shared" si="17"/>
        <v>1.510606778004419</v>
      </c>
      <c r="F266" s="382">
        <f>TxSplint!N310</f>
        <v>19.364073730334756</v>
      </c>
      <c r="G266" s="455"/>
      <c r="H266" s="381">
        <f t="shared" si="18"/>
        <v>19.364073730334756</v>
      </c>
      <c r="I266" s="382">
        <f>TnSplint!N310</f>
        <v>14.204134111235756</v>
      </c>
      <c r="J266" s="455"/>
      <c r="K266" s="381">
        <f t="shared" si="19"/>
        <v>14.204134111235756</v>
      </c>
      <c r="L266" s="383"/>
      <c r="M266" s="455">
        <v>0</v>
      </c>
      <c r="N266" s="384"/>
    </row>
    <row r="267" spans="1:14">
      <c r="A267" s="444">
        <f>Input!B283</f>
        <v>38248</v>
      </c>
      <c r="B267" s="44">
        <f t="shared" si="16"/>
        <v>262</v>
      </c>
      <c r="C267" s="380">
        <f>PMSplint!T311</f>
        <v>1.8820347403985793</v>
      </c>
      <c r="D267" s="500">
        <v>2.0939021302323595</v>
      </c>
      <c r="E267" s="381">
        <f t="shared" si="17"/>
        <v>2.0939021302323595</v>
      </c>
      <c r="F267" s="382">
        <f>TxSplint!N311</f>
        <v>19.136468255717247</v>
      </c>
      <c r="G267" s="455"/>
      <c r="H267" s="381">
        <f t="shared" si="18"/>
        <v>19.136468255717247</v>
      </c>
      <c r="I267" s="382">
        <f>TnSplint!N311</f>
        <v>14.045745463120138</v>
      </c>
      <c r="J267" s="455"/>
      <c r="K267" s="381">
        <f t="shared" si="19"/>
        <v>14.045745463120138</v>
      </c>
      <c r="L267" s="383"/>
      <c r="M267" s="455">
        <v>0</v>
      </c>
      <c r="N267" s="384"/>
    </row>
    <row r="268" spans="1:14">
      <c r="A268" s="444">
        <f>Input!B284</f>
        <v>38249</v>
      </c>
      <c r="B268" s="44">
        <f t="shared" si="16"/>
        <v>263</v>
      </c>
      <c r="C268" s="380">
        <f>PMSplint!T312</f>
        <v>1.837578245215697</v>
      </c>
      <c r="D268" s="500">
        <v>2.0557482287284605</v>
      </c>
      <c r="E268" s="381">
        <f t="shared" si="17"/>
        <v>2.0557482287284605</v>
      </c>
      <c r="F268" s="382">
        <f>TxSplint!N312</f>
        <v>18.915273578941108</v>
      </c>
      <c r="G268" s="455"/>
      <c r="H268" s="381">
        <f t="shared" si="18"/>
        <v>18.915273578941108</v>
      </c>
      <c r="I268" s="382">
        <f>TnSplint!N312</f>
        <v>13.889288747001196</v>
      </c>
      <c r="J268" s="455"/>
      <c r="K268" s="381">
        <f t="shared" si="19"/>
        <v>13.889288747001196</v>
      </c>
      <c r="L268" s="383"/>
      <c r="M268" s="455">
        <v>0.2</v>
      </c>
      <c r="N268" s="384"/>
    </row>
    <row r="269" spans="1:14">
      <c r="A269" s="444">
        <f>Input!B285</f>
        <v>38250</v>
      </c>
      <c r="B269" s="44">
        <f t="shared" si="16"/>
        <v>264</v>
      </c>
      <c r="C269" s="380">
        <f>PMSplint!T313</f>
        <v>1.7943557075588035</v>
      </c>
      <c r="D269" s="500">
        <v>1.7686822371330457</v>
      </c>
      <c r="E269" s="381">
        <f t="shared" si="17"/>
        <v>1.7686822371330457</v>
      </c>
      <c r="F269" s="382">
        <f>TxSplint!N313</f>
        <v>18.700285634946471</v>
      </c>
      <c r="G269" s="455"/>
      <c r="H269" s="381">
        <f t="shared" si="18"/>
        <v>18.700285634946471</v>
      </c>
      <c r="I269" s="382">
        <f>TnSplint!N313</f>
        <v>13.734774097076516</v>
      </c>
      <c r="J269" s="455"/>
      <c r="K269" s="381">
        <f t="shared" si="19"/>
        <v>13.734774097076516</v>
      </c>
      <c r="L269" s="383"/>
      <c r="M269" s="455">
        <v>0</v>
      </c>
      <c r="N269" s="384"/>
    </row>
    <row r="270" spans="1:14">
      <c r="A270" s="444">
        <f>Input!B286</f>
        <v>38251</v>
      </c>
      <c r="B270" s="44">
        <f t="shared" si="16"/>
        <v>265</v>
      </c>
      <c r="C270" s="380">
        <f>PMSplint!T314</f>
        <v>1.7523326698222499</v>
      </c>
      <c r="D270" s="500">
        <v>1.7556894234257725</v>
      </c>
      <c r="E270" s="381">
        <f t="shared" si="17"/>
        <v>1.7556894234257725</v>
      </c>
      <c r="F270" s="382">
        <f>TxSplint!N314</f>
        <v>18.491300358673488</v>
      </c>
      <c r="G270" s="455"/>
      <c r="H270" s="381">
        <f t="shared" si="18"/>
        <v>18.491300358673488</v>
      </c>
      <c r="I270" s="382">
        <f>TnSplint!N314</f>
        <v>13.582211647543682</v>
      </c>
      <c r="J270" s="455"/>
      <c r="K270" s="381">
        <f t="shared" si="19"/>
        <v>13.582211647543682</v>
      </c>
      <c r="L270" s="383"/>
      <c r="M270" s="455">
        <v>0</v>
      </c>
      <c r="N270" s="384"/>
    </row>
    <row r="271" spans="1:14">
      <c r="A271" s="444">
        <f>Input!B287</f>
        <v>38252</v>
      </c>
      <c r="B271" s="44">
        <f t="shared" si="16"/>
        <v>266</v>
      </c>
      <c r="C271" s="380">
        <f>PMSplint!T315</f>
        <v>1.711474674400387</v>
      </c>
      <c r="D271" s="500">
        <v>1.5169243163561759</v>
      </c>
      <c r="E271" s="381">
        <f t="shared" si="17"/>
        <v>1.5169243163561759</v>
      </c>
      <c r="F271" s="382">
        <f>TxSplint!N315</f>
        <v>18.288113685062289</v>
      </c>
      <c r="G271" s="455"/>
      <c r="H271" s="381">
        <f t="shared" si="18"/>
        <v>18.288113685062289</v>
      </c>
      <c r="I271" s="382">
        <f>TnSplint!N315</f>
        <v>13.431611532600286</v>
      </c>
      <c r="J271" s="455"/>
      <c r="K271" s="381">
        <f t="shared" si="19"/>
        <v>13.431611532600286</v>
      </c>
      <c r="L271" s="383"/>
      <c r="M271" s="455">
        <v>0</v>
      </c>
      <c r="N271" s="384"/>
    </row>
    <row r="272" spans="1:14">
      <c r="A272" s="444">
        <f>Input!B288</f>
        <v>38253</v>
      </c>
      <c r="B272" s="44">
        <f t="shared" si="16"/>
        <v>267</v>
      </c>
      <c r="C272" s="380">
        <f>PMSplint!T316</f>
        <v>1.6717472636875654</v>
      </c>
      <c r="D272" s="500">
        <v>1.8826041136831777</v>
      </c>
      <c r="E272" s="381">
        <f t="shared" si="17"/>
        <v>1.8826041136831777</v>
      </c>
      <c r="F272" s="382">
        <f>TxSplint!N316</f>
        <v>18.090521549053008</v>
      </c>
      <c r="G272" s="455"/>
      <c r="H272" s="381">
        <f t="shared" si="18"/>
        <v>18.090521549053008</v>
      </c>
      <c r="I272" s="382">
        <f>TnSplint!N316</f>
        <v>13.282983886443914</v>
      </c>
      <c r="J272" s="455"/>
      <c r="K272" s="381">
        <f t="shared" si="19"/>
        <v>13.282983886443914</v>
      </c>
      <c r="L272" s="383"/>
      <c r="M272" s="455">
        <v>0</v>
      </c>
      <c r="N272" s="384"/>
    </row>
    <row r="273" spans="1:14">
      <c r="A273" s="444">
        <f>Input!B289</f>
        <v>38254</v>
      </c>
      <c r="B273" s="44">
        <f t="shared" si="16"/>
        <v>268</v>
      </c>
      <c r="C273" s="380">
        <f>PMSplint!T317</f>
        <v>1.6331159800781363</v>
      </c>
      <c r="D273" s="500">
        <v>0.52196974349221081</v>
      </c>
      <c r="E273" s="381">
        <f t="shared" si="17"/>
        <v>0.52196974349221081</v>
      </c>
      <c r="F273" s="382">
        <f>TxSplint!N317</f>
        <v>17.898319885585799</v>
      </c>
      <c r="G273" s="455"/>
      <c r="H273" s="381">
        <f t="shared" si="18"/>
        <v>17.898319885585799</v>
      </c>
      <c r="I273" s="382">
        <f>TnSplint!N317</f>
        <v>13.136338843272151</v>
      </c>
      <c r="J273" s="455"/>
      <c r="K273" s="381">
        <f t="shared" si="19"/>
        <v>13.136338843272151</v>
      </c>
      <c r="L273" s="383"/>
      <c r="M273" s="455">
        <v>0</v>
      </c>
      <c r="N273" s="384"/>
    </row>
    <row r="274" spans="1:14">
      <c r="A274" s="444">
        <f>Input!B290</f>
        <v>38255</v>
      </c>
      <c r="B274" s="44">
        <f t="shared" si="16"/>
        <v>269</v>
      </c>
      <c r="C274" s="380">
        <f>PMSplint!T318</f>
        <v>1.5955463659664495</v>
      </c>
      <c r="D274" s="500">
        <v>1.4602956391032043</v>
      </c>
      <c r="E274" s="381">
        <f t="shared" si="17"/>
        <v>1.4602956391032043</v>
      </c>
      <c r="F274" s="382">
        <f>TxSplint!N318</f>
        <v>17.711304629600789</v>
      </c>
      <c r="G274" s="455"/>
      <c r="H274" s="381">
        <f t="shared" si="18"/>
        <v>17.711304629600789</v>
      </c>
      <c r="I274" s="382">
        <f>TnSplint!N318</f>
        <v>12.991686537282582</v>
      </c>
      <c r="J274" s="455"/>
      <c r="K274" s="381">
        <f t="shared" si="19"/>
        <v>12.991686537282582</v>
      </c>
      <c r="L274" s="383"/>
      <c r="M274" s="455">
        <v>2.2000000000000002</v>
      </c>
      <c r="N274" s="384"/>
    </row>
    <row r="275" spans="1:14">
      <c r="A275" s="444">
        <f>Input!B291</f>
        <v>38256</v>
      </c>
      <c r="B275" s="44">
        <f t="shared" si="16"/>
        <v>270</v>
      </c>
      <c r="C275" s="380">
        <f>PMSplint!T319</f>
        <v>1.5590039637468571</v>
      </c>
      <c r="D275" s="500">
        <v>2.2341226653855277</v>
      </c>
      <c r="E275" s="381">
        <f t="shared" si="17"/>
        <v>2.2341226653855277</v>
      </c>
      <c r="F275" s="382">
        <f>TxSplint!N319</f>
        <v>17.529271716038121</v>
      </c>
      <c r="G275" s="455"/>
      <c r="H275" s="381">
        <f t="shared" si="18"/>
        <v>17.529271716038121</v>
      </c>
      <c r="I275" s="382">
        <f>TnSplint!N319</f>
        <v>12.849037102672805</v>
      </c>
      <c r="J275" s="455"/>
      <c r="K275" s="381">
        <f t="shared" si="19"/>
        <v>12.849037102672805</v>
      </c>
      <c r="L275" s="383"/>
      <c r="M275" s="455">
        <v>0.2</v>
      </c>
      <c r="N275" s="384"/>
    </row>
    <row r="276" spans="1:14">
      <c r="A276" s="444">
        <f>Input!B292</f>
        <v>38257</v>
      </c>
      <c r="B276" s="44">
        <f t="shared" si="16"/>
        <v>271</v>
      </c>
      <c r="C276" s="380">
        <f>PMSplint!T320</f>
        <v>1.5234543158137093</v>
      </c>
      <c r="D276" s="500">
        <v>2.090242492287</v>
      </c>
      <c r="E276" s="381">
        <f t="shared" si="17"/>
        <v>2.090242492287</v>
      </c>
      <c r="F276" s="382">
        <f>TxSplint!N320</f>
        <v>17.352017079837935</v>
      </c>
      <c r="G276" s="455"/>
      <c r="H276" s="381">
        <f t="shared" si="18"/>
        <v>17.352017079837935</v>
      </c>
      <c r="I276" s="382">
        <f>TnSplint!N320</f>
        <v>12.708400673640394</v>
      </c>
      <c r="J276" s="455"/>
      <c r="K276" s="381">
        <f t="shared" si="19"/>
        <v>12.708400673640394</v>
      </c>
      <c r="L276" s="383"/>
      <c r="M276" s="455">
        <v>0</v>
      </c>
      <c r="N276" s="384"/>
    </row>
    <row r="277" spans="1:14">
      <c r="A277" s="444">
        <f>Input!B293</f>
        <v>38258</v>
      </c>
      <c r="B277" s="44">
        <f t="shared" si="16"/>
        <v>272</v>
      </c>
      <c r="C277" s="380">
        <f>PMSplint!T321</f>
        <v>1.4888629645613567</v>
      </c>
      <c r="D277" s="500">
        <v>1.7635447241882989</v>
      </c>
      <c r="E277" s="381">
        <f t="shared" si="17"/>
        <v>1.7635447241882989</v>
      </c>
      <c r="F277" s="382">
        <f>TxSplint!N321</f>
        <v>17.179336655940368</v>
      </c>
      <c r="G277" s="455"/>
      <c r="H277" s="381">
        <f t="shared" si="18"/>
        <v>17.179336655940368</v>
      </c>
      <c r="I277" s="382">
        <f>TnSplint!N321</f>
        <v>12.569787384382945</v>
      </c>
      <c r="J277" s="455"/>
      <c r="K277" s="381">
        <f t="shared" si="19"/>
        <v>12.569787384382945</v>
      </c>
      <c r="L277" s="383"/>
      <c r="M277" s="455">
        <v>0.2</v>
      </c>
      <c r="N277" s="384"/>
    </row>
    <row r="278" spans="1:14">
      <c r="A278" s="444">
        <f>Input!B294</f>
        <v>38259</v>
      </c>
      <c r="B278" s="44">
        <f t="shared" si="16"/>
        <v>273</v>
      </c>
      <c r="C278" s="380">
        <f>PMSplint!T322</f>
        <v>1.4551954523841502</v>
      </c>
      <c r="D278" s="500">
        <v>1.5355098261541054</v>
      </c>
      <c r="E278" s="381">
        <f t="shared" si="17"/>
        <v>1.5355098261541054</v>
      </c>
      <c r="F278" s="382">
        <f>TxSplint!N322</f>
        <v>17.011026379285557</v>
      </c>
      <c r="G278" s="455"/>
      <c r="H278" s="381">
        <f t="shared" si="18"/>
        <v>17.011026379285557</v>
      </c>
      <c r="I278" s="382">
        <f>TnSplint!N322</f>
        <v>12.433207369098037</v>
      </c>
      <c r="J278" s="455"/>
      <c r="K278" s="381">
        <f t="shared" si="19"/>
        <v>12.433207369098037</v>
      </c>
      <c r="L278" s="383"/>
      <c r="M278" s="455">
        <v>2.6</v>
      </c>
      <c r="N278" s="384"/>
    </row>
    <row r="279" spans="1:14">
      <c r="A279" s="444">
        <f>Input!B295</f>
        <v>38260</v>
      </c>
      <c r="B279" s="44">
        <f t="shared" si="16"/>
        <v>274</v>
      </c>
      <c r="C279" s="380">
        <f>PMSplint!T323</f>
        <v>1.4224173216764409</v>
      </c>
      <c r="D279" s="500">
        <v>0.76441317371540662</v>
      </c>
      <c r="E279" s="381">
        <f t="shared" si="17"/>
        <v>0.76441317371540662</v>
      </c>
      <c r="F279" s="382">
        <f>TxSplint!N323</f>
        <v>16.846882184813644</v>
      </c>
      <c r="G279" s="455"/>
      <c r="H279" s="381">
        <f t="shared" si="18"/>
        <v>16.846882184813644</v>
      </c>
      <c r="I279" s="382">
        <f>TnSplint!N323</f>
        <v>12.298670761983269</v>
      </c>
      <c r="J279" s="455"/>
      <c r="K279" s="381">
        <f t="shared" si="19"/>
        <v>12.298670761983269</v>
      </c>
      <c r="L279" s="383"/>
      <c r="M279" s="455">
        <v>0</v>
      </c>
      <c r="N279" s="384"/>
    </row>
    <row r="280" spans="1:14">
      <c r="A280" s="444">
        <f>Input!B296</f>
        <v>38261</v>
      </c>
      <c r="B280" s="44">
        <f t="shared" si="16"/>
        <v>275</v>
      </c>
      <c r="C280" s="380">
        <f>PMSplint!T324</f>
        <v>1.3904941148325791</v>
      </c>
      <c r="D280" s="500">
        <v>1.2283871496208394</v>
      </c>
      <c r="E280" s="381">
        <f t="shared" si="17"/>
        <v>1.2283871496208394</v>
      </c>
      <c r="F280" s="382">
        <f>TxSplint!N324</f>
        <v>16.686700007464768</v>
      </c>
      <c r="G280" s="455"/>
      <c r="H280" s="381">
        <f t="shared" si="18"/>
        <v>16.686700007464768</v>
      </c>
      <c r="I280" s="382">
        <f>TnSplint!N324</f>
        <v>12.166187697236216</v>
      </c>
      <c r="J280" s="455"/>
      <c r="K280" s="381">
        <f t="shared" si="19"/>
        <v>12.166187697236216</v>
      </c>
      <c r="L280" s="383"/>
      <c r="M280" s="455">
        <v>0</v>
      </c>
      <c r="N280" s="384"/>
    </row>
    <row r="281" spans="1:14">
      <c r="A281" s="444">
        <f>Input!B297</f>
        <v>38262</v>
      </c>
      <c r="B281" s="44">
        <f t="shared" si="16"/>
        <v>276</v>
      </c>
      <c r="C281" s="380">
        <f>PMSplint!T325</f>
        <v>1.3593913742469157</v>
      </c>
      <c r="D281" s="500">
        <v>1.0207438910208613</v>
      </c>
      <c r="E281" s="381">
        <f t="shared" si="17"/>
        <v>1.0207438910208613</v>
      </c>
      <c r="F281" s="382">
        <f>TxSplint!N325</f>
        <v>16.530275782179057</v>
      </c>
      <c r="G281" s="455"/>
      <c r="H281" s="381">
        <f t="shared" si="18"/>
        <v>16.530275782179057</v>
      </c>
      <c r="I281" s="382">
        <f>TnSplint!N325</f>
        <v>12.035768309054472</v>
      </c>
      <c r="J281" s="455"/>
      <c r="K281" s="381">
        <f t="shared" si="19"/>
        <v>12.035768309054472</v>
      </c>
      <c r="L281" s="383"/>
      <c r="M281" s="455">
        <v>0.2</v>
      </c>
      <c r="N281" s="384"/>
    </row>
    <row r="282" spans="1:14">
      <c r="A282" s="444">
        <f>Input!B298</f>
        <v>38263</v>
      </c>
      <c r="B282" s="44">
        <f t="shared" si="16"/>
        <v>277</v>
      </c>
      <c r="C282" s="380">
        <f>PMSplint!T326</f>
        <v>1.329074642313802</v>
      </c>
      <c r="D282" s="500">
        <v>1.6491328487668226</v>
      </c>
      <c r="E282" s="381">
        <f t="shared" si="17"/>
        <v>1.6491328487668226</v>
      </c>
      <c r="F282" s="382">
        <f>TxSplint!N326</f>
        <v>16.377405443896674</v>
      </c>
      <c r="G282" s="455"/>
      <c r="H282" s="381">
        <f t="shared" si="18"/>
        <v>16.377405443896674</v>
      </c>
      <c r="I282" s="382">
        <f>TnSplint!N326</f>
        <v>11.907422731635625</v>
      </c>
      <c r="J282" s="455"/>
      <c r="K282" s="381">
        <f t="shared" si="19"/>
        <v>11.907422731635625</v>
      </c>
      <c r="L282" s="383"/>
      <c r="M282" s="455">
        <v>0</v>
      </c>
      <c r="N282" s="384"/>
    </row>
    <row r="283" spans="1:14">
      <c r="A283" s="444">
        <f>Input!B299</f>
        <v>38264</v>
      </c>
      <c r="B283" s="44">
        <f t="shared" si="16"/>
        <v>278</v>
      </c>
      <c r="C283" s="380">
        <f>PMSplint!T327</f>
        <v>1.2995094614275877</v>
      </c>
      <c r="D283" s="500">
        <v>1.7470272988959599</v>
      </c>
      <c r="E283" s="381">
        <f t="shared" si="17"/>
        <v>1.7470272988959599</v>
      </c>
      <c r="F283" s="382">
        <f>TxSplint!N327</f>
        <v>16.227884927557735</v>
      </c>
      <c r="G283" s="455"/>
      <c r="H283" s="381">
        <f t="shared" si="18"/>
        <v>16.227884927557735</v>
      </c>
      <c r="I283" s="382">
        <f>TnSplint!N327</f>
        <v>11.781161099177258</v>
      </c>
      <c r="J283" s="455"/>
      <c r="K283" s="381">
        <f t="shared" si="19"/>
        <v>11.781161099177258</v>
      </c>
      <c r="L283" s="383"/>
      <c r="M283" s="455">
        <v>0</v>
      </c>
      <c r="N283" s="384"/>
    </row>
    <row r="284" spans="1:14">
      <c r="A284" s="444">
        <f>Input!B300</f>
        <v>38265</v>
      </c>
      <c r="B284" s="44">
        <f t="shared" si="16"/>
        <v>279</v>
      </c>
      <c r="C284" s="380">
        <f>PMSplint!T328</f>
        <v>1.2706613739826247</v>
      </c>
      <c r="D284" s="500">
        <v>1.686918001811976</v>
      </c>
      <c r="E284" s="381">
        <f t="shared" si="17"/>
        <v>1.686918001811976</v>
      </c>
      <c r="F284" s="382">
        <f>TxSplint!N328</f>
        <v>16.08151016810239</v>
      </c>
      <c r="G284" s="455"/>
      <c r="H284" s="381">
        <f t="shared" si="18"/>
        <v>16.08151016810239</v>
      </c>
      <c r="I284" s="382">
        <f>TnSplint!N328</f>
        <v>11.656993545876958</v>
      </c>
      <c r="J284" s="455"/>
      <c r="K284" s="381">
        <f t="shared" si="19"/>
        <v>11.656993545876958</v>
      </c>
      <c r="L284" s="383"/>
      <c r="M284" s="455">
        <v>0</v>
      </c>
      <c r="N284" s="384"/>
    </row>
    <row r="285" spans="1:14">
      <c r="A285" s="444">
        <f>Input!B301</f>
        <v>38266</v>
      </c>
      <c r="B285" s="44">
        <f t="shared" si="16"/>
        <v>280</v>
      </c>
      <c r="C285" s="380">
        <f>PMSplint!T329</f>
        <v>1.2424959223732632</v>
      </c>
      <c r="D285" s="500">
        <v>1.1149775155232635</v>
      </c>
      <c r="E285" s="381">
        <f t="shared" si="17"/>
        <v>1.1149775155232635</v>
      </c>
      <c r="F285" s="382">
        <f>TxSplint!N329</f>
        <v>15.938077100470771</v>
      </c>
      <c r="G285" s="455"/>
      <c r="H285" s="381">
        <f t="shared" si="18"/>
        <v>15.938077100470771</v>
      </c>
      <c r="I285" s="382">
        <f>TnSplint!N329</f>
        <v>11.534930205932314</v>
      </c>
      <c r="J285" s="455"/>
      <c r="K285" s="381">
        <f t="shared" si="19"/>
        <v>11.534930205932314</v>
      </c>
      <c r="L285" s="383"/>
      <c r="M285" s="455">
        <v>0</v>
      </c>
      <c r="N285" s="384"/>
    </row>
    <row r="286" spans="1:14">
      <c r="A286" s="444">
        <f>Input!B302</f>
        <v>38267</v>
      </c>
      <c r="B286" s="44">
        <f t="shared" si="16"/>
        <v>281</v>
      </c>
      <c r="C286" s="380">
        <f>PMSplint!T330</f>
        <v>1.2149786489938543</v>
      </c>
      <c r="D286" s="500">
        <v>1.8464129891664798</v>
      </c>
      <c r="E286" s="381">
        <f t="shared" si="17"/>
        <v>1.8464129891664798</v>
      </c>
      <c r="F286" s="382">
        <f>TxSplint!N330</f>
        <v>15.79738165960303</v>
      </c>
      <c r="G286" s="455"/>
      <c r="H286" s="381">
        <f t="shared" si="18"/>
        <v>15.79738165960303</v>
      </c>
      <c r="I286" s="382">
        <f>TnSplint!N330</f>
        <v>11.414981213540916</v>
      </c>
      <c r="J286" s="455"/>
      <c r="K286" s="381">
        <f t="shared" si="19"/>
        <v>11.414981213540916</v>
      </c>
      <c r="L286" s="383"/>
      <c r="M286" s="455">
        <v>0</v>
      </c>
      <c r="N286" s="384"/>
    </row>
    <row r="287" spans="1:14">
      <c r="A287" s="444">
        <f>Input!B303</f>
        <v>38268</v>
      </c>
      <c r="B287" s="44">
        <f t="shared" si="16"/>
        <v>282</v>
      </c>
      <c r="C287" s="380">
        <f>PMSplint!T331</f>
        <v>1.1880750962387485</v>
      </c>
      <c r="D287" s="500">
        <v>1.5303036358472843</v>
      </c>
      <c r="E287" s="381">
        <f t="shared" si="17"/>
        <v>1.5303036358472843</v>
      </c>
      <c r="F287" s="382">
        <f>TxSplint!N331</f>
        <v>15.659219780439289</v>
      </c>
      <c r="G287" s="455"/>
      <c r="H287" s="381">
        <f t="shared" si="18"/>
        <v>15.659219780439289</v>
      </c>
      <c r="I287" s="382">
        <f>TnSplint!N331</f>
        <v>11.297156702900345</v>
      </c>
      <c r="J287" s="455"/>
      <c r="K287" s="381">
        <f t="shared" si="19"/>
        <v>11.297156702900345</v>
      </c>
      <c r="L287" s="383"/>
      <c r="M287" s="455">
        <v>0</v>
      </c>
      <c r="N287" s="384"/>
    </row>
    <row r="288" spans="1:14">
      <c r="A288" s="444">
        <f>Input!B304</f>
        <v>38269</v>
      </c>
      <c r="B288" s="44">
        <f t="shared" si="16"/>
        <v>283</v>
      </c>
      <c r="C288" s="380">
        <f>PMSplint!T332</f>
        <v>1.1617508065022966</v>
      </c>
      <c r="D288" s="500">
        <v>1.3902745849596458</v>
      </c>
      <c r="E288" s="381">
        <f t="shared" si="17"/>
        <v>1.3902745849596458</v>
      </c>
      <c r="F288" s="382">
        <f>TxSplint!N332</f>
        <v>15.523387397919695</v>
      </c>
      <c r="G288" s="455"/>
      <c r="H288" s="381">
        <f t="shared" si="18"/>
        <v>15.523387397919695</v>
      </c>
      <c r="I288" s="382">
        <f>TnSplint!N332</f>
        <v>11.181466808208192</v>
      </c>
      <c r="J288" s="455"/>
      <c r="K288" s="381">
        <f t="shared" si="19"/>
        <v>11.181466808208192</v>
      </c>
      <c r="L288" s="383"/>
      <c r="M288" s="455">
        <v>3.4</v>
      </c>
      <c r="N288" s="384"/>
    </row>
    <row r="289" spans="1:14">
      <c r="A289" s="444">
        <f>Input!B305</f>
        <v>38270</v>
      </c>
      <c r="B289" s="44">
        <f t="shared" si="16"/>
        <v>284</v>
      </c>
      <c r="C289" s="380">
        <f>PMSplint!T333</f>
        <v>1.1359713221788499</v>
      </c>
      <c r="D289" s="500">
        <v>1.3337837455308192</v>
      </c>
      <c r="E289" s="381">
        <f t="shared" si="17"/>
        <v>1.3337837455308192</v>
      </c>
      <c r="F289" s="382">
        <f>TxSplint!N333</f>
        <v>15.389680446984388</v>
      </c>
      <c r="G289" s="455"/>
      <c r="H289" s="381">
        <f t="shared" si="18"/>
        <v>15.389680446984388</v>
      </c>
      <c r="I289" s="382">
        <f>TnSplint!N333</f>
        <v>11.067921663662043</v>
      </c>
      <c r="J289" s="455"/>
      <c r="K289" s="381">
        <f t="shared" si="19"/>
        <v>11.067921663662043</v>
      </c>
      <c r="L289" s="383"/>
      <c r="M289" s="455">
        <v>0</v>
      </c>
      <c r="N289" s="384"/>
    </row>
    <row r="290" spans="1:14">
      <c r="A290" s="444">
        <f>Input!B306</f>
        <v>38271</v>
      </c>
      <c r="B290" s="44">
        <f t="shared" si="16"/>
        <v>285</v>
      </c>
      <c r="C290" s="380">
        <f>PMSplint!T334</f>
        <v>1.1107021856627586</v>
      </c>
      <c r="D290" s="500">
        <v>1.2083903019037199</v>
      </c>
      <c r="E290" s="381">
        <f t="shared" si="17"/>
        <v>1.2083903019037199</v>
      </c>
      <c r="F290" s="382">
        <f>TxSplint!N334</f>
        <v>15.257894862573506</v>
      </c>
      <c r="G290" s="455"/>
      <c r="H290" s="381">
        <f t="shared" si="18"/>
        <v>15.257894862573506</v>
      </c>
      <c r="I290" s="382">
        <f>TnSplint!N334</f>
        <v>10.95653140345949</v>
      </c>
      <c r="J290" s="455"/>
      <c r="K290" s="381">
        <f t="shared" si="19"/>
        <v>10.95653140345949</v>
      </c>
      <c r="L290" s="383"/>
      <c r="M290" s="455">
        <v>2</v>
      </c>
      <c r="N290" s="384"/>
    </row>
    <row r="291" spans="1:14">
      <c r="A291" s="444">
        <f>Input!B307</f>
        <v>38272</v>
      </c>
      <c r="B291" s="44">
        <f t="shared" si="16"/>
        <v>286</v>
      </c>
      <c r="C291" s="380">
        <f>PMSplint!T335</f>
        <v>1.0859089393483734</v>
      </c>
      <c r="D291" s="500">
        <v>1.1288149993848837</v>
      </c>
      <c r="E291" s="381">
        <f t="shared" si="17"/>
        <v>1.1288149993848837</v>
      </c>
      <c r="F291" s="382">
        <f>TxSplint!N335</f>
        <v>15.127826579627186</v>
      </c>
      <c r="G291" s="455"/>
      <c r="H291" s="381">
        <f t="shared" si="18"/>
        <v>15.127826579627186</v>
      </c>
      <c r="I291" s="382">
        <f>TnSplint!N335</f>
        <v>10.847306161798111</v>
      </c>
      <c r="J291" s="455"/>
      <c r="K291" s="381">
        <f t="shared" si="19"/>
        <v>10.847306161798111</v>
      </c>
      <c r="L291" s="383"/>
      <c r="M291" s="455">
        <v>5.8</v>
      </c>
      <c r="N291" s="384"/>
    </row>
    <row r="292" spans="1:14">
      <c r="A292" s="444">
        <f>Input!B308</f>
        <v>38273</v>
      </c>
      <c r="B292" s="44">
        <f t="shared" si="16"/>
        <v>287</v>
      </c>
      <c r="C292" s="380">
        <f>PMSplint!T336</f>
        <v>1.0615571256300456</v>
      </c>
      <c r="D292" s="500">
        <v>1.1134455470638116</v>
      </c>
      <c r="E292" s="381">
        <f t="shared" si="17"/>
        <v>1.1134455470638116</v>
      </c>
      <c r="F292" s="382">
        <f>TxSplint!N336</f>
        <v>14.999271533085569</v>
      </c>
      <c r="G292" s="455"/>
      <c r="H292" s="381">
        <f t="shared" si="18"/>
        <v>14.999271533085569</v>
      </c>
      <c r="I292" s="382">
        <f>TnSplint!N336</f>
        <v>10.740256072875498</v>
      </c>
      <c r="J292" s="455"/>
      <c r="K292" s="381">
        <f t="shared" si="19"/>
        <v>10.740256072875498</v>
      </c>
      <c r="L292" s="383"/>
      <c r="M292" s="455">
        <v>0.4</v>
      </c>
      <c r="N292" s="384"/>
    </row>
    <row r="293" spans="1:14">
      <c r="A293" s="444">
        <f>Input!B309</f>
        <v>38274</v>
      </c>
      <c r="B293" s="44">
        <f t="shared" si="16"/>
        <v>288</v>
      </c>
      <c r="C293" s="380">
        <f>PMSplint!T337</f>
        <v>1.0376122869021256</v>
      </c>
      <c r="D293" s="500">
        <v>1.1510967075143896</v>
      </c>
      <c r="E293" s="381">
        <f t="shared" si="17"/>
        <v>1.1510967075143896</v>
      </c>
      <c r="F293" s="382">
        <f>TxSplint!N337</f>
        <v>14.872025657888793</v>
      </c>
      <c r="G293" s="455"/>
      <c r="H293" s="381">
        <f t="shared" si="18"/>
        <v>14.872025657888793</v>
      </c>
      <c r="I293" s="382">
        <f>TnSplint!N337</f>
        <v>10.63539127088924</v>
      </c>
      <c r="J293" s="455"/>
      <c r="K293" s="381">
        <f t="shared" si="19"/>
        <v>10.63539127088924</v>
      </c>
      <c r="L293" s="383"/>
      <c r="M293" s="455">
        <v>0.2</v>
      </c>
      <c r="N293" s="384"/>
    </row>
    <row r="294" spans="1:14">
      <c r="A294" s="444">
        <f>Input!B310</f>
        <v>38275</v>
      </c>
      <c r="B294" s="44">
        <f t="shared" si="16"/>
        <v>289</v>
      </c>
      <c r="C294" s="380">
        <f>PMSplint!T338</f>
        <v>1.0140399655589647</v>
      </c>
      <c r="D294" s="500">
        <v>1.1727987746997555</v>
      </c>
      <c r="E294" s="381">
        <f t="shared" si="17"/>
        <v>1.1727987746997555</v>
      </c>
      <c r="F294" s="382">
        <f>TxSplint!N338</f>
        <v>14.745884888976995</v>
      </c>
      <c r="G294" s="455"/>
      <c r="H294" s="381">
        <f t="shared" si="18"/>
        <v>14.745884888976995</v>
      </c>
      <c r="I294" s="382">
        <f>TnSplint!N338</f>
        <v>10.532721890036923</v>
      </c>
      <c r="J294" s="455"/>
      <c r="K294" s="381">
        <f t="shared" si="19"/>
        <v>10.532721890036923</v>
      </c>
      <c r="L294" s="383"/>
      <c r="M294" s="455">
        <v>4.2</v>
      </c>
      <c r="N294" s="384"/>
    </row>
    <row r="295" spans="1:14">
      <c r="A295" s="444">
        <f>Input!B311</f>
        <v>38276</v>
      </c>
      <c r="B295" s="44">
        <f t="shared" si="16"/>
        <v>290</v>
      </c>
      <c r="C295" s="380">
        <f>PMSplint!T339</f>
        <v>0.99080570399491297</v>
      </c>
      <c r="D295" s="500">
        <v>1.0443698197165927</v>
      </c>
      <c r="E295" s="381">
        <f t="shared" si="17"/>
        <v>1.0443698197165927</v>
      </c>
      <c r="F295" s="382">
        <f>TxSplint!N339</f>
        <v>14.620645161290319</v>
      </c>
      <c r="G295" s="455"/>
      <c r="H295" s="381">
        <f t="shared" si="18"/>
        <v>14.620645161290319</v>
      </c>
      <c r="I295" s="382">
        <f>TnSplint!N339</f>
        <v>10.43225806451613</v>
      </c>
      <c r="J295" s="455"/>
      <c r="K295" s="381">
        <f t="shared" si="19"/>
        <v>10.43225806451613</v>
      </c>
      <c r="L295" s="383"/>
      <c r="M295" s="455">
        <v>0</v>
      </c>
      <c r="N295" s="384"/>
    </row>
    <row r="296" spans="1:14">
      <c r="A296" s="444">
        <f>Input!B312</f>
        <v>38277</v>
      </c>
      <c r="B296" s="44">
        <f t="shared" si="16"/>
        <v>291</v>
      </c>
      <c r="C296" s="380">
        <f>PMSplint!T340</f>
        <v>0.96788101036671126</v>
      </c>
      <c r="D296" s="500">
        <v>0.92688630504524805</v>
      </c>
      <c r="E296" s="381">
        <f t="shared" si="17"/>
        <v>0.92688630504524805</v>
      </c>
      <c r="F296" s="382">
        <f>TxSplint!N340</f>
        <v>14.496082276134203</v>
      </c>
      <c r="G296" s="455"/>
      <c r="H296" s="381">
        <f t="shared" si="18"/>
        <v>14.496082276134203</v>
      </c>
      <c r="I296" s="382">
        <f>TnSplint!N340</f>
        <v>10.333941625111562</v>
      </c>
      <c r="J296" s="455"/>
      <c r="K296" s="381">
        <f t="shared" si="19"/>
        <v>10.333941625111562</v>
      </c>
      <c r="L296" s="383"/>
      <c r="M296" s="455">
        <v>0</v>
      </c>
      <c r="N296" s="384"/>
    </row>
    <row r="297" spans="1:14">
      <c r="A297" s="444">
        <f>Input!B313</f>
        <v>38278</v>
      </c>
      <c r="B297" s="44">
        <f t="shared" si="16"/>
        <v>292</v>
      </c>
      <c r="C297" s="380">
        <f>PMSplint!T341</f>
        <v>0.94526125588065835</v>
      </c>
      <c r="D297" s="500">
        <v>0.40507062756410828</v>
      </c>
      <c r="E297" s="381">
        <f t="shared" si="17"/>
        <v>0.40507062756410828</v>
      </c>
      <c r="F297" s="382">
        <f>TxSplint!N341</f>
        <v>14.371891500275307</v>
      </c>
      <c r="G297" s="455"/>
      <c r="H297" s="381">
        <f t="shared" si="18"/>
        <v>14.371891500275307</v>
      </c>
      <c r="I297" s="382">
        <f>TnSplint!N341</f>
        <v>10.237441188956343</v>
      </c>
      <c r="J297" s="455"/>
      <c r="K297" s="381">
        <f t="shared" si="19"/>
        <v>10.237441188956343</v>
      </c>
      <c r="L297" s="383"/>
      <c r="M297" s="455">
        <v>0</v>
      </c>
      <c r="N297" s="384"/>
    </row>
    <row r="298" spans="1:14">
      <c r="A298" s="444">
        <f>Input!B314</f>
        <v>38279</v>
      </c>
      <c r="B298" s="44">
        <f t="shared" si="16"/>
        <v>293</v>
      </c>
      <c r="C298" s="380">
        <f>PMSplint!T342</f>
        <v>0.92294777750544288</v>
      </c>
      <c r="D298" s="500">
        <v>0.51944233409834339</v>
      </c>
      <c r="E298" s="381">
        <f t="shared" si="17"/>
        <v>0.51944233409834339</v>
      </c>
      <c r="F298" s="382">
        <f>TxSplint!N342</f>
        <v>14.247747966845598</v>
      </c>
      <c r="G298" s="455"/>
      <c r="H298" s="381">
        <f t="shared" si="18"/>
        <v>14.247747966845598</v>
      </c>
      <c r="I298" s="382">
        <f>TnSplint!N342</f>
        <v>10.142357069770707</v>
      </c>
      <c r="J298" s="455"/>
      <c r="K298" s="381">
        <f t="shared" si="19"/>
        <v>10.142357069770707</v>
      </c>
      <c r="L298" s="383"/>
      <c r="M298" s="455">
        <v>0</v>
      </c>
      <c r="N298" s="384"/>
    </row>
    <row r="299" spans="1:14">
      <c r="A299" s="444">
        <f>Input!B315</f>
        <v>38280</v>
      </c>
      <c r="B299" s="44">
        <f t="shared" si="16"/>
        <v>294</v>
      </c>
      <c r="C299" s="380">
        <f>PMSplint!T343</f>
        <v>0.90094191220975317</v>
      </c>
      <c r="D299" s="500">
        <v>0.60898906706801759</v>
      </c>
      <c r="E299" s="381">
        <f t="shared" si="17"/>
        <v>0.60898906706801759</v>
      </c>
      <c r="F299" s="382">
        <f>TxSplint!N343</f>
        <v>14.12332680897703</v>
      </c>
      <c r="G299" s="455"/>
      <c r="H299" s="381">
        <f t="shared" si="18"/>
        <v>14.12332680897703</v>
      </c>
      <c r="I299" s="382">
        <f>TnSplint!N343</f>
        <v>10.04828958127489</v>
      </c>
      <c r="J299" s="455"/>
      <c r="K299" s="381">
        <f t="shared" si="19"/>
        <v>10.04828958127489</v>
      </c>
      <c r="L299" s="383"/>
      <c r="M299" s="455">
        <v>0.2</v>
      </c>
      <c r="N299" s="384"/>
    </row>
    <row r="300" spans="1:14">
      <c r="A300" s="444">
        <f>Input!B316</f>
        <v>38281</v>
      </c>
      <c r="B300" s="44">
        <f t="shared" si="16"/>
        <v>295</v>
      </c>
      <c r="C300" s="380">
        <f>PMSplint!T344</f>
        <v>0.87924499696227787</v>
      </c>
      <c r="D300" s="500">
        <v>0.65869711822841781</v>
      </c>
      <c r="E300" s="381">
        <f t="shared" si="17"/>
        <v>0.65869711822841781</v>
      </c>
      <c r="F300" s="382">
        <f>TxSplint!N344</f>
        <v>13.998303159801573</v>
      </c>
      <c r="G300" s="455"/>
      <c r="H300" s="381">
        <f t="shared" si="18"/>
        <v>13.998303159801573</v>
      </c>
      <c r="I300" s="382">
        <f>TnSplint!N344</f>
        <v>9.9548390371891298</v>
      </c>
      <c r="J300" s="455"/>
      <c r="K300" s="381">
        <f t="shared" si="19"/>
        <v>9.9548390371891298</v>
      </c>
      <c r="L300" s="383"/>
      <c r="M300" s="455">
        <v>0.2</v>
      </c>
      <c r="N300" s="384"/>
    </row>
    <row r="301" spans="1:14">
      <c r="A301" s="444">
        <f>Input!B317</f>
        <v>38282</v>
      </c>
      <c r="B301" s="44">
        <f t="shared" si="16"/>
        <v>296</v>
      </c>
      <c r="C301" s="380">
        <f>PMSplint!T345</f>
        <v>0.85785836873170562</v>
      </c>
      <c r="D301" s="500">
        <v>0.17202542745231658</v>
      </c>
      <c r="E301" s="381">
        <f t="shared" si="17"/>
        <v>0.17202542745231658</v>
      </c>
      <c r="F301" s="382">
        <f>TxSplint!N345</f>
        <v>13.872352152451185</v>
      </c>
      <c r="G301" s="455"/>
      <c r="H301" s="381">
        <f t="shared" si="18"/>
        <v>13.872352152451185</v>
      </c>
      <c r="I301" s="382">
        <f>TnSplint!N345</f>
        <v>9.8616057512336575</v>
      </c>
      <c r="J301" s="455"/>
      <c r="K301" s="381">
        <f t="shared" si="19"/>
        <v>9.8616057512336575</v>
      </c>
      <c r="L301" s="383"/>
      <c r="M301" s="455">
        <v>0</v>
      </c>
      <c r="N301" s="384"/>
    </row>
    <row r="302" spans="1:14">
      <c r="A302" s="444">
        <f>Input!B318</f>
        <v>38283</v>
      </c>
      <c r="B302" s="44">
        <f t="shared" si="16"/>
        <v>297</v>
      </c>
      <c r="C302" s="380">
        <f>PMSplint!T346</f>
        <v>0.83678336448672463</v>
      </c>
      <c r="D302" s="500">
        <v>0.68359126446427765</v>
      </c>
      <c r="E302" s="381">
        <f t="shared" si="17"/>
        <v>0.68359126446427765</v>
      </c>
      <c r="F302" s="382">
        <f>TxSplint!N346</f>
        <v>13.745148920057835</v>
      </c>
      <c r="G302" s="455"/>
      <c r="H302" s="381">
        <f t="shared" si="18"/>
        <v>13.745148920057835</v>
      </c>
      <c r="I302" s="382">
        <f>TnSplint!N346</f>
        <v>9.7681900371287096</v>
      </c>
      <c r="J302" s="455"/>
      <c r="K302" s="381">
        <f t="shared" si="19"/>
        <v>9.7681900371287096</v>
      </c>
      <c r="L302" s="383"/>
      <c r="M302" s="455">
        <v>0.2</v>
      </c>
      <c r="N302" s="384"/>
    </row>
    <row r="303" spans="1:14">
      <c r="A303" s="444">
        <f>Input!B319</f>
        <v>38284</v>
      </c>
      <c r="B303" s="44">
        <f t="shared" si="16"/>
        <v>298</v>
      </c>
      <c r="C303" s="380">
        <f>PMSplint!T347</f>
        <v>0.81602132119602344</v>
      </c>
      <c r="D303" s="500">
        <v>0.85043660947984545</v>
      </c>
      <c r="E303" s="381">
        <f t="shared" si="17"/>
        <v>0.85043660947984545</v>
      </c>
      <c r="F303" s="382">
        <f>TxSplint!N347</f>
        <v>13.61636859575348</v>
      </c>
      <c r="G303" s="455"/>
      <c r="H303" s="381">
        <f t="shared" si="18"/>
        <v>13.61636859575348</v>
      </c>
      <c r="I303" s="382">
        <f>TnSplint!N347</f>
        <v>9.6741922085945173</v>
      </c>
      <c r="J303" s="455"/>
      <c r="K303" s="381">
        <f t="shared" si="19"/>
        <v>9.6741922085945173</v>
      </c>
      <c r="L303" s="383"/>
      <c r="M303" s="455">
        <v>0.2</v>
      </c>
      <c r="N303" s="384"/>
    </row>
    <row r="304" spans="1:14">
      <c r="A304" s="444">
        <f>Input!B320</f>
        <v>38285</v>
      </c>
      <c r="B304" s="44">
        <f t="shared" si="16"/>
        <v>299</v>
      </c>
      <c r="C304" s="380">
        <f>PMSplint!T348</f>
        <v>0.79557357582829102</v>
      </c>
      <c r="D304" s="500">
        <v>0.78548823208261953</v>
      </c>
      <c r="E304" s="381">
        <f t="shared" si="17"/>
        <v>0.78548823208261953</v>
      </c>
      <c r="F304" s="382">
        <f>TxSplint!N348</f>
        <v>13.485686312670085</v>
      </c>
      <c r="G304" s="455"/>
      <c r="H304" s="381">
        <f t="shared" si="18"/>
        <v>13.485686312670085</v>
      </c>
      <c r="I304" s="382">
        <f>TnSplint!N348</f>
        <v>9.5792125793513243</v>
      </c>
      <c r="J304" s="455"/>
      <c r="K304" s="381">
        <f t="shared" si="19"/>
        <v>9.5792125793513243</v>
      </c>
      <c r="L304" s="383"/>
      <c r="M304" s="455">
        <v>0.2</v>
      </c>
      <c r="N304" s="384"/>
    </row>
    <row r="305" spans="1:14">
      <c r="A305" s="444">
        <f>Input!B321</f>
        <v>38286</v>
      </c>
      <c r="B305" s="44">
        <f t="shared" si="16"/>
        <v>300</v>
      </c>
      <c r="C305" s="380">
        <f>PMSplint!T349</f>
        <v>0.77544146535221559</v>
      </c>
      <c r="D305" s="500">
        <v>0.78457355239869742</v>
      </c>
      <c r="E305" s="381">
        <f t="shared" si="17"/>
        <v>0.78457355239869742</v>
      </c>
      <c r="F305" s="382">
        <f>TxSplint!N349</f>
        <v>13.352777203939613</v>
      </c>
      <c r="G305" s="455"/>
      <c r="H305" s="381">
        <f t="shared" si="18"/>
        <v>13.352777203939613</v>
      </c>
      <c r="I305" s="382">
        <f>TnSplint!N349</f>
        <v>9.4828514631193563</v>
      </c>
      <c r="J305" s="455"/>
      <c r="K305" s="381">
        <f t="shared" si="19"/>
        <v>9.4828514631193563</v>
      </c>
      <c r="L305" s="383"/>
      <c r="M305" s="455">
        <v>22</v>
      </c>
      <c r="N305" s="384"/>
    </row>
    <row r="306" spans="1:14">
      <c r="A306" s="444">
        <f>Input!B322</f>
        <v>38287</v>
      </c>
      <c r="B306" s="44">
        <f t="shared" si="16"/>
        <v>301</v>
      </c>
      <c r="C306" s="380">
        <f>PMSplint!T350</f>
        <v>0.75562632673648578</v>
      </c>
      <c r="D306" s="500">
        <v>0.60504683058495901</v>
      </c>
      <c r="E306" s="381">
        <f t="shared" si="17"/>
        <v>0.60504683058495901</v>
      </c>
      <c r="F306" s="382">
        <f>TxSplint!N350</f>
        <v>13.217316402694028</v>
      </c>
      <c r="G306" s="455"/>
      <c r="H306" s="381">
        <f t="shared" si="18"/>
        <v>13.217316402694028</v>
      </c>
      <c r="I306" s="382">
        <f>TnSplint!N350</f>
        <v>9.384709173618857</v>
      </c>
      <c r="J306" s="455"/>
      <c r="K306" s="381">
        <f t="shared" si="19"/>
        <v>9.384709173618857</v>
      </c>
      <c r="L306" s="383"/>
      <c r="M306" s="455">
        <v>7.8</v>
      </c>
      <c r="N306" s="384"/>
    </row>
    <row r="307" spans="1:14">
      <c r="A307" s="444">
        <f>Input!B323</f>
        <v>38288</v>
      </c>
      <c r="B307" s="44">
        <f t="shared" si="16"/>
        <v>302</v>
      </c>
      <c r="C307" s="380">
        <f>PMSplint!T351</f>
        <v>0.73612949694978991</v>
      </c>
      <c r="D307" s="500">
        <v>0.63018231399244962</v>
      </c>
      <c r="E307" s="381">
        <f t="shared" si="17"/>
        <v>0.63018231399244962</v>
      </c>
      <c r="F307" s="382">
        <f>TxSplint!N351</f>
        <v>13.078979042065288</v>
      </c>
      <c r="G307" s="455"/>
      <c r="H307" s="381">
        <f t="shared" si="18"/>
        <v>13.078979042065288</v>
      </c>
      <c r="I307" s="382">
        <f>TnSplint!N351</f>
        <v>9.2843860245700522</v>
      </c>
      <c r="J307" s="455"/>
      <c r="K307" s="381">
        <f t="shared" si="19"/>
        <v>9.2843860245700522</v>
      </c>
      <c r="L307" s="383"/>
      <c r="M307" s="455">
        <v>2.4</v>
      </c>
      <c r="N307" s="384"/>
    </row>
    <row r="308" spans="1:14">
      <c r="A308" s="444">
        <f>Input!B324</f>
        <v>38289</v>
      </c>
      <c r="B308" s="44">
        <f t="shared" si="16"/>
        <v>303</v>
      </c>
      <c r="C308" s="380">
        <f>PMSplint!T352</f>
        <v>0.71695231296081663</v>
      </c>
      <c r="D308" s="500">
        <v>0.55971158953972311</v>
      </c>
      <c r="E308" s="381">
        <f t="shared" si="17"/>
        <v>0.55971158953972311</v>
      </c>
      <c r="F308" s="382">
        <f>TxSplint!N352</f>
        <v>12.937440255185363</v>
      </c>
      <c r="G308" s="455"/>
      <c r="H308" s="381">
        <f t="shared" si="18"/>
        <v>12.937440255185363</v>
      </c>
      <c r="I308" s="382">
        <f>TnSplint!N352</f>
        <v>9.1814823296931856</v>
      </c>
      <c r="J308" s="455"/>
      <c r="K308" s="381">
        <f t="shared" si="19"/>
        <v>9.1814823296931856</v>
      </c>
      <c r="L308" s="383"/>
      <c r="M308" s="455">
        <v>0.4</v>
      </c>
      <c r="N308" s="384"/>
    </row>
    <row r="309" spans="1:14">
      <c r="A309" s="444">
        <f>Input!B325</f>
        <v>38290</v>
      </c>
      <c r="B309" s="44">
        <f t="shared" si="16"/>
        <v>304</v>
      </c>
      <c r="C309" s="380">
        <f>PMSplint!T353</f>
        <v>0.69809611173825459</v>
      </c>
      <c r="D309" s="500">
        <v>0.53679968135500811</v>
      </c>
      <c r="E309" s="381">
        <f t="shared" si="17"/>
        <v>0.53679968135500811</v>
      </c>
      <c r="F309" s="382">
        <f>TxSplint!N353</f>
        <v>12.792375175186212</v>
      </c>
      <c r="G309" s="455"/>
      <c r="H309" s="381">
        <f t="shared" si="18"/>
        <v>12.792375175186212</v>
      </c>
      <c r="I309" s="382">
        <f>TnSplint!N353</f>
        <v>9.0755984027084846</v>
      </c>
      <c r="J309" s="455"/>
      <c r="K309" s="381">
        <f t="shared" si="19"/>
        <v>9.0755984027084846</v>
      </c>
      <c r="L309" s="383"/>
      <c r="M309" s="455">
        <v>0.6</v>
      </c>
      <c r="N309" s="384"/>
    </row>
    <row r="310" spans="1:14">
      <c r="A310" s="444">
        <f>Input!B326</f>
        <v>38291</v>
      </c>
      <c r="B310" s="44">
        <f t="shared" si="16"/>
        <v>305</v>
      </c>
      <c r="C310" s="380">
        <f>PMSplint!T354</f>
        <v>0.6795622302507921</v>
      </c>
      <c r="D310" s="500">
        <v>0.62115805906117094</v>
      </c>
      <c r="E310" s="381">
        <f t="shared" si="17"/>
        <v>0.62115805906117094</v>
      </c>
      <c r="F310" s="382">
        <f>TxSplint!N354</f>
        <v>12.643458935199796</v>
      </c>
      <c r="G310" s="455"/>
      <c r="H310" s="381">
        <f t="shared" si="18"/>
        <v>12.643458935199796</v>
      </c>
      <c r="I310" s="382">
        <f>TnSplint!N354</f>
        <v>8.9663345573361894</v>
      </c>
      <c r="J310" s="455"/>
      <c r="K310" s="381">
        <f t="shared" si="19"/>
        <v>8.9663345573361894</v>
      </c>
      <c r="L310" s="383"/>
      <c r="M310" s="455">
        <v>34.200000000000003</v>
      </c>
      <c r="N310" s="384"/>
    </row>
    <row r="311" spans="1:14">
      <c r="A311" s="444">
        <f>Input!B327</f>
        <v>38292</v>
      </c>
      <c r="B311" s="44">
        <f t="shared" si="16"/>
        <v>306</v>
      </c>
      <c r="C311" s="380">
        <f>PMSplint!T355</f>
        <v>0.6613520054671177</v>
      </c>
      <c r="D311" s="500">
        <v>1.1745537432415922</v>
      </c>
      <c r="E311" s="381">
        <f t="shared" si="17"/>
        <v>1.1745537432415922</v>
      </c>
      <c r="F311" s="382">
        <f>TxSplint!N355</f>
        <v>12.490366668358078</v>
      </c>
      <c r="G311" s="455"/>
      <c r="H311" s="381">
        <f t="shared" si="18"/>
        <v>12.490366668358078</v>
      </c>
      <c r="I311" s="382">
        <f>TnSplint!N355</f>
        <v>8.8532911072965312</v>
      </c>
      <c r="J311" s="455"/>
      <c r="K311" s="381">
        <f t="shared" si="19"/>
        <v>8.8532911072965312</v>
      </c>
      <c r="L311" s="383"/>
      <c r="M311" s="455">
        <v>2.8</v>
      </c>
      <c r="N311" s="384"/>
    </row>
    <row r="312" spans="1:14">
      <c r="A312" s="444">
        <f>Input!B328</f>
        <v>38293</v>
      </c>
      <c r="B312" s="44">
        <f t="shared" si="16"/>
        <v>307</v>
      </c>
      <c r="C312" s="380">
        <f>PMSplint!T356</f>
        <v>0.64346677435592003</v>
      </c>
      <c r="D312" s="500">
        <v>0.64569523710979271</v>
      </c>
      <c r="E312" s="381">
        <f t="shared" si="17"/>
        <v>0.64569523710979271</v>
      </c>
      <c r="F312" s="382">
        <f>TxSplint!N356</f>
        <v>12.332773507793023</v>
      </c>
      <c r="G312" s="455"/>
      <c r="H312" s="381">
        <f t="shared" si="18"/>
        <v>12.332773507793023</v>
      </c>
      <c r="I312" s="382">
        <f>TnSplint!N356</f>
        <v>8.73606836630975</v>
      </c>
      <c r="J312" s="455"/>
      <c r="K312" s="381">
        <f t="shared" si="19"/>
        <v>8.73606836630975</v>
      </c>
      <c r="L312" s="383"/>
      <c r="M312" s="455">
        <v>0.2</v>
      </c>
      <c r="N312" s="384"/>
    </row>
    <row r="313" spans="1:14">
      <c r="A313" s="444">
        <f>Input!B329</f>
        <v>38294</v>
      </c>
      <c r="B313" s="44">
        <f t="shared" si="16"/>
        <v>308</v>
      </c>
      <c r="C313" s="380">
        <f>PMSplint!T357</f>
        <v>0.62590787388588753</v>
      </c>
      <c r="D313" s="500">
        <v>0.5802325534970274</v>
      </c>
      <c r="E313" s="381">
        <f t="shared" si="17"/>
        <v>0.5802325534970274</v>
      </c>
      <c r="F313" s="382">
        <f>TxSplint!N357</f>
        <v>12.170354586636595</v>
      </c>
      <c r="G313" s="455"/>
      <c r="H313" s="381">
        <f t="shared" si="18"/>
        <v>12.170354586636595</v>
      </c>
      <c r="I313" s="382">
        <f>TnSplint!N357</f>
        <v>8.6142666480960752</v>
      </c>
      <c r="J313" s="455"/>
      <c r="K313" s="381">
        <f t="shared" si="19"/>
        <v>8.6142666480960752</v>
      </c>
      <c r="L313" s="383"/>
      <c r="M313" s="455">
        <v>0.2</v>
      </c>
      <c r="N313" s="384"/>
    </row>
    <row r="314" spans="1:14">
      <c r="A314" s="444">
        <f>Input!B330</f>
        <v>38295</v>
      </c>
      <c r="B314" s="44">
        <f t="shared" si="16"/>
        <v>309</v>
      </c>
      <c r="C314" s="380">
        <f>PMSplint!T358</f>
        <v>0.60867664102570873</v>
      </c>
      <c r="D314" s="500">
        <v>0.68650360193677984</v>
      </c>
      <c r="E314" s="381">
        <f t="shared" si="17"/>
        <v>0.68650360193677984</v>
      </c>
      <c r="F314" s="382">
        <f>TxSplint!N358</f>
        <v>12.002785038020754</v>
      </c>
      <c r="G314" s="455"/>
      <c r="H314" s="381">
        <f t="shared" si="18"/>
        <v>12.002785038020754</v>
      </c>
      <c r="I314" s="382">
        <f>TnSplint!N358</f>
        <v>8.4874862663757433</v>
      </c>
      <c r="J314" s="455"/>
      <c r="K314" s="381">
        <f t="shared" si="19"/>
        <v>8.4874862663757433</v>
      </c>
      <c r="L314" s="383"/>
      <c r="M314" s="455">
        <v>0.8</v>
      </c>
      <c r="N314" s="384"/>
    </row>
    <row r="315" spans="1:14">
      <c r="A315" s="444">
        <f>Input!B331</f>
        <v>38296</v>
      </c>
      <c r="B315" s="44">
        <f t="shared" si="16"/>
        <v>310</v>
      </c>
      <c r="C315" s="380">
        <f>PMSplint!T359</f>
        <v>0.59177441274407228</v>
      </c>
      <c r="D315" s="500">
        <v>0.64603852585092369</v>
      </c>
      <c r="E315" s="381">
        <f t="shared" si="17"/>
        <v>0.64603852585092369</v>
      </c>
      <c r="F315" s="382">
        <f>TxSplint!N359</f>
        <v>11.829739995077464</v>
      </c>
      <c r="G315" s="455"/>
      <c r="H315" s="381">
        <f t="shared" si="18"/>
        <v>11.829739995077464</v>
      </c>
      <c r="I315" s="382">
        <f>TnSplint!N359</f>
        <v>8.3553275348689926</v>
      </c>
      <c r="J315" s="455"/>
      <c r="K315" s="381">
        <f t="shared" si="19"/>
        <v>8.3553275348689926</v>
      </c>
      <c r="L315" s="383"/>
      <c r="M315" s="455">
        <v>0</v>
      </c>
      <c r="N315" s="384"/>
    </row>
    <row r="316" spans="1:14">
      <c r="A316" s="444">
        <f>Input!B332</f>
        <v>38297</v>
      </c>
      <c r="B316" s="44">
        <f t="shared" si="16"/>
        <v>311</v>
      </c>
      <c r="C316" s="380">
        <f>PMSplint!T360</f>
        <v>0.57520252600966659</v>
      </c>
      <c r="D316" s="500">
        <v>0.56075474160637206</v>
      </c>
      <c r="E316" s="381">
        <f t="shared" si="17"/>
        <v>0.56075474160637206</v>
      </c>
      <c r="F316" s="382">
        <f>TxSplint!N360</f>
        <v>11.650894590938686</v>
      </c>
      <c r="G316" s="455"/>
      <c r="H316" s="381">
        <f t="shared" si="18"/>
        <v>11.650894590938686</v>
      </c>
      <c r="I316" s="382">
        <f>TnSplint!N360</f>
        <v>8.2173907672960542</v>
      </c>
      <c r="J316" s="455"/>
      <c r="K316" s="381">
        <f t="shared" si="19"/>
        <v>8.2173907672960542</v>
      </c>
      <c r="L316" s="383"/>
      <c r="M316" s="455">
        <v>0</v>
      </c>
      <c r="N316" s="384"/>
    </row>
    <row r="317" spans="1:14">
      <c r="A317" s="444">
        <f>Input!B333</f>
        <v>38298</v>
      </c>
      <c r="B317" s="44">
        <f t="shared" si="16"/>
        <v>312</v>
      </c>
      <c r="C317" s="380">
        <f>PMSplint!T361</f>
        <v>0.55896231779118022</v>
      </c>
      <c r="D317" s="500">
        <v>0.41608921674286758</v>
      </c>
      <c r="E317" s="381">
        <f t="shared" si="17"/>
        <v>0.41608921674286758</v>
      </c>
      <c r="F317" s="382">
        <f>TxSplint!N361</f>
        <v>11.465923958736386</v>
      </c>
      <c r="G317" s="455"/>
      <c r="H317" s="381">
        <f t="shared" si="18"/>
        <v>11.465923958736386</v>
      </c>
      <c r="I317" s="382">
        <f>TnSplint!N361</f>
        <v>8.0732762773771647</v>
      </c>
      <c r="J317" s="455"/>
      <c r="K317" s="381">
        <f t="shared" si="19"/>
        <v>8.0732762773771647</v>
      </c>
      <c r="L317" s="383"/>
      <c r="M317" s="455">
        <v>0.2</v>
      </c>
      <c r="N317" s="384"/>
    </row>
    <row r="318" spans="1:14">
      <c r="A318" s="444">
        <f>Input!B334</f>
        <v>38299</v>
      </c>
      <c r="B318" s="44">
        <f t="shared" si="16"/>
        <v>313</v>
      </c>
      <c r="C318" s="380">
        <f>PMSplint!T362</f>
        <v>0.54305512505730169</v>
      </c>
      <c r="D318" s="500">
        <v>0.44859811428674301</v>
      </c>
      <c r="E318" s="381">
        <f t="shared" si="17"/>
        <v>0.44859811428674301</v>
      </c>
      <c r="F318" s="382">
        <f>TxSplint!N362</f>
        <v>11.274503231602525</v>
      </c>
      <c r="G318" s="455"/>
      <c r="H318" s="381">
        <f t="shared" si="18"/>
        <v>11.274503231602525</v>
      </c>
      <c r="I318" s="382">
        <f>TnSplint!N362</f>
        <v>7.9225843788325605</v>
      </c>
      <c r="J318" s="455"/>
      <c r="K318" s="381">
        <f t="shared" si="19"/>
        <v>7.9225843788325605</v>
      </c>
      <c r="L318" s="383"/>
      <c r="M318" s="455">
        <v>0</v>
      </c>
      <c r="N318" s="384"/>
    </row>
    <row r="319" spans="1:14">
      <c r="A319" s="444">
        <f>Input!B335</f>
        <v>38300</v>
      </c>
      <c r="B319" s="44">
        <f t="shared" si="16"/>
        <v>314</v>
      </c>
      <c r="C319" s="380">
        <f>PMSplint!T363</f>
        <v>0.52748228477671943</v>
      </c>
      <c r="D319" s="500">
        <v>0.49556397787198192</v>
      </c>
      <c r="E319" s="381">
        <f t="shared" si="17"/>
        <v>0.49556397787198192</v>
      </c>
      <c r="F319" s="382">
        <f>TxSplint!N363</f>
        <v>11.076307542669065</v>
      </c>
      <c r="G319" s="455"/>
      <c r="H319" s="381">
        <f t="shared" si="18"/>
        <v>11.076307542669065</v>
      </c>
      <c r="I319" s="382">
        <f>TnSplint!N363</f>
        <v>7.7649153853824737</v>
      </c>
      <c r="J319" s="455"/>
      <c r="K319" s="381">
        <f t="shared" si="19"/>
        <v>7.7649153853824737</v>
      </c>
      <c r="L319" s="383"/>
      <c r="M319" s="455">
        <v>0.4</v>
      </c>
      <c r="N319" s="384"/>
    </row>
    <row r="320" spans="1:14">
      <c r="A320" s="444">
        <f>Input!B336</f>
        <v>38301</v>
      </c>
      <c r="B320" s="44">
        <f t="shared" si="16"/>
        <v>315</v>
      </c>
      <c r="C320" s="380">
        <f>PMSplint!T364</f>
        <v>0.5122451339181221</v>
      </c>
      <c r="D320" s="500">
        <v>0.47134381160449357</v>
      </c>
      <c r="E320" s="381">
        <f t="shared" si="17"/>
        <v>0.47134381160449357</v>
      </c>
      <c r="F320" s="382">
        <f>TxSplint!N364</f>
        <v>10.871012025067969</v>
      </c>
      <c r="G320" s="455"/>
      <c r="H320" s="381">
        <f t="shared" si="18"/>
        <v>10.871012025067969</v>
      </c>
      <c r="I320" s="382">
        <f>TnSplint!N364</f>
        <v>7.5998696107471391</v>
      </c>
      <c r="J320" s="455"/>
      <c r="K320" s="381">
        <f t="shared" si="19"/>
        <v>7.5998696107471391</v>
      </c>
      <c r="L320" s="383"/>
      <c r="M320" s="455">
        <v>0.2</v>
      </c>
      <c r="N320" s="384"/>
    </row>
    <row r="321" spans="1:14">
      <c r="A321" s="444">
        <f>Input!B337</f>
        <v>38302</v>
      </c>
      <c r="B321" s="44">
        <f t="shared" si="16"/>
        <v>316</v>
      </c>
      <c r="C321" s="380">
        <f>PMSplint!T365</f>
        <v>0.49734500945019811</v>
      </c>
      <c r="D321" s="500">
        <v>0.59694829900351776</v>
      </c>
      <c r="E321" s="381">
        <f t="shared" si="17"/>
        <v>0.59694829900351776</v>
      </c>
      <c r="F321" s="382">
        <f>TxSplint!N365</f>
        <v>10.658291811931203</v>
      </c>
      <c r="G321" s="455"/>
      <c r="H321" s="381">
        <f t="shared" si="18"/>
        <v>10.658291811931203</v>
      </c>
      <c r="I321" s="382">
        <f>TnSplint!N365</f>
        <v>7.4270473686467957</v>
      </c>
      <c r="J321" s="455"/>
      <c r="K321" s="381">
        <f t="shared" si="19"/>
        <v>7.4270473686467957</v>
      </c>
      <c r="L321" s="383"/>
      <c r="M321" s="455">
        <v>25.6</v>
      </c>
      <c r="N321" s="384"/>
    </row>
    <row r="322" spans="1:14">
      <c r="A322" s="444">
        <f>Input!B338</f>
        <v>38303</v>
      </c>
      <c r="B322" s="44">
        <f t="shared" si="16"/>
        <v>317</v>
      </c>
      <c r="C322" s="380">
        <f>PMSplint!T366</f>
        <v>0.48278324834163611</v>
      </c>
      <c r="D322" s="500">
        <v>0.52054953591609565</v>
      </c>
      <c r="E322" s="381">
        <f t="shared" si="17"/>
        <v>0.52054953591609565</v>
      </c>
      <c r="F322" s="382">
        <f>TxSplint!N366</f>
        <v>10.437822036390726</v>
      </c>
      <c r="G322" s="455"/>
      <c r="H322" s="381">
        <f t="shared" si="18"/>
        <v>10.437822036390726</v>
      </c>
      <c r="I322" s="382">
        <f>TnSplint!N366</f>
        <v>7.2460489728016739</v>
      </c>
      <c r="J322" s="455"/>
      <c r="K322" s="381">
        <f t="shared" si="19"/>
        <v>7.2460489728016739</v>
      </c>
      <c r="L322" s="383"/>
      <c r="M322" s="455">
        <v>2</v>
      </c>
      <c r="N322" s="384"/>
    </row>
    <row r="323" spans="1:14">
      <c r="A323" s="444">
        <f>Input!B339</f>
        <v>38304</v>
      </c>
      <c r="B323" s="44">
        <f t="shared" si="16"/>
        <v>318</v>
      </c>
      <c r="C323" s="380">
        <f>PMSplint!T367</f>
        <v>0.46856118756112447</v>
      </c>
      <c r="D323" s="500">
        <v>0.52595066517111921</v>
      </c>
      <c r="E323" s="381">
        <f t="shared" si="17"/>
        <v>0.52595066517111921</v>
      </c>
      <c r="F323" s="382">
        <f>TxSplint!N367</f>
        <v>10.209277831578504</v>
      </c>
      <c r="G323" s="455"/>
      <c r="H323" s="381">
        <f t="shared" si="18"/>
        <v>10.209277831578504</v>
      </c>
      <c r="I323" s="382">
        <f>TnSplint!N367</f>
        <v>7.0564747369320111</v>
      </c>
      <c r="J323" s="455"/>
      <c r="K323" s="381">
        <f t="shared" si="19"/>
        <v>7.0564747369320111</v>
      </c>
      <c r="L323" s="383"/>
      <c r="M323" s="455">
        <v>0</v>
      </c>
      <c r="N323" s="384"/>
    </row>
    <row r="324" spans="1:14">
      <c r="A324" s="444">
        <f>Input!B340</f>
        <v>38305</v>
      </c>
      <c r="B324" s="44">
        <f t="shared" si="16"/>
        <v>319</v>
      </c>
      <c r="C324" s="380">
        <f>PMSplint!T368</f>
        <v>0.45468016407735184</v>
      </c>
      <c r="D324" s="500">
        <v>0.3836576772264001</v>
      </c>
      <c r="E324" s="381">
        <f t="shared" si="17"/>
        <v>0.3836576772264001</v>
      </c>
      <c r="F324" s="382">
        <f>TxSplint!N368</f>
        <v>9.9723343306264951</v>
      </c>
      <c r="G324" s="455"/>
      <c r="H324" s="381">
        <f t="shared" si="18"/>
        <v>9.9723343306264951</v>
      </c>
      <c r="I324" s="382">
        <f>TnSplint!N368</f>
        <v>6.857924974758042</v>
      </c>
      <c r="J324" s="455"/>
      <c r="K324" s="381">
        <f t="shared" si="19"/>
        <v>6.857924974758042</v>
      </c>
      <c r="L324" s="383"/>
      <c r="M324" s="455">
        <v>0</v>
      </c>
      <c r="N324" s="384"/>
    </row>
    <row r="325" spans="1:14">
      <c r="A325" s="444">
        <f>Input!B341</f>
        <v>38306</v>
      </c>
      <c r="B325" s="44">
        <f t="shared" si="16"/>
        <v>320</v>
      </c>
      <c r="C325" s="380">
        <f>PMSplint!T369</f>
        <v>0.44114151485900671</v>
      </c>
      <c r="D325" s="500">
        <v>0.21566560420843345</v>
      </c>
      <c r="E325" s="381">
        <f t="shared" si="17"/>
        <v>0.21566560420843345</v>
      </c>
      <c r="F325" s="382">
        <f>TxSplint!N369</f>
        <v>9.7266666666666648</v>
      </c>
      <c r="G325" s="455"/>
      <c r="H325" s="381">
        <f t="shared" si="18"/>
        <v>9.7266666666666648</v>
      </c>
      <c r="I325" s="382">
        <f>TnSplint!N369</f>
        <v>6.6500000000000012</v>
      </c>
      <c r="J325" s="455"/>
      <c r="K325" s="381">
        <f t="shared" si="19"/>
        <v>6.6500000000000012</v>
      </c>
      <c r="L325" s="383"/>
      <c r="M325" s="455">
        <v>0.2</v>
      </c>
      <c r="N325" s="384"/>
    </row>
    <row r="326" spans="1:14">
      <c r="A326" s="444">
        <f>Input!B342</f>
        <v>38307</v>
      </c>
      <c r="B326" s="44">
        <f t="shared" si="16"/>
        <v>321</v>
      </c>
      <c r="C326" s="380">
        <f>PMSplint!T370</f>
        <v>0.42794668598472974</v>
      </c>
      <c r="D326" s="500">
        <v>0.16215468248416967</v>
      </c>
      <c r="E326" s="381">
        <f t="shared" si="17"/>
        <v>0.16215468248416967</v>
      </c>
      <c r="F326" s="382">
        <f>TxSplint!N370</f>
        <v>9.4721373528379278</v>
      </c>
      <c r="G326" s="455"/>
      <c r="H326" s="381">
        <f t="shared" si="18"/>
        <v>9.4721373528379278</v>
      </c>
      <c r="I326" s="382">
        <f>TnSplint!N370</f>
        <v>6.4324879082564461</v>
      </c>
      <c r="J326" s="455"/>
      <c r="K326" s="381">
        <f t="shared" si="19"/>
        <v>6.4324879082564461</v>
      </c>
      <c r="L326" s="383"/>
      <c r="M326" s="455">
        <v>0.2</v>
      </c>
      <c r="N326" s="384"/>
    </row>
    <row r="327" spans="1:14">
      <c r="A327" s="444">
        <f>Input!B343</f>
        <v>38308</v>
      </c>
      <c r="B327" s="44">
        <f t="shared" ref="B327:B390" si="20">A327-DATE(YEAR(A327)-1,12,31)</f>
        <v>322</v>
      </c>
      <c r="C327" s="380">
        <f>PMSplint!T371</f>
        <v>0.41509755997297038</v>
      </c>
      <c r="D327" s="500">
        <v>0.28050565731507188</v>
      </c>
      <c r="E327" s="381">
        <f t="shared" ref="E327:E380" si="21">IF(ISERROR(D327),C327,IF(D327="",C327,IF(D327&lt;0,0,D327)))</f>
        <v>0.28050565731507188</v>
      </c>
      <c r="F327" s="382">
        <f>TxSplint!N371</f>
        <v>9.209358422307</v>
      </c>
      <c r="G327" s="455"/>
      <c r="H327" s="381">
        <f t="shared" si="18"/>
        <v>9.209358422307</v>
      </c>
      <c r="I327" s="382">
        <f>TnSplint!N371</f>
        <v>6.2059279226392174</v>
      </c>
      <c r="J327" s="455"/>
      <c r="K327" s="381">
        <f t="shared" si="19"/>
        <v>6.2059279226392174</v>
      </c>
      <c r="L327" s="383"/>
      <c r="M327" s="455">
        <v>0</v>
      </c>
      <c r="N327" s="384"/>
    </row>
    <row r="328" spans="1:14">
      <c r="A328" s="444">
        <f>Input!B344</f>
        <v>38309</v>
      </c>
      <c r="B328" s="44">
        <f t="shared" si="20"/>
        <v>323</v>
      </c>
      <c r="C328" s="380">
        <f>PMSplint!T372</f>
        <v>0.40259612845213005</v>
      </c>
      <c r="D328" s="500">
        <v>0.39071399091212361</v>
      </c>
      <c r="E328" s="381">
        <f t="shared" si="21"/>
        <v>0.39071399091212361</v>
      </c>
      <c r="F328" s="382">
        <f>TxSplint!N372</f>
        <v>8.9391292882475515</v>
      </c>
      <c r="G328" s="455"/>
      <c r="H328" s="381">
        <f t="shared" ref="H328:H391" si="22">IF(G328="",F328,G328)</f>
        <v>8.9391292882475515</v>
      </c>
      <c r="I328" s="382">
        <f>TnSplint!N372</f>
        <v>5.9710470481384847</v>
      </c>
      <c r="J328" s="455"/>
      <c r="K328" s="381">
        <f t="shared" ref="K328:K391" si="23">IF(J328="",I328,J328)</f>
        <v>5.9710470481384847</v>
      </c>
      <c r="L328" s="383"/>
      <c r="M328" s="455">
        <v>0</v>
      </c>
      <c r="N328" s="384"/>
    </row>
    <row r="329" spans="1:14">
      <c r="A329" s="444">
        <f>Input!B345</f>
        <v>38310</v>
      </c>
      <c r="B329" s="44">
        <f t="shared" si="20"/>
        <v>324</v>
      </c>
      <c r="C329" s="380">
        <f>PMSplint!T373</f>
        <v>0.3904443830506103</v>
      </c>
      <c r="D329" s="500">
        <v>0.47570645343186002</v>
      </c>
      <c r="E329" s="381">
        <f t="shared" si="21"/>
        <v>0.47570645343186002</v>
      </c>
      <c r="F329" s="382">
        <f>TxSplint!N373</f>
        <v>8.6622493638332489</v>
      </c>
      <c r="G329" s="455"/>
      <c r="H329" s="381">
        <f t="shared" si="22"/>
        <v>8.6622493638332489</v>
      </c>
      <c r="I329" s="382">
        <f>TnSplint!N373</f>
        <v>5.7285722897444087</v>
      </c>
      <c r="J329" s="455"/>
      <c r="K329" s="381">
        <f t="shared" si="23"/>
        <v>5.7285722897444087</v>
      </c>
      <c r="L329" s="383"/>
      <c r="M329" s="455">
        <v>4.4000000000000004</v>
      </c>
      <c r="N329" s="384"/>
    </row>
    <row r="330" spans="1:14">
      <c r="A330" s="444">
        <f>Input!B346</f>
        <v>38311</v>
      </c>
      <c r="B330" s="44">
        <f t="shared" si="20"/>
        <v>325</v>
      </c>
      <c r="C330" s="380">
        <f>PMSplint!T374</f>
        <v>0.37864431539681281</v>
      </c>
      <c r="D330" s="500">
        <v>0.31239412896784557</v>
      </c>
      <c r="E330" s="381">
        <f t="shared" si="21"/>
        <v>0.31239412896784557</v>
      </c>
      <c r="F330" s="382">
        <f>TxSplint!N374</f>
        <v>8.3795180622377607</v>
      </c>
      <c r="G330" s="455"/>
      <c r="H330" s="381">
        <f t="shared" si="22"/>
        <v>8.3795180622377607</v>
      </c>
      <c r="I330" s="382">
        <f>TnSplint!N374</f>
        <v>5.4792306524471561</v>
      </c>
      <c r="J330" s="455"/>
      <c r="K330" s="381">
        <f t="shared" si="23"/>
        <v>5.4792306524471561</v>
      </c>
      <c r="L330" s="383"/>
      <c r="M330" s="455">
        <v>0</v>
      </c>
      <c r="N330" s="384"/>
    </row>
    <row r="331" spans="1:14">
      <c r="A331" s="444">
        <f>Input!B347</f>
        <v>38312</v>
      </c>
      <c r="B331" s="44">
        <f t="shared" si="20"/>
        <v>326</v>
      </c>
      <c r="C331" s="380">
        <f>PMSplint!T375</f>
        <v>0.36719791711913896</v>
      </c>
      <c r="D331" s="500">
        <v>0.35500467658846468</v>
      </c>
      <c r="E331" s="381">
        <f t="shared" si="21"/>
        <v>0.35500467658846468</v>
      </c>
      <c r="F331" s="382">
        <f>TxSplint!N375</f>
        <v>8.0917347966347588</v>
      </c>
      <c r="G331" s="455"/>
      <c r="H331" s="381">
        <f t="shared" si="22"/>
        <v>8.0917347966347588</v>
      </c>
      <c r="I331" s="382">
        <f>TnSplint!N375</f>
        <v>5.2237491412368904</v>
      </c>
      <c r="J331" s="455"/>
      <c r="K331" s="381">
        <f t="shared" si="23"/>
        <v>5.2237491412368904</v>
      </c>
      <c r="L331" s="383"/>
      <c r="M331" s="455">
        <v>0.2</v>
      </c>
      <c r="N331" s="384"/>
    </row>
    <row r="332" spans="1:14">
      <c r="A332" s="444">
        <f>Input!B348</f>
        <v>38313</v>
      </c>
      <c r="B332" s="44">
        <f t="shared" si="20"/>
        <v>327</v>
      </c>
      <c r="C332" s="380">
        <f>PMSplint!T376</f>
        <v>0.35610717984599033</v>
      </c>
      <c r="D332" s="500">
        <v>0.385946676829446</v>
      </c>
      <c r="E332" s="381">
        <f t="shared" si="21"/>
        <v>0.385946676829446</v>
      </c>
      <c r="F332" s="382">
        <f>TxSplint!N376</f>
        <v>7.7996989801979053</v>
      </c>
      <c r="G332" s="455"/>
      <c r="H332" s="381">
        <f t="shared" si="22"/>
        <v>7.7996989801979053</v>
      </c>
      <c r="I332" s="382">
        <f>TnSplint!N376</f>
        <v>4.9628547611037792</v>
      </c>
      <c r="J332" s="455"/>
      <c r="K332" s="381">
        <f t="shared" si="23"/>
        <v>4.9628547611037792</v>
      </c>
      <c r="L332" s="383"/>
      <c r="M332" s="455">
        <v>0.2</v>
      </c>
      <c r="N332" s="384"/>
    </row>
    <row r="333" spans="1:14">
      <c r="A333" s="444">
        <f>Input!B349</f>
        <v>38314</v>
      </c>
      <c r="B333" s="44">
        <f t="shared" si="20"/>
        <v>328</v>
      </c>
      <c r="C333" s="380">
        <f>PMSplint!T377</f>
        <v>0.34537409520576845</v>
      </c>
      <c r="D333" s="500">
        <v>0.27860676970378567</v>
      </c>
      <c r="E333" s="381">
        <f t="shared" si="21"/>
        <v>0.27860676970378567</v>
      </c>
      <c r="F333" s="382">
        <f>TxSplint!N377</f>
        <v>7.504210026100874</v>
      </c>
      <c r="G333" s="455"/>
      <c r="H333" s="381">
        <f t="shared" si="22"/>
        <v>7.504210026100874</v>
      </c>
      <c r="I333" s="382">
        <f>TnSplint!N377</f>
        <v>4.6972745170379859</v>
      </c>
      <c r="J333" s="455"/>
      <c r="K333" s="381">
        <f t="shared" si="23"/>
        <v>4.6972745170379859</v>
      </c>
      <c r="L333" s="383"/>
      <c r="M333" s="455">
        <v>5.4</v>
      </c>
      <c r="N333" s="384"/>
    </row>
    <row r="334" spans="1:14">
      <c r="A334" s="444">
        <f>Input!B350</f>
        <v>38315</v>
      </c>
      <c r="B334" s="44">
        <f t="shared" si="20"/>
        <v>329</v>
      </c>
      <c r="C334" s="380">
        <f>PMSplint!T378</f>
        <v>0.33500065482687497</v>
      </c>
      <c r="D334" s="500">
        <v>0.13927441647758435</v>
      </c>
      <c r="E334" s="381">
        <f t="shared" si="21"/>
        <v>0.13927441647758435</v>
      </c>
      <c r="F334" s="382">
        <f>TxSplint!N378</f>
        <v>7.2060673475173305</v>
      </c>
      <c r="G334" s="455"/>
      <c r="H334" s="381">
        <f t="shared" si="22"/>
        <v>7.2060673475173305</v>
      </c>
      <c r="I334" s="382">
        <f>TnSplint!N378</f>
        <v>4.4277354140296756</v>
      </c>
      <c r="J334" s="455"/>
      <c r="K334" s="381">
        <f t="shared" si="23"/>
        <v>4.4277354140296756</v>
      </c>
      <c r="L334" s="383"/>
      <c r="M334" s="455">
        <v>0</v>
      </c>
      <c r="N334" s="384"/>
    </row>
    <row r="335" spans="1:14">
      <c r="A335" s="444">
        <f>Input!B351</f>
        <v>38316</v>
      </c>
      <c r="B335" s="44">
        <f t="shared" si="20"/>
        <v>330</v>
      </c>
      <c r="C335" s="380">
        <f>PMSplint!T379</f>
        <v>0.32498885033771119</v>
      </c>
      <c r="D335" s="500">
        <v>0.36328911509493322</v>
      </c>
      <c r="E335" s="381">
        <f t="shared" si="21"/>
        <v>0.36328911509493322</v>
      </c>
      <c r="F335" s="382">
        <f>TxSplint!N379</f>
        <v>6.9060703576209432</v>
      </c>
      <c r="G335" s="455"/>
      <c r="H335" s="381">
        <f t="shared" si="22"/>
        <v>6.9060703576209432</v>
      </c>
      <c r="I335" s="382">
        <f>TnSplint!N379</f>
        <v>4.1549644570690125</v>
      </c>
      <c r="J335" s="455"/>
      <c r="K335" s="381">
        <f t="shared" si="23"/>
        <v>4.1549644570690125</v>
      </c>
      <c r="L335" s="383"/>
      <c r="M335" s="455">
        <v>0</v>
      </c>
      <c r="N335" s="384"/>
    </row>
    <row r="336" spans="1:14">
      <c r="A336" s="444">
        <f>Input!B352</f>
        <v>38317</v>
      </c>
      <c r="B336" s="44">
        <f t="shared" si="20"/>
        <v>331</v>
      </c>
      <c r="C336" s="380">
        <f>PMSplint!T380</f>
        <v>0.31534067336667881</v>
      </c>
      <c r="D336" s="500">
        <v>0.21044688790550653</v>
      </c>
      <c r="E336" s="381">
        <f t="shared" si="21"/>
        <v>0.21044688790550653</v>
      </c>
      <c r="F336" s="382">
        <f>TxSplint!N380</f>
        <v>6.6050184695853824</v>
      </c>
      <c r="G336" s="455"/>
      <c r="H336" s="381">
        <f t="shared" si="22"/>
        <v>6.6050184695853824</v>
      </c>
      <c r="I336" s="382">
        <f>TnSplint!N380</f>
        <v>3.879688651146163</v>
      </c>
      <c r="J336" s="455"/>
      <c r="K336" s="381">
        <f t="shared" si="23"/>
        <v>3.879688651146163</v>
      </c>
      <c r="L336" s="383"/>
      <c r="M336" s="455">
        <v>0</v>
      </c>
      <c r="N336" s="384"/>
    </row>
    <row r="337" spans="1:14">
      <c r="A337" s="444">
        <f>Input!B353</f>
        <v>38318</v>
      </c>
      <c r="B337" s="44">
        <f t="shared" si="20"/>
        <v>332</v>
      </c>
      <c r="C337" s="380">
        <f>PMSplint!T381</f>
        <v>0.30605811554217943</v>
      </c>
      <c r="D337" s="500">
        <v>0.29495653341181693</v>
      </c>
      <c r="E337" s="381">
        <f t="shared" si="21"/>
        <v>0.29495653341181693</v>
      </c>
      <c r="F337" s="382">
        <f>TxSplint!N381</f>
        <v>6.3037110965843146</v>
      </c>
      <c r="G337" s="455"/>
      <c r="H337" s="381">
        <f t="shared" si="22"/>
        <v>6.3037110965843146</v>
      </c>
      <c r="I337" s="382">
        <f>TnSplint!N381</f>
        <v>3.6026350012512913</v>
      </c>
      <c r="J337" s="455"/>
      <c r="K337" s="381">
        <f t="shared" si="23"/>
        <v>3.6026350012512913</v>
      </c>
      <c r="L337" s="383"/>
      <c r="M337" s="455">
        <v>14.8</v>
      </c>
      <c r="N337" s="384"/>
    </row>
    <row r="338" spans="1:14">
      <c r="A338" s="444">
        <f>Input!B354</f>
        <v>38319</v>
      </c>
      <c r="B338" s="44">
        <f t="shared" si="20"/>
        <v>333</v>
      </c>
      <c r="C338" s="380">
        <f>PMSplint!T382</f>
        <v>0.29714316849261441</v>
      </c>
      <c r="D338" s="500">
        <v>0.42152958426195597</v>
      </c>
      <c r="E338" s="381">
        <f t="shared" si="21"/>
        <v>0.42152958426195597</v>
      </c>
      <c r="F338" s="382">
        <f>TxSplint!N382</f>
        <v>6.0029476517914091</v>
      </c>
      <c r="G338" s="455"/>
      <c r="H338" s="381">
        <f t="shared" si="22"/>
        <v>6.0029476517914091</v>
      </c>
      <c r="I338" s="382">
        <f>TnSplint!N382</f>
        <v>3.3245305123745612</v>
      </c>
      <c r="J338" s="455"/>
      <c r="K338" s="381">
        <f t="shared" si="23"/>
        <v>3.3245305123745612</v>
      </c>
      <c r="L338" s="383"/>
      <c r="M338" s="455">
        <v>29.4</v>
      </c>
      <c r="N338" s="384"/>
    </row>
    <row r="339" spans="1:14">
      <c r="A339" s="444">
        <f>Input!B355</f>
        <v>38320</v>
      </c>
      <c r="B339" s="44">
        <f t="shared" si="20"/>
        <v>334</v>
      </c>
      <c r="C339" s="380">
        <f>PMSplint!T383</f>
        <v>0.28859782384638533</v>
      </c>
      <c r="D339" s="500">
        <v>0.34954540815004342</v>
      </c>
      <c r="E339" s="381">
        <f t="shared" si="21"/>
        <v>0.34954540815004342</v>
      </c>
      <c r="F339" s="382">
        <f>TxSplint!N383</f>
        <v>5.7035275483803343</v>
      </c>
      <c r="G339" s="455"/>
      <c r="H339" s="381">
        <f t="shared" si="22"/>
        <v>5.7035275483803343</v>
      </c>
      <c r="I339" s="382">
        <f>TnSplint!N383</f>
        <v>3.0461021895061395</v>
      </c>
      <c r="J339" s="455"/>
      <c r="K339" s="381">
        <f t="shared" si="23"/>
        <v>3.0461021895061395</v>
      </c>
      <c r="L339" s="383"/>
      <c r="M339" s="455">
        <v>0</v>
      </c>
      <c r="N339" s="384"/>
    </row>
    <row r="340" spans="1:14">
      <c r="A340" s="444">
        <f>Input!B356</f>
        <v>38321</v>
      </c>
      <c r="B340" s="44">
        <f t="shared" si="20"/>
        <v>335</v>
      </c>
      <c r="C340" s="380">
        <f>PMSplint!T384</f>
        <v>0.28042407323189378</v>
      </c>
      <c r="D340" s="500">
        <v>0.4460251589614519</v>
      </c>
      <c r="E340" s="381">
        <f t="shared" si="21"/>
        <v>0.4460251589614519</v>
      </c>
      <c r="F340" s="382">
        <f>TxSplint!N384</f>
        <v>5.4062501995247576</v>
      </c>
      <c r="G340" s="455"/>
      <c r="H340" s="381">
        <f t="shared" si="22"/>
        <v>5.4062501995247576</v>
      </c>
      <c r="I340" s="382">
        <f>TnSplint!N384</f>
        <v>2.7680770376361905</v>
      </c>
      <c r="J340" s="455"/>
      <c r="K340" s="381">
        <f t="shared" si="23"/>
        <v>2.7680770376361905</v>
      </c>
      <c r="L340" s="383"/>
      <c r="M340" s="455">
        <v>6.8</v>
      </c>
      <c r="N340" s="384"/>
    </row>
    <row r="341" spans="1:14">
      <c r="A341" s="444">
        <f>Input!B357</f>
        <v>38322</v>
      </c>
      <c r="B341" s="44">
        <f t="shared" si="20"/>
        <v>336</v>
      </c>
      <c r="C341" s="380">
        <f>PMSplint!T385</f>
        <v>0.27262390827754129</v>
      </c>
      <c r="D341" s="500">
        <v>0.35825075999220179</v>
      </c>
      <c r="E341" s="381">
        <f t="shared" si="21"/>
        <v>0.35825075999220179</v>
      </c>
      <c r="F341" s="382">
        <f>TxSplint!N385</f>
        <v>5.1119150183983493</v>
      </c>
      <c r="G341" s="455"/>
      <c r="H341" s="381">
        <f t="shared" si="22"/>
        <v>5.1119150183983493</v>
      </c>
      <c r="I341" s="382">
        <f>TnSplint!N385</f>
        <v>2.4911820617548792</v>
      </c>
      <c r="J341" s="455"/>
      <c r="K341" s="381">
        <f t="shared" si="23"/>
        <v>2.4911820617548792</v>
      </c>
      <c r="L341" s="383"/>
      <c r="M341" s="455">
        <v>6</v>
      </c>
      <c r="N341" s="384"/>
    </row>
    <row r="342" spans="1:14">
      <c r="A342" s="444">
        <f>Input!B358</f>
        <v>38323</v>
      </c>
      <c r="B342" s="44">
        <f t="shared" si="20"/>
        <v>337</v>
      </c>
      <c r="C342" s="380">
        <f>PMSplint!T386</f>
        <v>0.26519932061172935</v>
      </c>
      <c r="D342" s="500">
        <v>0.26485704367748769</v>
      </c>
      <c r="E342" s="381">
        <f t="shared" si="21"/>
        <v>0.26485704367748769</v>
      </c>
      <c r="F342" s="382">
        <f>TxSplint!N386</f>
        <v>4.821321418174775</v>
      </c>
      <c r="G342" s="455"/>
      <c r="H342" s="381">
        <f t="shared" si="22"/>
        <v>4.821321418174775</v>
      </c>
      <c r="I342" s="382">
        <f>TnSplint!N386</f>
        <v>2.2161442668523703</v>
      </c>
      <c r="J342" s="455"/>
      <c r="K342" s="381">
        <f t="shared" si="23"/>
        <v>2.2161442668523703</v>
      </c>
      <c r="L342" s="383"/>
      <c r="M342" s="455">
        <v>1.8</v>
      </c>
      <c r="N342" s="384"/>
    </row>
    <row r="343" spans="1:14">
      <c r="A343" s="444">
        <f>Input!B359</f>
        <v>38324</v>
      </c>
      <c r="B343" s="44">
        <f t="shared" si="20"/>
        <v>338</v>
      </c>
      <c r="C343" s="380">
        <f>PMSplint!T387</f>
        <v>0.25815230186285965</v>
      </c>
      <c r="D343" s="500">
        <v>0.30545285076975481</v>
      </c>
      <c r="E343" s="381">
        <f t="shared" si="21"/>
        <v>0.30545285076975481</v>
      </c>
      <c r="F343" s="382">
        <f>TxSplint!N387</f>
        <v>4.5352688120277058</v>
      </c>
      <c r="G343" s="455"/>
      <c r="H343" s="381">
        <f t="shared" si="22"/>
        <v>4.5352688120277058</v>
      </c>
      <c r="I343" s="382">
        <f>TnSplint!N387</f>
        <v>1.9436906579188287</v>
      </c>
      <c r="J343" s="455"/>
      <c r="K343" s="381">
        <f t="shared" si="23"/>
        <v>1.9436906579188287</v>
      </c>
      <c r="L343" s="383"/>
      <c r="M343" s="455">
        <v>0.2</v>
      </c>
      <c r="N343" s="384"/>
    </row>
    <row r="344" spans="1:14">
      <c r="A344" s="444">
        <f>Input!B360</f>
        <v>38325</v>
      </c>
      <c r="B344" s="44">
        <f t="shared" si="20"/>
        <v>339</v>
      </c>
      <c r="C344" s="380">
        <f>PMSplint!T388</f>
        <v>0.25148484365933355</v>
      </c>
      <c r="D344" s="500">
        <v>0.23728039005273585</v>
      </c>
      <c r="E344" s="381">
        <f t="shared" si="21"/>
        <v>0.23728039005273585</v>
      </c>
      <c r="F344" s="382">
        <f>TxSplint!N388</f>
        <v>4.2545566131308075</v>
      </c>
      <c r="G344" s="455"/>
      <c r="H344" s="381">
        <f t="shared" si="22"/>
        <v>4.2545566131308075</v>
      </c>
      <c r="I344" s="382">
        <f>TnSplint!N388</f>
        <v>1.6745482399444189</v>
      </c>
      <c r="J344" s="455"/>
      <c r="K344" s="381">
        <f t="shared" si="23"/>
        <v>1.6745482399444189</v>
      </c>
      <c r="L344" s="383"/>
      <c r="M344" s="455">
        <v>1.6</v>
      </c>
      <c r="N344" s="384"/>
    </row>
    <row r="345" spans="1:14">
      <c r="A345" s="444">
        <f>Input!B361</f>
        <v>38326</v>
      </c>
      <c r="B345" s="44">
        <f t="shared" si="20"/>
        <v>340</v>
      </c>
      <c r="C345" s="380">
        <f>PMSplint!T389</f>
        <v>0.2451989376295525</v>
      </c>
      <c r="D345" s="500">
        <v>0.11819204647909157</v>
      </c>
      <c r="E345" s="381">
        <f t="shared" si="21"/>
        <v>0.11819204647909157</v>
      </c>
      <c r="F345" s="382">
        <f>TxSplint!N389</f>
        <v>3.9799842346577514</v>
      </c>
      <c r="G345" s="455"/>
      <c r="H345" s="381">
        <f t="shared" si="22"/>
        <v>3.9799842346577514</v>
      </c>
      <c r="I345" s="382">
        <f>TnSplint!N389</f>
        <v>1.4094440179193071</v>
      </c>
      <c r="J345" s="455"/>
      <c r="K345" s="381">
        <f t="shared" si="23"/>
        <v>1.4094440179193071</v>
      </c>
      <c r="L345" s="383"/>
      <c r="M345" s="455">
        <v>0.2</v>
      </c>
      <c r="N345" s="384"/>
    </row>
    <row r="346" spans="1:14">
      <c r="A346" s="444">
        <f>Input!B362</f>
        <v>38327</v>
      </c>
      <c r="B346" s="44">
        <f t="shared" si="20"/>
        <v>341</v>
      </c>
      <c r="C346" s="380">
        <f>PMSplint!T390</f>
        <v>0.23929657540191829</v>
      </c>
      <c r="D346" s="500">
        <v>0.27091712366785692</v>
      </c>
      <c r="E346" s="381">
        <f t="shared" si="21"/>
        <v>0.27091712366785692</v>
      </c>
      <c r="F346" s="382">
        <f>TxSplint!N390</f>
        <v>3.7123510897822039</v>
      </c>
      <c r="G346" s="455"/>
      <c r="H346" s="381">
        <f t="shared" si="22"/>
        <v>3.7123510897822039</v>
      </c>
      <c r="I346" s="382">
        <f>TnSplint!N390</f>
        <v>1.1491049968336573</v>
      </c>
      <c r="J346" s="455"/>
      <c r="K346" s="381">
        <f t="shared" si="23"/>
        <v>1.1491049968336573</v>
      </c>
      <c r="L346" s="383"/>
      <c r="M346" s="455">
        <v>0.2</v>
      </c>
      <c r="N346" s="384"/>
    </row>
    <row r="347" spans="1:14">
      <c r="A347" s="444">
        <f>Input!B363</f>
        <v>38328</v>
      </c>
      <c r="B347" s="44">
        <f t="shared" si="20"/>
        <v>342</v>
      </c>
      <c r="C347" s="380">
        <f>PMSplint!T391</f>
        <v>0.23377974860483236</v>
      </c>
      <c r="D347" s="500">
        <v>0.16740153746264114</v>
      </c>
      <c r="E347" s="381">
        <f t="shared" si="21"/>
        <v>0.16740153746264114</v>
      </c>
      <c r="F347" s="382">
        <f>TxSplint!N391</f>
        <v>3.4524565916778345</v>
      </c>
      <c r="G347" s="455"/>
      <c r="H347" s="381">
        <f t="shared" si="22"/>
        <v>3.4524565916778345</v>
      </c>
      <c r="I347" s="382">
        <f>TnSplint!N391</f>
        <v>0.89425818167763493</v>
      </c>
      <c r="J347" s="455"/>
      <c r="K347" s="381">
        <f t="shared" si="23"/>
        <v>0.89425818167763493</v>
      </c>
      <c r="L347" s="383"/>
      <c r="M347" s="455">
        <v>0</v>
      </c>
      <c r="N347" s="384"/>
    </row>
    <row r="348" spans="1:14">
      <c r="A348" s="444">
        <f>Input!B364</f>
        <v>38329</v>
      </c>
      <c r="B348" s="44">
        <f t="shared" si="20"/>
        <v>343</v>
      </c>
      <c r="C348" s="380">
        <f>PMSplint!T392</f>
        <v>0.22865044886669617</v>
      </c>
      <c r="D348" s="500">
        <v>0.22609620971568736</v>
      </c>
      <c r="E348" s="381">
        <f t="shared" si="21"/>
        <v>0.22609620971568736</v>
      </c>
      <c r="F348" s="382">
        <f>TxSplint!N392</f>
        <v>3.2011001535183099</v>
      </c>
      <c r="G348" s="455"/>
      <c r="H348" s="381">
        <f t="shared" si="22"/>
        <v>3.2011001535183099</v>
      </c>
      <c r="I348" s="382">
        <f>TnSplint!N392</f>
        <v>0.64563057744140417</v>
      </c>
      <c r="J348" s="455"/>
      <c r="K348" s="381">
        <f t="shared" si="23"/>
        <v>0.64563057744140417</v>
      </c>
      <c r="L348" s="383"/>
      <c r="M348" s="455">
        <v>1.8</v>
      </c>
      <c r="N348" s="384"/>
    </row>
    <row r="349" spans="1:14">
      <c r="A349" s="444">
        <f>Input!B365</f>
        <v>38330</v>
      </c>
      <c r="B349" s="44">
        <f t="shared" si="20"/>
        <v>344</v>
      </c>
      <c r="C349" s="380">
        <f>PMSplint!T393</f>
        <v>0.22391066781591129</v>
      </c>
      <c r="D349" s="500">
        <v>0.15022959251795459</v>
      </c>
      <c r="E349" s="381">
        <f t="shared" si="21"/>
        <v>0.15022959251795459</v>
      </c>
      <c r="F349" s="382">
        <f>TxSplint!N393</f>
        <v>2.9590811884772998</v>
      </c>
      <c r="G349" s="455"/>
      <c r="H349" s="381">
        <f t="shared" si="22"/>
        <v>2.9590811884772998</v>
      </c>
      <c r="I349" s="382">
        <f>TnSplint!N393</f>
        <v>0.40394918911513111</v>
      </c>
      <c r="J349" s="455"/>
      <c r="K349" s="381">
        <f t="shared" si="23"/>
        <v>0.40394918911513111</v>
      </c>
      <c r="L349" s="383"/>
      <c r="M349" s="455">
        <v>3.4</v>
      </c>
      <c r="N349" s="384"/>
    </row>
    <row r="350" spans="1:14">
      <c r="A350" s="444">
        <f>Input!B366</f>
        <v>38331</v>
      </c>
      <c r="B350" s="44">
        <f t="shared" si="20"/>
        <v>345</v>
      </c>
      <c r="C350" s="380">
        <f>PMSplint!T394</f>
        <v>0.2195623970808793</v>
      </c>
      <c r="D350" s="500">
        <v>0.15350220716630447</v>
      </c>
      <c r="E350" s="381">
        <f t="shared" si="21"/>
        <v>0.15350220716630447</v>
      </c>
      <c r="F350" s="382">
        <f>TxSplint!N394</f>
        <v>2.7271991097284727</v>
      </c>
      <c r="G350" s="455"/>
      <c r="H350" s="381">
        <f t="shared" si="22"/>
        <v>2.7271991097284727</v>
      </c>
      <c r="I350" s="382">
        <f>TnSplint!N394</f>
        <v>0.1699410216889794</v>
      </c>
      <c r="J350" s="455"/>
      <c r="K350" s="381">
        <f t="shared" si="23"/>
        <v>0.1699410216889794</v>
      </c>
      <c r="L350" s="383"/>
      <c r="M350" s="455">
        <v>0.4</v>
      </c>
      <c r="N350" s="384"/>
    </row>
    <row r="351" spans="1:14">
      <c r="A351" s="444">
        <f>Input!B367</f>
        <v>38332</v>
      </c>
      <c r="B351" s="44">
        <f t="shared" si="20"/>
        <v>346</v>
      </c>
      <c r="C351" s="380">
        <f>PMSplint!T395</f>
        <v>0.21560762829000171</v>
      </c>
      <c r="D351" s="500">
        <v>0.25571221462424665</v>
      </c>
      <c r="E351" s="381">
        <f t="shared" si="21"/>
        <v>0.25571221462424665</v>
      </c>
      <c r="F351" s="382">
        <f>TxSplint!N395</f>
        <v>2.5062533304454968</v>
      </c>
      <c r="G351" s="455"/>
      <c r="H351" s="381">
        <f t="shared" si="22"/>
        <v>2.5062533304454968</v>
      </c>
      <c r="I351" s="382">
        <f>TnSplint!N395</f>
        <v>-5.5666919846884766E-2</v>
      </c>
      <c r="J351" s="455"/>
      <c r="K351" s="381">
        <f t="shared" si="23"/>
        <v>-5.5666919846884766E-2</v>
      </c>
      <c r="L351" s="383"/>
      <c r="M351" s="455">
        <v>0</v>
      </c>
      <c r="N351" s="384"/>
    </row>
    <row r="352" spans="1:14">
      <c r="A352" s="444">
        <f>Input!B368</f>
        <v>38333</v>
      </c>
      <c r="B352" s="44">
        <f t="shared" si="20"/>
        <v>347</v>
      </c>
      <c r="C352" s="380">
        <f>PMSplint!T396</f>
        <v>0.21204835307168007</v>
      </c>
      <c r="D352" s="500">
        <v>0.14007117407982622</v>
      </c>
      <c r="E352" s="381">
        <f t="shared" si="21"/>
        <v>0.14007117407982622</v>
      </c>
      <c r="F352" s="382">
        <f>TxSplint!N396</f>
        <v>2.2970432638020397</v>
      </c>
      <c r="G352" s="455"/>
      <c r="H352" s="381">
        <f t="shared" si="22"/>
        <v>2.2970432638020397</v>
      </c>
      <c r="I352" s="382">
        <f>TnSplint!N396</f>
        <v>-0.2721476305022974</v>
      </c>
      <c r="J352" s="455"/>
      <c r="K352" s="381">
        <f t="shared" si="23"/>
        <v>-0.2721476305022974</v>
      </c>
      <c r="L352" s="383"/>
      <c r="M352" s="455">
        <v>0</v>
      </c>
      <c r="N352" s="384"/>
    </row>
    <row r="353" spans="1:14">
      <c r="A353" s="444">
        <f>Input!B369</f>
        <v>38334</v>
      </c>
      <c r="B353" s="44">
        <f t="shared" si="20"/>
        <v>348</v>
      </c>
      <c r="C353" s="380">
        <f>PMSplint!T397</f>
        <v>0.20888656305431588</v>
      </c>
      <c r="D353" s="500">
        <v>0.11457279942072622</v>
      </c>
      <c r="E353" s="381">
        <f t="shared" si="21"/>
        <v>0.11457279942072622</v>
      </c>
      <c r="F353" s="382">
        <f>TxSplint!N397</f>
        <v>2.1003683229717707</v>
      </c>
      <c r="G353" s="455"/>
      <c r="H353" s="381">
        <f t="shared" si="22"/>
        <v>2.1003683229717707</v>
      </c>
      <c r="I353" s="382">
        <f>TnSplint!N397</f>
        <v>-0.47877410528709297</v>
      </c>
      <c r="J353" s="455"/>
      <c r="K353" s="381">
        <f t="shared" si="23"/>
        <v>-0.47877410528709297</v>
      </c>
      <c r="L353" s="383"/>
      <c r="M353" s="455">
        <v>0</v>
      </c>
      <c r="N353" s="384"/>
    </row>
    <row r="354" spans="1:14">
      <c r="A354" s="444">
        <f>Input!B370</f>
        <v>38335</v>
      </c>
      <c r="B354" s="44">
        <f t="shared" si="20"/>
        <v>349</v>
      </c>
      <c r="C354" s="380">
        <f>PMSplint!T398</f>
        <v>0.20612424986631067</v>
      </c>
      <c r="D354" s="500">
        <v>0.19213352452024041</v>
      </c>
      <c r="E354" s="381">
        <f t="shared" si="21"/>
        <v>0.19213352452024041</v>
      </c>
      <c r="F354" s="382">
        <f>TxSplint!N398</f>
        <v>1.9170279211283576</v>
      </c>
      <c r="G354" s="455"/>
      <c r="H354" s="381">
        <f t="shared" si="22"/>
        <v>1.9170279211283576</v>
      </c>
      <c r="I354" s="382">
        <f>TnSplint!N398</f>
        <v>-0.67481933921110704</v>
      </c>
      <c r="J354" s="455"/>
      <c r="K354" s="381">
        <f t="shared" si="23"/>
        <v>-0.67481933921110704</v>
      </c>
      <c r="L354" s="383"/>
      <c r="M354" s="455">
        <v>1</v>
      </c>
      <c r="N354" s="384"/>
    </row>
    <row r="355" spans="1:14">
      <c r="A355" s="444">
        <f>Input!B371</f>
        <v>38336</v>
      </c>
      <c r="B355" s="44">
        <f t="shared" si="20"/>
        <v>350</v>
      </c>
      <c r="C355" s="380">
        <f>PMSplint!T399</f>
        <v>0.20376340513606608</v>
      </c>
      <c r="D355" s="500">
        <v>0.19704501125568424</v>
      </c>
      <c r="E355" s="381">
        <f t="shared" si="21"/>
        <v>0.19704501125568424</v>
      </c>
      <c r="F355" s="382">
        <f>TxSplint!N399</f>
        <v>1.7478214714454698</v>
      </c>
      <c r="G355" s="455"/>
      <c r="H355" s="381">
        <f t="shared" si="22"/>
        <v>1.7478214714454698</v>
      </c>
      <c r="I355" s="382">
        <f>TnSplint!N399</f>
        <v>-0.85955632728417375</v>
      </c>
      <c r="J355" s="455"/>
      <c r="K355" s="381">
        <f t="shared" si="23"/>
        <v>-0.85955632728417375</v>
      </c>
      <c r="L355" s="383"/>
      <c r="M355" s="455">
        <v>5</v>
      </c>
      <c r="N355" s="384"/>
    </row>
    <row r="356" spans="1:14">
      <c r="A356" s="444">
        <f>Input!B372</f>
        <v>38337</v>
      </c>
      <c r="B356" s="44">
        <f t="shared" si="20"/>
        <v>351</v>
      </c>
      <c r="C356" s="380">
        <f>PMSplint!T400</f>
        <v>0.20180602049198348</v>
      </c>
      <c r="D356" s="500">
        <v>0.20794462418624898</v>
      </c>
      <c r="E356" s="381">
        <f t="shared" si="21"/>
        <v>0.20794462418624898</v>
      </c>
      <c r="F356" s="382">
        <f>TxSplint!N400</f>
        <v>1.5935483870967744</v>
      </c>
      <c r="G356" s="455"/>
      <c r="H356" s="381">
        <f t="shared" si="22"/>
        <v>1.5935483870967744</v>
      </c>
      <c r="I356" s="382">
        <f>TnSplint!N400</f>
        <v>-1.0322580645161292</v>
      </c>
      <c r="J356" s="455"/>
      <c r="K356" s="381">
        <f t="shared" si="23"/>
        <v>-1.0322580645161292</v>
      </c>
      <c r="L356" s="383"/>
      <c r="M356" s="455">
        <v>0.2</v>
      </c>
      <c r="N356" s="384"/>
    </row>
    <row r="357" spans="1:14">
      <c r="A357" s="444">
        <f>Input!B373</f>
        <v>38338</v>
      </c>
      <c r="B357" s="44">
        <f t="shared" si="20"/>
        <v>352</v>
      </c>
      <c r="C357" s="380">
        <f>PMSplint!T401</f>
        <v>0.20025246800557583</v>
      </c>
      <c r="D357" s="500">
        <v>0.20734524609866151</v>
      </c>
      <c r="E357" s="381">
        <f t="shared" si="21"/>
        <v>0.20734524609866151</v>
      </c>
      <c r="F357" s="382">
        <f>TxSplint!N401</f>
        <v>1.454759398074619</v>
      </c>
      <c r="G357" s="455"/>
      <c r="H357" s="381">
        <f t="shared" si="22"/>
        <v>1.454759398074619</v>
      </c>
      <c r="I357" s="382">
        <f>TnSplint!N401</f>
        <v>-1.192415837090083</v>
      </c>
      <c r="J357" s="455"/>
      <c r="K357" s="381">
        <f t="shared" si="23"/>
        <v>-1.192415837090083</v>
      </c>
      <c r="L357" s="383"/>
      <c r="M357" s="455">
        <v>0.2</v>
      </c>
      <c r="N357" s="384"/>
    </row>
    <row r="358" spans="1:14">
      <c r="A358" s="444">
        <f>Input!B374</f>
        <v>38339</v>
      </c>
      <c r="B358" s="44">
        <f t="shared" si="20"/>
        <v>353</v>
      </c>
      <c r="C358" s="380">
        <f>PMSplint!T402</f>
        <v>0.19909664152080095</v>
      </c>
      <c r="D358" s="500">
        <v>0.28715428488928374</v>
      </c>
      <c r="E358" s="381">
        <f t="shared" si="21"/>
        <v>0.28715428488928374</v>
      </c>
      <c r="F358" s="382">
        <f>TxSplint!N402</f>
        <v>1.3310105016460616</v>
      </c>
      <c r="G358" s="455"/>
      <c r="H358" s="381">
        <f t="shared" si="22"/>
        <v>1.3310105016460616</v>
      </c>
      <c r="I358" s="382">
        <f>TnSplint!N402</f>
        <v>-1.3403940958822482</v>
      </c>
      <c r="J358" s="455"/>
      <c r="K358" s="381">
        <f t="shared" si="23"/>
        <v>-1.3403940958822482</v>
      </c>
      <c r="L358" s="383"/>
      <c r="M358" s="455">
        <v>0</v>
      </c>
      <c r="N358" s="384"/>
    </row>
    <row r="359" spans="1:14">
      <c r="A359" s="444">
        <f>Input!B375</f>
        <v>38340</v>
      </c>
      <c r="B359" s="44">
        <f t="shared" si="20"/>
        <v>354</v>
      </c>
      <c r="C359" s="380">
        <f>PMSplint!T403</f>
        <v>0.19833081532472815</v>
      </c>
      <c r="D359" s="500">
        <v>0.14919560090004816</v>
      </c>
      <c r="E359" s="381">
        <f t="shared" si="21"/>
        <v>0.14919560090004816</v>
      </c>
      <c r="F359" s="382">
        <f>TxSplint!N403</f>
        <v>1.2216090118968426</v>
      </c>
      <c r="G359" s="455"/>
      <c r="H359" s="381">
        <f t="shared" si="22"/>
        <v>1.2216090118968426</v>
      </c>
      <c r="I359" s="382">
        <f>TnSplint!N403</f>
        <v>-1.4767755829421108</v>
      </c>
      <c r="J359" s="455"/>
      <c r="K359" s="381">
        <f t="shared" si="23"/>
        <v>-1.4767755829421108</v>
      </c>
      <c r="L359" s="383"/>
      <c r="M359" s="455">
        <v>0.2</v>
      </c>
      <c r="N359" s="384"/>
    </row>
    <row r="360" spans="1:14">
      <c r="A360" s="444">
        <f>Input!B376</f>
        <v>38341</v>
      </c>
      <c r="B360" s="44">
        <f t="shared" si="20"/>
        <v>355</v>
      </c>
      <c r="C360" s="380">
        <f>PMSplint!T404</f>
        <v>0.19794726370442658</v>
      </c>
      <c r="D360" s="500">
        <v>6.9375106890258192E-2</v>
      </c>
      <c r="E360" s="381">
        <f t="shared" si="21"/>
        <v>6.9375106890258192E-2</v>
      </c>
      <c r="F360" s="382">
        <f>TxSplint!N404</f>
        <v>1.1258622429126981</v>
      </c>
      <c r="G360" s="455"/>
      <c r="H360" s="381">
        <f t="shared" si="22"/>
        <v>1.1258622429126981</v>
      </c>
      <c r="I360" s="382">
        <f>TnSplint!N404</f>
        <v>-1.6021430403191586</v>
      </c>
      <c r="J360" s="455"/>
      <c r="K360" s="381">
        <f t="shared" si="23"/>
        <v>-1.6021430403191586</v>
      </c>
      <c r="L360" s="383"/>
      <c r="M360" s="455">
        <v>0.2</v>
      </c>
      <c r="N360" s="384"/>
    </row>
    <row r="361" spans="1:14">
      <c r="A361" s="444">
        <f>Input!B377</f>
        <v>38342</v>
      </c>
      <c r="B361" s="44">
        <f t="shared" si="20"/>
        <v>356</v>
      </c>
      <c r="C361" s="380">
        <f>PMSplint!T405</f>
        <v>0.19793826094696551</v>
      </c>
      <c r="D361" s="500">
        <v>0.10353647024992368</v>
      </c>
      <c r="E361" s="381">
        <f t="shared" si="21"/>
        <v>0.10353647024992368</v>
      </c>
      <c r="F361" s="382">
        <f>TxSplint!N405</f>
        <v>1.0430775087793667</v>
      </c>
      <c r="G361" s="455"/>
      <c r="H361" s="381">
        <f t="shared" si="22"/>
        <v>1.0430775087793667</v>
      </c>
      <c r="I361" s="382">
        <f>TnSplint!N405</f>
        <v>-1.7170792100628784</v>
      </c>
      <c r="J361" s="455"/>
      <c r="K361" s="381">
        <f t="shared" si="23"/>
        <v>-1.7170792100628784</v>
      </c>
      <c r="L361" s="383"/>
      <c r="M361" s="455">
        <v>1.4</v>
      </c>
      <c r="N361" s="384"/>
    </row>
    <row r="362" spans="1:14">
      <c r="A362" s="444">
        <f>Input!B378</f>
        <v>38343</v>
      </c>
      <c r="B362" s="44">
        <f t="shared" si="20"/>
        <v>357</v>
      </c>
      <c r="C362" s="380">
        <f>PMSplint!T406</f>
        <v>0.19829608133941409</v>
      </c>
      <c r="D362" s="500">
        <v>0.17521718328015756</v>
      </c>
      <c r="E362" s="381">
        <f t="shared" si="21"/>
        <v>0.17521718328015756</v>
      </c>
      <c r="F362" s="382">
        <f>TxSplint!N406</f>
        <v>0.97256212358258665</v>
      </c>
      <c r="G362" s="455"/>
      <c r="H362" s="381">
        <f t="shared" si="22"/>
        <v>0.97256212358258665</v>
      </c>
      <c r="I362" s="382">
        <f>TnSplint!N406</f>
        <v>-1.8221668342227579</v>
      </c>
      <c r="J362" s="455"/>
      <c r="K362" s="381">
        <f t="shared" si="23"/>
        <v>-1.8221668342227579</v>
      </c>
      <c r="L362" s="383"/>
      <c r="M362" s="455">
        <v>0</v>
      </c>
      <c r="N362" s="384"/>
    </row>
    <row r="363" spans="1:14">
      <c r="A363" s="444">
        <f>Input!B379</f>
        <v>38344</v>
      </c>
      <c r="B363" s="44">
        <f t="shared" si="20"/>
        <v>358</v>
      </c>
      <c r="C363" s="380">
        <f>PMSplint!T407</f>
        <v>0.19901299916884158</v>
      </c>
      <c r="D363" s="500">
        <v>0.11016604488914751</v>
      </c>
      <c r="E363" s="381">
        <f t="shared" si="21"/>
        <v>0.11016604488914751</v>
      </c>
      <c r="F363" s="382">
        <f>TxSplint!N407</f>
        <v>0.91362340140809473</v>
      </c>
      <c r="G363" s="455"/>
      <c r="H363" s="381">
        <f t="shared" si="22"/>
        <v>0.91362340140809473</v>
      </c>
      <c r="I363" s="382">
        <f>TnSplint!N407</f>
        <v>-1.9179886548482845</v>
      </c>
      <c r="J363" s="455"/>
      <c r="K363" s="381">
        <f t="shared" si="23"/>
        <v>-1.9179886548482845</v>
      </c>
      <c r="L363" s="383"/>
      <c r="M363" s="455">
        <v>0</v>
      </c>
      <c r="N363" s="384"/>
    </row>
    <row r="364" spans="1:14">
      <c r="A364" s="444">
        <f>Input!B380</f>
        <v>38345</v>
      </c>
      <c r="B364" s="44">
        <f t="shared" si="20"/>
        <v>359</v>
      </c>
      <c r="C364" s="380">
        <f>PMSplint!T408</f>
        <v>0.20008128872231723</v>
      </c>
      <c r="D364" s="500">
        <v>0.11973452107259031</v>
      </c>
      <c r="E364" s="381">
        <f t="shared" si="21"/>
        <v>0.11973452107259031</v>
      </c>
      <c r="F364" s="382">
        <f>TxSplint!N408</f>
        <v>0.86556865634163005</v>
      </c>
      <c r="G364" s="455"/>
      <c r="H364" s="381">
        <f t="shared" si="22"/>
        <v>0.86556865634163005</v>
      </c>
      <c r="I364" s="382">
        <f>TnSplint!N408</f>
        <v>-2.0051274139889448</v>
      </c>
      <c r="J364" s="455"/>
      <c r="K364" s="381">
        <f t="shared" si="23"/>
        <v>-2.0051274139889448</v>
      </c>
      <c r="L364" s="383"/>
      <c r="M364" s="455">
        <v>0.2</v>
      </c>
      <c r="N364" s="384"/>
    </row>
    <row r="365" spans="1:14">
      <c r="A365" s="444">
        <f>Input!B381</f>
        <v>38346</v>
      </c>
      <c r="B365" s="44">
        <f t="shared" si="20"/>
        <v>360</v>
      </c>
      <c r="C365" s="380">
        <f>PMSplint!T409</f>
        <v>0.20438088507200602</v>
      </c>
      <c r="D365" s="500">
        <v>0.19141620962706662</v>
      </c>
      <c r="E365" s="381">
        <f t="shared" si="21"/>
        <v>0.19141620962706662</v>
      </c>
      <c r="F365" s="382">
        <f>TxSplint!N409</f>
        <v>0.85268700634486971</v>
      </c>
      <c r="G365" s="455"/>
      <c r="H365" s="381">
        <f t="shared" si="22"/>
        <v>0.85268700634486971</v>
      </c>
      <c r="I365" s="382">
        <f>TnSplint!N409</f>
        <v>-2.0858230408121692</v>
      </c>
      <c r="J365" s="455"/>
      <c r="K365" s="381">
        <f t="shared" si="23"/>
        <v>-2.0858230408121692</v>
      </c>
      <c r="L365" s="383"/>
      <c r="M365" s="455">
        <v>0</v>
      </c>
      <c r="N365" s="384"/>
    </row>
    <row r="366" spans="1:14">
      <c r="A366" s="444">
        <f>Input!B382</f>
        <v>38347</v>
      </c>
      <c r="B366" s="44">
        <f t="shared" si="20"/>
        <v>361</v>
      </c>
      <c r="C366" s="380">
        <f>PMSplint!T410</f>
        <v>0.20868048142169482</v>
      </c>
      <c r="D366" s="500">
        <v>0.25983469090210043</v>
      </c>
      <c r="E366" s="381">
        <f t="shared" si="21"/>
        <v>0.25983469090210043</v>
      </c>
      <c r="F366" s="382">
        <f>TxSplint!N410</f>
        <v>0.83980535634810938</v>
      </c>
      <c r="G366" s="455"/>
      <c r="H366" s="381">
        <f t="shared" si="22"/>
        <v>0.83980535634810938</v>
      </c>
      <c r="I366" s="382">
        <f>TnSplint!N410</f>
        <v>-2.1665186676353936</v>
      </c>
      <c r="J366" s="455"/>
      <c r="K366" s="381">
        <f t="shared" si="23"/>
        <v>-2.1665186676353936</v>
      </c>
      <c r="L366" s="383"/>
      <c r="M366" s="455">
        <v>5.6</v>
      </c>
      <c r="N366" s="384"/>
    </row>
    <row r="367" spans="1:14">
      <c r="A367" s="444">
        <f>Input!B383</f>
        <v>38348</v>
      </c>
      <c r="B367" s="44">
        <f t="shared" si="20"/>
        <v>362</v>
      </c>
      <c r="C367" s="380">
        <f>PMSplint!T411</f>
        <v>0.21298007777138361</v>
      </c>
      <c r="D367" s="500">
        <v>0.31620608472521305</v>
      </c>
      <c r="E367" s="381">
        <f t="shared" si="21"/>
        <v>0.31620608472521305</v>
      </c>
      <c r="F367" s="382">
        <f>TxSplint!N411</f>
        <v>0.82692370635134904</v>
      </c>
      <c r="G367" s="455"/>
      <c r="H367" s="381">
        <f t="shared" si="22"/>
        <v>0.82692370635134904</v>
      </c>
      <c r="I367" s="382">
        <f>TnSplint!N411</f>
        <v>-2.247214294458618</v>
      </c>
      <c r="J367" s="455"/>
      <c r="K367" s="381">
        <f t="shared" si="23"/>
        <v>-2.247214294458618</v>
      </c>
      <c r="L367" s="383"/>
      <c r="M367" s="455">
        <v>0</v>
      </c>
      <c r="N367" s="384"/>
    </row>
    <row r="368" spans="1:14">
      <c r="A368" s="444">
        <f>Input!B384</f>
        <v>38349</v>
      </c>
      <c r="B368" s="44">
        <f t="shared" si="20"/>
        <v>363</v>
      </c>
      <c r="C368" s="380">
        <f>PMSplint!T412</f>
        <v>0.21727967412107241</v>
      </c>
      <c r="D368" s="500">
        <v>0.26095749933563839</v>
      </c>
      <c r="E368" s="381">
        <f t="shared" si="21"/>
        <v>0.26095749933563839</v>
      </c>
      <c r="F368" s="382">
        <f>TxSplint!N412</f>
        <v>0.81404205635458871</v>
      </c>
      <c r="G368" s="455"/>
      <c r="H368" s="381">
        <f t="shared" si="22"/>
        <v>0.81404205635458871</v>
      </c>
      <c r="I368" s="382">
        <f>TnSplint!N412</f>
        <v>-2.3279099212818424</v>
      </c>
      <c r="J368" s="455"/>
      <c r="K368" s="381">
        <f t="shared" si="23"/>
        <v>-2.3279099212818424</v>
      </c>
      <c r="L368" s="383"/>
      <c r="M368" s="455">
        <v>0</v>
      </c>
      <c r="N368" s="384"/>
    </row>
    <row r="369" spans="1:14">
      <c r="A369" s="444">
        <f>Input!B385</f>
        <v>38350</v>
      </c>
      <c r="B369" s="44">
        <f t="shared" si="20"/>
        <v>364</v>
      </c>
      <c r="C369" s="380">
        <f>PMSplint!T413</f>
        <v>0.2215792704707612</v>
      </c>
      <c r="D369" s="500">
        <v>0.22814842508288211</v>
      </c>
      <c r="E369" s="381">
        <f t="shared" si="21"/>
        <v>0.22814842508288211</v>
      </c>
      <c r="F369" s="382">
        <f>TxSplint!N413</f>
        <v>0.80116040635782837</v>
      </c>
      <c r="G369" s="455"/>
      <c r="H369" s="381">
        <f t="shared" si="22"/>
        <v>0.80116040635782837</v>
      </c>
      <c r="I369" s="382">
        <f>TnSplint!N413</f>
        <v>-2.4086055481050668</v>
      </c>
      <c r="J369" s="455"/>
      <c r="K369" s="381">
        <f t="shared" si="23"/>
        <v>-2.4086055481050668</v>
      </c>
      <c r="L369" s="383"/>
      <c r="M369" s="455">
        <v>0.2</v>
      </c>
      <c r="N369" s="384"/>
    </row>
    <row r="370" spans="1:14">
      <c r="A370" s="444">
        <f>Input!B386</f>
        <v>38351</v>
      </c>
      <c r="B370" s="44">
        <f t="shared" si="20"/>
        <v>365</v>
      </c>
      <c r="C370" s="380">
        <f>PMSplint!T414</f>
        <v>0.2215792704707612</v>
      </c>
      <c r="D370" s="500">
        <v>0.20739844704395816</v>
      </c>
      <c r="E370" s="381">
        <f t="shared" si="21"/>
        <v>0.20739844704395816</v>
      </c>
      <c r="F370" s="382">
        <f>TxSplint!N414</f>
        <v>0.80116040635782837</v>
      </c>
      <c r="G370" s="455"/>
      <c r="H370" s="381">
        <f t="shared" si="22"/>
        <v>0.80116040635782837</v>
      </c>
      <c r="I370" s="382">
        <f>TnSplint!N414</f>
        <v>-2.4086055481050677</v>
      </c>
      <c r="J370" s="455"/>
      <c r="K370" s="381">
        <f t="shared" si="23"/>
        <v>-2.4086055481050677</v>
      </c>
      <c r="L370" s="383"/>
      <c r="M370" s="455">
        <v>0.2</v>
      </c>
      <c r="N370" s="384"/>
    </row>
    <row r="371" spans="1:14">
      <c r="A371" s="444">
        <f>Input!B387</f>
        <v>38352</v>
      </c>
      <c r="B371" s="44">
        <f t="shared" si="20"/>
        <v>366</v>
      </c>
      <c r="C371" s="380">
        <f>PMSplint!T415</f>
        <v>0.2215792704707612</v>
      </c>
      <c r="D371" s="500">
        <v>0.21064171067586901</v>
      </c>
      <c r="E371" s="381">
        <f t="shared" si="21"/>
        <v>0.21064171067586901</v>
      </c>
      <c r="F371" s="382">
        <f>TxSplint!N415</f>
        <v>0.82226625594828107</v>
      </c>
      <c r="G371" s="455"/>
      <c r="H371" s="381">
        <f t="shared" si="22"/>
        <v>0.82226625594828107</v>
      </c>
      <c r="I371" s="382">
        <f>TnSplint!N415</f>
        <v>-2.4419287737365574</v>
      </c>
      <c r="J371" s="455"/>
      <c r="K371" s="381">
        <f t="shared" si="23"/>
        <v>-2.4419287737365574</v>
      </c>
      <c r="L371" s="383"/>
      <c r="M371" s="455">
        <v>0.2</v>
      </c>
      <c r="N371" s="384"/>
    </row>
    <row r="372" spans="1:14">
      <c r="A372" s="444">
        <f>Input!B388</f>
        <v>38353</v>
      </c>
      <c r="B372" s="44">
        <f t="shared" si="20"/>
        <v>1</v>
      </c>
      <c r="C372" s="380">
        <f>PMSplint!T416</f>
        <v>0.22831276230435454</v>
      </c>
      <c r="D372" s="500">
        <v>0.24825455305211253</v>
      </c>
      <c r="E372" s="381">
        <f t="shared" si="21"/>
        <v>0.24825455305211253</v>
      </c>
      <c r="F372" s="382">
        <f>TxSplint!N50</f>
        <v>0.80116040635782837</v>
      </c>
      <c r="G372" s="370"/>
      <c r="H372" s="381">
        <f t="shared" si="22"/>
        <v>0.80116040635782837</v>
      </c>
      <c r="I372" s="382">
        <f>TnSplint!N50</f>
        <v>-2.4086055481050677</v>
      </c>
      <c r="J372" s="370"/>
      <c r="K372" s="381">
        <f t="shared" si="23"/>
        <v>-2.4086055481050677</v>
      </c>
      <c r="L372" s="383"/>
      <c r="M372" s="475">
        <v>0</v>
      </c>
      <c r="N372" s="384"/>
    </row>
    <row r="373" spans="1:14">
      <c r="A373" s="444">
        <f>Input!B389</f>
        <v>38354</v>
      </c>
      <c r="B373" s="44">
        <f t="shared" si="20"/>
        <v>2</v>
      </c>
      <c r="C373" s="380">
        <f>PMSplint!T417</f>
        <v>0.23504625413794789</v>
      </c>
      <c r="D373" s="500">
        <v>0.26135759193647401</v>
      </c>
      <c r="E373" s="381">
        <f t="shared" si="21"/>
        <v>0.26135759193647401</v>
      </c>
      <c r="F373" s="382">
        <f>TxSplint!N51</f>
        <v>0.84555645997855822</v>
      </c>
      <c r="G373" s="370"/>
      <c r="H373" s="381">
        <f t="shared" si="22"/>
        <v>0.84555645997855822</v>
      </c>
      <c r="I373" s="382">
        <f>TnSplint!N51</f>
        <v>-2.4345473965709585</v>
      </c>
      <c r="J373" s="370"/>
      <c r="K373" s="381">
        <f t="shared" si="23"/>
        <v>-2.4345473965709585</v>
      </c>
      <c r="L373" s="383"/>
      <c r="M373" s="475">
        <v>0</v>
      </c>
      <c r="N373" s="384"/>
    </row>
    <row r="374" spans="1:14">
      <c r="A374" s="444">
        <f>Input!B390</f>
        <v>38355</v>
      </c>
      <c r="B374" s="44">
        <f t="shared" si="20"/>
        <v>3</v>
      </c>
      <c r="C374" s="380">
        <f>PMSplint!T418</f>
        <v>0.24177974597154123</v>
      </c>
      <c r="D374" s="500">
        <v>0.24892768940826782</v>
      </c>
      <c r="E374" s="381">
        <f t="shared" si="21"/>
        <v>0.24892768940826782</v>
      </c>
      <c r="F374" s="382">
        <f>TxSplint!N52</f>
        <v>0.88995251359928806</v>
      </c>
      <c r="G374" s="370"/>
      <c r="H374" s="381">
        <f t="shared" si="22"/>
        <v>0.88995251359928806</v>
      </c>
      <c r="I374" s="382">
        <f>TnSplint!N52</f>
        <v>-2.4604892450368494</v>
      </c>
      <c r="J374" s="370"/>
      <c r="K374" s="381">
        <f t="shared" si="23"/>
        <v>-2.4604892450368494</v>
      </c>
      <c r="L374" s="383"/>
      <c r="M374" s="475">
        <v>0</v>
      </c>
      <c r="N374" s="384"/>
    </row>
    <row r="375" spans="1:14">
      <c r="A375" s="444">
        <f>Input!B391</f>
        <v>38356</v>
      </c>
      <c r="B375" s="44">
        <f t="shared" si="20"/>
        <v>4</v>
      </c>
      <c r="C375" s="380">
        <f>PMSplint!T419</f>
        <v>0.24851323780513457</v>
      </c>
      <c r="D375" s="500">
        <v>0.15123086696486165</v>
      </c>
      <c r="E375" s="381">
        <f t="shared" si="21"/>
        <v>0.15123086696486165</v>
      </c>
      <c r="F375" s="382">
        <f>TxSplint!N53</f>
        <v>0.93434856722001791</v>
      </c>
      <c r="G375" s="370"/>
      <c r="H375" s="381">
        <f t="shared" si="22"/>
        <v>0.93434856722001791</v>
      </c>
      <c r="I375" s="382">
        <f>TnSplint!N53</f>
        <v>-2.4864310935027403</v>
      </c>
      <c r="J375" s="370"/>
      <c r="K375" s="381">
        <f t="shared" si="23"/>
        <v>-2.4864310935027403</v>
      </c>
      <c r="L375" s="383"/>
      <c r="M375" s="475">
        <v>0</v>
      </c>
      <c r="N375" s="384"/>
    </row>
    <row r="376" spans="1:14">
      <c r="A376" s="444">
        <f>Input!B392</f>
        <v>38357</v>
      </c>
      <c r="B376" s="44">
        <f t="shared" si="20"/>
        <v>5</v>
      </c>
      <c r="C376" s="380">
        <f>PMSplint!T420</f>
        <v>0.25524672963872796</v>
      </c>
      <c r="D376" s="500">
        <v>0.30270884965245604</v>
      </c>
      <c r="E376" s="381">
        <f t="shared" si="21"/>
        <v>0.30270884965245604</v>
      </c>
      <c r="F376" s="382">
        <f>TxSplint!N54</f>
        <v>0.97874462084074776</v>
      </c>
      <c r="G376" s="370"/>
      <c r="H376" s="381">
        <f t="shared" si="22"/>
        <v>0.97874462084074776</v>
      </c>
      <c r="I376" s="382">
        <f>TnSplint!N54</f>
        <v>-2.5123729419686311</v>
      </c>
      <c r="J376" s="370"/>
      <c r="K376" s="381">
        <f t="shared" si="23"/>
        <v>-2.5123729419686311</v>
      </c>
      <c r="L376" s="383"/>
      <c r="M376" s="475">
        <v>0</v>
      </c>
      <c r="N376" s="384"/>
    </row>
    <row r="377" spans="1:14">
      <c r="A377" s="444">
        <f>Input!B393</f>
        <v>38358</v>
      </c>
      <c r="B377" s="44">
        <f t="shared" si="20"/>
        <v>6</v>
      </c>
      <c r="C377" s="380">
        <f>PMSplint!T421</f>
        <v>0.2602343339434332</v>
      </c>
      <c r="D377" s="500">
        <v>0.34935131767173</v>
      </c>
      <c r="E377" s="381">
        <f t="shared" si="21"/>
        <v>0.34935131767173</v>
      </c>
      <c r="F377" s="382">
        <f>TxSplint!N55</f>
        <v>1.0231406744614777</v>
      </c>
      <c r="G377" s="370"/>
      <c r="H377" s="381">
        <f t="shared" si="22"/>
        <v>1.0231406744614777</v>
      </c>
      <c r="I377" s="382">
        <f>TnSplint!N55</f>
        <v>-2.5383147904345211</v>
      </c>
      <c r="J377" s="370"/>
      <c r="K377" s="381">
        <f t="shared" si="23"/>
        <v>-2.5383147904345211</v>
      </c>
      <c r="L377" s="383"/>
      <c r="M377" s="475">
        <v>0</v>
      </c>
      <c r="N377" s="384"/>
    </row>
    <row r="378" spans="1:14">
      <c r="A378" s="444">
        <f>Input!B394</f>
        <v>38359</v>
      </c>
      <c r="B378" s="44">
        <f t="shared" si="20"/>
        <v>7</v>
      </c>
      <c r="C378" s="380">
        <f>PMSplint!T422</f>
        <v>0.26506159337069896</v>
      </c>
      <c r="D378" s="500">
        <v>0.74494176690550129</v>
      </c>
      <c r="E378" s="381">
        <f t="shared" si="21"/>
        <v>0.74494176690550129</v>
      </c>
      <c r="F378" s="382">
        <f>TxSplint!N56</f>
        <v>1.0605041699794699</v>
      </c>
      <c r="G378" s="370"/>
      <c r="H378" s="381">
        <f t="shared" si="22"/>
        <v>1.0605041699794699</v>
      </c>
      <c r="I378" s="382">
        <f>TnSplint!N56</f>
        <v>-2.5570390675255013</v>
      </c>
      <c r="J378" s="370"/>
      <c r="K378" s="381">
        <f t="shared" si="23"/>
        <v>-2.5570390675255013</v>
      </c>
      <c r="L378" s="383"/>
      <c r="M378" s="475">
        <v>0</v>
      </c>
      <c r="N378" s="384"/>
    </row>
    <row r="379" spans="1:14">
      <c r="A379" s="444">
        <f>Input!B395</f>
        <v>38360</v>
      </c>
      <c r="B379" s="44">
        <f t="shared" si="20"/>
        <v>8</v>
      </c>
      <c r="C379" s="380">
        <f>PMSplint!T423</f>
        <v>0.26967657038727227</v>
      </c>
      <c r="D379" s="500">
        <v>0.26305806961331835</v>
      </c>
      <c r="E379" s="381">
        <f t="shared" si="21"/>
        <v>0.26305806961331835</v>
      </c>
      <c r="F379" s="382">
        <f>TxSplint!N57</f>
        <v>1.0948401822476554</v>
      </c>
      <c r="G379" s="370"/>
      <c r="H379" s="381">
        <f t="shared" si="22"/>
        <v>1.0948401822476554</v>
      </c>
      <c r="I379" s="382">
        <f>TnSplint!N57</f>
        <v>-2.5777175298868671</v>
      </c>
      <c r="J379" s="370"/>
      <c r="K379" s="381">
        <f t="shared" si="23"/>
        <v>-2.5777175298868671</v>
      </c>
      <c r="L379" s="383"/>
      <c r="M379" s="475">
        <v>0</v>
      </c>
      <c r="N379" s="384"/>
    </row>
    <row r="380" spans="1:14">
      <c r="A380" s="444">
        <f>Input!B396</f>
        <v>38361</v>
      </c>
      <c r="B380" s="44">
        <f t="shared" si="20"/>
        <v>9</v>
      </c>
      <c r="C380" s="380">
        <f>PMSplint!T424</f>
        <v>0.27402732745990005</v>
      </c>
      <c r="D380" s="500">
        <v>0.33856750769321325</v>
      </c>
      <c r="E380" s="381">
        <f t="shared" si="21"/>
        <v>0.33856750769321325</v>
      </c>
      <c r="F380" s="382">
        <f>TxSplint!N58</f>
        <v>1.1248802378209337</v>
      </c>
      <c r="G380" s="370"/>
      <c r="H380" s="381">
        <f t="shared" si="22"/>
        <v>1.1248802378209337</v>
      </c>
      <c r="I380" s="382">
        <f>TnSplint!N58</f>
        <v>-2.6013514438113967</v>
      </c>
      <c r="J380" s="370"/>
      <c r="K380" s="381">
        <f t="shared" si="23"/>
        <v>-2.6013514438113967</v>
      </c>
      <c r="L380" s="383"/>
      <c r="M380" s="475">
        <v>0</v>
      </c>
      <c r="N380" s="384"/>
    </row>
    <row r="381" spans="1:14">
      <c r="A381" s="444">
        <f>Input!B397</f>
        <v>38362</v>
      </c>
      <c r="B381" s="44">
        <f t="shared" si="20"/>
        <v>10</v>
      </c>
      <c r="C381" s="380">
        <f>PMSplint!T425</f>
        <v>0.27806192705532923</v>
      </c>
      <c r="D381" s="500">
        <v>0.26807099555554398</v>
      </c>
      <c r="E381" s="381">
        <f>IF(ISERROR(D381),C381,IF(D381="",C381,IF(D381&lt;0,0.01,D381)))</f>
        <v>0.26807099555554398</v>
      </c>
      <c r="F381" s="382">
        <f>TxSplint!N59</f>
        <v>1.1493558632542045</v>
      </c>
      <c r="G381" s="370"/>
      <c r="H381" s="381">
        <f t="shared" si="22"/>
        <v>1.1493558632542045</v>
      </c>
      <c r="I381" s="382">
        <f>TnSplint!N59</f>
        <v>-2.6289420755918695</v>
      </c>
      <c r="J381" s="370"/>
      <c r="K381" s="381">
        <f t="shared" si="23"/>
        <v>-2.6289420755918695</v>
      </c>
      <c r="L381" s="383"/>
      <c r="M381" s="475">
        <v>0</v>
      </c>
      <c r="N381" s="384"/>
    </row>
    <row r="382" spans="1:14">
      <c r="A382" s="444">
        <f>Input!B398</f>
        <v>38363</v>
      </c>
      <c r="B382" s="44">
        <f t="shared" si="20"/>
        <v>11</v>
      </c>
      <c r="C382" s="380">
        <f>PMSplint!T426</f>
        <v>0.28172843164030686</v>
      </c>
      <c r="D382" s="500">
        <v>0.16986159983607474</v>
      </c>
      <c r="E382" s="381">
        <f>IF(ISERROR(D382),C382,IF(D382="",C382,IF(D382&lt;0,0,D382)))</f>
        <v>0.16986159983607474</v>
      </c>
      <c r="F382" s="382">
        <f>TxSplint!N60</f>
        <v>1.1669985851023679</v>
      </c>
      <c r="G382" s="370"/>
      <c r="H382" s="381">
        <f t="shared" si="22"/>
        <v>1.1669985851023679</v>
      </c>
      <c r="I382" s="382">
        <f>TnSplint!N60</f>
        <v>-2.6614906915210645</v>
      </c>
      <c r="J382" s="370"/>
      <c r="K382" s="381">
        <f t="shared" si="23"/>
        <v>-2.6614906915210645</v>
      </c>
      <c r="L382" s="383"/>
      <c r="M382" s="475">
        <v>0</v>
      </c>
      <c r="N382" s="384"/>
    </row>
    <row r="383" spans="1:14">
      <c r="A383" s="444">
        <f>Input!B399</f>
        <v>38364</v>
      </c>
      <c r="B383" s="44">
        <f t="shared" si="20"/>
        <v>12</v>
      </c>
      <c r="C383" s="380">
        <f>PMSplint!T427</f>
        <v>0.28497490368157985</v>
      </c>
      <c r="D383" s="500">
        <v>0.23636606815417283</v>
      </c>
      <c r="E383" s="381">
        <f>IF(ISERROR(D383),C383,IF(D383="",C383,IF(D383&lt;0,0,D383)))</f>
        <v>0.23636606815417283</v>
      </c>
      <c r="F383" s="382">
        <f>TxSplint!N61</f>
        <v>1.1765399299203225</v>
      </c>
      <c r="G383" s="370"/>
      <c r="H383" s="381">
        <f t="shared" si="22"/>
        <v>1.1765399299203225</v>
      </c>
      <c r="I383" s="382">
        <f>TnSplint!N61</f>
        <v>-2.6999985578917607</v>
      </c>
      <c r="J383" s="370"/>
      <c r="K383" s="381">
        <f t="shared" si="23"/>
        <v>-2.6999985578917607</v>
      </c>
      <c r="L383" s="383"/>
      <c r="M383" s="475">
        <v>0</v>
      </c>
      <c r="N383" s="384"/>
    </row>
    <row r="384" spans="1:14">
      <c r="A384" s="444">
        <f>Input!B400</f>
        <v>38365</v>
      </c>
      <c r="B384" s="44">
        <f t="shared" si="20"/>
        <v>13</v>
      </c>
      <c r="C384" s="380">
        <f>PMSplint!T428</f>
        <v>0.28774940564589524</v>
      </c>
      <c r="D384" s="500">
        <v>0.19150336319124778</v>
      </c>
      <c r="E384" s="381">
        <f>IF(ISERROR(D384),C384,IF(D384="",C384,IF(D384&lt;0,0,D384)))</f>
        <v>0.19150336319124778</v>
      </c>
      <c r="F384" s="382">
        <f>TxSplint!N62</f>
        <v>1.1767114242629695</v>
      </c>
      <c r="G384" s="370"/>
      <c r="H384" s="381">
        <f t="shared" si="22"/>
        <v>1.1767114242629695</v>
      </c>
      <c r="I384" s="382">
        <f>TnSplint!N62</f>
        <v>-2.7454669409967365</v>
      </c>
      <c r="J384" s="370"/>
      <c r="K384" s="381">
        <f t="shared" si="23"/>
        <v>-2.7454669409967365</v>
      </c>
      <c r="L384" s="383"/>
      <c r="M384" s="475">
        <v>0</v>
      </c>
      <c r="N384" s="384"/>
    </row>
    <row r="385" spans="1:14">
      <c r="A385" s="444">
        <f>Input!B401</f>
        <v>38366</v>
      </c>
      <c r="B385" s="44">
        <f t="shared" si="20"/>
        <v>14</v>
      </c>
      <c r="C385" s="380">
        <f>PMSplint!T429</f>
        <v>0.28999999999999998</v>
      </c>
      <c r="D385" s="500">
        <v>0.16723499167272959</v>
      </c>
      <c r="E385" s="381">
        <f>IF(ISERROR(D385),C385,IF(D385="",C385,IF(D385&lt;0,0,D385)))</f>
        <v>0.16723499167272959</v>
      </c>
      <c r="F385" s="382">
        <f>TxSplint!N63</f>
        <v>1.1662445946852065</v>
      </c>
      <c r="G385" s="370"/>
      <c r="H385" s="381">
        <f t="shared" si="22"/>
        <v>1.1662445946852065</v>
      </c>
      <c r="I385" s="382">
        <f>TnSplint!N63</f>
        <v>-2.7988971071287714</v>
      </c>
      <c r="J385" s="370"/>
      <c r="K385" s="381">
        <f t="shared" si="23"/>
        <v>-2.7988971071287714</v>
      </c>
      <c r="L385" s="383"/>
      <c r="M385" s="475">
        <v>0</v>
      </c>
      <c r="N385" s="384"/>
    </row>
    <row r="386" spans="1:14">
      <c r="A386" s="444">
        <f>Input!B402</f>
        <v>38367</v>
      </c>
      <c r="B386" s="44">
        <f t="shared" si="20"/>
        <v>15</v>
      </c>
      <c r="C386" s="380">
        <f>PMSplint!T430</f>
        <v>0.29169662806993923</v>
      </c>
      <c r="D386" s="500">
        <v>0.18422309026983519</v>
      </c>
      <c r="E386" s="381">
        <f>IF(ISERROR(D386),C386,IF(D386="",C386,IF(D386&lt;0,0,D386)))</f>
        <v>0.18422309026983519</v>
      </c>
      <c r="F386" s="382">
        <f>TxSplint!N64</f>
        <v>1.143870967741935</v>
      </c>
      <c r="G386" s="370"/>
      <c r="H386" s="381">
        <f t="shared" si="22"/>
        <v>1.143870967741935</v>
      </c>
      <c r="I386" s="382">
        <f>TnSplint!N64</f>
        <v>-2.8612903225806448</v>
      </c>
      <c r="J386" s="370"/>
      <c r="K386" s="381">
        <f t="shared" si="23"/>
        <v>-2.8612903225806448</v>
      </c>
      <c r="L386" s="383"/>
      <c r="M386" s="475">
        <v>8</v>
      </c>
      <c r="N386" s="384"/>
    </row>
    <row r="387" spans="1:14">
      <c r="A387" s="444">
        <f>Input!B403</f>
        <v>38368</v>
      </c>
      <c r="B387" s="44">
        <f t="shared" si="20"/>
        <v>16</v>
      </c>
      <c r="C387" s="380">
        <f>PMSplint!T431</f>
        <v>0.29289674661895093</v>
      </c>
      <c r="D387" s="500">
        <v>0.27350161522473587</v>
      </c>
      <c r="E387" s="381">
        <f t="shared" ref="E387:E450" si="24">IF(ISERROR(D387),C387,IF(D387="",C387,IF(D387&lt;0,0,D387)))</f>
        <v>0.27350161522473587</v>
      </c>
      <c r="F387" s="382">
        <f>TxSplint!N65</f>
        <v>1.1087574733536161</v>
      </c>
      <c r="G387" s="370"/>
      <c r="H387" s="381">
        <f t="shared" si="22"/>
        <v>1.1087574733536161</v>
      </c>
      <c r="I387" s="382">
        <f>TnSplint!N65</f>
        <v>-2.9333086887511195</v>
      </c>
      <c r="J387" s="370"/>
      <c r="K387" s="381">
        <f t="shared" si="23"/>
        <v>-2.9333086887511195</v>
      </c>
      <c r="L387" s="383"/>
      <c r="M387" s="475">
        <v>0</v>
      </c>
      <c r="N387" s="384"/>
    </row>
    <row r="388" spans="1:14">
      <c r="A388" s="444">
        <f>Input!B404</f>
        <v>38369</v>
      </c>
      <c r="B388" s="44">
        <f t="shared" si="20"/>
        <v>17</v>
      </c>
      <c r="C388" s="380">
        <f>PMSplint!T432</f>
        <v>0.29367969126957127</v>
      </c>
      <c r="D388" s="500">
        <v>0.20161528149186347</v>
      </c>
      <c r="E388" s="381">
        <f t="shared" si="24"/>
        <v>0.20161528149186347</v>
      </c>
      <c r="F388" s="382">
        <f>TxSplint!N66</f>
        <v>1.0618126549029612</v>
      </c>
      <c r="G388" s="370"/>
      <c r="H388" s="381">
        <f t="shared" si="22"/>
        <v>1.0618126549029612</v>
      </c>
      <c r="I388" s="382">
        <f>TnSplint!N66</f>
        <v>-3.0142576474628928</v>
      </c>
      <c r="J388" s="370"/>
      <c r="K388" s="381">
        <f t="shared" si="23"/>
        <v>-3.0142576474628928</v>
      </c>
      <c r="L388" s="383"/>
      <c r="M388" s="475">
        <v>1</v>
      </c>
      <c r="N388" s="384"/>
    </row>
    <row r="389" spans="1:14">
      <c r="A389" s="444">
        <f>Input!B405</f>
        <v>38370</v>
      </c>
      <c r="B389" s="44">
        <f t="shared" si="20"/>
        <v>18</v>
      </c>
      <c r="C389" s="380">
        <f>PMSplint!T433</f>
        <v>0.2941247976443363</v>
      </c>
      <c r="D389" s="500">
        <v>0.2290955615783985</v>
      </c>
      <c r="E389" s="381">
        <f t="shared" si="24"/>
        <v>0.2290955615783985</v>
      </c>
      <c r="F389" s="382">
        <f>TxSplint!N67</f>
        <v>1.0043804591382428</v>
      </c>
      <c r="G389" s="370"/>
      <c r="H389" s="381">
        <f t="shared" si="22"/>
        <v>1.0043804591382428</v>
      </c>
      <c r="I389" s="382">
        <f>TnSplint!N67</f>
        <v>-3.1031034756446507</v>
      </c>
      <c r="J389" s="370"/>
      <c r="K389" s="381">
        <f t="shared" si="23"/>
        <v>-3.1031034756446507</v>
      </c>
      <c r="L389" s="383"/>
      <c r="M389" s="475">
        <v>2</v>
      </c>
      <c r="N389" s="384"/>
    </row>
    <row r="390" spans="1:14">
      <c r="A390" s="444">
        <f>Input!B406</f>
        <v>38371</v>
      </c>
      <c r="B390" s="44">
        <f t="shared" si="20"/>
        <v>19</v>
      </c>
      <c r="C390" s="380">
        <f>PMSplint!T434</f>
        <v>0.29431140136578215</v>
      </c>
      <c r="D390" s="500">
        <v>0.22358121107988677</v>
      </c>
      <c r="E390" s="381">
        <f t="shared" si="24"/>
        <v>0.22358121107988677</v>
      </c>
      <c r="F390" s="382">
        <f>TxSplint!N68</f>
        <v>0.93780483280773563</v>
      </c>
      <c r="G390" s="370"/>
      <c r="H390" s="381">
        <f t="shared" si="22"/>
        <v>0.93780483280773563</v>
      </c>
      <c r="I390" s="382">
        <f>TnSplint!N68</f>
        <v>-3.1988124502250739</v>
      </c>
      <c r="J390" s="370"/>
      <c r="K390" s="381">
        <f t="shared" si="23"/>
        <v>-3.1988124502250739</v>
      </c>
      <c r="L390" s="383"/>
      <c r="M390" s="475">
        <v>0</v>
      </c>
      <c r="N390" s="384"/>
    </row>
    <row r="391" spans="1:14">
      <c r="A391" s="444">
        <f>Input!B407</f>
        <v>38372</v>
      </c>
      <c r="B391" s="44">
        <f t="shared" ref="B391:B454" si="25">A391-DATE(YEAR(A391)-1,12,31)</f>
        <v>20</v>
      </c>
      <c r="C391" s="380">
        <f>PMSplint!T435</f>
        <v>0.29431883805644499</v>
      </c>
      <c r="D391" s="500">
        <v>0.26804063791324378</v>
      </c>
      <c r="E391" s="381">
        <f t="shared" si="24"/>
        <v>0.26804063791324378</v>
      </c>
      <c r="F391" s="382">
        <f>TxSplint!N69</f>
        <v>0.86342972265971241</v>
      </c>
      <c r="G391" s="370"/>
      <c r="H391" s="381">
        <f t="shared" si="22"/>
        <v>0.86342972265971241</v>
      </c>
      <c r="I391" s="382">
        <f>TnSplint!N69</f>
        <v>-3.3003508481328465</v>
      </c>
      <c r="J391" s="370"/>
      <c r="K391" s="381">
        <f t="shared" si="23"/>
        <v>-3.3003508481328465</v>
      </c>
      <c r="L391" s="383"/>
      <c r="M391" s="475">
        <v>5</v>
      </c>
      <c r="N391" s="384"/>
    </row>
    <row r="392" spans="1:14">
      <c r="A392" s="444">
        <f>Input!B408</f>
        <v>38373</v>
      </c>
      <c r="B392" s="44">
        <f t="shared" si="25"/>
        <v>21</v>
      </c>
      <c r="C392" s="380">
        <f>PMSplint!T436</f>
        <v>0.294226443338861</v>
      </c>
      <c r="D392" s="500">
        <v>0.28864348777884957</v>
      </c>
      <c r="E392" s="381">
        <f t="shared" si="24"/>
        <v>0.28864348777884957</v>
      </c>
      <c r="F392" s="382">
        <f>TxSplint!N70</f>
        <v>0.78259907544244722</v>
      </c>
      <c r="G392" s="370"/>
      <c r="H392" s="381">
        <f t="shared" ref="H392:H455" si="26">IF(G392="",F392,G392)</f>
        <v>0.78259907544244722</v>
      </c>
      <c r="I392" s="382">
        <f>TnSplint!N70</f>
        <v>-3.4066849462966511</v>
      </c>
      <c r="J392" s="370"/>
      <c r="K392" s="381">
        <f t="shared" ref="K392:K455" si="27">IF(J392="",I392,J392)</f>
        <v>-3.4066849462966511</v>
      </c>
      <c r="L392" s="383"/>
      <c r="M392" s="475">
        <v>0</v>
      </c>
      <c r="N392" s="384"/>
    </row>
    <row r="393" spans="1:14">
      <c r="A393" s="444">
        <f>Input!B409</f>
        <v>38374</v>
      </c>
      <c r="B393" s="44">
        <f t="shared" si="25"/>
        <v>22</v>
      </c>
      <c r="C393" s="380">
        <f>PMSplint!T437</f>
        <v>0.29411355283556617</v>
      </c>
      <c r="D393" s="500">
        <v>0.24714464880057616</v>
      </c>
      <c r="E393" s="381">
        <f t="shared" si="24"/>
        <v>0.24714464880057616</v>
      </c>
      <c r="F393" s="382">
        <f>TxSplint!N71</f>
        <v>0.69665683790421284</v>
      </c>
      <c r="G393" s="370"/>
      <c r="H393" s="381">
        <f t="shared" si="26"/>
        <v>0.69665683790421284</v>
      </c>
      <c r="I393" s="382">
        <f>TnSplint!N71</f>
        <v>-3.5167810216451714</v>
      </c>
      <c r="J393" s="370"/>
      <c r="K393" s="381">
        <f t="shared" si="27"/>
        <v>-3.5167810216451714</v>
      </c>
      <c r="L393" s="383"/>
      <c r="M393" s="475">
        <v>0</v>
      </c>
      <c r="N393" s="384"/>
    </row>
    <row r="394" spans="1:14">
      <c r="A394" s="444">
        <f>Input!B410</f>
        <v>38375</v>
      </c>
      <c r="B394" s="44">
        <f t="shared" si="25"/>
        <v>23</v>
      </c>
      <c r="C394" s="380">
        <f>PMSplint!T438</f>
        <v>0.29405950216909676</v>
      </c>
      <c r="D394" s="500">
        <v>0.26637772951772098</v>
      </c>
      <c r="E394" s="381">
        <f t="shared" si="24"/>
        <v>0.26637772951772098</v>
      </c>
      <c r="F394" s="382">
        <f>TxSplint!N72</f>
        <v>0.60694695679328281</v>
      </c>
      <c r="G394" s="370"/>
      <c r="H394" s="381">
        <f t="shared" si="26"/>
        <v>0.60694695679328281</v>
      </c>
      <c r="I394" s="382">
        <f>TnSplint!N72</f>
        <v>-3.6296053511070889</v>
      </c>
      <c r="J394" s="370"/>
      <c r="K394" s="381">
        <f t="shared" si="27"/>
        <v>-3.6296053511070889</v>
      </c>
      <c r="L394" s="383"/>
      <c r="M394" s="475">
        <v>0</v>
      </c>
      <c r="N394" s="384"/>
    </row>
    <row r="395" spans="1:14">
      <c r="A395" s="444">
        <f>Input!B411</f>
        <v>38376</v>
      </c>
      <c r="B395" s="44">
        <f t="shared" si="25"/>
        <v>24</v>
      </c>
      <c r="C395" s="380">
        <f>PMSplint!T439</f>
        <v>0.29414362696198881</v>
      </c>
      <c r="D395" s="500">
        <v>0.29309055308982468</v>
      </c>
      <c r="E395" s="381">
        <f t="shared" si="24"/>
        <v>0.29309055308982468</v>
      </c>
      <c r="F395" s="382">
        <f>TxSplint!N73</f>
        <v>0.51481337885793099</v>
      </c>
      <c r="G395" s="370"/>
      <c r="H395" s="381">
        <f t="shared" si="26"/>
        <v>0.51481337885793099</v>
      </c>
      <c r="I395" s="382">
        <f>TnSplint!N73</f>
        <v>-3.7441242116110889</v>
      </c>
      <c r="J395" s="370"/>
      <c r="K395" s="381">
        <f t="shared" si="27"/>
        <v>-3.7441242116110889</v>
      </c>
      <c r="L395" s="383"/>
      <c r="M395" s="475">
        <v>1</v>
      </c>
      <c r="N395" s="384"/>
    </row>
    <row r="396" spans="1:14">
      <c r="A396" s="444">
        <f>Input!B412</f>
        <v>38377</v>
      </c>
      <c r="B396" s="44">
        <f t="shared" si="25"/>
        <v>25</v>
      </c>
      <c r="C396" s="380">
        <f>PMSplint!T440</f>
        <v>0.29444526283677852</v>
      </c>
      <c r="D396" s="500">
        <v>0.31307647208209932</v>
      </c>
      <c r="E396" s="381">
        <f t="shared" si="24"/>
        <v>0.31307647208209932</v>
      </c>
      <c r="F396" s="382">
        <f>TxSplint!N74</f>
        <v>0.42160005084643126</v>
      </c>
      <c r="G396" s="370"/>
      <c r="H396" s="381">
        <f t="shared" si="26"/>
        <v>0.42160005084643126</v>
      </c>
      <c r="I396" s="382">
        <f>TnSplint!N74</f>
        <v>-3.8593038800858515</v>
      </c>
      <c r="J396" s="370"/>
      <c r="K396" s="381">
        <f t="shared" si="27"/>
        <v>-3.8593038800858515</v>
      </c>
      <c r="L396" s="383"/>
      <c r="M396" s="475">
        <v>0</v>
      </c>
      <c r="N396" s="384"/>
    </row>
    <row r="397" spans="1:14">
      <c r="A397" s="444">
        <f>Input!B413</f>
        <v>38378</v>
      </c>
      <c r="B397" s="44">
        <f t="shared" si="25"/>
        <v>26</v>
      </c>
      <c r="C397" s="380">
        <f>PMSplint!T441</f>
        <v>0.29504374541600198</v>
      </c>
      <c r="D397" s="500">
        <v>0.23124500724166852</v>
      </c>
      <c r="E397" s="381">
        <f t="shared" si="24"/>
        <v>0.23124500724166852</v>
      </c>
      <c r="F397" s="382">
        <f>TxSplint!N75</f>
        <v>0.32865091950705594</v>
      </c>
      <c r="G397" s="370"/>
      <c r="H397" s="381">
        <f t="shared" si="26"/>
        <v>0.32865091950705594</v>
      </c>
      <c r="I397" s="382">
        <f>TnSplint!N75</f>
        <v>-3.9741106334600618</v>
      </c>
      <c r="J397" s="370"/>
      <c r="K397" s="381">
        <f t="shared" si="27"/>
        <v>-3.9741106334600618</v>
      </c>
      <c r="L397" s="383"/>
      <c r="M397" s="475">
        <v>4</v>
      </c>
      <c r="N397" s="384"/>
    </row>
    <row r="398" spans="1:14">
      <c r="A398" s="444">
        <f>Input!B414</f>
        <v>38379</v>
      </c>
      <c r="B398" s="44">
        <f t="shared" si="25"/>
        <v>27</v>
      </c>
      <c r="C398" s="380">
        <f>PMSplint!T442</f>
        <v>0.29601841032219528</v>
      </c>
      <c r="D398" s="500">
        <v>0.2718053562480085</v>
      </c>
      <c r="E398" s="381">
        <f t="shared" si="24"/>
        <v>0.2718053562480085</v>
      </c>
      <c r="F398" s="382">
        <f>TxSplint!N76</f>
        <v>0.23730993158807878</v>
      </c>
      <c r="G398" s="370"/>
      <c r="H398" s="381">
        <f t="shared" si="26"/>
        <v>0.23730993158807878</v>
      </c>
      <c r="I398" s="382">
        <f>TnSplint!N76</f>
        <v>-4.0875107486624014</v>
      </c>
      <c r="J398" s="370"/>
      <c r="K398" s="381">
        <f t="shared" si="27"/>
        <v>-4.0875107486624014</v>
      </c>
      <c r="L398" s="383"/>
      <c r="M398" s="475">
        <v>0</v>
      </c>
      <c r="N398" s="384"/>
    </row>
    <row r="399" spans="1:14">
      <c r="A399" s="444">
        <f>Input!B415</f>
        <v>38380</v>
      </c>
      <c r="B399" s="44">
        <f t="shared" si="25"/>
        <v>28</v>
      </c>
      <c r="C399" s="380">
        <f>PMSplint!T443</f>
        <v>0.29744859317789463</v>
      </c>
      <c r="D399" s="500">
        <v>0.3157483417393101</v>
      </c>
      <c r="E399" s="381">
        <f t="shared" si="24"/>
        <v>0.3157483417393101</v>
      </c>
      <c r="F399" s="382">
        <f>TxSplint!N77</f>
        <v>0.14892103383777344</v>
      </c>
      <c r="G399" s="370"/>
      <c r="H399" s="381">
        <f t="shared" si="26"/>
        <v>0.14892103383777344</v>
      </c>
      <c r="I399" s="382">
        <f>TnSplint!N77</f>
        <v>-4.1984705026215563</v>
      </c>
      <c r="J399" s="370"/>
      <c r="K399" s="381">
        <f t="shared" si="27"/>
        <v>-4.1984705026215563</v>
      </c>
      <c r="L399" s="383"/>
      <c r="M399" s="475">
        <v>0</v>
      </c>
      <c r="N399" s="384"/>
    </row>
    <row r="400" spans="1:14">
      <c r="A400" s="444">
        <f>Input!B416</f>
        <v>38381</v>
      </c>
      <c r="B400" s="44">
        <f t="shared" si="25"/>
        <v>29</v>
      </c>
      <c r="C400" s="380">
        <f>PMSplint!T444</f>
        <v>0.29941362960563611</v>
      </c>
      <c r="D400" s="500">
        <v>0.7281902108347631</v>
      </c>
      <c r="E400" s="381">
        <f t="shared" si="24"/>
        <v>0.7281902108347631</v>
      </c>
      <c r="F400" s="382">
        <f>TxSplint!N78</f>
        <v>6.4828173004413681E-2</v>
      </c>
      <c r="G400" s="370"/>
      <c r="H400" s="381">
        <f t="shared" si="26"/>
        <v>6.4828173004413681E-2</v>
      </c>
      <c r="I400" s="382">
        <f>TnSplint!N78</f>
        <v>-4.305956172266205</v>
      </c>
      <c r="J400" s="370"/>
      <c r="K400" s="381">
        <f t="shared" si="27"/>
        <v>-4.305956172266205</v>
      </c>
      <c r="L400" s="383"/>
      <c r="M400" s="475">
        <v>4</v>
      </c>
      <c r="N400" s="384"/>
    </row>
    <row r="401" spans="1:14">
      <c r="A401" s="444">
        <f>Input!B417</f>
        <v>38382</v>
      </c>
      <c r="B401" s="44">
        <f t="shared" si="25"/>
        <v>30</v>
      </c>
      <c r="C401" s="380">
        <f>PMSplint!T445</f>
        <v>0.30199285522795583</v>
      </c>
      <c r="D401" s="500">
        <v>0.52118754722097038</v>
      </c>
      <c r="E401" s="381">
        <f t="shared" si="24"/>
        <v>0.52118754722097038</v>
      </c>
      <c r="F401" s="382">
        <f>TxSplint!N79</f>
        <v>-1.3624704163727519E-2</v>
      </c>
      <c r="G401" s="370"/>
      <c r="H401" s="381">
        <f t="shared" si="26"/>
        <v>-1.3624704163727519E-2</v>
      </c>
      <c r="I401" s="382">
        <f>TnSplint!N79</f>
        <v>-4.4089340345250339</v>
      </c>
      <c r="J401" s="370"/>
      <c r="K401" s="381">
        <f t="shared" si="27"/>
        <v>-4.4089340345250339</v>
      </c>
      <c r="L401" s="383"/>
      <c r="M401" s="475">
        <v>33</v>
      </c>
      <c r="N401" s="384"/>
    </row>
    <row r="402" spans="1:14">
      <c r="A402" s="444">
        <f>Input!B418</f>
        <v>38383</v>
      </c>
      <c r="B402" s="44">
        <f t="shared" si="25"/>
        <v>31</v>
      </c>
      <c r="C402" s="380">
        <f>PMSplint!T446</f>
        <v>0.30526560566738997</v>
      </c>
      <c r="D402" s="500">
        <v>0.4462916169068708</v>
      </c>
      <c r="E402" s="381">
        <f t="shared" si="24"/>
        <v>0.4462916169068708</v>
      </c>
      <c r="F402" s="382">
        <f>TxSplint!N80</f>
        <v>-8.5093650918376618E-2</v>
      </c>
      <c r="G402" s="370"/>
      <c r="H402" s="381">
        <f t="shared" si="26"/>
        <v>-8.5093650918376618E-2</v>
      </c>
      <c r="I402" s="382">
        <f>TnSplint!N80</f>
        <v>-4.5063703663267258</v>
      </c>
      <c r="J402" s="370"/>
      <c r="K402" s="381">
        <f t="shared" si="27"/>
        <v>-4.5063703663267258</v>
      </c>
      <c r="L402" s="383"/>
      <c r="M402" s="475">
        <v>0</v>
      </c>
      <c r="N402" s="384"/>
    </row>
    <row r="403" spans="1:14">
      <c r="A403" s="444">
        <f>Input!B419</f>
        <v>38384</v>
      </c>
      <c r="B403" s="44">
        <f t="shared" si="25"/>
        <v>32</v>
      </c>
      <c r="C403" s="380">
        <f>PMSplint!T447</f>
        <v>0.3093112165464747</v>
      </c>
      <c r="D403" s="500">
        <v>0.34063662232689529</v>
      </c>
      <c r="E403" s="381">
        <f t="shared" si="24"/>
        <v>0.34063662232689529</v>
      </c>
      <c r="F403" s="382">
        <f>TxSplint!N81</f>
        <v>-0.14823472051126008</v>
      </c>
      <c r="G403" s="370"/>
      <c r="H403" s="381">
        <f t="shared" si="26"/>
        <v>-0.14823472051126008</v>
      </c>
      <c r="I403" s="382">
        <f>TnSplint!N81</f>
        <v>-4.5972314445999611</v>
      </c>
      <c r="J403" s="370"/>
      <c r="K403" s="381">
        <f t="shared" si="27"/>
        <v>-4.5972314445999611</v>
      </c>
      <c r="L403" s="383"/>
      <c r="M403" s="475">
        <v>1</v>
      </c>
      <c r="N403" s="384"/>
    </row>
    <row r="404" spans="1:14">
      <c r="A404" s="444">
        <f>Input!B420</f>
        <v>38385</v>
      </c>
      <c r="B404" s="44">
        <f t="shared" si="25"/>
        <v>33</v>
      </c>
      <c r="C404" s="380">
        <f>PMSplint!T448</f>
        <v>0.31420902348774604</v>
      </c>
      <c r="D404" s="500">
        <v>0.58582927143330044</v>
      </c>
      <c r="E404" s="381">
        <f t="shared" si="24"/>
        <v>0.58582927143330044</v>
      </c>
      <c r="F404" s="382">
        <f>TxSplint!N82</f>
        <v>-0.20170396619410402</v>
      </c>
      <c r="G404" s="370"/>
      <c r="H404" s="381">
        <f t="shared" si="26"/>
        <v>-0.20170396619410402</v>
      </c>
      <c r="I404" s="382">
        <f>TnSplint!N82</f>
        <v>-4.6804835462734262</v>
      </c>
      <c r="J404" s="370"/>
      <c r="K404" s="381">
        <f t="shared" si="27"/>
        <v>-4.6804835462734262</v>
      </c>
      <c r="L404" s="383"/>
      <c r="M404" s="475">
        <v>15</v>
      </c>
      <c r="N404" s="384"/>
    </row>
    <row r="405" spans="1:14">
      <c r="A405" s="444">
        <f>Input!B421</f>
        <v>38386</v>
      </c>
      <c r="B405" s="44">
        <f t="shared" si="25"/>
        <v>34</v>
      </c>
      <c r="C405" s="380">
        <f>PMSplint!T449</f>
        <v>0.3200383621137402</v>
      </c>
      <c r="D405" s="500">
        <v>0.43557071163111061</v>
      </c>
      <c r="E405" s="381">
        <f t="shared" si="24"/>
        <v>0.43557071163111061</v>
      </c>
      <c r="F405" s="382">
        <f>TxSplint!N83</f>
        <v>-0.24415744121863603</v>
      </c>
      <c r="G405" s="370"/>
      <c r="H405" s="381">
        <f t="shared" si="26"/>
        <v>-0.24415744121863603</v>
      </c>
      <c r="I405" s="382">
        <f>TnSplint!N83</f>
        <v>-4.7550929482758022</v>
      </c>
      <c r="J405" s="370"/>
      <c r="K405" s="381">
        <f t="shared" si="27"/>
        <v>-4.7550929482758022</v>
      </c>
      <c r="L405" s="383"/>
      <c r="M405" s="475">
        <v>0</v>
      </c>
      <c r="N405" s="384"/>
    </row>
    <row r="406" spans="1:14">
      <c r="A406" s="444">
        <f>Input!B422</f>
        <v>38387</v>
      </c>
      <c r="B406" s="44">
        <f t="shared" si="25"/>
        <v>35</v>
      </c>
      <c r="C406" s="380">
        <f>PMSplint!T450</f>
        <v>0.32687856804699328</v>
      </c>
      <c r="D406" s="500">
        <v>0.29668482018556935</v>
      </c>
      <c r="E406" s="381">
        <f t="shared" si="24"/>
        <v>0.29668482018556935</v>
      </c>
      <c r="F406" s="382">
        <f>TxSplint!N84</f>
        <v>-0.27425119883658189</v>
      </c>
      <c r="G406" s="370"/>
      <c r="H406" s="381">
        <f t="shared" si="26"/>
        <v>-0.27425119883658189</v>
      </c>
      <c r="I406" s="382">
        <f>TnSplint!N84</f>
        <v>-4.820025927535772</v>
      </c>
      <c r="J406" s="370"/>
      <c r="K406" s="381">
        <f t="shared" si="27"/>
        <v>-4.820025927535772</v>
      </c>
      <c r="L406" s="383"/>
      <c r="M406" s="475">
        <v>0</v>
      </c>
      <c r="N406" s="384"/>
    </row>
    <row r="407" spans="1:14">
      <c r="A407" s="444">
        <f>Input!B423</f>
        <v>38388</v>
      </c>
      <c r="B407" s="44">
        <f t="shared" si="25"/>
        <v>36</v>
      </c>
      <c r="C407" s="380">
        <f>PMSplint!T451</f>
        <v>0.33480897691004141</v>
      </c>
      <c r="D407" s="500">
        <v>0.29163966521745566</v>
      </c>
      <c r="E407" s="381">
        <f t="shared" si="24"/>
        <v>0.29163966521745566</v>
      </c>
      <c r="F407" s="382">
        <f>TxSplint!N85</f>
        <v>-0.2906412922996684</v>
      </c>
      <c r="G407" s="370"/>
      <c r="H407" s="381">
        <f t="shared" si="26"/>
        <v>-0.2906412922996684</v>
      </c>
      <c r="I407" s="382">
        <f>TnSplint!N85</f>
        <v>-4.8742487609820184</v>
      </c>
      <c r="J407" s="370"/>
      <c r="K407" s="381">
        <f t="shared" si="27"/>
        <v>-4.8742487609820184</v>
      </c>
      <c r="L407" s="383"/>
      <c r="M407" s="475">
        <v>0</v>
      </c>
      <c r="N407" s="384"/>
    </row>
    <row r="408" spans="1:14">
      <c r="A408" s="444">
        <f>Input!B424</f>
        <v>38389</v>
      </c>
      <c r="B408" s="44">
        <f t="shared" si="25"/>
        <v>37</v>
      </c>
      <c r="C408" s="380">
        <f>PMSplint!T452</f>
        <v>0.34390892432542064</v>
      </c>
      <c r="D408" s="500">
        <v>0.28112812573389639</v>
      </c>
      <c r="E408" s="381">
        <f t="shared" si="24"/>
        <v>0.28112812573389639</v>
      </c>
      <c r="F408" s="382">
        <f>TxSplint!N86</f>
        <v>-0.29198377485962168</v>
      </c>
      <c r="G408" s="370"/>
      <c r="H408" s="381">
        <f t="shared" si="26"/>
        <v>-0.29198377485962168</v>
      </c>
      <c r="I408" s="382">
        <f>TnSplint!N86</f>
        <v>-4.9167277255432262</v>
      </c>
      <c r="J408" s="370"/>
      <c r="K408" s="381">
        <f t="shared" si="27"/>
        <v>-4.9167277255432262</v>
      </c>
      <c r="L408" s="383"/>
      <c r="M408" s="475">
        <v>0</v>
      </c>
      <c r="N408" s="384"/>
    </row>
    <row r="409" spans="1:14">
      <c r="A409" s="444">
        <f>Input!B425</f>
        <v>38390</v>
      </c>
      <c r="B409" s="44">
        <f t="shared" si="25"/>
        <v>38</v>
      </c>
      <c r="C409" s="380">
        <f>PMSplint!T453</f>
        <v>0.35425774591566722</v>
      </c>
      <c r="D409" s="500">
        <v>0.37718204673649641</v>
      </c>
      <c r="E409" s="381">
        <f t="shared" si="24"/>
        <v>0.37718204673649641</v>
      </c>
      <c r="F409" s="382">
        <f>TxSplint!N87</f>
        <v>-0.27693469976816898</v>
      </c>
      <c r="G409" s="370"/>
      <c r="H409" s="381">
        <f t="shared" si="26"/>
        <v>-0.27693469976816898</v>
      </c>
      <c r="I409" s="382">
        <f>TnSplint!N87</f>
        <v>-4.9464290981480774</v>
      </c>
      <c r="J409" s="370"/>
      <c r="K409" s="381">
        <f t="shared" si="27"/>
        <v>-4.9464290981480774</v>
      </c>
      <c r="L409" s="383"/>
      <c r="M409" s="475">
        <v>0</v>
      </c>
      <c r="N409" s="384"/>
    </row>
    <row r="410" spans="1:14">
      <c r="A410" s="444">
        <f>Input!B426</f>
        <v>38391</v>
      </c>
      <c r="B410" s="44">
        <f t="shared" si="25"/>
        <v>39</v>
      </c>
      <c r="C410" s="380">
        <f>PMSplint!T454</f>
        <v>0.36593477730331719</v>
      </c>
      <c r="D410" s="500">
        <v>0.40184909694054805</v>
      </c>
      <c r="E410" s="381">
        <f t="shared" si="24"/>
        <v>0.40184909694054805</v>
      </c>
      <c r="F410" s="382">
        <f>TxSplint!N88</f>
        <v>-0.24415012027703631</v>
      </c>
      <c r="G410" s="370"/>
      <c r="H410" s="381">
        <f t="shared" si="26"/>
        <v>-0.24415012027703631</v>
      </c>
      <c r="I410" s="382">
        <f>TnSplint!N88</f>
        <v>-4.9623191557252539</v>
      </c>
      <c r="J410" s="370"/>
      <c r="K410" s="381">
        <f t="shared" si="27"/>
        <v>-4.9623191557252539</v>
      </c>
      <c r="L410" s="383"/>
      <c r="M410" s="475">
        <v>0</v>
      </c>
      <c r="N410" s="384"/>
    </row>
    <row r="411" spans="1:14">
      <c r="A411" s="444">
        <f>Input!B427</f>
        <v>38392</v>
      </c>
      <c r="B411" s="44">
        <f t="shared" si="25"/>
        <v>40</v>
      </c>
      <c r="C411" s="380">
        <f>PMSplint!T455</f>
        <v>0.37901935411090687</v>
      </c>
      <c r="D411" s="500">
        <v>0.35697698080417573</v>
      </c>
      <c r="E411" s="381">
        <f t="shared" si="24"/>
        <v>0.35697698080417573</v>
      </c>
      <c r="F411" s="382">
        <f>TxSplint!N89</f>
        <v>-0.19228608963795113</v>
      </c>
      <c r="G411" s="370"/>
      <c r="H411" s="381">
        <f t="shared" si="26"/>
        <v>-0.19228608963795113</v>
      </c>
      <c r="I411" s="382">
        <f>TnSplint!N89</f>
        <v>-4.9633641752034405</v>
      </c>
      <c r="J411" s="370"/>
      <c r="K411" s="381">
        <f t="shared" si="27"/>
        <v>-4.9633641752034405</v>
      </c>
      <c r="L411" s="383"/>
      <c r="M411" s="475">
        <v>0</v>
      </c>
      <c r="N411" s="384"/>
    </row>
    <row r="412" spans="1:14">
      <c r="A412" s="444">
        <f>Input!B428</f>
        <v>38393</v>
      </c>
      <c r="B412" s="44">
        <f t="shared" si="25"/>
        <v>41</v>
      </c>
      <c r="C412" s="380">
        <f>PMSplint!T456</f>
        <v>0.39359081196097212</v>
      </c>
      <c r="D412" s="500">
        <v>0.40150119165400022</v>
      </c>
      <c r="E412" s="381">
        <f t="shared" si="24"/>
        <v>0.40150119165400022</v>
      </c>
      <c r="F412" s="382">
        <f>TxSplint!N90</f>
        <v>-0.11999866110263779</v>
      </c>
      <c r="G412" s="370"/>
      <c r="H412" s="381">
        <f t="shared" si="26"/>
        <v>-0.11999866110263779</v>
      </c>
      <c r="I412" s="382">
        <f>TnSplint!N90</f>
        <v>-4.9485304335113183</v>
      </c>
      <c r="J412" s="370"/>
      <c r="K412" s="381">
        <f t="shared" si="27"/>
        <v>-4.9485304335113183</v>
      </c>
      <c r="L412" s="383"/>
      <c r="M412" s="475">
        <v>0</v>
      </c>
      <c r="N412" s="384"/>
    </row>
    <row r="413" spans="1:14">
      <c r="A413" s="444">
        <f>Input!B429</f>
        <v>38394</v>
      </c>
      <c r="B413" s="44">
        <f t="shared" si="25"/>
        <v>42</v>
      </c>
      <c r="C413" s="380">
        <f>PMSplint!T457</f>
        <v>0.40972848647604926</v>
      </c>
      <c r="D413" s="500">
        <v>0.52184810169343809</v>
      </c>
      <c r="E413" s="381">
        <f t="shared" si="24"/>
        <v>0.52184810169343809</v>
      </c>
      <c r="F413" s="382">
        <f>TxSplint!N91</f>
        <v>-2.5943887922825759E-2</v>
      </c>
      <c r="G413" s="370"/>
      <c r="H413" s="381">
        <f t="shared" si="26"/>
        <v>-2.5943887922825759E-2</v>
      </c>
      <c r="I413" s="382">
        <f>TnSplint!N91</f>
        <v>-4.9167842075775718</v>
      </c>
      <c r="J413" s="370"/>
      <c r="K413" s="381">
        <f t="shared" si="27"/>
        <v>-4.9167842075775718</v>
      </c>
      <c r="L413" s="383"/>
      <c r="M413" s="475">
        <v>0</v>
      </c>
      <c r="N413" s="384"/>
    </row>
    <row r="414" spans="1:14">
      <c r="A414" s="444">
        <f>Input!B430</f>
        <v>38395</v>
      </c>
      <c r="B414" s="44">
        <f t="shared" si="25"/>
        <v>43</v>
      </c>
      <c r="C414" s="380">
        <f>PMSplint!T458</f>
        <v>0.42751171327867432</v>
      </c>
      <c r="D414" s="500">
        <v>0.36790181555226631</v>
      </c>
      <c r="E414" s="381">
        <f t="shared" si="24"/>
        <v>0.36790181555226631</v>
      </c>
      <c r="F414" s="382">
        <f>TxSplint!N92</f>
        <v>9.1222176649760733E-2</v>
      </c>
      <c r="G414" s="370"/>
      <c r="H414" s="381">
        <f t="shared" si="26"/>
        <v>9.1222176649760733E-2</v>
      </c>
      <c r="I414" s="382">
        <f>TnSplint!N92</f>
        <v>-4.8670917743308841</v>
      </c>
      <c r="J414" s="370"/>
      <c r="K414" s="381">
        <f t="shared" si="27"/>
        <v>-4.8670917743308841</v>
      </c>
      <c r="L414" s="383"/>
      <c r="M414" s="475">
        <v>0</v>
      </c>
      <c r="N414" s="384"/>
    </row>
    <row r="415" spans="1:14">
      <c r="A415" s="444">
        <f>Input!B431</f>
        <v>38396</v>
      </c>
      <c r="B415" s="44">
        <f t="shared" si="25"/>
        <v>44</v>
      </c>
      <c r="C415" s="380">
        <f>PMSplint!T459</f>
        <v>0.44701982799138351</v>
      </c>
      <c r="D415" s="500">
        <v>0.41322020685184946</v>
      </c>
      <c r="E415" s="381">
        <f t="shared" si="24"/>
        <v>0.41322020685184946</v>
      </c>
      <c r="F415" s="382">
        <f>TxSplint!N93</f>
        <v>0.23284347936339356</v>
      </c>
      <c r="G415" s="370"/>
      <c r="H415" s="381">
        <f t="shared" si="26"/>
        <v>0.23284347936339356</v>
      </c>
      <c r="I415" s="382">
        <f>TnSplint!N93</f>
        <v>-4.798419410699938</v>
      </c>
      <c r="J415" s="370"/>
      <c r="K415" s="381">
        <f t="shared" si="27"/>
        <v>-4.798419410699938</v>
      </c>
      <c r="L415" s="383"/>
      <c r="M415" s="475">
        <v>0</v>
      </c>
      <c r="N415" s="384"/>
    </row>
    <row r="416" spans="1:14">
      <c r="A416" s="444">
        <f>Input!B432</f>
        <v>38397</v>
      </c>
      <c r="B416" s="44">
        <f t="shared" si="25"/>
        <v>45</v>
      </c>
      <c r="C416" s="380">
        <f>PMSplint!T460</f>
        <v>0.46833216623671287</v>
      </c>
      <c r="D416" s="500">
        <v>0.39576125991328082</v>
      </c>
      <c r="E416" s="381">
        <f t="shared" si="24"/>
        <v>0.39576125991328082</v>
      </c>
      <c r="F416" s="382">
        <f>TxSplint!N94</f>
        <v>0.40026396696634847</v>
      </c>
      <c r="G416" s="370"/>
      <c r="H416" s="381">
        <f t="shared" si="26"/>
        <v>0.40026396696634847</v>
      </c>
      <c r="I416" s="382">
        <f>TnSplint!N94</f>
        <v>-4.7097333936134147</v>
      </c>
      <c r="J416" s="370"/>
      <c r="K416" s="381">
        <f t="shared" si="27"/>
        <v>-4.7097333936134147</v>
      </c>
      <c r="L416" s="383"/>
      <c r="M416" s="475">
        <v>0</v>
      </c>
      <c r="N416" s="384"/>
    </row>
    <row r="417" spans="1:14">
      <c r="A417" s="444">
        <f>Input!B433</f>
        <v>38398</v>
      </c>
      <c r="B417" s="44">
        <f t="shared" si="25"/>
        <v>46</v>
      </c>
      <c r="C417" s="380">
        <f>PMSplint!T461</f>
        <v>0.4914907237823789</v>
      </c>
      <c r="D417" s="500">
        <v>0.2110792416261621</v>
      </c>
      <c r="E417" s="381">
        <f t="shared" si="24"/>
        <v>0.2110792416261621</v>
      </c>
      <c r="F417" s="382">
        <f>TxSplint!N95</f>
        <v>0.59482758620689602</v>
      </c>
      <c r="G417" s="370"/>
      <c r="H417" s="381">
        <f t="shared" si="26"/>
        <v>0.59482758620689602</v>
      </c>
      <c r="I417" s="382">
        <f>TnSplint!N95</f>
        <v>-4.5999999999999996</v>
      </c>
      <c r="J417" s="370"/>
      <c r="K417" s="381">
        <f t="shared" si="27"/>
        <v>-4.5999999999999996</v>
      </c>
      <c r="L417" s="383"/>
      <c r="M417" s="475">
        <v>1</v>
      </c>
      <c r="N417" s="384"/>
    </row>
    <row r="418" spans="1:14">
      <c r="A418" s="444">
        <f>Input!B434</f>
        <v>38399</v>
      </c>
      <c r="B418" s="44">
        <f t="shared" si="25"/>
        <v>47</v>
      </c>
      <c r="C418" s="380">
        <f>PMSplint!T462</f>
        <v>0.51638813697681918</v>
      </c>
      <c r="D418" s="500">
        <v>0.16164582054947796</v>
      </c>
      <c r="E418" s="381">
        <f t="shared" si="24"/>
        <v>0.16164582054947796</v>
      </c>
      <c r="F418" s="382">
        <f>TxSplint!N96</f>
        <v>0.81735061678953991</v>
      </c>
      <c r="G418" s="370"/>
      <c r="H418" s="381">
        <f t="shared" si="26"/>
        <v>0.81735061678953991</v>
      </c>
      <c r="I418" s="382">
        <f>TnSplint!N96</f>
        <v>-4.4685599336081374</v>
      </c>
      <c r="J418" s="370"/>
      <c r="K418" s="381">
        <f t="shared" si="27"/>
        <v>-4.4685599336081374</v>
      </c>
      <c r="L418" s="383"/>
      <c r="M418" s="475">
        <v>0</v>
      </c>
      <c r="N418" s="384"/>
    </row>
    <row r="419" spans="1:14">
      <c r="A419" s="444">
        <f>Input!B435</f>
        <v>38400</v>
      </c>
      <c r="B419" s="44">
        <f t="shared" si="25"/>
        <v>48</v>
      </c>
      <c r="C419" s="380">
        <f>PMSplint!T463</f>
        <v>0.54287970231365179</v>
      </c>
      <c r="D419" s="500">
        <v>0.42844195262703466</v>
      </c>
      <c r="E419" s="381">
        <f t="shared" si="24"/>
        <v>0.42844195262703466</v>
      </c>
      <c r="F419" s="382">
        <f>TxSplint!N97</f>
        <v>1.0665386702436974</v>
      </c>
      <c r="G419" s="370"/>
      <c r="H419" s="381">
        <f t="shared" si="26"/>
        <v>1.0665386702436974</v>
      </c>
      <c r="I419" s="382">
        <f>TnSplint!N97</f>
        <v>-4.3162516054653235</v>
      </c>
      <c r="J419" s="370"/>
      <c r="K419" s="381">
        <f t="shared" si="27"/>
        <v>-4.3162516054653235</v>
      </c>
      <c r="L419" s="383"/>
      <c r="M419" s="475">
        <v>0</v>
      </c>
      <c r="N419" s="384"/>
    </row>
    <row r="420" spans="1:14">
      <c r="A420" s="444">
        <f>Input!B436</f>
        <v>38401</v>
      </c>
      <c r="B420" s="44">
        <f t="shared" si="25"/>
        <v>49</v>
      </c>
      <c r="C420" s="380">
        <f>PMSplint!T464</f>
        <v>0.57082071628649456</v>
      </c>
      <c r="D420" s="500">
        <v>0.27012829790668447</v>
      </c>
      <c r="E420" s="381">
        <f t="shared" si="24"/>
        <v>0.27012829790668447</v>
      </c>
      <c r="F420" s="382">
        <f>TxSplint!N98</f>
        <v>1.3405696910550136</v>
      </c>
      <c r="G420" s="370"/>
      <c r="H420" s="381">
        <f t="shared" si="26"/>
        <v>1.3405696910550136</v>
      </c>
      <c r="I420" s="382">
        <f>TnSplint!N98</f>
        <v>-4.1442878534188186</v>
      </c>
      <c r="J420" s="370"/>
      <c r="K420" s="381">
        <f t="shared" si="27"/>
        <v>-4.1442878534188186</v>
      </c>
      <c r="L420" s="383"/>
      <c r="M420" s="475">
        <v>28</v>
      </c>
      <c r="N420" s="384"/>
    </row>
    <row r="421" spans="1:14">
      <c r="A421" s="444">
        <f>Input!B437</f>
        <v>38402</v>
      </c>
      <c r="B421" s="44">
        <f t="shared" si="25"/>
        <v>50</v>
      </c>
      <c r="C421" s="380">
        <f>PMSplint!T465</f>
        <v>0.60006647538896551</v>
      </c>
      <c r="D421" s="500">
        <v>0.20151220317447621</v>
      </c>
      <c r="E421" s="381">
        <f t="shared" si="24"/>
        <v>0.20151220317447621</v>
      </c>
      <c r="F421" s="382">
        <f>TxSplint!N99</f>
        <v>1.6376216237091337</v>
      </c>
      <c r="G421" s="370"/>
      <c r="H421" s="381">
        <f t="shared" si="26"/>
        <v>1.6376216237091337</v>
      </c>
      <c r="I421" s="382">
        <f>TnSplint!N99</f>
        <v>-3.9538815153158806</v>
      </c>
      <c r="J421" s="370"/>
      <c r="K421" s="381">
        <f t="shared" si="27"/>
        <v>-3.9538815153158806</v>
      </c>
      <c r="L421" s="383"/>
      <c r="M421" s="475">
        <v>49</v>
      </c>
      <c r="N421" s="384"/>
    </row>
    <row r="422" spans="1:14">
      <c r="A422" s="444">
        <f>Input!B438</f>
        <v>38403</v>
      </c>
      <c r="B422" s="44">
        <f t="shared" si="25"/>
        <v>51</v>
      </c>
      <c r="C422" s="380">
        <f>PMSplint!T466</f>
        <v>0.63047227611468248</v>
      </c>
      <c r="D422" s="500">
        <v>0.40302323288783826</v>
      </c>
      <c r="E422" s="381">
        <f t="shared" si="24"/>
        <v>0.40302323288783826</v>
      </c>
      <c r="F422" s="382">
        <f>TxSplint!N100</f>
        <v>1.9558724126917051</v>
      </c>
      <c r="G422" s="370"/>
      <c r="H422" s="381">
        <f t="shared" si="26"/>
        <v>1.9558724126917051</v>
      </c>
      <c r="I422" s="382">
        <f>TnSplint!N100</f>
        <v>-3.7462454290037681</v>
      </c>
      <c r="J422" s="370"/>
      <c r="K422" s="381">
        <f t="shared" si="27"/>
        <v>-3.7462454290037681</v>
      </c>
      <c r="L422" s="383"/>
      <c r="M422" s="475">
        <v>4</v>
      </c>
      <c r="N422" s="384"/>
    </row>
    <row r="423" spans="1:14">
      <c r="A423" s="444">
        <f>Input!B439</f>
        <v>38404</v>
      </c>
      <c r="B423" s="44">
        <f t="shared" si="25"/>
        <v>52</v>
      </c>
      <c r="C423" s="380">
        <f>PMSplint!T467</f>
        <v>0.66189341495726361</v>
      </c>
      <c r="D423" s="500">
        <v>0.52880251796818045</v>
      </c>
      <c r="E423" s="381">
        <f t="shared" si="24"/>
        <v>0.52880251796818045</v>
      </c>
      <c r="F423" s="382">
        <f>TxSplint!N101</f>
        <v>2.2935000024883725</v>
      </c>
      <c r="G423" s="370"/>
      <c r="H423" s="381">
        <f t="shared" si="26"/>
        <v>2.2935000024883725</v>
      </c>
      <c r="I423" s="382">
        <f>TnSplint!N101</f>
        <v>-3.5225924323297408</v>
      </c>
      <c r="J423" s="370"/>
      <c r="K423" s="381">
        <f t="shared" si="27"/>
        <v>-3.5225924323297408</v>
      </c>
      <c r="L423" s="383"/>
      <c r="M423" s="475">
        <v>0</v>
      </c>
      <c r="N423" s="384"/>
    </row>
    <row r="424" spans="1:14">
      <c r="A424" s="444">
        <f>Input!B440</f>
        <v>38405</v>
      </c>
      <c r="B424" s="44">
        <f t="shared" si="25"/>
        <v>53</v>
      </c>
      <c r="C424" s="380">
        <f>PMSplint!T468</f>
        <v>0.69418518841032661</v>
      </c>
      <c r="D424" s="500">
        <v>0.35968353967974764</v>
      </c>
      <c r="E424" s="381">
        <f t="shared" si="24"/>
        <v>0.35968353967974764</v>
      </c>
      <c r="F424" s="382">
        <f>TxSplint!N102</f>
        <v>2.648682337584781</v>
      </c>
      <c r="G424" s="370"/>
      <c r="H424" s="381">
        <f t="shared" si="26"/>
        <v>2.648682337584781</v>
      </c>
      <c r="I424" s="382">
        <f>TnSplint!N102</f>
        <v>-3.2841353631410577</v>
      </c>
      <c r="J424" s="370"/>
      <c r="K424" s="381">
        <f t="shared" si="27"/>
        <v>-3.2841353631410577</v>
      </c>
      <c r="L424" s="383"/>
      <c r="M424" s="475">
        <v>0</v>
      </c>
      <c r="N424" s="384"/>
    </row>
    <row r="425" spans="1:14">
      <c r="A425" s="444">
        <f>Input!B441</f>
        <v>38406</v>
      </c>
      <c r="B425" s="44">
        <f t="shared" si="25"/>
        <v>54</v>
      </c>
      <c r="C425" s="380">
        <f>PMSplint!T469</f>
        <v>0.72720289296748974</v>
      </c>
      <c r="D425" s="500">
        <v>0.83176917696877539</v>
      </c>
      <c r="E425" s="381">
        <f t="shared" si="24"/>
        <v>0.83176917696877539</v>
      </c>
      <c r="F425" s="382">
        <f>TxSplint!N103</f>
        <v>3.0195973624665768</v>
      </c>
      <c r="G425" s="370"/>
      <c r="H425" s="381">
        <f t="shared" si="26"/>
        <v>3.0195973624665768</v>
      </c>
      <c r="I425" s="382">
        <f>TnSplint!N103</f>
        <v>-3.0320870592849758</v>
      </c>
      <c r="J425" s="370"/>
      <c r="K425" s="381">
        <f t="shared" si="27"/>
        <v>-3.0320870592849758</v>
      </c>
      <c r="L425" s="383"/>
      <c r="M425" s="475">
        <v>0</v>
      </c>
      <c r="N425" s="384"/>
    </row>
    <row r="426" spans="1:14">
      <c r="A426" s="444">
        <f>Input!B442</f>
        <v>38407</v>
      </c>
      <c r="B426" s="44">
        <f t="shared" si="25"/>
        <v>55</v>
      </c>
      <c r="C426" s="380">
        <f>PMSplint!T470</f>
        <v>0.76080182512237071</v>
      </c>
      <c r="D426" s="500">
        <v>0.65738291518508896</v>
      </c>
      <c r="E426" s="381">
        <f t="shared" si="24"/>
        <v>0.65738291518508896</v>
      </c>
      <c r="F426" s="382">
        <f>TxSplint!N104</f>
        <v>3.4044230216194067</v>
      </c>
      <c r="G426" s="370"/>
      <c r="H426" s="381">
        <f t="shared" si="26"/>
        <v>3.4044230216194067</v>
      </c>
      <c r="I426" s="382">
        <f>TnSplint!N104</f>
        <v>-2.7676603586087563</v>
      </c>
      <c r="J426" s="370"/>
      <c r="K426" s="381">
        <f t="shared" si="27"/>
        <v>-2.7676603586087563</v>
      </c>
      <c r="L426" s="383"/>
      <c r="M426" s="475">
        <v>4</v>
      </c>
      <c r="N426" s="384"/>
    </row>
    <row r="427" spans="1:14">
      <c r="A427" s="444">
        <f>Input!B443</f>
        <v>38408</v>
      </c>
      <c r="B427" s="44">
        <f t="shared" si="25"/>
        <v>56</v>
      </c>
      <c r="C427" s="380">
        <f>PMSplint!T471</f>
        <v>0.79483728136858767</v>
      </c>
      <c r="D427" s="500">
        <v>0.63911787151342603</v>
      </c>
      <c r="E427" s="381">
        <f t="shared" si="24"/>
        <v>0.63911787151342603</v>
      </c>
      <c r="F427" s="382">
        <f>TxSplint!N105</f>
        <v>3.8013372595289163</v>
      </c>
      <c r="G427" s="370"/>
      <c r="H427" s="381">
        <f t="shared" si="26"/>
        <v>3.8013372595289163</v>
      </c>
      <c r="I427" s="382">
        <f>TnSplint!N105</f>
        <v>-2.4920680989596562</v>
      </c>
      <c r="J427" s="370"/>
      <c r="K427" s="381">
        <f t="shared" si="27"/>
        <v>-2.4920680989596562</v>
      </c>
      <c r="L427" s="383"/>
      <c r="M427" s="475">
        <v>0</v>
      </c>
      <c r="N427" s="384"/>
    </row>
    <row r="428" spans="1:14">
      <c r="A428" s="444">
        <f>Input!B444</f>
        <v>38409</v>
      </c>
      <c r="B428" s="44">
        <f t="shared" si="25"/>
        <v>57</v>
      </c>
      <c r="C428" s="380">
        <f>PMSplint!T472</f>
        <v>0.82916455819975843</v>
      </c>
      <c r="D428" s="500">
        <v>0.79120631579769019</v>
      </c>
      <c r="E428" s="381">
        <f t="shared" si="24"/>
        <v>0.79120631579769019</v>
      </c>
      <c r="F428" s="382">
        <f>TxSplint!N106</f>
        <v>4.2085180206807493</v>
      </c>
      <c r="G428" s="370"/>
      <c r="H428" s="381">
        <f t="shared" si="26"/>
        <v>4.2085180206807493</v>
      </c>
      <c r="I428" s="382">
        <f>TnSplint!N106</f>
        <v>-2.2065231181849363</v>
      </c>
      <c r="J428" s="370"/>
      <c r="K428" s="381">
        <f t="shared" si="27"/>
        <v>-2.2065231181849363</v>
      </c>
      <c r="L428" s="383"/>
      <c r="M428" s="475">
        <v>11</v>
      </c>
      <c r="N428" s="384"/>
    </row>
    <row r="429" spans="1:14">
      <c r="A429" s="444">
        <f>Input!B445</f>
        <v>38410</v>
      </c>
      <c r="B429" s="44">
        <f t="shared" si="25"/>
        <v>58</v>
      </c>
      <c r="C429" s="380">
        <f>PMSplint!T473</f>
        <v>0.86363895210950103</v>
      </c>
      <c r="D429" s="500">
        <v>0.50865297494834683</v>
      </c>
      <c r="E429" s="381">
        <f t="shared" si="24"/>
        <v>0.50865297494834683</v>
      </c>
      <c r="F429" s="382">
        <f>TxSplint!N107</f>
        <v>4.6241432495605537</v>
      </c>
      <c r="G429" s="370"/>
      <c r="H429" s="381">
        <f t="shared" si="26"/>
        <v>4.6241432495605537</v>
      </c>
      <c r="I429" s="382">
        <f>TnSplint!N107</f>
        <v>-1.9122382541318537</v>
      </c>
      <c r="J429" s="370"/>
      <c r="K429" s="381">
        <f t="shared" si="27"/>
        <v>-1.9122382541318537</v>
      </c>
      <c r="L429" s="383"/>
      <c r="M429" s="475">
        <v>0</v>
      </c>
      <c r="N429" s="384"/>
    </row>
    <row r="430" spans="1:14">
      <c r="A430" s="444">
        <f>Input!B446</f>
        <v>38411</v>
      </c>
      <c r="B430" s="44">
        <f t="shared" si="25"/>
        <v>59</v>
      </c>
      <c r="C430" s="380">
        <f>PMSplint!T474</f>
        <v>0.8981157595914333</v>
      </c>
      <c r="D430" s="500">
        <v>0.83577336875360686</v>
      </c>
      <c r="E430" s="381">
        <f t="shared" si="24"/>
        <v>0.83577336875360686</v>
      </c>
      <c r="F430" s="382">
        <f>TxSplint!N108</f>
        <v>5.0463908906539734</v>
      </c>
      <c r="G430" s="370"/>
      <c r="H430" s="381">
        <f t="shared" si="26"/>
        <v>5.0463908906539734</v>
      </c>
      <c r="I430" s="382">
        <f>TnSplint!N108</f>
        <v>-1.6104263446476681</v>
      </c>
      <c r="J430" s="370"/>
      <c r="K430" s="381">
        <f t="shared" si="27"/>
        <v>-1.6104263446476681</v>
      </c>
      <c r="L430" s="383"/>
      <c r="M430" s="475">
        <v>0</v>
      </c>
      <c r="N430" s="384"/>
    </row>
    <row r="431" spans="1:14">
      <c r="A431" s="444">
        <f>Input!B447</f>
        <v>38412</v>
      </c>
      <c r="B431" s="44">
        <f t="shared" si="25"/>
        <v>60</v>
      </c>
      <c r="C431" s="380">
        <f>PMSplint!T475</f>
        <v>0.93245027713917328</v>
      </c>
      <c r="D431" s="500">
        <v>1.2856834746038537</v>
      </c>
      <c r="E431" s="381">
        <f t="shared" si="24"/>
        <v>1.2856834746038537</v>
      </c>
      <c r="F431" s="382">
        <f>TxSplint!N109</f>
        <v>5.4734388884466565</v>
      </c>
      <c r="G431" s="370"/>
      <c r="H431" s="381">
        <f t="shared" si="26"/>
        <v>5.4734388884466565</v>
      </c>
      <c r="I431" s="382">
        <f>TnSplint!N109</f>
        <v>-1.3023002275796387</v>
      </c>
      <c r="J431" s="370"/>
      <c r="K431" s="381">
        <f t="shared" si="27"/>
        <v>-1.3023002275796387</v>
      </c>
      <c r="L431" s="383"/>
      <c r="M431" s="475">
        <v>0</v>
      </c>
      <c r="N431" s="384"/>
    </row>
    <row r="432" spans="1:14">
      <c r="A432" s="444">
        <f>Input!B448</f>
        <v>38413</v>
      </c>
      <c r="B432" s="44">
        <f t="shared" si="25"/>
        <v>61</v>
      </c>
      <c r="C432" s="380">
        <f>PMSplint!T476</f>
        <v>0.96649780124633888</v>
      </c>
      <c r="D432" s="500">
        <v>0.92411704693883201</v>
      </c>
      <c r="E432" s="381">
        <f t="shared" si="24"/>
        <v>0.92411704693883201</v>
      </c>
      <c r="F432" s="382">
        <f>TxSplint!N110</f>
        <v>5.9034651874242474</v>
      </c>
      <c r="G432" s="370"/>
      <c r="H432" s="381">
        <f t="shared" si="26"/>
        <v>5.9034651874242474</v>
      </c>
      <c r="I432" s="382">
        <f>TnSplint!N110</f>
        <v>-0.98907274077502372</v>
      </c>
      <c r="J432" s="370"/>
      <c r="K432" s="381">
        <f t="shared" si="27"/>
        <v>-0.98907274077502372</v>
      </c>
      <c r="L432" s="383"/>
      <c r="M432" s="475">
        <v>0</v>
      </c>
      <c r="N432" s="384"/>
    </row>
    <row r="433" spans="1:14">
      <c r="A433" s="444">
        <f>Input!B449</f>
        <v>38414</v>
      </c>
      <c r="B433" s="44">
        <f t="shared" si="25"/>
        <v>62</v>
      </c>
      <c r="C433" s="380">
        <f>PMSplint!T477</f>
        <v>1.0001136284065482</v>
      </c>
      <c r="D433" s="500">
        <v>1.0608928706242404</v>
      </c>
      <c r="E433" s="381">
        <f t="shared" si="24"/>
        <v>1.0608928706242404</v>
      </c>
      <c r="F433" s="382">
        <f>TxSplint!N111</f>
        <v>6.3346477320723906</v>
      </c>
      <c r="G433" s="370"/>
      <c r="H433" s="381">
        <f t="shared" si="26"/>
        <v>6.3346477320723906</v>
      </c>
      <c r="I433" s="382">
        <f>TnSplint!N111</f>
        <v>-0.6719567220810827</v>
      </c>
      <c r="J433" s="370"/>
      <c r="K433" s="381">
        <f t="shared" si="27"/>
        <v>-0.6719567220810827</v>
      </c>
      <c r="L433" s="383"/>
      <c r="M433" s="475">
        <v>0</v>
      </c>
      <c r="N433" s="384"/>
    </row>
    <row r="434" spans="1:14">
      <c r="A434" s="444">
        <f>Input!B450</f>
        <v>38415</v>
      </c>
      <c r="B434" s="44">
        <f t="shared" si="25"/>
        <v>63</v>
      </c>
      <c r="C434" s="380">
        <f>PMSplint!T478</f>
        <v>1.0331530551134189</v>
      </c>
      <c r="D434" s="500">
        <v>0.96808272715190891</v>
      </c>
      <c r="E434" s="381">
        <f t="shared" si="24"/>
        <v>0.96808272715190891</v>
      </c>
      <c r="F434" s="382">
        <f>TxSplint!N112</f>
        <v>6.7651644668767341</v>
      </c>
      <c r="G434" s="370"/>
      <c r="H434" s="381">
        <f t="shared" si="26"/>
        <v>6.7651644668767341</v>
      </c>
      <c r="I434" s="382">
        <f>TnSplint!N112</f>
        <v>-0.35216500934507389</v>
      </c>
      <c r="J434" s="370"/>
      <c r="K434" s="381">
        <f t="shared" si="27"/>
        <v>-0.35216500934507389</v>
      </c>
      <c r="L434" s="383"/>
      <c r="M434" s="475">
        <v>4</v>
      </c>
      <c r="N434" s="384"/>
    </row>
    <row r="435" spans="1:14">
      <c r="A435" s="444">
        <f>Input!B451</f>
        <v>38416</v>
      </c>
      <c r="B435" s="44">
        <f t="shared" si="25"/>
        <v>64</v>
      </c>
      <c r="C435" s="380">
        <f>PMSplint!T479</f>
        <v>1.0654713778605693</v>
      </c>
      <c r="D435" s="500">
        <v>0.98359335507564682</v>
      </c>
      <c r="E435" s="381">
        <f t="shared" si="24"/>
        <v>0.98359335507564682</v>
      </c>
      <c r="F435" s="382">
        <f>TxSplint!N113</f>
        <v>7.1931933363229215</v>
      </c>
      <c r="G435" s="370"/>
      <c r="H435" s="381">
        <f t="shared" si="26"/>
        <v>7.1931933363229215</v>
      </c>
      <c r="I435" s="382">
        <f>TnSplint!N113</f>
        <v>-3.091044041425689E-2</v>
      </c>
      <c r="J435" s="370"/>
      <c r="K435" s="381">
        <f t="shared" si="27"/>
        <v>-3.091044041425689E-2</v>
      </c>
      <c r="L435" s="383"/>
      <c r="M435" s="475">
        <v>0</v>
      </c>
      <c r="N435" s="384"/>
    </row>
    <row r="436" spans="1:14">
      <c r="A436" s="444">
        <f>Input!B452</f>
        <v>38417</v>
      </c>
      <c r="B436" s="44">
        <f t="shared" si="25"/>
        <v>65</v>
      </c>
      <c r="C436" s="380">
        <f>PMSplint!T480</f>
        <v>1.096923893141617</v>
      </c>
      <c r="D436" s="500">
        <v>1.2950054322307294</v>
      </c>
      <c r="E436" s="381">
        <f t="shared" si="24"/>
        <v>1.2950054322307294</v>
      </c>
      <c r="F436" s="382">
        <f>TxSplint!N114</f>
        <v>7.6169122848965989</v>
      </c>
      <c r="G436" s="370"/>
      <c r="H436" s="381">
        <f t="shared" si="26"/>
        <v>7.6169122848965989</v>
      </c>
      <c r="I436" s="382">
        <f>TnSplint!N114</f>
        <v>0.29059414686411056</v>
      </c>
      <c r="J436" s="370"/>
      <c r="K436" s="381">
        <f t="shared" si="27"/>
        <v>0.29059414686411056</v>
      </c>
      <c r="L436" s="383"/>
      <c r="M436" s="475">
        <v>0</v>
      </c>
      <c r="N436" s="384"/>
    </row>
    <row r="437" spans="1:14">
      <c r="A437" s="444">
        <f>Input!B453</f>
        <v>38418</v>
      </c>
      <c r="B437" s="44">
        <f t="shared" si="25"/>
        <v>66</v>
      </c>
      <c r="C437" s="380">
        <f>PMSplint!T481</f>
        <v>1.1273658974501801</v>
      </c>
      <c r="D437" s="500">
        <v>1.5724939236484043</v>
      </c>
      <c r="E437" s="381">
        <f t="shared" si="24"/>
        <v>1.5724939236484043</v>
      </c>
      <c r="F437" s="382">
        <f>TxSplint!N115</f>
        <v>8.0344992570834144</v>
      </c>
      <c r="G437" s="370"/>
      <c r="H437" s="381">
        <f t="shared" si="26"/>
        <v>8.0344992570834144</v>
      </c>
      <c r="I437" s="382">
        <f>TnSplint!N115</f>
        <v>0.61113591464276817</v>
      </c>
      <c r="J437" s="370"/>
      <c r="K437" s="381">
        <f t="shared" si="27"/>
        <v>0.61113591464276817</v>
      </c>
      <c r="L437" s="383"/>
      <c r="M437" s="475">
        <v>0</v>
      </c>
      <c r="N437" s="384"/>
    </row>
    <row r="438" spans="1:14">
      <c r="A438" s="444">
        <f>Input!B454</f>
        <v>38419</v>
      </c>
      <c r="B438" s="44">
        <f t="shared" si="25"/>
        <v>67</v>
      </c>
      <c r="C438" s="380">
        <f>PMSplint!T482</f>
        <v>1.1566526872798768</v>
      </c>
      <c r="D438" s="500">
        <v>1.0836619209021265</v>
      </c>
      <c r="E438" s="381">
        <f t="shared" si="24"/>
        <v>1.0836619209021265</v>
      </c>
      <c r="F438" s="382">
        <f>TxSplint!N116</f>
        <v>8.4441321973690115</v>
      </c>
      <c r="G438" s="370"/>
      <c r="H438" s="381">
        <f t="shared" si="26"/>
        <v>8.4441321973690115</v>
      </c>
      <c r="I438" s="382">
        <f>TnSplint!N116</f>
        <v>0.92950202507445789</v>
      </c>
      <c r="J438" s="370"/>
      <c r="K438" s="381">
        <f t="shared" si="27"/>
        <v>0.92950202507445789</v>
      </c>
      <c r="L438" s="383"/>
      <c r="M438" s="475">
        <v>0</v>
      </c>
      <c r="N438" s="384"/>
    </row>
    <row r="439" spans="1:14">
      <c r="A439" s="444">
        <f>Input!B455</f>
        <v>38420</v>
      </c>
      <c r="B439" s="44">
        <f t="shared" si="25"/>
        <v>68</v>
      </c>
      <c r="C439" s="380">
        <f>PMSplint!T483</f>
        <v>1.1846395591243248</v>
      </c>
      <c r="D439" s="500">
        <v>1.1424230304692966</v>
      </c>
      <c r="E439" s="381">
        <f t="shared" si="24"/>
        <v>1.1424230304692966</v>
      </c>
      <c r="F439" s="382">
        <f>TxSplint!N117</f>
        <v>8.8439890502390384</v>
      </c>
      <c r="G439" s="370"/>
      <c r="H439" s="381">
        <f t="shared" si="26"/>
        <v>8.8439890502390384</v>
      </c>
      <c r="I439" s="382">
        <f>TnSplint!N117</f>
        <v>1.2444796403119209</v>
      </c>
      <c r="J439" s="370"/>
      <c r="K439" s="381">
        <f t="shared" si="27"/>
        <v>1.2444796403119209</v>
      </c>
      <c r="L439" s="383"/>
      <c r="M439" s="475">
        <v>0.4</v>
      </c>
      <c r="N439" s="384"/>
    </row>
    <row r="440" spans="1:14">
      <c r="A440" s="444">
        <f>Input!B456</f>
        <v>38421</v>
      </c>
      <c r="B440" s="44">
        <f t="shared" si="25"/>
        <v>69</v>
      </c>
      <c r="C440" s="380">
        <f>PMSplint!T484</f>
        <v>1.211181809477142</v>
      </c>
      <c r="D440" s="500">
        <v>1.3410329982487244</v>
      </c>
      <c r="E440" s="381">
        <f t="shared" si="24"/>
        <v>1.3410329982487244</v>
      </c>
      <c r="F440" s="382">
        <f>TxSplint!N118</f>
        <v>9.2322477601791366</v>
      </c>
      <c r="G440" s="370"/>
      <c r="H440" s="381">
        <f t="shared" si="26"/>
        <v>9.2322477601791366</v>
      </c>
      <c r="I440" s="382">
        <f>TnSplint!N118</f>
        <v>1.5548559225078984</v>
      </c>
      <c r="J440" s="370"/>
      <c r="K440" s="381">
        <f t="shared" si="27"/>
        <v>1.5548559225078984</v>
      </c>
      <c r="L440" s="383"/>
      <c r="M440" s="475">
        <v>0</v>
      </c>
      <c r="N440" s="384"/>
    </row>
    <row r="441" spans="1:14">
      <c r="A441" s="444">
        <f>Input!B457</f>
        <v>38422</v>
      </c>
      <c r="B441" s="44">
        <f t="shared" si="25"/>
        <v>70</v>
      </c>
      <c r="C441" s="380">
        <f>PMSplint!T485</f>
        <v>1.2361347348319465</v>
      </c>
      <c r="D441" s="500">
        <v>1.1150450964331124</v>
      </c>
      <c r="E441" s="381">
        <f t="shared" si="24"/>
        <v>1.1150450964331124</v>
      </c>
      <c r="F441" s="382">
        <f>TxSplint!N119</f>
        <v>9.6070862716749552</v>
      </c>
      <c r="G441" s="370"/>
      <c r="H441" s="381">
        <f t="shared" si="26"/>
        <v>9.6070862716749552</v>
      </c>
      <c r="I441" s="382">
        <f>TnSplint!N119</f>
        <v>1.85941803381513</v>
      </c>
      <c r="J441" s="370"/>
      <c r="K441" s="381">
        <f t="shared" si="27"/>
        <v>1.85941803381513</v>
      </c>
      <c r="L441" s="383"/>
      <c r="M441" s="475">
        <v>0</v>
      </c>
      <c r="N441" s="384"/>
    </row>
    <row r="442" spans="1:14">
      <c r="A442" s="444">
        <f>Input!B458</f>
        <v>38423</v>
      </c>
      <c r="B442" s="44">
        <f t="shared" si="25"/>
        <v>71</v>
      </c>
      <c r="C442" s="380">
        <f>PMSplint!T486</f>
        <v>1.2593536316823561</v>
      </c>
      <c r="D442" s="500">
        <v>1.6884894294026032</v>
      </c>
      <c r="E442" s="381">
        <f t="shared" si="24"/>
        <v>1.6884894294026032</v>
      </c>
      <c r="F442" s="382">
        <f>TxSplint!N120</f>
        <v>9.9666825292121359</v>
      </c>
      <c r="G442" s="370"/>
      <c r="H442" s="381">
        <f t="shared" si="26"/>
        <v>9.9666825292121359</v>
      </c>
      <c r="I442" s="382">
        <f>TnSplint!N120</f>
        <v>2.1569531363863588</v>
      </c>
      <c r="J442" s="370"/>
      <c r="K442" s="381">
        <f t="shared" si="27"/>
        <v>2.1569531363863588</v>
      </c>
      <c r="L442" s="383"/>
      <c r="M442" s="475">
        <v>0</v>
      </c>
      <c r="N442" s="384"/>
    </row>
    <row r="443" spans="1:14">
      <c r="A443" s="444">
        <f>Input!B459</f>
        <v>38424</v>
      </c>
      <c r="B443" s="44">
        <f t="shared" si="25"/>
        <v>72</v>
      </c>
      <c r="C443" s="380">
        <f>PMSplint!T487</f>
        <v>1.2806937965219891</v>
      </c>
      <c r="D443" s="500">
        <v>1.5557057936289045</v>
      </c>
      <c r="E443" s="381">
        <f t="shared" si="24"/>
        <v>1.5557057936289045</v>
      </c>
      <c r="F443" s="382">
        <f>TxSplint!N121</f>
        <v>10.309214477276331</v>
      </c>
      <c r="G443" s="370"/>
      <c r="H443" s="381">
        <f t="shared" si="26"/>
        <v>10.309214477276331</v>
      </c>
      <c r="I443" s="382">
        <f>TnSplint!N121</f>
        <v>2.4462483923743248</v>
      </c>
      <c r="J443" s="370"/>
      <c r="K443" s="381">
        <f t="shared" si="27"/>
        <v>2.4462483923743248</v>
      </c>
      <c r="L443" s="383"/>
      <c r="M443" s="475">
        <v>1.2</v>
      </c>
      <c r="N443" s="384"/>
    </row>
    <row r="444" spans="1:14">
      <c r="A444" s="444">
        <f>Input!B460</f>
        <v>38425</v>
      </c>
      <c r="B444" s="44">
        <f t="shared" si="25"/>
        <v>73</v>
      </c>
      <c r="C444" s="380">
        <f>PMSplint!T488</f>
        <v>1.3000105258444627</v>
      </c>
      <c r="D444" s="500">
        <v>1.3808451880317716</v>
      </c>
      <c r="E444" s="381">
        <f t="shared" si="24"/>
        <v>1.3808451880317716</v>
      </c>
      <c r="F444" s="382">
        <f>TxSplint!N122</f>
        <v>10.632860060353181</v>
      </c>
      <c r="G444" s="370"/>
      <c r="H444" s="381">
        <f t="shared" si="26"/>
        <v>10.632860060353181</v>
      </c>
      <c r="I444" s="382">
        <f>TnSplint!N122</f>
        <v>2.7260909639317696</v>
      </c>
      <c r="J444" s="370"/>
      <c r="K444" s="381">
        <f t="shared" si="27"/>
        <v>2.7260909639317696</v>
      </c>
      <c r="L444" s="383"/>
      <c r="M444" s="475">
        <v>0</v>
      </c>
      <c r="N444" s="384"/>
    </row>
    <row r="445" spans="1:14">
      <c r="A445" s="444">
        <f>Input!B461</f>
        <v>38426</v>
      </c>
      <c r="B445" s="44">
        <f t="shared" si="25"/>
        <v>74</v>
      </c>
      <c r="C445" s="380">
        <f>PMSplint!T489</f>
        <v>1.3171591161433958</v>
      </c>
      <c r="D445" s="500">
        <v>1.4003264529478212</v>
      </c>
      <c r="E445" s="381">
        <f t="shared" si="24"/>
        <v>1.4003264529478212</v>
      </c>
      <c r="F445" s="382">
        <f>TxSplint!N123</f>
        <v>10.935797222928336</v>
      </c>
      <c r="G445" s="370"/>
      <c r="H445" s="381">
        <f t="shared" si="26"/>
        <v>10.935797222928336</v>
      </c>
      <c r="I445" s="382">
        <f>TnSplint!N123</f>
        <v>2.9952680132114344</v>
      </c>
      <c r="J445" s="370"/>
      <c r="K445" s="381">
        <f t="shared" si="27"/>
        <v>2.9952680132114344</v>
      </c>
      <c r="L445" s="383"/>
      <c r="M445" s="475">
        <v>0</v>
      </c>
      <c r="N445" s="384"/>
    </row>
    <row r="446" spans="1:14">
      <c r="A446" s="444">
        <f>Input!B462</f>
        <v>38427</v>
      </c>
      <c r="B446" s="44">
        <f t="shared" si="25"/>
        <v>75</v>
      </c>
      <c r="C446" s="380">
        <f>PMSplint!T490</f>
        <v>1.3319948639124057</v>
      </c>
      <c r="D446" s="500">
        <v>0.98386499581817932</v>
      </c>
      <c r="E446" s="381">
        <f t="shared" si="24"/>
        <v>0.98386499581817932</v>
      </c>
      <c r="F446" s="382">
        <f>TxSplint!N124</f>
        <v>11.216203909487437</v>
      </c>
      <c r="G446" s="370"/>
      <c r="H446" s="381">
        <f t="shared" si="26"/>
        <v>11.216203909487437</v>
      </c>
      <c r="I446" s="382">
        <f>TnSplint!N124</f>
        <v>3.2525667023660594</v>
      </c>
      <c r="J446" s="370"/>
      <c r="K446" s="381">
        <f t="shared" si="27"/>
        <v>3.2525667023660594</v>
      </c>
      <c r="L446" s="383"/>
      <c r="M446" s="475">
        <v>0</v>
      </c>
      <c r="N446" s="384"/>
    </row>
    <row r="447" spans="1:14">
      <c r="A447" s="444">
        <f>Input!B463</f>
        <v>38428</v>
      </c>
      <c r="B447" s="44">
        <f t="shared" si="25"/>
        <v>76</v>
      </c>
      <c r="C447" s="380">
        <f>PMSplint!T491</f>
        <v>1.3444261383962139</v>
      </c>
      <c r="D447" s="500">
        <v>1.3348911220504578</v>
      </c>
      <c r="E447" s="381">
        <f t="shared" si="24"/>
        <v>1.3348911220504578</v>
      </c>
      <c r="F447" s="382">
        <f>TxSplint!N125</f>
        <v>11.472258064516131</v>
      </c>
      <c r="G447" s="370"/>
      <c r="H447" s="381">
        <f t="shared" si="26"/>
        <v>11.472258064516131</v>
      </c>
      <c r="I447" s="382">
        <f>TnSplint!N125</f>
        <v>3.4967741935483869</v>
      </c>
      <c r="J447" s="370"/>
      <c r="K447" s="381">
        <f t="shared" si="27"/>
        <v>3.4967741935483869</v>
      </c>
      <c r="L447" s="383"/>
      <c r="M447" s="475">
        <v>0</v>
      </c>
      <c r="N447" s="384"/>
    </row>
    <row r="448" spans="1:14">
      <c r="A448" s="444">
        <f>Input!B464</f>
        <v>38429</v>
      </c>
      <c r="B448" s="44">
        <f t="shared" si="25"/>
        <v>77</v>
      </c>
      <c r="C448" s="380">
        <f>PMSplint!T492</f>
        <v>1.3545735998439545</v>
      </c>
      <c r="D448" s="500">
        <v>1.3733747862333849</v>
      </c>
      <c r="E448" s="381">
        <f t="shared" si="24"/>
        <v>1.3733747862333849</v>
      </c>
      <c r="F448" s="382">
        <f>TxSplint!N126</f>
        <v>11.702652655616276</v>
      </c>
      <c r="G448" s="370"/>
      <c r="H448" s="381">
        <f t="shared" si="26"/>
        <v>11.702652655616276</v>
      </c>
      <c r="I448" s="382">
        <f>TnSplint!N126</f>
        <v>3.7269821011865214</v>
      </c>
      <c r="J448" s="370"/>
      <c r="K448" s="381">
        <f t="shared" si="27"/>
        <v>3.7269821011865214</v>
      </c>
      <c r="L448" s="383"/>
      <c r="M448" s="475">
        <v>0</v>
      </c>
      <c r="N448" s="384"/>
    </row>
    <row r="449" spans="1:14">
      <c r="A449" s="444">
        <f>Input!B465</f>
        <v>38430</v>
      </c>
      <c r="B449" s="44">
        <f t="shared" si="25"/>
        <v>78</v>
      </c>
      <c r="C449" s="380">
        <f>PMSplint!T493</f>
        <v>1.3626109812558653</v>
      </c>
      <c r="D449" s="500">
        <v>1.5527441502753514</v>
      </c>
      <c r="E449" s="381">
        <f t="shared" si="24"/>
        <v>1.5527441502753514</v>
      </c>
      <c r="F449" s="382">
        <f>TxSplint!N127</f>
        <v>11.90814074285456</v>
      </c>
      <c r="G449" s="370"/>
      <c r="H449" s="381">
        <f t="shared" si="26"/>
        <v>11.90814074285456</v>
      </c>
      <c r="I449" s="382">
        <f>TnSplint!N127</f>
        <v>3.9434998488100241</v>
      </c>
      <c r="J449" s="370"/>
      <c r="K449" s="381">
        <f t="shared" si="27"/>
        <v>3.9434998488100241</v>
      </c>
      <c r="L449" s="383"/>
      <c r="M449" s="475">
        <v>5.6</v>
      </c>
      <c r="N449" s="384"/>
    </row>
    <row r="450" spans="1:14">
      <c r="A450" s="444">
        <f>Input!B466</f>
        <v>38431</v>
      </c>
      <c r="B450" s="44">
        <f t="shared" si="25"/>
        <v>79</v>
      </c>
      <c r="C450" s="380">
        <f>PMSplint!T494</f>
        <v>1.3687120156321837</v>
      </c>
      <c r="D450" s="500">
        <v>1.2539160732494974</v>
      </c>
      <c r="E450" s="381">
        <f t="shared" si="24"/>
        <v>1.2539160732494974</v>
      </c>
      <c r="F450" s="382">
        <f>TxSplint!N128</f>
        <v>12.089990409413888</v>
      </c>
      <c r="G450" s="370"/>
      <c r="H450" s="381">
        <f t="shared" si="26"/>
        <v>12.089990409413888</v>
      </c>
      <c r="I450" s="382">
        <f>TnSplint!N128</f>
        <v>4.146941312223821</v>
      </c>
      <c r="J450" s="370"/>
      <c r="K450" s="381">
        <f t="shared" si="27"/>
        <v>4.146941312223821</v>
      </c>
      <c r="L450" s="383"/>
      <c r="M450" s="475">
        <v>0</v>
      </c>
      <c r="N450" s="384"/>
    </row>
    <row r="451" spans="1:14">
      <c r="A451" s="444">
        <f>Input!B467</f>
        <v>38432</v>
      </c>
      <c r="B451" s="44">
        <f t="shared" si="25"/>
        <v>80</v>
      </c>
      <c r="C451" s="380">
        <f>PMSplint!T495</f>
        <v>1.3730504359731475</v>
      </c>
      <c r="D451" s="500">
        <v>0.47253029285191905</v>
      </c>
      <c r="E451" s="381">
        <f t="shared" ref="E451:E514" si="28">IF(ISERROR(D451),C451,IF(D451="",C451,IF(D451&lt;0,0,D451)))</f>
        <v>0.47253029285191905</v>
      </c>
      <c r="F451" s="382">
        <f>TxSplint!N129</f>
        <v>12.249469738477162</v>
      </c>
      <c r="G451" s="370"/>
      <c r="H451" s="381">
        <f t="shared" si="26"/>
        <v>12.249469738477162</v>
      </c>
      <c r="I451" s="382">
        <f>TnSplint!N129</f>
        <v>4.3379203672328375</v>
      </c>
      <c r="J451" s="370"/>
      <c r="K451" s="381">
        <f t="shared" si="27"/>
        <v>4.3379203672328375</v>
      </c>
      <c r="L451" s="383"/>
      <c r="M451" s="475">
        <v>1.8</v>
      </c>
      <c r="N451" s="384"/>
    </row>
    <row r="452" spans="1:14">
      <c r="A452" s="444">
        <f>Input!B468</f>
        <v>38433</v>
      </c>
      <c r="B452" s="44">
        <f t="shared" si="25"/>
        <v>81</v>
      </c>
      <c r="C452" s="380">
        <f>PMSplint!T496</f>
        <v>1.3757999752789938</v>
      </c>
      <c r="D452" s="500">
        <v>1.4014913229730439</v>
      </c>
      <c r="E452" s="381">
        <f t="shared" si="28"/>
        <v>1.4014913229730439</v>
      </c>
      <c r="F452" s="382">
        <f>TxSplint!N130</f>
        <v>12.387846813227281</v>
      </c>
      <c r="G452" s="370"/>
      <c r="H452" s="381">
        <f t="shared" si="26"/>
        <v>12.387846813227281</v>
      </c>
      <c r="I452" s="382">
        <f>TnSplint!N130</f>
        <v>4.5170508896419976</v>
      </c>
      <c r="J452" s="370"/>
      <c r="K452" s="381">
        <f t="shared" si="27"/>
        <v>4.5170508896419976</v>
      </c>
      <c r="L452" s="383"/>
      <c r="M452" s="475">
        <v>20.8</v>
      </c>
      <c r="N452" s="384"/>
    </row>
    <row r="453" spans="1:14">
      <c r="A453" s="444">
        <f>Input!B469</f>
        <v>38434</v>
      </c>
      <c r="B453" s="44">
        <f t="shared" si="25"/>
        <v>82</v>
      </c>
      <c r="C453" s="380">
        <f>PMSplint!T497</f>
        <v>1.3771343665499607</v>
      </c>
      <c r="D453" s="500">
        <v>1.8243026445582893</v>
      </c>
      <c r="E453" s="381">
        <f t="shared" si="28"/>
        <v>1.8243026445582893</v>
      </c>
      <c r="F453" s="382">
        <f>TxSplint!N131</f>
        <v>12.506389716847151</v>
      </c>
      <c r="G453" s="370"/>
      <c r="H453" s="381">
        <f t="shared" si="26"/>
        <v>12.506389716847151</v>
      </c>
      <c r="I453" s="382">
        <f>TnSplint!N131</f>
        <v>4.6849467552562292</v>
      </c>
      <c r="J453" s="370"/>
      <c r="K453" s="381">
        <f t="shared" si="27"/>
        <v>4.6849467552562292</v>
      </c>
      <c r="L453" s="383"/>
      <c r="M453" s="475">
        <v>5.2</v>
      </c>
      <c r="N453" s="384"/>
    </row>
    <row r="454" spans="1:14">
      <c r="A454" s="444">
        <f>Input!B470</f>
        <v>38435</v>
      </c>
      <c r="B454" s="44">
        <f t="shared" si="25"/>
        <v>83</v>
      </c>
      <c r="C454" s="380">
        <f>PMSplint!T498</f>
        <v>1.3772273427862851</v>
      </c>
      <c r="D454" s="500">
        <v>0.49590084445667348</v>
      </c>
      <c r="E454" s="381">
        <f t="shared" si="28"/>
        <v>0.49590084445667348</v>
      </c>
      <c r="F454" s="382">
        <f>TxSplint!N132</f>
        <v>12.606366532519669</v>
      </c>
      <c r="G454" s="370"/>
      <c r="H454" s="381">
        <f t="shared" si="26"/>
        <v>12.606366532519669</v>
      </c>
      <c r="I454" s="382">
        <f>TnSplint!N132</f>
        <v>4.8422218398804562</v>
      </c>
      <c r="J454" s="370"/>
      <c r="K454" s="381">
        <f t="shared" si="27"/>
        <v>4.8422218398804562</v>
      </c>
      <c r="L454" s="383"/>
      <c r="M454" s="475">
        <v>0</v>
      </c>
      <c r="N454" s="384"/>
    </row>
    <row r="455" spans="1:14">
      <c r="A455" s="444">
        <f>Input!B471</f>
        <v>38436</v>
      </c>
      <c r="B455" s="44">
        <f t="shared" ref="B455:B518" si="29">A455-DATE(YEAR(A455)-1,12,31)</f>
        <v>84</v>
      </c>
      <c r="C455" s="380">
        <f>PMSplint!T499</f>
        <v>1.3762526369882051</v>
      </c>
      <c r="D455" s="500">
        <v>1.5357753584385381</v>
      </c>
      <c r="E455" s="381">
        <f t="shared" si="28"/>
        <v>1.5357753584385381</v>
      </c>
      <c r="F455" s="382">
        <f>TxSplint!N133</f>
        <v>12.689045343427743</v>
      </c>
      <c r="G455" s="370"/>
      <c r="H455" s="381">
        <f t="shared" si="26"/>
        <v>12.689045343427743</v>
      </c>
      <c r="I455" s="382">
        <f>TnSplint!N133</f>
        <v>4.9894900193196037</v>
      </c>
      <c r="J455" s="370"/>
      <c r="K455" s="381">
        <f t="shared" si="27"/>
        <v>4.9894900193196037</v>
      </c>
      <c r="L455" s="383"/>
      <c r="M455" s="475">
        <v>0</v>
      </c>
      <c r="N455" s="384"/>
    </row>
    <row r="456" spans="1:14">
      <c r="A456" s="444">
        <f>Input!B472</f>
        <v>38437</v>
      </c>
      <c r="B456" s="44">
        <f t="shared" si="29"/>
        <v>85</v>
      </c>
      <c r="C456" s="380">
        <f>PMSplint!T500</f>
        <v>1.3743839821559578</v>
      </c>
      <c r="D456" s="500">
        <v>1.8042864664435185</v>
      </c>
      <c r="E456" s="381">
        <f t="shared" si="28"/>
        <v>1.8042864664435185</v>
      </c>
      <c r="F456" s="382">
        <f>TxSplint!N134</f>
        <v>12.755694232754266</v>
      </c>
      <c r="G456" s="370"/>
      <c r="H456" s="381">
        <f t="shared" ref="H456:H519" si="30">IF(G456="",F456,G456)</f>
        <v>12.755694232754266</v>
      </c>
      <c r="I456" s="382">
        <f>TnSplint!N134</f>
        <v>5.1273651693785975</v>
      </c>
      <c r="J456" s="370"/>
      <c r="K456" s="381">
        <f t="shared" ref="K456:K519" si="31">IF(J456="",I456,J456)</f>
        <v>5.1273651693785975</v>
      </c>
      <c r="L456" s="383"/>
      <c r="M456" s="475">
        <v>0</v>
      </c>
      <c r="N456" s="384"/>
    </row>
    <row r="457" spans="1:14">
      <c r="A457" s="444">
        <f>Input!B473</f>
        <v>38438</v>
      </c>
      <c r="B457" s="44">
        <f t="shared" si="29"/>
        <v>86</v>
      </c>
      <c r="C457" s="380">
        <f>PMSplint!T501</f>
        <v>1.3717951112897815</v>
      </c>
      <c r="D457" s="500">
        <v>1.0646170170755511</v>
      </c>
      <c r="E457" s="381">
        <f t="shared" si="28"/>
        <v>1.0646170170755511</v>
      </c>
      <c r="F457" s="382">
        <f>TxSplint!N135</f>
        <v>12.807581283682149</v>
      </c>
      <c r="G457" s="370"/>
      <c r="H457" s="381">
        <f t="shared" si="30"/>
        <v>12.807581283682149</v>
      </c>
      <c r="I457" s="382">
        <f>TnSplint!N135</f>
        <v>5.2564611658623628</v>
      </c>
      <c r="J457" s="370"/>
      <c r="K457" s="381">
        <f t="shared" si="31"/>
        <v>5.2564611658623628</v>
      </c>
      <c r="L457" s="383"/>
      <c r="M457" s="475">
        <v>0</v>
      </c>
      <c r="N457" s="384"/>
    </row>
    <row r="458" spans="1:14">
      <c r="A458" s="444">
        <f>Input!B474</f>
        <v>38439</v>
      </c>
      <c r="B458" s="44">
        <f t="shared" si="29"/>
        <v>87</v>
      </c>
      <c r="C458" s="380">
        <f>PMSplint!T502</f>
        <v>1.3686597573899133</v>
      </c>
      <c r="D458" s="500">
        <v>0.68732022495647926</v>
      </c>
      <c r="E458" s="381">
        <f t="shared" si="28"/>
        <v>0.68732022495647926</v>
      </c>
      <c r="F458" s="382">
        <f>TxSplint!N136</f>
        <v>12.845974579394289</v>
      </c>
      <c r="G458" s="370"/>
      <c r="H458" s="381">
        <f t="shared" si="30"/>
        <v>12.845974579394289</v>
      </c>
      <c r="I458" s="382">
        <f>TnSplint!N136</f>
        <v>5.3773918845758271</v>
      </c>
      <c r="J458" s="370"/>
      <c r="K458" s="381">
        <f t="shared" si="31"/>
        <v>5.3773918845758271</v>
      </c>
      <c r="L458" s="383"/>
      <c r="M458" s="475">
        <v>0</v>
      </c>
      <c r="N458" s="384"/>
    </row>
    <row r="459" spans="1:14">
      <c r="A459" s="444">
        <f>Input!B475</f>
        <v>38440</v>
      </c>
      <c r="B459" s="44">
        <f t="shared" si="29"/>
        <v>88</v>
      </c>
      <c r="C459" s="380">
        <f>PMSplint!T503</f>
        <v>1.3651516534565904</v>
      </c>
      <c r="D459" s="500">
        <v>2.3931185072781882</v>
      </c>
      <c r="E459" s="381">
        <f t="shared" si="28"/>
        <v>2.3931185072781882</v>
      </c>
      <c r="F459" s="382">
        <f>TxSplint!N137</f>
        <v>12.872142203073588</v>
      </c>
      <c r="G459" s="370"/>
      <c r="H459" s="381">
        <f t="shared" si="30"/>
        <v>12.872142203073588</v>
      </c>
      <c r="I459" s="382">
        <f>TnSplint!N137</f>
        <v>5.4907712013239136</v>
      </c>
      <c r="J459" s="370"/>
      <c r="K459" s="381">
        <f t="shared" si="31"/>
        <v>5.4907712013239136</v>
      </c>
      <c r="L459" s="383"/>
      <c r="M459" s="475">
        <v>2.6</v>
      </c>
      <c r="N459" s="384"/>
    </row>
    <row r="460" spans="1:14">
      <c r="A460" s="444">
        <f>Input!B476</f>
        <v>38441</v>
      </c>
      <c r="B460" s="44">
        <f t="shared" si="29"/>
        <v>89</v>
      </c>
      <c r="C460" s="380">
        <f>PMSplint!T504</f>
        <v>1.3614445324900508</v>
      </c>
      <c r="D460" s="500">
        <v>2.1526092770776621</v>
      </c>
      <c r="E460" s="381">
        <f t="shared" si="28"/>
        <v>2.1526092770776621</v>
      </c>
      <c r="F460" s="382">
        <f>TxSplint!N138</f>
        <v>12.887352237902951</v>
      </c>
      <c r="G460" s="370"/>
      <c r="H460" s="381">
        <f t="shared" si="30"/>
        <v>12.887352237902951</v>
      </c>
      <c r="I460" s="382">
        <f>TnSplint!N138</f>
        <v>5.5972129919115465</v>
      </c>
      <c r="J460" s="370"/>
      <c r="K460" s="381">
        <f t="shared" si="31"/>
        <v>5.5972129919115465</v>
      </c>
      <c r="L460" s="383"/>
      <c r="M460" s="475">
        <v>2.2000000000000002</v>
      </c>
      <c r="N460" s="384"/>
    </row>
    <row r="461" spans="1:14">
      <c r="A461" s="444">
        <f>Input!B477</f>
        <v>38442</v>
      </c>
      <c r="B461" s="44">
        <f t="shared" si="29"/>
        <v>90</v>
      </c>
      <c r="C461" s="380">
        <f>PMSplint!T505</f>
        <v>1.3577121274905322</v>
      </c>
      <c r="D461" s="500">
        <v>2.5106888403813876</v>
      </c>
      <c r="E461" s="381">
        <f t="shared" si="28"/>
        <v>2.5106888403813876</v>
      </c>
      <c r="F461" s="382">
        <f>TxSplint!N139</f>
        <v>12.892872767065272</v>
      </c>
      <c r="G461" s="370"/>
      <c r="H461" s="381">
        <f t="shared" si="30"/>
        <v>12.892872767065272</v>
      </c>
      <c r="I461" s="382">
        <f>TnSplint!N139</f>
        <v>5.6973311321436535</v>
      </c>
      <c r="J461" s="370"/>
      <c r="K461" s="381">
        <f t="shared" si="31"/>
        <v>5.6973311321436535</v>
      </c>
      <c r="L461" s="383"/>
      <c r="M461" s="475">
        <v>5.6</v>
      </c>
      <c r="N461" s="384"/>
    </row>
    <row r="462" spans="1:14">
      <c r="A462" s="444">
        <f>Input!B478</f>
        <v>38443</v>
      </c>
      <c r="B462" s="44">
        <f t="shared" si="29"/>
        <v>91</v>
      </c>
      <c r="C462" s="380">
        <f>PMSplint!T506</f>
        <v>1.3541281714582716</v>
      </c>
      <c r="D462" s="500">
        <v>0.93869359143232689</v>
      </c>
      <c r="E462" s="381">
        <f t="shared" si="28"/>
        <v>0.93869359143232689</v>
      </c>
      <c r="F462" s="382">
        <f>TxSplint!N140</f>
        <v>12.889971873743459</v>
      </c>
      <c r="G462" s="370"/>
      <c r="H462" s="381">
        <f t="shared" si="30"/>
        <v>12.889971873743459</v>
      </c>
      <c r="I462" s="382">
        <f>TnSplint!N140</f>
        <v>5.7917394978251613</v>
      </c>
      <c r="J462" s="370"/>
      <c r="K462" s="381">
        <f t="shared" si="31"/>
        <v>5.7917394978251613</v>
      </c>
      <c r="L462" s="383"/>
      <c r="M462" s="475">
        <v>9.1999999999999993</v>
      </c>
      <c r="N462" s="384"/>
    </row>
    <row r="463" spans="1:14">
      <c r="A463" s="444">
        <f>Input!B479</f>
        <v>38444</v>
      </c>
      <c r="B463" s="44">
        <f t="shared" si="29"/>
        <v>92</v>
      </c>
      <c r="C463" s="380">
        <f>PMSplint!T507</f>
        <v>1.3508663973935069</v>
      </c>
      <c r="D463" s="500">
        <v>1.6167318103592816</v>
      </c>
      <c r="E463" s="381">
        <f t="shared" si="28"/>
        <v>1.6167318103592816</v>
      </c>
      <c r="F463" s="382">
        <f>TxSplint!N141</f>
        <v>12.879917641120414</v>
      </c>
      <c r="G463" s="370"/>
      <c r="H463" s="381">
        <f t="shared" si="30"/>
        <v>12.879917641120414</v>
      </c>
      <c r="I463" s="382">
        <f>TnSplint!N141</f>
        <v>5.8810519647609922</v>
      </c>
      <c r="J463" s="370"/>
      <c r="K463" s="381">
        <f t="shared" si="31"/>
        <v>5.8810519647609922</v>
      </c>
      <c r="L463" s="383"/>
      <c r="M463" s="475">
        <v>0.6</v>
      </c>
      <c r="N463" s="384"/>
    </row>
    <row r="464" spans="1:14">
      <c r="A464" s="444">
        <f>Input!B480</f>
        <v>38445</v>
      </c>
      <c r="B464" s="44">
        <f t="shared" si="29"/>
        <v>93</v>
      </c>
      <c r="C464" s="380">
        <f>PMSplint!T508</f>
        <v>1.3481005382964759</v>
      </c>
      <c r="D464" s="500">
        <v>1.8984918973670475</v>
      </c>
      <c r="E464" s="381">
        <f t="shared" si="28"/>
        <v>1.8984918973670475</v>
      </c>
      <c r="F464" s="382">
        <f>TxSplint!N142</f>
        <v>12.863978152379039</v>
      </c>
      <c r="G464" s="370"/>
      <c r="H464" s="381">
        <f t="shared" si="30"/>
        <v>12.863978152379039</v>
      </c>
      <c r="I464" s="382">
        <f>TnSplint!N142</f>
        <v>5.9658824087560722</v>
      </c>
      <c r="J464" s="370"/>
      <c r="K464" s="381">
        <f t="shared" si="31"/>
        <v>5.9658824087560722</v>
      </c>
      <c r="L464" s="383"/>
      <c r="M464" s="475">
        <v>0</v>
      </c>
      <c r="N464" s="384"/>
    </row>
    <row r="465" spans="1:14">
      <c r="A465" s="444">
        <f>Input!B481</f>
        <v>38446</v>
      </c>
      <c r="B465" s="44">
        <f t="shared" si="29"/>
        <v>94</v>
      </c>
      <c r="C465" s="380">
        <f>PMSplint!T509</f>
        <v>1.3460043271674156</v>
      </c>
      <c r="D465" s="500">
        <v>2.1128725013730758</v>
      </c>
      <c r="E465" s="381">
        <f t="shared" si="28"/>
        <v>2.1128725013730758</v>
      </c>
      <c r="F465" s="382">
        <f>TxSplint!N143</f>
        <v>12.843421490702234</v>
      </c>
      <c r="G465" s="370"/>
      <c r="H465" s="381">
        <f t="shared" si="30"/>
        <v>12.843421490702234</v>
      </c>
      <c r="I465" s="382">
        <f>TnSplint!N143</f>
        <v>6.0468447056153289</v>
      </c>
      <c r="J465" s="370"/>
      <c r="K465" s="381">
        <f t="shared" si="31"/>
        <v>6.0468447056153289</v>
      </c>
      <c r="L465" s="383"/>
      <c r="M465" s="475">
        <v>0</v>
      </c>
      <c r="N465" s="384"/>
    </row>
    <row r="466" spans="1:14">
      <c r="A466" s="444">
        <f>Input!B482</f>
        <v>38447</v>
      </c>
      <c r="B466" s="44">
        <f t="shared" si="29"/>
        <v>95</v>
      </c>
      <c r="C466" s="380">
        <f>PMSplint!T510</f>
        <v>1.3447514970065642</v>
      </c>
      <c r="D466" s="500">
        <v>0.44427184411836929</v>
      </c>
      <c r="E466" s="381">
        <f t="shared" si="28"/>
        <v>0.44427184411836929</v>
      </c>
      <c r="F466" s="382">
        <f>TxSplint!N144</f>
        <v>12.8195157392729</v>
      </c>
      <c r="G466" s="370"/>
      <c r="H466" s="381">
        <f t="shared" si="30"/>
        <v>12.8195157392729</v>
      </c>
      <c r="I466" s="382">
        <f>TnSplint!N144</f>
        <v>6.1245527311436847</v>
      </c>
      <c r="J466" s="370"/>
      <c r="K466" s="381">
        <f t="shared" si="31"/>
        <v>6.1245527311436847</v>
      </c>
      <c r="L466" s="383"/>
      <c r="M466" s="475">
        <v>0</v>
      </c>
      <c r="N466" s="384"/>
    </row>
    <row r="467" spans="1:14">
      <c r="A467" s="444">
        <f>Input!B483</f>
        <v>38448</v>
      </c>
      <c r="B467" s="44">
        <f t="shared" si="29"/>
        <v>96</v>
      </c>
      <c r="C467" s="380">
        <f>PMSplint!T511</f>
        <v>1.3445157808141583</v>
      </c>
      <c r="D467" s="500">
        <v>1.2870475400541517</v>
      </c>
      <c r="E467" s="381">
        <f t="shared" si="28"/>
        <v>1.2870475400541517</v>
      </c>
      <c r="F467" s="382">
        <f>TxSplint!N145</f>
        <v>12.793528981273941</v>
      </c>
      <c r="G467" s="370"/>
      <c r="H467" s="381">
        <f t="shared" si="30"/>
        <v>12.793528981273941</v>
      </c>
      <c r="I467" s="382">
        <f>TnSplint!N145</f>
        <v>6.1996203611460672</v>
      </c>
      <c r="J467" s="370"/>
      <c r="K467" s="381">
        <f t="shared" si="31"/>
        <v>6.1996203611460672</v>
      </c>
      <c r="L467" s="383"/>
      <c r="M467" s="475">
        <v>0</v>
      </c>
      <c r="N467" s="384"/>
    </row>
    <row r="468" spans="1:14">
      <c r="A468" s="444">
        <f>Input!B484</f>
        <v>38449</v>
      </c>
      <c r="B468" s="44">
        <f t="shared" si="29"/>
        <v>97</v>
      </c>
      <c r="C468" s="380">
        <f>PMSplint!T512</f>
        <v>1.3454709115904369</v>
      </c>
      <c r="D468" s="500">
        <v>1.8718532351116166</v>
      </c>
      <c r="E468" s="381">
        <f t="shared" si="28"/>
        <v>1.8718532351116166</v>
      </c>
      <c r="F468" s="382">
        <f>TxSplint!N146</f>
        <v>12.766729299888258</v>
      </c>
      <c r="G468" s="370"/>
      <c r="H468" s="381">
        <f t="shared" si="30"/>
        <v>12.766729299888258</v>
      </c>
      <c r="I468" s="382">
        <f>TnSplint!N146</f>
        <v>6.2726614714274014</v>
      </c>
      <c r="J468" s="370"/>
      <c r="K468" s="381">
        <f t="shared" si="31"/>
        <v>6.2726614714274014</v>
      </c>
      <c r="L468" s="383"/>
      <c r="M468" s="475">
        <v>0</v>
      </c>
      <c r="N468" s="384"/>
    </row>
    <row r="469" spans="1:14">
      <c r="A469" s="444">
        <f>Input!B485</f>
        <v>38450</v>
      </c>
      <c r="B469" s="44">
        <f t="shared" si="29"/>
        <v>98</v>
      </c>
      <c r="C469" s="380">
        <f>PMSplint!T513</f>
        <v>1.3477906223356362</v>
      </c>
      <c r="D469" s="500">
        <v>2.4478030510786795</v>
      </c>
      <c r="E469" s="381">
        <f t="shared" si="28"/>
        <v>2.4478030510786795</v>
      </c>
      <c r="F469" s="382">
        <f>TxSplint!N147</f>
        <v>12.740384778298754</v>
      </c>
      <c r="G469" s="370"/>
      <c r="H469" s="381">
        <f t="shared" si="30"/>
        <v>12.740384778298754</v>
      </c>
      <c r="I469" s="382">
        <f>TnSplint!N147</f>
        <v>6.3442899377926132</v>
      </c>
      <c r="J469" s="370"/>
      <c r="K469" s="381">
        <f t="shared" si="31"/>
        <v>6.3442899377926132</v>
      </c>
      <c r="L469" s="383"/>
      <c r="M469" s="475">
        <v>0</v>
      </c>
      <c r="N469" s="384"/>
    </row>
    <row r="470" spans="1:14">
      <c r="A470" s="444">
        <f>Input!B486</f>
        <v>38451</v>
      </c>
      <c r="B470" s="44">
        <f t="shared" si="29"/>
        <v>99</v>
      </c>
      <c r="C470" s="380">
        <f>PMSplint!T514</f>
        <v>1.3516486460499944</v>
      </c>
      <c r="D470" s="500">
        <v>0.46595535146604128</v>
      </c>
      <c r="E470" s="381">
        <f t="shared" si="28"/>
        <v>0.46595535146604128</v>
      </c>
      <c r="F470" s="382">
        <f>TxSplint!N148</f>
        <v>12.715763499688325</v>
      </c>
      <c r="G470" s="370"/>
      <c r="H470" s="381">
        <f t="shared" si="30"/>
        <v>12.715763499688325</v>
      </c>
      <c r="I470" s="382">
        <f>TnSplint!N148</f>
        <v>6.4151196360466267</v>
      </c>
      <c r="J470" s="370"/>
      <c r="K470" s="381">
        <f t="shared" si="31"/>
        <v>6.4151196360466267</v>
      </c>
      <c r="L470" s="383"/>
      <c r="M470" s="475">
        <v>0</v>
      </c>
      <c r="N470" s="384"/>
    </row>
    <row r="471" spans="1:14">
      <c r="A471" s="444">
        <f>Input!B487</f>
        <v>38452</v>
      </c>
      <c r="B471" s="44">
        <f t="shared" si="29"/>
        <v>100</v>
      </c>
      <c r="C471" s="380">
        <f>PMSplint!T515</f>
        <v>1.3572187157337487</v>
      </c>
      <c r="D471" s="500">
        <v>0.54789851191428862</v>
      </c>
      <c r="E471" s="381">
        <f t="shared" si="28"/>
        <v>0.54789851191428862</v>
      </c>
      <c r="F471" s="382">
        <f>TxSplint!N149</f>
        <v>12.694133547239881</v>
      </c>
      <c r="G471" s="370"/>
      <c r="H471" s="381">
        <f t="shared" si="30"/>
        <v>12.694133547239881</v>
      </c>
      <c r="I471" s="382">
        <f>TnSplint!N149</f>
        <v>6.4857644419943679</v>
      </c>
      <c r="J471" s="370"/>
      <c r="K471" s="381">
        <f t="shared" si="31"/>
        <v>6.4857644419943679</v>
      </c>
      <c r="L471" s="383"/>
      <c r="M471" s="475">
        <v>0</v>
      </c>
      <c r="N471" s="384"/>
    </row>
    <row r="472" spans="1:14">
      <c r="A472" s="444">
        <f>Input!B488</f>
        <v>38453</v>
      </c>
      <c r="B472" s="44">
        <f t="shared" si="29"/>
        <v>101</v>
      </c>
      <c r="C472" s="380">
        <f>PMSplint!T516</f>
        <v>1.3646745643871374</v>
      </c>
      <c r="D472" s="500">
        <v>1.5021347877701818</v>
      </c>
      <c r="E472" s="381">
        <f t="shared" si="28"/>
        <v>1.5021347877701818</v>
      </c>
      <c r="F472" s="382">
        <f>TxSplint!N150</f>
        <v>12.676763004136319</v>
      </c>
      <c r="G472" s="370"/>
      <c r="H472" s="381">
        <f t="shared" si="30"/>
        <v>12.676763004136319</v>
      </c>
      <c r="I472" s="382">
        <f>TnSplint!N150</f>
        <v>6.5568382314407625</v>
      </c>
      <c r="J472" s="370"/>
      <c r="K472" s="381">
        <f t="shared" si="31"/>
        <v>6.5568382314407625</v>
      </c>
      <c r="L472" s="383"/>
      <c r="M472" s="475">
        <v>0</v>
      </c>
      <c r="N472" s="384"/>
    </row>
    <row r="473" spans="1:14">
      <c r="A473" s="444">
        <f>Input!B489</f>
        <v>38454</v>
      </c>
      <c r="B473" s="44">
        <f t="shared" si="29"/>
        <v>102</v>
      </c>
      <c r="C473" s="380">
        <f>PMSplint!T517</f>
        <v>1.3741899250103971</v>
      </c>
      <c r="D473" s="500">
        <v>1.4775161847336267</v>
      </c>
      <c r="E473" s="381">
        <f t="shared" si="28"/>
        <v>1.4775161847336267</v>
      </c>
      <c r="F473" s="382">
        <f>TxSplint!N151</f>
        <v>12.664919953560545</v>
      </c>
      <c r="G473" s="370"/>
      <c r="H473" s="381">
        <f t="shared" si="30"/>
        <v>12.664919953560545</v>
      </c>
      <c r="I473" s="382">
        <f>TnSplint!N151</f>
        <v>6.6289548801907348</v>
      </c>
      <c r="J473" s="370"/>
      <c r="K473" s="381">
        <f t="shared" si="31"/>
        <v>6.6289548801907348</v>
      </c>
      <c r="L473" s="383"/>
      <c r="M473" s="475">
        <v>0</v>
      </c>
      <c r="N473" s="384"/>
    </row>
    <row r="474" spans="1:14">
      <c r="A474" s="444">
        <f>Input!B490</f>
        <v>38455</v>
      </c>
      <c r="B474" s="44">
        <f t="shared" si="29"/>
        <v>103</v>
      </c>
      <c r="C474" s="380">
        <f>PMSplint!T518</f>
        <v>1.3859385306037662</v>
      </c>
      <c r="D474" s="500">
        <v>2.3188094411304103</v>
      </c>
      <c r="E474" s="381">
        <f t="shared" si="28"/>
        <v>2.3188094411304103</v>
      </c>
      <c r="F474" s="382">
        <f>TxSplint!N152</f>
        <v>12.659872478695455</v>
      </c>
      <c r="G474" s="370"/>
      <c r="H474" s="381">
        <f t="shared" si="30"/>
        <v>12.659872478695455</v>
      </c>
      <c r="I474" s="382">
        <f>TnSplint!N152</f>
        <v>6.7027282640492114</v>
      </c>
      <c r="J474" s="370"/>
      <c r="K474" s="381">
        <f t="shared" si="31"/>
        <v>6.7027282640492114</v>
      </c>
      <c r="L474" s="383"/>
      <c r="M474" s="475">
        <v>0</v>
      </c>
      <c r="N474" s="384"/>
    </row>
    <row r="475" spans="1:14">
      <c r="A475" s="444">
        <f>Input!B491</f>
        <v>38456</v>
      </c>
      <c r="B475" s="44">
        <f t="shared" si="29"/>
        <v>104</v>
      </c>
      <c r="C475" s="380">
        <f>PMSplint!T519</f>
        <v>1.4000941141674814</v>
      </c>
      <c r="D475" s="500">
        <v>2.3817274499732548</v>
      </c>
      <c r="E475" s="381">
        <f t="shared" si="28"/>
        <v>2.3817274499732548</v>
      </c>
      <c r="F475" s="382">
        <f>TxSplint!N153</f>
        <v>12.662888662723953</v>
      </c>
      <c r="G475" s="370"/>
      <c r="H475" s="381">
        <f t="shared" si="30"/>
        <v>12.662888662723953</v>
      </c>
      <c r="I475" s="382">
        <f>TnSplint!N153</f>
        <v>6.7787722588211174</v>
      </c>
      <c r="J475" s="370"/>
      <c r="K475" s="381">
        <f t="shared" si="31"/>
        <v>6.7787722588211174</v>
      </c>
      <c r="L475" s="383"/>
      <c r="M475" s="475">
        <v>0</v>
      </c>
      <c r="N475" s="384"/>
    </row>
    <row r="476" spans="1:14">
      <c r="A476" s="444">
        <f>Input!B492</f>
        <v>38457</v>
      </c>
      <c r="B476" s="44">
        <f t="shared" si="29"/>
        <v>105</v>
      </c>
      <c r="C476" s="380">
        <f>PMSplint!T520</f>
        <v>1.4168304087017813</v>
      </c>
      <c r="D476" s="500">
        <v>1.2746820392788025</v>
      </c>
      <c r="E476" s="381">
        <f t="shared" si="28"/>
        <v>1.2746820392788025</v>
      </c>
      <c r="F476" s="382">
        <f>TxSplint!N154</f>
        <v>12.675236588828941</v>
      </c>
      <c r="G476" s="370"/>
      <c r="H476" s="381">
        <f t="shared" si="30"/>
        <v>12.675236588828941</v>
      </c>
      <c r="I476" s="382">
        <f>TnSplint!N154</f>
        <v>6.8577007403113788</v>
      </c>
      <c r="J476" s="370"/>
      <c r="K476" s="381">
        <f t="shared" si="31"/>
        <v>6.8577007403113788</v>
      </c>
      <c r="L476" s="383"/>
      <c r="M476" s="475">
        <v>0</v>
      </c>
      <c r="N476" s="384"/>
    </row>
    <row r="477" spans="1:14">
      <c r="A477" s="444">
        <f>Input!B493</f>
        <v>38458</v>
      </c>
      <c r="B477" s="44">
        <f t="shared" si="29"/>
        <v>106</v>
      </c>
      <c r="C477" s="380">
        <f>PMSplint!T521</f>
        <v>1.4363211472069024</v>
      </c>
      <c r="D477" s="500">
        <v>1.7042348255788369</v>
      </c>
      <c r="E477" s="381">
        <f t="shared" si="28"/>
        <v>1.7042348255788369</v>
      </c>
      <c r="F477" s="382">
        <f>TxSplint!N155</f>
        <v>12.698184340193325</v>
      </c>
      <c r="G477" s="370"/>
      <c r="H477" s="381">
        <f t="shared" si="30"/>
        <v>12.698184340193325</v>
      </c>
      <c r="I477" s="382">
        <f>TnSplint!N155</f>
        <v>6.9401275843249213</v>
      </c>
      <c r="J477" s="370"/>
      <c r="K477" s="381">
        <f t="shared" si="31"/>
        <v>6.9401275843249213</v>
      </c>
      <c r="L477" s="383"/>
      <c r="M477" s="475">
        <v>0</v>
      </c>
      <c r="N477" s="384"/>
    </row>
    <row r="478" spans="1:14">
      <c r="A478" s="444">
        <f>Input!B494</f>
        <v>38459</v>
      </c>
      <c r="B478" s="44">
        <f t="shared" si="29"/>
        <v>107</v>
      </c>
      <c r="C478" s="380">
        <f>PMSplint!T522</f>
        <v>1.4586920641558638</v>
      </c>
      <c r="D478" s="500">
        <v>0.75456294317937433</v>
      </c>
      <c r="E478" s="381">
        <f t="shared" si="28"/>
        <v>0.75456294317937433</v>
      </c>
      <c r="F478" s="382">
        <f>TxSplint!N156</f>
        <v>12.733000000000001</v>
      </c>
      <c r="G478" s="370"/>
      <c r="H478" s="381">
        <f t="shared" si="30"/>
        <v>12.733000000000001</v>
      </c>
      <c r="I478" s="382">
        <f>TnSplint!N156</f>
        <v>7.0266666666666682</v>
      </c>
      <c r="J478" s="370"/>
      <c r="K478" s="381">
        <f t="shared" si="31"/>
        <v>7.0266666666666682</v>
      </c>
      <c r="L478" s="383"/>
      <c r="M478" s="475">
        <v>0</v>
      </c>
      <c r="N478" s="384"/>
    </row>
    <row r="479" spans="1:14">
      <c r="A479" s="444">
        <f>Input!B495</f>
        <v>38460</v>
      </c>
      <c r="B479" s="44">
        <f t="shared" si="29"/>
        <v>108</v>
      </c>
      <c r="C479" s="380">
        <f>PMSplint!T523</f>
        <v>1.4838768999128071</v>
      </c>
      <c r="D479" s="500">
        <v>1.6714663384207553</v>
      </c>
      <c r="E479" s="381">
        <f t="shared" si="28"/>
        <v>1.6714663384207553</v>
      </c>
      <c r="F479" s="382">
        <f>TxSplint!N157</f>
        <v>12.780667436456939</v>
      </c>
      <c r="G479" s="370"/>
      <c r="H479" s="381">
        <f t="shared" si="30"/>
        <v>12.780667436456939</v>
      </c>
      <c r="I479" s="382">
        <f>TnSplint!N157</f>
        <v>7.1178115818123819</v>
      </c>
      <c r="J479" s="370"/>
      <c r="K479" s="381">
        <f t="shared" si="31"/>
        <v>7.1178115818123819</v>
      </c>
      <c r="L479" s="383"/>
      <c r="M479" s="475">
        <v>0</v>
      </c>
      <c r="N479" s="384"/>
    </row>
    <row r="480" spans="1:14">
      <c r="A480" s="444">
        <f>Input!B496</f>
        <v>38461</v>
      </c>
      <c r="B480" s="44">
        <f t="shared" si="29"/>
        <v>109</v>
      </c>
      <c r="C480" s="380">
        <f>PMSplint!T524</f>
        <v>1.5117613963146546</v>
      </c>
      <c r="D480" s="500">
        <v>2.3496203991815219</v>
      </c>
      <c r="E480" s="381">
        <f t="shared" si="28"/>
        <v>2.3496203991815219</v>
      </c>
      <c r="F480" s="382">
        <f>TxSplint!N158</f>
        <v>12.84103365787238</v>
      </c>
      <c r="G480" s="370"/>
      <c r="H480" s="381">
        <f t="shared" si="30"/>
        <v>12.84103365787238</v>
      </c>
      <c r="I480" s="382">
        <f>TnSplint!N158</f>
        <v>7.2135747989211634</v>
      </c>
      <c r="J480" s="370"/>
      <c r="K480" s="381">
        <f t="shared" si="31"/>
        <v>7.2135747989211634</v>
      </c>
      <c r="L480" s="383"/>
      <c r="M480" s="475">
        <v>0</v>
      </c>
      <c r="N480" s="384"/>
    </row>
    <row r="481" spans="1:14">
      <c r="A481" s="444">
        <f>Input!B497</f>
        <v>38462</v>
      </c>
      <c r="B481" s="44">
        <f t="shared" si="29"/>
        <v>110</v>
      </c>
      <c r="C481" s="380">
        <f>PMSplint!T525</f>
        <v>1.5422312951983292</v>
      </c>
      <c r="D481" s="500">
        <v>2.1232463360499847</v>
      </c>
      <c r="E481" s="381">
        <f t="shared" si="28"/>
        <v>2.1232463360499847</v>
      </c>
      <c r="F481" s="382">
        <f>TxSplint!N159</f>
        <v>12.913661457579623</v>
      </c>
      <c r="G481" s="370"/>
      <c r="H481" s="381">
        <f t="shared" si="30"/>
        <v>12.913661457579623</v>
      </c>
      <c r="I481" s="382">
        <f>TnSplint!N159</f>
        <v>7.3138485058229499</v>
      </c>
      <c r="J481" s="370"/>
      <c r="K481" s="381">
        <f t="shared" si="31"/>
        <v>7.3138485058229499</v>
      </c>
      <c r="L481" s="383"/>
      <c r="M481" s="475">
        <v>0</v>
      </c>
      <c r="N481" s="384"/>
    </row>
    <row r="482" spans="1:14">
      <c r="A482" s="444">
        <f>Input!B498</f>
        <v>38463</v>
      </c>
      <c r="B482" s="44">
        <f t="shared" si="29"/>
        <v>111</v>
      </c>
      <c r="C482" s="380">
        <f>PMSplint!T526</f>
        <v>1.5751723384007537</v>
      </c>
      <c r="D482" s="500">
        <v>2.3856445539884792</v>
      </c>
      <c r="E482" s="381">
        <f t="shared" si="28"/>
        <v>2.3856445539884792</v>
      </c>
      <c r="F482" s="382">
        <f>TxSplint!N160</f>
        <v>12.998113628911973</v>
      </c>
      <c r="G482" s="370"/>
      <c r="H482" s="381">
        <f t="shared" si="30"/>
        <v>12.998113628911973</v>
      </c>
      <c r="I482" s="382">
        <f>TnSplint!N160</f>
        <v>7.4185248903476788</v>
      </c>
      <c r="J482" s="370"/>
      <c r="K482" s="381">
        <f t="shared" si="31"/>
        <v>7.4185248903476788</v>
      </c>
      <c r="L482" s="383"/>
      <c r="M482" s="475">
        <v>0</v>
      </c>
      <c r="N482" s="384"/>
    </row>
    <row r="483" spans="1:14">
      <c r="A483" s="444">
        <f>Input!B499</f>
        <v>38464</v>
      </c>
      <c r="B483" s="44">
        <f t="shared" si="29"/>
        <v>112</v>
      </c>
      <c r="C483" s="380">
        <f>PMSplint!T527</f>
        <v>1.6104702677588503</v>
      </c>
      <c r="D483" s="500">
        <v>2.5681773320425307</v>
      </c>
      <c r="E483" s="381">
        <f t="shared" si="28"/>
        <v>2.5681773320425307</v>
      </c>
      <c r="F483" s="382">
        <f>TxSplint!N161</f>
        <v>13.093952965202739</v>
      </c>
      <c r="G483" s="370"/>
      <c r="H483" s="381">
        <f t="shared" si="30"/>
        <v>13.093952965202739</v>
      </c>
      <c r="I483" s="382">
        <f>TnSplint!N161</f>
        <v>7.5274961403252831</v>
      </c>
      <c r="J483" s="370"/>
      <c r="K483" s="381">
        <f t="shared" si="31"/>
        <v>7.5274961403252831</v>
      </c>
      <c r="L483" s="383"/>
      <c r="M483" s="475">
        <v>1.2</v>
      </c>
      <c r="N483" s="384"/>
    </row>
    <row r="484" spans="1:14">
      <c r="A484" s="444">
        <f>Input!B500</f>
        <v>38465</v>
      </c>
      <c r="B484" s="44">
        <f t="shared" si="29"/>
        <v>113</v>
      </c>
      <c r="C484" s="380">
        <f>PMSplint!T528</f>
        <v>1.6480108251095418</v>
      </c>
      <c r="D484" s="500">
        <v>2.6660228759485736</v>
      </c>
      <c r="E484" s="381">
        <f t="shared" si="28"/>
        <v>2.6660228759485736</v>
      </c>
      <c r="F484" s="382">
        <f>TxSplint!N162</f>
        <v>13.200742259785221</v>
      </c>
      <c r="G484" s="370"/>
      <c r="H484" s="381">
        <f t="shared" si="30"/>
        <v>13.200742259785221</v>
      </c>
      <c r="I484" s="382">
        <f>TnSplint!N162</f>
        <v>7.6406544435857056</v>
      </c>
      <c r="J484" s="370"/>
      <c r="K484" s="381">
        <f t="shared" si="31"/>
        <v>7.6406544435857056</v>
      </c>
      <c r="L484" s="383"/>
      <c r="M484" s="475">
        <v>11.6</v>
      </c>
      <c r="N484" s="384"/>
    </row>
    <row r="485" spans="1:14">
      <c r="A485" s="444">
        <f>Input!B501</f>
        <v>38466</v>
      </c>
      <c r="B485" s="44">
        <f t="shared" si="29"/>
        <v>114</v>
      </c>
      <c r="C485" s="380">
        <f>PMSplint!T529</f>
        <v>1.6876797522897506</v>
      </c>
      <c r="D485" s="500">
        <v>2.2909912187436534</v>
      </c>
      <c r="E485" s="381">
        <f t="shared" si="28"/>
        <v>2.2909912187436534</v>
      </c>
      <c r="F485" s="382">
        <f>TxSplint!N163</f>
        <v>13.318044305992725</v>
      </c>
      <c r="G485" s="370"/>
      <c r="H485" s="381">
        <f t="shared" si="30"/>
        <v>13.318044305992725</v>
      </c>
      <c r="I485" s="382">
        <f>TnSplint!N163</f>
        <v>7.757891987958879</v>
      </c>
      <c r="J485" s="370"/>
      <c r="K485" s="381">
        <f t="shared" si="31"/>
        <v>7.757891987958879</v>
      </c>
      <c r="L485" s="383"/>
      <c r="M485" s="475">
        <v>10.6</v>
      </c>
      <c r="N485" s="384"/>
    </row>
    <row r="486" spans="1:14">
      <c r="A486" s="444">
        <f>Input!B502</f>
        <v>38467</v>
      </c>
      <c r="B486" s="44">
        <f t="shared" si="29"/>
        <v>115</v>
      </c>
      <c r="C486" s="380">
        <f>PMSplint!T530</f>
        <v>1.7293627911363993</v>
      </c>
      <c r="D486" s="500">
        <v>1.7423348114641519</v>
      </c>
      <c r="E486" s="381">
        <f t="shared" si="28"/>
        <v>1.7423348114641519</v>
      </c>
      <c r="F486" s="382">
        <f>TxSplint!N164</f>
        <v>13.445421897158553</v>
      </c>
      <c r="G486" s="370"/>
      <c r="H486" s="381">
        <f t="shared" si="30"/>
        <v>13.445421897158553</v>
      </c>
      <c r="I486" s="382">
        <f>TnSplint!N164</f>
        <v>7.8791009612747409</v>
      </c>
      <c r="J486" s="370"/>
      <c r="K486" s="381">
        <f t="shared" si="31"/>
        <v>7.8791009612747409</v>
      </c>
      <c r="L486" s="383"/>
      <c r="M486" s="475">
        <v>7</v>
      </c>
      <c r="N486" s="384"/>
    </row>
    <row r="487" spans="1:14">
      <c r="A487" s="444">
        <f>Input!B503</f>
        <v>38468</v>
      </c>
      <c r="B487" s="44">
        <f t="shared" si="29"/>
        <v>116</v>
      </c>
      <c r="C487" s="380">
        <f>PMSplint!T531</f>
        <v>1.772945683486411</v>
      </c>
      <c r="D487" s="500">
        <v>0.3063071784918493</v>
      </c>
      <c r="E487" s="381">
        <f t="shared" si="28"/>
        <v>0.3063071784918493</v>
      </c>
      <c r="F487" s="382">
        <f>TxSplint!N165</f>
        <v>13.582437826616012</v>
      </c>
      <c r="G487" s="370"/>
      <c r="H487" s="381">
        <f t="shared" si="30"/>
        <v>13.582437826616012</v>
      </c>
      <c r="I487" s="382">
        <f>TnSplint!N165</f>
        <v>8.0041735513632286</v>
      </c>
      <c r="J487" s="370"/>
      <c r="K487" s="381">
        <f t="shared" si="31"/>
        <v>8.0041735513632286</v>
      </c>
      <c r="L487" s="383"/>
      <c r="M487" s="475">
        <v>4.4000000000000004</v>
      </c>
      <c r="N487" s="384"/>
    </row>
    <row r="488" spans="1:14">
      <c r="A488" s="444">
        <f>Input!B504</f>
        <v>38469</v>
      </c>
      <c r="B488" s="44">
        <f t="shared" si="29"/>
        <v>117</v>
      </c>
      <c r="C488" s="380">
        <f>PMSplint!T532</f>
        <v>1.8183141711767077</v>
      </c>
      <c r="D488" s="500">
        <v>0.21108337461382062</v>
      </c>
      <c r="E488" s="381">
        <f t="shared" si="28"/>
        <v>0.21108337461382062</v>
      </c>
      <c r="F488" s="382">
        <f>TxSplint!N166</f>
        <v>13.728654887698404</v>
      </c>
      <c r="G488" s="370"/>
      <c r="H488" s="381">
        <f t="shared" si="30"/>
        <v>13.728654887698404</v>
      </c>
      <c r="I488" s="382">
        <f>TnSplint!N166</f>
        <v>8.1330019460542786</v>
      </c>
      <c r="J488" s="370"/>
      <c r="K488" s="381">
        <f t="shared" si="31"/>
        <v>8.1330019460542786</v>
      </c>
      <c r="L488" s="383"/>
      <c r="M488" s="475">
        <v>2.6</v>
      </c>
      <c r="N488" s="384"/>
    </row>
    <row r="489" spans="1:14">
      <c r="A489" s="444">
        <f>Input!B505</f>
        <v>38470</v>
      </c>
      <c r="B489" s="44">
        <f t="shared" si="29"/>
        <v>118</v>
      </c>
      <c r="C489" s="380">
        <f>PMSplint!T533</f>
        <v>1.8653539960442129</v>
      </c>
      <c r="D489" s="500">
        <v>0.15562453823735539</v>
      </c>
      <c r="E489" s="381">
        <f t="shared" si="28"/>
        <v>0.15562453823735539</v>
      </c>
      <c r="F489" s="382">
        <f>TxSplint!N167</f>
        <v>13.883635873739038</v>
      </c>
      <c r="G489" s="370"/>
      <c r="H489" s="381">
        <f t="shared" si="30"/>
        <v>13.883635873739038</v>
      </c>
      <c r="I489" s="382">
        <f>TnSplint!N167</f>
        <v>8.2654783331778301</v>
      </c>
      <c r="J489" s="370"/>
      <c r="K489" s="381">
        <f t="shared" si="31"/>
        <v>8.2654783331778301</v>
      </c>
      <c r="L489" s="383"/>
      <c r="M489" s="475">
        <v>0.6</v>
      </c>
      <c r="N489" s="384"/>
    </row>
    <row r="490" spans="1:14">
      <c r="A490" s="444">
        <f>Input!B506</f>
        <v>38471</v>
      </c>
      <c r="B490" s="44">
        <f t="shared" si="29"/>
        <v>119</v>
      </c>
      <c r="C490" s="380">
        <f>PMSplint!T534</f>
        <v>1.9139508999258481</v>
      </c>
      <c r="D490" s="500">
        <v>0.19878373475728461</v>
      </c>
      <c r="E490" s="381">
        <f t="shared" si="28"/>
        <v>0.19878373475728461</v>
      </c>
      <c r="F490" s="382">
        <f>TxSplint!N168</f>
        <v>14.046943578071211</v>
      </c>
      <c r="G490" s="370"/>
      <c r="H490" s="381">
        <f t="shared" si="30"/>
        <v>14.046943578071211</v>
      </c>
      <c r="I490" s="382">
        <f>TnSplint!N168</f>
        <v>8.4014949005638169</v>
      </c>
      <c r="J490" s="370"/>
      <c r="K490" s="381">
        <f t="shared" si="31"/>
        <v>8.4014949005638169</v>
      </c>
      <c r="L490" s="383"/>
      <c r="M490" s="475">
        <v>4.5999999999999996</v>
      </c>
      <c r="N490" s="384"/>
    </row>
    <row r="491" spans="1:14">
      <c r="A491" s="444">
        <f>Input!B507</f>
        <v>38472</v>
      </c>
      <c r="B491" s="44">
        <f t="shared" si="29"/>
        <v>120</v>
      </c>
      <c r="C491" s="380">
        <f>PMSplint!T535</f>
        <v>1.9639906246585359</v>
      </c>
      <c r="D491" s="500">
        <v>0.18408138027917034</v>
      </c>
      <c r="E491" s="381">
        <f t="shared" si="28"/>
        <v>0.18408138027917034</v>
      </c>
      <c r="F491" s="382">
        <f>TxSplint!N169</f>
        <v>14.218140794028233</v>
      </c>
      <c r="G491" s="370"/>
      <c r="H491" s="381">
        <f t="shared" si="30"/>
        <v>14.218140794028233</v>
      </c>
      <c r="I491" s="382">
        <f>TnSplint!N169</f>
        <v>8.5409438360421746</v>
      </c>
      <c r="J491" s="370"/>
      <c r="K491" s="381">
        <f t="shared" si="31"/>
        <v>8.5409438360421746</v>
      </c>
      <c r="L491" s="383"/>
      <c r="M491" s="475">
        <v>6</v>
      </c>
      <c r="N491" s="384"/>
    </row>
    <row r="492" spans="1:14">
      <c r="A492" s="444">
        <f>Input!B508</f>
        <v>38473</v>
      </c>
      <c r="B492" s="44">
        <f t="shared" si="29"/>
        <v>121</v>
      </c>
      <c r="C492" s="380">
        <f>PMSplint!T536</f>
        <v>2.0153589120792001</v>
      </c>
      <c r="D492" s="500">
        <v>0.12965692950090307</v>
      </c>
      <c r="E492" s="381">
        <f t="shared" si="28"/>
        <v>0.12965692950090307</v>
      </c>
      <c r="F492" s="382">
        <f>TxSplint!N170</f>
        <v>14.396790314943404</v>
      </c>
      <c r="G492" s="370"/>
      <c r="H492" s="381">
        <f t="shared" si="30"/>
        <v>14.396790314943404</v>
      </c>
      <c r="I492" s="382">
        <f>TnSplint!N170</f>
        <v>8.6837173274428459</v>
      </c>
      <c r="J492" s="370"/>
      <c r="K492" s="381">
        <f t="shared" si="31"/>
        <v>8.6837173274428459</v>
      </c>
      <c r="L492" s="383"/>
      <c r="M492" s="475">
        <v>0</v>
      </c>
      <c r="N492" s="384"/>
    </row>
    <row r="493" spans="1:14">
      <c r="A493" s="444">
        <f>Input!B509</f>
        <v>38474</v>
      </c>
      <c r="B493" s="44">
        <f t="shared" si="29"/>
        <v>122</v>
      </c>
      <c r="C493" s="380">
        <f>PMSplint!T537</f>
        <v>2.0679415040247622</v>
      </c>
      <c r="D493" s="500">
        <v>0.1468710709433419</v>
      </c>
      <c r="E493" s="381">
        <f t="shared" si="28"/>
        <v>0.1468710709433419</v>
      </c>
      <c r="F493" s="382">
        <f>TxSplint!N171</f>
        <v>14.58245493415003</v>
      </c>
      <c r="G493" s="370"/>
      <c r="H493" s="381">
        <f t="shared" si="30"/>
        <v>14.58245493415003</v>
      </c>
      <c r="I493" s="382">
        <f>TnSplint!N171</f>
        <v>8.8297075625957611</v>
      </c>
      <c r="J493" s="370"/>
      <c r="K493" s="381">
        <f t="shared" si="31"/>
        <v>8.8297075625957611</v>
      </c>
      <c r="L493" s="383"/>
      <c r="M493" s="475">
        <v>11.4</v>
      </c>
      <c r="N493" s="384"/>
    </row>
    <row r="494" spans="1:14">
      <c r="A494" s="444">
        <f>Input!B510</f>
        <v>38475</v>
      </c>
      <c r="B494" s="44">
        <f t="shared" si="29"/>
        <v>123</v>
      </c>
      <c r="C494" s="380">
        <f>PMSplint!T538</f>
        <v>2.1216241423321454</v>
      </c>
      <c r="D494" s="500">
        <v>2.7175793432871416</v>
      </c>
      <c r="E494" s="381">
        <f t="shared" si="28"/>
        <v>2.7175793432871416</v>
      </c>
      <c r="F494" s="382">
        <f>TxSplint!N172</f>
        <v>14.774697444981419</v>
      </c>
      <c r="G494" s="370"/>
      <c r="H494" s="381">
        <f t="shared" si="30"/>
        <v>14.774697444981419</v>
      </c>
      <c r="I494" s="382">
        <f>TnSplint!N172</f>
        <v>8.9788067293308593</v>
      </c>
      <c r="J494" s="370"/>
      <c r="K494" s="381">
        <f t="shared" si="31"/>
        <v>8.9788067293308593</v>
      </c>
      <c r="L494" s="383"/>
      <c r="M494" s="475">
        <v>0</v>
      </c>
      <c r="N494" s="384"/>
    </row>
    <row r="495" spans="1:14">
      <c r="A495" s="444">
        <f>Input!B511</f>
        <v>38476</v>
      </c>
      <c r="B495" s="44">
        <f t="shared" si="29"/>
        <v>124</v>
      </c>
      <c r="C495" s="380">
        <f>PMSplint!T539</f>
        <v>2.1762925688382717</v>
      </c>
      <c r="D495" s="500">
        <v>3.2908053176774832</v>
      </c>
      <c r="E495" s="381">
        <f t="shared" si="28"/>
        <v>3.2908053176774832</v>
      </c>
      <c r="F495" s="382">
        <f>TxSplint!N173</f>
        <v>14.973080640770871</v>
      </c>
      <c r="G495" s="370"/>
      <c r="H495" s="381">
        <f t="shared" si="30"/>
        <v>14.973080640770871</v>
      </c>
      <c r="I495" s="382">
        <f>TnSplint!N173</f>
        <v>9.1309070154780798</v>
      </c>
      <c r="J495" s="370"/>
      <c r="K495" s="381">
        <f t="shared" si="31"/>
        <v>9.1309070154780798</v>
      </c>
      <c r="L495" s="383"/>
      <c r="M495" s="475">
        <v>4.4000000000000004</v>
      </c>
      <c r="N495" s="384"/>
    </row>
    <row r="496" spans="1:14">
      <c r="A496" s="444">
        <f>Input!B512</f>
        <v>38477</v>
      </c>
      <c r="B496" s="44">
        <f t="shared" si="29"/>
        <v>125</v>
      </c>
      <c r="C496" s="380">
        <f>PMSplint!T540</f>
        <v>2.2318325253800646</v>
      </c>
      <c r="D496" s="500">
        <v>1.9868260661321759</v>
      </c>
      <c r="E496" s="381">
        <f t="shared" si="28"/>
        <v>1.9868260661321759</v>
      </c>
      <c r="F496" s="382">
        <f>TxSplint!N174</f>
        <v>15.177167314851687</v>
      </c>
      <c r="G496" s="370"/>
      <c r="H496" s="381">
        <f t="shared" si="30"/>
        <v>15.177167314851687</v>
      </c>
      <c r="I496" s="382">
        <f>TnSplint!N174</f>
        <v>9.2859006088673546</v>
      </c>
      <c r="J496" s="370"/>
      <c r="K496" s="381">
        <f t="shared" si="31"/>
        <v>9.2859006088673546</v>
      </c>
      <c r="L496" s="383"/>
      <c r="M496" s="475">
        <v>0</v>
      </c>
      <c r="N496" s="384"/>
    </row>
    <row r="497" spans="1:14">
      <c r="A497" s="444">
        <f>Input!B513</f>
        <v>38478</v>
      </c>
      <c r="B497" s="44">
        <f t="shared" si="29"/>
        <v>126</v>
      </c>
      <c r="C497" s="380">
        <f>PMSplint!T541</f>
        <v>2.2881297537944461</v>
      </c>
      <c r="D497" s="500">
        <v>2.9434706790229859</v>
      </c>
      <c r="E497" s="381">
        <f t="shared" si="28"/>
        <v>2.9434706790229859</v>
      </c>
      <c r="F497" s="382">
        <f>TxSplint!N175</f>
        <v>15.386520260557177</v>
      </c>
      <c r="G497" s="370"/>
      <c r="H497" s="381">
        <f t="shared" si="30"/>
        <v>15.386520260557177</v>
      </c>
      <c r="I497" s="382">
        <f>TnSplint!N175</f>
        <v>9.4436796973286246</v>
      </c>
      <c r="J497" s="370"/>
      <c r="K497" s="381">
        <f t="shared" si="31"/>
        <v>9.4436796973286246</v>
      </c>
      <c r="L497" s="383"/>
      <c r="M497" s="475">
        <v>0</v>
      </c>
      <c r="N497" s="384"/>
    </row>
    <row r="498" spans="1:14">
      <c r="A498" s="444">
        <f>Input!B514</f>
        <v>38479</v>
      </c>
      <c r="B498" s="44">
        <f t="shared" si="29"/>
        <v>127</v>
      </c>
      <c r="C498" s="380">
        <f>PMSplint!T542</f>
        <v>2.3450699959183381</v>
      </c>
      <c r="D498" s="500">
        <v>3.3627214264420116</v>
      </c>
      <c r="E498" s="381">
        <f t="shared" si="28"/>
        <v>3.3627214264420116</v>
      </c>
      <c r="F498" s="382">
        <f>TxSplint!N176</f>
        <v>15.600702271220648</v>
      </c>
      <c r="G498" s="370"/>
      <c r="H498" s="381">
        <f t="shared" si="30"/>
        <v>15.600702271220648</v>
      </c>
      <c r="I498" s="382">
        <f>TnSplint!N176</f>
        <v>9.6041364686918254</v>
      </c>
      <c r="J498" s="370"/>
      <c r="K498" s="381">
        <f t="shared" si="31"/>
        <v>9.6041364686918254</v>
      </c>
      <c r="L498" s="383"/>
      <c r="M498" s="475">
        <v>0</v>
      </c>
      <c r="N498" s="384"/>
    </row>
    <row r="499" spans="1:14">
      <c r="A499" s="444">
        <f>Input!B515</f>
        <v>38480</v>
      </c>
      <c r="B499" s="44">
        <f t="shared" si="29"/>
        <v>128</v>
      </c>
      <c r="C499" s="380">
        <f>PMSplint!T543</f>
        <v>2.4025389935886645</v>
      </c>
      <c r="D499" s="500">
        <v>1.8421522137245261</v>
      </c>
      <c r="E499" s="381">
        <f t="shared" si="28"/>
        <v>1.8421522137245261</v>
      </c>
      <c r="F499" s="382">
        <f>TxSplint!N177</f>
        <v>15.819276140175395</v>
      </c>
      <c r="G499" s="370"/>
      <c r="H499" s="381">
        <f t="shared" si="30"/>
        <v>15.819276140175395</v>
      </c>
      <c r="I499" s="382">
        <f>TnSplint!N177</f>
        <v>9.7671631107868944</v>
      </c>
      <c r="J499" s="370"/>
      <c r="K499" s="381">
        <f t="shared" si="31"/>
        <v>9.7671631107868944</v>
      </c>
      <c r="L499" s="383"/>
      <c r="M499" s="475">
        <v>0</v>
      </c>
      <c r="N499" s="384"/>
    </row>
    <row r="500" spans="1:14">
      <c r="A500" s="444">
        <f>Input!B516</f>
        <v>38481</v>
      </c>
      <c r="B500" s="44">
        <f t="shared" si="29"/>
        <v>129</v>
      </c>
      <c r="C500" s="380">
        <f>PMSplint!T544</f>
        <v>2.4604224886423482</v>
      </c>
      <c r="D500" s="500">
        <v>1.6487735550847691</v>
      </c>
      <c r="E500" s="381">
        <f t="shared" si="28"/>
        <v>1.6487735550847691</v>
      </c>
      <c r="F500" s="382">
        <f>TxSplint!N178</f>
        <v>16.041804660754728</v>
      </c>
      <c r="G500" s="370"/>
      <c r="H500" s="381">
        <f t="shared" si="30"/>
        <v>16.041804660754728</v>
      </c>
      <c r="I500" s="382">
        <f>TnSplint!N178</f>
        <v>9.9326518114437672</v>
      </c>
      <c r="J500" s="370"/>
      <c r="K500" s="381">
        <f t="shared" si="31"/>
        <v>9.9326518114437672</v>
      </c>
      <c r="L500" s="383"/>
      <c r="M500" s="475">
        <v>2.6</v>
      </c>
      <c r="N500" s="384"/>
    </row>
    <row r="501" spans="1:14">
      <c r="A501" s="444">
        <f>Input!B517</f>
        <v>38482</v>
      </c>
      <c r="B501" s="44">
        <f t="shared" si="29"/>
        <v>130</v>
      </c>
      <c r="C501" s="380">
        <f>PMSplint!T545</f>
        <v>2.51860622291631</v>
      </c>
      <c r="D501" s="500">
        <v>2.9498016282126498</v>
      </c>
      <c r="E501" s="381">
        <f t="shared" si="28"/>
        <v>2.9498016282126498</v>
      </c>
      <c r="F501" s="382">
        <f>TxSplint!N179</f>
        <v>16.267850626291953</v>
      </c>
      <c r="G501" s="370"/>
      <c r="H501" s="381">
        <f t="shared" si="30"/>
        <v>16.267850626291953</v>
      </c>
      <c r="I501" s="382">
        <f>TnSplint!N179</f>
        <v>10.100494758492381</v>
      </c>
      <c r="J501" s="370"/>
      <c r="K501" s="381">
        <f t="shared" si="31"/>
        <v>10.100494758492381</v>
      </c>
      <c r="L501" s="383"/>
      <c r="M501" s="475">
        <v>26</v>
      </c>
      <c r="N501" s="384"/>
    </row>
    <row r="502" spans="1:14">
      <c r="A502" s="444">
        <f>Input!B518</f>
        <v>38483</v>
      </c>
      <c r="B502" s="44">
        <f t="shared" si="29"/>
        <v>131</v>
      </c>
      <c r="C502" s="380">
        <f>PMSplint!T546</f>
        <v>2.5769759382474735</v>
      </c>
      <c r="D502" s="500">
        <v>3.8585248973018555</v>
      </c>
      <c r="E502" s="381">
        <f t="shared" si="28"/>
        <v>3.8585248973018555</v>
      </c>
      <c r="F502" s="382">
        <f>TxSplint!N180</f>
        <v>16.496976830120367</v>
      </c>
      <c r="G502" s="370"/>
      <c r="H502" s="381">
        <f t="shared" si="30"/>
        <v>16.496976830120367</v>
      </c>
      <c r="I502" s="382">
        <f>TnSplint!N180</f>
        <v>10.270584139762676</v>
      </c>
      <c r="J502" s="370"/>
      <c r="K502" s="381">
        <f t="shared" si="31"/>
        <v>10.270584139762676</v>
      </c>
      <c r="L502" s="383"/>
      <c r="M502" s="475">
        <v>7.2</v>
      </c>
      <c r="N502" s="384"/>
    </row>
    <row r="503" spans="1:14">
      <c r="A503" s="444">
        <f>Input!B519</f>
        <v>38484</v>
      </c>
      <c r="B503" s="44">
        <f t="shared" si="29"/>
        <v>132</v>
      </c>
      <c r="C503" s="380">
        <f>PMSplint!T547</f>
        <v>2.6354173764727618</v>
      </c>
      <c r="D503" s="500">
        <v>3.672381118675212</v>
      </c>
      <c r="E503" s="381">
        <f t="shared" si="28"/>
        <v>3.672381118675212</v>
      </c>
      <c r="F503" s="382">
        <f>TxSplint!N181</f>
        <v>16.728746065573283</v>
      </c>
      <c r="G503" s="370"/>
      <c r="H503" s="381">
        <f t="shared" si="30"/>
        <v>16.728746065573283</v>
      </c>
      <c r="I503" s="382">
        <f>TnSplint!N181</f>
        <v>10.442812143084582</v>
      </c>
      <c r="J503" s="370"/>
      <c r="K503" s="381">
        <f t="shared" si="31"/>
        <v>10.442812143084582</v>
      </c>
      <c r="L503" s="383"/>
      <c r="M503" s="475">
        <v>0.2</v>
      </c>
      <c r="N503" s="384"/>
    </row>
    <row r="504" spans="1:14">
      <c r="A504" s="444">
        <f>Input!B520</f>
        <v>38485</v>
      </c>
      <c r="B504" s="44">
        <f t="shared" si="29"/>
        <v>133</v>
      </c>
      <c r="C504" s="380">
        <f>PMSplint!T548</f>
        <v>2.6938162794290963</v>
      </c>
      <c r="D504" s="500">
        <v>3.9687784154374723</v>
      </c>
      <c r="E504" s="381">
        <f t="shared" si="28"/>
        <v>3.9687784154374723</v>
      </c>
      <c r="F504" s="382">
        <f>TxSplint!N182</f>
        <v>16.962721125983997</v>
      </c>
      <c r="G504" s="370"/>
      <c r="H504" s="381">
        <f t="shared" si="30"/>
        <v>16.962721125983997</v>
      </c>
      <c r="I504" s="382">
        <f>TnSplint!N182</f>
        <v>10.617070956288041</v>
      </c>
      <c r="J504" s="370"/>
      <c r="K504" s="381">
        <f t="shared" si="31"/>
        <v>10.617070956288041</v>
      </c>
      <c r="L504" s="383"/>
      <c r="M504" s="475">
        <v>0</v>
      </c>
      <c r="N504" s="384"/>
    </row>
    <row r="505" spans="1:14">
      <c r="A505" s="444">
        <f>Input!B521</f>
        <v>38486</v>
      </c>
      <c r="B505" s="44">
        <f t="shared" si="29"/>
        <v>134</v>
      </c>
      <c r="C505" s="380">
        <f>PMSplint!T549</f>
        <v>2.7520583889534009</v>
      </c>
      <c r="D505" s="500">
        <v>2.7737374970843311</v>
      </c>
      <c r="E505" s="381">
        <f t="shared" si="28"/>
        <v>2.7737374970843311</v>
      </c>
      <c r="F505" s="382">
        <f>TxSplint!N183</f>
        <v>17.19846480468582</v>
      </c>
      <c r="G505" s="370"/>
      <c r="H505" s="381">
        <f t="shared" si="30"/>
        <v>17.19846480468582</v>
      </c>
      <c r="I505" s="382">
        <f>TnSplint!N183</f>
        <v>10.79325276720299</v>
      </c>
      <c r="J505" s="370"/>
      <c r="K505" s="381">
        <f t="shared" si="31"/>
        <v>10.79325276720299</v>
      </c>
      <c r="L505" s="383"/>
      <c r="M505" s="475">
        <v>8.4</v>
      </c>
      <c r="N505" s="384"/>
    </row>
    <row r="506" spans="1:14">
      <c r="A506" s="444">
        <f>Input!B522</f>
        <v>38487</v>
      </c>
      <c r="B506" s="44">
        <f t="shared" si="29"/>
        <v>135</v>
      </c>
      <c r="C506" s="380">
        <f>PMSplint!T550</f>
        <v>2.8100294468825973</v>
      </c>
      <c r="D506" s="500">
        <v>2.5122717623350574</v>
      </c>
      <c r="E506" s="381">
        <f t="shared" si="28"/>
        <v>2.5122717623350574</v>
      </c>
      <c r="F506" s="382">
        <f>TxSplint!N184</f>
        <v>17.435539895012052</v>
      </c>
      <c r="G506" s="370"/>
      <c r="H506" s="381">
        <f t="shared" si="30"/>
        <v>17.435539895012052</v>
      </c>
      <c r="I506" s="382">
        <f>TnSplint!N184</f>
        <v>10.97124976365936</v>
      </c>
      <c r="J506" s="370"/>
      <c r="K506" s="381">
        <f t="shared" si="31"/>
        <v>10.97124976365936</v>
      </c>
      <c r="L506" s="383"/>
      <c r="M506" s="475">
        <v>0.8</v>
      </c>
      <c r="N506" s="384"/>
    </row>
    <row r="507" spans="1:14">
      <c r="A507" s="444">
        <f>Input!B523</f>
        <v>38488</v>
      </c>
      <c r="B507" s="44">
        <f t="shared" si="29"/>
        <v>136</v>
      </c>
      <c r="C507" s="380">
        <f>PMSplint!T551</f>
        <v>2.8676151950536086</v>
      </c>
      <c r="D507" s="500">
        <v>2.6871893259664557</v>
      </c>
      <c r="E507" s="381">
        <f t="shared" si="28"/>
        <v>2.6871893259664557</v>
      </c>
      <c r="F507" s="382">
        <f>TxSplint!N185</f>
        <v>17.673509190296002</v>
      </c>
      <c r="G507" s="370"/>
      <c r="H507" s="381">
        <f t="shared" si="30"/>
        <v>17.673509190296002</v>
      </c>
      <c r="I507" s="382">
        <f>TnSplint!N185</f>
        <v>11.150954133487097</v>
      </c>
      <c r="J507" s="370"/>
      <c r="K507" s="381">
        <f t="shared" si="31"/>
        <v>11.150954133487097</v>
      </c>
      <c r="L507" s="383"/>
      <c r="M507" s="475">
        <v>0</v>
      </c>
      <c r="N507" s="384"/>
    </row>
    <row r="508" spans="1:14">
      <c r="A508" s="444">
        <f>Input!B524</f>
        <v>38489</v>
      </c>
      <c r="B508" s="44">
        <f t="shared" si="29"/>
        <v>137</v>
      </c>
      <c r="C508" s="380">
        <f>PMSplint!T552</f>
        <v>2.9247146403846855</v>
      </c>
      <c r="D508" s="500">
        <v>2.6582090288371689</v>
      </c>
      <c r="E508" s="381">
        <f t="shared" si="28"/>
        <v>2.6582090288371689</v>
      </c>
      <c r="F508" s="382">
        <f>TxSplint!N186</f>
        <v>17.911935483870966</v>
      </c>
      <c r="G508" s="370"/>
      <c r="H508" s="381">
        <f t="shared" si="30"/>
        <v>17.911935483870966</v>
      </c>
      <c r="I508" s="382">
        <f>TnSplint!N186</f>
        <v>11.332258064516131</v>
      </c>
      <c r="J508" s="370"/>
      <c r="K508" s="381">
        <f t="shared" si="31"/>
        <v>11.332258064516131</v>
      </c>
      <c r="L508" s="383"/>
      <c r="M508" s="475">
        <v>0</v>
      </c>
      <c r="N508" s="384"/>
    </row>
    <row r="509" spans="1:14">
      <c r="A509" s="444">
        <f>Input!B525</f>
        <v>38490</v>
      </c>
      <c r="B509" s="44">
        <f t="shared" si="29"/>
        <v>138</v>
      </c>
      <c r="C509" s="380">
        <f>PMSplint!T553</f>
        <v>2.9812798501193929</v>
      </c>
      <c r="D509" s="500">
        <v>2.1669250851470583</v>
      </c>
      <c r="E509" s="381">
        <f t="shared" si="28"/>
        <v>2.1669250851470583</v>
      </c>
      <c r="F509" s="382">
        <f>TxSplint!N187</f>
        <v>18.150414171013903</v>
      </c>
      <c r="G509" s="370"/>
      <c r="H509" s="381">
        <f t="shared" si="30"/>
        <v>18.150414171013903</v>
      </c>
      <c r="I509" s="382">
        <f>TnSplint!N187</f>
        <v>11.515033453020257</v>
      </c>
      <c r="J509" s="370"/>
      <c r="K509" s="381">
        <f t="shared" si="31"/>
        <v>11.515033453020257</v>
      </c>
      <c r="L509" s="383"/>
      <c r="M509" s="475">
        <v>0</v>
      </c>
      <c r="N509" s="384"/>
    </row>
    <row r="510" spans="1:14">
      <c r="A510" s="444">
        <f>Input!B526</f>
        <v>38491</v>
      </c>
      <c r="B510" s="44">
        <f t="shared" si="29"/>
        <v>139</v>
      </c>
      <c r="C510" s="380">
        <f>PMSplint!T554</f>
        <v>3.0372761565826236</v>
      </c>
      <c r="D510" s="500">
        <v>3.1563511268161637</v>
      </c>
      <c r="E510" s="381">
        <f t="shared" si="28"/>
        <v>3.1563511268161637</v>
      </c>
      <c r="F510" s="382">
        <f>TxSplint!N188</f>
        <v>18.388671054776328</v>
      </c>
      <c r="G510" s="370"/>
      <c r="H510" s="381">
        <f t="shared" si="30"/>
        <v>18.388671054776328</v>
      </c>
      <c r="I510" s="382">
        <f>TnSplint!N188</f>
        <v>11.699071029048698</v>
      </c>
      <c r="J510" s="370"/>
      <c r="K510" s="381">
        <f t="shared" si="31"/>
        <v>11.699071029048698</v>
      </c>
      <c r="L510" s="383"/>
      <c r="M510" s="475">
        <v>0</v>
      </c>
      <c r="N510" s="384"/>
    </row>
    <row r="511" spans="1:14">
      <c r="A511" s="444">
        <f>Input!B527</f>
        <v>38492</v>
      </c>
      <c r="B511" s="44">
        <f t="shared" si="29"/>
        <v>140</v>
      </c>
      <c r="C511" s="380">
        <f>PMSplint!T555</f>
        <v>3.0926688920992711</v>
      </c>
      <c r="D511" s="500">
        <v>2.2714870024934979</v>
      </c>
      <c r="E511" s="381">
        <f t="shared" si="28"/>
        <v>2.2714870024934979</v>
      </c>
      <c r="F511" s="382">
        <f>TxSplint!N189</f>
        <v>18.626464540153428</v>
      </c>
      <c r="G511" s="370"/>
      <c r="H511" s="381">
        <f t="shared" si="30"/>
        <v>18.626464540153428</v>
      </c>
      <c r="I511" s="382">
        <f>TnSplint!N189</f>
        <v>11.884141231094528</v>
      </c>
      <c r="J511" s="370"/>
      <c r="K511" s="381">
        <f t="shared" si="31"/>
        <v>11.884141231094528</v>
      </c>
      <c r="L511" s="383"/>
      <c r="M511" s="475">
        <v>0</v>
      </c>
      <c r="N511" s="384"/>
    </row>
    <row r="512" spans="1:14">
      <c r="A512" s="444">
        <f>Input!B528</f>
        <v>38493</v>
      </c>
      <c r="B512" s="44">
        <f t="shared" si="29"/>
        <v>141</v>
      </c>
      <c r="C512" s="380">
        <f>PMSplint!T556</f>
        <v>3.1474233889942287</v>
      </c>
      <c r="D512" s="500">
        <v>2.3149334984040815</v>
      </c>
      <c r="E512" s="381">
        <f t="shared" si="28"/>
        <v>2.3149334984040815</v>
      </c>
      <c r="F512" s="382">
        <f>TxSplint!N190</f>
        <v>18.863553032140366</v>
      </c>
      <c r="G512" s="370"/>
      <c r="H512" s="381">
        <f t="shared" si="30"/>
        <v>18.863553032140366</v>
      </c>
      <c r="I512" s="382">
        <f>TnSplint!N190</f>
        <v>12.070014497650829</v>
      </c>
      <c r="J512" s="370"/>
      <c r="K512" s="381">
        <f t="shared" si="31"/>
        <v>12.070014497650829</v>
      </c>
      <c r="L512" s="383"/>
      <c r="M512" s="475">
        <v>0</v>
      </c>
      <c r="N512" s="384"/>
    </row>
    <row r="513" spans="1:14">
      <c r="A513" s="444">
        <f>Input!B529</f>
        <v>38494</v>
      </c>
      <c r="B513" s="44">
        <f t="shared" si="29"/>
        <v>142</v>
      </c>
      <c r="C513" s="380">
        <f>PMSplint!T557</f>
        <v>3.2015049795923889</v>
      </c>
      <c r="D513" s="500">
        <v>2.6663210175425371</v>
      </c>
      <c r="E513" s="381">
        <f t="shared" si="28"/>
        <v>2.6663210175425371</v>
      </c>
      <c r="F513" s="382">
        <f>TxSplint!N191</f>
        <v>19.099694935732316</v>
      </c>
      <c r="G513" s="370"/>
      <c r="H513" s="381">
        <f t="shared" si="30"/>
        <v>19.099694935732316</v>
      </c>
      <c r="I513" s="382">
        <f>TnSplint!N191</f>
        <v>12.256461267210675</v>
      </c>
      <c r="J513" s="370"/>
      <c r="K513" s="381">
        <f t="shared" si="31"/>
        <v>12.256461267210675</v>
      </c>
      <c r="L513" s="383"/>
      <c r="M513" s="475">
        <v>0</v>
      </c>
      <c r="N513" s="384"/>
    </row>
    <row r="514" spans="1:14">
      <c r="A514" s="444">
        <f>Input!B530</f>
        <v>38495</v>
      </c>
      <c r="B514" s="44">
        <f t="shared" si="29"/>
        <v>143</v>
      </c>
      <c r="C514" s="380">
        <f>PMSplint!T558</f>
        <v>3.254878996218646</v>
      </c>
      <c r="D514" s="500">
        <v>2.0078951527307867</v>
      </c>
      <c r="E514" s="381">
        <f t="shared" si="28"/>
        <v>2.0078951527307867</v>
      </c>
      <c r="F514" s="382">
        <f>TxSplint!N192</f>
        <v>19.33464865592445</v>
      </c>
      <c r="G514" s="370"/>
      <c r="H514" s="381">
        <f t="shared" si="30"/>
        <v>19.33464865592445</v>
      </c>
      <c r="I514" s="382">
        <f>TnSplint!N192</f>
        <v>12.44325197826714</v>
      </c>
      <c r="J514" s="370"/>
      <c r="K514" s="381">
        <f t="shared" si="31"/>
        <v>12.44325197826714</v>
      </c>
      <c r="L514" s="383"/>
      <c r="M514" s="475">
        <v>0</v>
      </c>
      <c r="N514" s="384"/>
    </row>
    <row r="515" spans="1:14">
      <c r="A515" s="444">
        <f>Input!B531</f>
        <v>38496</v>
      </c>
      <c r="B515" s="44">
        <f t="shared" si="29"/>
        <v>144</v>
      </c>
      <c r="C515" s="380">
        <f>PMSplint!T559</f>
        <v>3.3075107711978906</v>
      </c>
      <c r="D515" s="500">
        <v>3.3353746158162507</v>
      </c>
      <c r="E515" s="381">
        <f t="shared" ref="E515:E578" si="32">IF(ISERROR(D515),C515,IF(D515="",C515,IF(D515&lt;0,0,D515)))</f>
        <v>3.3353746158162507</v>
      </c>
      <c r="F515" s="382">
        <f>TxSplint!N193</f>
        <v>19.568172597711939</v>
      </c>
      <c r="G515" s="370"/>
      <c r="H515" s="381">
        <f t="shared" si="30"/>
        <v>19.568172597711939</v>
      </c>
      <c r="I515" s="382">
        <f>TnSplint!N193</f>
        <v>12.630157069313313</v>
      </c>
      <c r="J515" s="370"/>
      <c r="K515" s="381">
        <f t="shared" si="31"/>
        <v>12.630157069313313</v>
      </c>
      <c r="L515" s="383"/>
      <c r="M515" s="475">
        <v>0</v>
      </c>
      <c r="N515" s="384"/>
    </row>
    <row r="516" spans="1:14">
      <c r="A516" s="444">
        <f>Input!B532</f>
        <v>38497</v>
      </c>
      <c r="B516" s="44">
        <f t="shared" si="29"/>
        <v>145</v>
      </c>
      <c r="C516" s="380">
        <f>PMSplint!T560</f>
        <v>3.3593656368550193</v>
      </c>
      <c r="D516" s="500">
        <v>3.6860224665711194</v>
      </c>
      <c r="E516" s="381">
        <f t="shared" si="32"/>
        <v>3.6860224665711194</v>
      </c>
      <c r="F516" s="382">
        <f>TxSplint!N194</f>
        <v>19.800025166089963</v>
      </c>
      <c r="G516" s="370"/>
      <c r="H516" s="381">
        <f t="shared" si="30"/>
        <v>19.800025166089963</v>
      </c>
      <c r="I516" s="382">
        <f>TnSplint!N194</f>
        <v>12.816946978842259</v>
      </c>
      <c r="J516" s="370"/>
      <c r="K516" s="381">
        <f t="shared" si="31"/>
        <v>12.816946978842259</v>
      </c>
      <c r="L516" s="383"/>
      <c r="M516" s="475">
        <v>0</v>
      </c>
      <c r="N516" s="384"/>
    </row>
    <row r="517" spans="1:14">
      <c r="A517" s="444">
        <f>Input!B533</f>
        <v>38498</v>
      </c>
      <c r="B517" s="44">
        <f t="shared" si="29"/>
        <v>146</v>
      </c>
      <c r="C517" s="380">
        <f>PMSplint!T561</f>
        <v>3.4104089255149224</v>
      </c>
      <c r="D517" s="500">
        <v>3.28904064531531</v>
      </c>
      <c r="E517" s="381">
        <f t="shared" si="32"/>
        <v>3.28904064531531</v>
      </c>
      <c r="F517" s="382">
        <f>TxSplint!N195</f>
        <v>20.029964766053684</v>
      </c>
      <c r="G517" s="370"/>
      <c r="H517" s="381">
        <f t="shared" si="30"/>
        <v>20.029964766053684</v>
      </c>
      <c r="I517" s="382">
        <f>TnSplint!N195</f>
        <v>13.003392145347066</v>
      </c>
      <c r="J517" s="370"/>
      <c r="K517" s="381">
        <f t="shared" si="31"/>
        <v>13.003392145347066</v>
      </c>
      <c r="L517" s="383"/>
      <c r="M517" s="475">
        <v>9.8000000000000007</v>
      </c>
      <c r="N517" s="384"/>
    </row>
    <row r="518" spans="1:14">
      <c r="A518" s="444">
        <f>Input!B534</f>
        <v>38499</v>
      </c>
      <c r="B518" s="44">
        <f t="shared" si="29"/>
        <v>147</v>
      </c>
      <c r="C518" s="380">
        <f>PMSplint!T562</f>
        <v>3.4606059695024944</v>
      </c>
      <c r="D518" s="500">
        <v>3.2219838024285434</v>
      </c>
      <c r="E518" s="381">
        <f t="shared" si="32"/>
        <v>3.2219838024285434</v>
      </c>
      <c r="F518" s="382">
        <f>TxSplint!N196</f>
        <v>20.25774980259828</v>
      </c>
      <c r="G518" s="370"/>
      <c r="H518" s="381">
        <f t="shared" si="30"/>
        <v>20.25774980259828</v>
      </c>
      <c r="I518" s="382">
        <f>TnSplint!N196</f>
        <v>13.189263007320802</v>
      </c>
      <c r="J518" s="370"/>
      <c r="K518" s="381">
        <f t="shared" si="31"/>
        <v>13.189263007320802</v>
      </c>
      <c r="L518" s="383"/>
      <c r="M518" s="475">
        <v>6.4</v>
      </c>
      <c r="N518" s="384"/>
    </row>
    <row r="519" spans="1:14">
      <c r="A519" s="444">
        <f>Input!B535</f>
        <v>38500</v>
      </c>
      <c r="B519" s="44">
        <f t="shared" ref="B519:B582" si="33">A519-DATE(YEAR(A519)-1,12,31)</f>
        <v>148</v>
      </c>
      <c r="C519" s="380">
        <f>PMSplint!T563</f>
        <v>3.5099221011426276</v>
      </c>
      <c r="D519" s="500">
        <v>2.8444012802599774</v>
      </c>
      <c r="E519" s="381">
        <f t="shared" si="32"/>
        <v>2.8444012802599774</v>
      </c>
      <c r="F519" s="382">
        <f>TxSplint!N197</f>
        <v>20.483138680718923</v>
      </c>
      <c r="G519" s="370"/>
      <c r="H519" s="381">
        <f t="shared" si="30"/>
        <v>20.483138680718923</v>
      </c>
      <c r="I519" s="382">
        <f>TnSplint!N197</f>
        <v>13.374330003256553</v>
      </c>
      <c r="J519" s="370"/>
      <c r="K519" s="381">
        <f t="shared" si="31"/>
        <v>13.374330003256553</v>
      </c>
      <c r="L519" s="383"/>
      <c r="M519" s="475">
        <v>0</v>
      </c>
      <c r="N519" s="384"/>
    </row>
    <row r="520" spans="1:14">
      <c r="A520" s="444">
        <f>Input!B536</f>
        <v>38501</v>
      </c>
      <c r="B520" s="44">
        <f t="shared" si="33"/>
        <v>149</v>
      </c>
      <c r="C520" s="380">
        <f>PMSplint!T564</f>
        <v>3.5583226527602165</v>
      </c>
      <c r="D520" s="500">
        <v>3.3058542029797064</v>
      </c>
      <c r="E520" s="381">
        <f t="shared" si="32"/>
        <v>3.3058542029797064</v>
      </c>
      <c r="F520" s="382">
        <f>TxSplint!N198</f>
        <v>20.705889805410781</v>
      </c>
      <c r="G520" s="370"/>
      <c r="H520" s="381">
        <f t="shared" ref="H520:H582" si="34">IF(G520="",F520,G520)</f>
        <v>20.705889805410781</v>
      </c>
      <c r="I520" s="382">
        <f>TnSplint!N198</f>
        <v>13.558363571647391</v>
      </c>
      <c r="J520" s="370"/>
      <c r="K520" s="381">
        <f t="shared" ref="K520:K582" si="35">IF(J520="",I520,J520)</f>
        <v>13.558363571647391</v>
      </c>
      <c r="L520" s="383"/>
      <c r="M520" s="475">
        <v>0</v>
      </c>
      <c r="N520" s="384"/>
    </row>
    <row r="521" spans="1:14">
      <c r="A521" s="444">
        <f>Input!B537</f>
        <v>38502</v>
      </c>
      <c r="B521" s="44">
        <f t="shared" si="33"/>
        <v>150</v>
      </c>
      <c r="C521" s="380">
        <f>PMSplint!T565</f>
        <v>3.6057729566801524</v>
      </c>
      <c r="D521" s="500">
        <v>4.038093828748214</v>
      </c>
      <c r="E521" s="381">
        <f t="shared" si="32"/>
        <v>4.038093828748214</v>
      </c>
      <c r="F521" s="382">
        <f>TxSplint!N199</f>
        <v>20.925761581669029</v>
      </c>
      <c r="G521" s="370"/>
      <c r="H521" s="381">
        <f t="shared" si="34"/>
        <v>20.925761581669029</v>
      </c>
      <c r="I521" s="382">
        <f>TnSplint!N199</f>
        <v>13.741134150986397</v>
      </c>
      <c r="J521" s="370"/>
      <c r="K521" s="381">
        <f t="shared" si="35"/>
        <v>13.741134150986397</v>
      </c>
      <c r="L521" s="383"/>
      <c r="M521" s="475">
        <v>0</v>
      </c>
      <c r="N521" s="384"/>
    </row>
    <row r="522" spans="1:14">
      <c r="A522" s="444">
        <f>Input!B538</f>
        <v>38503</v>
      </c>
      <c r="B522" s="44">
        <f t="shared" si="33"/>
        <v>151</v>
      </c>
      <c r="C522" s="380">
        <f>PMSplint!T566</f>
        <v>3.6522383452273299</v>
      </c>
      <c r="D522" s="500">
        <v>3.6071849907178821</v>
      </c>
      <c r="E522" s="381">
        <f t="shared" si="32"/>
        <v>3.6071849907178821</v>
      </c>
      <c r="F522" s="382">
        <f>TxSplint!N200</f>
        <v>21.142512414488845</v>
      </c>
      <c r="G522" s="370"/>
      <c r="H522" s="381">
        <f t="shared" si="34"/>
        <v>21.142512414488845</v>
      </c>
      <c r="I522" s="382">
        <f>TnSplint!N200</f>
        <v>13.922412179766644</v>
      </c>
      <c r="J522" s="370"/>
      <c r="K522" s="381">
        <f t="shared" si="35"/>
        <v>13.922412179766644</v>
      </c>
      <c r="L522" s="383"/>
      <c r="M522" s="475">
        <v>0</v>
      </c>
      <c r="N522" s="384"/>
    </row>
    <row r="523" spans="1:14">
      <c r="A523" s="444">
        <f>Input!B539</f>
        <v>38504</v>
      </c>
      <c r="B523" s="44">
        <f t="shared" si="33"/>
        <v>152</v>
      </c>
      <c r="C523" s="380">
        <f>PMSplint!T567</f>
        <v>3.6976841507266416</v>
      </c>
      <c r="D523" s="500">
        <v>3.9641089845261237</v>
      </c>
      <c r="E523" s="381">
        <f t="shared" si="32"/>
        <v>3.9641089845261237</v>
      </c>
      <c r="F523" s="382">
        <f>TxSplint!N201</f>
        <v>21.355900708865388</v>
      </c>
      <c r="G523" s="370"/>
      <c r="H523" s="381">
        <f t="shared" si="34"/>
        <v>21.355900708865388</v>
      </c>
      <c r="I523" s="382">
        <f>TnSplint!N201</f>
        <v>14.101968096481214</v>
      </c>
      <c r="J523" s="370"/>
      <c r="K523" s="381">
        <f t="shared" si="35"/>
        <v>14.101968096481214</v>
      </c>
      <c r="L523" s="383"/>
      <c r="M523" s="475">
        <v>0</v>
      </c>
      <c r="N523" s="384"/>
    </row>
    <row r="524" spans="1:14">
      <c r="A524" s="444">
        <f>Input!B540</f>
        <v>38505</v>
      </c>
      <c r="B524" s="44">
        <f t="shared" si="33"/>
        <v>153</v>
      </c>
      <c r="C524" s="380">
        <f>PMSplint!T568</f>
        <v>3.7420757055029803</v>
      </c>
      <c r="D524" s="500">
        <v>4.342203995140836</v>
      </c>
      <c r="E524" s="381">
        <f t="shared" si="32"/>
        <v>4.342203995140836</v>
      </c>
      <c r="F524" s="382">
        <f>TxSplint!N202</f>
        <v>21.565684869793841</v>
      </c>
      <c r="G524" s="370"/>
      <c r="H524" s="381">
        <f t="shared" si="34"/>
        <v>21.565684869793841</v>
      </c>
      <c r="I524" s="382">
        <f>TnSplint!N202</f>
        <v>14.279572339623185</v>
      </c>
      <c r="J524" s="370"/>
      <c r="K524" s="381">
        <f t="shared" si="35"/>
        <v>14.279572339623185</v>
      </c>
      <c r="L524" s="383"/>
      <c r="M524" s="475">
        <v>0</v>
      </c>
      <c r="N524" s="384"/>
    </row>
    <row r="525" spans="1:14">
      <c r="A525" s="444">
        <f>Input!B541</f>
        <v>38506</v>
      </c>
      <c r="B525" s="44">
        <f t="shared" si="33"/>
        <v>154</v>
      </c>
      <c r="C525" s="380">
        <f>PMSplint!T569</f>
        <v>3.7853783418812403</v>
      </c>
      <c r="D525" s="500">
        <v>3.9718550288769805</v>
      </c>
      <c r="E525" s="381">
        <f t="shared" si="32"/>
        <v>3.9718550288769805</v>
      </c>
      <c r="F525" s="382">
        <f>TxSplint!N203</f>
        <v>21.771623302269379</v>
      </c>
      <c r="G525" s="370"/>
      <c r="H525" s="381">
        <f t="shared" si="34"/>
        <v>21.771623302269379</v>
      </c>
      <c r="I525" s="382">
        <f>TnSplint!N203</f>
        <v>14.45499534768563</v>
      </c>
      <c r="J525" s="370"/>
      <c r="K525" s="381">
        <f t="shared" si="35"/>
        <v>14.45499534768563</v>
      </c>
      <c r="L525" s="383"/>
      <c r="M525" s="475">
        <v>2.6</v>
      </c>
      <c r="N525" s="384"/>
    </row>
    <row r="526" spans="1:14">
      <c r="A526" s="444">
        <f>Input!B542</f>
        <v>38507</v>
      </c>
      <c r="B526" s="44">
        <f t="shared" si="33"/>
        <v>155</v>
      </c>
      <c r="C526" s="380">
        <f>PMSplint!T570</f>
        <v>3.8275573921863124</v>
      </c>
      <c r="D526" s="500">
        <v>4.7508185916955172</v>
      </c>
      <c r="E526" s="381">
        <f t="shared" si="32"/>
        <v>4.7508185916955172</v>
      </c>
      <c r="F526" s="382">
        <f>TxSplint!N204</f>
        <v>21.973474411287164</v>
      </c>
      <c r="G526" s="370"/>
      <c r="H526" s="381">
        <f t="shared" si="34"/>
        <v>21.973474411287164</v>
      </c>
      <c r="I526" s="382">
        <f>TnSplint!N204</f>
        <v>14.628007559161629</v>
      </c>
      <c r="J526" s="370"/>
      <c r="K526" s="381">
        <f t="shared" si="35"/>
        <v>14.628007559161629</v>
      </c>
      <c r="L526" s="383"/>
      <c r="M526" s="475">
        <v>0.8</v>
      </c>
      <c r="N526" s="384"/>
    </row>
    <row r="527" spans="1:14">
      <c r="A527" s="444">
        <f>Input!B543</f>
        <v>38508</v>
      </c>
      <c r="B527" s="44">
        <f t="shared" si="33"/>
        <v>156</v>
      </c>
      <c r="C527" s="380">
        <f>PMSplint!T571</f>
        <v>3.8685781887430926</v>
      </c>
      <c r="D527" s="500">
        <v>3.9279677078967485</v>
      </c>
      <c r="E527" s="381">
        <f t="shared" si="32"/>
        <v>3.9279677078967485</v>
      </c>
      <c r="F527" s="382">
        <f>TxSplint!N205</f>
        <v>22.170996601842372</v>
      </c>
      <c r="G527" s="370"/>
      <c r="H527" s="381">
        <f t="shared" si="34"/>
        <v>22.170996601842372</v>
      </c>
      <c r="I527" s="382">
        <f>TnSplint!N205</f>
        <v>14.798379412544261</v>
      </c>
      <c r="J527" s="370"/>
      <c r="K527" s="381">
        <f t="shared" si="35"/>
        <v>14.798379412544261</v>
      </c>
      <c r="L527" s="383"/>
      <c r="M527" s="475">
        <v>0</v>
      </c>
      <c r="N527" s="384"/>
    </row>
    <row r="528" spans="1:14">
      <c r="A528" s="444">
        <f>Input!B544</f>
        <v>38509</v>
      </c>
      <c r="B528" s="44">
        <f t="shared" si="33"/>
        <v>157</v>
      </c>
      <c r="C528" s="380">
        <f>PMSplint!T572</f>
        <v>3.9084060638764724</v>
      </c>
      <c r="D528" s="500">
        <v>3.6238138037089076</v>
      </c>
      <c r="E528" s="381">
        <f t="shared" si="32"/>
        <v>3.6238138037089076</v>
      </c>
      <c r="F528" s="382">
        <f>TxSplint!N206</f>
        <v>22.363948278930177</v>
      </c>
      <c r="G528" s="370"/>
      <c r="H528" s="381">
        <f t="shared" si="34"/>
        <v>22.363948278930177</v>
      </c>
      <c r="I528" s="382">
        <f>TnSplint!N206</f>
        <v>14.965881346326601</v>
      </c>
      <c r="J528" s="370"/>
      <c r="K528" s="381">
        <f t="shared" si="35"/>
        <v>14.965881346326601</v>
      </c>
      <c r="L528" s="383"/>
      <c r="M528" s="475">
        <v>0</v>
      </c>
      <c r="N528" s="384"/>
    </row>
    <row r="529" spans="1:14">
      <c r="A529" s="444">
        <f>Input!B545</f>
        <v>38510</v>
      </c>
      <c r="B529" s="44">
        <f t="shared" si="33"/>
        <v>158</v>
      </c>
      <c r="C529" s="380">
        <f>PMSplint!T573</f>
        <v>3.9470063499113448</v>
      </c>
      <c r="D529" s="500">
        <v>4.1290757913512</v>
      </c>
      <c r="E529" s="381">
        <f t="shared" si="32"/>
        <v>4.1290757913512</v>
      </c>
      <c r="F529" s="382">
        <f>TxSplint!N207</f>
        <v>22.552087847545753</v>
      </c>
      <c r="G529" s="370"/>
      <c r="H529" s="381">
        <f t="shared" si="34"/>
        <v>22.552087847545753</v>
      </c>
      <c r="I529" s="382">
        <f>TnSplint!N207</f>
        <v>15.130283799001727</v>
      </c>
      <c r="J529" s="370"/>
      <c r="K529" s="381">
        <f t="shared" si="35"/>
        <v>15.130283799001727</v>
      </c>
      <c r="L529" s="383"/>
      <c r="M529" s="475">
        <v>0</v>
      </c>
      <c r="N529" s="384"/>
    </row>
    <row r="530" spans="1:14">
      <c r="A530" s="444">
        <f>Input!B546</f>
        <v>38511</v>
      </c>
      <c r="B530" s="44">
        <f t="shared" si="33"/>
        <v>159</v>
      </c>
      <c r="C530" s="380">
        <f>PMSplint!T574</f>
        <v>3.9843443791726036</v>
      </c>
      <c r="D530" s="500">
        <v>4.4462286753676405</v>
      </c>
      <c r="E530" s="381">
        <f t="shared" si="32"/>
        <v>4.4462286753676405</v>
      </c>
      <c r="F530" s="382">
        <f>TxSplint!N208</f>
        <v>22.735173712684269</v>
      </c>
      <c r="G530" s="370"/>
      <c r="H530" s="381">
        <f t="shared" si="34"/>
        <v>22.735173712684269</v>
      </c>
      <c r="I530" s="382">
        <f>TnSplint!N208</f>
        <v>15.291357209062721</v>
      </c>
      <c r="J530" s="370"/>
      <c r="K530" s="381">
        <f t="shared" si="35"/>
        <v>15.291357209062721</v>
      </c>
      <c r="L530" s="383"/>
      <c r="M530" s="475">
        <v>0</v>
      </c>
      <c r="N530" s="384"/>
    </row>
    <row r="531" spans="1:14">
      <c r="A531" s="444">
        <f>Input!B547</f>
        <v>38512</v>
      </c>
      <c r="B531" s="44">
        <f t="shared" si="33"/>
        <v>160</v>
      </c>
      <c r="C531" s="380">
        <f>PMSplint!T575</f>
        <v>4.020385483985141</v>
      </c>
      <c r="D531" s="500">
        <v>4.3562374293007231</v>
      </c>
      <c r="E531" s="381">
        <f t="shared" si="32"/>
        <v>4.3562374293007231</v>
      </c>
      <c r="F531" s="382">
        <f>TxSplint!N209</f>
        <v>22.912964279340894</v>
      </c>
      <c r="G531" s="370"/>
      <c r="H531" s="381">
        <f t="shared" si="34"/>
        <v>22.912964279340894</v>
      </c>
      <c r="I531" s="382">
        <f>TnSplint!N209</f>
        <v>15.448872015002653</v>
      </c>
      <c r="J531" s="370"/>
      <c r="K531" s="381">
        <f t="shared" si="35"/>
        <v>15.448872015002653</v>
      </c>
      <c r="L531" s="383"/>
      <c r="M531" s="475">
        <v>0</v>
      </c>
      <c r="N531" s="384"/>
    </row>
    <row r="532" spans="1:14">
      <c r="A532" s="444">
        <f>Input!B548</f>
        <v>38513</v>
      </c>
      <c r="B532" s="44">
        <f t="shared" si="33"/>
        <v>161</v>
      </c>
      <c r="C532" s="380">
        <f>PMSplint!T576</f>
        <v>4.0550949966738505</v>
      </c>
      <c r="D532" s="500">
        <v>4.1459186279255205</v>
      </c>
      <c r="E532" s="381">
        <f t="shared" si="32"/>
        <v>4.1459186279255205</v>
      </c>
      <c r="F532" s="382">
        <f>TxSplint!N210</f>
        <v>23.08521795251081</v>
      </c>
      <c r="G532" s="370"/>
      <c r="H532" s="381">
        <f t="shared" si="34"/>
        <v>23.08521795251081</v>
      </c>
      <c r="I532" s="382">
        <f>TnSplint!N210</f>
        <v>15.602598655314605</v>
      </c>
      <c r="J532" s="370"/>
      <c r="K532" s="381">
        <f t="shared" si="35"/>
        <v>15.602598655314605</v>
      </c>
      <c r="L532" s="383"/>
      <c r="M532" s="475">
        <v>9</v>
      </c>
      <c r="N532" s="384"/>
    </row>
    <row r="533" spans="1:14">
      <c r="A533" s="444">
        <f>Input!B549</f>
        <v>38514</v>
      </c>
      <c r="B533" s="44">
        <f t="shared" si="33"/>
        <v>162</v>
      </c>
      <c r="C533" s="380">
        <f>PMSplint!T577</f>
        <v>4.0884382495636267</v>
      </c>
      <c r="D533" s="500">
        <v>4.411672347114922</v>
      </c>
      <c r="E533" s="381">
        <f t="shared" si="32"/>
        <v>4.411672347114922</v>
      </c>
      <c r="F533" s="382">
        <f>TxSplint!N211</f>
        <v>23.251693137189179</v>
      </c>
      <c r="G533" s="370"/>
      <c r="H533" s="381">
        <f t="shared" si="34"/>
        <v>23.251693137189179</v>
      </c>
      <c r="I533" s="382">
        <f>TnSplint!N211</f>
        <v>15.752307568491654</v>
      </c>
      <c r="J533" s="370"/>
      <c r="K533" s="381">
        <f t="shared" si="35"/>
        <v>15.752307568491654</v>
      </c>
      <c r="L533" s="383"/>
      <c r="M533" s="475">
        <v>0.4</v>
      </c>
      <c r="N533" s="384"/>
    </row>
    <row r="534" spans="1:14">
      <c r="A534" s="444">
        <f>Input!B550</f>
        <v>38515</v>
      </c>
      <c r="B534" s="44">
        <f t="shared" si="33"/>
        <v>163</v>
      </c>
      <c r="C534" s="380">
        <f>PMSplint!T578</f>
        <v>4.1203805749793609</v>
      </c>
      <c r="D534" s="500">
        <v>4.3849772680391643</v>
      </c>
      <c r="E534" s="381">
        <f t="shared" si="32"/>
        <v>4.3849772680391643</v>
      </c>
      <c r="F534" s="382">
        <f>TxSplint!N212</f>
        <v>23.412148238371184</v>
      </c>
      <c r="G534" s="370"/>
      <c r="H534" s="381">
        <f t="shared" si="34"/>
        <v>23.412148238371184</v>
      </c>
      <c r="I534" s="382">
        <f>TnSplint!N212</f>
        <v>15.897769193026882</v>
      </c>
      <c r="J534" s="370"/>
      <c r="K534" s="381">
        <f t="shared" si="35"/>
        <v>15.897769193026882</v>
      </c>
      <c r="L534" s="383"/>
      <c r="M534" s="475">
        <v>9</v>
      </c>
      <c r="N534" s="384"/>
    </row>
    <row r="535" spans="1:14">
      <c r="A535" s="444">
        <f>Input!B551</f>
        <v>38516</v>
      </c>
      <c r="B535" s="44">
        <f t="shared" si="33"/>
        <v>164</v>
      </c>
      <c r="C535" s="380">
        <f>PMSplint!T579</f>
        <v>4.1508873052459467</v>
      </c>
      <c r="D535" s="500">
        <v>3.8091930190969734</v>
      </c>
      <c r="E535" s="381">
        <f t="shared" si="32"/>
        <v>3.8091930190969734</v>
      </c>
      <c r="F535" s="382">
        <f>TxSplint!N213</f>
        <v>23.566341661051982</v>
      </c>
      <c r="G535" s="370"/>
      <c r="H535" s="381">
        <f t="shared" si="34"/>
        <v>23.566341661051982</v>
      </c>
      <c r="I535" s="382">
        <f>TnSplint!N213</f>
        <v>16.038753967413356</v>
      </c>
      <c r="J535" s="370"/>
      <c r="K535" s="381">
        <f t="shared" si="35"/>
        <v>16.038753967413356</v>
      </c>
      <c r="L535" s="383"/>
      <c r="M535" s="475">
        <v>0</v>
      </c>
      <c r="N535" s="384"/>
    </row>
    <row r="536" spans="1:14">
      <c r="A536" s="444">
        <f>Input!B552</f>
        <v>38517</v>
      </c>
      <c r="B536" s="44">
        <f t="shared" si="33"/>
        <v>165</v>
      </c>
      <c r="C536" s="380">
        <f>PMSplint!T580</f>
        <v>4.1799237726882774</v>
      </c>
      <c r="D536" s="500">
        <v>4.0988775716802071</v>
      </c>
      <c r="E536" s="381">
        <f t="shared" si="32"/>
        <v>4.0988775716802071</v>
      </c>
      <c r="F536" s="382">
        <f>TxSplint!N214</f>
        <v>23.714031810226761</v>
      </c>
      <c r="G536" s="370"/>
      <c r="H536" s="381">
        <f t="shared" si="34"/>
        <v>23.714031810226761</v>
      </c>
      <c r="I536" s="382">
        <f>TnSplint!N214</f>
        <v>16.175032330144163</v>
      </c>
      <c r="J536" s="370"/>
      <c r="K536" s="381">
        <f t="shared" si="35"/>
        <v>16.175032330144163</v>
      </c>
      <c r="L536" s="383"/>
      <c r="M536" s="475">
        <v>0</v>
      </c>
      <c r="N536" s="384"/>
    </row>
    <row r="537" spans="1:14">
      <c r="A537" s="444">
        <f>Input!B553</f>
        <v>38518</v>
      </c>
      <c r="B537" s="44">
        <f t="shared" si="33"/>
        <v>166</v>
      </c>
      <c r="C537" s="380">
        <f>PMSplint!T581</f>
        <v>4.2074553096312464</v>
      </c>
      <c r="D537" s="500">
        <v>4.1796010570230111</v>
      </c>
      <c r="E537" s="381">
        <f t="shared" si="32"/>
        <v>4.1796010570230111</v>
      </c>
      <c r="F537" s="382">
        <f>TxSplint!N215</f>
        <v>23.854977090890685</v>
      </c>
      <c r="G537" s="370"/>
      <c r="H537" s="381">
        <f t="shared" si="34"/>
        <v>23.854977090890685</v>
      </c>
      <c r="I537" s="382">
        <f>TnSplint!N215</f>
        <v>16.306374719712373</v>
      </c>
      <c r="J537" s="370"/>
      <c r="K537" s="381">
        <f t="shared" si="35"/>
        <v>16.306374719712373</v>
      </c>
      <c r="L537" s="383"/>
      <c r="M537" s="475">
        <v>11.8</v>
      </c>
      <c r="N537" s="384"/>
    </row>
    <row r="538" spans="1:14">
      <c r="A538" s="444">
        <f>Input!B554</f>
        <v>38519</v>
      </c>
      <c r="B538" s="44">
        <f t="shared" si="33"/>
        <v>167</v>
      </c>
      <c r="C538" s="380">
        <f>PMSplint!T582</f>
        <v>4.2334472483997461</v>
      </c>
      <c r="D538" s="500">
        <v>3.089182056521572</v>
      </c>
      <c r="E538" s="381">
        <f t="shared" si="32"/>
        <v>3.089182056521572</v>
      </c>
      <c r="F538" s="382">
        <f>TxSplint!N216</f>
        <v>23.988935908038926</v>
      </c>
      <c r="G538" s="370"/>
      <c r="H538" s="381">
        <f t="shared" si="34"/>
        <v>23.988935908038926</v>
      </c>
      <c r="I538" s="382">
        <f>TnSplint!N216</f>
        <v>16.432551574611072</v>
      </c>
      <c r="J538" s="370"/>
      <c r="K538" s="381">
        <f t="shared" si="35"/>
        <v>16.432551574611072</v>
      </c>
      <c r="L538" s="383"/>
      <c r="M538" s="475">
        <v>2.8</v>
      </c>
      <c r="N538" s="384"/>
    </row>
    <row r="539" spans="1:14">
      <c r="A539" s="444">
        <f>Input!B555</f>
        <v>38520</v>
      </c>
      <c r="B539" s="44">
        <f t="shared" si="33"/>
        <v>168</v>
      </c>
      <c r="C539" s="380">
        <f>PMSplint!T583</f>
        <v>4.2578756188899858</v>
      </c>
      <c r="D539" s="500">
        <v>3.6056847789219049</v>
      </c>
      <c r="E539" s="381">
        <f t="shared" si="32"/>
        <v>3.6056847789219049</v>
      </c>
      <c r="F539" s="382">
        <f>TxSplint!N217</f>
        <v>24.115666666666662</v>
      </c>
      <c r="G539" s="370"/>
      <c r="H539" s="381">
        <f t="shared" si="34"/>
        <v>24.115666666666662</v>
      </c>
      <c r="I539" s="382">
        <f>TnSplint!N217</f>
        <v>16.553333333333331</v>
      </c>
      <c r="J539" s="370"/>
      <c r="K539" s="381">
        <f t="shared" si="35"/>
        <v>16.553333333333331</v>
      </c>
      <c r="L539" s="383"/>
      <c r="M539" s="475">
        <v>0</v>
      </c>
      <c r="N539" s="384"/>
    </row>
    <row r="540" spans="1:14">
      <c r="A540" s="444">
        <f>Input!B556</f>
        <v>38521</v>
      </c>
      <c r="B540" s="44">
        <f t="shared" si="33"/>
        <v>169</v>
      </c>
      <c r="C540" s="380">
        <f>PMSplint!T584</f>
        <v>4.2807592412834339</v>
      </c>
      <c r="D540" s="500">
        <v>3.7174724563255186</v>
      </c>
      <c r="E540" s="381">
        <f t="shared" si="32"/>
        <v>3.7174724563255186</v>
      </c>
      <c r="F540" s="382">
        <f>TxSplint!N218</f>
        <v>24.235030525460012</v>
      </c>
      <c r="G540" s="370"/>
      <c r="H540" s="381">
        <f t="shared" si="34"/>
        <v>24.235030525460012</v>
      </c>
      <c r="I540" s="382">
        <f>TnSplint!N218</f>
        <v>16.668563656976467</v>
      </c>
      <c r="J540" s="370"/>
      <c r="K540" s="381">
        <f t="shared" si="35"/>
        <v>16.668563656976467</v>
      </c>
      <c r="L540" s="383"/>
      <c r="M540" s="475">
        <v>0</v>
      </c>
      <c r="N540" s="384"/>
    </row>
    <row r="541" spans="1:14">
      <c r="A541" s="444">
        <f>Input!B557</f>
        <v>38522</v>
      </c>
      <c r="B541" s="44">
        <f t="shared" si="33"/>
        <v>170</v>
      </c>
      <c r="C541" s="380">
        <f>PMSplint!T585</f>
        <v>4.3021276333328764</v>
      </c>
      <c r="D541" s="500">
        <v>4.2638464795477748</v>
      </c>
      <c r="E541" s="381">
        <f t="shared" si="32"/>
        <v>4.2638464795477748</v>
      </c>
      <c r="F541" s="382">
        <f>TxSplint!N219</f>
        <v>24.347299657868888</v>
      </c>
      <c r="G541" s="370"/>
      <c r="H541" s="381">
        <f t="shared" si="34"/>
        <v>24.347299657868888</v>
      </c>
      <c r="I541" s="382">
        <f>TnSplint!N219</f>
        <v>16.77837909705471</v>
      </c>
      <c r="J541" s="370"/>
      <c r="K541" s="381">
        <f t="shared" si="35"/>
        <v>16.77837909705471</v>
      </c>
      <c r="L541" s="383"/>
      <c r="M541" s="475">
        <v>8.6</v>
      </c>
      <c r="N541" s="384"/>
    </row>
    <row r="542" spans="1:14">
      <c r="A542" s="444">
        <f>Input!B558</f>
        <v>38523</v>
      </c>
      <c r="B542" s="44">
        <f t="shared" si="33"/>
        <v>171</v>
      </c>
      <c r="C542" s="380">
        <f>PMSplint!T586</f>
        <v>4.3220103127910967</v>
      </c>
      <c r="D542" s="500">
        <v>4.3448768618195519</v>
      </c>
      <c r="E542" s="381">
        <f t="shared" si="32"/>
        <v>4.3448768618195519</v>
      </c>
      <c r="F542" s="382">
        <f>TxSplint!N220</f>
        <v>24.452848991034177</v>
      </c>
      <c r="G542" s="370"/>
      <c r="H542" s="381">
        <f t="shared" si="34"/>
        <v>24.452848991034177</v>
      </c>
      <c r="I542" s="382">
        <f>TnSplint!N220</f>
        <v>16.882989427686539</v>
      </c>
      <c r="J542" s="370"/>
      <c r="K542" s="381">
        <f t="shared" si="35"/>
        <v>16.882989427686539</v>
      </c>
      <c r="L542" s="383"/>
      <c r="M542" s="475">
        <v>1.6</v>
      </c>
      <c r="N542" s="384"/>
    </row>
    <row r="543" spans="1:14">
      <c r="A543" s="444">
        <f>Input!B559</f>
        <v>38524</v>
      </c>
      <c r="B543" s="44">
        <f t="shared" si="33"/>
        <v>172</v>
      </c>
      <c r="C543" s="380">
        <f>PMSplint!T587</f>
        <v>4.3404367974108817</v>
      </c>
      <c r="D543" s="500">
        <v>4.2189462561948528</v>
      </c>
      <c r="E543" s="381">
        <f t="shared" si="32"/>
        <v>4.2189462561948528</v>
      </c>
      <c r="F543" s="382">
        <f>TxSplint!N221</f>
        <v>24.552053452096743</v>
      </c>
      <c r="G543" s="370"/>
      <c r="H543" s="381">
        <f t="shared" si="34"/>
        <v>24.552053452096743</v>
      </c>
      <c r="I543" s="382">
        <f>TnSplint!N221</f>
        <v>16.98260442299043</v>
      </c>
      <c r="J543" s="370"/>
      <c r="K543" s="381">
        <f t="shared" si="35"/>
        <v>16.98260442299043</v>
      </c>
      <c r="L543" s="383"/>
      <c r="M543" s="475">
        <v>0</v>
      </c>
      <c r="N543" s="384"/>
    </row>
    <row r="544" spans="1:14">
      <c r="A544" s="444">
        <f>Input!B560</f>
        <v>38525</v>
      </c>
      <c r="B544" s="44">
        <f t="shared" si="33"/>
        <v>173</v>
      </c>
      <c r="C544" s="380">
        <f>PMSplint!T588</f>
        <v>4.3574366049450157</v>
      </c>
      <c r="D544" s="500">
        <v>4.815483037784154</v>
      </c>
      <c r="E544" s="381">
        <f t="shared" si="32"/>
        <v>4.815483037784154</v>
      </c>
      <c r="F544" s="382">
        <f>TxSplint!N222</f>
        <v>24.645287968197454</v>
      </c>
      <c r="G544" s="370"/>
      <c r="H544" s="381">
        <f t="shared" si="34"/>
        <v>24.645287968197454</v>
      </c>
      <c r="I544" s="382">
        <f>TnSplint!N222</f>
        <v>17.077433857084856</v>
      </c>
      <c r="J544" s="370"/>
      <c r="K544" s="381">
        <f t="shared" si="35"/>
        <v>17.077433857084856</v>
      </c>
      <c r="L544" s="383"/>
      <c r="M544" s="475">
        <v>7</v>
      </c>
      <c r="N544" s="384"/>
    </row>
    <row r="545" spans="1:14">
      <c r="A545" s="444">
        <f>Input!B561</f>
        <v>38526</v>
      </c>
      <c r="B545" s="44">
        <f t="shared" si="33"/>
        <v>174</v>
      </c>
      <c r="C545" s="380">
        <f>PMSplint!T589</f>
        <v>4.3730392531462812</v>
      </c>
      <c r="D545" s="500">
        <v>5.2090818304770883</v>
      </c>
      <c r="E545" s="381">
        <f t="shared" si="32"/>
        <v>5.2090818304770883</v>
      </c>
      <c r="F545" s="382">
        <f>TxSplint!N223</f>
        <v>24.732927466477186</v>
      </c>
      <c r="G545" s="370"/>
      <c r="H545" s="381">
        <f t="shared" si="34"/>
        <v>24.732927466477186</v>
      </c>
      <c r="I545" s="382">
        <f>TnSplint!N223</f>
        <v>17.167687504088288</v>
      </c>
      <c r="J545" s="370"/>
      <c r="K545" s="381">
        <f t="shared" si="35"/>
        <v>17.167687504088288</v>
      </c>
      <c r="L545" s="383"/>
      <c r="M545" s="475">
        <v>2.6</v>
      </c>
      <c r="N545" s="384"/>
    </row>
    <row r="546" spans="1:14">
      <c r="A546" s="444">
        <f>Input!B562</f>
        <v>38527</v>
      </c>
      <c r="B546" s="44">
        <f t="shared" si="33"/>
        <v>175</v>
      </c>
      <c r="C546" s="380">
        <f>PMSplint!T590</f>
        <v>4.387274259767465</v>
      </c>
      <c r="D546" s="500">
        <v>4.2242359034504471</v>
      </c>
      <c r="E546" s="381">
        <f t="shared" si="32"/>
        <v>4.2242359034504471</v>
      </c>
      <c r="F546" s="382">
        <f>TxSplint!N224</f>
        <v>24.815346874076809</v>
      </c>
      <c r="G546" s="370"/>
      <c r="H546" s="381">
        <f t="shared" si="34"/>
        <v>24.815346874076809</v>
      </c>
      <c r="I546" s="382">
        <f>TnSplint!N224</f>
        <v>17.253575138119196</v>
      </c>
      <c r="J546" s="370"/>
      <c r="K546" s="381">
        <f t="shared" si="35"/>
        <v>17.253575138119196</v>
      </c>
      <c r="L546" s="383"/>
      <c r="M546" s="475">
        <v>0</v>
      </c>
      <c r="N546" s="384"/>
    </row>
    <row r="547" spans="1:14">
      <c r="A547" s="444">
        <f>Input!B563</f>
        <v>38528</v>
      </c>
      <c r="B547" s="44">
        <f t="shared" si="33"/>
        <v>176</v>
      </c>
      <c r="C547" s="380">
        <f>PMSplint!T591</f>
        <v>4.4001711425613523</v>
      </c>
      <c r="D547" s="500">
        <v>3.6770090379365259</v>
      </c>
      <c r="E547" s="381">
        <f t="shared" si="32"/>
        <v>3.6770090379365259</v>
      </c>
      <c r="F547" s="382">
        <f>TxSplint!N225</f>
        <v>24.892921118137185</v>
      </c>
      <c r="G547" s="370"/>
      <c r="H547" s="381">
        <f t="shared" si="34"/>
        <v>24.892921118137185</v>
      </c>
      <c r="I547" s="382">
        <f>TnSplint!N225</f>
        <v>17.335306533296059</v>
      </c>
      <c r="J547" s="370"/>
      <c r="K547" s="381">
        <f t="shared" si="35"/>
        <v>17.335306533296059</v>
      </c>
      <c r="L547" s="383"/>
      <c r="M547" s="475">
        <v>0</v>
      </c>
      <c r="N547" s="384"/>
    </row>
    <row r="548" spans="1:14">
      <c r="A548" s="444">
        <f>Input!B564</f>
        <v>38529</v>
      </c>
      <c r="B548" s="44">
        <f t="shared" si="33"/>
        <v>177</v>
      </c>
      <c r="C548" s="380">
        <f>PMSplint!T592</f>
        <v>4.4117594192807275</v>
      </c>
      <c r="D548" s="500">
        <v>4.9307354305868794</v>
      </c>
      <c r="E548" s="381">
        <f t="shared" si="32"/>
        <v>4.9307354305868794</v>
      </c>
      <c r="F548" s="382">
        <f>TxSplint!N226</f>
        <v>24.966025125799199</v>
      </c>
      <c r="G548" s="370"/>
      <c r="H548" s="381">
        <f t="shared" si="34"/>
        <v>24.966025125799199</v>
      </c>
      <c r="I548" s="382">
        <f>TnSplint!N226</f>
        <v>17.413091463737345</v>
      </c>
      <c r="J548" s="370"/>
      <c r="K548" s="381">
        <f t="shared" si="35"/>
        <v>17.413091463737345</v>
      </c>
      <c r="L548" s="383"/>
      <c r="M548" s="475">
        <v>0</v>
      </c>
      <c r="N548" s="384"/>
    </row>
    <row r="549" spans="1:14">
      <c r="A549" s="444">
        <f>Input!B565</f>
        <v>38530</v>
      </c>
      <c r="B549" s="44">
        <f t="shared" si="33"/>
        <v>178</v>
      </c>
      <c r="C549" s="380">
        <f>PMSplint!T593</f>
        <v>4.4220686076783746</v>
      </c>
      <c r="D549" s="500">
        <v>4.4419396786312708</v>
      </c>
      <c r="E549" s="381">
        <f t="shared" si="32"/>
        <v>4.4419396786312708</v>
      </c>
      <c r="F549" s="382">
        <f>TxSplint!N227</f>
        <v>25.035033824203719</v>
      </c>
      <c r="G549" s="370"/>
      <c r="H549" s="381">
        <f t="shared" si="34"/>
        <v>25.035033824203719</v>
      </c>
      <c r="I549" s="382">
        <f>TnSplint!N227</f>
        <v>17.487139703561539</v>
      </c>
      <c r="J549" s="370"/>
      <c r="K549" s="381">
        <f t="shared" si="35"/>
        <v>17.487139703561539</v>
      </c>
      <c r="L549" s="383"/>
      <c r="M549" s="475">
        <v>18.600000000000001</v>
      </c>
      <c r="N549" s="384"/>
    </row>
    <row r="550" spans="1:14">
      <c r="A550" s="444">
        <f>Input!B566</f>
        <v>38531</v>
      </c>
      <c r="B550" s="44">
        <f t="shared" si="33"/>
        <v>179</v>
      </c>
      <c r="C550" s="380">
        <f>PMSplint!T594</f>
        <v>4.431128225507079</v>
      </c>
      <c r="D550" s="500">
        <v>3.9969408725133637</v>
      </c>
      <c r="E550" s="381">
        <f t="shared" si="32"/>
        <v>3.9969408725133637</v>
      </c>
      <c r="F550" s="382">
        <f>TxSplint!N228</f>
        <v>25.10032214049161</v>
      </c>
      <c r="G550" s="370"/>
      <c r="H550" s="381">
        <f t="shared" si="34"/>
        <v>25.10032214049161</v>
      </c>
      <c r="I550" s="382">
        <f>TnSplint!N228</f>
        <v>17.5576610268871</v>
      </c>
      <c r="J550" s="370"/>
      <c r="K550" s="381">
        <f t="shared" si="35"/>
        <v>17.5576610268871</v>
      </c>
      <c r="L550" s="383"/>
      <c r="M550" s="475">
        <v>0.2</v>
      </c>
      <c r="N550" s="384"/>
    </row>
    <row r="551" spans="1:14">
      <c r="A551" s="444">
        <f>Input!B567</f>
        <v>38532</v>
      </c>
      <c r="B551" s="44">
        <f t="shared" si="33"/>
        <v>180</v>
      </c>
      <c r="C551" s="380">
        <f>PMSplint!T595</f>
        <v>4.4389677905196265</v>
      </c>
      <c r="D551" s="500">
        <v>3.6508180022650345</v>
      </c>
      <c r="E551" s="381">
        <f t="shared" si="32"/>
        <v>3.6508180022650345</v>
      </c>
      <c r="F551" s="382">
        <f>TxSplint!N229</f>
        <v>25.162265001803746</v>
      </c>
      <c r="G551" s="370"/>
      <c r="H551" s="381">
        <f t="shared" si="34"/>
        <v>25.162265001803746</v>
      </c>
      <c r="I551" s="382">
        <f>TnSplint!N229</f>
        <v>17.62486520783251</v>
      </c>
      <c r="J551" s="370"/>
      <c r="K551" s="381">
        <f t="shared" si="35"/>
        <v>17.62486520783251</v>
      </c>
      <c r="L551" s="383"/>
      <c r="M551" s="475">
        <v>0</v>
      </c>
      <c r="N551" s="384"/>
    </row>
    <row r="552" spans="1:14">
      <c r="A552" s="444">
        <f>Input!B568</f>
        <v>38533</v>
      </c>
      <c r="B552" s="44">
        <f t="shared" si="33"/>
        <v>181</v>
      </c>
      <c r="C552" s="380">
        <f>PMSplint!T596</f>
        <v>4.4456168204688007</v>
      </c>
      <c r="D552" s="500">
        <v>5.0784150259928538</v>
      </c>
      <c r="E552" s="381">
        <f t="shared" si="32"/>
        <v>5.0784150259928538</v>
      </c>
      <c r="F552" s="382">
        <f>TxSplint!N230</f>
        <v>25.221237335281</v>
      </c>
      <c r="G552" s="370"/>
      <c r="H552" s="381">
        <f t="shared" si="34"/>
        <v>25.221237335281</v>
      </c>
      <c r="I552" s="382">
        <f>TnSplint!N230</f>
        <v>17.688962020516239</v>
      </c>
      <c r="J552" s="370"/>
      <c r="K552" s="381">
        <f t="shared" si="35"/>
        <v>17.688962020516239</v>
      </c>
      <c r="L552" s="383"/>
      <c r="M552" s="475">
        <v>0</v>
      </c>
      <c r="N552" s="384"/>
    </row>
    <row r="553" spans="1:14">
      <c r="A553" s="444">
        <f>Input!B569</f>
        <v>38534</v>
      </c>
      <c r="B553" s="44">
        <f t="shared" si="33"/>
        <v>182</v>
      </c>
      <c r="C553" s="380">
        <f>PMSplint!T597</f>
        <v>4.4511048331073866</v>
      </c>
      <c r="D553" s="500">
        <v>5.1603088288052135</v>
      </c>
      <c r="E553" s="381">
        <f t="shared" si="32"/>
        <v>5.1603088288052135</v>
      </c>
      <c r="F553" s="382">
        <f>TxSplint!N231</f>
        <v>25.277614068064249</v>
      </c>
      <c r="G553" s="370"/>
      <c r="H553" s="381">
        <f t="shared" si="34"/>
        <v>25.277614068064249</v>
      </c>
      <c r="I553" s="382">
        <f>TnSplint!N231</f>
        <v>17.750161239056759</v>
      </c>
      <c r="J553" s="370"/>
      <c r="K553" s="381">
        <f t="shared" si="35"/>
        <v>17.750161239056759</v>
      </c>
      <c r="L553" s="383"/>
      <c r="M553" s="475">
        <v>0</v>
      </c>
      <c r="N553" s="384"/>
    </row>
    <row r="554" spans="1:14">
      <c r="A554" s="444">
        <f>Input!B570</f>
        <v>38535</v>
      </c>
      <c r="B554" s="44">
        <f t="shared" si="33"/>
        <v>183</v>
      </c>
      <c r="C554" s="380">
        <f>PMSplint!T598</f>
        <v>4.4554613461881694</v>
      </c>
      <c r="D554" s="500">
        <v>5.3632519936455187</v>
      </c>
      <c r="E554" s="381">
        <f t="shared" si="32"/>
        <v>5.3632519936455187</v>
      </c>
      <c r="F554" s="382">
        <f>TxSplint!N232</f>
        <v>25.331770127294348</v>
      </c>
      <c r="G554" s="370"/>
      <c r="H554" s="381">
        <f t="shared" si="34"/>
        <v>25.331770127294348</v>
      </c>
      <c r="I554" s="382">
        <f>TnSplint!N232</f>
        <v>17.808672637572549</v>
      </c>
      <c r="J554" s="370"/>
      <c r="K554" s="381">
        <f t="shared" si="35"/>
        <v>17.808672637572549</v>
      </c>
      <c r="L554" s="383"/>
      <c r="M554" s="475">
        <v>0</v>
      </c>
      <c r="N554" s="384"/>
    </row>
    <row r="555" spans="1:14">
      <c r="A555" s="444">
        <f>Input!B571</f>
        <v>38536</v>
      </c>
      <c r="B555" s="44">
        <f t="shared" si="33"/>
        <v>184</v>
      </c>
      <c r="C555" s="380">
        <f>PMSplint!T599</f>
        <v>4.4587158774639333</v>
      </c>
      <c r="D555" s="500">
        <v>5.5388845439925944</v>
      </c>
      <c r="E555" s="381">
        <f t="shared" si="32"/>
        <v>5.5388845439925944</v>
      </c>
      <c r="F555" s="382">
        <f>TxSplint!N233</f>
        <v>25.384080440112179</v>
      </c>
      <c r="G555" s="370"/>
      <c r="H555" s="381">
        <f t="shared" si="34"/>
        <v>25.384080440112179</v>
      </c>
      <c r="I555" s="382">
        <f>TnSplint!N233</f>
        <v>17.864705990182081</v>
      </c>
      <c r="J555" s="370"/>
      <c r="K555" s="381">
        <f t="shared" si="35"/>
        <v>17.864705990182081</v>
      </c>
      <c r="L555" s="383"/>
      <c r="M555" s="475">
        <v>7.8</v>
      </c>
      <c r="N555" s="384"/>
    </row>
    <row r="556" spans="1:14">
      <c r="A556" s="444">
        <f>Input!B572</f>
        <v>38537</v>
      </c>
      <c r="B556" s="44">
        <f t="shared" si="33"/>
        <v>185</v>
      </c>
      <c r="C556" s="380">
        <f>PMSplint!T600</f>
        <v>4.4608979446874644</v>
      </c>
      <c r="D556" s="500">
        <v>5.0489004426417008</v>
      </c>
      <c r="E556" s="381">
        <f t="shared" si="32"/>
        <v>5.0489004426417008</v>
      </c>
      <c r="F556" s="382">
        <f>TxSplint!N234</f>
        <v>25.434919933658609</v>
      </c>
      <c r="G556" s="370"/>
      <c r="H556" s="381">
        <f t="shared" si="34"/>
        <v>25.434919933658609</v>
      </c>
      <c r="I556" s="382">
        <f>TnSplint!N234</f>
        <v>17.918471071003822</v>
      </c>
      <c r="J556" s="370"/>
      <c r="K556" s="381">
        <f t="shared" si="35"/>
        <v>17.918471071003822</v>
      </c>
      <c r="L556" s="383"/>
      <c r="M556" s="475">
        <v>0.6</v>
      </c>
      <c r="N556" s="384"/>
    </row>
    <row r="557" spans="1:14">
      <c r="A557" s="444">
        <f>Input!B573</f>
        <v>38538</v>
      </c>
      <c r="B557" s="44">
        <f t="shared" si="33"/>
        <v>186</v>
      </c>
      <c r="C557" s="380">
        <f>PMSplint!T601</f>
        <v>4.462037065611546</v>
      </c>
      <c r="D557" s="500">
        <v>5.1819685613911384</v>
      </c>
      <c r="E557" s="381">
        <f t="shared" si="32"/>
        <v>5.1819685613911384</v>
      </c>
      <c r="F557" s="382">
        <f>TxSplint!N235</f>
        <v>25.484663535074514</v>
      </c>
      <c r="G557" s="370"/>
      <c r="H557" s="381">
        <f t="shared" si="34"/>
        <v>25.484663535074514</v>
      </c>
      <c r="I557" s="382">
        <f>TnSplint!N235</f>
        <v>17.970177654156249</v>
      </c>
      <c r="J557" s="370"/>
      <c r="K557" s="381">
        <f t="shared" si="35"/>
        <v>17.970177654156249</v>
      </c>
      <c r="L557" s="383"/>
      <c r="M557" s="475">
        <v>1.6</v>
      </c>
      <c r="N557" s="384"/>
    </row>
    <row r="558" spans="1:14">
      <c r="A558" s="444">
        <f>Input!B574</f>
        <v>38539</v>
      </c>
      <c r="B558" s="44">
        <f t="shared" si="33"/>
        <v>187</v>
      </c>
      <c r="C558" s="380">
        <f>PMSplint!T602</f>
        <v>4.4621627579889642</v>
      </c>
      <c r="D558" s="500">
        <v>3.4769314126585869</v>
      </c>
      <c r="E558" s="381">
        <f t="shared" si="32"/>
        <v>3.4769314126585869</v>
      </c>
      <c r="F558" s="382">
        <f>TxSplint!N236</f>
        <v>25.533686171500758</v>
      </c>
      <c r="G558" s="370"/>
      <c r="H558" s="381">
        <f t="shared" si="34"/>
        <v>25.533686171500758</v>
      </c>
      <c r="I558" s="382">
        <f>TnSplint!N236</f>
        <v>18.020035513757833</v>
      </c>
      <c r="J558" s="370"/>
      <c r="K558" s="381">
        <f t="shared" si="35"/>
        <v>18.020035513757833</v>
      </c>
      <c r="L558" s="383"/>
      <c r="M558" s="475">
        <v>3</v>
      </c>
      <c r="N558" s="384"/>
    </row>
    <row r="559" spans="1:14">
      <c r="A559" s="444">
        <f>Input!B575</f>
        <v>38540</v>
      </c>
      <c r="B559" s="44">
        <f t="shared" si="33"/>
        <v>188</v>
      </c>
      <c r="C559" s="380">
        <f>PMSplint!T603</f>
        <v>4.4613045395725024</v>
      </c>
      <c r="D559" s="500">
        <v>3.3390863812371721</v>
      </c>
      <c r="E559" s="381">
        <f t="shared" si="32"/>
        <v>3.3390863812371721</v>
      </c>
      <c r="F559" s="382">
        <f>TxSplint!N237</f>
        <v>25.582362770078223</v>
      </c>
      <c r="G559" s="370"/>
      <c r="H559" s="381">
        <f t="shared" si="34"/>
        <v>25.582362770078223</v>
      </c>
      <c r="I559" s="382">
        <f>TnSplint!N237</f>
        <v>18.068254423927055</v>
      </c>
      <c r="J559" s="370"/>
      <c r="K559" s="381">
        <f t="shared" si="35"/>
        <v>18.068254423927055</v>
      </c>
      <c r="L559" s="383"/>
      <c r="M559" s="475">
        <v>2.6</v>
      </c>
      <c r="N559" s="384"/>
    </row>
    <row r="560" spans="1:14">
      <c r="A560" s="444">
        <f>Input!B576</f>
        <v>38541</v>
      </c>
      <c r="B560" s="44">
        <f t="shared" si="33"/>
        <v>189</v>
      </c>
      <c r="C560" s="380">
        <f>PMSplint!T604</f>
        <v>4.4594919281149474</v>
      </c>
      <c r="D560" s="500">
        <v>4.4509781454770909</v>
      </c>
      <c r="E560" s="381">
        <f t="shared" si="32"/>
        <v>4.4509781454770909</v>
      </c>
      <c r="F560" s="382">
        <f>TxSplint!N238</f>
        <v>25.631068257947774</v>
      </c>
      <c r="G560" s="370"/>
      <c r="H560" s="381">
        <f t="shared" si="34"/>
        <v>25.631068257947774</v>
      </c>
      <c r="I560" s="382">
        <f>TnSplint!N238</f>
        <v>18.115044158782382</v>
      </c>
      <c r="J560" s="370"/>
      <c r="K560" s="381">
        <f t="shared" si="35"/>
        <v>18.115044158782382</v>
      </c>
      <c r="L560" s="383"/>
      <c r="M560" s="475">
        <v>0.8</v>
      </c>
      <c r="N560" s="384"/>
    </row>
    <row r="561" spans="1:14">
      <c r="A561" s="444">
        <f>Input!B577</f>
        <v>38542</v>
      </c>
      <c r="B561" s="44">
        <f t="shared" si="33"/>
        <v>190</v>
      </c>
      <c r="C561" s="380">
        <f>PMSplint!T605</f>
        <v>4.4567544413690818</v>
      </c>
      <c r="D561" s="500">
        <v>4.4175903643995147</v>
      </c>
      <c r="E561" s="381">
        <f t="shared" si="32"/>
        <v>4.4175903643995147</v>
      </c>
      <c r="F561" s="382">
        <f>TxSplint!N239</f>
        <v>25.680177562250272</v>
      </c>
      <c r="G561" s="370"/>
      <c r="H561" s="381">
        <f t="shared" si="34"/>
        <v>25.680177562250272</v>
      </c>
      <c r="I561" s="382">
        <f>TnSplint!N239</f>
        <v>18.160614492442292</v>
      </c>
      <c r="J561" s="370"/>
      <c r="K561" s="381">
        <f t="shared" si="35"/>
        <v>18.160614492442292</v>
      </c>
      <c r="L561" s="383"/>
      <c r="M561" s="475">
        <v>6.4</v>
      </c>
      <c r="N561" s="384"/>
    </row>
    <row r="562" spans="1:14">
      <c r="A562" s="444">
        <f>Input!B578</f>
        <v>38543</v>
      </c>
      <c r="B562" s="44">
        <f t="shared" si="33"/>
        <v>191</v>
      </c>
      <c r="C562" s="380">
        <f>PMSplint!T606</f>
        <v>4.4531215970876934</v>
      </c>
      <c r="D562" s="500">
        <v>4.7621015055229519</v>
      </c>
      <c r="E562" s="381">
        <f t="shared" si="32"/>
        <v>4.7621015055229519</v>
      </c>
      <c r="F562" s="382">
        <f>TxSplint!N240</f>
        <v>25.730065610126612</v>
      </c>
      <c r="G562" s="370"/>
      <c r="H562" s="381">
        <f t="shared" si="34"/>
        <v>25.730065610126612</v>
      </c>
      <c r="I562" s="382">
        <f>TnSplint!N240</f>
        <v>18.205175199025252</v>
      </c>
      <c r="J562" s="370"/>
      <c r="K562" s="381">
        <f t="shared" si="35"/>
        <v>18.205175199025252</v>
      </c>
      <c r="L562" s="383"/>
      <c r="M562" s="475">
        <v>0.8</v>
      </c>
      <c r="N562" s="384"/>
    </row>
    <row r="563" spans="1:14">
      <c r="A563" s="444">
        <f>Input!B579</f>
        <v>38544</v>
      </c>
      <c r="B563" s="44">
        <f t="shared" si="33"/>
        <v>192</v>
      </c>
      <c r="C563" s="380">
        <f>PMSplint!T607</f>
        <v>4.4486229130235637</v>
      </c>
      <c r="D563" s="500">
        <v>4.8331833809099534</v>
      </c>
      <c r="E563" s="381">
        <f t="shared" si="32"/>
        <v>4.8331833809099534</v>
      </c>
      <c r="F563" s="382">
        <f>TxSplint!N241</f>
        <v>25.781107328717646</v>
      </c>
      <c r="G563" s="370"/>
      <c r="H563" s="381">
        <f t="shared" si="34"/>
        <v>25.781107328717646</v>
      </c>
      <c r="I563" s="382">
        <f>TnSplint!N241</f>
        <v>18.248936052649739</v>
      </c>
      <c r="J563" s="370"/>
      <c r="K563" s="381">
        <f t="shared" si="35"/>
        <v>18.248936052649739</v>
      </c>
      <c r="L563" s="383"/>
      <c r="M563" s="475">
        <v>2.4</v>
      </c>
      <c r="N563" s="384"/>
    </row>
    <row r="564" spans="1:14">
      <c r="A564" s="444">
        <f>Input!B580</f>
        <v>38545</v>
      </c>
      <c r="B564" s="44">
        <f t="shared" si="33"/>
        <v>193</v>
      </c>
      <c r="C564" s="380">
        <f>PMSplint!T608</f>
        <v>4.4432879069294788</v>
      </c>
      <c r="D564" s="500">
        <v>5.1474550835259034</v>
      </c>
      <c r="E564" s="381">
        <f t="shared" si="32"/>
        <v>5.1474550835259034</v>
      </c>
      <c r="F564" s="382">
        <f>TxSplint!N242</f>
        <v>25.83367764516424</v>
      </c>
      <c r="G564" s="370"/>
      <c r="H564" s="381">
        <f t="shared" si="34"/>
        <v>25.83367764516424</v>
      </c>
      <c r="I564" s="382">
        <f>TnSplint!N242</f>
        <v>18.292106827434225</v>
      </c>
      <c r="J564" s="370"/>
      <c r="K564" s="381">
        <f t="shared" si="35"/>
        <v>18.292106827434225</v>
      </c>
      <c r="L564" s="383"/>
      <c r="M564" s="475">
        <v>0.8</v>
      </c>
      <c r="N564" s="384"/>
    </row>
    <row r="565" spans="1:14">
      <c r="A565" s="444">
        <f>Input!B581</f>
        <v>38546</v>
      </c>
      <c r="B565" s="44">
        <f t="shared" si="33"/>
        <v>194</v>
      </c>
      <c r="C565" s="380">
        <f>PMSplint!T609</f>
        <v>4.4371460965582248</v>
      </c>
      <c r="D565" s="500">
        <v>4.4444365747997825</v>
      </c>
      <c r="E565" s="381">
        <f t="shared" si="32"/>
        <v>4.4444365747997825</v>
      </c>
      <c r="F565" s="382">
        <f>TxSplint!N243</f>
        <v>25.888151486607285</v>
      </c>
      <c r="G565" s="370"/>
      <c r="H565" s="381">
        <f t="shared" si="34"/>
        <v>25.888151486607285</v>
      </c>
      <c r="I565" s="382">
        <f>TnSplint!N243</f>
        <v>18.334897297497186</v>
      </c>
      <c r="J565" s="370"/>
      <c r="K565" s="381">
        <f t="shared" si="35"/>
        <v>18.334897297497186</v>
      </c>
      <c r="L565" s="383"/>
      <c r="M565" s="475">
        <v>0</v>
      </c>
      <c r="N565" s="384"/>
    </row>
    <row r="566" spans="1:14">
      <c r="A566" s="444">
        <f>Input!B582</f>
        <v>38547</v>
      </c>
      <c r="B566" s="44">
        <f t="shared" si="33"/>
        <v>195</v>
      </c>
      <c r="C566" s="380">
        <f>PMSplint!T610</f>
        <v>4.4302269996625849</v>
      </c>
      <c r="D566" s="500">
        <v>4.154374970844211</v>
      </c>
      <c r="E566" s="381">
        <f t="shared" si="32"/>
        <v>4.154374970844211</v>
      </c>
      <c r="F566" s="382">
        <f>TxSplint!N244</f>
        <v>25.944903780187641</v>
      </c>
      <c r="G566" s="370"/>
      <c r="H566" s="381">
        <f t="shared" si="34"/>
        <v>25.944903780187641</v>
      </c>
      <c r="I566" s="382">
        <f>TnSplint!N244</f>
        <v>18.377517236957093</v>
      </c>
      <c r="J566" s="370"/>
      <c r="K566" s="381">
        <f t="shared" si="35"/>
        <v>18.377517236957093</v>
      </c>
      <c r="L566" s="383"/>
      <c r="M566" s="475">
        <v>0</v>
      </c>
      <c r="N566" s="384"/>
    </row>
    <row r="567" spans="1:14">
      <c r="A567" s="444">
        <f>Input!B583</f>
        <v>38548</v>
      </c>
      <c r="B567" s="44">
        <f t="shared" si="33"/>
        <v>196</v>
      </c>
      <c r="C567" s="380">
        <f>PMSplint!T611</f>
        <v>4.4225601339953453</v>
      </c>
      <c r="D567" s="500">
        <v>4.3856695518355373</v>
      </c>
      <c r="E567" s="381">
        <f t="shared" si="32"/>
        <v>4.3856695518355373</v>
      </c>
      <c r="F567" s="382">
        <f>TxSplint!N245</f>
        <v>26.004309453046179</v>
      </c>
      <c r="G567" s="370"/>
      <c r="H567" s="381">
        <f t="shared" si="34"/>
        <v>26.004309453046179</v>
      </c>
      <c r="I567" s="382">
        <f>TnSplint!N245</f>
        <v>18.420176419932417</v>
      </c>
      <c r="J567" s="370"/>
      <c r="K567" s="381">
        <f t="shared" si="35"/>
        <v>18.420176419932417</v>
      </c>
      <c r="L567" s="383"/>
      <c r="M567" s="475">
        <v>2.6</v>
      </c>
      <c r="N567" s="384"/>
    </row>
    <row r="568" spans="1:14">
      <c r="A568" s="444">
        <f>Input!B584</f>
        <v>38549</v>
      </c>
      <c r="B568" s="44">
        <f t="shared" si="33"/>
        <v>197</v>
      </c>
      <c r="C568" s="380">
        <f>PMSplint!T612</f>
        <v>4.4141750173092893</v>
      </c>
      <c r="D568" s="500">
        <v>4.3782405218811054</v>
      </c>
      <c r="E568" s="381">
        <f t="shared" si="32"/>
        <v>4.3782405218811054</v>
      </c>
      <c r="F568" s="382">
        <f>TxSplint!N246</f>
        <v>26.066743432323765</v>
      </c>
      <c r="G568" s="370"/>
      <c r="H568" s="381">
        <f t="shared" si="34"/>
        <v>26.066743432323765</v>
      </c>
      <c r="I568" s="382">
        <f>TnSplint!N246</f>
        <v>18.463084620541636</v>
      </c>
      <c r="J568" s="370"/>
      <c r="K568" s="381">
        <f t="shared" si="35"/>
        <v>18.463084620541636</v>
      </c>
      <c r="L568" s="383"/>
      <c r="M568" s="475">
        <v>0</v>
      </c>
      <c r="N568" s="384"/>
    </row>
    <row r="569" spans="1:14">
      <c r="A569" s="444">
        <f>Input!B585</f>
        <v>38550</v>
      </c>
      <c r="B569" s="44">
        <f t="shared" si="33"/>
        <v>198</v>
      </c>
      <c r="C569" s="380">
        <f>PMSplint!T613</f>
        <v>4.4050910994943893</v>
      </c>
      <c r="D569" s="500">
        <v>4.6146636278569044</v>
      </c>
      <c r="E569" s="381">
        <f t="shared" si="32"/>
        <v>4.6146636278569044</v>
      </c>
      <c r="F569" s="382">
        <f>TxSplint!N247</f>
        <v>26.132580645161287</v>
      </c>
      <c r="G569" s="370"/>
      <c r="H569" s="381">
        <f t="shared" si="34"/>
        <v>26.132580645161287</v>
      </c>
      <c r="I569" s="382">
        <f>TnSplint!N247</f>
        <v>18.506451612903223</v>
      </c>
      <c r="J569" s="370"/>
      <c r="K569" s="381">
        <f t="shared" si="35"/>
        <v>18.506451612903223</v>
      </c>
      <c r="L569" s="383"/>
      <c r="M569" s="475">
        <v>0</v>
      </c>
      <c r="N569" s="384"/>
    </row>
    <row r="570" spans="1:14">
      <c r="A570" s="444">
        <f>Input!B586</f>
        <v>38551</v>
      </c>
      <c r="B570" s="44">
        <f t="shared" si="33"/>
        <v>199</v>
      </c>
      <c r="C570" s="380">
        <f>PMSplint!T614</f>
        <v>4.3952875589893639</v>
      </c>
      <c r="D570" s="500">
        <v>4.4565907017106809</v>
      </c>
      <c r="E570" s="381">
        <f t="shared" si="32"/>
        <v>4.4565907017106809</v>
      </c>
      <c r="F570" s="382">
        <f>TxSplint!N248</f>
        <v>26.202029296602703</v>
      </c>
      <c r="G570" s="370"/>
      <c r="H570" s="381">
        <f t="shared" si="34"/>
        <v>26.202029296602703</v>
      </c>
      <c r="I570" s="382">
        <f>TnSplint!N248</f>
        <v>18.550405299237831</v>
      </c>
      <c r="J570" s="370"/>
      <c r="K570" s="381">
        <f t="shared" si="35"/>
        <v>18.550405299237831</v>
      </c>
      <c r="L570" s="383"/>
      <c r="M570" s="475">
        <v>0</v>
      </c>
      <c r="N570" s="384"/>
    </row>
    <row r="571" spans="1:14">
      <c r="A571" s="444">
        <f>Input!B587</f>
        <v>38552</v>
      </c>
      <c r="B571" s="44">
        <f t="shared" si="33"/>
        <v>200</v>
      </c>
      <c r="C571" s="380">
        <f>PMSplint!T615</f>
        <v>4.3847335063701181</v>
      </c>
      <c r="D571" s="500">
        <v>4.3856661721297474</v>
      </c>
      <c r="E571" s="381">
        <f t="shared" si="32"/>
        <v>4.3856661721297474</v>
      </c>
      <c r="F571" s="382">
        <f>TxSplint!N249</f>
        <v>26.274630703304371</v>
      </c>
      <c r="G571" s="370"/>
      <c r="H571" s="381">
        <f t="shared" si="34"/>
        <v>26.274630703304371</v>
      </c>
      <c r="I571" s="382">
        <f>TnSplint!N249</f>
        <v>18.594746094174834</v>
      </c>
      <c r="J571" s="370"/>
      <c r="K571" s="381">
        <f t="shared" si="35"/>
        <v>18.594746094174834</v>
      </c>
      <c r="L571" s="383"/>
      <c r="M571" s="475">
        <v>0</v>
      </c>
      <c r="N571" s="384"/>
    </row>
    <row r="572" spans="1:14">
      <c r="A572" s="444">
        <f>Input!B588</f>
        <v>38553</v>
      </c>
      <c r="B572" s="44">
        <f t="shared" si="33"/>
        <v>201</v>
      </c>
      <c r="C572" s="380">
        <f>PMSplint!T616</f>
        <v>4.3733980522125577</v>
      </c>
      <c r="D572" s="500">
        <v>4.5585086386905456</v>
      </c>
      <c r="E572" s="381">
        <f t="shared" si="32"/>
        <v>4.5585086386905456</v>
      </c>
      <c r="F572" s="382">
        <f>TxSplint!N250</f>
        <v>26.349759459825762</v>
      </c>
      <c r="G572" s="370"/>
      <c r="H572" s="381">
        <f t="shared" si="34"/>
        <v>26.349759459825762</v>
      </c>
      <c r="I572" s="382">
        <f>TnSplint!N250</f>
        <v>18.639192540445794</v>
      </c>
      <c r="J572" s="370"/>
      <c r="K572" s="381">
        <f t="shared" si="35"/>
        <v>18.639192540445794</v>
      </c>
      <c r="L572" s="383"/>
      <c r="M572" s="475">
        <v>0</v>
      </c>
      <c r="N572" s="384"/>
    </row>
    <row r="573" spans="1:14">
      <c r="A573" s="444">
        <f>Input!B589</f>
        <v>38554</v>
      </c>
      <c r="B573" s="44">
        <f t="shared" si="33"/>
        <v>202</v>
      </c>
      <c r="C573" s="380">
        <f>PMSplint!T617</f>
        <v>4.361250307092587</v>
      </c>
      <c r="D573" s="500">
        <v>5.0131309788816969</v>
      </c>
      <c r="E573" s="381">
        <f t="shared" si="32"/>
        <v>5.0131309788816969</v>
      </c>
      <c r="F573" s="382">
        <f>TxSplint!N251</f>
        <v>26.426790160726334</v>
      </c>
      <c r="G573" s="370"/>
      <c r="H573" s="381">
        <f t="shared" si="34"/>
        <v>26.426790160726334</v>
      </c>
      <c r="I573" s="382">
        <f>TnSplint!N251</f>
        <v>18.683463180782262</v>
      </c>
      <c r="J573" s="370"/>
      <c r="K573" s="381">
        <f t="shared" si="35"/>
        <v>18.683463180782262</v>
      </c>
      <c r="L573" s="383"/>
      <c r="M573" s="475">
        <v>0</v>
      </c>
      <c r="N573" s="384"/>
    </row>
    <row r="574" spans="1:14">
      <c r="A574" s="444">
        <f>Input!B590</f>
        <v>38555</v>
      </c>
      <c r="B574" s="44">
        <f t="shared" si="33"/>
        <v>203</v>
      </c>
      <c r="C574" s="380">
        <f>PMSplint!T618</f>
        <v>4.3482593815861117</v>
      </c>
      <c r="D574" s="500">
        <v>4.3086235392401058</v>
      </c>
      <c r="E574" s="381">
        <f t="shared" si="32"/>
        <v>4.3086235392401058</v>
      </c>
      <c r="F574" s="382">
        <f>TxSplint!N252</f>
        <v>26.50509740056555</v>
      </c>
      <c r="G574" s="370"/>
      <c r="H574" s="381">
        <f t="shared" si="34"/>
        <v>26.50509740056555</v>
      </c>
      <c r="I574" s="382">
        <f>TnSplint!N252</f>
        <v>18.727276557915804</v>
      </c>
      <c r="J574" s="370"/>
      <c r="K574" s="381">
        <f t="shared" si="35"/>
        <v>18.727276557915804</v>
      </c>
      <c r="L574" s="383"/>
      <c r="M574" s="475">
        <v>0.2</v>
      </c>
      <c r="N574" s="384"/>
    </row>
    <row r="575" spans="1:14">
      <c r="A575" s="444">
        <f>Input!B591</f>
        <v>38556</v>
      </c>
      <c r="B575" s="44">
        <f t="shared" si="33"/>
        <v>204</v>
      </c>
      <c r="C575" s="380">
        <f>PMSplint!T619</f>
        <v>4.3343943862690368</v>
      </c>
      <c r="D575" s="500">
        <v>3.9753833592271319</v>
      </c>
      <c r="E575" s="381">
        <f t="shared" si="32"/>
        <v>3.9753833592271319</v>
      </c>
      <c r="F575" s="382">
        <f>TxSplint!N253</f>
        <v>26.584055773902868</v>
      </c>
      <c r="G575" s="370"/>
      <c r="H575" s="381">
        <f t="shared" si="34"/>
        <v>26.584055773902868</v>
      </c>
      <c r="I575" s="382">
        <f>TnSplint!N253</f>
        <v>18.770351214577971</v>
      </c>
      <c r="J575" s="370"/>
      <c r="K575" s="381">
        <f t="shared" si="35"/>
        <v>18.770351214577971</v>
      </c>
      <c r="L575" s="383"/>
      <c r="M575" s="475">
        <v>0</v>
      </c>
      <c r="N575" s="384"/>
    </row>
    <row r="576" spans="1:14">
      <c r="A576" s="444">
        <f>Input!B592</f>
        <v>38557</v>
      </c>
      <c r="B576" s="44">
        <f t="shared" si="33"/>
        <v>205</v>
      </c>
      <c r="C576" s="380">
        <f>PMSplint!T620</f>
        <v>4.3196244317172692</v>
      </c>
      <c r="D576" s="500">
        <v>4.0457230402672915</v>
      </c>
      <c r="E576" s="381">
        <f t="shared" si="32"/>
        <v>4.0457230402672915</v>
      </c>
      <c r="F576" s="382">
        <f>TxSplint!N254</f>
        <v>26.663039875297759</v>
      </c>
      <c r="G576" s="370"/>
      <c r="H576" s="381">
        <f t="shared" si="34"/>
        <v>26.663039875297759</v>
      </c>
      <c r="I576" s="382">
        <f>TnSplint!N254</f>
        <v>18.812405693500327</v>
      </c>
      <c r="J576" s="370"/>
      <c r="K576" s="381">
        <f t="shared" si="35"/>
        <v>18.812405693500327</v>
      </c>
      <c r="L576" s="383"/>
      <c r="M576" s="475">
        <v>0</v>
      </c>
      <c r="N576" s="384"/>
    </row>
    <row r="577" spans="1:14">
      <c r="A577" s="444">
        <f>Input!B593</f>
        <v>38558</v>
      </c>
      <c r="B577" s="44">
        <f t="shared" si="33"/>
        <v>206</v>
      </c>
      <c r="C577" s="380">
        <f>PMSplint!T621</f>
        <v>4.3039186285067119</v>
      </c>
      <c r="D577" s="500">
        <v>4.087687667829055</v>
      </c>
      <c r="E577" s="381">
        <f t="shared" si="32"/>
        <v>4.087687667829055</v>
      </c>
      <c r="F577" s="382">
        <f>TxSplint!N255</f>
        <v>26.741424299309674</v>
      </c>
      <c r="G577" s="370"/>
      <c r="H577" s="381">
        <f t="shared" si="34"/>
        <v>26.741424299309674</v>
      </c>
      <c r="I577" s="382">
        <f>TnSplint!N255</f>
        <v>18.853158537414426</v>
      </c>
      <c r="J577" s="370"/>
      <c r="K577" s="381">
        <f t="shared" si="35"/>
        <v>18.853158537414426</v>
      </c>
      <c r="L577" s="383"/>
      <c r="M577" s="475">
        <v>0</v>
      </c>
      <c r="N577" s="384"/>
    </row>
    <row r="578" spans="1:14">
      <c r="A578" s="444">
        <f>Input!B594</f>
        <v>38559</v>
      </c>
      <c r="B578" s="44">
        <f t="shared" si="33"/>
        <v>207</v>
      </c>
      <c r="C578" s="380">
        <f>PMSplint!T622</f>
        <v>4.2872460872132701</v>
      </c>
      <c r="D578" s="500">
        <v>3.7454392842547892</v>
      </c>
      <c r="E578" s="381">
        <f t="shared" si="32"/>
        <v>3.7454392842547892</v>
      </c>
      <c r="F578" s="382">
        <f>TxSplint!N256</f>
        <v>26.818583640498076</v>
      </c>
      <c r="G578" s="370"/>
      <c r="H578" s="381">
        <f t="shared" si="34"/>
        <v>26.818583640498076</v>
      </c>
      <c r="I578" s="382">
        <f>TnSplint!N256</f>
        <v>18.892328289051822</v>
      </c>
      <c r="J578" s="370"/>
      <c r="K578" s="381">
        <f t="shared" si="35"/>
        <v>18.892328289051822</v>
      </c>
      <c r="L578" s="383"/>
      <c r="M578" s="475">
        <v>0</v>
      </c>
      <c r="N578" s="384"/>
    </row>
    <row r="579" spans="1:14">
      <c r="A579" s="444">
        <f>Input!B595</f>
        <v>38560</v>
      </c>
      <c r="B579" s="44">
        <f t="shared" si="33"/>
        <v>208</v>
      </c>
      <c r="C579" s="380">
        <f>PMSplint!T623</f>
        <v>4.2695759184128503</v>
      </c>
      <c r="D579" s="500">
        <v>4.4864865244293437</v>
      </c>
      <c r="E579" s="381">
        <f t="shared" ref="E579:E583" si="36">IF(ISERROR(D579),C579,IF(D579="",C579,IF(D579&lt;0,0,D579)))</f>
        <v>4.4864865244293437</v>
      </c>
      <c r="F579" s="382">
        <f>TxSplint!N257</f>
        <v>26.893892493422431</v>
      </c>
      <c r="G579" s="370"/>
      <c r="H579" s="381">
        <f t="shared" si="34"/>
        <v>26.893892493422431</v>
      </c>
      <c r="I579" s="382">
        <f>TnSplint!N257</f>
        <v>18.929633491144074</v>
      </c>
      <c r="J579" s="370"/>
      <c r="K579" s="381">
        <f t="shared" si="35"/>
        <v>18.929633491144074</v>
      </c>
      <c r="L579" s="383"/>
      <c r="M579" s="475">
        <v>0</v>
      </c>
      <c r="N579" s="384"/>
    </row>
    <row r="580" spans="1:14">
      <c r="A580" s="444">
        <f>Input!B596</f>
        <v>38561</v>
      </c>
      <c r="B580" s="44">
        <f t="shared" si="33"/>
        <v>209</v>
      </c>
      <c r="C580" s="380">
        <f>PMSplint!T624</f>
        <v>4.2508772326813578</v>
      </c>
      <c r="D580" s="500">
        <v>3.6827022385919621</v>
      </c>
      <c r="E580" s="381">
        <f t="shared" si="36"/>
        <v>3.6827022385919621</v>
      </c>
      <c r="F580" s="382">
        <f>TxSplint!N258</f>
        <v>26.966725452642201</v>
      </c>
      <c r="G580" s="370"/>
      <c r="H580" s="381">
        <f t="shared" si="34"/>
        <v>26.966725452642201</v>
      </c>
      <c r="I580" s="382">
        <f>TnSplint!N258</f>
        <v>18.964792686422747</v>
      </c>
      <c r="J580" s="370"/>
      <c r="K580" s="381">
        <f t="shared" si="35"/>
        <v>18.964792686422747</v>
      </c>
      <c r="L580" s="383"/>
      <c r="M580" s="475">
        <v>0</v>
      </c>
      <c r="N580" s="384"/>
    </row>
    <row r="581" spans="1:14">
      <c r="A581" s="444">
        <f>Input!B597</f>
        <v>38562</v>
      </c>
      <c r="B581" s="44">
        <f t="shared" si="33"/>
        <v>210</v>
      </c>
      <c r="C581" s="380">
        <f>PMSplint!T625</f>
        <v>4.2311191405946973</v>
      </c>
      <c r="D581" s="500">
        <v>4.5469371783869423</v>
      </c>
      <c r="E581" s="381">
        <f t="shared" si="36"/>
        <v>4.5469371783869423</v>
      </c>
      <c r="F581" s="382">
        <f>TxSplint!N259</f>
        <v>27.036457112716846</v>
      </c>
      <c r="G581" s="370"/>
      <c r="H581" s="381">
        <f t="shared" si="34"/>
        <v>27.036457112716846</v>
      </c>
      <c r="I581" s="382">
        <f>TnSplint!N259</f>
        <v>18.997524417619388</v>
      </c>
      <c r="J581" s="370"/>
      <c r="K581" s="381">
        <f t="shared" si="35"/>
        <v>18.997524417619388</v>
      </c>
      <c r="L581" s="383"/>
      <c r="M581" s="475">
        <v>0.4</v>
      </c>
      <c r="N581" s="384"/>
    </row>
    <row r="582" spans="1:14">
      <c r="A582" s="444">
        <f>Input!B598</f>
        <v>38563</v>
      </c>
      <c r="B582" s="44">
        <f t="shared" si="33"/>
        <v>211</v>
      </c>
      <c r="C582" s="380">
        <f>PMSplint!T626</f>
        <v>4.210270752728773</v>
      </c>
      <c r="D582" s="500">
        <v>4.4553960861591095</v>
      </c>
      <c r="E582" s="381">
        <f t="shared" si="36"/>
        <v>4.4553960861591095</v>
      </c>
      <c r="F582" s="382">
        <f>TxSplint!N260</f>
        <v>27.102462068205824</v>
      </c>
      <c r="G582" s="370"/>
      <c r="H582" s="381">
        <f t="shared" si="34"/>
        <v>27.102462068205824</v>
      </c>
      <c r="I582" s="382">
        <f>TnSplint!N260</f>
        <v>19.027547227465565</v>
      </c>
      <c r="J582" s="370"/>
      <c r="K582" s="381">
        <f t="shared" si="35"/>
        <v>19.027547227465565</v>
      </c>
      <c r="L582" s="383"/>
      <c r="M582" s="475">
        <v>0</v>
      </c>
      <c r="N582" s="384"/>
    </row>
    <row r="583" spans="1:14">
      <c r="A583" s="444">
        <f>Input!B599</f>
        <v>38564</v>
      </c>
      <c r="B583" s="44">
        <f t="shared" ref="B583" si="37">A583-DATE(YEAR(A583)-1,12,31)</f>
        <v>212</v>
      </c>
      <c r="C583" s="380">
        <f>PMSplint!T627</f>
        <v>4.1883011796594918</v>
      </c>
      <c r="D583" s="500">
        <v>3.8584668114409286</v>
      </c>
      <c r="E583" s="381">
        <f t="shared" si="36"/>
        <v>3.8584668114409286</v>
      </c>
      <c r="F583" s="382">
        <f>TxSplint!N261</f>
        <v>27.164114913668598</v>
      </c>
      <c r="G583" s="370"/>
      <c r="H583" s="381">
        <f>IF(G583="",F583,G583)</f>
        <v>27.164114913668598</v>
      </c>
      <c r="I583" s="382">
        <f>TnSplint!N261</f>
        <v>19.054579658692823</v>
      </c>
      <c r="J583" s="370"/>
      <c r="K583" s="381">
        <f>IF(J583="",I583,J583)</f>
        <v>19.054579658692823</v>
      </c>
      <c r="L583" s="383"/>
      <c r="M583" s="475">
        <v>16.399999999999999</v>
      </c>
      <c r="N583" s="384"/>
    </row>
  </sheetData>
  <phoneticPr fontId="0" type="noConversion"/>
  <pageMargins left="0.75" right="0.75" top="1" bottom="1" header="0.5" footer="0.5"/>
  <pageSetup orientation="portrait" horizontalDpi="1200" verticalDpi="1200" r:id="rId1"/>
  <headerFooter alignWithMargins="0"/>
</worksheet>
</file>

<file path=xl/worksheets/sheet17.xml><?xml version="1.0" encoding="utf-8"?>
<worksheet xmlns="http://schemas.openxmlformats.org/spreadsheetml/2006/main" xmlns:r="http://schemas.openxmlformats.org/officeDocument/2006/relationships">
  <sheetPr>
    <tabColor rgb="FF00CC00"/>
  </sheetPr>
  <dimension ref="A1:BL582"/>
  <sheetViews>
    <sheetView workbookViewId="0">
      <pane xSplit="2" ySplit="4" topLeftCell="C509" activePane="bottomRight" state="frozen"/>
      <selection pane="topRight" activeCell="C1" sqref="C1"/>
      <selection pane="bottomLeft" activeCell="A5" sqref="A5"/>
      <selection pane="bottomRight" activeCell="N522" sqref="N522"/>
    </sheetView>
  </sheetViews>
  <sheetFormatPr defaultRowHeight="12.75"/>
  <cols>
    <col min="1" max="1" width="3.85546875" customWidth="1"/>
    <col min="2" max="2" width="10.140625" bestFit="1" customWidth="1"/>
    <col min="3" max="4" width="6.5703125" bestFit="1" customWidth="1"/>
    <col min="5" max="5" width="5" bestFit="1" customWidth="1"/>
    <col min="6" max="6" width="5.7109375" bestFit="1" customWidth="1"/>
    <col min="8" max="8" width="10.28515625" bestFit="1" customWidth="1"/>
    <col min="9" max="9" width="7.28515625" bestFit="1" customWidth="1"/>
    <col min="10" max="10" width="10.28515625" bestFit="1" customWidth="1"/>
    <col min="11" max="11" width="7.42578125" customWidth="1"/>
    <col min="12" max="12" width="7" customWidth="1"/>
    <col min="13" max="13" width="6.85546875" bestFit="1" customWidth="1"/>
    <col min="14" max="14" width="7" bestFit="1" customWidth="1"/>
    <col min="15" max="15" width="8" bestFit="1" customWidth="1"/>
    <col min="16" max="16" width="7" bestFit="1" customWidth="1"/>
    <col min="17" max="20" width="5.5703125" bestFit="1" customWidth="1"/>
    <col min="21" max="21" width="6.140625" bestFit="1" customWidth="1"/>
    <col min="22" max="22" width="6.42578125" bestFit="1" customWidth="1"/>
    <col min="23" max="24" width="6" customWidth="1"/>
    <col min="25" max="25" width="3.7109375" customWidth="1"/>
    <col min="26" max="26" width="2.85546875" customWidth="1"/>
    <col min="27" max="27" width="6.140625" bestFit="1" customWidth="1"/>
    <col min="36" max="36" width="6.140625" customWidth="1"/>
    <col min="37" max="37" width="7" bestFit="1" customWidth="1"/>
    <col min="63" max="63" width="10.28515625" bestFit="1" customWidth="1"/>
  </cols>
  <sheetData>
    <row r="1" spans="1:64" ht="15.75">
      <c r="A1" s="119"/>
      <c r="B1" s="121" t="s">
        <v>336</v>
      </c>
      <c r="C1" s="472" t="s">
        <v>541</v>
      </c>
      <c r="D1" s="121" t="s">
        <v>334</v>
      </c>
      <c r="E1" s="121" t="s">
        <v>335</v>
      </c>
      <c r="F1" s="98"/>
      <c r="G1" s="117" t="s">
        <v>329</v>
      </c>
      <c r="H1" s="118">
        <f>Input!S10</f>
        <v>38167</v>
      </c>
      <c r="I1" s="117" t="s">
        <v>330</v>
      </c>
      <c r="J1" s="118">
        <f>Input!S11</f>
        <v>38218</v>
      </c>
      <c r="K1" s="121" t="s">
        <v>331</v>
      </c>
      <c r="L1" s="119"/>
      <c r="M1" s="119"/>
      <c r="N1" s="122">
        <f>Input!K5</f>
        <v>2</v>
      </c>
      <c r="O1" s="121" t="s">
        <v>332</v>
      </c>
      <c r="P1" s="123">
        <f>Input!R10</f>
        <v>1.05</v>
      </c>
      <c r="Q1" s="119"/>
      <c r="R1" s="119"/>
      <c r="S1" s="119"/>
      <c r="T1" s="119"/>
      <c r="U1" s="119"/>
      <c r="V1" s="119"/>
      <c r="W1" s="119"/>
      <c r="X1" s="119"/>
      <c r="Y1" s="119"/>
      <c r="Z1" s="99" t="s">
        <v>542</v>
      </c>
      <c r="AA1" s="483">
        <f>Climate!K17</f>
        <v>4.4141750173092893</v>
      </c>
      <c r="AB1" s="463"/>
      <c r="AC1" s="469"/>
      <c r="AD1" s="464"/>
      <c r="AE1" s="464"/>
      <c r="AF1" s="464"/>
      <c r="AG1" s="464"/>
      <c r="AH1" s="464"/>
      <c r="AI1" s="464"/>
      <c r="AJ1" s="464"/>
      <c r="AK1" s="464"/>
      <c r="AL1" s="464"/>
      <c r="AM1" s="17"/>
      <c r="AN1" s="17" t="s">
        <v>94</v>
      </c>
      <c r="AO1" s="21">
        <v>0.23</v>
      </c>
      <c r="AP1" s="17"/>
      <c r="AQ1" s="22" t="s">
        <v>174</v>
      </c>
      <c r="AR1" s="22" t="s">
        <v>173</v>
      </c>
      <c r="AS1" s="17">
        <v>8.2000000000000003E-2</v>
      </c>
      <c r="AT1" s="17"/>
      <c r="AU1" s="17"/>
      <c r="AV1" s="17"/>
      <c r="AW1" s="17"/>
      <c r="AX1" s="17"/>
      <c r="AY1" s="17"/>
      <c r="AZ1" s="27" t="s">
        <v>97</v>
      </c>
      <c r="BA1" s="17">
        <f>4.9*10^-9</f>
        <v>4.9000000000000009E-9</v>
      </c>
      <c r="BB1" s="17"/>
      <c r="BC1" s="17"/>
      <c r="BD1" s="17"/>
      <c r="BE1" s="17"/>
      <c r="BF1" s="17"/>
      <c r="BG1" s="129" t="s">
        <v>540</v>
      </c>
      <c r="BH1" s="17"/>
      <c r="BI1" s="17"/>
      <c r="BJ1" s="17"/>
      <c r="BK1" s="456" t="s">
        <v>537</v>
      </c>
    </row>
    <row r="2" spans="1:64" ht="15">
      <c r="A2" s="119"/>
      <c r="B2" s="476" t="s">
        <v>489</v>
      </c>
      <c r="C2" s="477">
        <v>12.218489</v>
      </c>
      <c r="D2" s="478">
        <f>Climate!G5</f>
        <v>44.143948999999999</v>
      </c>
      <c r="E2" s="479">
        <f>Climate!G6</f>
        <v>36</v>
      </c>
      <c r="F2" s="119"/>
      <c r="G2" s="119"/>
      <c r="H2" s="119"/>
      <c r="I2" s="119"/>
      <c r="J2" s="119"/>
      <c r="K2" s="119"/>
      <c r="L2" s="119"/>
      <c r="M2" s="119"/>
      <c r="N2" s="119"/>
      <c r="O2" s="119"/>
      <c r="P2" s="119"/>
      <c r="Q2" s="119"/>
      <c r="R2" s="119"/>
      <c r="S2" s="119"/>
      <c r="T2" s="119"/>
      <c r="U2" s="119"/>
      <c r="V2" s="119"/>
      <c r="W2" s="119"/>
      <c r="X2" s="119"/>
      <c r="Y2" s="119"/>
      <c r="Z2" s="99" t="s">
        <v>539</v>
      </c>
      <c r="AA2" s="483">
        <f>AVERAGE(AA5:AA369)</f>
        <v>1.0261342273931484</v>
      </c>
      <c r="AB2" s="463"/>
      <c r="AC2" s="469"/>
      <c r="AD2" s="464"/>
      <c r="AE2" s="464"/>
      <c r="AF2" s="464"/>
      <c r="AG2" s="464"/>
      <c r="AH2" s="464"/>
      <c r="AI2" s="464"/>
      <c r="AJ2" s="464"/>
      <c r="AK2" s="464"/>
      <c r="AL2" s="464"/>
      <c r="AM2" s="17"/>
      <c r="AN2" s="17" t="s">
        <v>100</v>
      </c>
      <c r="AO2" s="459">
        <f>101.3*((293-0.0065*E2)/293)^5.26</f>
        <v>100.87518028376455</v>
      </c>
      <c r="AP2" s="17"/>
      <c r="AQ2" s="22" t="s">
        <v>111</v>
      </c>
      <c r="AR2" s="27" t="s">
        <v>95</v>
      </c>
      <c r="AS2" s="28">
        <f>D2*PI()/180</f>
        <v>0.77045725488245831</v>
      </c>
      <c r="AT2" s="17"/>
      <c r="AU2" s="17"/>
      <c r="AV2" s="17"/>
      <c r="AW2" s="17"/>
      <c r="AX2" s="17"/>
      <c r="AY2" s="17"/>
      <c r="AZ2" s="27" t="s">
        <v>103</v>
      </c>
      <c r="BA2" s="32">
        <f>0.00163*AO2/BA3</f>
        <v>6.7112875045933149E-2</v>
      </c>
      <c r="BB2" s="17"/>
      <c r="BC2" s="17"/>
      <c r="BD2" s="17"/>
      <c r="BE2" s="17"/>
      <c r="BF2" s="17"/>
      <c r="BG2" s="17"/>
      <c r="BH2" s="17"/>
      <c r="BI2" s="17"/>
      <c r="BJ2" s="17"/>
      <c r="BK2" s="456" t="s">
        <v>538</v>
      </c>
    </row>
    <row r="3" spans="1:64" ht="15.75">
      <c r="A3" s="119"/>
      <c r="B3" s="120" t="s">
        <v>198</v>
      </c>
      <c r="C3" s="98" t="s">
        <v>267</v>
      </c>
      <c r="D3" s="98" t="s">
        <v>268</v>
      </c>
      <c r="E3" s="98" t="s">
        <v>269</v>
      </c>
      <c r="F3" s="98" t="s">
        <v>270</v>
      </c>
      <c r="G3" s="438" t="s">
        <v>271</v>
      </c>
      <c r="H3" s="438" t="s">
        <v>272</v>
      </c>
      <c r="I3" s="438" t="s">
        <v>273</v>
      </c>
      <c r="J3" s="438" t="s">
        <v>274</v>
      </c>
      <c r="K3" s="438" t="s">
        <v>275</v>
      </c>
      <c r="L3" s="438" t="s">
        <v>416</v>
      </c>
      <c r="M3" s="487" t="s">
        <v>417</v>
      </c>
      <c r="N3" s="438" t="s">
        <v>276</v>
      </c>
      <c r="O3" s="488" t="s">
        <v>384</v>
      </c>
      <c r="P3" s="438" t="s">
        <v>277</v>
      </c>
      <c r="Q3" s="488" t="s">
        <v>424</v>
      </c>
      <c r="R3" s="488" t="s">
        <v>425</v>
      </c>
      <c r="S3" s="488" t="s">
        <v>418</v>
      </c>
      <c r="T3" s="488" t="s">
        <v>419</v>
      </c>
      <c r="U3" s="488" t="s">
        <v>420</v>
      </c>
      <c r="V3" s="488" t="s">
        <v>421</v>
      </c>
      <c r="W3" s="488" t="s">
        <v>423</v>
      </c>
      <c r="X3" s="488" t="s">
        <v>422</v>
      </c>
      <c r="Y3" s="440"/>
      <c r="Z3" s="440"/>
      <c r="AA3" s="440" t="s">
        <v>333</v>
      </c>
      <c r="AB3" s="464"/>
      <c r="AC3" s="470" t="s">
        <v>268</v>
      </c>
      <c r="AD3" s="465" t="s">
        <v>271</v>
      </c>
      <c r="AE3" s="465" t="s">
        <v>272</v>
      </c>
      <c r="AF3" s="465" t="s">
        <v>273</v>
      </c>
      <c r="AG3" s="465" t="s">
        <v>274</v>
      </c>
      <c r="AH3" s="465" t="s">
        <v>275</v>
      </c>
      <c r="AI3" s="465" t="s">
        <v>276</v>
      </c>
      <c r="AJ3" s="465" t="s">
        <v>90</v>
      </c>
      <c r="AK3" s="465" t="s">
        <v>277</v>
      </c>
      <c r="AL3" s="464"/>
      <c r="AM3" s="17"/>
      <c r="AN3" s="17"/>
      <c r="AO3" s="17"/>
      <c r="AP3" s="17"/>
      <c r="AQ3" s="22" t="s">
        <v>135</v>
      </c>
      <c r="AR3" s="17"/>
      <c r="AS3" s="17"/>
      <c r="AT3" s="17"/>
      <c r="AU3" s="17"/>
      <c r="AV3" s="17"/>
      <c r="AW3" s="17"/>
      <c r="AX3" s="17"/>
      <c r="AY3" s="17"/>
      <c r="AZ3" s="27" t="s">
        <v>98</v>
      </c>
      <c r="BA3" s="17">
        <v>2.4500000000000002</v>
      </c>
      <c r="BB3" s="17"/>
      <c r="BC3" s="17"/>
      <c r="BD3" s="17"/>
      <c r="BE3" s="17"/>
      <c r="BF3" s="17"/>
      <c r="BG3" s="17"/>
      <c r="BH3" s="460" t="s">
        <v>536</v>
      </c>
      <c r="BI3" s="460" t="s">
        <v>536</v>
      </c>
      <c r="BJ3" s="460" t="s">
        <v>536</v>
      </c>
      <c r="BK3" s="457" t="s">
        <v>536</v>
      </c>
    </row>
    <row r="4" spans="1:64" ht="17.25">
      <c r="A4" s="119"/>
      <c r="B4" s="119"/>
      <c r="C4" s="98" t="s">
        <v>278</v>
      </c>
      <c r="D4" s="98" t="s">
        <v>279</v>
      </c>
      <c r="E4" s="98" t="s">
        <v>280</v>
      </c>
      <c r="F4" s="98" t="s">
        <v>280</v>
      </c>
      <c r="G4" s="438" t="s">
        <v>281</v>
      </c>
      <c r="H4" s="489" t="s">
        <v>513</v>
      </c>
      <c r="I4" s="489" t="s">
        <v>513</v>
      </c>
      <c r="J4" s="438" t="s">
        <v>283</v>
      </c>
      <c r="K4" s="489" t="s">
        <v>513</v>
      </c>
      <c r="L4" s="490" t="s">
        <v>261</v>
      </c>
      <c r="M4" s="490" t="s">
        <v>261</v>
      </c>
      <c r="N4" s="438" t="s">
        <v>284</v>
      </c>
      <c r="O4" s="488" t="s">
        <v>151</v>
      </c>
      <c r="P4" s="438" t="s">
        <v>284</v>
      </c>
      <c r="Q4" s="488" t="s">
        <v>101</v>
      </c>
      <c r="R4" s="488" t="s">
        <v>101</v>
      </c>
      <c r="S4" s="488" t="s">
        <v>101</v>
      </c>
      <c r="T4" s="488" t="s">
        <v>101</v>
      </c>
      <c r="U4" s="488" t="s">
        <v>101</v>
      </c>
      <c r="V4" s="491"/>
      <c r="W4" s="489" t="s">
        <v>513</v>
      </c>
      <c r="X4" s="489" t="s">
        <v>513</v>
      </c>
      <c r="Y4" s="482"/>
      <c r="Z4" s="486"/>
      <c r="AA4" s="440" t="s">
        <v>151</v>
      </c>
      <c r="AB4" s="464"/>
      <c r="AC4" s="470" t="s">
        <v>279</v>
      </c>
      <c r="AD4" s="465" t="s">
        <v>281</v>
      </c>
      <c r="AE4" s="465" t="s">
        <v>282</v>
      </c>
      <c r="AF4" s="465" t="s">
        <v>282</v>
      </c>
      <c r="AG4" s="465" t="s">
        <v>283</v>
      </c>
      <c r="AH4" s="465" t="s">
        <v>282</v>
      </c>
      <c r="AI4" s="465" t="s">
        <v>284</v>
      </c>
      <c r="AJ4" s="465"/>
      <c r="AK4" s="465" t="s">
        <v>284</v>
      </c>
      <c r="AL4" s="464"/>
      <c r="AM4" s="22" t="s">
        <v>60</v>
      </c>
      <c r="AN4" s="22" t="s">
        <v>532</v>
      </c>
      <c r="AO4" s="27" t="s">
        <v>155</v>
      </c>
      <c r="AP4" s="27" t="s">
        <v>184</v>
      </c>
      <c r="AQ4" s="22" t="s">
        <v>156</v>
      </c>
      <c r="AR4" s="22" t="s">
        <v>185</v>
      </c>
      <c r="AS4" s="22" t="s">
        <v>186</v>
      </c>
      <c r="AT4" s="22" t="s">
        <v>187</v>
      </c>
      <c r="AU4" s="22" t="s">
        <v>533</v>
      </c>
      <c r="AV4" s="22" t="s">
        <v>157</v>
      </c>
      <c r="AW4" s="22" t="s">
        <v>188</v>
      </c>
      <c r="AX4" s="22" t="s">
        <v>189</v>
      </c>
      <c r="AY4" s="22" t="s">
        <v>190</v>
      </c>
      <c r="AZ4" s="27" t="s">
        <v>191</v>
      </c>
      <c r="BA4" s="22" t="s">
        <v>192</v>
      </c>
      <c r="BB4" s="22" t="s">
        <v>193</v>
      </c>
      <c r="BC4" s="22" t="s">
        <v>194</v>
      </c>
      <c r="BD4" s="22" t="s">
        <v>158</v>
      </c>
      <c r="BE4" s="22" t="s">
        <v>195</v>
      </c>
      <c r="BF4" s="22" t="s">
        <v>196</v>
      </c>
      <c r="BG4" s="27" t="s">
        <v>58</v>
      </c>
      <c r="BH4" s="22" t="s">
        <v>534</v>
      </c>
      <c r="BI4" s="22" t="s">
        <v>535</v>
      </c>
      <c r="BJ4" s="21" t="s">
        <v>531</v>
      </c>
      <c r="BK4" s="458" t="s">
        <v>531</v>
      </c>
    </row>
    <row r="5" spans="1:64" ht="15">
      <c r="A5" s="119"/>
      <c r="B5" s="480">
        <f>Input!B22</f>
        <v>37987</v>
      </c>
      <c r="C5" s="481">
        <v>1</v>
      </c>
      <c r="D5" s="481">
        <f>MONTH(B5)</f>
        <v>1</v>
      </c>
      <c r="E5" s="481">
        <f>DAY(B5)</f>
        <v>1</v>
      </c>
      <c r="F5" s="481">
        <f t="shared" ref="F5:F68" si="0">B5-DATE(YEAR(B5)-1,12,31)</f>
        <v>1</v>
      </c>
      <c r="G5" s="431">
        <v>2.7648000000000001</v>
      </c>
      <c r="H5" s="433">
        <v>0.33</v>
      </c>
      <c r="I5" s="433">
        <v>-5</v>
      </c>
      <c r="J5" s="433">
        <v>0.56000000000000005</v>
      </c>
      <c r="K5" s="484"/>
      <c r="L5" s="433">
        <v>98</v>
      </c>
      <c r="M5" s="433">
        <v>88</v>
      </c>
      <c r="N5" s="484">
        <f>Weather!M6</f>
        <v>0</v>
      </c>
      <c r="O5" s="481" t="str">
        <f>IF(AND(N5&lt;&gt;"",P5&lt;&gt;"",N5&gt;(P5*2)),1,"")</f>
        <v/>
      </c>
      <c r="P5" s="4">
        <f>BJ5</f>
        <v>0.24825455305211253</v>
      </c>
      <c r="Q5" s="169">
        <f t="shared" ref="Q5:Q68" si="1">IF(H5="","",0.6108*EXP((17.27*H5)/(H5+237.3)))</f>
        <v>0.62562594232901214</v>
      </c>
      <c r="R5" s="169">
        <f t="shared" ref="R5:R68" si="2">IF(I5="","",0.6108*EXP((17.27*I5)/(I5+237.3)))</f>
        <v>0.42117649202727186</v>
      </c>
      <c r="S5" s="169">
        <f t="shared" ref="S5:S68" si="3">IF(OR(M5="",Q5=""),"",M5/100*Q5)</f>
        <v>0.55055082924953069</v>
      </c>
      <c r="T5" s="169">
        <f t="shared" ref="T5:T68" si="4">IF(OR(L5="",R5=""),"",L5/100*R5)</f>
        <v>0.41275296218672641</v>
      </c>
      <c r="U5" s="169">
        <f t="shared" ref="U5:U68" si="5">IF(OR(S5="",T5=""),"",(S5+T5)/2)</f>
        <v>0.48165189571812855</v>
      </c>
      <c r="V5" s="169">
        <f t="shared" ref="V5:V68" si="6">IF(U5="","",LN(U5/0.6108)/17.27)</f>
        <v>-1.3754946627991942E-2</v>
      </c>
      <c r="W5" s="439">
        <f t="shared" ref="W5:W68" si="7">IF(ISNUMBER(V5),237.3*(V5/(1-V5)),"")</f>
        <v>-3.2197611914788169</v>
      </c>
      <c r="X5" s="439">
        <f t="shared" ref="X5:X68" si="8">IF(AND(K5="",W5=""),"",IF(K5="",W5,K5))</f>
        <v>-3.2197611914788169</v>
      </c>
      <c r="Y5" s="169"/>
      <c r="Z5" s="119" t="str">
        <f t="shared" ref="Z5:Z68" si="9">IF(AND(B5&gt;=H$1,B5&lt;=J$1),3,"")</f>
        <v/>
      </c>
      <c r="AA5" s="4" t="str">
        <f t="shared" ref="AA5:AA68" si="10">IF(Z5=3,$P$1+0.1654*($AA$1-7.3)*($P$1-1),"")</f>
        <v/>
      </c>
      <c r="AB5" s="466"/>
      <c r="AC5" s="471">
        <v>1</v>
      </c>
      <c r="AD5" s="467">
        <f t="array" ref="AD5">AVERAGE(IF($AC5=$D$5:$D$370,G$5:G$370,""))</f>
        <v>5.5686193548387113</v>
      </c>
      <c r="AE5" s="467">
        <f t="array" ref="AE5">AVERAGE(IF($AC5=$D$5:$D$370,H$5:H$370,""))</f>
        <v>1.143870967741935</v>
      </c>
      <c r="AF5" s="467">
        <f t="array" ref="AF5">AVERAGE(IF($AC5=$D$5:$D$370,I$5:I$370,""))</f>
        <v>-2.8612903225806448</v>
      </c>
      <c r="AG5" s="467">
        <f t="array" ref="AG5">AVERAGE(IF($AC5=$D$5:$D$370,J$5:J$370,""))</f>
        <v>1.8448387096774193</v>
      </c>
      <c r="AH5" s="467">
        <f t="array" ref="AH5">AVERAGE(IF($AC5=$D$5:$D$370,X$5:X$370,""))</f>
        <v>-2.0267714356494704</v>
      </c>
      <c r="AI5" s="467">
        <f t="array" ref="AI5">SUM(IF($AC5=$D$5:$D$370,N$5:N$370,""))</f>
        <v>7.0000000000000018</v>
      </c>
      <c r="AJ5" s="468">
        <f t="array" ref="AJ5">COUNT(IF($AC5=$D$5:$D$370,O$5:O$370,""))</f>
        <v>3</v>
      </c>
      <c r="AK5" s="467">
        <f t="array" ref="AK5">AVERAGE(IF($AC5=$D$5:$D$370,P$5:P$370,""))</f>
        <v>0.29820301936536553</v>
      </c>
      <c r="AL5" s="466"/>
      <c r="AM5" s="462">
        <f t="shared" ref="AM5:AM68" si="11">F5</f>
        <v>1</v>
      </c>
      <c r="AN5" s="32">
        <f>1+0.033*COS(2*PI()/365*AM5)</f>
        <v>1.0329951106939008</v>
      </c>
      <c r="AO5" s="32">
        <f>0.409*SIN(2*PI()/365*AM5-1.39)</f>
        <v>-0.40100809259462372</v>
      </c>
      <c r="AP5" s="32">
        <f>ACOS(-TAN(AS$2)*TAN(AO5))</f>
        <v>1.1466989866100503</v>
      </c>
      <c r="AQ5" s="32">
        <f t="shared" ref="AQ5" si="12">AP5*24/PI()</f>
        <v>8.7601349739579177</v>
      </c>
      <c r="AR5" s="32">
        <f>(24*60/PI())*AS$1*AN5*(AP5*SIN(AS$2)*SIN(AO5)+COS(AS$2)*COS(AO5)*SIN(AP5))</f>
        <v>11.274824042054822</v>
      </c>
      <c r="AS5" s="32">
        <f t="shared" ref="AS5:AS68" si="13">AR5*(0.75+2*10^-5*E$2)</f>
        <v>8.4642359048513978</v>
      </c>
      <c r="AT5" s="32">
        <f t="shared" ref="AT5:AT68" si="14">IF(G5="","",(1-AO$1)*G5)</f>
        <v>2.1288960000000001</v>
      </c>
      <c r="AU5" s="32">
        <f t="shared" ref="AU5:AU68" si="15">IF(G5="","",IF(G5/AS5&lt;0.3,0.3,IF(G5/AS5&gt;1,1,G5/AS5)))</f>
        <v>0.32664496016885769</v>
      </c>
      <c r="AV5" s="32">
        <f t="shared" ref="AV5:AV68" si="16">IF(G5="","",1.35*AU5-0.35)</f>
        <v>9.0970696227957948E-2</v>
      </c>
      <c r="AW5" s="32">
        <f t="shared" ref="AW5:AW68" si="17">IF(H5="","",0.6108*EXP((17.27*H5)/(H5+237.3)))</f>
        <v>0.62562594232901214</v>
      </c>
      <c r="AX5" s="32">
        <f t="shared" ref="AX5:AX68" si="18">IF(I5="","",0.6108*EXP((17.27*I5)/(I5+237.3)))</f>
        <v>0.42117649202727186</v>
      </c>
      <c r="AY5" s="32">
        <f t="shared" ref="AY5:AY68" si="19">IF(X5="","",0.6108*EXP((17.27*X5)/(X5+237.3)))</f>
        <v>0.48165189571812861</v>
      </c>
      <c r="AZ5" s="32">
        <f>IF(AY5="","",0.34-0.14*SQRT(AY5))</f>
        <v>0.24283839669871993</v>
      </c>
      <c r="BA5" s="32">
        <f t="shared" ref="BA5:BA68" si="20">IF(AV5="","",IF(AZ5="","",IF(H5="","",IF(I5="","",-AV5*AZ5*BA$1*(((H5+273.15)^4+(I5+273.15)^4)/2)))))</f>
        <v>-0.582583375419224</v>
      </c>
      <c r="BB5" s="32">
        <f t="shared" ref="BB5" si="21">IF(AT5="","",IF(BA5="","",AT5+BA5))</f>
        <v>1.5463126245807761</v>
      </c>
      <c r="BC5" s="32">
        <f t="shared" ref="BC5:BC68" si="22">IF(H5="","",IF(I5="","",(H5+I5)/2))</f>
        <v>-2.335</v>
      </c>
      <c r="BD5" s="32">
        <v>0</v>
      </c>
      <c r="BE5" s="32">
        <f>IF(AW5="","",IF(AX5="","",(AW5+AX5)/2))</f>
        <v>0.52340121717814203</v>
      </c>
      <c r="BF5" s="32">
        <f>IF(BE5="","",IF(AY5="","",BE5-AY5))</f>
        <v>4.1749321460013422E-2</v>
      </c>
      <c r="BG5" s="32">
        <f t="shared" ref="BG5" si="23">IF(BE5="","",IF(BC5="","",4099*0.6108*EXP((17.27*BC5)/(BC5+237.3))/(BC5+237.3)^2))</f>
        <v>3.819755619470331E-2</v>
      </c>
      <c r="BH5" s="32">
        <f t="shared" ref="BH5:BH68" si="24">IF($AY5="","",IF($G5="","",0.408*$BG5*($BB5-$BD5)/($BG5+$BA$2*(1+0.34*$J5))))</f>
        <v>0.20407256268940138</v>
      </c>
      <c r="BI5" s="32">
        <f t="shared" ref="BI5:BI68" si="25">IF($BC5="","",IF($BF5="","",IF($BG5="","",IF($J5="","",($BA$2*900/($BC5+273)*$J5*$BF5)/($BG5+$BA$2*(1+0.34*$J5))))))</f>
        <v>4.4181990362711143E-2</v>
      </c>
      <c r="BJ5" s="32">
        <f t="shared" ref="BJ5:BJ68" si="26">IF(BH5="","",IF(BI5="","",BH5+BI5))</f>
        <v>0.24825455305211253</v>
      </c>
      <c r="BK5" s="457">
        <f t="shared" ref="BK5:BK68" si="27">IF(OR(H5="",I5=""),"",0.0023*AR5*(H5-I5)^0.5*((H5+I5)/2+17.8)/2.45)</f>
        <v>0.37790710174859526</v>
      </c>
      <c r="BL5" s="2"/>
    </row>
    <row r="6" spans="1:64" ht="15">
      <c r="A6" s="119"/>
      <c r="B6" s="480">
        <f>Input!B23</f>
        <v>37988</v>
      </c>
      <c r="C6" s="481">
        <v>1</v>
      </c>
      <c r="D6" s="481">
        <f t="shared" ref="D6:D69" si="28">MONTH(B6)</f>
        <v>1</v>
      </c>
      <c r="E6" s="481">
        <f t="shared" ref="E6:E69" si="29">DAY(B6)</f>
        <v>2</v>
      </c>
      <c r="F6" s="481">
        <f t="shared" si="0"/>
        <v>2</v>
      </c>
      <c r="G6" s="431">
        <v>4.2336</v>
      </c>
      <c r="H6" s="455">
        <v>2.57</v>
      </c>
      <c r="I6" s="455">
        <v>-2.2000000000000002</v>
      </c>
      <c r="J6" s="455">
        <v>1.74</v>
      </c>
      <c r="K6" s="485"/>
      <c r="L6" s="433">
        <v>98</v>
      </c>
      <c r="M6" s="455">
        <v>89</v>
      </c>
      <c r="N6" s="484">
        <f>Weather!M7</f>
        <v>1.8</v>
      </c>
      <c r="O6" s="481">
        <f t="shared" ref="O6:O69" si="30">IF(AND(N6&lt;&gt;"",P6&lt;&gt;"",N6&gt;(P6*2)),1,"")</f>
        <v>1</v>
      </c>
      <c r="P6" s="4">
        <f t="shared" ref="P6:P7" si="31">BJ6</f>
        <v>0.26135759193647401</v>
      </c>
      <c r="Q6" s="169">
        <f t="shared" si="1"/>
        <v>0.73495018124524325</v>
      </c>
      <c r="R6" s="169">
        <f t="shared" si="2"/>
        <v>0.51965324203018892</v>
      </c>
      <c r="S6" s="169">
        <f t="shared" si="3"/>
        <v>0.65410566130826653</v>
      </c>
      <c r="T6" s="169">
        <f t="shared" si="4"/>
        <v>0.50926017718958516</v>
      </c>
      <c r="U6" s="169">
        <f t="shared" si="5"/>
        <v>0.5816829192489259</v>
      </c>
      <c r="V6" s="169">
        <f t="shared" si="6"/>
        <v>-2.8282620940502786E-3</v>
      </c>
      <c r="W6" s="439">
        <f t="shared" si="7"/>
        <v>-0.66925376984956542</v>
      </c>
      <c r="X6" s="439">
        <f t="shared" si="8"/>
        <v>-0.66925376984956542</v>
      </c>
      <c r="Y6" s="169"/>
      <c r="Z6" s="119" t="str">
        <f t="shared" si="9"/>
        <v/>
      </c>
      <c r="AA6" s="4" t="str">
        <f t="shared" si="10"/>
        <v/>
      </c>
      <c r="AB6" s="466"/>
      <c r="AC6" s="471">
        <v>2</v>
      </c>
      <c r="AD6" s="467">
        <f t="array" ref="AD6">AVERAGE(IF($AC6=$D$5:$D$370,G$5:G$370,""))</f>
        <v>7.2665379310344811</v>
      </c>
      <c r="AE6" s="467">
        <f t="array" ref="AE6">AVERAGE(IF($AC6=$D$5:$D$370,H$5:H$370,""))</f>
        <v>0.59482758620689602</v>
      </c>
      <c r="AF6" s="467">
        <f t="array" ref="AF6">AVERAGE(IF($AC6=$D$5:$D$370,I$5:I$370,""))</f>
        <v>-4.5999999999999996</v>
      </c>
      <c r="AG6" s="467">
        <f t="array" ref="AG6">AVERAGE(IF($AC6=$D$5:$D$370,J$5:J$370,""))</f>
        <v>2.6075862068965519</v>
      </c>
      <c r="AH6" s="467">
        <f t="array" ref="AH6">AVERAGE(IF($AC6=$D$5:$D$370,X$5:X$370,""))</f>
        <v>-3.3027110348402973</v>
      </c>
      <c r="AI6" s="467">
        <f t="array" ref="AI6">SUM(IF($AC6=$D$5:$D$370,N$5:N$370,""))</f>
        <v>1.4</v>
      </c>
      <c r="AJ6" s="468">
        <f t="array" ref="AJ6">COUNT(IF($AC6=$D$5:$D$370,O$5:O$370,""))</f>
        <v>0</v>
      </c>
      <c r="AK6" s="467">
        <f t="array" ref="AK6">AVERAGE(IF($AC6=$D$5:$D$370,P$5:P$370,""))</f>
        <v>0.46833216623671287</v>
      </c>
      <c r="AL6" s="466"/>
      <c r="AM6" s="462">
        <f t="shared" si="11"/>
        <v>2</v>
      </c>
      <c r="AN6" s="32">
        <f t="shared" ref="AN6:AN69" si="32">1+0.033*COS(2*PI()/365*AM6)</f>
        <v>1.0329804442244102</v>
      </c>
      <c r="AO6" s="32">
        <f t="shared" ref="AO6:AO69" si="33">0.409*SIN(2*PI()/365*AM6-1.39)</f>
        <v>-0.39956372457913614</v>
      </c>
      <c r="AP6" s="32">
        <f t="shared" ref="AP6:AP69" si="34">ACOS(-TAN(AS$2)*TAN(AO6))</f>
        <v>1.1485117256809652</v>
      </c>
      <c r="AQ6" s="32">
        <f t="shared" ref="AQ6:AQ69" si="35">AP6*24/PI()</f>
        <v>8.7739832803741695</v>
      </c>
      <c r="AR6" s="32">
        <f t="shared" ref="AR6:AR69" si="36">(24*60/PI())*AS$1*AN6*(AP6*SIN(AS$2)*SIN(AO6)+COS(AS$2)*COS(AO6)*SIN(AP6))</f>
        <v>11.330240414667351</v>
      </c>
      <c r="AS6" s="32">
        <f t="shared" si="13"/>
        <v>8.505838084099075</v>
      </c>
      <c r="AT6" s="32">
        <f t="shared" si="14"/>
        <v>3.2598720000000001</v>
      </c>
      <c r="AU6" s="32">
        <f t="shared" si="15"/>
        <v>0.49772873150669861</v>
      </c>
      <c r="AV6" s="32">
        <f t="shared" si="16"/>
        <v>0.32193378753404323</v>
      </c>
      <c r="AW6" s="32">
        <f t="shared" si="17"/>
        <v>0.73495018124524325</v>
      </c>
      <c r="AX6" s="32">
        <f t="shared" si="18"/>
        <v>0.51965324203018892</v>
      </c>
      <c r="AY6" s="32">
        <f t="shared" si="19"/>
        <v>0.5816829192489259</v>
      </c>
      <c r="AZ6" s="32">
        <f t="shared" ref="AZ6:AZ69" si="37">IF(AY6="","",0.34-0.14*SQRT(AY6))</f>
        <v>0.23322460387674065</v>
      </c>
      <c r="BA6" s="32">
        <f t="shared" si="20"/>
        <v>-2.0545482010138691</v>
      </c>
      <c r="BB6" s="32">
        <f t="shared" ref="BB6:BB69" si="38">IF(AT6="","",IF(BA6="","",AT6+BA6))</f>
        <v>1.205323798986131</v>
      </c>
      <c r="BC6" s="32">
        <f t="shared" si="22"/>
        <v>0.18499999999999983</v>
      </c>
      <c r="BD6" s="32">
        <v>0</v>
      </c>
      <c r="BE6" s="32">
        <f t="shared" ref="BE6:BE69" si="39">IF(AW6="","",IF(AX6="","",(AW6+AX6)/2))</f>
        <v>0.62730171163771609</v>
      </c>
      <c r="BF6" s="32">
        <f t="shared" ref="BF6:BF69" si="40">IF(BE6="","",IF(AY6="","",BE6-AY6))</f>
        <v>4.5618792388790186E-2</v>
      </c>
      <c r="BG6" s="32">
        <f t="shared" ref="BG6:BG69" si="41">IF(BE6="","",IF(BC6="","",4099*0.6108*EXP((17.27*BC6)/(BC6+237.3))/(BC6+237.3)^2))</f>
        <v>4.4993239151754301E-2</v>
      </c>
      <c r="BH6" s="32">
        <f t="shared" si="24"/>
        <v>0.1457506546245807</v>
      </c>
      <c r="BI6" s="32">
        <f t="shared" si="25"/>
        <v>0.1156069373118933</v>
      </c>
      <c r="BJ6" s="32">
        <f t="shared" si="26"/>
        <v>0.26135759193647401</v>
      </c>
      <c r="BK6" s="457">
        <f t="shared" si="27"/>
        <v>0.4178019941509391</v>
      </c>
      <c r="BL6" s="2"/>
    </row>
    <row r="7" spans="1:64" ht="15">
      <c r="A7" s="119"/>
      <c r="B7" s="480">
        <f>Input!B24</f>
        <v>37989</v>
      </c>
      <c r="C7" s="481">
        <v>1</v>
      </c>
      <c r="D7" s="481">
        <f t="shared" si="28"/>
        <v>1</v>
      </c>
      <c r="E7" s="481">
        <f t="shared" si="29"/>
        <v>3</v>
      </c>
      <c r="F7" s="481">
        <f t="shared" si="0"/>
        <v>3</v>
      </c>
      <c r="G7" s="431">
        <v>5.7888000000000002</v>
      </c>
      <c r="H7" s="455">
        <v>3.47</v>
      </c>
      <c r="I7" s="455">
        <v>-0.8</v>
      </c>
      <c r="J7" s="455">
        <v>2.6</v>
      </c>
      <c r="K7" s="485"/>
      <c r="L7" s="433">
        <v>99</v>
      </c>
      <c r="M7" s="455">
        <v>89</v>
      </c>
      <c r="N7" s="484">
        <f>Weather!M8</f>
        <v>1.2</v>
      </c>
      <c r="O7" s="481">
        <f t="shared" si="30"/>
        <v>1</v>
      </c>
      <c r="P7" s="4">
        <f t="shared" si="31"/>
        <v>0.24892768940826782</v>
      </c>
      <c r="Q7" s="169">
        <f t="shared" si="1"/>
        <v>0.78341803771588003</v>
      </c>
      <c r="R7" s="169">
        <f t="shared" si="2"/>
        <v>0.57614016245714772</v>
      </c>
      <c r="S7" s="169">
        <f t="shared" si="3"/>
        <v>0.6972420535671332</v>
      </c>
      <c r="T7" s="169">
        <f t="shared" si="4"/>
        <v>0.57037876083257621</v>
      </c>
      <c r="U7" s="169">
        <f t="shared" si="5"/>
        <v>0.63381040719985471</v>
      </c>
      <c r="V7" s="169">
        <f t="shared" si="6"/>
        <v>2.1413024956091348E-3</v>
      </c>
      <c r="W7" s="439">
        <f t="shared" si="7"/>
        <v>0.50922147943277496</v>
      </c>
      <c r="X7" s="439">
        <f t="shared" si="8"/>
        <v>0.50922147943277496</v>
      </c>
      <c r="Y7" s="169"/>
      <c r="Z7" s="119" t="str">
        <f t="shared" si="9"/>
        <v/>
      </c>
      <c r="AA7" s="4" t="str">
        <f t="shared" si="10"/>
        <v/>
      </c>
      <c r="AB7" s="466"/>
      <c r="AC7" s="471">
        <v>3</v>
      </c>
      <c r="AD7" s="467">
        <f t="array" ref="AD7">AVERAGE(IF($AC7=$D$5:$D$370,G$5:G$370,""))</f>
        <v>12.366348387096773</v>
      </c>
      <c r="AE7" s="467">
        <f t="array" ref="AE7">AVERAGE(IF($AC7=$D$5:$D$370,H$5:H$370,""))</f>
        <v>11.472258064516131</v>
      </c>
      <c r="AF7" s="467">
        <f t="array" ref="AF7">AVERAGE(IF($AC7=$D$5:$D$370,I$5:I$370,""))</f>
        <v>3.4967741935483869</v>
      </c>
      <c r="AG7" s="467">
        <f t="array" ref="AG7">AVERAGE(IF($AC7=$D$5:$D$370,J$5:J$370,""))</f>
        <v>1.7367741935483874</v>
      </c>
      <c r="AH7" s="467">
        <f t="array" ref="AH7">AVERAGE(IF($AC7=$D$5:$D$370,X$5:X$370,""))</f>
        <v>5.6076230235484141</v>
      </c>
      <c r="AI7" s="467">
        <f t="array" ref="AI7">SUM(IF($AC7=$D$5:$D$370,N$5:N$370,""))</f>
        <v>1.5999999999999999</v>
      </c>
      <c r="AJ7" s="468">
        <f t="array" ref="AJ7">COUNT(IF($AC7=$D$5:$D$370,O$5:O$370,""))</f>
        <v>0</v>
      </c>
      <c r="AK7" s="467">
        <f t="array" ref="AK7">AVERAGE(IF($AC7=$D$5:$D$370,P$5:P$370,""))</f>
        <v>1.3319948639124057</v>
      </c>
      <c r="AL7" s="466"/>
      <c r="AM7" s="462">
        <f t="shared" si="11"/>
        <v>3</v>
      </c>
      <c r="AN7" s="32">
        <f t="shared" si="32"/>
        <v>1.0329560049375197</v>
      </c>
      <c r="AO7" s="32">
        <f t="shared" si="33"/>
        <v>-0.39800095720876433</v>
      </c>
      <c r="AP7" s="32">
        <f t="shared" si="34"/>
        <v>1.150468913777718</v>
      </c>
      <c r="AQ7" s="32">
        <f t="shared" si="35"/>
        <v>8.7889350960617936</v>
      </c>
      <c r="AR7" s="32">
        <f t="shared" si="36"/>
        <v>11.390162996734581</v>
      </c>
      <c r="AS7" s="32">
        <f t="shared" si="13"/>
        <v>8.5508231649085857</v>
      </c>
      <c r="AT7" s="32">
        <f t="shared" si="14"/>
        <v>4.457376</v>
      </c>
      <c r="AU7" s="32">
        <f t="shared" si="15"/>
        <v>0.67698745353037437</v>
      </c>
      <c r="AV7" s="32">
        <f t="shared" si="16"/>
        <v>0.56393306226600548</v>
      </c>
      <c r="AW7" s="32">
        <f t="shared" si="17"/>
        <v>0.78341803771588003</v>
      </c>
      <c r="AX7" s="32">
        <f t="shared" si="18"/>
        <v>0.57614016245714772</v>
      </c>
      <c r="AY7" s="32">
        <f t="shared" si="19"/>
        <v>0.63381040719985471</v>
      </c>
      <c r="AZ7" s="32">
        <f t="shared" si="37"/>
        <v>0.2285429052006237</v>
      </c>
      <c r="BA7" s="32">
        <f t="shared" si="20"/>
        <v>-3.5861088590040899</v>
      </c>
      <c r="BB7" s="32">
        <f t="shared" si="38"/>
        <v>0.87126714099591007</v>
      </c>
      <c r="BC7" s="32">
        <f t="shared" si="22"/>
        <v>1.335</v>
      </c>
      <c r="BD7" s="32">
        <v>0</v>
      </c>
      <c r="BE7" s="32">
        <f t="shared" si="39"/>
        <v>0.67977910008651388</v>
      </c>
      <c r="BF7" s="32">
        <f t="shared" si="40"/>
        <v>4.5968692886659168E-2</v>
      </c>
      <c r="BG7" s="32">
        <f t="shared" si="41"/>
        <v>4.8424766353332302E-2</v>
      </c>
      <c r="BH7" s="32">
        <f t="shared" si="24"/>
        <v>9.8440789871973855E-2</v>
      </c>
      <c r="BI7" s="32">
        <f t="shared" si="25"/>
        <v>0.15048689953629396</v>
      </c>
      <c r="BJ7" s="32">
        <f t="shared" si="26"/>
        <v>0.24892768940826782</v>
      </c>
      <c r="BK7" s="457">
        <f t="shared" si="27"/>
        <v>0.42279913949686665</v>
      </c>
      <c r="BL7" s="2"/>
    </row>
    <row r="8" spans="1:64" ht="15">
      <c r="A8" s="119"/>
      <c r="B8" s="480">
        <f>Input!B25</f>
        <v>37990</v>
      </c>
      <c r="C8" s="481">
        <v>1</v>
      </c>
      <c r="D8" s="481">
        <f t="shared" si="28"/>
        <v>1</v>
      </c>
      <c r="E8" s="481">
        <f t="shared" si="29"/>
        <v>4</v>
      </c>
      <c r="F8" s="481">
        <f t="shared" si="0"/>
        <v>4</v>
      </c>
      <c r="G8" s="431">
        <v>7.4303999999999997</v>
      </c>
      <c r="H8" s="455">
        <v>0.04</v>
      </c>
      <c r="I8" s="455">
        <v>-2</v>
      </c>
      <c r="J8" s="455">
        <v>1.54</v>
      </c>
      <c r="K8" s="485"/>
      <c r="L8" s="433">
        <v>98</v>
      </c>
      <c r="M8" s="455">
        <v>89</v>
      </c>
      <c r="N8" s="484">
        <f>Weather!M9</f>
        <v>0.2</v>
      </c>
      <c r="O8" s="481" t="str">
        <f t="shared" si="30"/>
        <v/>
      </c>
      <c r="P8" s="4">
        <f>BJ8</f>
        <v>0.15123086696486165</v>
      </c>
      <c r="Q8" s="169">
        <f t="shared" si="1"/>
        <v>0.61258037956009093</v>
      </c>
      <c r="R8" s="169">
        <f t="shared" si="2"/>
        <v>0.52741000445547548</v>
      </c>
      <c r="S8" s="169">
        <f t="shared" si="3"/>
        <v>0.54519653780848099</v>
      </c>
      <c r="T8" s="169">
        <f t="shared" si="4"/>
        <v>0.51686180436636597</v>
      </c>
      <c r="U8" s="169">
        <f t="shared" si="5"/>
        <v>0.53102917108742353</v>
      </c>
      <c r="V8" s="169">
        <f t="shared" si="6"/>
        <v>-8.1037995064832183E-3</v>
      </c>
      <c r="W8" s="439">
        <f t="shared" si="7"/>
        <v>-1.9075730334811623</v>
      </c>
      <c r="X8" s="439">
        <f t="shared" si="8"/>
        <v>-1.9075730334811623</v>
      </c>
      <c r="Y8" s="169"/>
      <c r="Z8" s="119" t="str">
        <f t="shared" si="9"/>
        <v/>
      </c>
      <c r="AA8" s="4" t="str">
        <f t="shared" si="10"/>
        <v/>
      </c>
      <c r="AB8" s="466"/>
      <c r="AC8" s="471">
        <v>4</v>
      </c>
      <c r="AD8" s="467">
        <f t="array" ref="AD8">AVERAGE(IF($AC8=$D$5:$D$370,G$5:G$370,""))</f>
        <v>12.735360000000002</v>
      </c>
      <c r="AE8" s="467">
        <f t="array" ref="AE8">AVERAGE(IF($AC8=$D$5:$D$370,H$5:H$370,""))</f>
        <v>12.733000000000001</v>
      </c>
      <c r="AF8" s="467">
        <f t="array" ref="AF8">AVERAGE(IF($AC8=$D$5:$D$370,I$5:I$370,""))</f>
        <v>7.0266666666666682</v>
      </c>
      <c r="AG8" s="467">
        <f t="array" ref="AG8">AVERAGE(IF($AC8=$D$5:$D$370,J$5:J$370,""))</f>
        <v>2.1033333333333326</v>
      </c>
      <c r="AH8" s="467">
        <f t="array" ref="AH8">AVERAGE(IF($AC8=$D$5:$D$370,X$5:X$370,""))</f>
        <v>8.5673364138188148</v>
      </c>
      <c r="AI8" s="467">
        <f t="array" ref="AI8">SUM(IF($AC8=$D$5:$D$370,N$5:N$370,""))</f>
        <v>75.40000000000002</v>
      </c>
      <c r="AJ8" s="468">
        <f t="array" ref="AJ8">COUNT(IF($AC8=$D$5:$D$370,O$5:O$370,""))</f>
        <v>9</v>
      </c>
      <c r="AK8" s="467">
        <f t="array" ref="AK8">AVERAGE(IF($AC8=$D$5:$D$370,P$5:P$370,""))</f>
        <v>1.4363211472069024</v>
      </c>
      <c r="AL8" s="466"/>
      <c r="AM8" s="462">
        <f t="shared" si="11"/>
        <v>4</v>
      </c>
      <c r="AN8" s="32">
        <f t="shared" si="32"/>
        <v>1.0329218000751172</v>
      </c>
      <c r="AO8" s="32">
        <f t="shared" si="33"/>
        <v>-0.39632025356520739</v>
      </c>
      <c r="AP8" s="32">
        <f t="shared" si="34"/>
        <v>1.1525690306297893</v>
      </c>
      <c r="AQ8" s="32">
        <f t="shared" si="35"/>
        <v>8.8049788070095261</v>
      </c>
      <c r="AR8" s="32">
        <f t="shared" si="36"/>
        <v>11.45458565440361</v>
      </c>
      <c r="AS8" s="32">
        <f t="shared" si="13"/>
        <v>8.5991865424738787</v>
      </c>
      <c r="AT8" s="32">
        <f t="shared" si="14"/>
        <v>5.7214080000000003</v>
      </c>
      <c r="AU8" s="32">
        <f t="shared" si="15"/>
        <v>0.86408173183580761</v>
      </c>
      <c r="AV8" s="32">
        <f t="shared" si="16"/>
        <v>0.81651033797834038</v>
      </c>
      <c r="AW8" s="32">
        <f t="shared" si="17"/>
        <v>0.61258037956009093</v>
      </c>
      <c r="AX8" s="32">
        <f t="shared" si="18"/>
        <v>0.52741000445547548</v>
      </c>
      <c r="AY8" s="32">
        <f t="shared" si="19"/>
        <v>0.53102917108742353</v>
      </c>
      <c r="AZ8" s="32">
        <f t="shared" si="37"/>
        <v>0.23797955227841089</v>
      </c>
      <c r="BA8" s="32">
        <f t="shared" si="20"/>
        <v>-5.2251049803881466</v>
      </c>
      <c r="BB8" s="32">
        <f t="shared" si="38"/>
        <v>0.49630301961185364</v>
      </c>
      <c r="BC8" s="32">
        <f t="shared" si="22"/>
        <v>-0.98</v>
      </c>
      <c r="BD8" s="32">
        <v>0</v>
      </c>
      <c r="BE8" s="32">
        <f t="shared" si="39"/>
        <v>0.56999519200778326</v>
      </c>
      <c r="BF8" s="32">
        <f t="shared" si="40"/>
        <v>3.8966020920359723E-2</v>
      </c>
      <c r="BG8" s="32">
        <f t="shared" si="41"/>
        <v>4.1732364618198022E-2</v>
      </c>
      <c r="BH8" s="32">
        <f t="shared" si="24"/>
        <v>5.8689605622174151E-2</v>
      </c>
      <c r="BI8" s="32">
        <f t="shared" si="25"/>
        <v>9.2541261342687517E-2</v>
      </c>
      <c r="BJ8" s="32">
        <f t="shared" si="26"/>
        <v>0.15123086696486165</v>
      </c>
      <c r="BK8" s="457">
        <f t="shared" si="27"/>
        <v>0.25833438212345061</v>
      </c>
      <c r="BL8" s="2"/>
    </row>
    <row r="9" spans="1:64" ht="15">
      <c r="A9" s="119"/>
      <c r="B9" s="480">
        <f>Input!B26</f>
        <v>37991</v>
      </c>
      <c r="C9" s="481">
        <v>1</v>
      </c>
      <c r="D9" s="481">
        <f t="shared" si="28"/>
        <v>1</v>
      </c>
      <c r="E9" s="481">
        <f t="shared" si="29"/>
        <v>5</v>
      </c>
      <c r="F9" s="481">
        <f t="shared" si="0"/>
        <v>5</v>
      </c>
      <c r="G9" s="431">
        <v>3.3696000000000002</v>
      </c>
      <c r="H9" s="455">
        <v>1.83</v>
      </c>
      <c r="I9" s="455">
        <v>-1.5</v>
      </c>
      <c r="J9" s="455">
        <v>1.75</v>
      </c>
      <c r="K9" s="485"/>
      <c r="L9" s="433">
        <v>96</v>
      </c>
      <c r="M9" s="455">
        <v>89</v>
      </c>
      <c r="N9" s="484">
        <f>Weather!M10</f>
        <v>2</v>
      </c>
      <c r="O9" s="481">
        <f t="shared" si="30"/>
        <v>1</v>
      </c>
      <c r="P9" s="4">
        <f t="shared" ref="P9:P72" si="42">BJ9</f>
        <v>0.30270884965245604</v>
      </c>
      <c r="Q9" s="169">
        <f t="shared" si="1"/>
        <v>0.69710246853877922</v>
      </c>
      <c r="R9" s="169">
        <f t="shared" si="2"/>
        <v>0.54725207192028802</v>
      </c>
      <c r="S9" s="169">
        <f t="shared" si="3"/>
        <v>0.62042119699951348</v>
      </c>
      <c r="T9" s="169">
        <f t="shared" si="4"/>
        <v>0.52536198904347653</v>
      </c>
      <c r="U9" s="169">
        <f t="shared" si="5"/>
        <v>0.57289159302149506</v>
      </c>
      <c r="V9" s="169">
        <f t="shared" si="6"/>
        <v>-3.7100791235294222E-3</v>
      </c>
      <c r="W9" s="439">
        <f t="shared" si="7"/>
        <v>-0.87714748942476095</v>
      </c>
      <c r="X9" s="439">
        <f t="shared" si="8"/>
        <v>-0.87714748942476095</v>
      </c>
      <c r="Y9" s="169"/>
      <c r="Z9" s="119" t="str">
        <f t="shared" si="9"/>
        <v/>
      </c>
      <c r="AA9" s="4" t="str">
        <f t="shared" si="10"/>
        <v/>
      </c>
      <c r="AB9" s="466"/>
      <c r="AC9" s="471">
        <v>5</v>
      </c>
      <c r="AD9" s="467">
        <f t="array" ref="AD9">AVERAGE(IF($AC9=$D$5:$D$370,G$5:G$370,""))</f>
        <v>20.223174193548388</v>
      </c>
      <c r="AE9" s="467">
        <f t="array" ref="AE9">AVERAGE(IF($AC9=$D$5:$D$370,H$5:H$370,""))</f>
        <v>17.911935483870966</v>
      </c>
      <c r="AF9" s="467">
        <f t="array" ref="AF9">AVERAGE(IF($AC9=$D$5:$D$370,I$5:I$370,""))</f>
        <v>11.332258064516131</v>
      </c>
      <c r="AG9" s="467">
        <f t="array" ref="AG9">AVERAGE(IF($AC9=$D$5:$D$370,J$5:J$370,""))</f>
        <v>1.9403225806451614</v>
      </c>
      <c r="AH9" s="467">
        <f t="array" ref="AH9">AVERAGE(IF($AC9=$D$5:$D$370,X$5:X$370,""))</f>
        <v>12.841415731074713</v>
      </c>
      <c r="AI9" s="467">
        <f t="array" ref="AI9">SUM(IF($AC9=$D$5:$D$370,N$5:N$370,""))</f>
        <v>41.6</v>
      </c>
      <c r="AJ9" s="468">
        <f t="array" ref="AJ9">COUNT(IF($AC9=$D$5:$D$370,O$5:O$370,""))</f>
        <v>2</v>
      </c>
      <c r="AK9" s="467">
        <f t="array" ref="AK9">AVERAGE(IF($AC9=$D$5:$D$370,P$5:P$370,""))</f>
        <v>2.8676151950536086</v>
      </c>
      <c r="AL9" s="466"/>
      <c r="AM9" s="462">
        <f t="shared" si="11"/>
        <v>5</v>
      </c>
      <c r="AN9" s="32">
        <f t="shared" si="32"/>
        <v>1.032877839772842</v>
      </c>
      <c r="AO9" s="32">
        <f t="shared" si="33"/>
        <v>-0.3945221116772275</v>
      </c>
      <c r="AP9" s="32">
        <f t="shared" si="34"/>
        <v>1.154810460547409</v>
      </c>
      <c r="AQ9" s="32">
        <f t="shared" si="35"/>
        <v>8.8221020702567206</v>
      </c>
      <c r="AR9" s="32">
        <f t="shared" si="36"/>
        <v>11.523501462883949</v>
      </c>
      <c r="AS9" s="32">
        <f t="shared" si="13"/>
        <v>8.6509230182162398</v>
      </c>
      <c r="AT9" s="32">
        <f t="shared" si="14"/>
        <v>2.594592</v>
      </c>
      <c r="AU9" s="32">
        <f t="shared" si="15"/>
        <v>0.38950756964368277</v>
      </c>
      <c r="AV9" s="32">
        <f t="shared" si="16"/>
        <v>0.17583521901897181</v>
      </c>
      <c r="AW9" s="32">
        <f t="shared" si="17"/>
        <v>0.69710246853877922</v>
      </c>
      <c r="AX9" s="32">
        <f t="shared" si="18"/>
        <v>0.54725207192028802</v>
      </c>
      <c r="AY9" s="32">
        <f t="shared" si="19"/>
        <v>0.57289159302149506</v>
      </c>
      <c r="AZ9" s="32">
        <f t="shared" si="37"/>
        <v>0.2340345564666419</v>
      </c>
      <c r="BA9" s="32">
        <f t="shared" si="20"/>
        <v>-1.1254663009018302</v>
      </c>
      <c r="BB9" s="32">
        <f t="shared" si="38"/>
        <v>1.4691256990981698</v>
      </c>
      <c r="BC9" s="32">
        <f t="shared" si="22"/>
        <v>0.16500000000000004</v>
      </c>
      <c r="BD9" s="32">
        <v>0</v>
      </c>
      <c r="BE9" s="32">
        <f t="shared" si="39"/>
        <v>0.62217727022953362</v>
      </c>
      <c r="BF9" s="32">
        <f t="shared" si="40"/>
        <v>4.9285677208038559E-2</v>
      </c>
      <c r="BG9" s="32">
        <f t="shared" si="41"/>
        <v>4.4935461845039007E-2</v>
      </c>
      <c r="BH9" s="32">
        <f t="shared" si="24"/>
        <v>0.17722315618595585</v>
      </c>
      <c r="BI9" s="32">
        <f t="shared" si="25"/>
        <v>0.12548569346650015</v>
      </c>
      <c r="BJ9" s="32">
        <f t="shared" si="26"/>
        <v>0.30270884965245604</v>
      </c>
      <c r="BK9" s="457">
        <f t="shared" si="27"/>
        <v>0.35464639635167788</v>
      </c>
      <c r="BL9" s="2"/>
    </row>
    <row r="10" spans="1:64" ht="15">
      <c r="A10" s="119"/>
      <c r="B10" s="480">
        <f>Input!B27</f>
        <v>37992</v>
      </c>
      <c r="C10" s="481">
        <v>1</v>
      </c>
      <c r="D10" s="481">
        <f t="shared" si="28"/>
        <v>1</v>
      </c>
      <c r="E10" s="481">
        <f t="shared" si="29"/>
        <v>6</v>
      </c>
      <c r="F10" s="481">
        <f t="shared" si="0"/>
        <v>6</v>
      </c>
      <c r="G10" s="431">
        <v>5.8752000000000004</v>
      </c>
      <c r="H10" s="455">
        <v>5.2</v>
      </c>
      <c r="I10" s="455">
        <v>0.3</v>
      </c>
      <c r="J10" s="455">
        <v>4.84</v>
      </c>
      <c r="K10" s="485"/>
      <c r="L10" s="433">
        <v>99</v>
      </c>
      <c r="M10" s="455">
        <v>88</v>
      </c>
      <c r="N10" s="484">
        <f>Weather!M11</f>
        <v>0.2</v>
      </c>
      <c r="O10" s="481" t="str">
        <f t="shared" si="30"/>
        <v/>
      </c>
      <c r="P10" s="4">
        <f t="shared" si="42"/>
        <v>0.34935131767173</v>
      </c>
      <c r="Q10" s="169">
        <f t="shared" si="1"/>
        <v>0.88456442308191707</v>
      </c>
      <c r="R10" s="169">
        <f t="shared" si="2"/>
        <v>0.62426510687057923</v>
      </c>
      <c r="S10" s="169">
        <f t="shared" si="3"/>
        <v>0.77841669231208699</v>
      </c>
      <c r="T10" s="169">
        <f t="shared" si="4"/>
        <v>0.61802245580187343</v>
      </c>
      <c r="U10" s="169">
        <f t="shared" si="5"/>
        <v>0.69821957405698021</v>
      </c>
      <c r="V10" s="169">
        <f t="shared" si="6"/>
        <v>7.7454577858773023E-3</v>
      </c>
      <c r="W10" s="439">
        <f t="shared" si="7"/>
        <v>1.8523443878496804</v>
      </c>
      <c r="X10" s="439">
        <f t="shared" si="8"/>
        <v>1.8523443878496804</v>
      </c>
      <c r="Y10" s="169"/>
      <c r="Z10" s="119" t="str">
        <f t="shared" si="9"/>
        <v/>
      </c>
      <c r="AA10" s="4" t="str">
        <f t="shared" si="10"/>
        <v/>
      </c>
      <c r="AB10" s="466"/>
      <c r="AC10" s="471">
        <v>6</v>
      </c>
      <c r="AD10" s="467">
        <f t="array" ref="AD10">AVERAGE(IF($AC10=$D$5:$D$370,G$5:G$370,""))</f>
        <v>25.130879999999994</v>
      </c>
      <c r="AE10" s="467">
        <f t="array" ref="AE10">AVERAGE(IF($AC10=$D$5:$D$370,H$5:H$370,""))</f>
        <v>24.115666666666662</v>
      </c>
      <c r="AF10" s="467">
        <f t="array" ref="AF10">AVERAGE(IF($AC10=$D$5:$D$370,I$5:I$370,""))</f>
        <v>16.553333333333331</v>
      </c>
      <c r="AG10" s="467">
        <f t="array" ref="AG10">AVERAGE(IF($AC10=$D$5:$D$370,J$5:J$370,""))</f>
        <v>1.8576666666666668</v>
      </c>
      <c r="AH10" s="467">
        <f t="array" ref="AH10">AVERAGE(IF($AC10=$D$5:$D$370,X$5:X$370,""))</f>
        <v>17.93596756003701</v>
      </c>
      <c r="AI10" s="467">
        <f t="array" ref="AI10">SUM(IF($AC10=$D$5:$D$370,N$5:N$370,""))</f>
        <v>7.8000000000000007</v>
      </c>
      <c r="AJ10" s="468">
        <f t="array" ref="AJ10">COUNT(IF($AC10=$D$5:$D$370,O$5:O$370,""))</f>
        <v>0</v>
      </c>
      <c r="AK10" s="467">
        <f t="array" ref="AK10">AVERAGE(IF($AC10=$D$5:$D$370,P$5:P$370,""))</f>
        <v>4.2334472483997461</v>
      </c>
      <c r="AL10" s="466"/>
      <c r="AM10" s="462">
        <f t="shared" si="11"/>
        <v>6</v>
      </c>
      <c r="AN10" s="32">
        <f t="shared" si="32"/>
        <v>1.0328241370570801</v>
      </c>
      <c r="AO10" s="32">
        <f t="shared" si="33"/>
        <v>-0.39260706437307313</v>
      </c>
      <c r="AP10" s="32">
        <f t="shared" si="34"/>
        <v>1.1571914967756392</v>
      </c>
      <c r="AQ10" s="32">
        <f t="shared" si="35"/>
        <v>8.8402918471560969</v>
      </c>
      <c r="AR10" s="32">
        <f t="shared" si="36"/>
        <v>11.596902658445222</v>
      </c>
      <c r="AS10" s="32">
        <f t="shared" si="13"/>
        <v>8.7060267637479978</v>
      </c>
      <c r="AT10" s="32">
        <f t="shared" si="14"/>
        <v>4.5239040000000008</v>
      </c>
      <c r="AU10" s="32">
        <f t="shared" si="15"/>
        <v>0.67484285994437843</v>
      </c>
      <c r="AV10" s="32">
        <f t="shared" si="16"/>
        <v>0.56103786092491092</v>
      </c>
      <c r="AW10" s="32">
        <f t="shared" si="17"/>
        <v>0.88456442308191707</v>
      </c>
      <c r="AX10" s="32">
        <f t="shared" si="18"/>
        <v>0.62426510687057923</v>
      </c>
      <c r="AY10" s="32">
        <f t="shared" si="19"/>
        <v>0.69821957405698021</v>
      </c>
      <c r="AZ10" s="32">
        <f t="shared" si="37"/>
        <v>0.2230166522469253</v>
      </c>
      <c r="BA10" s="32">
        <f t="shared" si="20"/>
        <v>-3.5541665554711703</v>
      </c>
      <c r="BB10" s="32">
        <f t="shared" si="38"/>
        <v>0.96973744452883048</v>
      </c>
      <c r="BC10" s="32">
        <f t="shared" si="22"/>
        <v>2.75</v>
      </c>
      <c r="BD10" s="32">
        <v>0</v>
      </c>
      <c r="BE10" s="32">
        <f t="shared" si="39"/>
        <v>0.75441476497624815</v>
      </c>
      <c r="BF10" s="32">
        <f t="shared" si="40"/>
        <v>5.6195190919267946E-2</v>
      </c>
      <c r="BG10" s="32">
        <f t="shared" si="41"/>
        <v>5.2953682852075044E-2</v>
      </c>
      <c r="BH10" s="32">
        <f t="shared" si="24"/>
        <v>9.0891951569881363E-2</v>
      </c>
      <c r="BI10" s="32">
        <f t="shared" si="25"/>
        <v>0.25845936610184866</v>
      </c>
      <c r="BJ10" s="32">
        <f t="shared" si="26"/>
        <v>0.34935131767173</v>
      </c>
      <c r="BK10" s="457">
        <f t="shared" si="27"/>
        <v>0.49523762215132322</v>
      </c>
      <c r="BL10" s="2"/>
    </row>
    <row r="11" spans="1:64" ht="15">
      <c r="A11" s="119"/>
      <c r="B11" s="480">
        <f>Input!B28</f>
        <v>37993</v>
      </c>
      <c r="C11" s="481">
        <v>1</v>
      </c>
      <c r="D11" s="481">
        <f t="shared" si="28"/>
        <v>1</v>
      </c>
      <c r="E11" s="481">
        <f t="shared" si="29"/>
        <v>7</v>
      </c>
      <c r="F11" s="481">
        <f t="shared" si="0"/>
        <v>7</v>
      </c>
      <c r="G11" s="431">
        <v>4.8384</v>
      </c>
      <c r="H11" s="455">
        <v>5.41</v>
      </c>
      <c r="I11" s="455">
        <v>1.8</v>
      </c>
      <c r="J11" s="455">
        <v>2.89</v>
      </c>
      <c r="K11" s="485"/>
      <c r="L11" s="433">
        <v>99</v>
      </c>
      <c r="M11" s="455">
        <v>60</v>
      </c>
      <c r="N11" s="484">
        <f>Weather!M12</f>
        <v>0</v>
      </c>
      <c r="O11" s="481" t="str">
        <f t="shared" si="30"/>
        <v/>
      </c>
      <c r="P11" s="4">
        <f t="shared" si="42"/>
        <v>0.74494176690550129</v>
      </c>
      <c r="Q11" s="169">
        <f t="shared" si="1"/>
        <v>0.89759364390352347</v>
      </c>
      <c r="R11" s="169">
        <f t="shared" si="2"/>
        <v>0.69560510427295241</v>
      </c>
      <c r="S11" s="169">
        <f t="shared" si="3"/>
        <v>0.53855618634211411</v>
      </c>
      <c r="T11" s="169">
        <f t="shared" si="4"/>
        <v>0.68864905323022285</v>
      </c>
      <c r="U11" s="169">
        <f t="shared" si="5"/>
        <v>0.61360261978616848</v>
      </c>
      <c r="V11" s="169">
        <f t="shared" si="6"/>
        <v>2.6508084734380656E-4</v>
      </c>
      <c r="W11" s="439">
        <f t="shared" si="7"/>
        <v>6.2920364058104999E-2</v>
      </c>
      <c r="X11" s="439">
        <f t="shared" si="8"/>
        <v>6.2920364058104999E-2</v>
      </c>
      <c r="Y11" s="169"/>
      <c r="Z11" s="119" t="str">
        <f t="shared" si="9"/>
        <v/>
      </c>
      <c r="AA11" s="4" t="str">
        <f t="shared" si="10"/>
        <v/>
      </c>
      <c r="AB11" s="466"/>
      <c r="AC11" s="471">
        <v>7</v>
      </c>
      <c r="AD11" s="467">
        <f t="array" ref="AD11">AVERAGE(IF($AC11=$D$5:$D$370,G$5:G$370,""))</f>
        <v>24.743845161290324</v>
      </c>
      <c r="AE11" s="467">
        <f t="array" ref="AE11">AVERAGE(IF($AC11=$D$5:$D$370,H$5:H$370,""))</f>
        <v>26.132580645161287</v>
      </c>
      <c r="AF11" s="467">
        <f t="array" ref="AF11">AVERAGE(IF($AC11=$D$5:$D$370,I$5:I$370,""))</f>
        <v>18.506451612903223</v>
      </c>
      <c r="AG11" s="467">
        <f t="array" ref="AG11">AVERAGE(IF($AC11=$D$5:$D$370,J$5:J$370,""))</f>
        <v>2.0490322580645164</v>
      </c>
      <c r="AH11" s="467">
        <f t="array" ref="AH11">AVERAGE(IF($AC11=$D$5:$D$370,X$5:X$370,""))</f>
        <v>19.859009753835881</v>
      </c>
      <c r="AI11" s="467">
        <f t="array" ref="AI11">SUM(IF($AC11=$D$5:$D$370,N$5:N$370,""))</f>
        <v>37</v>
      </c>
      <c r="AJ11" s="468">
        <f t="array" ref="AJ11">COUNT(IF($AC11=$D$5:$D$370,O$5:O$370,""))</f>
        <v>1</v>
      </c>
      <c r="AK11" s="467">
        <f t="array" ref="AK11">AVERAGE(IF($AC11=$D$5:$D$370,P$5:P$370,""))</f>
        <v>4.4141750173092893</v>
      </c>
      <c r="AL11" s="466"/>
      <c r="AM11" s="462">
        <f t="shared" si="11"/>
        <v>7</v>
      </c>
      <c r="AN11" s="32">
        <f t="shared" si="32"/>
        <v>1.0327607078411054</v>
      </c>
      <c r="AO11" s="32">
        <f t="shared" si="33"/>
        <v>-0.39057567912259061</v>
      </c>
      <c r="AP11" s="32">
        <f t="shared" si="34"/>
        <v>1.1597103460196203</v>
      </c>
      <c r="AQ11" s="32">
        <f t="shared" si="35"/>
        <v>8.8595344379440757</v>
      </c>
      <c r="AR11" s="32">
        <f t="shared" si="36"/>
        <v>11.674780588495578</v>
      </c>
      <c r="AS11" s="32">
        <f t="shared" si="13"/>
        <v>8.764491283395401</v>
      </c>
      <c r="AT11" s="32">
        <f t="shared" si="14"/>
        <v>3.725568</v>
      </c>
      <c r="AU11" s="32">
        <f t="shared" si="15"/>
        <v>0.55204573129834678</v>
      </c>
      <c r="AV11" s="32">
        <f t="shared" si="16"/>
        <v>0.39526173725276825</v>
      </c>
      <c r="AW11" s="32">
        <f t="shared" si="17"/>
        <v>0.89759364390352347</v>
      </c>
      <c r="AX11" s="32">
        <f t="shared" si="18"/>
        <v>0.69560510427295241</v>
      </c>
      <c r="AY11" s="32">
        <f t="shared" si="19"/>
        <v>0.61360261978616848</v>
      </c>
      <c r="AZ11" s="32">
        <f t="shared" si="37"/>
        <v>0.23033409213520867</v>
      </c>
      <c r="BA11" s="32">
        <f t="shared" si="20"/>
        <v>-2.6177719453132258</v>
      </c>
      <c r="BB11" s="32">
        <f t="shared" si="38"/>
        <v>1.1077960546867742</v>
      </c>
      <c r="BC11" s="32">
        <f t="shared" si="22"/>
        <v>3.605</v>
      </c>
      <c r="BD11" s="32">
        <v>0</v>
      </c>
      <c r="BE11" s="32">
        <f t="shared" si="39"/>
        <v>0.796599374088238</v>
      </c>
      <c r="BF11" s="32">
        <f t="shared" si="40"/>
        <v>0.18299675430206952</v>
      </c>
      <c r="BG11" s="32">
        <f t="shared" si="41"/>
        <v>5.5862752783633243E-2</v>
      </c>
      <c r="BH11" s="32">
        <f t="shared" si="24"/>
        <v>0.13364806482283073</v>
      </c>
      <c r="BI11" s="32">
        <f t="shared" si="25"/>
        <v>0.61129370208267053</v>
      </c>
      <c r="BJ11" s="32">
        <f t="shared" si="26"/>
        <v>0.74494176690550129</v>
      </c>
      <c r="BK11" s="457">
        <f t="shared" si="27"/>
        <v>0.44573764286970941</v>
      </c>
      <c r="BL11" s="2"/>
    </row>
    <row r="12" spans="1:64" ht="15">
      <c r="A12" s="119"/>
      <c r="B12" s="480">
        <f>Input!B29</f>
        <v>37994</v>
      </c>
      <c r="C12" s="481">
        <v>1</v>
      </c>
      <c r="D12" s="481">
        <f t="shared" si="28"/>
        <v>1</v>
      </c>
      <c r="E12" s="481">
        <f t="shared" si="29"/>
        <v>8</v>
      </c>
      <c r="F12" s="481">
        <f t="shared" si="0"/>
        <v>8</v>
      </c>
      <c r="G12" s="431">
        <v>5.7023999999999999</v>
      </c>
      <c r="H12" s="455">
        <v>2.75</v>
      </c>
      <c r="I12" s="455">
        <v>-2.2000000000000002</v>
      </c>
      <c r="J12" s="455">
        <v>1.49</v>
      </c>
      <c r="K12" s="485"/>
      <c r="L12" s="433">
        <v>99</v>
      </c>
      <c r="M12" s="455">
        <v>85</v>
      </c>
      <c r="N12" s="484">
        <f>Weather!M13</f>
        <v>0</v>
      </c>
      <c r="O12" s="481" t="str">
        <f t="shared" si="30"/>
        <v/>
      </c>
      <c r="P12" s="4">
        <f t="shared" si="42"/>
        <v>0.26305806961331835</v>
      </c>
      <c r="Q12" s="169">
        <f t="shared" si="1"/>
        <v>0.74442623885147108</v>
      </c>
      <c r="R12" s="169">
        <f t="shared" si="2"/>
        <v>0.51965324203018892</v>
      </c>
      <c r="S12" s="169">
        <f t="shared" si="3"/>
        <v>0.63276230302375036</v>
      </c>
      <c r="T12" s="169">
        <f t="shared" si="4"/>
        <v>0.51445670960988699</v>
      </c>
      <c r="U12" s="169">
        <f t="shared" si="5"/>
        <v>0.57360950631681873</v>
      </c>
      <c r="V12" s="169">
        <f t="shared" si="6"/>
        <v>-3.6375628905418378E-3</v>
      </c>
      <c r="W12" s="439">
        <f t="shared" si="7"/>
        <v>-0.86006513291463893</v>
      </c>
      <c r="X12" s="439">
        <f t="shared" si="8"/>
        <v>-0.86006513291463893</v>
      </c>
      <c r="Y12" s="169"/>
      <c r="Z12" s="119" t="str">
        <f t="shared" si="9"/>
        <v/>
      </c>
      <c r="AA12" s="4" t="str">
        <f t="shared" si="10"/>
        <v/>
      </c>
      <c r="AB12" s="466"/>
      <c r="AC12" s="471">
        <v>8</v>
      </c>
      <c r="AD12" s="467">
        <f t="array" ref="AD12">AVERAGE(IF($AC12=$D$5:$D$370,G$5:G$370,""))</f>
        <v>20.167432258064512</v>
      </c>
      <c r="AE12" s="467">
        <f t="array" ref="AE12">AVERAGE(IF($AC12=$D$5:$D$370,H$5:H$370,""))</f>
        <v>26.940322580645155</v>
      </c>
      <c r="AF12" s="467">
        <f t="array" ref="AF12">AVERAGE(IF($AC12=$D$5:$D$370,I$5:I$370,""))</f>
        <v>18.783870967741933</v>
      </c>
      <c r="AG12" s="467">
        <f t="array" ref="AG12">AVERAGE(IF($AC12=$D$5:$D$370,J$5:J$370,""))</f>
        <v>1.8574193548387097</v>
      </c>
      <c r="AH12" s="467">
        <f t="array" ref="AH12">AVERAGE(IF($AC12=$D$5:$D$370,X$5:X$370,""))</f>
        <v>20.547535161808618</v>
      </c>
      <c r="AI12" s="467">
        <f t="array" ref="AI12">SUM(IF($AC12=$D$5:$D$370,N$5:N$370,""))</f>
        <v>0.4</v>
      </c>
      <c r="AJ12" s="468">
        <f t="array" ref="AJ12">COUNT(IF($AC12=$D$5:$D$370,O$5:O$370,""))</f>
        <v>0</v>
      </c>
      <c r="AK12" s="467">
        <f t="array" ref="AK12">AVERAGE(IF($AC12=$D$5:$D$370,P$5:P$370,""))</f>
        <v>3.6591010528330465</v>
      </c>
      <c r="AL12" s="466"/>
      <c r="AM12" s="462">
        <f t="shared" si="11"/>
        <v>8</v>
      </c>
      <c r="AN12" s="32">
        <f t="shared" si="32"/>
        <v>1.0326875709203633</v>
      </c>
      <c r="AO12" s="32">
        <f t="shared" si="33"/>
        <v>-0.38842855786907049</v>
      </c>
      <c r="AP12" s="32">
        <f t="shared" si="34"/>
        <v>1.1623651331170564</v>
      </c>
      <c r="AQ12" s="32">
        <f t="shared" si="35"/>
        <v>8.8798155174359259</v>
      </c>
      <c r="AR12" s="32">
        <f t="shared" si="36"/>
        <v>11.757125659998668</v>
      </c>
      <c r="AS12" s="32">
        <f t="shared" si="13"/>
        <v>8.8263093754741995</v>
      </c>
      <c r="AT12" s="32">
        <f t="shared" si="14"/>
        <v>4.3908480000000001</v>
      </c>
      <c r="AU12" s="32">
        <f t="shared" si="15"/>
        <v>0.64606844802487273</v>
      </c>
      <c r="AV12" s="32">
        <f t="shared" si="16"/>
        <v>0.52219240483357832</v>
      </c>
      <c r="AW12" s="32">
        <f t="shared" si="17"/>
        <v>0.74442623885147108</v>
      </c>
      <c r="AX12" s="32">
        <f t="shared" si="18"/>
        <v>0.51965324203018892</v>
      </c>
      <c r="AY12" s="32">
        <f t="shared" si="19"/>
        <v>0.57360950631681873</v>
      </c>
      <c r="AZ12" s="32">
        <f t="shared" si="37"/>
        <v>0.23396818249313256</v>
      </c>
      <c r="BA12" s="32">
        <f t="shared" si="20"/>
        <v>-3.3477249695427407</v>
      </c>
      <c r="BB12" s="32">
        <f t="shared" si="38"/>
        <v>1.0431230304572594</v>
      </c>
      <c r="BC12" s="32">
        <f t="shared" si="22"/>
        <v>0.27499999999999991</v>
      </c>
      <c r="BD12" s="32">
        <v>0</v>
      </c>
      <c r="BE12" s="32">
        <f t="shared" si="39"/>
        <v>0.63203974044083</v>
      </c>
      <c r="BF12" s="32">
        <f t="shared" si="40"/>
        <v>5.8430234124011271E-2</v>
      </c>
      <c r="BG12" s="32">
        <f t="shared" si="41"/>
        <v>4.5254028642689161E-2</v>
      </c>
      <c r="BH12" s="32">
        <f t="shared" si="24"/>
        <v>0.13158666833055668</v>
      </c>
      <c r="BI12" s="32">
        <f t="shared" si="25"/>
        <v>0.13147140128276164</v>
      </c>
      <c r="BJ12" s="32">
        <f t="shared" si="26"/>
        <v>0.26305806961331835</v>
      </c>
      <c r="BK12" s="457">
        <f t="shared" si="27"/>
        <v>0.44385775995435089</v>
      </c>
      <c r="BL12" s="2"/>
    </row>
    <row r="13" spans="1:64" ht="15">
      <c r="A13" s="119"/>
      <c r="B13" s="480">
        <f>Input!B30</f>
        <v>37995</v>
      </c>
      <c r="C13" s="481">
        <v>1</v>
      </c>
      <c r="D13" s="481">
        <f t="shared" si="28"/>
        <v>1</v>
      </c>
      <c r="E13" s="481">
        <f t="shared" si="29"/>
        <v>9</v>
      </c>
      <c r="F13" s="481">
        <f t="shared" si="0"/>
        <v>9</v>
      </c>
      <c r="G13" s="431">
        <v>6.48</v>
      </c>
      <c r="H13" s="455">
        <v>4.75</v>
      </c>
      <c r="I13" s="455">
        <v>-0.9</v>
      </c>
      <c r="J13" s="455">
        <v>2.11</v>
      </c>
      <c r="K13" s="485"/>
      <c r="L13" s="433">
        <v>99</v>
      </c>
      <c r="M13" s="455">
        <v>82</v>
      </c>
      <c r="N13" s="484">
        <f>Weather!M14</f>
        <v>0</v>
      </c>
      <c r="O13" s="481" t="str">
        <f t="shared" si="30"/>
        <v/>
      </c>
      <c r="P13" s="4">
        <f t="shared" si="42"/>
        <v>0.33856750769321325</v>
      </c>
      <c r="Q13" s="169">
        <f t="shared" si="1"/>
        <v>0.85720476631365738</v>
      </c>
      <c r="R13" s="169">
        <f t="shared" si="2"/>
        <v>0.57193242276429157</v>
      </c>
      <c r="S13" s="169">
        <f t="shared" si="3"/>
        <v>0.70290790837719896</v>
      </c>
      <c r="T13" s="169">
        <f t="shared" si="4"/>
        <v>0.5662130985366487</v>
      </c>
      <c r="U13" s="169">
        <f t="shared" si="5"/>
        <v>0.63456050345692383</v>
      </c>
      <c r="V13" s="169">
        <f t="shared" si="6"/>
        <v>2.209789541513755E-3</v>
      </c>
      <c r="W13" s="439">
        <f t="shared" si="7"/>
        <v>0.52554440072152964</v>
      </c>
      <c r="X13" s="439">
        <f t="shared" si="8"/>
        <v>0.52554440072152964</v>
      </c>
      <c r="Y13" s="169"/>
      <c r="Z13" s="119" t="str">
        <f t="shared" si="9"/>
        <v/>
      </c>
      <c r="AA13" s="4" t="str">
        <f t="shared" si="10"/>
        <v/>
      </c>
      <c r="AB13" s="466"/>
      <c r="AC13" s="471">
        <v>9</v>
      </c>
      <c r="AD13" s="467">
        <f t="array" ref="AD13">AVERAGE(IF($AC13=$D$5:$D$370,G$5:G$370,""))</f>
        <v>14.13504</v>
      </c>
      <c r="AE13" s="467">
        <f t="array" ref="AE13">AVERAGE(IF($AC13=$D$5:$D$370,H$5:H$370,""))</f>
        <v>19.839333333333332</v>
      </c>
      <c r="AF13" s="467">
        <f t="array" ref="AF13">AVERAGE(IF($AC13=$D$5:$D$370,I$5:I$370,""))</f>
        <v>14.526666666666667</v>
      </c>
      <c r="AG13" s="467">
        <f t="array" ref="AG13">AVERAGE(IF($AC13=$D$5:$D$370,J$5:J$370,""))</f>
        <v>1.5783333333333331</v>
      </c>
      <c r="AH13" s="467">
        <f t="array" ref="AH13">AVERAGE(IF($AC13=$D$5:$D$370,X$5:X$370,""))</f>
        <v>15.940297127295745</v>
      </c>
      <c r="AI13" s="467">
        <f t="array" ref="AI13">SUM(IF($AC13=$D$5:$D$370,N$5:N$370,""))</f>
        <v>116.00000000000001</v>
      </c>
      <c r="AJ13" s="468">
        <f t="array" ref="AJ13">COUNT(IF($AC13=$D$5:$D$370,O$5:O$370,""))</f>
        <v>4</v>
      </c>
      <c r="AK13" s="467">
        <f t="array" ref="AK13">AVERAGE(IF($AC13=$D$5:$D$370,P$5:P$370,""))</f>
        <v>2.0231525471596536</v>
      </c>
      <c r="AL13" s="466"/>
      <c r="AM13" s="462">
        <f t="shared" si="11"/>
        <v>9</v>
      </c>
      <c r="AN13" s="32">
        <f t="shared" si="32"/>
        <v>1.032604747966902</v>
      </c>
      <c r="AO13" s="32">
        <f t="shared" si="33"/>
        <v>-0.38616633685087898</v>
      </c>
      <c r="AP13" s="32">
        <f t="shared" si="34"/>
        <v>1.1651539058338742</v>
      </c>
      <c r="AQ13" s="32">
        <f t="shared" si="35"/>
        <v>8.9011201716619119</v>
      </c>
      <c r="AR13" s="32">
        <f t="shared" si="36"/>
        <v>11.843927286494045</v>
      </c>
      <c r="AS13" s="32">
        <f t="shared" si="13"/>
        <v>8.8914730925168097</v>
      </c>
      <c r="AT13" s="32">
        <f t="shared" si="14"/>
        <v>4.9896000000000003</v>
      </c>
      <c r="AU13" s="32">
        <f t="shared" si="15"/>
        <v>0.72878812459699849</v>
      </c>
      <c r="AV13" s="32">
        <f t="shared" si="16"/>
        <v>0.63386396820594804</v>
      </c>
      <c r="AW13" s="32">
        <f t="shared" si="17"/>
        <v>0.85720476631365738</v>
      </c>
      <c r="AX13" s="32">
        <f t="shared" si="18"/>
        <v>0.57193242276429157</v>
      </c>
      <c r="AY13" s="32">
        <f t="shared" si="19"/>
        <v>0.63456050345692383</v>
      </c>
      <c r="AZ13" s="32">
        <f t="shared" si="37"/>
        <v>0.22847697158095237</v>
      </c>
      <c r="BA13" s="32">
        <f t="shared" si="20"/>
        <v>-4.0654986116803222</v>
      </c>
      <c r="BB13" s="32">
        <f t="shared" si="38"/>
        <v>0.92410138831967803</v>
      </c>
      <c r="BC13" s="32">
        <f t="shared" si="22"/>
        <v>1.925</v>
      </c>
      <c r="BD13" s="32">
        <v>0</v>
      </c>
      <c r="BE13" s="32">
        <f t="shared" si="39"/>
        <v>0.71456859453897448</v>
      </c>
      <c r="BF13" s="32">
        <f t="shared" si="40"/>
        <v>8.0008091082050647E-2</v>
      </c>
      <c r="BG13" s="32">
        <f t="shared" si="41"/>
        <v>5.0270949964743752E-2</v>
      </c>
      <c r="BH13" s="32">
        <f t="shared" si="24"/>
        <v>0.11450345325547411</v>
      </c>
      <c r="BI13" s="32">
        <f t="shared" si="25"/>
        <v>0.22406405443773916</v>
      </c>
      <c r="BJ13" s="32">
        <f t="shared" si="26"/>
        <v>0.33856750769321325</v>
      </c>
      <c r="BK13" s="457">
        <f t="shared" si="27"/>
        <v>0.52131319784966867</v>
      </c>
      <c r="BL13" s="2"/>
    </row>
    <row r="14" spans="1:64" ht="15">
      <c r="A14" s="119"/>
      <c r="B14" s="480">
        <f>Input!B31</f>
        <v>37996</v>
      </c>
      <c r="C14" s="481">
        <v>1</v>
      </c>
      <c r="D14" s="481">
        <f t="shared" si="28"/>
        <v>1</v>
      </c>
      <c r="E14" s="481">
        <f t="shared" si="29"/>
        <v>10</v>
      </c>
      <c r="F14" s="481">
        <f t="shared" si="0"/>
        <v>10</v>
      </c>
      <c r="G14" s="431">
        <v>5.8752000000000004</v>
      </c>
      <c r="H14" s="455">
        <v>3.02</v>
      </c>
      <c r="I14" s="455">
        <v>-3</v>
      </c>
      <c r="J14" s="455">
        <v>1.76</v>
      </c>
      <c r="K14" s="485"/>
      <c r="L14" s="433">
        <v>100</v>
      </c>
      <c r="M14" s="455">
        <v>86</v>
      </c>
      <c r="N14" s="484">
        <f>Weather!M15</f>
        <v>0</v>
      </c>
      <c r="O14" s="481" t="str">
        <f t="shared" si="30"/>
        <v/>
      </c>
      <c r="P14" s="4">
        <f t="shared" si="42"/>
        <v>0.26807099555554398</v>
      </c>
      <c r="Q14" s="169">
        <f t="shared" si="1"/>
        <v>0.7588425968508743</v>
      </c>
      <c r="R14" s="169">
        <f t="shared" si="2"/>
        <v>0.48962647905903567</v>
      </c>
      <c r="S14" s="169">
        <f t="shared" si="3"/>
        <v>0.65260463329175189</v>
      </c>
      <c r="T14" s="169">
        <f t="shared" si="4"/>
        <v>0.48962647905903567</v>
      </c>
      <c r="U14" s="169">
        <f t="shared" si="5"/>
        <v>0.57111555617539378</v>
      </c>
      <c r="V14" s="169">
        <f t="shared" si="6"/>
        <v>-3.8898673465713766E-3</v>
      </c>
      <c r="W14" s="439">
        <f t="shared" si="7"/>
        <v>-0.91948883175919049</v>
      </c>
      <c r="X14" s="439">
        <f t="shared" si="8"/>
        <v>-0.91948883175919049</v>
      </c>
      <c r="Y14" s="169"/>
      <c r="Z14" s="119" t="str">
        <f t="shared" si="9"/>
        <v/>
      </c>
      <c r="AA14" s="4" t="str">
        <f t="shared" si="10"/>
        <v/>
      </c>
      <c r="AB14" s="466"/>
      <c r="AC14" s="471">
        <v>10</v>
      </c>
      <c r="AD14" s="467">
        <f t="array" ref="AD14">AVERAGE(IF($AC14=$D$5:$D$370,G$5:G$370,""))</f>
        <v>8.4421161290322591</v>
      </c>
      <c r="AE14" s="467">
        <f t="array" ref="AE14">AVERAGE(IF($AC14=$D$5:$D$370,H$5:H$370,""))</f>
        <v>14.620645161290319</v>
      </c>
      <c r="AF14" s="467">
        <f t="array" ref="AF14">AVERAGE(IF($AC14=$D$5:$D$370,I$5:I$370,""))</f>
        <v>10.43225806451613</v>
      </c>
      <c r="AG14" s="467">
        <f t="array" ref="AG14">AVERAGE(IF($AC14=$D$5:$D$370,J$5:J$370,""))</f>
        <v>1.5625806451612905</v>
      </c>
      <c r="AH14" s="467">
        <f t="array" ref="AH14">AVERAGE(IF($AC14=$D$5:$D$370,X$5:X$370,""))</f>
        <v>11.44237375669297</v>
      </c>
      <c r="AI14" s="467">
        <f t="array" ref="AI14">SUM(IF($AC14=$D$5:$D$370,N$5:N$370,""))</f>
        <v>84.6</v>
      </c>
      <c r="AJ14" s="468">
        <f t="array" ref="AJ14">COUNT(IF($AC14=$D$5:$D$370,O$5:O$370,""))</f>
        <v>7</v>
      </c>
      <c r="AK14" s="467">
        <f t="array" ref="AK14">AVERAGE(IF($AC14=$D$5:$D$370,P$5:P$370,""))</f>
        <v>0.99080570399491297</v>
      </c>
      <c r="AL14" s="466"/>
      <c r="AM14" s="462">
        <f t="shared" si="11"/>
        <v>10</v>
      </c>
      <c r="AN14" s="32">
        <f t="shared" si="32"/>
        <v>1.03251226352295</v>
      </c>
      <c r="AO14" s="32">
        <f t="shared" si="33"/>
        <v>-0.38378968641292643</v>
      </c>
      <c r="AP14" s="32">
        <f t="shared" si="34"/>
        <v>1.1680746397590434</v>
      </c>
      <c r="AQ14" s="32">
        <f t="shared" si="35"/>
        <v>8.923432935260962</v>
      </c>
      <c r="AR14" s="32">
        <f t="shared" si="36"/>
        <v>11.935173833990772</v>
      </c>
      <c r="AS14" s="32">
        <f t="shared" si="13"/>
        <v>8.9599737006535527</v>
      </c>
      <c r="AT14" s="32">
        <f t="shared" si="14"/>
        <v>4.5239040000000008</v>
      </c>
      <c r="AU14" s="32">
        <f t="shared" si="15"/>
        <v>0.65571621036917282</v>
      </c>
      <c r="AV14" s="32">
        <f t="shared" si="16"/>
        <v>0.53521688399838341</v>
      </c>
      <c r="AW14" s="32">
        <f t="shared" si="17"/>
        <v>0.7588425968508743</v>
      </c>
      <c r="AX14" s="32">
        <f t="shared" si="18"/>
        <v>0.48962647905903567</v>
      </c>
      <c r="AY14" s="32">
        <f t="shared" si="19"/>
        <v>0.57111555617539378</v>
      </c>
      <c r="AZ14" s="32">
        <f t="shared" si="37"/>
        <v>0.23419893714599216</v>
      </c>
      <c r="BA14" s="32">
        <f t="shared" si="20"/>
        <v>-3.4221221787286735</v>
      </c>
      <c r="BB14" s="32">
        <f t="shared" si="38"/>
        <v>1.1017818212713273</v>
      </c>
      <c r="BC14" s="32">
        <f t="shared" si="22"/>
        <v>1.0000000000000009E-2</v>
      </c>
      <c r="BD14" s="32">
        <v>0</v>
      </c>
      <c r="BE14" s="32">
        <f t="shared" si="39"/>
        <v>0.62423453795495498</v>
      </c>
      <c r="BF14" s="32">
        <f t="shared" si="40"/>
        <v>5.3118981779561203E-2</v>
      </c>
      <c r="BG14" s="32">
        <f t="shared" si="41"/>
        <v>4.4489847956121577E-2</v>
      </c>
      <c r="BH14" s="32">
        <f t="shared" si="24"/>
        <v>0.13178033014277707</v>
      </c>
      <c r="BI14" s="32">
        <f t="shared" si="25"/>
        <v>0.13629066541276691</v>
      </c>
      <c r="BJ14" s="32">
        <f t="shared" si="26"/>
        <v>0.26807099555554398</v>
      </c>
      <c r="BK14" s="457">
        <f t="shared" si="27"/>
        <v>0.48961269005152253</v>
      </c>
      <c r="BL14" s="2"/>
    </row>
    <row r="15" spans="1:64" ht="15">
      <c r="A15" s="119"/>
      <c r="B15" s="480">
        <f>Input!B32</f>
        <v>37997</v>
      </c>
      <c r="C15" s="481">
        <v>1</v>
      </c>
      <c r="D15" s="481">
        <f t="shared" si="28"/>
        <v>1</v>
      </c>
      <c r="E15" s="481">
        <f t="shared" si="29"/>
        <v>11</v>
      </c>
      <c r="F15" s="481">
        <f t="shared" si="0"/>
        <v>11</v>
      </c>
      <c r="G15" s="431">
        <v>7.9488000000000003</v>
      </c>
      <c r="H15" s="455">
        <v>2.0099999999999998</v>
      </c>
      <c r="I15" s="455">
        <v>-4.2</v>
      </c>
      <c r="J15" s="455">
        <v>0.98</v>
      </c>
      <c r="K15" s="485"/>
      <c r="L15" s="433">
        <v>100</v>
      </c>
      <c r="M15" s="455">
        <v>88</v>
      </c>
      <c r="N15" s="484">
        <f>Weather!M16</f>
        <v>0</v>
      </c>
      <c r="O15" s="481" t="str">
        <f t="shared" si="30"/>
        <v/>
      </c>
      <c r="P15" s="4">
        <f t="shared" si="42"/>
        <v>0.16986159983607474</v>
      </c>
      <c r="Q15" s="169">
        <f t="shared" si="1"/>
        <v>0.70614659071896546</v>
      </c>
      <c r="R15" s="169">
        <f t="shared" si="2"/>
        <v>0.44746503571112689</v>
      </c>
      <c r="S15" s="169">
        <f t="shared" si="3"/>
        <v>0.6214089998326896</v>
      </c>
      <c r="T15" s="169">
        <f t="shared" si="4"/>
        <v>0.44746503571112689</v>
      </c>
      <c r="U15" s="169">
        <f t="shared" si="5"/>
        <v>0.53443701777190822</v>
      </c>
      <c r="V15" s="169">
        <f t="shared" si="6"/>
        <v>-7.7333922257278292E-3</v>
      </c>
      <c r="W15" s="439">
        <f t="shared" si="7"/>
        <v>-1.8210510729549705</v>
      </c>
      <c r="X15" s="439">
        <f t="shared" si="8"/>
        <v>-1.8210510729549705</v>
      </c>
      <c r="Y15" s="169"/>
      <c r="Z15" s="119" t="str">
        <f t="shared" si="9"/>
        <v/>
      </c>
      <c r="AA15" s="4" t="str">
        <f t="shared" si="10"/>
        <v/>
      </c>
      <c r="AB15" s="466"/>
      <c r="AC15" s="471">
        <v>11</v>
      </c>
      <c r="AD15" s="467">
        <f t="array" ref="AD15">AVERAGE(IF($AC15=$D$5:$D$370,G$5:G$370,""))</f>
        <v>4.8038400000000001</v>
      </c>
      <c r="AE15" s="467">
        <f t="array" ref="AE15">AVERAGE(IF($AC15=$D$5:$D$370,H$5:H$370,""))</f>
        <v>9.7266666666666648</v>
      </c>
      <c r="AF15" s="467">
        <f t="array" ref="AF15">AVERAGE(IF($AC15=$D$5:$D$370,I$5:I$370,""))</f>
        <v>6.6500000000000012</v>
      </c>
      <c r="AG15" s="467">
        <f t="array" ref="AG15">AVERAGE(IF($AC15=$D$5:$D$370,J$5:J$370,""))</f>
        <v>1.5906666666666667</v>
      </c>
      <c r="AH15" s="467">
        <f t="array" ref="AH15">AVERAGE(IF($AC15=$D$5:$D$370,X$5:X$370,""))</f>
        <v>7.0291594372418107</v>
      </c>
      <c r="AI15" s="467">
        <f t="array" ref="AI15">SUM(IF($AC15=$D$5:$D$370,N$5:N$370,""))</f>
        <v>94.000000000000014</v>
      </c>
      <c r="AJ15" s="468">
        <f t="array" ref="AJ15">COUNT(IF($AC15=$D$5:$D$370,O$5:O$370,""))</f>
        <v>8</v>
      </c>
      <c r="AK15" s="467">
        <f t="array" ref="AK15">AVERAGE(IF($AC15=$D$5:$D$370,P$5:P$370,""))</f>
        <v>0.44114151485900671</v>
      </c>
      <c r="AL15" s="466"/>
      <c r="AM15" s="462">
        <f t="shared" si="11"/>
        <v>11</v>
      </c>
      <c r="AN15" s="32">
        <f t="shared" si="32"/>
        <v>1.032410144993644</v>
      </c>
      <c r="AO15" s="32">
        <f t="shared" si="33"/>
        <v>-0.38129931080802987</v>
      </c>
      <c r="AP15" s="32">
        <f t="shared" si="34"/>
        <v>1.1711252432747661</v>
      </c>
      <c r="AQ15" s="32">
        <f t="shared" si="35"/>
        <v>8.9467378294501199</v>
      </c>
      <c r="AR15" s="32">
        <f t="shared" si="36"/>
        <v>12.030852566007448</v>
      </c>
      <c r="AS15" s="32">
        <f t="shared" si="13"/>
        <v>9.0318016383531123</v>
      </c>
      <c r="AT15" s="32">
        <f t="shared" si="14"/>
        <v>6.1205760000000007</v>
      </c>
      <c r="AU15" s="32">
        <f t="shared" si="15"/>
        <v>0.88009018779219006</v>
      </c>
      <c r="AV15" s="32">
        <f t="shared" si="16"/>
        <v>0.83812175351945661</v>
      </c>
      <c r="AW15" s="32">
        <f t="shared" si="17"/>
        <v>0.70614659071896546</v>
      </c>
      <c r="AX15" s="32">
        <f t="shared" si="18"/>
        <v>0.44746503571112689</v>
      </c>
      <c r="AY15" s="32">
        <f t="shared" si="19"/>
        <v>0.53443701777190822</v>
      </c>
      <c r="AZ15" s="32">
        <f t="shared" si="37"/>
        <v>0.23765272085526945</v>
      </c>
      <c r="BA15" s="32">
        <f t="shared" si="20"/>
        <v>-5.3507188643739614</v>
      </c>
      <c r="BB15" s="32">
        <f t="shared" si="38"/>
        <v>0.7698571356260393</v>
      </c>
      <c r="BC15" s="32">
        <f t="shared" si="22"/>
        <v>-1.0950000000000002</v>
      </c>
      <c r="BD15" s="32">
        <v>0</v>
      </c>
      <c r="BE15" s="32">
        <f t="shared" si="39"/>
        <v>0.5768058132150462</v>
      </c>
      <c r="BF15" s="32">
        <f t="shared" si="40"/>
        <v>4.2368795443137985E-2</v>
      </c>
      <c r="BG15" s="32">
        <f t="shared" si="41"/>
        <v>4.1421804495346E-2</v>
      </c>
      <c r="BH15" s="32">
        <f t="shared" si="24"/>
        <v>9.9396399768651944E-2</v>
      </c>
      <c r="BI15" s="32">
        <f t="shared" si="25"/>
        <v>7.0465200067422781E-2</v>
      </c>
      <c r="BJ15" s="32">
        <f t="shared" si="26"/>
        <v>0.16986159983607474</v>
      </c>
      <c r="BK15" s="457">
        <f t="shared" si="27"/>
        <v>0.47016515172331047</v>
      </c>
      <c r="BL15" s="2"/>
    </row>
    <row r="16" spans="1:64" ht="15">
      <c r="A16" s="119"/>
      <c r="B16" s="480">
        <f>Input!B33</f>
        <v>37998</v>
      </c>
      <c r="C16" s="481">
        <v>1</v>
      </c>
      <c r="D16" s="481">
        <f t="shared" si="28"/>
        <v>1</v>
      </c>
      <c r="E16" s="481">
        <f t="shared" si="29"/>
        <v>12</v>
      </c>
      <c r="F16" s="481">
        <f t="shared" si="0"/>
        <v>12</v>
      </c>
      <c r="G16" s="431">
        <v>6.7392000000000003</v>
      </c>
      <c r="H16" s="455">
        <v>2.65</v>
      </c>
      <c r="I16" s="455">
        <v>-3.9</v>
      </c>
      <c r="J16" s="455">
        <v>1.36</v>
      </c>
      <c r="K16" s="485"/>
      <c r="L16" s="433">
        <v>99</v>
      </c>
      <c r="M16" s="455">
        <v>87</v>
      </c>
      <c r="N16" s="484">
        <f>Weather!M17</f>
        <v>0</v>
      </c>
      <c r="O16" s="481" t="str">
        <f t="shared" si="30"/>
        <v/>
      </c>
      <c r="P16" s="4">
        <f t="shared" si="42"/>
        <v>0.23636606815417283</v>
      </c>
      <c r="Q16" s="169">
        <f t="shared" si="1"/>
        <v>0.73914853249705437</v>
      </c>
      <c r="R16" s="169">
        <f t="shared" si="2"/>
        <v>0.45769192665668507</v>
      </c>
      <c r="S16" s="169">
        <f t="shared" si="3"/>
        <v>0.64305922327243725</v>
      </c>
      <c r="T16" s="169">
        <f t="shared" si="4"/>
        <v>0.45311500739011823</v>
      </c>
      <c r="U16" s="169">
        <f t="shared" si="5"/>
        <v>0.54808711533127774</v>
      </c>
      <c r="V16" s="169">
        <f t="shared" si="6"/>
        <v>-6.2730358684518457E-3</v>
      </c>
      <c r="W16" s="439">
        <f t="shared" si="7"/>
        <v>-1.4793116366264474</v>
      </c>
      <c r="X16" s="439">
        <f t="shared" si="8"/>
        <v>-1.4793116366264474</v>
      </c>
      <c r="Y16" s="169"/>
      <c r="Z16" s="119" t="str">
        <f t="shared" si="9"/>
        <v/>
      </c>
      <c r="AA16" s="4" t="str">
        <f t="shared" si="10"/>
        <v/>
      </c>
      <c r="AB16" s="466"/>
      <c r="AC16" s="471">
        <v>12</v>
      </c>
      <c r="AD16" s="467">
        <f t="array" ref="AD16">AVERAGE(IF($AC16=$D$5:$D$370,G$5:G$370,""))</f>
        <v>3.7040516129032257</v>
      </c>
      <c r="AE16" s="467">
        <f t="array" ref="AE16">AVERAGE(IF($AC16=$D$5:$D$370,H$5:H$370,""))</f>
        <v>1.5935483870967744</v>
      </c>
      <c r="AF16" s="467">
        <f t="array" ref="AF16">AVERAGE(IF($AC16=$D$5:$D$370,I$5:I$370,""))</f>
        <v>-1.0322580645161292</v>
      </c>
      <c r="AG16" s="467">
        <f t="array" ref="AG16">AVERAGE(IF($AC16=$D$5:$D$370,J$5:J$370,""))</f>
        <v>1.6296774193548385</v>
      </c>
      <c r="AH16" s="467">
        <f t="array" ref="AH16">AVERAGE(IF($AC16=$D$5:$D$370,X$5:X$370,""))</f>
        <v>-0.54676410787601804</v>
      </c>
      <c r="AI16" s="467">
        <f t="array" ref="AI16">SUM(IF($AC16=$D$5:$D$370,N$5:N$370,""))</f>
        <v>30.199999999999992</v>
      </c>
      <c r="AJ16" s="468">
        <f t="array" ref="AJ16">COUNT(IF($AC16=$D$5:$D$370,O$5:O$370,""))</f>
        <v>11</v>
      </c>
      <c r="AK16" s="467">
        <f t="array" ref="AK16">AVERAGE(IF($AC16=$D$5:$D$370,P$5:P$370,""))</f>
        <v>0.20180602049198348</v>
      </c>
      <c r="AL16" s="466"/>
      <c r="AM16" s="462">
        <f t="shared" si="11"/>
        <v>12</v>
      </c>
      <c r="AN16" s="32">
        <f t="shared" si="32"/>
        <v>1.0322984226389083</v>
      </c>
      <c r="AO16" s="32">
        <f t="shared" si="33"/>
        <v>-0.37869594798822787</v>
      </c>
      <c r="AP16" s="32">
        <f t="shared" si="34"/>
        <v>1.1743035625786633</v>
      </c>
      <c r="AQ16" s="32">
        <f t="shared" si="35"/>
        <v>8.9710184003912214</v>
      </c>
      <c r="AR16" s="32">
        <f t="shared" si="36"/>
        <v>12.130949588034124</v>
      </c>
      <c r="AS16" s="32">
        <f t="shared" si="13"/>
        <v>9.1069464747289786</v>
      </c>
      <c r="AT16" s="32">
        <f t="shared" si="14"/>
        <v>5.189184</v>
      </c>
      <c r="AU16" s="32">
        <f t="shared" si="15"/>
        <v>0.74000654541022304</v>
      </c>
      <c r="AV16" s="32">
        <f t="shared" si="16"/>
        <v>0.64900883630380124</v>
      </c>
      <c r="AW16" s="32">
        <f t="shared" si="17"/>
        <v>0.73914853249705437</v>
      </c>
      <c r="AX16" s="32">
        <f t="shared" si="18"/>
        <v>0.45769192665668507</v>
      </c>
      <c r="AY16" s="32">
        <f t="shared" si="19"/>
        <v>0.54808711533127774</v>
      </c>
      <c r="AZ16" s="32">
        <f t="shared" si="37"/>
        <v>0.23635393176539188</v>
      </c>
      <c r="BA16" s="32">
        <f t="shared" si="20"/>
        <v>-4.1496461994757929</v>
      </c>
      <c r="BB16" s="32">
        <f t="shared" si="38"/>
        <v>1.0395378005242071</v>
      </c>
      <c r="BC16" s="32">
        <f t="shared" si="22"/>
        <v>-0.625</v>
      </c>
      <c r="BD16" s="32">
        <v>0</v>
      </c>
      <c r="BE16" s="32">
        <f t="shared" si="39"/>
        <v>0.59842022957686969</v>
      </c>
      <c r="BF16" s="32">
        <f t="shared" si="40"/>
        <v>5.0333114245591948E-2</v>
      </c>
      <c r="BG16" s="32">
        <f t="shared" si="41"/>
        <v>4.2703732188176871E-2</v>
      </c>
      <c r="BH16" s="32">
        <f t="shared" si="24"/>
        <v>0.12859102616991017</v>
      </c>
      <c r="BI16" s="32">
        <f t="shared" si="25"/>
        <v>0.10777504198426265</v>
      </c>
      <c r="BJ16" s="32">
        <f t="shared" si="26"/>
        <v>0.23636606815417283</v>
      </c>
      <c r="BK16" s="457">
        <f t="shared" si="27"/>
        <v>0.5005805202616036</v>
      </c>
      <c r="BL16" s="2"/>
    </row>
    <row r="17" spans="1:64" ht="15">
      <c r="A17" s="119"/>
      <c r="B17" s="480">
        <f>Input!B34</f>
        <v>37999</v>
      </c>
      <c r="C17" s="481">
        <v>1</v>
      </c>
      <c r="D17" s="481">
        <f t="shared" si="28"/>
        <v>1</v>
      </c>
      <c r="E17" s="481">
        <f t="shared" si="29"/>
        <v>13</v>
      </c>
      <c r="F17" s="481">
        <f t="shared" si="0"/>
        <v>13</v>
      </c>
      <c r="G17" s="431">
        <v>7.6032000000000002</v>
      </c>
      <c r="H17" s="455">
        <v>1.68</v>
      </c>
      <c r="I17" s="455">
        <v>-3.4</v>
      </c>
      <c r="J17" s="455">
        <v>0.99</v>
      </c>
      <c r="K17" s="485"/>
      <c r="L17" s="433">
        <v>99</v>
      </c>
      <c r="M17" s="455">
        <v>89</v>
      </c>
      <c r="N17" s="484">
        <f>Weather!M18</f>
        <v>0.2</v>
      </c>
      <c r="O17" s="481" t="str">
        <f t="shared" si="30"/>
        <v/>
      </c>
      <c r="P17" s="4">
        <f t="shared" si="42"/>
        <v>0.19150336319124778</v>
      </c>
      <c r="Q17" s="169">
        <f t="shared" si="1"/>
        <v>0.68964401815244769</v>
      </c>
      <c r="R17" s="169">
        <f t="shared" si="2"/>
        <v>0.47519757638204746</v>
      </c>
      <c r="S17" s="169">
        <f t="shared" si="3"/>
        <v>0.61378317615567846</v>
      </c>
      <c r="T17" s="169">
        <f t="shared" si="4"/>
        <v>0.47044560061822699</v>
      </c>
      <c r="U17" s="169">
        <f t="shared" si="5"/>
        <v>0.54211438838695269</v>
      </c>
      <c r="V17" s="169">
        <f t="shared" si="6"/>
        <v>-6.9075011863379944E-3</v>
      </c>
      <c r="W17" s="439">
        <f t="shared" si="7"/>
        <v>-1.6279052739072459</v>
      </c>
      <c r="X17" s="439">
        <f t="shared" si="8"/>
        <v>-1.6279052739072459</v>
      </c>
      <c r="Y17" s="169"/>
      <c r="Z17" s="119" t="str">
        <f t="shared" si="9"/>
        <v/>
      </c>
      <c r="AA17" s="4" t="str">
        <f t="shared" si="10"/>
        <v/>
      </c>
      <c r="AB17" s="466"/>
      <c r="AC17" s="466"/>
      <c r="AD17" s="466"/>
      <c r="AE17" s="466"/>
      <c r="AF17" s="466"/>
      <c r="AG17" s="466"/>
      <c r="AH17" s="466"/>
      <c r="AI17" s="466"/>
      <c r="AJ17" s="466"/>
      <c r="AK17" s="466"/>
      <c r="AL17" s="466"/>
      <c r="AM17" s="462">
        <f t="shared" si="11"/>
        <v>13</v>
      </c>
      <c r="AN17" s="32">
        <f t="shared" si="32"/>
        <v>1.0321771295644875</v>
      </c>
      <c r="AO17" s="32">
        <f t="shared" si="33"/>
        <v>-0.37598036938610901</v>
      </c>
      <c r="AP17" s="32">
        <f t="shared" si="34"/>
        <v>1.1776073867351451</v>
      </c>
      <c r="AQ17" s="32">
        <f t="shared" si="35"/>
        <v>8.9962577577805245</v>
      </c>
      <c r="AR17" s="32">
        <f t="shared" si="36"/>
        <v>12.235449791691725</v>
      </c>
      <c r="AS17" s="32">
        <f t="shared" si="13"/>
        <v>9.1853968676188114</v>
      </c>
      <c r="AT17" s="32">
        <f t="shared" si="14"/>
        <v>5.8544640000000001</v>
      </c>
      <c r="AU17" s="32">
        <f t="shared" si="15"/>
        <v>0.82774866558063331</v>
      </c>
      <c r="AV17" s="32">
        <f t="shared" si="16"/>
        <v>0.76746069853385512</v>
      </c>
      <c r="AW17" s="32">
        <f t="shared" si="17"/>
        <v>0.68964401815244769</v>
      </c>
      <c r="AX17" s="32">
        <f t="shared" si="18"/>
        <v>0.47519757638204746</v>
      </c>
      <c r="AY17" s="32">
        <f t="shared" si="19"/>
        <v>0.54211438838695269</v>
      </c>
      <c r="AZ17" s="32">
        <f t="shared" si="37"/>
        <v>0.23692021530685917</v>
      </c>
      <c r="BA17" s="32">
        <f t="shared" si="20"/>
        <v>-4.9001322467499406</v>
      </c>
      <c r="BB17" s="32">
        <f t="shared" si="38"/>
        <v>0.95433175325005948</v>
      </c>
      <c r="BC17" s="32">
        <f t="shared" si="22"/>
        <v>-0.86</v>
      </c>
      <c r="BD17" s="32">
        <v>0</v>
      </c>
      <c r="BE17" s="32">
        <f t="shared" si="39"/>
        <v>0.5824207972672476</v>
      </c>
      <c r="BF17" s="32">
        <f t="shared" si="40"/>
        <v>4.0306408880294908E-2</v>
      </c>
      <c r="BG17" s="32">
        <f t="shared" si="41"/>
        <v>4.2058563056092832E-2</v>
      </c>
      <c r="BH17" s="32">
        <f t="shared" si="24"/>
        <v>0.12428679910051867</v>
      </c>
      <c r="BI17" s="32">
        <f t="shared" si="25"/>
        <v>6.7216564090729111E-2</v>
      </c>
      <c r="BJ17" s="32">
        <f t="shared" si="26"/>
        <v>0.19150336319124778</v>
      </c>
      <c r="BK17" s="457">
        <f t="shared" si="27"/>
        <v>0.43855791454983217</v>
      </c>
      <c r="BL17" s="2"/>
    </row>
    <row r="18" spans="1:64" ht="15">
      <c r="A18" s="119"/>
      <c r="B18" s="480">
        <f>Input!B35</f>
        <v>38000</v>
      </c>
      <c r="C18" s="481">
        <v>1</v>
      </c>
      <c r="D18" s="481">
        <f t="shared" si="28"/>
        <v>1</v>
      </c>
      <c r="E18" s="481">
        <f t="shared" si="29"/>
        <v>14</v>
      </c>
      <c r="F18" s="481">
        <f t="shared" si="0"/>
        <v>14</v>
      </c>
      <c r="G18" s="431">
        <v>7.8624000000000001</v>
      </c>
      <c r="H18" s="455">
        <v>-1.81</v>
      </c>
      <c r="I18" s="455">
        <v>-4.5999999999999996</v>
      </c>
      <c r="J18" s="455">
        <v>0.93</v>
      </c>
      <c r="K18" s="485"/>
      <c r="L18" s="433">
        <v>99</v>
      </c>
      <c r="M18" s="455">
        <v>89</v>
      </c>
      <c r="N18" s="484">
        <f>Weather!M19</f>
        <v>0.2</v>
      </c>
      <c r="O18" s="481" t="str">
        <f t="shared" si="30"/>
        <v/>
      </c>
      <c r="P18" s="4">
        <f t="shared" si="42"/>
        <v>0.16723499167272959</v>
      </c>
      <c r="Q18" s="169">
        <f t="shared" si="1"/>
        <v>0.53487367821845899</v>
      </c>
      <c r="R18" s="169">
        <f t="shared" si="2"/>
        <v>0.43414441086343325</v>
      </c>
      <c r="S18" s="169">
        <f t="shared" si="3"/>
        <v>0.4760375736144285</v>
      </c>
      <c r="T18" s="169">
        <f t="shared" si="4"/>
        <v>0.4298029667547989</v>
      </c>
      <c r="U18" s="169">
        <f t="shared" si="5"/>
        <v>0.45292027018461367</v>
      </c>
      <c r="V18" s="169">
        <f t="shared" si="6"/>
        <v>-1.7316355955960719E-2</v>
      </c>
      <c r="W18" s="439">
        <f t="shared" si="7"/>
        <v>-4.0392265830505956</v>
      </c>
      <c r="X18" s="439">
        <f t="shared" si="8"/>
        <v>-4.0392265830505956</v>
      </c>
      <c r="Y18" s="169"/>
      <c r="Z18" s="119" t="str">
        <f t="shared" si="9"/>
        <v/>
      </c>
      <c r="AA18" s="4" t="str">
        <f t="shared" si="10"/>
        <v/>
      </c>
      <c r="AB18" s="466"/>
      <c r="AC18" s="466"/>
      <c r="AD18" s="466"/>
      <c r="AE18" s="466"/>
      <c r="AF18" s="466"/>
      <c r="AG18" s="466"/>
      <c r="AH18" s="466"/>
      <c r="AI18" s="466"/>
      <c r="AJ18" s="466"/>
      <c r="AK18" s="466"/>
      <c r="AL18" s="466"/>
      <c r="AM18" s="462">
        <f t="shared" si="11"/>
        <v>14</v>
      </c>
      <c r="AN18" s="32">
        <f t="shared" si="32"/>
        <v>1.0320463017121373</v>
      </c>
      <c r="AO18" s="32">
        <f t="shared" si="33"/>
        <v>-0.37315337968622003</v>
      </c>
      <c r="AP18" s="32">
        <f t="shared" si="34"/>
        <v>1.181034452733871</v>
      </c>
      <c r="AQ18" s="32">
        <f t="shared" si="35"/>
        <v>9.0224386134924952</v>
      </c>
      <c r="AR18" s="32">
        <f t="shared" si="36"/>
        <v>12.344336798863592</v>
      </c>
      <c r="AS18" s="32">
        <f t="shared" si="13"/>
        <v>9.2671405216428759</v>
      </c>
      <c r="AT18" s="32">
        <f t="shared" si="14"/>
        <v>6.0540479999999999</v>
      </c>
      <c r="AU18" s="32">
        <f t="shared" si="15"/>
        <v>0.84841704748490809</v>
      </c>
      <c r="AV18" s="32">
        <f t="shared" si="16"/>
        <v>0.79536301410462606</v>
      </c>
      <c r="AW18" s="32">
        <f t="shared" si="17"/>
        <v>0.53487367821845899</v>
      </c>
      <c r="AX18" s="32">
        <f t="shared" si="18"/>
        <v>0.43414441086343325</v>
      </c>
      <c r="AY18" s="32">
        <f t="shared" si="19"/>
        <v>0.45292027018461367</v>
      </c>
      <c r="AZ18" s="32">
        <f t="shared" si="37"/>
        <v>0.24578090800894745</v>
      </c>
      <c r="BA18" s="32">
        <f t="shared" si="20"/>
        <v>-5.0872180108839116</v>
      </c>
      <c r="BB18" s="32">
        <f t="shared" si="38"/>
        <v>0.96682998911608831</v>
      </c>
      <c r="BC18" s="32">
        <f t="shared" si="22"/>
        <v>-3.2050000000000001</v>
      </c>
      <c r="BD18" s="32">
        <v>0</v>
      </c>
      <c r="BE18" s="32">
        <f t="shared" si="39"/>
        <v>0.48450904454094612</v>
      </c>
      <c r="BF18" s="32">
        <f t="shared" si="40"/>
        <v>3.158877435633245E-2</v>
      </c>
      <c r="BG18" s="32">
        <f t="shared" si="41"/>
        <v>3.6066696216018587E-2</v>
      </c>
      <c r="BH18" s="32">
        <f t="shared" si="24"/>
        <v>0.11436521352175676</v>
      </c>
      <c r="BI18" s="32">
        <f t="shared" si="25"/>
        <v>5.2869778150972838E-2</v>
      </c>
      <c r="BJ18" s="32">
        <f t="shared" si="26"/>
        <v>0.16723499167272959</v>
      </c>
      <c r="BK18" s="457">
        <f t="shared" si="27"/>
        <v>0.28251122935013251</v>
      </c>
      <c r="BL18" s="2"/>
    </row>
    <row r="19" spans="1:64" ht="15">
      <c r="A19" s="119"/>
      <c r="B19" s="480">
        <f>Input!B36</f>
        <v>38001</v>
      </c>
      <c r="C19" s="481">
        <v>1</v>
      </c>
      <c r="D19" s="481">
        <f t="shared" si="28"/>
        <v>1</v>
      </c>
      <c r="E19" s="481">
        <f t="shared" si="29"/>
        <v>15</v>
      </c>
      <c r="F19" s="481">
        <f t="shared" si="0"/>
        <v>15</v>
      </c>
      <c r="G19" s="431">
        <v>8.2943999999999996</v>
      </c>
      <c r="H19" s="455">
        <v>-0.92</v>
      </c>
      <c r="I19" s="455">
        <v>-2.5</v>
      </c>
      <c r="J19" s="455">
        <v>1.19</v>
      </c>
      <c r="K19" s="485"/>
      <c r="L19" s="433">
        <v>99</v>
      </c>
      <c r="M19" s="455">
        <v>89</v>
      </c>
      <c r="N19" s="484">
        <f>Weather!M20</f>
        <v>0.2</v>
      </c>
      <c r="O19" s="481" t="str">
        <f t="shared" si="30"/>
        <v/>
      </c>
      <c r="P19" s="4">
        <f t="shared" si="42"/>
        <v>0.18422309026983519</v>
      </c>
      <c r="Q19" s="169">
        <f t="shared" si="1"/>
        <v>0.57109414466068142</v>
      </c>
      <c r="R19" s="169">
        <f t="shared" si="2"/>
        <v>0.50820742214905024</v>
      </c>
      <c r="S19" s="169">
        <f t="shared" si="3"/>
        <v>0.50827378874800644</v>
      </c>
      <c r="T19" s="169">
        <f t="shared" si="4"/>
        <v>0.5031253479275597</v>
      </c>
      <c r="U19" s="169">
        <f t="shared" si="5"/>
        <v>0.50569956833778307</v>
      </c>
      <c r="V19" s="169">
        <f t="shared" si="6"/>
        <v>-1.0933805376512607E-2</v>
      </c>
      <c r="W19" s="439">
        <f t="shared" si="7"/>
        <v>-2.5665300755078722</v>
      </c>
      <c r="X19" s="439">
        <f t="shared" si="8"/>
        <v>-2.5665300755078722</v>
      </c>
      <c r="Y19" s="169"/>
      <c r="Z19" s="119" t="str">
        <f t="shared" si="9"/>
        <v/>
      </c>
      <c r="AA19" s="4" t="str">
        <f t="shared" si="10"/>
        <v/>
      </c>
      <c r="AB19" s="466"/>
      <c r="AC19" s="466"/>
      <c r="AD19" s="466"/>
      <c r="AE19" s="466"/>
      <c r="AF19" s="466"/>
      <c r="AG19" s="466"/>
      <c r="AH19" s="466"/>
      <c r="AI19" s="466"/>
      <c r="AJ19" s="466"/>
      <c r="AK19" s="466"/>
      <c r="AL19" s="466"/>
      <c r="AM19" s="462">
        <f t="shared" si="11"/>
        <v>15</v>
      </c>
      <c r="AN19" s="32">
        <f t="shared" si="32"/>
        <v>1.0319059778489741</v>
      </c>
      <c r="AO19" s="32">
        <f t="shared" si="33"/>
        <v>-0.37021581658662056</v>
      </c>
      <c r="AP19" s="32">
        <f t="shared" si="34"/>
        <v>1.1845824505340476</v>
      </c>
      <c r="AQ19" s="32">
        <f t="shared" si="35"/>
        <v>9.0495433201154061</v>
      </c>
      <c r="AR19" s="32">
        <f t="shared" si="36"/>
        <v>12.457592906071465</v>
      </c>
      <c r="AS19" s="32">
        <f t="shared" si="13"/>
        <v>9.3521641464459702</v>
      </c>
      <c r="AT19" s="32">
        <f t="shared" si="14"/>
        <v>6.3866879999999995</v>
      </c>
      <c r="AU19" s="32">
        <f t="shared" si="15"/>
        <v>0.88689632368696769</v>
      </c>
      <c r="AV19" s="32">
        <f t="shared" si="16"/>
        <v>0.84731003697740659</v>
      </c>
      <c r="AW19" s="32">
        <f t="shared" si="17"/>
        <v>0.57109414466068142</v>
      </c>
      <c r="AX19" s="32">
        <f t="shared" si="18"/>
        <v>0.50820742214905024</v>
      </c>
      <c r="AY19" s="32">
        <f t="shared" si="19"/>
        <v>0.50569956833778307</v>
      </c>
      <c r="AZ19" s="32">
        <f t="shared" si="37"/>
        <v>0.24044242098453505</v>
      </c>
      <c r="BA19" s="32">
        <f t="shared" si="20"/>
        <v>-5.41959684399251</v>
      </c>
      <c r="BB19" s="32">
        <f t="shared" si="38"/>
        <v>0.96709115600748952</v>
      </c>
      <c r="BC19" s="32">
        <f t="shared" si="22"/>
        <v>-1.71</v>
      </c>
      <c r="BD19" s="32">
        <v>0</v>
      </c>
      <c r="BE19" s="32">
        <f t="shared" si="39"/>
        <v>0.53965078340486583</v>
      </c>
      <c r="BF19" s="32">
        <f t="shared" si="40"/>
        <v>3.3951215067082763E-2</v>
      </c>
      <c r="BG19" s="32">
        <f t="shared" si="41"/>
        <v>3.979454278753887E-2</v>
      </c>
      <c r="BH19" s="32">
        <f t="shared" si="24"/>
        <v>0.1171244891073476</v>
      </c>
      <c r="BI19" s="32">
        <f t="shared" si="25"/>
        <v>6.7098601162487587E-2</v>
      </c>
      <c r="BJ19" s="32">
        <f t="shared" si="26"/>
        <v>0.18422309026983519</v>
      </c>
      <c r="BK19" s="457">
        <f t="shared" si="27"/>
        <v>0.23652686413175369</v>
      </c>
      <c r="BL19" s="2"/>
    </row>
    <row r="20" spans="1:64" ht="15">
      <c r="A20" s="119"/>
      <c r="B20" s="480">
        <f>Input!B37</f>
        <v>38002</v>
      </c>
      <c r="C20" s="481">
        <v>1</v>
      </c>
      <c r="D20" s="481">
        <f t="shared" si="28"/>
        <v>1</v>
      </c>
      <c r="E20" s="481">
        <f t="shared" si="29"/>
        <v>16</v>
      </c>
      <c r="F20" s="481">
        <f t="shared" si="0"/>
        <v>16</v>
      </c>
      <c r="G20" s="431">
        <v>5.0111999999999997</v>
      </c>
      <c r="H20" s="455">
        <v>-0.28000000000000003</v>
      </c>
      <c r="I20" s="455">
        <v>-1.9</v>
      </c>
      <c r="J20" s="455">
        <v>1.43</v>
      </c>
      <c r="K20" s="485"/>
      <c r="L20" s="433">
        <v>98</v>
      </c>
      <c r="M20" s="455">
        <v>88</v>
      </c>
      <c r="N20" s="484">
        <f>Weather!M21</f>
        <v>0</v>
      </c>
      <c r="O20" s="481" t="str">
        <f t="shared" si="30"/>
        <v/>
      </c>
      <c r="P20" s="4">
        <f t="shared" si="42"/>
        <v>0.27350161522473587</v>
      </c>
      <c r="Q20" s="169">
        <f t="shared" si="1"/>
        <v>0.59846492562261644</v>
      </c>
      <c r="R20" s="169">
        <f t="shared" si="2"/>
        <v>0.53132668070862032</v>
      </c>
      <c r="S20" s="169">
        <f t="shared" si="3"/>
        <v>0.52664913454790252</v>
      </c>
      <c r="T20" s="169">
        <f t="shared" si="4"/>
        <v>0.5207001470944479</v>
      </c>
      <c r="U20" s="169">
        <f t="shared" si="5"/>
        <v>0.52367464082117521</v>
      </c>
      <c r="V20" s="169">
        <f t="shared" si="6"/>
        <v>-8.91134894812152E-3</v>
      </c>
      <c r="W20" s="439">
        <f t="shared" si="7"/>
        <v>-2.0959850512078768</v>
      </c>
      <c r="X20" s="439">
        <f t="shared" si="8"/>
        <v>-2.0959850512078768</v>
      </c>
      <c r="Y20" s="169"/>
      <c r="Z20" s="119" t="str">
        <f t="shared" si="9"/>
        <v/>
      </c>
      <c r="AA20" s="4" t="str">
        <f t="shared" si="10"/>
        <v/>
      </c>
      <c r="AB20" s="466"/>
      <c r="AC20" s="466"/>
      <c r="AD20" s="466"/>
      <c r="AE20" s="466"/>
      <c r="AF20" s="466"/>
      <c r="AG20" s="466"/>
      <c r="AH20" s="466"/>
      <c r="AI20" s="466"/>
      <c r="AJ20" s="466"/>
      <c r="AK20" s="466"/>
      <c r="AL20" s="466"/>
      <c r="AM20" s="462">
        <f t="shared" si="11"/>
        <v>16</v>
      </c>
      <c r="AN20" s="32">
        <f t="shared" si="32"/>
        <v>1.031756199555987</v>
      </c>
      <c r="AO20" s="32">
        <f t="shared" si="33"/>
        <v>-0.36716855055065478</v>
      </c>
      <c r="AP20" s="32">
        <f t="shared" si="34"/>
        <v>1.1882490280742861</v>
      </c>
      <c r="AQ20" s="32">
        <f t="shared" si="35"/>
        <v>9.0775539092238233</v>
      </c>
      <c r="AR20" s="32">
        <f t="shared" si="36"/>
        <v>12.575199029364354</v>
      </c>
      <c r="AS20" s="32">
        <f t="shared" si="13"/>
        <v>9.4404534153244093</v>
      </c>
      <c r="AT20" s="32">
        <f t="shared" si="14"/>
        <v>3.8586239999999998</v>
      </c>
      <c r="AU20" s="32">
        <f t="shared" si="15"/>
        <v>0.53082196156653516</v>
      </c>
      <c r="AV20" s="32">
        <f t="shared" si="16"/>
        <v>0.36660964811482255</v>
      </c>
      <c r="AW20" s="32">
        <f t="shared" si="17"/>
        <v>0.59846492562261644</v>
      </c>
      <c r="AX20" s="32">
        <f t="shared" si="18"/>
        <v>0.53132668070862032</v>
      </c>
      <c r="AY20" s="32">
        <f t="shared" si="19"/>
        <v>0.52367464082117521</v>
      </c>
      <c r="AZ20" s="32">
        <f t="shared" si="37"/>
        <v>0.23868848555028391</v>
      </c>
      <c r="BA20" s="32">
        <f t="shared" si="20"/>
        <v>-2.3491638631509559</v>
      </c>
      <c r="BB20" s="32">
        <f t="shared" si="38"/>
        <v>1.5094601368490439</v>
      </c>
      <c r="BC20" s="32">
        <f t="shared" si="22"/>
        <v>-1.0899999999999999</v>
      </c>
      <c r="BD20" s="32">
        <v>0</v>
      </c>
      <c r="BE20" s="32">
        <f t="shared" si="39"/>
        <v>0.56489580316561838</v>
      </c>
      <c r="BF20" s="32">
        <f t="shared" si="40"/>
        <v>4.1221162344443174E-2</v>
      </c>
      <c r="BG20" s="32">
        <f t="shared" si="41"/>
        <v>4.1435265602619023E-2</v>
      </c>
      <c r="BH20" s="32">
        <f t="shared" si="24"/>
        <v>0.18075221155347448</v>
      </c>
      <c r="BI20" s="32">
        <f t="shared" si="25"/>
        <v>9.2749403671261402E-2</v>
      </c>
      <c r="BJ20" s="32">
        <f t="shared" si="26"/>
        <v>0.27350161522473587</v>
      </c>
      <c r="BK20" s="457">
        <f t="shared" si="27"/>
        <v>0.25107910751361667</v>
      </c>
      <c r="BL20" s="2"/>
    </row>
    <row r="21" spans="1:64" ht="15">
      <c r="A21" s="119"/>
      <c r="B21" s="480">
        <f>Input!B38</f>
        <v>38003</v>
      </c>
      <c r="C21" s="481">
        <v>1</v>
      </c>
      <c r="D21" s="481">
        <f t="shared" si="28"/>
        <v>1</v>
      </c>
      <c r="E21" s="481">
        <f t="shared" si="29"/>
        <v>17</v>
      </c>
      <c r="F21" s="481">
        <f t="shared" si="0"/>
        <v>17</v>
      </c>
      <c r="G21" s="431">
        <v>1.728</v>
      </c>
      <c r="H21" s="455">
        <v>-1.5</v>
      </c>
      <c r="I21" s="455">
        <v>-2.8</v>
      </c>
      <c r="J21" s="455">
        <v>1.83</v>
      </c>
      <c r="K21" s="485"/>
      <c r="L21" s="433">
        <v>98</v>
      </c>
      <c r="M21" s="455">
        <v>89</v>
      </c>
      <c r="N21" s="484">
        <f>Weather!M22</f>
        <v>0</v>
      </c>
      <c r="O21" s="481" t="str">
        <f t="shared" si="30"/>
        <v/>
      </c>
      <c r="P21" s="4">
        <f t="shared" si="42"/>
        <v>0.20161528149186347</v>
      </c>
      <c r="Q21" s="169">
        <f t="shared" si="1"/>
        <v>0.54725207192028802</v>
      </c>
      <c r="R21" s="169">
        <f t="shared" si="2"/>
        <v>0.49698538445082008</v>
      </c>
      <c r="S21" s="169">
        <f t="shared" si="3"/>
        <v>0.48705434400905634</v>
      </c>
      <c r="T21" s="169">
        <f t="shared" si="4"/>
        <v>0.48704567676180366</v>
      </c>
      <c r="U21" s="169">
        <f t="shared" si="5"/>
        <v>0.48705001038543</v>
      </c>
      <c r="V21" s="169">
        <f t="shared" si="6"/>
        <v>-1.3109598425268321E-2</v>
      </c>
      <c r="W21" s="439">
        <f t="shared" si="7"/>
        <v>-3.0706526827419531</v>
      </c>
      <c r="X21" s="439">
        <f t="shared" si="8"/>
        <v>-3.0706526827419531</v>
      </c>
      <c r="Y21" s="169"/>
      <c r="Z21" s="119" t="str">
        <f t="shared" si="9"/>
        <v/>
      </c>
      <c r="AA21" s="4" t="str">
        <f t="shared" si="10"/>
        <v/>
      </c>
      <c r="AB21" s="466"/>
      <c r="AC21" s="466"/>
      <c r="AD21" s="466"/>
      <c r="AE21" s="466"/>
      <c r="AF21" s="466"/>
      <c r="AG21" s="466"/>
      <c r="AH21" s="466"/>
      <c r="AI21" s="466"/>
      <c r="AJ21" s="466"/>
      <c r="AK21" s="466"/>
      <c r="AL21" s="466"/>
      <c r="AM21" s="462">
        <f t="shared" si="11"/>
        <v>17</v>
      </c>
      <c r="AN21" s="32">
        <f t="shared" si="32"/>
        <v>1.0315970112157162</v>
      </c>
      <c r="AO21" s="32">
        <f t="shared" si="33"/>
        <v>-0.36401248454901453</v>
      </c>
      <c r="AP21" s="32">
        <f t="shared" si="34"/>
        <v>1.1920317962287887</v>
      </c>
      <c r="AQ21" s="32">
        <f t="shared" si="35"/>
        <v>9.106452129241088</v>
      </c>
      <c r="AR21" s="32">
        <f t="shared" si="36"/>
        <v>12.697134649983584</v>
      </c>
      <c r="AS21" s="32">
        <f t="shared" si="13"/>
        <v>9.5319929244356771</v>
      </c>
      <c r="AT21" s="32">
        <f t="shared" si="14"/>
        <v>1.33056</v>
      </c>
      <c r="AU21" s="32">
        <f t="shared" si="15"/>
        <v>0.3</v>
      </c>
      <c r="AV21" s="32">
        <f t="shared" si="16"/>
        <v>5.5000000000000049E-2</v>
      </c>
      <c r="AW21" s="32">
        <f t="shared" si="17"/>
        <v>0.54725207192028802</v>
      </c>
      <c r="AX21" s="32">
        <f t="shared" si="18"/>
        <v>0.49698538445082008</v>
      </c>
      <c r="AY21" s="32">
        <f t="shared" si="19"/>
        <v>0.48705001038543</v>
      </c>
      <c r="AZ21" s="32">
        <f t="shared" si="37"/>
        <v>0.24229544430501501</v>
      </c>
      <c r="BA21" s="32">
        <f t="shared" si="20"/>
        <v>-0.35220553119875397</v>
      </c>
      <c r="BB21" s="32">
        <f t="shared" si="38"/>
        <v>0.97835446880124599</v>
      </c>
      <c r="BC21" s="32">
        <f t="shared" si="22"/>
        <v>-2.15</v>
      </c>
      <c r="BD21" s="32">
        <v>0</v>
      </c>
      <c r="BE21" s="32">
        <f t="shared" si="39"/>
        <v>0.52211872818555405</v>
      </c>
      <c r="BF21" s="32">
        <f t="shared" si="40"/>
        <v>3.506871780012405E-2</v>
      </c>
      <c r="BG21" s="32">
        <f t="shared" si="41"/>
        <v>3.8664402221883602E-2</v>
      </c>
      <c r="BH21" s="32">
        <f t="shared" si="24"/>
        <v>0.10460992859942449</v>
      </c>
      <c r="BI21" s="32">
        <f t="shared" si="25"/>
        <v>9.7005352892438973E-2</v>
      </c>
      <c r="BJ21" s="32">
        <f t="shared" si="26"/>
        <v>0.20161528149186347</v>
      </c>
      <c r="BK21" s="457">
        <f t="shared" si="27"/>
        <v>0.21269314591453525</v>
      </c>
      <c r="BL21" s="2"/>
    </row>
    <row r="22" spans="1:64" ht="15">
      <c r="A22" s="119"/>
      <c r="B22" s="480">
        <f>Input!B39</f>
        <v>38004</v>
      </c>
      <c r="C22" s="481">
        <v>1</v>
      </c>
      <c r="D22" s="481">
        <f t="shared" si="28"/>
        <v>1</v>
      </c>
      <c r="E22" s="481">
        <f t="shared" si="29"/>
        <v>18</v>
      </c>
      <c r="F22" s="481">
        <f t="shared" si="0"/>
        <v>18</v>
      </c>
      <c r="G22" s="431">
        <v>6.2207999999999997</v>
      </c>
      <c r="H22" s="455">
        <v>-2.78</v>
      </c>
      <c r="I22" s="455">
        <v>-4</v>
      </c>
      <c r="J22" s="455">
        <v>1.31</v>
      </c>
      <c r="K22" s="485"/>
      <c r="L22" s="433">
        <v>98</v>
      </c>
      <c r="M22" s="455">
        <v>89</v>
      </c>
      <c r="N22" s="484">
        <f>Weather!M23</f>
        <v>0</v>
      </c>
      <c r="O22" s="481" t="str">
        <f t="shared" si="30"/>
        <v/>
      </c>
      <c r="P22" s="4">
        <f t="shared" si="42"/>
        <v>0.2290955615783985</v>
      </c>
      <c r="Q22" s="169">
        <f t="shared" si="1"/>
        <v>0.4977266343174615</v>
      </c>
      <c r="R22" s="169">
        <f t="shared" si="2"/>
        <v>0.45426018589398121</v>
      </c>
      <c r="S22" s="169">
        <f t="shared" si="3"/>
        <v>0.44297670454254073</v>
      </c>
      <c r="T22" s="169">
        <f t="shared" si="4"/>
        <v>0.44517498217610157</v>
      </c>
      <c r="U22" s="169">
        <f t="shared" si="5"/>
        <v>0.44407584335932115</v>
      </c>
      <c r="V22" s="169">
        <f t="shared" si="6"/>
        <v>-1.8458263296074171E-2</v>
      </c>
      <c r="W22" s="439">
        <f t="shared" si="7"/>
        <v>-4.3007612957871961</v>
      </c>
      <c r="X22" s="439">
        <f t="shared" si="8"/>
        <v>-4.3007612957871961</v>
      </c>
      <c r="Y22" s="169"/>
      <c r="Z22" s="119" t="str">
        <f t="shared" si="9"/>
        <v/>
      </c>
      <c r="AA22" s="4" t="str">
        <f t="shared" si="10"/>
        <v/>
      </c>
      <c r="AB22" s="466"/>
      <c r="AC22" s="466"/>
      <c r="AD22" s="466"/>
      <c r="AE22" s="466"/>
      <c r="AF22" s="466"/>
      <c r="AG22" s="466"/>
      <c r="AH22" s="466"/>
      <c r="AI22" s="466"/>
      <c r="AJ22" s="466"/>
      <c r="AK22" s="466"/>
      <c r="AL22" s="466"/>
      <c r="AM22" s="462">
        <f t="shared" si="11"/>
        <v>18</v>
      </c>
      <c r="AN22" s="32">
        <f t="shared" si="32"/>
        <v>1.031428459999103</v>
      </c>
      <c r="AO22" s="32">
        <f t="shared" si="33"/>
        <v>-0.36074855379216958</v>
      </c>
      <c r="AP22" s="32">
        <f t="shared" si="34"/>
        <v>1.1959283336917983</v>
      </c>
      <c r="AQ22" s="32">
        <f t="shared" si="35"/>
        <v>9.1362194827537628</v>
      </c>
      <c r="AR22" s="32">
        <f t="shared" si="36"/>
        <v>12.823377761061398</v>
      </c>
      <c r="AS22" s="32">
        <f t="shared" si="13"/>
        <v>9.6267661527840129</v>
      </c>
      <c r="AT22" s="32">
        <f t="shared" si="14"/>
        <v>4.7900159999999996</v>
      </c>
      <c r="AU22" s="32">
        <f t="shared" si="15"/>
        <v>0.64619830805809853</v>
      </c>
      <c r="AV22" s="32">
        <f t="shared" si="16"/>
        <v>0.52236771587843311</v>
      </c>
      <c r="AW22" s="32">
        <f t="shared" si="17"/>
        <v>0.4977266343174615</v>
      </c>
      <c r="AX22" s="32">
        <f t="shared" si="18"/>
        <v>0.45426018589398121</v>
      </c>
      <c r="AY22" s="32">
        <f t="shared" si="19"/>
        <v>0.44407584335932115</v>
      </c>
      <c r="AZ22" s="32">
        <f t="shared" si="37"/>
        <v>0.2467053778085645</v>
      </c>
      <c r="BA22" s="32">
        <f t="shared" si="20"/>
        <v>-3.3440638460508247</v>
      </c>
      <c r="BB22" s="32">
        <f t="shared" si="38"/>
        <v>1.4459521539491749</v>
      </c>
      <c r="BC22" s="32">
        <f t="shared" si="22"/>
        <v>-3.3899999999999997</v>
      </c>
      <c r="BD22" s="32">
        <v>0</v>
      </c>
      <c r="BE22" s="32">
        <f t="shared" si="39"/>
        <v>0.47599341010572138</v>
      </c>
      <c r="BF22" s="32">
        <f t="shared" si="40"/>
        <v>3.1917566746400228E-2</v>
      </c>
      <c r="BG22" s="32">
        <f t="shared" si="41"/>
        <v>3.5627050213913186E-2</v>
      </c>
      <c r="BH22" s="32">
        <f t="shared" si="24"/>
        <v>0.15846948028442456</v>
      </c>
      <c r="BI22" s="32">
        <f t="shared" si="25"/>
        <v>7.0626081293973922E-2</v>
      </c>
      <c r="BJ22" s="32">
        <f t="shared" si="26"/>
        <v>0.2290955615783985</v>
      </c>
      <c r="BK22" s="457">
        <f t="shared" si="27"/>
        <v>0.19160554975835423</v>
      </c>
      <c r="BL22" s="2"/>
    </row>
    <row r="23" spans="1:64" ht="15">
      <c r="A23" s="119"/>
      <c r="B23" s="480">
        <f>Input!B40</f>
        <v>38005</v>
      </c>
      <c r="C23" s="481">
        <v>1</v>
      </c>
      <c r="D23" s="481">
        <f t="shared" si="28"/>
        <v>1</v>
      </c>
      <c r="E23" s="481">
        <f t="shared" si="29"/>
        <v>19</v>
      </c>
      <c r="F23" s="481">
        <f t="shared" si="0"/>
        <v>19</v>
      </c>
      <c r="G23" s="431">
        <v>6.9984000000000002</v>
      </c>
      <c r="H23" s="455">
        <v>-2.23</v>
      </c>
      <c r="I23" s="455">
        <v>-3.8</v>
      </c>
      <c r="J23" s="455">
        <v>1.18</v>
      </c>
      <c r="K23" s="485"/>
      <c r="L23" s="433">
        <v>99</v>
      </c>
      <c r="M23" s="455">
        <v>89</v>
      </c>
      <c r="N23" s="484">
        <f>Weather!M24</f>
        <v>0</v>
      </c>
      <c r="O23" s="481" t="str">
        <f t="shared" si="30"/>
        <v/>
      </c>
      <c r="P23" s="4">
        <f t="shared" si="42"/>
        <v>0.22358121107988677</v>
      </c>
      <c r="Q23" s="169">
        <f t="shared" si="1"/>
        <v>0.51849848092272588</v>
      </c>
      <c r="R23" s="169">
        <f t="shared" si="2"/>
        <v>0.46114662000062873</v>
      </c>
      <c r="S23" s="169">
        <f t="shared" si="3"/>
        <v>0.46146364802122602</v>
      </c>
      <c r="T23" s="169">
        <f t="shared" si="4"/>
        <v>0.45653515380062243</v>
      </c>
      <c r="U23" s="169">
        <f t="shared" si="5"/>
        <v>0.45899940091092423</v>
      </c>
      <c r="V23" s="169">
        <f t="shared" si="6"/>
        <v>-1.6544335176012868E-2</v>
      </c>
      <c r="W23" s="439">
        <f t="shared" si="7"/>
        <v>-3.862075269533698</v>
      </c>
      <c r="X23" s="439">
        <f t="shared" si="8"/>
        <v>-3.862075269533698</v>
      </c>
      <c r="Y23" s="169"/>
      <c r="Z23" s="119" t="str">
        <f t="shared" si="9"/>
        <v/>
      </c>
      <c r="AA23" s="4" t="str">
        <f t="shared" si="10"/>
        <v/>
      </c>
      <c r="AB23" s="466"/>
      <c r="AC23" s="466"/>
      <c r="AD23" s="466"/>
      <c r="AE23" s="466"/>
      <c r="AF23" s="466"/>
      <c r="AG23" s="466"/>
      <c r="AH23" s="466"/>
      <c r="AI23" s="466"/>
      <c r="AJ23" s="466"/>
      <c r="AK23" s="466"/>
      <c r="AL23" s="466"/>
      <c r="AM23" s="462">
        <f t="shared" si="11"/>
        <v>19</v>
      </c>
      <c r="AN23" s="32">
        <f t="shared" si="32"/>
        <v>1.0312505958515106</v>
      </c>
      <c r="AO23" s="32">
        <f t="shared" si="33"/>
        <v>-0.35737772545324453</v>
      </c>
      <c r="AP23" s="32">
        <f t="shared" si="34"/>
        <v>1.1999361917734499</v>
      </c>
      <c r="AQ23" s="32">
        <f t="shared" si="35"/>
        <v>9.166837263149235</v>
      </c>
      <c r="AR23" s="32">
        <f t="shared" si="36"/>
        <v>12.953904815602939</v>
      </c>
      <c r="AS23" s="32">
        <f t="shared" si="13"/>
        <v>9.7247554231694391</v>
      </c>
      <c r="AT23" s="32">
        <f t="shared" si="14"/>
        <v>5.3887680000000007</v>
      </c>
      <c r="AU23" s="32">
        <f t="shared" si="15"/>
        <v>0.71964791868453182</v>
      </c>
      <c r="AV23" s="32">
        <f t="shared" si="16"/>
        <v>0.62152469022411805</v>
      </c>
      <c r="AW23" s="32">
        <f t="shared" si="17"/>
        <v>0.51849848092272588</v>
      </c>
      <c r="AX23" s="32">
        <f t="shared" si="18"/>
        <v>0.46114662000062873</v>
      </c>
      <c r="AY23" s="32">
        <f t="shared" si="19"/>
        <v>0.45899940091092412</v>
      </c>
      <c r="AZ23" s="32">
        <f t="shared" si="37"/>
        <v>0.24515070765759972</v>
      </c>
      <c r="BA23" s="32">
        <f t="shared" si="20"/>
        <v>-3.9758780003035494</v>
      </c>
      <c r="BB23" s="32">
        <f t="shared" si="38"/>
        <v>1.4128899996964512</v>
      </c>
      <c r="BC23" s="32">
        <f t="shared" si="22"/>
        <v>-3.0149999999999997</v>
      </c>
      <c r="BD23" s="32">
        <v>0</v>
      </c>
      <c r="BE23" s="32">
        <f t="shared" si="39"/>
        <v>0.48982255046167733</v>
      </c>
      <c r="BF23" s="32">
        <f t="shared" si="40"/>
        <v>3.0823149550753215E-2</v>
      </c>
      <c r="BG23" s="32">
        <f t="shared" si="41"/>
        <v>3.6523088607400202E-2</v>
      </c>
      <c r="BH23" s="32">
        <f t="shared" si="24"/>
        <v>0.16125767141732117</v>
      </c>
      <c r="BI23" s="32">
        <f t="shared" si="25"/>
        <v>6.2323539662565597E-2</v>
      </c>
      <c r="BJ23" s="32">
        <f t="shared" si="26"/>
        <v>0.22358121107988677</v>
      </c>
      <c r="BK23" s="457">
        <f t="shared" si="27"/>
        <v>0.225285690926323</v>
      </c>
      <c r="BL23" s="2"/>
    </row>
    <row r="24" spans="1:64" ht="15">
      <c r="A24" s="119"/>
      <c r="B24" s="480">
        <f>Input!B41</f>
        <v>38006</v>
      </c>
      <c r="C24" s="481">
        <v>1</v>
      </c>
      <c r="D24" s="481">
        <f t="shared" si="28"/>
        <v>1</v>
      </c>
      <c r="E24" s="481">
        <f t="shared" si="29"/>
        <v>20</v>
      </c>
      <c r="F24" s="481">
        <f t="shared" si="0"/>
        <v>20</v>
      </c>
      <c r="G24" s="431">
        <v>3.5424000000000002</v>
      </c>
      <c r="H24" s="455">
        <v>-1.95</v>
      </c>
      <c r="I24" s="455">
        <v>-4.8</v>
      </c>
      <c r="J24" s="455">
        <v>1.4</v>
      </c>
      <c r="K24" s="485"/>
      <c r="L24" s="433">
        <v>100</v>
      </c>
      <c r="M24" s="455">
        <v>89</v>
      </c>
      <c r="N24" s="484">
        <f>Weather!M25</f>
        <v>0.2</v>
      </c>
      <c r="O24" s="481" t="str">
        <f t="shared" si="30"/>
        <v/>
      </c>
      <c r="P24" s="4">
        <f t="shared" si="42"/>
        <v>0.26804063791324378</v>
      </c>
      <c r="Q24" s="169">
        <f t="shared" si="1"/>
        <v>0.52936513629204651</v>
      </c>
      <c r="R24" s="169">
        <f t="shared" si="2"/>
        <v>0.42761687287716343</v>
      </c>
      <c r="S24" s="169">
        <f t="shared" si="3"/>
        <v>0.47113497129992138</v>
      </c>
      <c r="T24" s="169">
        <f t="shared" si="4"/>
        <v>0.42761687287716343</v>
      </c>
      <c r="U24" s="169">
        <f t="shared" si="5"/>
        <v>0.44937592208854238</v>
      </c>
      <c r="V24" s="169">
        <f t="shared" si="6"/>
        <v>-1.777126768591264E-2</v>
      </c>
      <c r="W24" s="439">
        <f t="shared" si="7"/>
        <v>-4.1434868086377206</v>
      </c>
      <c r="X24" s="439">
        <f t="shared" si="8"/>
        <v>-4.1434868086377206</v>
      </c>
      <c r="Y24" s="169"/>
      <c r="Z24" s="119" t="str">
        <f t="shared" si="9"/>
        <v/>
      </c>
      <c r="AA24" s="4" t="str">
        <f t="shared" si="10"/>
        <v/>
      </c>
      <c r="AB24" s="466"/>
      <c r="AC24" s="466"/>
      <c r="AD24" s="466"/>
      <c r="AE24" s="466"/>
      <c r="AF24" s="466"/>
      <c r="AG24" s="466"/>
      <c r="AH24" s="466"/>
      <c r="AI24" s="466"/>
      <c r="AJ24" s="466"/>
      <c r="AK24" s="466"/>
      <c r="AL24" s="466"/>
      <c r="AM24" s="462">
        <f t="shared" si="11"/>
        <v>20</v>
      </c>
      <c r="AN24" s="32">
        <f t="shared" si="32"/>
        <v>1.0310634714779239</v>
      </c>
      <c r="AO24" s="32">
        <f t="shared" si="33"/>
        <v>-0.35390099838142475</v>
      </c>
      <c r="AP24" s="32">
        <f t="shared" si="34"/>
        <v>1.204052899091435</v>
      </c>
      <c r="AQ24" s="32">
        <f t="shared" si="35"/>
        <v>9.1982865904573892</v>
      </c>
      <c r="AR24" s="32">
        <f t="shared" si="36"/>
        <v>13.088690675993266</v>
      </c>
      <c r="AS24" s="32">
        <f t="shared" si="13"/>
        <v>9.8259418642816652</v>
      </c>
      <c r="AT24" s="32">
        <f t="shared" si="14"/>
        <v>2.7276480000000003</v>
      </c>
      <c r="AU24" s="32">
        <f t="shared" si="15"/>
        <v>0.36051505788742733</v>
      </c>
      <c r="AV24" s="32">
        <f t="shared" si="16"/>
        <v>0.13669532814802693</v>
      </c>
      <c r="AW24" s="32">
        <f t="shared" si="17"/>
        <v>0.52936513629204651</v>
      </c>
      <c r="AX24" s="32">
        <f t="shared" si="18"/>
        <v>0.42761687287716343</v>
      </c>
      <c r="AY24" s="32">
        <f t="shared" si="19"/>
        <v>0.44937592208854232</v>
      </c>
      <c r="AZ24" s="32">
        <f t="shared" si="37"/>
        <v>0.2461502899688261</v>
      </c>
      <c r="BA24" s="32">
        <f t="shared" si="20"/>
        <v>-0.87343302199999562</v>
      </c>
      <c r="BB24" s="32">
        <f t="shared" si="38"/>
        <v>1.8542149780000048</v>
      </c>
      <c r="BC24" s="32">
        <f t="shared" si="22"/>
        <v>-3.375</v>
      </c>
      <c r="BD24" s="32">
        <v>0</v>
      </c>
      <c r="BE24" s="32">
        <f t="shared" si="39"/>
        <v>0.47849100458460497</v>
      </c>
      <c r="BF24" s="32">
        <f t="shared" si="40"/>
        <v>2.911508249606265E-2</v>
      </c>
      <c r="BG24" s="32">
        <f t="shared" si="41"/>
        <v>3.566252408996369E-2</v>
      </c>
      <c r="BH24" s="32">
        <f t="shared" si="24"/>
        <v>0.20026110891428253</v>
      </c>
      <c r="BI24" s="32">
        <f t="shared" si="25"/>
        <v>6.7779528998961239E-2</v>
      </c>
      <c r="BJ24" s="32">
        <f t="shared" si="26"/>
        <v>0.26804063791324378</v>
      </c>
      <c r="BK24" s="457">
        <f t="shared" si="27"/>
        <v>0.29922385077480668</v>
      </c>
      <c r="BL24" s="2"/>
    </row>
    <row r="25" spans="1:64" ht="15">
      <c r="A25" s="119"/>
      <c r="B25" s="480">
        <f>Input!B42</f>
        <v>38007</v>
      </c>
      <c r="C25" s="481">
        <v>1</v>
      </c>
      <c r="D25" s="481">
        <f t="shared" si="28"/>
        <v>1</v>
      </c>
      <c r="E25" s="481">
        <f t="shared" si="29"/>
        <v>21</v>
      </c>
      <c r="F25" s="481">
        <f t="shared" si="0"/>
        <v>21</v>
      </c>
      <c r="G25" s="431">
        <v>3.9744000000000002</v>
      </c>
      <c r="H25" s="455">
        <v>-0.25</v>
      </c>
      <c r="I25" s="455">
        <v>-3.1</v>
      </c>
      <c r="J25" s="455">
        <v>1.1499999999999999</v>
      </c>
      <c r="K25" s="485"/>
      <c r="L25" s="433">
        <v>100</v>
      </c>
      <c r="M25" s="455">
        <v>89</v>
      </c>
      <c r="N25" s="484">
        <f>Weather!M26</f>
        <v>0.2</v>
      </c>
      <c r="O25" s="481" t="str">
        <f t="shared" si="30"/>
        <v/>
      </c>
      <c r="P25" s="4">
        <f t="shared" si="42"/>
        <v>0.28864348777884957</v>
      </c>
      <c r="Q25" s="169">
        <f t="shared" si="1"/>
        <v>0.59977591848525114</v>
      </c>
      <c r="R25" s="169">
        <f t="shared" si="2"/>
        <v>0.4859833458825103</v>
      </c>
      <c r="S25" s="169">
        <f t="shared" si="3"/>
        <v>0.53380056745187354</v>
      </c>
      <c r="T25" s="169">
        <f t="shared" si="4"/>
        <v>0.4859833458825103</v>
      </c>
      <c r="U25" s="169">
        <f t="shared" si="5"/>
        <v>0.50989195666719189</v>
      </c>
      <c r="V25" s="169">
        <f t="shared" si="6"/>
        <v>-1.0455745207967014E-2</v>
      </c>
      <c r="W25" s="439">
        <f t="shared" si="7"/>
        <v>-2.4554745218850873</v>
      </c>
      <c r="X25" s="439">
        <f t="shared" si="8"/>
        <v>-2.4554745218850873</v>
      </c>
      <c r="Y25" s="169"/>
      <c r="Z25" s="119" t="str">
        <f t="shared" si="9"/>
        <v/>
      </c>
      <c r="AA25" s="4" t="str">
        <f t="shared" si="10"/>
        <v/>
      </c>
      <c r="AB25" s="466"/>
      <c r="AC25" s="466"/>
      <c r="AD25" s="466"/>
      <c r="AE25" s="466"/>
      <c r="AF25" s="466"/>
      <c r="AG25" s="466"/>
      <c r="AH25" s="466"/>
      <c r="AI25" s="466"/>
      <c r="AJ25" s="466"/>
      <c r="AK25" s="466"/>
      <c r="AL25" s="466"/>
      <c r="AM25" s="462">
        <f t="shared" si="11"/>
        <v>21</v>
      </c>
      <c r="AN25" s="32">
        <f t="shared" si="32"/>
        <v>1.0308671423273339</v>
      </c>
      <c r="AO25" s="32">
        <f t="shared" si="33"/>
        <v>-0.35031940280597534</v>
      </c>
      <c r="AP25" s="32">
        <f t="shared" si="34"/>
        <v>1.208275966144194</v>
      </c>
      <c r="AQ25" s="32">
        <f t="shared" si="35"/>
        <v>9.2305484462872354</v>
      </c>
      <c r="AR25" s="32">
        <f t="shared" si="36"/>
        <v>13.227708565261944</v>
      </c>
      <c r="AS25" s="32">
        <f t="shared" si="13"/>
        <v>9.9303053741134466</v>
      </c>
      <c r="AT25" s="32">
        <f t="shared" si="14"/>
        <v>3.0602880000000003</v>
      </c>
      <c r="AU25" s="32">
        <f t="shared" si="15"/>
        <v>0.40022938371669409</v>
      </c>
      <c r="AV25" s="32">
        <f t="shared" si="16"/>
        <v>0.19030966801753713</v>
      </c>
      <c r="AW25" s="32">
        <f t="shared" si="17"/>
        <v>0.59977591848525114</v>
      </c>
      <c r="AX25" s="32">
        <f t="shared" si="18"/>
        <v>0.4859833458825103</v>
      </c>
      <c r="AY25" s="32">
        <f t="shared" si="19"/>
        <v>0.50989195666719189</v>
      </c>
      <c r="AZ25" s="32">
        <f t="shared" si="37"/>
        <v>0.2400305929262509</v>
      </c>
      <c r="BA25" s="32">
        <f t="shared" si="20"/>
        <v>-1.215947119072968</v>
      </c>
      <c r="BB25" s="32">
        <f t="shared" si="38"/>
        <v>1.8443408809270323</v>
      </c>
      <c r="BC25" s="32">
        <f t="shared" si="22"/>
        <v>-1.675</v>
      </c>
      <c r="BD25" s="32">
        <v>0</v>
      </c>
      <c r="BE25" s="32">
        <f t="shared" si="39"/>
        <v>0.54287963218388069</v>
      </c>
      <c r="BF25" s="32">
        <f t="shared" si="40"/>
        <v>3.2987675516688797E-2</v>
      </c>
      <c r="BG25" s="32">
        <f t="shared" si="41"/>
        <v>3.9885649904244008E-2</v>
      </c>
      <c r="BH25" s="32">
        <f t="shared" si="24"/>
        <v>0.22526022622710329</v>
      </c>
      <c r="BI25" s="32">
        <f t="shared" si="25"/>
        <v>6.3383261551746298E-2</v>
      </c>
      <c r="BJ25" s="32">
        <f t="shared" si="26"/>
        <v>0.28864348777884957</v>
      </c>
      <c r="BK25" s="457">
        <f t="shared" si="27"/>
        <v>0.3380403345738075</v>
      </c>
      <c r="BL25" s="2"/>
    </row>
    <row r="26" spans="1:64" ht="15">
      <c r="A26" s="119"/>
      <c r="B26" s="480">
        <f>Input!B43</f>
        <v>38008</v>
      </c>
      <c r="C26" s="481">
        <v>1</v>
      </c>
      <c r="D26" s="481">
        <f t="shared" si="28"/>
        <v>1</v>
      </c>
      <c r="E26" s="481">
        <f t="shared" si="29"/>
        <v>22</v>
      </c>
      <c r="F26" s="481">
        <f t="shared" si="0"/>
        <v>22</v>
      </c>
      <c r="G26" s="431">
        <v>7.6032000000000002</v>
      </c>
      <c r="H26" s="455">
        <v>-0.85</v>
      </c>
      <c r="I26" s="455">
        <v>-3.4</v>
      </c>
      <c r="J26" s="455">
        <v>1.1200000000000001</v>
      </c>
      <c r="K26" s="485"/>
      <c r="L26" s="433">
        <v>100</v>
      </c>
      <c r="M26" s="455">
        <v>89</v>
      </c>
      <c r="N26" s="484">
        <f>Weather!M27</f>
        <v>0.2</v>
      </c>
      <c r="O26" s="481" t="str">
        <f t="shared" si="30"/>
        <v/>
      </c>
      <c r="P26" s="4">
        <f t="shared" si="42"/>
        <v>0.24714464880057616</v>
      </c>
      <c r="Q26" s="169">
        <f t="shared" si="1"/>
        <v>0.57403288209311731</v>
      </c>
      <c r="R26" s="169">
        <f t="shared" si="2"/>
        <v>0.47519757638204746</v>
      </c>
      <c r="S26" s="169">
        <f t="shared" si="3"/>
        <v>0.51088926506287446</v>
      </c>
      <c r="T26" s="169">
        <f t="shared" si="4"/>
        <v>0.47519757638204746</v>
      </c>
      <c r="U26" s="169">
        <f t="shared" si="5"/>
        <v>0.49304342072246099</v>
      </c>
      <c r="V26" s="169">
        <f t="shared" si="6"/>
        <v>-1.2401408725672653E-2</v>
      </c>
      <c r="W26" s="439">
        <f t="shared" si="7"/>
        <v>-2.9068058037437368</v>
      </c>
      <c r="X26" s="439">
        <f t="shared" si="8"/>
        <v>-2.9068058037437368</v>
      </c>
      <c r="Y26" s="169"/>
      <c r="Z26" s="119" t="str">
        <f t="shared" si="9"/>
        <v/>
      </c>
      <c r="AA26" s="4" t="str">
        <f t="shared" si="10"/>
        <v/>
      </c>
      <c r="AB26" s="466"/>
      <c r="AC26" s="466"/>
      <c r="AD26" s="466"/>
      <c r="AE26" s="466"/>
      <c r="AF26" s="466"/>
      <c r="AG26" s="466"/>
      <c r="AH26" s="466"/>
      <c r="AI26" s="466"/>
      <c r="AJ26" s="466"/>
      <c r="AK26" s="466"/>
      <c r="AL26" s="466"/>
      <c r="AM26" s="462">
        <f t="shared" si="11"/>
        <v>22</v>
      </c>
      <c r="AN26" s="32">
        <f t="shared" si="32"/>
        <v>1.0306616665763046</v>
      </c>
      <c r="AO26" s="32">
        <f t="shared" si="33"/>
        <v>-0.34663400003096273</v>
      </c>
      <c r="AP26" s="32">
        <f t="shared" si="34"/>
        <v>1.2126028897526804</v>
      </c>
      <c r="AQ26" s="32">
        <f t="shared" si="35"/>
        <v>9.2636037077594722</v>
      </c>
      <c r="AR26" s="32">
        <f t="shared" si="36"/>
        <v>13.370930020327656</v>
      </c>
      <c r="AS26" s="32">
        <f t="shared" si="13"/>
        <v>10.037824584860378</v>
      </c>
      <c r="AT26" s="32">
        <f t="shared" si="14"/>
        <v>5.8544640000000001</v>
      </c>
      <c r="AU26" s="32">
        <f t="shared" si="15"/>
        <v>0.75745495806607166</v>
      </c>
      <c r="AV26" s="32">
        <f t="shared" si="16"/>
        <v>0.67256419338919693</v>
      </c>
      <c r="AW26" s="32">
        <f t="shared" si="17"/>
        <v>0.57403288209311731</v>
      </c>
      <c r="AX26" s="32">
        <f t="shared" si="18"/>
        <v>0.47519757638204746</v>
      </c>
      <c r="AY26" s="32">
        <f t="shared" si="19"/>
        <v>0.49304342072246105</v>
      </c>
      <c r="AZ26" s="32">
        <f t="shared" si="37"/>
        <v>0.24169612903776255</v>
      </c>
      <c r="BA26" s="32">
        <f t="shared" si="20"/>
        <v>-4.2982789227327451</v>
      </c>
      <c r="BB26" s="32">
        <f t="shared" si="38"/>
        <v>1.556185077267255</v>
      </c>
      <c r="BC26" s="32">
        <f t="shared" si="22"/>
        <v>-2.125</v>
      </c>
      <c r="BD26" s="32">
        <v>0</v>
      </c>
      <c r="BE26" s="32">
        <f t="shared" si="39"/>
        <v>0.52461522923758241</v>
      </c>
      <c r="BF26" s="32">
        <f t="shared" si="40"/>
        <v>3.1571808515121369E-2</v>
      </c>
      <c r="BG26" s="32">
        <f t="shared" si="41"/>
        <v>3.8727865162797588E-2</v>
      </c>
      <c r="BH26" s="32">
        <f t="shared" si="24"/>
        <v>0.18713647718777804</v>
      </c>
      <c r="BI26" s="32">
        <f t="shared" si="25"/>
        <v>6.0008171612798117E-2</v>
      </c>
      <c r="BJ26" s="32">
        <f t="shared" si="26"/>
        <v>0.24714464880057616</v>
      </c>
      <c r="BK26" s="457">
        <f t="shared" si="27"/>
        <v>0.31419625714297106</v>
      </c>
      <c r="BL26" s="2"/>
    </row>
    <row r="27" spans="1:64" ht="15">
      <c r="A27" s="119"/>
      <c r="B27" s="480">
        <f>Input!B44</f>
        <v>38009</v>
      </c>
      <c r="C27" s="481">
        <v>1</v>
      </c>
      <c r="D27" s="481">
        <f t="shared" si="28"/>
        <v>1</v>
      </c>
      <c r="E27" s="481">
        <f t="shared" si="29"/>
        <v>23</v>
      </c>
      <c r="F27" s="481">
        <f t="shared" si="0"/>
        <v>23</v>
      </c>
      <c r="G27" s="431">
        <v>7.8624000000000001</v>
      </c>
      <c r="H27" s="455">
        <v>1.3</v>
      </c>
      <c r="I27" s="455">
        <v>-4.3</v>
      </c>
      <c r="J27" s="455">
        <v>0.81</v>
      </c>
      <c r="K27" s="485"/>
      <c r="L27" s="433">
        <v>99</v>
      </c>
      <c r="M27" s="455">
        <v>89</v>
      </c>
      <c r="N27" s="484">
        <f>Weather!M28</f>
        <v>0</v>
      </c>
      <c r="O27" s="481" t="str">
        <f t="shared" si="30"/>
        <v/>
      </c>
      <c r="P27" s="4">
        <f t="shared" si="42"/>
        <v>0.26637772951772098</v>
      </c>
      <c r="Q27" s="169">
        <f t="shared" si="1"/>
        <v>0.67106385242410471</v>
      </c>
      <c r="R27" s="169">
        <f t="shared" si="2"/>
        <v>0.44410136465433581</v>
      </c>
      <c r="S27" s="169">
        <f t="shared" si="3"/>
        <v>0.59724682865745315</v>
      </c>
      <c r="T27" s="169">
        <f t="shared" si="4"/>
        <v>0.43966035100779244</v>
      </c>
      <c r="U27" s="169">
        <f t="shared" si="5"/>
        <v>0.5184535898326228</v>
      </c>
      <c r="V27" s="169">
        <f t="shared" si="6"/>
        <v>-9.4915494036220977E-3</v>
      </c>
      <c r="W27" s="439">
        <f t="shared" si="7"/>
        <v>-2.2311674375185637</v>
      </c>
      <c r="X27" s="439">
        <f t="shared" si="8"/>
        <v>-2.2311674375185637</v>
      </c>
      <c r="Y27" s="169"/>
      <c r="Z27" s="119" t="str">
        <f t="shared" si="9"/>
        <v/>
      </c>
      <c r="AA27" s="4" t="str">
        <f t="shared" si="10"/>
        <v/>
      </c>
      <c r="AB27" s="466"/>
      <c r="AC27" s="466"/>
      <c r="AD27" s="466"/>
      <c r="AE27" s="466"/>
      <c r="AF27" s="466"/>
      <c r="AG27" s="466"/>
      <c r="AH27" s="466"/>
      <c r="AI27" s="466"/>
      <c r="AJ27" s="466"/>
      <c r="AK27" s="466"/>
      <c r="AL27" s="466"/>
      <c r="AM27" s="462">
        <f t="shared" si="11"/>
        <v>23</v>
      </c>
      <c r="AN27" s="32">
        <f t="shared" si="32"/>
        <v>1.0304471051117361</v>
      </c>
      <c r="AO27" s="32">
        <f t="shared" si="33"/>
        <v>-0.3428458821207665</v>
      </c>
      <c r="AP27" s="32">
        <f t="shared" si="34"/>
        <v>1.2170311573590744</v>
      </c>
      <c r="AQ27" s="32">
        <f t="shared" si="35"/>
        <v>9.2974331803462569</v>
      </c>
      <c r="AR27" s="32">
        <f t="shared" si="36"/>
        <v>13.518324847434684</v>
      </c>
      <c r="AS27" s="32">
        <f t="shared" si="13"/>
        <v>10.148476829466167</v>
      </c>
      <c r="AT27" s="32">
        <f t="shared" si="14"/>
        <v>6.0540479999999999</v>
      </c>
      <c r="AU27" s="32">
        <f t="shared" si="15"/>
        <v>0.77473695137889775</v>
      </c>
      <c r="AV27" s="32">
        <f t="shared" si="16"/>
        <v>0.69589488436151214</v>
      </c>
      <c r="AW27" s="32">
        <f t="shared" si="17"/>
        <v>0.67106385242410471</v>
      </c>
      <c r="AX27" s="32">
        <f t="shared" si="18"/>
        <v>0.44410136465433581</v>
      </c>
      <c r="AY27" s="32">
        <f t="shared" si="19"/>
        <v>0.5184535898326228</v>
      </c>
      <c r="AZ27" s="32">
        <f t="shared" si="37"/>
        <v>0.23919479001202665</v>
      </c>
      <c r="BA27" s="32">
        <f t="shared" si="20"/>
        <v>-4.4443375473904601</v>
      </c>
      <c r="BB27" s="32">
        <f t="shared" si="38"/>
        <v>1.6097104526095398</v>
      </c>
      <c r="BC27" s="32">
        <f t="shared" si="22"/>
        <v>-1.5</v>
      </c>
      <c r="BD27" s="32">
        <v>0</v>
      </c>
      <c r="BE27" s="32">
        <f t="shared" si="39"/>
        <v>0.55758260853922026</v>
      </c>
      <c r="BF27" s="32">
        <f t="shared" si="40"/>
        <v>3.9129018706597463E-2</v>
      </c>
      <c r="BG27" s="32">
        <f t="shared" si="41"/>
        <v>4.0343886309850939E-2</v>
      </c>
      <c r="BH27" s="32">
        <f t="shared" si="24"/>
        <v>0.21038907605085702</v>
      </c>
      <c r="BI27" s="32">
        <f t="shared" si="25"/>
        <v>5.598865346686395E-2</v>
      </c>
      <c r="BJ27" s="32">
        <f t="shared" si="26"/>
        <v>0.26637772951772098</v>
      </c>
      <c r="BK27" s="457">
        <f t="shared" si="27"/>
        <v>0.48951527470036643</v>
      </c>
      <c r="BL27" s="2"/>
    </row>
    <row r="28" spans="1:64" ht="15">
      <c r="A28" s="119"/>
      <c r="B28" s="480">
        <f>Input!B45</f>
        <v>38010</v>
      </c>
      <c r="C28" s="481">
        <v>1</v>
      </c>
      <c r="D28" s="481">
        <f t="shared" si="28"/>
        <v>1</v>
      </c>
      <c r="E28" s="481">
        <f t="shared" si="29"/>
        <v>24</v>
      </c>
      <c r="F28" s="481">
        <f t="shared" si="0"/>
        <v>24</v>
      </c>
      <c r="G28" s="431">
        <v>8.64</v>
      </c>
      <c r="H28" s="455">
        <v>0.31</v>
      </c>
      <c r="I28" s="455">
        <v>-4.4000000000000004</v>
      </c>
      <c r="J28" s="455">
        <v>1.87</v>
      </c>
      <c r="K28" s="485"/>
      <c r="L28" s="433">
        <v>96</v>
      </c>
      <c r="M28" s="455">
        <v>89</v>
      </c>
      <c r="N28" s="484">
        <f>Weather!M29</f>
        <v>0.4</v>
      </c>
      <c r="O28" s="481" t="str">
        <f t="shared" si="30"/>
        <v/>
      </c>
      <c r="P28" s="4">
        <f t="shared" si="42"/>
        <v>0.29309055308982468</v>
      </c>
      <c r="Q28" s="169">
        <f t="shared" si="1"/>
        <v>0.62471842764654184</v>
      </c>
      <c r="R28" s="169">
        <f t="shared" si="2"/>
        <v>0.44076012290095545</v>
      </c>
      <c r="S28" s="169">
        <f t="shared" si="3"/>
        <v>0.5559994006054223</v>
      </c>
      <c r="T28" s="169">
        <f t="shared" si="4"/>
        <v>0.42312971798491722</v>
      </c>
      <c r="U28" s="169">
        <f t="shared" si="5"/>
        <v>0.48956455929516973</v>
      </c>
      <c r="V28" s="169">
        <f t="shared" si="6"/>
        <v>-1.2811420487953102E-2</v>
      </c>
      <c r="W28" s="439">
        <f t="shared" si="7"/>
        <v>-3.0016941162912496</v>
      </c>
      <c r="X28" s="439">
        <f t="shared" si="8"/>
        <v>-3.0016941162912496</v>
      </c>
      <c r="Y28" s="169"/>
      <c r="Z28" s="119" t="str">
        <f t="shared" si="9"/>
        <v/>
      </c>
      <c r="AA28" s="4" t="str">
        <f t="shared" si="10"/>
        <v/>
      </c>
      <c r="AB28" s="466"/>
      <c r="AC28" s="466"/>
      <c r="AD28" s="466"/>
      <c r="AE28" s="466"/>
      <c r="AF28" s="466"/>
      <c r="AG28" s="466"/>
      <c r="AH28" s="466"/>
      <c r="AI28" s="466"/>
      <c r="AJ28" s="466"/>
      <c r="AK28" s="466"/>
      <c r="AL28" s="466"/>
      <c r="AM28" s="462">
        <f t="shared" si="11"/>
        <v>24</v>
      </c>
      <c r="AN28" s="32">
        <f t="shared" si="32"/>
        <v>1.0302235215128204</v>
      </c>
      <c r="AO28" s="32">
        <f t="shared" si="33"/>
        <v>-0.33895617157647767</v>
      </c>
      <c r="AP28" s="32">
        <f t="shared" si="34"/>
        <v>1.2215582511721572</v>
      </c>
      <c r="AQ28" s="32">
        <f t="shared" si="35"/>
        <v>9.3320176295395143</v>
      </c>
      <c r="AR28" s="32">
        <f t="shared" si="36"/>
        <v>13.669861079981766</v>
      </c>
      <c r="AS28" s="32">
        <f t="shared" si="13"/>
        <v>10.262238109963912</v>
      </c>
      <c r="AT28" s="32">
        <f t="shared" si="14"/>
        <v>6.6528000000000009</v>
      </c>
      <c r="AU28" s="32">
        <f t="shared" si="15"/>
        <v>0.84192160690670081</v>
      </c>
      <c r="AV28" s="32">
        <f t="shared" si="16"/>
        <v>0.78659416932404624</v>
      </c>
      <c r="AW28" s="32">
        <f t="shared" si="17"/>
        <v>0.62471842764654184</v>
      </c>
      <c r="AX28" s="32">
        <f t="shared" si="18"/>
        <v>0.44076012290095545</v>
      </c>
      <c r="AY28" s="32">
        <f t="shared" si="19"/>
        <v>0.48956455929516973</v>
      </c>
      <c r="AZ28" s="32">
        <f t="shared" si="37"/>
        <v>0.24204355374869235</v>
      </c>
      <c r="BA28" s="32">
        <f t="shared" si="20"/>
        <v>-5.0418162963776609</v>
      </c>
      <c r="BB28" s="32">
        <f t="shared" si="38"/>
        <v>1.61098370362234</v>
      </c>
      <c r="BC28" s="32">
        <f t="shared" si="22"/>
        <v>-2.0450000000000004</v>
      </c>
      <c r="BD28" s="32">
        <v>0</v>
      </c>
      <c r="BE28" s="32">
        <f t="shared" si="39"/>
        <v>0.53273927527374865</v>
      </c>
      <c r="BF28" s="32">
        <f t="shared" si="40"/>
        <v>4.3174715978578915E-2</v>
      </c>
      <c r="BG28" s="32">
        <f t="shared" si="41"/>
        <v>3.8931550315105784E-2</v>
      </c>
      <c r="BH28" s="32">
        <f t="shared" si="24"/>
        <v>0.17206749755259668</v>
      </c>
      <c r="BI28" s="32">
        <f t="shared" si="25"/>
        <v>0.12102305553722803</v>
      </c>
      <c r="BJ28" s="32">
        <f t="shared" si="26"/>
        <v>0.29309055308982468</v>
      </c>
      <c r="BK28" s="457">
        <f t="shared" si="27"/>
        <v>0.43878797155296179</v>
      </c>
      <c r="BL28" s="2"/>
    </row>
    <row r="29" spans="1:64" ht="15">
      <c r="A29" s="119"/>
      <c r="B29" s="480">
        <f>Input!B46</f>
        <v>38011</v>
      </c>
      <c r="C29" s="481">
        <v>1</v>
      </c>
      <c r="D29" s="481">
        <f t="shared" si="28"/>
        <v>1</v>
      </c>
      <c r="E29" s="481">
        <f t="shared" si="29"/>
        <v>25</v>
      </c>
      <c r="F29" s="481">
        <f t="shared" si="0"/>
        <v>25</v>
      </c>
      <c r="G29" s="431">
        <v>7.9488000000000003</v>
      </c>
      <c r="H29" s="455">
        <v>2.58</v>
      </c>
      <c r="I29" s="455">
        <v>-4</v>
      </c>
      <c r="J29" s="455">
        <v>1.18</v>
      </c>
      <c r="K29" s="485"/>
      <c r="L29" s="433">
        <v>97</v>
      </c>
      <c r="M29" s="455">
        <v>89</v>
      </c>
      <c r="N29" s="484">
        <f>Weather!M30</f>
        <v>0</v>
      </c>
      <c r="O29" s="481" t="str">
        <f t="shared" si="30"/>
        <v/>
      </c>
      <c r="P29" s="4">
        <f t="shared" si="42"/>
        <v>0.31307647208209932</v>
      </c>
      <c r="Q29" s="169">
        <f t="shared" si="1"/>
        <v>0.7354738210710603</v>
      </c>
      <c r="R29" s="169">
        <f t="shared" si="2"/>
        <v>0.45426018589398121</v>
      </c>
      <c r="S29" s="169">
        <f t="shared" si="3"/>
        <v>0.65457170075324367</v>
      </c>
      <c r="T29" s="169">
        <f t="shared" si="4"/>
        <v>0.44063238031716173</v>
      </c>
      <c r="U29" s="169">
        <f t="shared" si="5"/>
        <v>0.54760204053520267</v>
      </c>
      <c r="V29" s="169">
        <f t="shared" si="6"/>
        <v>-6.3243053626402456E-3</v>
      </c>
      <c r="W29" s="439">
        <f t="shared" si="7"/>
        <v>-1.4913260611485633</v>
      </c>
      <c r="X29" s="439">
        <f t="shared" si="8"/>
        <v>-1.4913260611485633</v>
      </c>
      <c r="Y29" s="169"/>
      <c r="Z29" s="119" t="str">
        <f t="shared" si="9"/>
        <v/>
      </c>
      <c r="AA29" s="4" t="str">
        <f t="shared" si="10"/>
        <v/>
      </c>
      <c r="AB29" s="466"/>
      <c r="AC29" s="466"/>
      <c r="AD29" s="466"/>
      <c r="AE29" s="466"/>
      <c r="AF29" s="466"/>
      <c r="AG29" s="466"/>
      <c r="AH29" s="466"/>
      <c r="AI29" s="466"/>
      <c r="AJ29" s="466"/>
      <c r="AK29" s="466"/>
      <c r="AL29" s="466"/>
      <c r="AM29" s="462">
        <f t="shared" si="11"/>
        <v>25</v>
      </c>
      <c r="AN29" s="32">
        <f t="shared" si="32"/>
        <v>1.0299909820322035</v>
      </c>
      <c r="AO29" s="32">
        <f t="shared" si="33"/>
        <v>-0.33496602100327749</v>
      </c>
      <c r="AP29" s="32">
        <f t="shared" si="34"/>
        <v>1.2261816521503692</v>
      </c>
      <c r="AQ29" s="32">
        <f t="shared" si="35"/>
        <v>9.367337811279274</v>
      </c>
      <c r="AR29" s="32">
        <f t="shared" si="36"/>
        <v>13.825504938931939</v>
      </c>
      <c r="AS29" s="32">
        <f t="shared" si="13"/>
        <v>10.379083067754985</v>
      </c>
      <c r="AT29" s="32">
        <f t="shared" si="14"/>
        <v>6.1205760000000007</v>
      </c>
      <c r="AU29" s="32">
        <f t="shared" si="15"/>
        <v>0.76584799910647028</v>
      </c>
      <c r="AV29" s="32">
        <f t="shared" si="16"/>
        <v>0.68389479879373505</v>
      </c>
      <c r="AW29" s="32">
        <f t="shared" si="17"/>
        <v>0.7354738210710603</v>
      </c>
      <c r="AX29" s="32">
        <f t="shared" si="18"/>
        <v>0.45426018589398121</v>
      </c>
      <c r="AY29" s="32">
        <f t="shared" si="19"/>
        <v>0.54760204053520267</v>
      </c>
      <c r="AZ29" s="32">
        <f t="shared" si="37"/>
        <v>0.23639980697657959</v>
      </c>
      <c r="BA29" s="32">
        <f t="shared" si="20"/>
        <v>-4.3681327639145477</v>
      </c>
      <c r="BB29" s="32">
        <f t="shared" si="38"/>
        <v>1.7524432360854529</v>
      </c>
      <c r="BC29" s="32">
        <f t="shared" si="22"/>
        <v>-0.71</v>
      </c>
      <c r="BD29" s="32">
        <v>0</v>
      </c>
      <c r="BE29" s="32">
        <f t="shared" si="39"/>
        <v>0.59486700348252075</v>
      </c>
      <c r="BF29" s="32">
        <f t="shared" si="40"/>
        <v>4.7264962947318079E-2</v>
      </c>
      <c r="BG29" s="32">
        <f t="shared" si="41"/>
        <v>4.2469396510490365E-2</v>
      </c>
      <c r="BH29" s="32">
        <f t="shared" si="24"/>
        <v>0.22244479352871224</v>
      </c>
      <c r="BI29" s="32">
        <f t="shared" si="25"/>
        <v>9.0631678553387093E-2</v>
      </c>
      <c r="BJ29" s="32">
        <f t="shared" si="26"/>
        <v>0.31307647208209932</v>
      </c>
      <c r="BK29" s="457">
        <f t="shared" si="27"/>
        <v>0.56898099822168102</v>
      </c>
      <c r="BL29" s="2"/>
    </row>
    <row r="30" spans="1:64" ht="15">
      <c r="A30" s="119"/>
      <c r="B30" s="480">
        <f>Input!B47</f>
        <v>38012</v>
      </c>
      <c r="C30" s="481">
        <v>1</v>
      </c>
      <c r="D30" s="481">
        <f t="shared" si="28"/>
        <v>1</v>
      </c>
      <c r="E30" s="481">
        <f t="shared" si="29"/>
        <v>26</v>
      </c>
      <c r="F30" s="481">
        <f t="shared" si="0"/>
        <v>26</v>
      </c>
      <c r="G30" s="431">
        <v>1.5551999999999999</v>
      </c>
      <c r="H30" s="455">
        <v>1.23</v>
      </c>
      <c r="I30" s="455">
        <v>-6.6</v>
      </c>
      <c r="J30" s="455">
        <v>1.01</v>
      </c>
      <c r="K30" s="485"/>
      <c r="L30" s="433">
        <v>98</v>
      </c>
      <c r="M30" s="455">
        <v>79</v>
      </c>
      <c r="N30" s="484">
        <f>Weather!M31</f>
        <v>0</v>
      </c>
      <c r="O30" s="481" t="str">
        <f t="shared" si="30"/>
        <v/>
      </c>
      <c r="P30" s="4">
        <f t="shared" si="42"/>
        <v>0.23124500724166852</v>
      </c>
      <c r="Q30" s="169">
        <f t="shared" si="1"/>
        <v>0.66768985737927755</v>
      </c>
      <c r="R30" s="169">
        <f t="shared" si="2"/>
        <v>0.37267225195002285</v>
      </c>
      <c r="S30" s="169">
        <f t="shared" si="3"/>
        <v>0.52747498732962927</v>
      </c>
      <c r="T30" s="169">
        <f t="shared" si="4"/>
        <v>0.36521880691102238</v>
      </c>
      <c r="U30" s="169">
        <f t="shared" si="5"/>
        <v>0.44634689712032583</v>
      </c>
      <c r="V30" s="169">
        <f t="shared" si="6"/>
        <v>-1.8162890991154264E-2</v>
      </c>
      <c r="W30" s="439">
        <f t="shared" si="7"/>
        <v>-4.233167472844336</v>
      </c>
      <c r="X30" s="439">
        <f t="shared" si="8"/>
        <v>-4.233167472844336</v>
      </c>
      <c r="Y30" s="169"/>
      <c r="Z30" s="119" t="str">
        <f t="shared" si="9"/>
        <v/>
      </c>
      <c r="AA30" s="4" t="str">
        <f t="shared" si="10"/>
        <v/>
      </c>
      <c r="AB30" s="466"/>
      <c r="AC30" s="466"/>
      <c r="AD30" s="466"/>
      <c r="AE30" s="466"/>
      <c r="AF30" s="466"/>
      <c r="AG30" s="466"/>
      <c r="AH30" s="466"/>
      <c r="AI30" s="466"/>
      <c r="AJ30" s="466"/>
      <c r="AK30" s="466"/>
      <c r="AL30" s="466"/>
      <c r="AM30" s="462">
        <f t="shared" si="11"/>
        <v>26</v>
      </c>
      <c r="AN30" s="32">
        <f t="shared" si="32"/>
        <v>1.0297495555763523</v>
      </c>
      <c r="AO30" s="32">
        <f t="shared" si="33"/>
        <v>-0.33087661276889524</v>
      </c>
      <c r="AP30" s="32">
        <f t="shared" si="34"/>
        <v>1.2308988438148769</v>
      </c>
      <c r="AQ30" s="32">
        <f t="shared" si="35"/>
        <v>9.403374501083352</v>
      </c>
      <c r="AR30" s="32">
        <f t="shared" si="36"/>
        <v>13.985220795979894</v>
      </c>
      <c r="AS30" s="32">
        <f t="shared" si="13"/>
        <v>10.498984955958026</v>
      </c>
      <c r="AT30" s="32">
        <f t="shared" si="14"/>
        <v>1.1975039999999999</v>
      </c>
      <c r="AU30" s="32">
        <f t="shared" si="15"/>
        <v>0.3</v>
      </c>
      <c r="AV30" s="32">
        <f t="shared" si="16"/>
        <v>5.5000000000000049E-2</v>
      </c>
      <c r="AW30" s="32">
        <f t="shared" si="17"/>
        <v>0.66768985737927755</v>
      </c>
      <c r="AX30" s="32">
        <f t="shared" si="18"/>
        <v>0.37267225195002285</v>
      </c>
      <c r="AY30" s="32">
        <f t="shared" si="19"/>
        <v>0.44634689712032583</v>
      </c>
      <c r="AZ30" s="32">
        <f t="shared" si="37"/>
        <v>0.24646712244585658</v>
      </c>
      <c r="BA30" s="32">
        <f t="shared" si="20"/>
        <v>-0.35588338301957773</v>
      </c>
      <c r="BB30" s="32">
        <f t="shared" si="38"/>
        <v>0.84162061698042212</v>
      </c>
      <c r="BC30" s="32">
        <f t="shared" si="22"/>
        <v>-2.6849999999999996</v>
      </c>
      <c r="BD30" s="32">
        <v>0</v>
      </c>
      <c r="BE30" s="32">
        <f t="shared" si="39"/>
        <v>0.52018105466465014</v>
      </c>
      <c r="BF30" s="32">
        <f t="shared" si="40"/>
        <v>7.3834157544324319E-2</v>
      </c>
      <c r="BG30" s="32">
        <f t="shared" si="41"/>
        <v>3.7327615491499377E-2</v>
      </c>
      <c r="BH30" s="32">
        <f t="shared" si="24"/>
        <v>0.10054042080807249</v>
      </c>
      <c r="BI30" s="32">
        <f t="shared" si="25"/>
        <v>0.13070458643359603</v>
      </c>
      <c r="BJ30" s="32">
        <f t="shared" si="26"/>
        <v>0.23124500724166852</v>
      </c>
      <c r="BK30" s="457">
        <f t="shared" si="27"/>
        <v>0.55529033117290871</v>
      </c>
      <c r="BL30" s="2"/>
    </row>
    <row r="31" spans="1:64" ht="15">
      <c r="A31" s="119"/>
      <c r="B31" s="480">
        <f>Input!B48</f>
        <v>38013</v>
      </c>
      <c r="C31" s="481">
        <v>1</v>
      </c>
      <c r="D31" s="481">
        <f t="shared" si="28"/>
        <v>1</v>
      </c>
      <c r="E31" s="481">
        <f t="shared" si="29"/>
        <v>27</v>
      </c>
      <c r="F31" s="481">
        <f t="shared" si="0"/>
        <v>27</v>
      </c>
      <c r="G31" s="431">
        <v>0.95040000000000002</v>
      </c>
      <c r="H31" s="455">
        <v>3.18</v>
      </c>
      <c r="I31" s="455">
        <v>-1</v>
      </c>
      <c r="J31" s="455">
        <v>1.75</v>
      </c>
      <c r="K31" s="485"/>
      <c r="L31" s="433">
        <v>98</v>
      </c>
      <c r="M31" s="455">
        <v>78</v>
      </c>
      <c r="N31" s="484">
        <f>Weather!M32</f>
        <v>0</v>
      </c>
      <c r="O31" s="481" t="str">
        <f t="shared" si="30"/>
        <v/>
      </c>
      <c r="P31" s="4">
        <f t="shared" si="42"/>
        <v>0.2718053562480085</v>
      </c>
      <c r="Q31" s="169">
        <f t="shared" si="1"/>
        <v>0.76750142169234392</v>
      </c>
      <c r="R31" s="169">
        <f t="shared" si="2"/>
        <v>0.56775189117620539</v>
      </c>
      <c r="S31" s="169">
        <f t="shared" si="3"/>
        <v>0.59865110892002826</v>
      </c>
      <c r="T31" s="169">
        <f t="shared" si="4"/>
        <v>0.5563968533526813</v>
      </c>
      <c r="U31" s="169">
        <f t="shared" si="5"/>
        <v>0.57752398113635484</v>
      </c>
      <c r="V31" s="169">
        <f t="shared" si="6"/>
        <v>-3.2437525207563486E-3</v>
      </c>
      <c r="W31" s="439">
        <f t="shared" si="7"/>
        <v>-0.76725369207774485</v>
      </c>
      <c r="X31" s="439">
        <f t="shared" si="8"/>
        <v>-0.76725369207774485</v>
      </c>
      <c r="Y31" s="169"/>
      <c r="Z31" s="119" t="str">
        <f t="shared" si="9"/>
        <v/>
      </c>
      <c r="AA31" s="4" t="str">
        <f t="shared" si="10"/>
        <v/>
      </c>
      <c r="AB31" s="466"/>
      <c r="AC31" s="466"/>
      <c r="AD31" s="466"/>
      <c r="AE31" s="466"/>
      <c r="AF31" s="466"/>
      <c r="AG31" s="466"/>
      <c r="AH31" s="466"/>
      <c r="AI31" s="466"/>
      <c r="AJ31" s="466"/>
      <c r="AK31" s="466"/>
      <c r="AL31" s="466"/>
      <c r="AM31" s="462">
        <f t="shared" si="11"/>
        <v>27</v>
      </c>
      <c r="AN31" s="32">
        <f t="shared" si="32"/>
        <v>1.0294993136851356</v>
      </c>
      <c r="AO31" s="32">
        <f t="shared" si="33"/>
        <v>-0.32668915865324738</v>
      </c>
      <c r="AP31" s="32">
        <f t="shared" si="34"/>
        <v>1.2357073158862062</v>
      </c>
      <c r="AQ31" s="32">
        <f t="shared" si="35"/>
        <v>9.4401085218291794</v>
      </c>
      <c r="AR31" s="32">
        <f t="shared" si="36"/>
        <v>14.148971139640429</v>
      </c>
      <c r="AS31" s="32">
        <f t="shared" si="13"/>
        <v>10.621915613950863</v>
      </c>
      <c r="AT31" s="32">
        <f t="shared" si="14"/>
        <v>0.73180800000000001</v>
      </c>
      <c r="AU31" s="32">
        <f t="shared" si="15"/>
        <v>0.3</v>
      </c>
      <c r="AV31" s="32">
        <f t="shared" si="16"/>
        <v>5.5000000000000049E-2</v>
      </c>
      <c r="AW31" s="32">
        <f t="shared" si="17"/>
        <v>0.76750142169234392</v>
      </c>
      <c r="AX31" s="32">
        <f t="shared" si="18"/>
        <v>0.56775189117620539</v>
      </c>
      <c r="AY31" s="32">
        <f t="shared" si="19"/>
        <v>0.57752398113635484</v>
      </c>
      <c r="AZ31" s="32">
        <f t="shared" si="37"/>
        <v>0.23360700196783366</v>
      </c>
      <c r="BA31" s="32">
        <f t="shared" si="20"/>
        <v>-0.35622069441502041</v>
      </c>
      <c r="BB31" s="32">
        <f t="shared" si="38"/>
        <v>0.3755873055849796</v>
      </c>
      <c r="BC31" s="32">
        <f t="shared" si="22"/>
        <v>1.0900000000000001</v>
      </c>
      <c r="BD31" s="32">
        <v>0</v>
      </c>
      <c r="BE31" s="32">
        <f t="shared" si="39"/>
        <v>0.66762665643427466</v>
      </c>
      <c r="BF31" s="32">
        <f t="shared" si="40"/>
        <v>9.0102675297919821E-2</v>
      </c>
      <c r="BG31" s="32">
        <f t="shared" si="41"/>
        <v>4.767543234512063E-2</v>
      </c>
      <c r="BH31" s="32">
        <f t="shared" si="24"/>
        <v>4.7219125308032316E-2</v>
      </c>
      <c r="BI31" s="32">
        <f t="shared" si="25"/>
        <v>0.22458623093997621</v>
      </c>
      <c r="BJ31" s="32">
        <f t="shared" si="26"/>
        <v>0.2718053562480085</v>
      </c>
      <c r="BK31" s="457">
        <f t="shared" si="27"/>
        <v>0.5129874154721078</v>
      </c>
      <c r="BL31" s="2"/>
    </row>
    <row r="32" spans="1:64" ht="15">
      <c r="A32" s="119"/>
      <c r="B32" s="480">
        <f>Input!B49</f>
        <v>38014</v>
      </c>
      <c r="C32" s="481">
        <v>1</v>
      </c>
      <c r="D32" s="481">
        <f t="shared" si="28"/>
        <v>1</v>
      </c>
      <c r="E32" s="481">
        <f t="shared" si="29"/>
        <v>28</v>
      </c>
      <c r="F32" s="481">
        <f t="shared" si="0"/>
        <v>28</v>
      </c>
      <c r="G32" s="431">
        <v>1.9008</v>
      </c>
      <c r="H32" s="455">
        <v>2.38</v>
      </c>
      <c r="I32" s="455">
        <v>-2</v>
      </c>
      <c r="J32" s="455">
        <v>2.08</v>
      </c>
      <c r="K32" s="485"/>
      <c r="L32" s="433">
        <v>100</v>
      </c>
      <c r="M32" s="455">
        <v>82</v>
      </c>
      <c r="N32" s="484">
        <f>Weather!M33</f>
        <v>0</v>
      </c>
      <c r="O32" s="481" t="str">
        <f t="shared" si="30"/>
        <v/>
      </c>
      <c r="P32" s="4">
        <f t="shared" si="42"/>
        <v>0.3157483417393101</v>
      </c>
      <c r="Q32" s="169">
        <f t="shared" si="1"/>
        <v>0.72506337101096996</v>
      </c>
      <c r="R32" s="169">
        <f t="shared" si="2"/>
        <v>0.52741000445547548</v>
      </c>
      <c r="S32" s="169">
        <f t="shared" si="3"/>
        <v>0.59455196422899537</v>
      </c>
      <c r="T32" s="169">
        <f t="shared" si="4"/>
        <v>0.52741000445547548</v>
      </c>
      <c r="U32" s="169">
        <f t="shared" si="5"/>
        <v>0.56098098434223542</v>
      </c>
      <c r="V32" s="169">
        <f t="shared" si="6"/>
        <v>-4.9266105616334122E-3</v>
      </c>
      <c r="W32" s="439">
        <f t="shared" si="7"/>
        <v>-1.1633532976325811</v>
      </c>
      <c r="X32" s="439">
        <f t="shared" si="8"/>
        <v>-1.1633532976325811</v>
      </c>
      <c r="Y32" s="169"/>
      <c r="Z32" s="119" t="str">
        <f t="shared" si="9"/>
        <v/>
      </c>
      <c r="AA32" s="4" t="str">
        <f t="shared" si="10"/>
        <v/>
      </c>
      <c r="AB32" s="466"/>
      <c r="AC32" s="466"/>
      <c r="AD32" s="466"/>
      <c r="AE32" s="466"/>
      <c r="AF32" s="466"/>
      <c r="AG32" s="466"/>
      <c r="AH32" s="466"/>
      <c r="AI32" s="466"/>
      <c r="AJ32" s="466"/>
      <c r="AK32" s="466"/>
      <c r="AL32" s="466"/>
      <c r="AM32" s="462">
        <f t="shared" si="11"/>
        <v>28</v>
      </c>
      <c r="AN32" s="32">
        <f t="shared" si="32"/>
        <v>1.0292403305106266</v>
      </c>
      <c r="AO32" s="32">
        <f t="shared" si="33"/>
        <v>-0.32240489948936107</v>
      </c>
      <c r="AP32" s="32">
        <f t="shared" si="34"/>
        <v>1.2406045677392366</v>
      </c>
      <c r="AQ32" s="32">
        <f t="shared" si="35"/>
        <v>9.4775207701480149</v>
      </c>
      <c r="AR32" s="32">
        <f t="shared" si="36"/>
        <v>14.31671654440901</v>
      </c>
      <c r="AS32" s="32">
        <f t="shared" si="13"/>
        <v>10.747845444218733</v>
      </c>
      <c r="AT32" s="32">
        <f t="shared" si="14"/>
        <v>1.463616</v>
      </c>
      <c r="AU32" s="32">
        <f t="shared" si="15"/>
        <v>0.3</v>
      </c>
      <c r="AV32" s="32">
        <f t="shared" si="16"/>
        <v>5.5000000000000049E-2</v>
      </c>
      <c r="AW32" s="32">
        <f t="shared" si="17"/>
        <v>0.72506337101096996</v>
      </c>
      <c r="AX32" s="32">
        <f t="shared" si="18"/>
        <v>0.52741000445547548</v>
      </c>
      <c r="AY32" s="32">
        <f t="shared" si="19"/>
        <v>0.56098098434223542</v>
      </c>
      <c r="AZ32" s="32">
        <f t="shared" si="37"/>
        <v>0.23514187063890654</v>
      </c>
      <c r="BA32" s="32">
        <f t="shared" si="20"/>
        <v>-0.35389036444364042</v>
      </c>
      <c r="BB32" s="32">
        <f t="shared" si="38"/>
        <v>1.1097256355563596</v>
      </c>
      <c r="BC32" s="32">
        <f t="shared" si="22"/>
        <v>0.18999999999999995</v>
      </c>
      <c r="BD32" s="32">
        <v>0</v>
      </c>
      <c r="BE32" s="32">
        <f t="shared" si="39"/>
        <v>0.62623668773322272</v>
      </c>
      <c r="BF32" s="32">
        <f t="shared" si="40"/>
        <v>6.5255703390987296E-2</v>
      </c>
      <c r="BG32" s="32">
        <f t="shared" si="41"/>
        <v>4.5007693460645315E-2</v>
      </c>
      <c r="BH32" s="32">
        <f t="shared" si="24"/>
        <v>0.12769575932716859</v>
      </c>
      <c r="BI32" s="32">
        <f t="shared" si="25"/>
        <v>0.18805258241214148</v>
      </c>
      <c r="BJ32" s="32">
        <f t="shared" si="26"/>
        <v>0.3157483417393101</v>
      </c>
      <c r="BK32" s="457">
        <f t="shared" si="27"/>
        <v>0.50602665824821202</v>
      </c>
      <c r="BL32" s="2"/>
    </row>
    <row r="33" spans="1:64" ht="15">
      <c r="A33" s="119"/>
      <c r="B33" s="480">
        <f>Input!B50</f>
        <v>38015</v>
      </c>
      <c r="C33" s="481">
        <v>1</v>
      </c>
      <c r="D33" s="481">
        <f t="shared" si="28"/>
        <v>1</v>
      </c>
      <c r="E33" s="481">
        <f t="shared" si="29"/>
        <v>29</v>
      </c>
      <c r="F33" s="481">
        <f t="shared" si="0"/>
        <v>29</v>
      </c>
      <c r="G33" s="431">
        <v>2.7648000000000001</v>
      </c>
      <c r="H33" s="455">
        <v>2.69</v>
      </c>
      <c r="I33" s="455">
        <v>-0.4</v>
      </c>
      <c r="J33" s="455">
        <v>5.17</v>
      </c>
      <c r="K33" s="485"/>
      <c r="L33" s="433">
        <v>100</v>
      </c>
      <c r="M33" s="455">
        <v>68</v>
      </c>
      <c r="N33" s="484">
        <f>Weather!M34</f>
        <v>0</v>
      </c>
      <c r="O33" s="481" t="str">
        <f t="shared" si="30"/>
        <v/>
      </c>
      <c r="P33" s="4">
        <f t="shared" si="42"/>
        <v>0.7281902108347631</v>
      </c>
      <c r="Q33" s="169">
        <f t="shared" si="1"/>
        <v>0.74125563749834722</v>
      </c>
      <c r="R33" s="169">
        <f t="shared" si="2"/>
        <v>0.59324625951914634</v>
      </c>
      <c r="S33" s="169">
        <f t="shared" si="3"/>
        <v>0.50405383349887611</v>
      </c>
      <c r="T33" s="169">
        <f t="shared" si="4"/>
        <v>0.59324625951914634</v>
      </c>
      <c r="U33" s="169">
        <f t="shared" si="5"/>
        <v>0.54865004650901117</v>
      </c>
      <c r="V33" s="169">
        <f t="shared" si="6"/>
        <v>-6.2135942754929221E-3</v>
      </c>
      <c r="W33" s="439">
        <f t="shared" si="7"/>
        <v>-1.465380640813295</v>
      </c>
      <c r="X33" s="439">
        <f t="shared" si="8"/>
        <v>-1.465380640813295</v>
      </c>
      <c r="Y33" s="169"/>
      <c r="Z33" s="119" t="str">
        <f t="shared" si="9"/>
        <v/>
      </c>
      <c r="AA33" s="4" t="str">
        <f t="shared" si="10"/>
        <v/>
      </c>
      <c r="AB33" s="466"/>
      <c r="AC33" s="466"/>
      <c r="AD33" s="466"/>
      <c r="AE33" s="466"/>
      <c r="AF33" s="466"/>
      <c r="AG33" s="466"/>
      <c r="AH33" s="466"/>
      <c r="AI33" s="466"/>
      <c r="AJ33" s="466"/>
      <c r="AK33" s="466"/>
      <c r="AL33" s="466"/>
      <c r="AM33" s="462">
        <f t="shared" si="11"/>
        <v>29</v>
      </c>
      <c r="AN33" s="32">
        <f t="shared" si="32"/>
        <v>1.0289726827951293</v>
      </c>
      <c r="AO33" s="32">
        <f t="shared" si="33"/>
        <v>-0.31802510479568846</v>
      </c>
      <c r="AP33" s="32">
        <f t="shared" si="34"/>
        <v>1.2455881116724887</v>
      </c>
      <c r="AQ33" s="32">
        <f t="shared" si="35"/>
        <v>9.5155922414004639</v>
      </c>
      <c r="AR33" s="32">
        <f t="shared" si="36"/>
        <v>14.488415643131981</v>
      </c>
      <c r="AS33" s="32">
        <f t="shared" si="13"/>
        <v>10.876743391612042</v>
      </c>
      <c r="AT33" s="32">
        <f t="shared" si="14"/>
        <v>2.1288960000000001</v>
      </c>
      <c r="AU33" s="32">
        <f t="shared" si="15"/>
        <v>0.3</v>
      </c>
      <c r="AV33" s="32">
        <f t="shared" si="16"/>
        <v>5.5000000000000049E-2</v>
      </c>
      <c r="AW33" s="32">
        <f t="shared" si="17"/>
        <v>0.74125563749834722</v>
      </c>
      <c r="AX33" s="32">
        <f t="shared" si="18"/>
        <v>0.59324625951914634</v>
      </c>
      <c r="AY33" s="32">
        <f t="shared" si="19"/>
        <v>0.54865004650901117</v>
      </c>
      <c r="AZ33" s="32">
        <f t="shared" si="37"/>
        <v>0.23630071884734871</v>
      </c>
      <c r="BA33" s="32">
        <f t="shared" si="20"/>
        <v>-0.36056041176860476</v>
      </c>
      <c r="BB33" s="32">
        <f t="shared" si="38"/>
        <v>1.7683355882313954</v>
      </c>
      <c r="BC33" s="32">
        <f t="shared" si="22"/>
        <v>1.145</v>
      </c>
      <c r="BD33" s="32">
        <v>0</v>
      </c>
      <c r="BE33" s="32">
        <f t="shared" si="39"/>
        <v>0.66725094850874678</v>
      </c>
      <c r="BF33" s="32">
        <f t="shared" si="40"/>
        <v>0.11860090199973561</v>
      </c>
      <c r="BG33" s="32">
        <f t="shared" si="41"/>
        <v>4.7842776670114273E-2</v>
      </c>
      <c r="BH33" s="32">
        <f t="shared" si="24"/>
        <v>0.14819106586057776</v>
      </c>
      <c r="BI33" s="32">
        <f t="shared" si="25"/>
        <v>0.57999914497418537</v>
      </c>
      <c r="BJ33" s="32">
        <f t="shared" si="26"/>
        <v>0.7281902108347631</v>
      </c>
      <c r="BK33" s="457">
        <f t="shared" si="27"/>
        <v>0.45295650130331699</v>
      </c>
      <c r="BL33" s="2"/>
    </row>
    <row r="34" spans="1:64" ht="15">
      <c r="A34" s="119"/>
      <c r="B34" s="480">
        <f>Input!B51</f>
        <v>38016</v>
      </c>
      <c r="C34" s="481">
        <v>1</v>
      </c>
      <c r="D34" s="481">
        <f t="shared" si="28"/>
        <v>1</v>
      </c>
      <c r="E34" s="481">
        <f t="shared" si="29"/>
        <v>30</v>
      </c>
      <c r="F34" s="481">
        <f t="shared" si="0"/>
        <v>30</v>
      </c>
      <c r="G34" s="431">
        <v>5.9615999999999998</v>
      </c>
      <c r="H34" s="455">
        <v>-0.6</v>
      </c>
      <c r="I34" s="455">
        <v>-4.7</v>
      </c>
      <c r="J34" s="455">
        <v>3.18</v>
      </c>
      <c r="K34" s="485"/>
      <c r="L34" s="433">
        <v>100</v>
      </c>
      <c r="M34" s="455">
        <v>71</v>
      </c>
      <c r="N34" s="484">
        <f>Weather!M35</f>
        <v>0</v>
      </c>
      <c r="O34" s="481" t="str">
        <f t="shared" si="30"/>
        <v/>
      </c>
      <c r="P34" s="4">
        <f t="shared" si="42"/>
        <v>0.52118754722097038</v>
      </c>
      <c r="Q34" s="169">
        <f t="shared" si="1"/>
        <v>0.58463787619877605</v>
      </c>
      <c r="R34" s="169">
        <f t="shared" si="2"/>
        <v>0.43086968390006897</v>
      </c>
      <c r="S34" s="169">
        <f t="shared" si="3"/>
        <v>0.41509289210113098</v>
      </c>
      <c r="T34" s="169">
        <f t="shared" si="4"/>
        <v>0.43086968390006897</v>
      </c>
      <c r="U34" s="169">
        <f t="shared" si="5"/>
        <v>0.42298128800059998</v>
      </c>
      <c r="V34" s="169">
        <f t="shared" si="6"/>
        <v>-2.1276295986210718E-2</v>
      </c>
      <c r="W34" s="439">
        <f t="shared" si="7"/>
        <v>-4.9436818002833327</v>
      </c>
      <c r="X34" s="439">
        <f t="shared" si="8"/>
        <v>-4.9436818002833327</v>
      </c>
      <c r="Y34" s="169"/>
      <c r="Z34" s="119" t="str">
        <f t="shared" si="9"/>
        <v/>
      </c>
      <c r="AA34" s="4" t="str">
        <f t="shared" si="10"/>
        <v/>
      </c>
      <c r="AB34" s="466"/>
      <c r="AC34" s="466"/>
      <c r="AD34" s="466"/>
      <c r="AE34" s="466"/>
      <c r="AF34" s="466"/>
      <c r="AG34" s="466"/>
      <c r="AH34" s="466"/>
      <c r="AI34" s="466"/>
      <c r="AJ34" s="466"/>
      <c r="AK34" s="466"/>
      <c r="AL34" s="466"/>
      <c r="AM34" s="462">
        <f t="shared" si="11"/>
        <v>30</v>
      </c>
      <c r="AN34" s="32">
        <f t="shared" si="32"/>
        <v>1.0286964498484381</v>
      </c>
      <c r="AO34" s="32">
        <f t="shared" si="33"/>
        <v>-0.31355107239992103</v>
      </c>
      <c r="AP34" s="32">
        <f t="shared" si="34"/>
        <v>1.2506554759887512</v>
      </c>
      <c r="AQ34" s="32">
        <f t="shared" si="35"/>
        <v>9.5543040532107337</v>
      </c>
      <c r="AR34" s="32">
        <f t="shared" si="36"/>
        <v>14.664025102710966</v>
      </c>
      <c r="AS34" s="32">
        <f t="shared" si="13"/>
        <v>11.008576925107176</v>
      </c>
      <c r="AT34" s="32">
        <f t="shared" si="14"/>
        <v>4.5904319999999998</v>
      </c>
      <c r="AU34" s="32">
        <f t="shared" si="15"/>
        <v>0.54154138546313146</v>
      </c>
      <c r="AV34" s="32">
        <f t="shared" si="16"/>
        <v>0.38108087037522753</v>
      </c>
      <c r="AW34" s="32">
        <f t="shared" si="17"/>
        <v>0.58463787619877605</v>
      </c>
      <c r="AX34" s="32">
        <f t="shared" si="18"/>
        <v>0.43086968390006897</v>
      </c>
      <c r="AY34" s="32">
        <f t="shared" si="19"/>
        <v>0.42298128800059998</v>
      </c>
      <c r="AZ34" s="32">
        <f t="shared" si="37"/>
        <v>0.24894818373688662</v>
      </c>
      <c r="BA34" s="32">
        <f t="shared" si="20"/>
        <v>-2.4896649488496649</v>
      </c>
      <c r="BB34" s="32">
        <f t="shared" si="38"/>
        <v>2.1007670511503349</v>
      </c>
      <c r="BC34" s="32">
        <f t="shared" si="22"/>
        <v>-2.65</v>
      </c>
      <c r="BD34" s="32">
        <v>0</v>
      </c>
      <c r="BE34" s="32">
        <f t="shared" si="39"/>
        <v>0.50775378004942251</v>
      </c>
      <c r="BF34" s="32">
        <f t="shared" si="40"/>
        <v>8.4772492048822534E-2</v>
      </c>
      <c r="BG34" s="32">
        <f t="shared" si="41"/>
        <v>3.7413833652526103E-2</v>
      </c>
      <c r="BH34" s="32">
        <f t="shared" si="24"/>
        <v>0.18108326645049003</v>
      </c>
      <c r="BI34" s="32">
        <f t="shared" si="25"/>
        <v>0.34010428077048033</v>
      </c>
      <c r="BJ34" s="32">
        <f t="shared" si="26"/>
        <v>0.52118754722097038</v>
      </c>
      <c r="BK34" s="457">
        <f t="shared" si="27"/>
        <v>0.42229847028214451</v>
      </c>
      <c r="BL34" s="2"/>
    </row>
    <row r="35" spans="1:64" ht="15">
      <c r="A35" s="119"/>
      <c r="B35" s="480">
        <f>Input!B52</f>
        <v>38017</v>
      </c>
      <c r="C35" s="481">
        <v>1</v>
      </c>
      <c r="D35" s="481">
        <f t="shared" si="28"/>
        <v>1</v>
      </c>
      <c r="E35" s="481">
        <f t="shared" si="29"/>
        <v>31</v>
      </c>
      <c r="F35" s="481">
        <f t="shared" si="0"/>
        <v>31</v>
      </c>
      <c r="G35" s="431">
        <v>9.1584000000000003</v>
      </c>
      <c r="H35" s="455">
        <v>-0.75</v>
      </c>
      <c r="I35" s="455">
        <v>-3.4</v>
      </c>
      <c r="J35" s="455">
        <v>3.99</v>
      </c>
      <c r="K35" s="485"/>
      <c r="L35" s="433">
        <v>100</v>
      </c>
      <c r="M35" s="455">
        <v>79</v>
      </c>
      <c r="N35" s="484">
        <f>Weather!M36</f>
        <v>0</v>
      </c>
      <c r="O35" s="481" t="str">
        <f t="shared" si="30"/>
        <v/>
      </c>
      <c r="P35" s="4">
        <f t="shared" si="42"/>
        <v>0.4462916169068708</v>
      </c>
      <c r="Q35" s="169">
        <f t="shared" si="1"/>
        <v>0.57825428292012604</v>
      </c>
      <c r="R35" s="169">
        <f t="shared" si="2"/>
        <v>0.47519757638204746</v>
      </c>
      <c r="S35" s="169">
        <f t="shared" si="3"/>
        <v>0.45682088350689959</v>
      </c>
      <c r="T35" s="169">
        <f t="shared" si="4"/>
        <v>0.47519757638204746</v>
      </c>
      <c r="U35" s="169">
        <f t="shared" si="5"/>
        <v>0.46600922994447352</v>
      </c>
      <c r="V35" s="169">
        <f t="shared" si="6"/>
        <v>-1.5666712951197759E-2</v>
      </c>
      <c r="W35" s="439">
        <f t="shared" si="7"/>
        <v>-3.6603650940934815</v>
      </c>
      <c r="X35" s="439">
        <f t="shared" si="8"/>
        <v>-3.6603650940934815</v>
      </c>
      <c r="Y35" s="169"/>
      <c r="Z35" s="119" t="str">
        <f t="shared" si="9"/>
        <v/>
      </c>
      <c r="AA35" s="4" t="str">
        <f t="shared" si="10"/>
        <v/>
      </c>
      <c r="AB35" s="466"/>
      <c r="AC35" s="466"/>
      <c r="AD35" s="466"/>
      <c r="AE35" s="466"/>
      <c r="AF35" s="466"/>
      <c r="AG35" s="466"/>
      <c r="AH35" s="466"/>
      <c r="AI35" s="466"/>
      <c r="AJ35" s="466"/>
      <c r="AK35" s="466"/>
      <c r="AL35" s="466"/>
      <c r="AM35" s="462">
        <f t="shared" si="11"/>
        <v>31</v>
      </c>
      <c r="AN35" s="32">
        <f t="shared" si="32"/>
        <v>1.0284117135243369</v>
      </c>
      <c r="AO35" s="32">
        <f t="shared" si="33"/>
        <v>-0.30898412805441511</v>
      </c>
      <c r="AP35" s="32">
        <f t="shared" si="34"/>
        <v>1.2558042078851384</v>
      </c>
      <c r="AQ35" s="32">
        <f t="shared" si="35"/>
        <v>9.5936374675450509</v>
      </c>
      <c r="AR35" s="32">
        <f t="shared" si="36"/>
        <v>14.843499603252569</v>
      </c>
      <c r="AS35" s="32">
        <f t="shared" si="13"/>
        <v>11.14331202215377</v>
      </c>
      <c r="AT35" s="32">
        <f t="shared" si="14"/>
        <v>7.0519680000000005</v>
      </c>
      <c r="AU35" s="32">
        <f t="shared" si="15"/>
        <v>0.82187414134975212</v>
      </c>
      <c r="AV35" s="32">
        <f t="shared" si="16"/>
        <v>0.75953009082216549</v>
      </c>
      <c r="AW35" s="32">
        <f t="shared" si="17"/>
        <v>0.57825428292012604</v>
      </c>
      <c r="AX35" s="32">
        <f t="shared" si="18"/>
        <v>0.47519757638204746</v>
      </c>
      <c r="AY35" s="32">
        <f t="shared" si="19"/>
        <v>0.46600922994447352</v>
      </c>
      <c r="AZ35" s="32">
        <f t="shared" si="37"/>
        <v>0.24442918381162754</v>
      </c>
      <c r="BA35" s="32">
        <f t="shared" si="20"/>
        <v>-4.9126320868569744</v>
      </c>
      <c r="BB35" s="32">
        <f t="shared" si="38"/>
        <v>2.1393359131430261</v>
      </c>
      <c r="BC35" s="32">
        <f t="shared" si="22"/>
        <v>-2.0750000000000002</v>
      </c>
      <c r="BD35" s="32">
        <v>0</v>
      </c>
      <c r="BE35" s="32">
        <f t="shared" si="39"/>
        <v>0.52672592965108678</v>
      </c>
      <c r="BF35" s="32">
        <f t="shared" si="40"/>
        <v>6.0716699706613253E-2</v>
      </c>
      <c r="BG35" s="32">
        <f t="shared" si="41"/>
        <v>3.8855060446240493E-2</v>
      </c>
      <c r="BH35" s="32">
        <f t="shared" si="24"/>
        <v>0.172143755153468</v>
      </c>
      <c r="BI35" s="32">
        <f t="shared" si="25"/>
        <v>0.27414786175340283</v>
      </c>
      <c r="BJ35" s="32">
        <f t="shared" si="26"/>
        <v>0.4462916169068708</v>
      </c>
      <c r="BK35" s="457">
        <f t="shared" si="27"/>
        <v>0.35670701309710262</v>
      </c>
      <c r="BL35" s="2"/>
    </row>
    <row r="36" spans="1:64" ht="15">
      <c r="A36" s="119"/>
      <c r="B36" s="480">
        <f>Input!B53</f>
        <v>38018</v>
      </c>
      <c r="C36" s="481">
        <v>1</v>
      </c>
      <c r="D36" s="481">
        <f t="shared" si="28"/>
        <v>2</v>
      </c>
      <c r="E36" s="481">
        <f t="shared" si="29"/>
        <v>1</v>
      </c>
      <c r="F36" s="481">
        <f t="shared" si="0"/>
        <v>32</v>
      </c>
      <c r="G36" s="431">
        <v>8.7263999999999999</v>
      </c>
      <c r="H36" s="455">
        <v>-1.7</v>
      </c>
      <c r="I36" s="455">
        <v>-2.7</v>
      </c>
      <c r="J36" s="455">
        <v>5.64</v>
      </c>
      <c r="K36" s="485"/>
      <c r="L36" s="433">
        <v>100</v>
      </c>
      <c r="M36" s="455">
        <v>87</v>
      </c>
      <c r="N36" s="484">
        <f>Weather!M37</f>
        <v>0</v>
      </c>
      <c r="O36" s="481" t="str">
        <f t="shared" si="30"/>
        <v/>
      </c>
      <c r="P36" s="4">
        <f t="shared" si="42"/>
        <v>0.34063662232689529</v>
      </c>
      <c r="Q36" s="169">
        <f t="shared" si="1"/>
        <v>0.53923734716108329</v>
      </c>
      <c r="R36" s="169">
        <f t="shared" si="2"/>
        <v>0.50070143361417307</v>
      </c>
      <c r="S36" s="169">
        <f t="shared" si="3"/>
        <v>0.46913649203014246</v>
      </c>
      <c r="T36" s="169">
        <f t="shared" si="4"/>
        <v>0.50070143361417307</v>
      </c>
      <c r="U36" s="169">
        <f t="shared" si="5"/>
        <v>0.48491896282215774</v>
      </c>
      <c r="V36" s="169">
        <f t="shared" si="6"/>
        <v>-1.336350800997101E-2</v>
      </c>
      <c r="W36" s="439">
        <f t="shared" si="7"/>
        <v>-3.1293414709531042</v>
      </c>
      <c r="X36" s="439">
        <f t="shared" si="8"/>
        <v>-3.1293414709531042</v>
      </c>
      <c r="Y36" s="169"/>
      <c r="Z36" s="119" t="str">
        <f t="shared" si="9"/>
        <v/>
      </c>
      <c r="AA36" s="4" t="str">
        <f t="shared" si="10"/>
        <v/>
      </c>
      <c r="AB36" s="466"/>
      <c r="AC36" s="466"/>
      <c r="AD36" s="466"/>
      <c r="AE36" s="466"/>
      <c r="AF36" s="466"/>
      <c r="AG36" s="466"/>
      <c r="AH36" s="466"/>
      <c r="AI36" s="466"/>
      <c r="AJ36" s="466"/>
      <c r="AK36" s="466"/>
      <c r="AL36" s="466"/>
      <c r="AM36" s="462">
        <f t="shared" si="11"/>
        <v>32</v>
      </c>
      <c r="AN36" s="32">
        <f t="shared" si="32"/>
        <v>1.0281185581963432</v>
      </c>
      <c r="AO36" s="32">
        <f t="shared" si="33"/>
        <v>-0.30432562504334304</v>
      </c>
      <c r="AP36" s="32">
        <f t="shared" si="34"/>
        <v>1.2610318761516348</v>
      </c>
      <c r="AQ36" s="32">
        <f t="shared" si="35"/>
        <v>9.633573911327014</v>
      </c>
      <c r="AR36" s="32">
        <f t="shared" si="36"/>
        <v>15.02679182076109</v>
      </c>
      <c r="AS36" s="32">
        <f t="shared" si="13"/>
        <v>11.280913155681766</v>
      </c>
      <c r="AT36" s="32">
        <f t="shared" si="14"/>
        <v>6.719328</v>
      </c>
      <c r="AU36" s="32">
        <f t="shared" si="15"/>
        <v>0.77355439932669323</v>
      </c>
      <c r="AV36" s="32">
        <f t="shared" si="16"/>
        <v>0.69429843909103595</v>
      </c>
      <c r="AW36" s="32">
        <f t="shared" si="17"/>
        <v>0.53923734716108329</v>
      </c>
      <c r="AX36" s="32">
        <f t="shared" si="18"/>
        <v>0.50070143361417307</v>
      </c>
      <c r="AY36" s="32">
        <f t="shared" si="19"/>
        <v>0.48491896282215774</v>
      </c>
      <c r="AZ36" s="32">
        <f t="shared" si="37"/>
        <v>0.24250942778240406</v>
      </c>
      <c r="BA36" s="32">
        <f t="shared" si="20"/>
        <v>-4.4466852581762248</v>
      </c>
      <c r="BB36" s="32">
        <f t="shared" si="38"/>
        <v>2.2726427418237751</v>
      </c>
      <c r="BC36" s="32">
        <f t="shared" si="22"/>
        <v>-2.2000000000000002</v>
      </c>
      <c r="BD36" s="32">
        <v>0</v>
      </c>
      <c r="BE36" s="32">
        <f t="shared" si="39"/>
        <v>0.51996939038762813</v>
      </c>
      <c r="BF36" s="32">
        <f t="shared" si="40"/>
        <v>3.5050427565470388E-2</v>
      </c>
      <c r="BG36" s="32">
        <f t="shared" si="41"/>
        <v>3.8537745218271309E-2</v>
      </c>
      <c r="BH36" s="32">
        <f t="shared" si="24"/>
        <v>0.15248235477267241</v>
      </c>
      <c r="BI36" s="32">
        <f t="shared" si="25"/>
        <v>0.1881542675542229</v>
      </c>
      <c r="BJ36" s="32">
        <f t="shared" si="26"/>
        <v>0.34063662232689529</v>
      </c>
      <c r="BK36" s="457">
        <f t="shared" si="27"/>
        <v>0.22006583286894205</v>
      </c>
      <c r="BL36" s="2"/>
    </row>
    <row r="37" spans="1:64" ht="15">
      <c r="A37" s="119"/>
      <c r="B37" s="480">
        <f>Input!B54</f>
        <v>38019</v>
      </c>
      <c r="C37" s="481">
        <v>1</v>
      </c>
      <c r="D37" s="481">
        <f t="shared" si="28"/>
        <v>2</v>
      </c>
      <c r="E37" s="481">
        <f t="shared" si="29"/>
        <v>2</v>
      </c>
      <c r="F37" s="481">
        <f t="shared" si="0"/>
        <v>33</v>
      </c>
      <c r="G37" s="431">
        <v>10.4544</v>
      </c>
      <c r="H37" s="455">
        <v>-2.08</v>
      </c>
      <c r="I37" s="455">
        <v>-9.8000000000000007</v>
      </c>
      <c r="J37" s="455">
        <v>5.76</v>
      </c>
      <c r="K37" s="485"/>
      <c r="L37" s="433">
        <v>100</v>
      </c>
      <c r="M37" s="455">
        <v>69</v>
      </c>
      <c r="N37" s="484">
        <f>Weather!M38</f>
        <v>0.2</v>
      </c>
      <c r="O37" s="481" t="str">
        <f t="shared" si="30"/>
        <v/>
      </c>
      <c r="P37" s="4">
        <f t="shared" si="42"/>
        <v>0.58582927143330044</v>
      </c>
      <c r="Q37" s="169">
        <f t="shared" si="1"/>
        <v>0.52429508658272161</v>
      </c>
      <c r="R37" s="169">
        <f t="shared" si="2"/>
        <v>0.2902756857153948</v>
      </c>
      <c r="S37" s="169">
        <f t="shared" si="3"/>
        <v>0.36176360974207789</v>
      </c>
      <c r="T37" s="169">
        <f t="shared" si="4"/>
        <v>0.2902756857153948</v>
      </c>
      <c r="U37" s="169">
        <f t="shared" si="5"/>
        <v>0.32601964772873637</v>
      </c>
      <c r="V37" s="169">
        <f t="shared" si="6"/>
        <v>-3.6352746073383096E-2</v>
      </c>
      <c r="W37" s="439">
        <f t="shared" si="7"/>
        <v>-8.3239096686901384</v>
      </c>
      <c r="X37" s="439">
        <f t="shared" si="8"/>
        <v>-8.3239096686901384</v>
      </c>
      <c r="Y37" s="169"/>
      <c r="Z37" s="119" t="str">
        <f t="shared" si="9"/>
        <v/>
      </c>
      <c r="AA37" s="4" t="str">
        <f t="shared" si="10"/>
        <v/>
      </c>
      <c r="AB37" s="466"/>
      <c r="AC37" s="466"/>
      <c r="AD37" s="466"/>
      <c r="AE37" s="466"/>
      <c r="AF37" s="466"/>
      <c r="AG37" s="466"/>
      <c r="AH37" s="466"/>
      <c r="AI37" s="466"/>
      <c r="AJ37" s="466"/>
      <c r="AK37" s="466"/>
      <c r="AL37" s="466"/>
      <c r="AM37" s="462">
        <f t="shared" si="11"/>
        <v>33</v>
      </c>
      <c r="AN37" s="32">
        <f t="shared" si="32"/>
        <v>1.0278170707327079</v>
      </c>
      <c r="AO37" s="32">
        <f t="shared" si="33"/>
        <v>-0.2995769437816857</v>
      </c>
      <c r="AP37" s="32">
        <f t="shared" si="34"/>
        <v>1.2663360736781102</v>
      </c>
      <c r="AQ37" s="32">
        <f t="shared" si="35"/>
        <v>9.6740949955897833</v>
      </c>
      <c r="AR37" s="32">
        <f t="shared" si="36"/>
        <v>15.213852413458733</v>
      </c>
      <c r="AS37" s="32">
        <f t="shared" si="13"/>
        <v>11.421343283831741</v>
      </c>
      <c r="AT37" s="32">
        <f t="shared" si="14"/>
        <v>8.0498879999999993</v>
      </c>
      <c r="AU37" s="32">
        <f t="shared" si="15"/>
        <v>0.91533891769100717</v>
      </c>
      <c r="AV37" s="32">
        <f t="shared" si="16"/>
        <v>0.8857075388828598</v>
      </c>
      <c r="AW37" s="32">
        <f t="shared" si="17"/>
        <v>0.52429508658272161</v>
      </c>
      <c r="AX37" s="32">
        <f t="shared" si="18"/>
        <v>0.2902756857153948</v>
      </c>
      <c r="AY37" s="32">
        <f t="shared" si="19"/>
        <v>0.32601964772873637</v>
      </c>
      <c r="AZ37" s="32">
        <f t="shared" si="37"/>
        <v>0.26006261765930017</v>
      </c>
      <c r="BA37" s="32">
        <f t="shared" si="20"/>
        <v>-5.7612751198329804</v>
      </c>
      <c r="BB37" s="32">
        <f t="shared" si="38"/>
        <v>2.2886128801670189</v>
      </c>
      <c r="BC37" s="32">
        <f t="shared" si="22"/>
        <v>-5.94</v>
      </c>
      <c r="BD37" s="32">
        <v>0</v>
      </c>
      <c r="BE37" s="32">
        <f t="shared" si="39"/>
        <v>0.40728538614905818</v>
      </c>
      <c r="BF37" s="32">
        <f t="shared" si="40"/>
        <v>8.1265738420321809E-2</v>
      </c>
      <c r="BG37" s="32">
        <f t="shared" si="41"/>
        <v>3.0021785647481876E-2</v>
      </c>
      <c r="BH37" s="32">
        <f t="shared" si="24"/>
        <v>0.1226457811454655</v>
      </c>
      <c r="BI37" s="32">
        <f t="shared" si="25"/>
        <v>0.4631834902878349</v>
      </c>
      <c r="BJ37" s="32">
        <f t="shared" si="26"/>
        <v>0.58582927143330044</v>
      </c>
      <c r="BK37" s="457">
        <f t="shared" si="27"/>
        <v>0.47064591091417723</v>
      </c>
      <c r="BL37" s="2"/>
    </row>
    <row r="38" spans="1:64" ht="15">
      <c r="A38" s="119"/>
      <c r="B38" s="480">
        <f>Input!B55</f>
        <v>38020</v>
      </c>
      <c r="C38" s="481">
        <v>1</v>
      </c>
      <c r="D38" s="481">
        <f t="shared" si="28"/>
        <v>2</v>
      </c>
      <c r="E38" s="481">
        <f t="shared" si="29"/>
        <v>3</v>
      </c>
      <c r="F38" s="481">
        <f t="shared" si="0"/>
        <v>34</v>
      </c>
      <c r="G38" s="431">
        <v>9.2447999999999997</v>
      </c>
      <c r="H38" s="455">
        <v>-6.13</v>
      </c>
      <c r="I38" s="455">
        <v>-11.8</v>
      </c>
      <c r="J38" s="455">
        <v>3.39</v>
      </c>
      <c r="K38" s="485"/>
      <c r="L38" s="433">
        <v>100</v>
      </c>
      <c r="M38" s="455">
        <v>67</v>
      </c>
      <c r="N38" s="484">
        <f>Weather!M39</f>
        <v>0.2</v>
      </c>
      <c r="O38" s="481" t="str">
        <f t="shared" si="30"/>
        <v/>
      </c>
      <c r="P38" s="4">
        <f t="shared" si="42"/>
        <v>0.43557071163111061</v>
      </c>
      <c r="Q38" s="169">
        <f t="shared" si="1"/>
        <v>0.38637798233359921</v>
      </c>
      <c r="R38" s="169">
        <f t="shared" si="2"/>
        <v>0.2474138043929297</v>
      </c>
      <c r="S38" s="169">
        <f t="shared" si="3"/>
        <v>0.25887324816351148</v>
      </c>
      <c r="T38" s="169">
        <f t="shared" si="4"/>
        <v>0.2474138043929297</v>
      </c>
      <c r="U38" s="169">
        <f t="shared" si="5"/>
        <v>0.25314352627822057</v>
      </c>
      <c r="V38" s="169">
        <f t="shared" si="6"/>
        <v>-5.1002486851592525E-2</v>
      </c>
      <c r="W38" s="439">
        <f t="shared" si="7"/>
        <v>-11.515567547455197</v>
      </c>
      <c r="X38" s="439">
        <f t="shared" si="8"/>
        <v>-11.515567547455197</v>
      </c>
      <c r="Y38" s="169"/>
      <c r="Z38" s="119" t="str">
        <f t="shared" si="9"/>
        <v/>
      </c>
      <c r="AA38" s="4" t="str">
        <f t="shared" si="10"/>
        <v/>
      </c>
      <c r="AB38" s="466"/>
      <c r="AC38" s="466"/>
      <c r="AD38" s="466"/>
      <c r="AE38" s="466"/>
      <c r="AF38" s="466"/>
      <c r="AG38" s="466"/>
      <c r="AH38" s="466"/>
      <c r="AI38" s="466"/>
      <c r="AJ38" s="466"/>
      <c r="AK38" s="466"/>
      <c r="AL38" s="466"/>
      <c r="AM38" s="462">
        <f t="shared" si="11"/>
        <v>34</v>
      </c>
      <c r="AN38" s="32">
        <f t="shared" si="32"/>
        <v>1.0275073404706727</v>
      </c>
      <c r="AO38" s="32">
        <f t="shared" si="33"/>
        <v>-0.29473949140618588</v>
      </c>
      <c r="AP38" s="32">
        <f t="shared" si="34"/>
        <v>1.2717144197706123</v>
      </c>
      <c r="AQ38" s="32">
        <f t="shared" si="35"/>
        <v>9.7151825331712569</v>
      </c>
      <c r="AR38" s="32">
        <f t="shared" si="36"/>
        <v>15.40463001180461</v>
      </c>
      <c r="AS38" s="32">
        <f t="shared" si="13"/>
        <v>11.564563842461958</v>
      </c>
      <c r="AT38" s="32">
        <f t="shared" si="14"/>
        <v>7.1184959999999995</v>
      </c>
      <c r="AU38" s="32">
        <f t="shared" si="15"/>
        <v>0.79940758042733862</v>
      </c>
      <c r="AV38" s="32">
        <f t="shared" si="16"/>
        <v>0.72920023357690733</v>
      </c>
      <c r="AW38" s="32">
        <f t="shared" si="17"/>
        <v>0.38637798233359921</v>
      </c>
      <c r="AX38" s="32">
        <f t="shared" si="18"/>
        <v>0.2474138043929297</v>
      </c>
      <c r="AY38" s="32">
        <f t="shared" si="19"/>
        <v>0.25314352627822062</v>
      </c>
      <c r="AZ38" s="32">
        <f t="shared" si="37"/>
        <v>0.26956128113705413</v>
      </c>
      <c r="BA38" s="32">
        <f t="shared" si="20"/>
        <v>-4.6949717853970583</v>
      </c>
      <c r="BB38" s="32">
        <f t="shared" si="38"/>
        <v>2.4235242146029412</v>
      </c>
      <c r="BC38" s="32">
        <f t="shared" si="22"/>
        <v>-8.9649999999999999</v>
      </c>
      <c r="BD38" s="32">
        <v>0</v>
      </c>
      <c r="BE38" s="32">
        <f t="shared" si="39"/>
        <v>0.31689589336326446</v>
      </c>
      <c r="BF38" s="32">
        <f t="shared" si="40"/>
        <v>6.3752367085043837E-2</v>
      </c>
      <c r="BG38" s="32">
        <f t="shared" si="41"/>
        <v>2.4375463774523265E-2</v>
      </c>
      <c r="BH38" s="32">
        <f t="shared" si="24"/>
        <v>0.14275071210430609</v>
      </c>
      <c r="BI38" s="32">
        <f t="shared" si="25"/>
        <v>0.29281999952680454</v>
      </c>
      <c r="BJ38" s="32">
        <f t="shared" si="26"/>
        <v>0.43557071163111061</v>
      </c>
      <c r="BK38" s="457">
        <f t="shared" si="27"/>
        <v>0.3042363533253164</v>
      </c>
      <c r="BL38" s="2"/>
    </row>
    <row r="39" spans="1:64" ht="15">
      <c r="A39" s="119"/>
      <c r="B39" s="480">
        <f>Input!B56</f>
        <v>38021</v>
      </c>
      <c r="C39" s="481">
        <v>1</v>
      </c>
      <c r="D39" s="481">
        <f t="shared" si="28"/>
        <v>2</v>
      </c>
      <c r="E39" s="481">
        <f t="shared" si="29"/>
        <v>4</v>
      </c>
      <c r="F39" s="481">
        <f t="shared" si="0"/>
        <v>35</v>
      </c>
      <c r="G39" s="431">
        <v>8.5535999999999994</v>
      </c>
      <c r="H39" s="455">
        <v>-5.27</v>
      </c>
      <c r="I39" s="455">
        <v>-9.1</v>
      </c>
      <c r="J39" s="455">
        <v>2.25</v>
      </c>
      <c r="K39" s="485"/>
      <c r="L39" s="433">
        <v>100</v>
      </c>
      <c r="M39" s="455">
        <v>86</v>
      </c>
      <c r="N39" s="484">
        <f>Weather!M40</f>
        <v>0.2</v>
      </c>
      <c r="O39" s="481" t="str">
        <f t="shared" si="30"/>
        <v/>
      </c>
      <c r="P39" s="4">
        <f t="shared" si="42"/>
        <v>0.29668482018556935</v>
      </c>
      <c r="Q39" s="169">
        <f t="shared" si="1"/>
        <v>0.41261844835587058</v>
      </c>
      <c r="R39" s="169">
        <f t="shared" si="2"/>
        <v>0.30676702760015934</v>
      </c>
      <c r="S39" s="169">
        <f t="shared" si="3"/>
        <v>0.3548518655860487</v>
      </c>
      <c r="T39" s="169">
        <f t="shared" si="4"/>
        <v>0.30676702760015934</v>
      </c>
      <c r="U39" s="169">
        <f t="shared" si="5"/>
        <v>0.33080944659310402</v>
      </c>
      <c r="V39" s="169">
        <f t="shared" si="6"/>
        <v>-3.550822546564001E-2</v>
      </c>
      <c r="W39" s="439">
        <f t="shared" si="7"/>
        <v>-8.1371655924870954</v>
      </c>
      <c r="X39" s="439">
        <f t="shared" si="8"/>
        <v>-8.1371655924870954</v>
      </c>
      <c r="Y39" s="169"/>
      <c r="Z39" s="119" t="str">
        <f t="shared" si="9"/>
        <v/>
      </c>
      <c r="AA39" s="4" t="str">
        <f t="shared" si="10"/>
        <v/>
      </c>
      <c r="AB39" s="466"/>
      <c r="AC39" s="466"/>
      <c r="AD39" s="466"/>
      <c r="AE39" s="466"/>
      <c r="AF39" s="466"/>
      <c r="AG39" s="466"/>
      <c r="AH39" s="466"/>
      <c r="AI39" s="466"/>
      <c r="AJ39" s="466"/>
      <c r="AK39" s="466"/>
      <c r="AL39" s="466"/>
      <c r="AM39" s="462">
        <f t="shared" si="11"/>
        <v>35</v>
      </c>
      <c r="AN39" s="32">
        <f t="shared" si="32"/>
        <v>1.0271894591899993</v>
      </c>
      <c r="AO39" s="32">
        <f t="shared" si="33"/>
        <v>-0.28981470135838328</v>
      </c>
      <c r="AP39" s="32">
        <f t="shared" si="34"/>
        <v>1.2771645622785293</v>
      </c>
      <c r="AQ39" s="32">
        <f t="shared" si="35"/>
        <v>9.7568185549643882</v>
      </c>
      <c r="AR39" s="32">
        <f t="shared" si="36"/>
        <v>15.599071212270653</v>
      </c>
      <c r="AS39" s="32">
        <f t="shared" si="13"/>
        <v>11.710534740475826</v>
      </c>
      <c r="AT39" s="32">
        <f t="shared" si="14"/>
        <v>6.5862720000000001</v>
      </c>
      <c r="AU39" s="32">
        <f t="shared" si="15"/>
        <v>0.73041924980895001</v>
      </c>
      <c r="AV39" s="32">
        <f t="shared" si="16"/>
        <v>0.63606598724208263</v>
      </c>
      <c r="AW39" s="32">
        <f t="shared" si="17"/>
        <v>0.41261844835587058</v>
      </c>
      <c r="AX39" s="32">
        <f t="shared" si="18"/>
        <v>0.30676702760015934</v>
      </c>
      <c r="AY39" s="32">
        <f t="shared" si="19"/>
        <v>0.33080944659310396</v>
      </c>
      <c r="AZ39" s="32">
        <f t="shared" si="37"/>
        <v>0.25947754876293916</v>
      </c>
      <c r="BA39" s="32">
        <f t="shared" si="20"/>
        <v>-4.0479120265639246</v>
      </c>
      <c r="BB39" s="32">
        <f t="shared" si="38"/>
        <v>2.5383599734360756</v>
      </c>
      <c r="BC39" s="32">
        <f t="shared" si="22"/>
        <v>-7.1849999999999996</v>
      </c>
      <c r="BD39" s="32">
        <v>0</v>
      </c>
      <c r="BE39" s="32">
        <f t="shared" si="39"/>
        <v>0.35969273797801493</v>
      </c>
      <c r="BF39" s="32">
        <f t="shared" si="40"/>
        <v>2.888329138491097E-2</v>
      </c>
      <c r="BG39" s="32">
        <f t="shared" si="41"/>
        <v>2.7574167061576466E-2</v>
      </c>
      <c r="BH39" s="32">
        <f t="shared" si="24"/>
        <v>0.19555930040006156</v>
      </c>
      <c r="BI39" s="32">
        <f t="shared" si="25"/>
        <v>0.10112551978550781</v>
      </c>
      <c r="BJ39" s="32">
        <f t="shared" si="26"/>
        <v>0.29668482018556935</v>
      </c>
      <c r="BK39" s="457">
        <f t="shared" si="27"/>
        <v>0.30421447725681894</v>
      </c>
      <c r="BL39" s="2"/>
    </row>
    <row r="40" spans="1:64" ht="15">
      <c r="A40" s="119"/>
      <c r="B40" s="480">
        <f>Input!B57</f>
        <v>38022</v>
      </c>
      <c r="C40" s="481">
        <v>1</v>
      </c>
      <c r="D40" s="481">
        <f t="shared" si="28"/>
        <v>2</v>
      </c>
      <c r="E40" s="481">
        <f t="shared" si="29"/>
        <v>5</v>
      </c>
      <c r="F40" s="481">
        <f t="shared" si="0"/>
        <v>36</v>
      </c>
      <c r="G40" s="431">
        <v>9.6768000000000001</v>
      </c>
      <c r="H40" s="455">
        <v>-6.22</v>
      </c>
      <c r="I40" s="455">
        <v>-10.9</v>
      </c>
      <c r="J40" s="455">
        <v>1.25</v>
      </c>
      <c r="K40" s="485"/>
      <c r="L40" s="433">
        <v>100</v>
      </c>
      <c r="M40" s="455">
        <v>86</v>
      </c>
      <c r="N40" s="484">
        <f>Weather!M41</f>
        <v>0</v>
      </c>
      <c r="O40" s="481" t="str">
        <f t="shared" si="30"/>
        <v/>
      </c>
      <c r="P40" s="4">
        <f t="shared" si="42"/>
        <v>0.29163966521745566</v>
      </c>
      <c r="Q40" s="169">
        <f t="shared" si="1"/>
        <v>0.38371938435216579</v>
      </c>
      <c r="R40" s="169">
        <f t="shared" si="2"/>
        <v>0.26594979735199492</v>
      </c>
      <c r="S40" s="169">
        <f t="shared" si="3"/>
        <v>0.32999867054286258</v>
      </c>
      <c r="T40" s="169">
        <f t="shared" si="4"/>
        <v>0.26594979735199492</v>
      </c>
      <c r="U40" s="169">
        <f t="shared" si="5"/>
        <v>0.29797423394742872</v>
      </c>
      <c r="V40" s="169">
        <f t="shared" si="6"/>
        <v>-4.1561236470231522E-2</v>
      </c>
      <c r="W40" s="439">
        <f t="shared" si="7"/>
        <v>-9.4689405375809752</v>
      </c>
      <c r="X40" s="439">
        <f t="shared" si="8"/>
        <v>-9.4689405375809752</v>
      </c>
      <c r="Y40" s="169"/>
      <c r="Z40" s="119" t="str">
        <f t="shared" si="9"/>
        <v/>
      </c>
      <c r="AA40" s="4" t="str">
        <f t="shared" si="10"/>
        <v/>
      </c>
      <c r="AB40" s="466"/>
      <c r="AC40" s="466"/>
      <c r="AD40" s="466"/>
      <c r="AE40" s="466"/>
      <c r="AF40" s="466"/>
      <c r="AG40" s="466"/>
      <c r="AH40" s="466"/>
      <c r="AI40" s="466"/>
      <c r="AJ40" s="466"/>
      <c r="AK40" s="466"/>
      <c r="AL40" s="466"/>
      <c r="AM40" s="462">
        <f t="shared" si="11"/>
        <v>36</v>
      </c>
      <c r="AN40" s="32">
        <f t="shared" si="32"/>
        <v>1.0268635210857713</v>
      </c>
      <c r="AO40" s="32">
        <f t="shared" si="33"/>
        <v>-0.28480403295985462</v>
      </c>
      <c r="AP40" s="32">
        <f t="shared" si="34"/>
        <v>1.2826841795349078</v>
      </c>
      <c r="AQ40" s="32">
        <f t="shared" si="35"/>
        <v>9.79898532474013</v>
      </c>
      <c r="AR40" s="32">
        <f t="shared" si="36"/>
        <v>15.797120574919715</v>
      </c>
      <c r="AS40" s="32">
        <f t="shared" si="13"/>
        <v>11.859214358003729</v>
      </c>
      <c r="AT40" s="32">
        <f t="shared" si="14"/>
        <v>7.451136</v>
      </c>
      <c r="AU40" s="32">
        <f t="shared" si="15"/>
        <v>0.81597310815696422</v>
      </c>
      <c r="AV40" s="32">
        <f t="shared" si="16"/>
        <v>0.75156369601190176</v>
      </c>
      <c r="AW40" s="32">
        <f t="shared" si="17"/>
        <v>0.38371938435216579</v>
      </c>
      <c r="AX40" s="32">
        <f t="shared" si="18"/>
        <v>0.26594979735199492</v>
      </c>
      <c r="AY40" s="32">
        <f t="shared" si="19"/>
        <v>0.29797423394742872</v>
      </c>
      <c r="AZ40" s="32">
        <f t="shared" si="37"/>
        <v>0.26357817729620941</v>
      </c>
      <c r="BA40" s="32">
        <f t="shared" si="20"/>
        <v>-4.7595817609299278</v>
      </c>
      <c r="BB40" s="32">
        <f t="shared" si="38"/>
        <v>2.6915542390700722</v>
      </c>
      <c r="BC40" s="32">
        <f t="shared" si="22"/>
        <v>-8.56</v>
      </c>
      <c r="BD40" s="32">
        <v>0</v>
      </c>
      <c r="BE40" s="32">
        <f t="shared" si="39"/>
        <v>0.32483459085208033</v>
      </c>
      <c r="BF40" s="32">
        <f t="shared" si="40"/>
        <v>2.6860356904651606E-2</v>
      </c>
      <c r="BG40" s="32">
        <f t="shared" si="41"/>
        <v>2.5073488534148113E-2</v>
      </c>
      <c r="BH40" s="32">
        <f t="shared" si="24"/>
        <v>0.22810625928395251</v>
      </c>
      <c r="BI40" s="32">
        <f t="shared" si="25"/>
        <v>6.3533405933503123E-2</v>
      </c>
      <c r="BJ40" s="32">
        <f t="shared" si="26"/>
        <v>0.29163966521745566</v>
      </c>
      <c r="BK40" s="457">
        <f t="shared" si="27"/>
        <v>0.29643848319297045</v>
      </c>
      <c r="BL40" s="2"/>
    </row>
    <row r="41" spans="1:64" ht="15">
      <c r="A41" s="119"/>
      <c r="B41" s="480">
        <f>Input!B58</f>
        <v>38023</v>
      </c>
      <c r="C41" s="481">
        <v>1</v>
      </c>
      <c r="D41" s="481">
        <f t="shared" si="28"/>
        <v>2</v>
      </c>
      <c r="E41" s="481">
        <f t="shared" si="29"/>
        <v>6</v>
      </c>
      <c r="F41" s="481">
        <f t="shared" si="0"/>
        <v>37</v>
      </c>
      <c r="G41" s="431">
        <v>11.231999999999999</v>
      </c>
      <c r="H41" s="455">
        <v>-7.96</v>
      </c>
      <c r="I41" s="455">
        <v>-15.4</v>
      </c>
      <c r="J41" s="455">
        <v>1.73</v>
      </c>
      <c r="K41" s="485"/>
      <c r="L41" s="433">
        <v>98</v>
      </c>
      <c r="M41" s="455">
        <v>84</v>
      </c>
      <c r="N41" s="484">
        <f>Weather!M42</f>
        <v>0.4</v>
      </c>
      <c r="O41" s="481" t="str">
        <f t="shared" si="30"/>
        <v/>
      </c>
      <c r="P41" s="4">
        <f t="shared" si="42"/>
        <v>0.28112812573389639</v>
      </c>
      <c r="Q41" s="169">
        <f t="shared" si="1"/>
        <v>0.33541123527201405</v>
      </c>
      <c r="R41" s="169">
        <f t="shared" si="2"/>
        <v>0.1842365772087293</v>
      </c>
      <c r="S41" s="169">
        <f t="shared" si="3"/>
        <v>0.2817454376284918</v>
      </c>
      <c r="T41" s="169">
        <f t="shared" si="4"/>
        <v>0.18055184566455471</v>
      </c>
      <c r="U41" s="169">
        <f t="shared" si="5"/>
        <v>0.23114864164652327</v>
      </c>
      <c r="V41" s="169">
        <f t="shared" si="6"/>
        <v>-5.6265697708724971E-2</v>
      </c>
      <c r="W41" s="439">
        <f t="shared" si="7"/>
        <v>-12.640616934965857</v>
      </c>
      <c r="X41" s="439">
        <f t="shared" si="8"/>
        <v>-12.640616934965857</v>
      </c>
      <c r="Y41" s="169"/>
      <c r="Z41" s="119" t="str">
        <f t="shared" si="9"/>
        <v/>
      </c>
      <c r="AA41" s="4" t="str">
        <f t="shared" si="10"/>
        <v/>
      </c>
      <c r="AB41" s="466"/>
      <c r="AC41" s="466"/>
      <c r="AD41" s="466"/>
      <c r="AE41" s="466"/>
      <c r="AF41" s="466"/>
      <c r="AG41" s="466"/>
      <c r="AH41" s="466"/>
      <c r="AI41" s="466"/>
      <c r="AJ41" s="466"/>
      <c r="AK41" s="466"/>
      <c r="AL41" s="466"/>
      <c r="AM41" s="462">
        <f t="shared" si="11"/>
        <v>37</v>
      </c>
      <c r="AN41" s="32">
        <f t="shared" si="32"/>
        <v>1.0265296227404832</v>
      </c>
      <c r="AO41" s="32">
        <f t="shared" si="33"/>
        <v>-0.27970897097978548</v>
      </c>
      <c r="AP41" s="32">
        <f t="shared" si="34"/>
        <v>1.2882709821128491</v>
      </c>
      <c r="AQ41" s="32">
        <f t="shared" si="35"/>
        <v>9.8416653525653093</v>
      </c>
      <c r="AR41" s="32">
        <f t="shared" si="36"/>
        <v>15.998720624818542</v>
      </c>
      <c r="AS41" s="32">
        <f t="shared" si="13"/>
        <v>12.010559547463776</v>
      </c>
      <c r="AT41" s="32">
        <f t="shared" si="14"/>
        <v>8.6486400000000003</v>
      </c>
      <c r="AU41" s="32">
        <f t="shared" si="15"/>
        <v>0.93517707943688744</v>
      </c>
      <c r="AV41" s="32">
        <f t="shared" si="16"/>
        <v>0.91248905723979823</v>
      </c>
      <c r="AW41" s="32">
        <f t="shared" si="17"/>
        <v>0.33541123527201405</v>
      </c>
      <c r="AX41" s="32">
        <f t="shared" si="18"/>
        <v>0.1842365772087293</v>
      </c>
      <c r="AY41" s="32">
        <f t="shared" si="19"/>
        <v>0.23114864164652327</v>
      </c>
      <c r="AZ41" s="32">
        <f t="shared" si="37"/>
        <v>0.27269091163689813</v>
      </c>
      <c r="BA41" s="32">
        <f t="shared" si="20"/>
        <v>-5.7057011382680276</v>
      </c>
      <c r="BB41" s="32">
        <f t="shared" si="38"/>
        <v>2.9429388617319727</v>
      </c>
      <c r="BC41" s="32">
        <f t="shared" si="22"/>
        <v>-11.68</v>
      </c>
      <c r="BD41" s="32">
        <v>0</v>
      </c>
      <c r="BE41" s="32">
        <f t="shared" si="39"/>
        <v>0.25982390624037166</v>
      </c>
      <c r="BF41" s="32">
        <f t="shared" si="40"/>
        <v>2.8675264593848393E-2</v>
      </c>
      <c r="BG41" s="32">
        <f t="shared" si="41"/>
        <v>2.0116135397045452E-2</v>
      </c>
      <c r="BH41" s="32">
        <f t="shared" si="24"/>
        <v>0.19063071343949312</v>
      </c>
      <c r="BI41" s="32">
        <f t="shared" si="25"/>
        <v>9.0497412294403265E-2</v>
      </c>
      <c r="BJ41" s="32">
        <f t="shared" si="26"/>
        <v>0.28112812573389639</v>
      </c>
      <c r="BK41" s="457">
        <f t="shared" si="27"/>
        <v>0.25071764294507026</v>
      </c>
      <c r="BL41" s="2"/>
    </row>
    <row r="42" spans="1:64" ht="15">
      <c r="A42" s="119"/>
      <c r="B42" s="480">
        <f>Input!B59</f>
        <v>38024</v>
      </c>
      <c r="C42" s="481">
        <v>1</v>
      </c>
      <c r="D42" s="481">
        <f t="shared" si="28"/>
        <v>2</v>
      </c>
      <c r="E42" s="481">
        <f t="shared" si="29"/>
        <v>7</v>
      </c>
      <c r="F42" s="481">
        <f t="shared" si="0"/>
        <v>38</v>
      </c>
      <c r="G42" s="431">
        <v>9.3312000000000008</v>
      </c>
      <c r="H42" s="455">
        <v>-3.45</v>
      </c>
      <c r="I42" s="455">
        <v>-8.1</v>
      </c>
      <c r="J42" s="455">
        <v>3.12</v>
      </c>
      <c r="K42" s="485"/>
      <c r="L42" s="433">
        <v>98</v>
      </c>
      <c r="M42" s="455">
        <v>84</v>
      </c>
      <c r="N42" s="484">
        <f>Weather!M43</f>
        <v>0</v>
      </c>
      <c r="O42" s="481" t="str">
        <f t="shared" si="30"/>
        <v/>
      </c>
      <c r="P42" s="4">
        <f t="shared" si="42"/>
        <v>0.37718204673649641</v>
      </c>
      <c r="Q42" s="169">
        <f t="shared" si="1"/>
        <v>0.47342071530048624</v>
      </c>
      <c r="R42" s="169">
        <f t="shared" si="2"/>
        <v>0.3317701295423453</v>
      </c>
      <c r="S42" s="169">
        <f t="shared" si="3"/>
        <v>0.39767340085240843</v>
      </c>
      <c r="T42" s="169">
        <f t="shared" si="4"/>
        <v>0.32513472695149837</v>
      </c>
      <c r="U42" s="169">
        <f t="shared" si="5"/>
        <v>0.3614040639019534</v>
      </c>
      <c r="V42" s="169">
        <f t="shared" si="6"/>
        <v>-3.0386389714137187E-2</v>
      </c>
      <c r="W42" s="439">
        <f t="shared" si="7"/>
        <v>-6.9980449578388111</v>
      </c>
      <c r="X42" s="439">
        <f t="shared" si="8"/>
        <v>-6.9980449578388111</v>
      </c>
      <c r="Y42" s="169"/>
      <c r="Z42" s="119" t="str">
        <f t="shared" si="9"/>
        <v/>
      </c>
      <c r="AA42" s="4" t="str">
        <f t="shared" si="10"/>
        <v/>
      </c>
      <c r="AB42" s="466"/>
      <c r="AC42" s="466"/>
      <c r="AD42" s="466"/>
      <c r="AE42" s="466"/>
      <c r="AF42" s="466"/>
      <c r="AG42" s="466"/>
      <c r="AH42" s="466"/>
      <c r="AI42" s="466"/>
      <c r="AJ42" s="466"/>
      <c r="AK42" s="466"/>
      <c r="AL42" s="466"/>
      <c r="AM42" s="462">
        <f t="shared" si="11"/>
        <v>38</v>
      </c>
      <c r="AN42" s="32">
        <f t="shared" si="32"/>
        <v>1.0261878630954209</v>
      </c>
      <c r="AO42" s="32">
        <f t="shared" si="33"/>
        <v>-0.27453102519500105</v>
      </c>
      <c r="AP42" s="32">
        <f t="shared" si="34"/>
        <v>1.2939227144014633</v>
      </c>
      <c r="AQ42" s="32">
        <f t="shared" si="35"/>
        <v>9.8848414068420301</v>
      </c>
      <c r="AR42" s="32">
        <f t="shared" si="36"/>
        <v>16.20381185730572</v>
      </c>
      <c r="AS42" s="32">
        <f t="shared" si="13"/>
        <v>12.164525637516551</v>
      </c>
      <c r="AT42" s="32">
        <f t="shared" si="14"/>
        <v>7.1850240000000012</v>
      </c>
      <c r="AU42" s="32">
        <f t="shared" si="15"/>
        <v>0.76708293262350447</v>
      </c>
      <c r="AV42" s="32">
        <f t="shared" si="16"/>
        <v>0.68556195904173112</v>
      </c>
      <c r="AW42" s="32">
        <f t="shared" si="17"/>
        <v>0.47342071530048624</v>
      </c>
      <c r="AX42" s="32">
        <f t="shared" si="18"/>
        <v>0.3317701295423453</v>
      </c>
      <c r="AY42" s="32">
        <f t="shared" si="19"/>
        <v>0.36140406390195345</v>
      </c>
      <c r="AZ42" s="32">
        <f t="shared" si="37"/>
        <v>0.25583635195360005</v>
      </c>
      <c r="BA42" s="32">
        <f t="shared" si="20"/>
        <v>-4.3942547050404865</v>
      </c>
      <c r="BB42" s="32">
        <f t="shared" si="38"/>
        <v>2.7907692949595146</v>
      </c>
      <c r="BC42" s="32">
        <f t="shared" si="22"/>
        <v>-5.7750000000000004</v>
      </c>
      <c r="BD42" s="32">
        <v>0</v>
      </c>
      <c r="BE42" s="32">
        <f t="shared" si="39"/>
        <v>0.40259542242141577</v>
      </c>
      <c r="BF42" s="32">
        <f t="shared" si="40"/>
        <v>4.1191358519462318E-2</v>
      </c>
      <c r="BG42" s="32">
        <f t="shared" si="41"/>
        <v>3.0359855734238422E-2</v>
      </c>
      <c r="BH42" s="32">
        <f t="shared" si="24"/>
        <v>0.20495384981388431</v>
      </c>
      <c r="BI42" s="32">
        <f t="shared" si="25"/>
        <v>0.1722281969226121</v>
      </c>
      <c r="BJ42" s="32">
        <f t="shared" si="26"/>
        <v>0.37718204673649641</v>
      </c>
      <c r="BK42" s="457">
        <f t="shared" si="27"/>
        <v>0.39444867820901663</v>
      </c>
      <c r="BL42" s="2"/>
    </row>
    <row r="43" spans="1:64" ht="15">
      <c r="A43" s="119"/>
      <c r="B43" s="480">
        <f>Input!B60</f>
        <v>38025</v>
      </c>
      <c r="C43" s="481">
        <v>1</v>
      </c>
      <c r="D43" s="481">
        <f t="shared" si="28"/>
        <v>2</v>
      </c>
      <c r="E43" s="481">
        <f t="shared" si="29"/>
        <v>8</v>
      </c>
      <c r="F43" s="481">
        <f t="shared" si="0"/>
        <v>39</v>
      </c>
      <c r="G43" s="431">
        <v>3.024</v>
      </c>
      <c r="H43" s="455">
        <v>-1.28</v>
      </c>
      <c r="I43" s="455">
        <v>-6</v>
      </c>
      <c r="J43" s="455">
        <v>2.37</v>
      </c>
      <c r="K43" s="485"/>
      <c r="L43" s="433">
        <v>98</v>
      </c>
      <c r="M43" s="455">
        <v>78</v>
      </c>
      <c r="N43" s="484">
        <f>Weather!M44</f>
        <v>0</v>
      </c>
      <c r="O43" s="481" t="str">
        <f t="shared" si="30"/>
        <v/>
      </c>
      <c r="P43" s="4">
        <f t="shared" si="42"/>
        <v>0.40184909694054805</v>
      </c>
      <c r="Q43" s="169">
        <f t="shared" si="1"/>
        <v>0.55618986179596686</v>
      </c>
      <c r="R43" s="169">
        <f t="shared" si="2"/>
        <v>0.3902470302415128</v>
      </c>
      <c r="S43" s="169">
        <f t="shared" si="3"/>
        <v>0.43382809220085417</v>
      </c>
      <c r="T43" s="169">
        <f t="shared" si="4"/>
        <v>0.38244208963668253</v>
      </c>
      <c r="U43" s="169">
        <f t="shared" si="5"/>
        <v>0.40813509091876832</v>
      </c>
      <c r="V43" s="169">
        <f t="shared" si="6"/>
        <v>-2.3345185208481976E-2</v>
      </c>
      <c r="W43" s="439">
        <f t="shared" si="7"/>
        <v>-5.4134348116800579</v>
      </c>
      <c r="X43" s="439">
        <f t="shared" si="8"/>
        <v>-5.4134348116800579</v>
      </c>
      <c r="Y43" s="169"/>
      <c r="Z43" s="119" t="str">
        <f t="shared" si="9"/>
        <v/>
      </c>
      <c r="AA43" s="4" t="str">
        <f t="shared" si="10"/>
        <v/>
      </c>
      <c r="AB43" s="466"/>
      <c r="AC43" s="466"/>
      <c r="AD43" s="466"/>
      <c r="AE43" s="466"/>
      <c r="AF43" s="466"/>
      <c r="AG43" s="466"/>
      <c r="AH43" s="466"/>
      <c r="AI43" s="466"/>
      <c r="AJ43" s="466"/>
      <c r="AK43" s="466"/>
      <c r="AL43" s="466"/>
      <c r="AM43" s="462">
        <f t="shared" si="11"/>
        <v>39</v>
      </c>
      <c r="AN43" s="32">
        <f t="shared" si="32"/>
        <v>1.0258383434213432</v>
      </c>
      <c r="AO43" s="32">
        <f t="shared" si="33"/>
        <v>-0.26927172994258658</v>
      </c>
      <c r="AP43" s="32">
        <f t="shared" si="34"/>
        <v>1.2996371560053688</v>
      </c>
      <c r="AQ43" s="32">
        <f t="shared" si="35"/>
        <v>9.9284965249990638</v>
      </c>
      <c r="AR43" s="32">
        <f t="shared" si="36"/>
        <v>16.412332747122619</v>
      </c>
      <c r="AS43" s="32">
        <f t="shared" si="13"/>
        <v>12.321066439919893</v>
      </c>
      <c r="AT43" s="32">
        <f t="shared" si="14"/>
        <v>2.3284799999999999</v>
      </c>
      <c r="AU43" s="32">
        <f t="shared" si="15"/>
        <v>0.3</v>
      </c>
      <c r="AV43" s="32">
        <f t="shared" si="16"/>
        <v>5.5000000000000049E-2</v>
      </c>
      <c r="AW43" s="32">
        <f t="shared" si="17"/>
        <v>0.55618986179596686</v>
      </c>
      <c r="AX43" s="32">
        <f t="shared" si="18"/>
        <v>0.3902470302415128</v>
      </c>
      <c r="AY43" s="32">
        <f t="shared" si="19"/>
        <v>0.40813509091876832</v>
      </c>
      <c r="AZ43" s="32">
        <f t="shared" si="37"/>
        <v>0.25056036794570397</v>
      </c>
      <c r="BA43" s="32">
        <f t="shared" si="20"/>
        <v>-0.35642687838838333</v>
      </c>
      <c r="BB43" s="32">
        <f t="shared" si="38"/>
        <v>1.9720531216116166</v>
      </c>
      <c r="BC43" s="32">
        <f t="shared" si="22"/>
        <v>-3.64</v>
      </c>
      <c r="BD43" s="32">
        <v>0</v>
      </c>
      <c r="BE43" s="32">
        <f t="shared" si="39"/>
        <v>0.47321844601873986</v>
      </c>
      <c r="BF43" s="32">
        <f t="shared" si="40"/>
        <v>6.508335509997154E-2</v>
      </c>
      <c r="BG43" s="32">
        <f t="shared" si="41"/>
        <v>3.5040285321136004E-2</v>
      </c>
      <c r="BH43" s="32">
        <f t="shared" si="24"/>
        <v>0.18045728795028562</v>
      </c>
      <c r="BI43" s="32">
        <f t="shared" si="25"/>
        <v>0.22139180899026245</v>
      </c>
      <c r="BJ43" s="32">
        <f t="shared" si="26"/>
        <v>0.40184909694054805</v>
      </c>
      <c r="BK43" s="457">
        <f t="shared" si="27"/>
        <v>0.4739868768971347</v>
      </c>
      <c r="BL43" s="2"/>
    </row>
    <row r="44" spans="1:64" ht="15">
      <c r="A44" s="119"/>
      <c r="B44" s="480">
        <f>Input!B61</f>
        <v>38026</v>
      </c>
      <c r="C44" s="481">
        <v>1</v>
      </c>
      <c r="D44" s="481">
        <f t="shared" si="28"/>
        <v>2</v>
      </c>
      <c r="E44" s="481">
        <f t="shared" si="29"/>
        <v>9</v>
      </c>
      <c r="F44" s="481">
        <f t="shared" si="0"/>
        <v>40</v>
      </c>
      <c r="G44" s="431">
        <v>10.540800000000001</v>
      </c>
      <c r="H44" s="455">
        <v>-3.12</v>
      </c>
      <c r="I44" s="455">
        <v>-10.5</v>
      </c>
      <c r="J44" s="455">
        <v>1.7</v>
      </c>
      <c r="K44" s="485"/>
      <c r="L44" s="433">
        <v>100</v>
      </c>
      <c r="M44" s="455">
        <v>87</v>
      </c>
      <c r="N44" s="484">
        <f>Weather!M45</f>
        <v>0</v>
      </c>
      <c r="O44" s="481" t="str">
        <f t="shared" si="30"/>
        <v/>
      </c>
      <c r="P44" s="4">
        <f t="shared" si="42"/>
        <v>0.35697698080417573</v>
      </c>
      <c r="Q44" s="169">
        <f t="shared" si="1"/>
        <v>0.4852576071715492</v>
      </c>
      <c r="R44" s="169">
        <f t="shared" si="2"/>
        <v>0.27457722094539661</v>
      </c>
      <c r="S44" s="169">
        <f t="shared" si="3"/>
        <v>0.42217411823924778</v>
      </c>
      <c r="T44" s="169">
        <f t="shared" si="4"/>
        <v>0.27457722094539661</v>
      </c>
      <c r="U44" s="169">
        <f t="shared" si="5"/>
        <v>0.34837566959232219</v>
      </c>
      <c r="V44" s="169">
        <f t="shared" si="6"/>
        <v>-3.2512343109410119E-2</v>
      </c>
      <c r="W44" s="439">
        <f t="shared" si="7"/>
        <v>-7.4722390210162191</v>
      </c>
      <c r="X44" s="439">
        <f t="shared" si="8"/>
        <v>-7.4722390210162191</v>
      </c>
      <c r="Y44" s="169"/>
      <c r="Z44" s="119" t="str">
        <f t="shared" si="9"/>
        <v/>
      </c>
      <c r="AA44" s="4" t="str">
        <f t="shared" si="10"/>
        <v/>
      </c>
      <c r="AB44" s="466"/>
      <c r="AC44" s="466"/>
      <c r="AD44" s="466"/>
      <c r="AE44" s="466"/>
      <c r="AF44" s="466"/>
      <c r="AG44" s="466"/>
      <c r="AH44" s="466"/>
      <c r="AI44" s="466"/>
      <c r="AJ44" s="466"/>
      <c r="AK44" s="466"/>
      <c r="AL44" s="466"/>
      <c r="AM44" s="462">
        <f t="shared" si="11"/>
        <v>40</v>
      </c>
      <c r="AN44" s="32">
        <f t="shared" si="32"/>
        <v>1.0254811672884725</v>
      </c>
      <c r="AO44" s="32">
        <f t="shared" si="33"/>
        <v>-0.26393264366523028</v>
      </c>
      <c r="AP44" s="32">
        <f t="shared" si="34"/>
        <v>1.3054121229721518</v>
      </c>
      <c r="AQ44" s="32">
        <f t="shared" si="35"/>
        <v>9.9726140228689477</v>
      </c>
      <c r="AR44" s="32">
        <f t="shared" si="36"/>
        <v>16.624219761403541</v>
      </c>
      <c r="AS44" s="32">
        <f t="shared" si="13"/>
        <v>12.480134259280867</v>
      </c>
      <c r="AT44" s="32">
        <f t="shared" si="14"/>
        <v>8.116416000000001</v>
      </c>
      <c r="AU44" s="32">
        <f t="shared" si="15"/>
        <v>0.84460629837866708</v>
      </c>
      <c r="AV44" s="32">
        <f t="shared" si="16"/>
        <v>0.79021850281120065</v>
      </c>
      <c r="AW44" s="32">
        <f t="shared" si="17"/>
        <v>0.4852576071715492</v>
      </c>
      <c r="AX44" s="32">
        <f t="shared" si="18"/>
        <v>0.27457722094539661</v>
      </c>
      <c r="AY44" s="32">
        <f t="shared" si="19"/>
        <v>0.34837566959232225</v>
      </c>
      <c r="AZ44" s="32">
        <f t="shared" si="37"/>
        <v>0.2573672999109341</v>
      </c>
      <c r="BA44" s="32">
        <f t="shared" si="20"/>
        <v>-5.020443895161173</v>
      </c>
      <c r="BB44" s="32">
        <f t="shared" si="38"/>
        <v>3.095972104838828</v>
      </c>
      <c r="BC44" s="32">
        <f t="shared" si="22"/>
        <v>-6.8100000000000005</v>
      </c>
      <c r="BD44" s="32">
        <v>0</v>
      </c>
      <c r="BE44" s="32">
        <f t="shared" si="39"/>
        <v>0.3799174140584729</v>
      </c>
      <c r="BF44" s="32">
        <f t="shared" si="40"/>
        <v>3.1541744466150656E-2</v>
      </c>
      <c r="BG44" s="32">
        <f t="shared" si="41"/>
        <v>2.8292530505387287E-2</v>
      </c>
      <c r="BH44" s="32">
        <f t="shared" si="24"/>
        <v>0.26630991072703264</v>
      </c>
      <c r="BI44" s="32">
        <f t="shared" si="25"/>
        <v>9.0667070077143058E-2</v>
      </c>
      <c r="BJ44" s="32">
        <f t="shared" si="26"/>
        <v>0.35697698080417573</v>
      </c>
      <c r="BK44" s="457">
        <f t="shared" si="27"/>
        <v>0.46593882090524946</v>
      </c>
      <c r="BL44" s="2"/>
    </row>
    <row r="45" spans="1:64" ht="15">
      <c r="A45" s="119"/>
      <c r="B45" s="480">
        <f>Input!B62</f>
        <v>38027</v>
      </c>
      <c r="C45" s="481">
        <v>1</v>
      </c>
      <c r="D45" s="481">
        <f t="shared" si="28"/>
        <v>2</v>
      </c>
      <c r="E45" s="481">
        <f t="shared" si="29"/>
        <v>10</v>
      </c>
      <c r="F45" s="481">
        <f t="shared" si="0"/>
        <v>41</v>
      </c>
      <c r="G45" s="431">
        <v>11.9232</v>
      </c>
      <c r="H45" s="455">
        <v>-1.85</v>
      </c>
      <c r="I45" s="455">
        <v>-4.7</v>
      </c>
      <c r="J45" s="455">
        <v>7.01</v>
      </c>
      <c r="K45" s="485"/>
      <c r="L45" s="433">
        <v>99</v>
      </c>
      <c r="M45" s="455">
        <v>87</v>
      </c>
      <c r="N45" s="484">
        <f>Weather!M46</f>
        <v>0</v>
      </c>
      <c r="O45" s="481" t="str">
        <f t="shared" si="30"/>
        <v/>
      </c>
      <c r="P45" s="4">
        <f t="shared" si="42"/>
        <v>0.40150119165400022</v>
      </c>
      <c r="Q45" s="169">
        <f t="shared" si="1"/>
        <v>0.53329465582281899</v>
      </c>
      <c r="R45" s="169">
        <f t="shared" si="2"/>
        <v>0.43086968390006897</v>
      </c>
      <c r="S45" s="169">
        <f t="shared" si="3"/>
        <v>0.4639663505658525</v>
      </c>
      <c r="T45" s="169">
        <f t="shared" si="4"/>
        <v>0.42656098706106826</v>
      </c>
      <c r="U45" s="169">
        <f t="shared" si="5"/>
        <v>0.44526366881346036</v>
      </c>
      <c r="V45" s="169">
        <f t="shared" si="6"/>
        <v>-1.8303587287661221E-2</v>
      </c>
      <c r="W45" s="439">
        <f t="shared" si="7"/>
        <v>-4.2653696968024404</v>
      </c>
      <c r="X45" s="439">
        <f t="shared" si="8"/>
        <v>-4.2653696968024404</v>
      </c>
      <c r="Y45" s="169"/>
      <c r="Z45" s="119" t="str">
        <f t="shared" si="9"/>
        <v/>
      </c>
      <c r="AA45" s="4" t="str">
        <f t="shared" si="10"/>
        <v/>
      </c>
      <c r="AB45" s="466"/>
      <c r="AC45" s="466"/>
      <c r="AD45" s="466"/>
      <c r="AE45" s="466"/>
      <c r="AF45" s="466"/>
      <c r="AG45" s="466"/>
      <c r="AH45" s="466"/>
      <c r="AI45" s="466"/>
      <c r="AJ45" s="466"/>
      <c r="AK45" s="466"/>
      <c r="AL45" s="466"/>
      <c r="AM45" s="462">
        <f t="shared" si="11"/>
        <v>41</v>
      </c>
      <c r="AN45" s="32">
        <f t="shared" si="32"/>
        <v>1.0251164405358055</v>
      </c>
      <c r="AO45" s="32">
        <f t="shared" si="33"/>
        <v>-0.25851534844942292</v>
      </c>
      <c r="AP45" s="32">
        <f t="shared" si="34"/>
        <v>1.3112454688525728</v>
      </c>
      <c r="AQ45" s="32">
        <f t="shared" si="35"/>
        <v>10.017177502787369</v>
      </c>
      <c r="AR45" s="32">
        <f t="shared" si="36"/>
        <v>16.839407376509577</v>
      </c>
      <c r="AS45" s="32">
        <f t="shared" si="13"/>
        <v>12.64167990569327</v>
      </c>
      <c r="AT45" s="32">
        <f t="shared" si="14"/>
        <v>9.1808639999999997</v>
      </c>
      <c r="AU45" s="32">
        <f t="shared" si="15"/>
        <v>0.943165788799185</v>
      </c>
      <c r="AV45" s="32">
        <f t="shared" si="16"/>
        <v>0.92327381487889981</v>
      </c>
      <c r="AW45" s="32">
        <f t="shared" si="17"/>
        <v>0.53329465582281899</v>
      </c>
      <c r="AX45" s="32">
        <f t="shared" si="18"/>
        <v>0.43086968390006897</v>
      </c>
      <c r="AY45" s="32">
        <f t="shared" si="19"/>
        <v>0.4452636688134603</v>
      </c>
      <c r="AZ45" s="32">
        <f t="shared" si="37"/>
        <v>0.24658068770996106</v>
      </c>
      <c r="BA45" s="32">
        <f t="shared" si="20"/>
        <v>-5.9184628310663543</v>
      </c>
      <c r="BB45" s="32">
        <f t="shared" si="38"/>
        <v>3.2624011689336454</v>
      </c>
      <c r="BC45" s="32">
        <f t="shared" si="22"/>
        <v>-3.2750000000000004</v>
      </c>
      <c r="BD45" s="32">
        <v>0</v>
      </c>
      <c r="BE45" s="32">
        <f t="shared" si="39"/>
        <v>0.48208216986144398</v>
      </c>
      <c r="BF45" s="32">
        <f t="shared" si="40"/>
        <v>3.6818501047983676E-2</v>
      </c>
      <c r="BG45" s="32">
        <f t="shared" si="41"/>
        <v>3.5899796368983897E-2</v>
      </c>
      <c r="BH45" s="32">
        <f t="shared" si="24"/>
        <v>0.18171222045312238</v>
      </c>
      <c r="BI45" s="32">
        <f t="shared" si="25"/>
        <v>0.21978897120087787</v>
      </c>
      <c r="BJ45" s="32">
        <f t="shared" si="26"/>
        <v>0.40150119165400022</v>
      </c>
      <c r="BK45" s="457">
        <f t="shared" si="27"/>
        <v>0.38763869798402706</v>
      </c>
      <c r="BL45" s="2"/>
    </row>
    <row r="46" spans="1:64" ht="15">
      <c r="A46" s="119"/>
      <c r="B46" s="480">
        <f>Input!B63</f>
        <v>38028</v>
      </c>
      <c r="C46" s="481">
        <v>1</v>
      </c>
      <c r="D46" s="481">
        <f t="shared" si="28"/>
        <v>2</v>
      </c>
      <c r="E46" s="481">
        <f t="shared" si="29"/>
        <v>11</v>
      </c>
      <c r="F46" s="481">
        <f t="shared" si="0"/>
        <v>42</v>
      </c>
      <c r="G46" s="431">
        <v>11.8368</v>
      </c>
      <c r="H46" s="455">
        <v>-3.71</v>
      </c>
      <c r="I46" s="455">
        <v>-8</v>
      </c>
      <c r="J46" s="455">
        <v>6.13</v>
      </c>
      <c r="K46" s="485"/>
      <c r="L46" s="433">
        <v>85</v>
      </c>
      <c r="M46" s="455">
        <v>85</v>
      </c>
      <c r="N46" s="484">
        <f>Weather!M47</f>
        <v>0</v>
      </c>
      <c r="O46" s="481" t="str">
        <f t="shared" si="30"/>
        <v/>
      </c>
      <c r="P46" s="4">
        <f t="shared" si="42"/>
        <v>0.52184810169343809</v>
      </c>
      <c r="Q46" s="169">
        <f t="shared" si="1"/>
        <v>0.46427557787087603</v>
      </c>
      <c r="R46" s="169">
        <f t="shared" si="2"/>
        <v>0.3343673155743308</v>
      </c>
      <c r="S46" s="169">
        <f t="shared" si="3"/>
        <v>0.39463424119024459</v>
      </c>
      <c r="T46" s="169">
        <f t="shared" si="4"/>
        <v>0.28421221823818116</v>
      </c>
      <c r="U46" s="169">
        <f t="shared" si="5"/>
        <v>0.3394232297142129</v>
      </c>
      <c r="V46" s="169">
        <f t="shared" si="6"/>
        <v>-3.4019790354084582E-2</v>
      </c>
      <c r="W46" s="439">
        <f t="shared" si="7"/>
        <v>-7.8072937542712104</v>
      </c>
      <c r="X46" s="439">
        <f t="shared" si="8"/>
        <v>-7.8072937542712104</v>
      </c>
      <c r="Y46" s="169"/>
      <c r="Z46" s="119" t="str">
        <f t="shared" si="9"/>
        <v/>
      </c>
      <c r="AA46" s="4" t="str">
        <f t="shared" si="10"/>
        <v/>
      </c>
      <c r="AB46" s="466"/>
      <c r="AC46" s="466"/>
      <c r="AD46" s="466"/>
      <c r="AE46" s="466"/>
      <c r="AF46" s="466"/>
      <c r="AG46" s="466"/>
      <c r="AH46" s="466"/>
      <c r="AI46" s="466"/>
      <c r="AJ46" s="466"/>
      <c r="AK46" s="466"/>
      <c r="AL46" s="466"/>
      <c r="AM46" s="462">
        <f t="shared" si="11"/>
        <v>42</v>
      </c>
      <c r="AN46" s="32">
        <f t="shared" si="32"/>
        <v>1.0247442712397508</v>
      </c>
      <c r="AO46" s="32">
        <f t="shared" si="33"/>
        <v>-0.2530214495566519</v>
      </c>
      <c r="AP46" s="32">
        <f t="shared" si="34"/>
        <v>1.3171350855986264</v>
      </c>
      <c r="AQ46" s="32">
        <f t="shared" si="35"/>
        <v>10.062170860453827</v>
      </c>
      <c r="AR46" s="32">
        <f t="shared" si="36"/>
        <v>17.057828098679636</v>
      </c>
      <c r="AS46" s="32">
        <f t="shared" si="13"/>
        <v>12.805652710240777</v>
      </c>
      <c r="AT46" s="32">
        <f t="shared" si="14"/>
        <v>9.1143359999999998</v>
      </c>
      <c r="AU46" s="32">
        <f t="shared" si="15"/>
        <v>0.92434179403709915</v>
      </c>
      <c r="AV46" s="32">
        <f t="shared" si="16"/>
        <v>0.89786142195008389</v>
      </c>
      <c r="AW46" s="32">
        <f t="shared" si="17"/>
        <v>0.46427557787087603</v>
      </c>
      <c r="AX46" s="32">
        <f t="shared" si="18"/>
        <v>0.3343673155743308</v>
      </c>
      <c r="AY46" s="32">
        <f t="shared" si="19"/>
        <v>0.33942322971421302</v>
      </c>
      <c r="AZ46" s="32">
        <f t="shared" si="37"/>
        <v>0.25843594356336508</v>
      </c>
      <c r="BA46" s="32">
        <f t="shared" si="20"/>
        <v>-5.8061656635174925</v>
      </c>
      <c r="BB46" s="32">
        <f t="shared" si="38"/>
        <v>3.3081703364825072</v>
      </c>
      <c r="BC46" s="32">
        <f t="shared" si="22"/>
        <v>-5.8550000000000004</v>
      </c>
      <c r="BD46" s="32">
        <v>0</v>
      </c>
      <c r="BE46" s="32">
        <f t="shared" si="39"/>
        <v>0.39932144672260339</v>
      </c>
      <c r="BF46" s="32">
        <f t="shared" si="40"/>
        <v>5.9898217008390375E-2</v>
      </c>
      <c r="BG46" s="32">
        <f t="shared" si="41"/>
        <v>3.0195534206191109E-2</v>
      </c>
      <c r="BH46" s="32">
        <f t="shared" si="24"/>
        <v>0.17183174774309706</v>
      </c>
      <c r="BI46" s="32">
        <f t="shared" si="25"/>
        <v>0.35001635395034103</v>
      </c>
      <c r="BJ46" s="32">
        <f t="shared" si="26"/>
        <v>0.52184810169343809</v>
      </c>
      <c r="BK46" s="457">
        <f t="shared" si="27"/>
        <v>0.39618705863449799</v>
      </c>
      <c r="BL46" s="2"/>
    </row>
    <row r="47" spans="1:64" ht="15">
      <c r="A47" s="119"/>
      <c r="B47" s="480">
        <f>Input!B64</f>
        <v>38029</v>
      </c>
      <c r="C47" s="481">
        <v>1</v>
      </c>
      <c r="D47" s="481">
        <f t="shared" si="28"/>
        <v>2</v>
      </c>
      <c r="E47" s="481">
        <f t="shared" si="29"/>
        <v>12</v>
      </c>
      <c r="F47" s="481">
        <f t="shared" si="0"/>
        <v>43</v>
      </c>
      <c r="G47" s="431">
        <v>11.750400000000001</v>
      </c>
      <c r="H47" s="455">
        <v>-5.6</v>
      </c>
      <c r="I47" s="455">
        <v>-9.9</v>
      </c>
      <c r="J47" s="455">
        <v>2.5499999999999998</v>
      </c>
      <c r="K47" s="485"/>
      <c r="L47" s="433">
        <v>98</v>
      </c>
      <c r="M47" s="455">
        <v>86</v>
      </c>
      <c r="N47" s="484">
        <f>Weather!M48</f>
        <v>0</v>
      </c>
      <c r="O47" s="481" t="str">
        <f t="shared" si="30"/>
        <v/>
      </c>
      <c r="P47" s="4">
        <f t="shared" si="42"/>
        <v>0.36790181555226631</v>
      </c>
      <c r="Q47" s="169">
        <f t="shared" si="1"/>
        <v>0.40236826873968917</v>
      </c>
      <c r="R47" s="169">
        <f t="shared" si="2"/>
        <v>0.28798529362588399</v>
      </c>
      <c r="S47" s="169">
        <f t="shared" si="3"/>
        <v>0.34603671111613266</v>
      </c>
      <c r="T47" s="169">
        <f t="shared" si="4"/>
        <v>0.28222558775336631</v>
      </c>
      <c r="U47" s="169">
        <f t="shared" si="5"/>
        <v>0.31413114943474951</v>
      </c>
      <c r="V47" s="169">
        <f t="shared" si="6"/>
        <v>-3.8503705922315362E-2</v>
      </c>
      <c r="W47" s="439">
        <f t="shared" si="7"/>
        <v>-8.7981673664329882</v>
      </c>
      <c r="X47" s="439">
        <f t="shared" si="8"/>
        <v>-8.7981673664329882</v>
      </c>
      <c r="Y47" s="169"/>
      <c r="Z47" s="119" t="str">
        <f t="shared" si="9"/>
        <v/>
      </c>
      <c r="AA47" s="4" t="str">
        <f t="shared" si="10"/>
        <v/>
      </c>
      <c r="AB47" s="466"/>
      <c r="AC47" s="466"/>
      <c r="AD47" s="466"/>
      <c r="AE47" s="466"/>
      <c r="AF47" s="466"/>
      <c r="AG47" s="466"/>
      <c r="AH47" s="466"/>
      <c r="AI47" s="466"/>
      <c r="AJ47" s="466"/>
      <c r="AK47" s="466"/>
      <c r="AL47" s="466"/>
      <c r="AM47" s="462">
        <f t="shared" si="11"/>
        <v>43</v>
      </c>
      <c r="AN47" s="32">
        <f t="shared" si="32"/>
        <v>1.0243647696821025</v>
      </c>
      <c r="AO47" s="32">
        <f t="shared" si="33"/>
        <v>-0.24745257494772704</v>
      </c>
      <c r="AP47" s="32">
        <f t="shared" si="34"/>
        <v>1.3230789043048179</v>
      </c>
      <c r="AQ47" s="32">
        <f t="shared" si="35"/>
        <v>10.107578290594585</v>
      </c>
      <c r="AR47" s="32">
        <f t="shared" si="36"/>
        <v>17.279412488461166</v>
      </c>
      <c r="AS47" s="32">
        <f t="shared" si="13"/>
        <v>12.972000543337566</v>
      </c>
      <c r="AT47" s="32">
        <f t="shared" si="14"/>
        <v>9.0478080000000016</v>
      </c>
      <c r="AU47" s="32">
        <f t="shared" si="15"/>
        <v>0.90582789915430728</v>
      </c>
      <c r="AV47" s="32">
        <f t="shared" si="16"/>
        <v>0.87286766385831493</v>
      </c>
      <c r="AW47" s="32">
        <f t="shared" si="17"/>
        <v>0.40236826873968917</v>
      </c>
      <c r="AX47" s="32">
        <f t="shared" si="18"/>
        <v>0.28798529362588399</v>
      </c>
      <c r="AY47" s="32">
        <f t="shared" si="19"/>
        <v>0.31413114943474951</v>
      </c>
      <c r="AZ47" s="32">
        <f t="shared" si="37"/>
        <v>0.26153363440988819</v>
      </c>
      <c r="BA47" s="32">
        <f t="shared" si="20"/>
        <v>-5.5519645199899816</v>
      </c>
      <c r="BB47" s="32">
        <f t="shared" si="38"/>
        <v>3.49584348001002</v>
      </c>
      <c r="BC47" s="32">
        <f t="shared" si="22"/>
        <v>-7.75</v>
      </c>
      <c r="BD47" s="32">
        <v>0</v>
      </c>
      <c r="BE47" s="32">
        <f t="shared" si="39"/>
        <v>0.34517678118278661</v>
      </c>
      <c r="BF47" s="32">
        <f t="shared" si="40"/>
        <v>3.1045631748037095E-2</v>
      </c>
      <c r="BG47" s="32">
        <f t="shared" si="41"/>
        <v>2.6521652124205194E-2</v>
      </c>
      <c r="BH47" s="32">
        <f t="shared" si="24"/>
        <v>0.2491608215507678</v>
      </c>
      <c r="BI47" s="32">
        <f t="shared" si="25"/>
        <v>0.11874099400149848</v>
      </c>
      <c r="BJ47" s="32">
        <f t="shared" si="26"/>
        <v>0.36790181555226631</v>
      </c>
      <c r="BK47" s="457">
        <f t="shared" si="27"/>
        <v>0.33805784081728452</v>
      </c>
      <c r="BL47" s="2"/>
    </row>
    <row r="48" spans="1:64" ht="15">
      <c r="A48" s="119"/>
      <c r="B48" s="480">
        <f>Input!B65</f>
        <v>38030</v>
      </c>
      <c r="C48" s="481">
        <v>1</v>
      </c>
      <c r="D48" s="481">
        <f t="shared" si="28"/>
        <v>2</v>
      </c>
      <c r="E48" s="481">
        <f t="shared" si="29"/>
        <v>13</v>
      </c>
      <c r="F48" s="481">
        <f t="shared" si="0"/>
        <v>44</v>
      </c>
      <c r="G48" s="431">
        <v>11.491199999999999</v>
      </c>
      <c r="H48" s="455">
        <v>-4.28</v>
      </c>
      <c r="I48" s="455">
        <v>-8.4</v>
      </c>
      <c r="J48" s="455">
        <v>2.0699999999999998</v>
      </c>
      <c r="K48" s="485"/>
      <c r="L48" s="433">
        <v>98</v>
      </c>
      <c r="M48" s="455">
        <v>85</v>
      </c>
      <c r="N48" s="484">
        <f>Weather!M49</f>
        <v>0</v>
      </c>
      <c r="O48" s="481" t="str">
        <f t="shared" si="30"/>
        <v/>
      </c>
      <c r="P48" s="4">
        <f t="shared" si="42"/>
        <v>0.41322020685184946</v>
      </c>
      <c r="Q48" s="169">
        <f t="shared" si="1"/>
        <v>0.44477230037406201</v>
      </c>
      <c r="R48" s="169">
        <f t="shared" si="2"/>
        <v>0.32408573839281168</v>
      </c>
      <c r="S48" s="169">
        <f t="shared" si="3"/>
        <v>0.37805645531795268</v>
      </c>
      <c r="T48" s="169">
        <f t="shared" si="4"/>
        <v>0.31760402362495543</v>
      </c>
      <c r="U48" s="169">
        <f t="shared" si="5"/>
        <v>0.34783023947145408</v>
      </c>
      <c r="V48" s="169">
        <f t="shared" si="6"/>
        <v>-3.2603070654457833E-2</v>
      </c>
      <c r="W48" s="439">
        <f t="shared" si="7"/>
        <v>-7.4924323645477484</v>
      </c>
      <c r="X48" s="439">
        <f t="shared" si="8"/>
        <v>-7.4924323645477484</v>
      </c>
      <c r="Y48" s="169"/>
      <c r="Z48" s="119" t="str">
        <f t="shared" si="9"/>
        <v/>
      </c>
      <c r="AA48" s="4" t="str">
        <f t="shared" si="10"/>
        <v/>
      </c>
      <c r="AB48" s="466"/>
      <c r="AC48" s="466"/>
      <c r="AD48" s="466"/>
      <c r="AE48" s="466"/>
      <c r="AF48" s="466"/>
      <c r="AG48" s="466"/>
      <c r="AH48" s="466"/>
      <c r="AI48" s="466"/>
      <c r="AJ48" s="466"/>
      <c r="AK48" s="466"/>
      <c r="AL48" s="466"/>
      <c r="AM48" s="462">
        <f t="shared" si="11"/>
        <v>44</v>
      </c>
      <c r="AN48" s="32">
        <f t="shared" si="32"/>
        <v>1.0239780483173626</v>
      </c>
      <c r="AO48" s="32">
        <f t="shared" si="33"/>
        <v>-0.24181037480038128</v>
      </c>
      <c r="AP48" s="32">
        <f t="shared" si="34"/>
        <v>1.3290748957982192</v>
      </c>
      <c r="AQ48" s="32">
        <f t="shared" si="35"/>
        <v>10.153384291470351</v>
      </c>
      <c r="AR48" s="32">
        <f t="shared" si="36"/>
        <v>17.504089188872619</v>
      </c>
      <c r="AS48" s="32">
        <f t="shared" si="13"/>
        <v>13.140669835870455</v>
      </c>
      <c r="AT48" s="32">
        <f t="shared" si="14"/>
        <v>8.8482240000000001</v>
      </c>
      <c r="AU48" s="32">
        <f t="shared" si="15"/>
        <v>0.87447596991076881</v>
      </c>
      <c r="AV48" s="32">
        <f t="shared" si="16"/>
        <v>0.83054255937953803</v>
      </c>
      <c r="AW48" s="32">
        <f t="shared" si="17"/>
        <v>0.44477230037406201</v>
      </c>
      <c r="AX48" s="32">
        <f t="shared" si="18"/>
        <v>0.32408573839281168</v>
      </c>
      <c r="AY48" s="32">
        <f t="shared" si="19"/>
        <v>0.34783023947145408</v>
      </c>
      <c r="AZ48" s="32">
        <f t="shared" si="37"/>
        <v>0.25743201168951435</v>
      </c>
      <c r="BA48" s="32">
        <f t="shared" si="20"/>
        <v>-5.3110970971921407</v>
      </c>
      <c r="BB48" s="32">
        <f t="shared" si="38"/>
        <v>3.5371269028078594</v>
      </c>
      <c r="BC48" s="32">
        <f t="shared" si="22"/>
        <v>-6.34</v>
      </c>
      <c r="BD48" s="32">
        <v>0</v>
      </c>
      <c r="BE48" s="32">
        <f t="shared" si="39"/>
        <v>0.38442901938343688</v>
      </c>
      <c r="BF48" s="32">
        <f t="shared" si="40"/>
        <v>3.6598779911982793E-2</v>
      </c>
      <c r="BG48" s="32">
        <f t="shared" si="41"/>
        <v>2.9215700597388507E-2</v>
      </c>
      <c r="BH48" s="32">
        <f t="shared" si="24"/>
        <v>0.29368768975520099</v>
      </c>
      <c r="BI48" s="32">
        <f t="shared" si="25"/>
        <v>0.11953251709664849</v>
      </c>
      <c r="BJ48" s="32">
        <f t="shared" si="26"/>
        <v>0.41322020685184946</v>
      </c>
      <c r="BK48" s="457">
        <f t="shared" si="27"/>
        <v>0.38223855870457879</v>
      </c>
      <c r="BL48" s="2"/>
    </row>
    <row r="49" spans="1:64" ht="15">
      <c r="A49" s="119"/>
      <c r="B49" s="480">
        <f>Input!B66</f>
        <v>38031</v>
      </c>
      <c r="C49" s="481">
        <v>1</v>
      </c>
      <c r="D49" s="481">
        <f t="shared" si="28"/>
        <v>2</v>
      </c>
      <c r="E49" s="481">
        <f t="shared" si="29"/>
        <v>14</v>
      </c>
      <c r="F49" s="481">
        <f t="shared" si="0"/>
        <v>45</v>
      </c>
      <c r="G49" s="431">
        <v>8.64</v>
      </c>
      <c r="H49" s="455">
        <v>-4.6399999999999997</v>
      </c>
      <c r="I49" s="455">
        <v>-9.1999999999999993</v>
      </c>
      <c r="J49" s="455">
        <v>1.43</v>
      </c>
      <c r="K49" s="485"/>
      <c r="L49" s="433">
        <v>98</v>
      </c>
      <c r="M49" s="455">
        <v>83</v>
      </c>
      <c r="N49" s="484">
        <f>Weather!M50</f>
        <v>0.2</v>
      </c>
      <c r="O49" s="481" t="str">
        <f t="shared" si="30"/>
        <v/>
      </c>
      <c r="P49" s="4">
        <f t="shared" si="42"/>
        <v>0.39576125991328082</v>
      </c>
      <c r="Q49" s="169">
        <f t="shared" si="1"/>
        <v>0.43283188202411327</v>
      </c>
      <c r="R49" s="169">
        <f t="shared" si="2"/>
        <v>0.30436128413297142</v>
      </c>
      <c r="S49" s="169">
        <f t="shared" si="3"/>
        <v>0.35925046208001399</v>
      </c>
      <c r="T49" s="169">
        <f t="shared" si="4"/>
        <v>0.29827405845031196</v>
      </c>
      <c r="U49" s="169">
        <f t="shared" si="5"/>
        <v>0.32876226026516298</v>
      </c>
      <c r="V49" s="169">
        <f t="shared" si="6"/>
        <v>-3.5867672088340866E-2</v>
      </c>
      <c r="W49" s="439">
        <f t="shared" si="7"/>
        <v>-8.2166852155971313</v>
      </c>
      <c r="X49" s="439">
        <f t="shared" si="8"/>
        <v>-8.2166852155971313</v>
      </c>
      <c r="Y49" s="169"/>
      <c r="Z49" s="119" t="str">
        <f t="shared" si="9"/>
        <v/>
      </c>
      <c r="AA49" s="4" t="str">
        <f t="shared" si="10"/>
        <v/>
      </c>
      <c r="AB49" s="466"/>
      <c r="AC49" s="466"/>
      <c r="AD49" s="466"/>
      <c r="AE49" s="466"/>
      <c r="AF49" s="466"/>
      <c r="AG49" s="466"/>
      <c r="AH49" s="466"/>
      <c r="AI49" s="466"/>
      <c r="AJ49" s="466"/>
      <c r="AK49" s="466"/>
      <c r="AL49" s="466"/>
      <c r="AM49" s="462">
        <f t="shared" si="11"/>
        <v>45</v>
      </c>
      <c r="AN49" s="32">
        <f t="shared" si="32"/>
        <v>1.0235842217394178</v>
      </c>
      <c r="AO49" s="32">
        <f t="shared" si="33"/>
        <v>-0.23609652102028686</v>
      </c>
      <c r="AP49" s="32">
        <f t="shared" si="34"/>
        <v>1.3351210710830421</v>
      </c>
      <c r="AQ49" s="32">
        <f t="shared" si="35"/>
        <v>10.199573668272571</v>
      </c>
      <c r="AR49" s="32">
        <f t="shared" si="36"/>
        <v>17.731784957239483</v>
      </c>
      <c r="AS49" s="32">
        <f t="shared" si="13"/>
        <v>13.311605603098826</v>
      </c>
      <c r="AT49" s="32">
        <f t="shared" si="14"/>
        <v>6.6528000000000009</v>
      </c>
      <c r="AU49" s="32">
        <f t="shared" si="15"/>
        <v>0.64905769128171009</v>
      </c>
      <c r="AV49" s="32">
        <f t="shared" si="16"/>
        <v>0.52622788323030867</v>
      </c>
      <c r="AW49" s="32">
        <f t="shared" si="17"/>
        <v>0.43283188202411327</v>
      </c>
      <c r="AX49" s="32">
        <f t="shared" si="18"/>
        <v>0.30436128413297142</v>
      </c>
      <c r="AY49" s="32">
        <f t="shared" si="19"/>
        <v>0.32876226026516298</v>
      </c>
      <c r="AZ49" s="32">
        <f t="shared" si="37"/>
        <v>0.25972708862139615</v>
      </c>
      <c r="BA49" s="32">
        <f t="shared" si="20"/>
        <v>-3.3659388838581266</v>
      </c>
      <c r="BB49" s="32">
        <f t="shared" si="38"/>
        <v>3.2868611161418744</v>
      </c>
      <c r="BC49" s="32">
        <f t="shared" si="22"/>
        <v>-6.92</v>
      </c>
      <c r="BD49" s="32">
        <v>0</v>
      </c>
      <c r="BE49" s="32">
        <f t="shared" si="39"/>
        <v>0.36859658307854237</v>
      </c>
      <c r="BF49" s="32">
        <f t="shared" si="40"/>
        <v>3.9834322813379397E-2</v>
      </c>
      <c r="BG49" s="32">
        <f t="shared" si="41"/>
        <v>2.8080151435745371E-2</v>
      </c>
      <c r="BH49" s="32">
        <f t="shared" si="24"/>
        <v>0.29459876058909534</v>
      </c>
      <c r="BI49" s="32">
        <f t="shared" si="25"/>
        <v>0.10116249932418546</v>
      </c>
      <c r="BJ49" s="32">
        <f t="shared" si="26"/>
        <v>0.39576125991328082</v>
      </c>
      <c r="BK49" s="457">
        <f t="shared" si="27"/>
        <v>0.38674572703255672</v>
      </c>
      <c r="BL49" s="2"/>
    </row>
    <row r="50" spans="1:64" ht="15">
      <c r="A50" s="119"/>
      <c r="B50" s="480">
        <f>Input!B67</f>
        <v>38032</v>
      </c>
      <c r="C50" s="481">
        <v>1</v>
      </c>
      <c r="D50" s="481">
        <f t="shared" si="28"/>
        <v>2</v>
      </c>
      <c r="E50" s="481">
        <f t="shared" si="29"/>
        <v>15</v>
      </c>
      <c r="F50" s="481">
        <f t="shared" si="0"/>
        <v>46</v>
      </c>
      <c r="G50" s="431">
        <v>1.0367999999999999</v>
      </c>
      <c r="H50" s="455">
        <v>-1.38</v>
      </c>
      <c r="I50" s="455">
        <v>-7.6</v>
      </c>
      <c r="J50" s="455">
        <v>2.17</v>
      </c>
      <c r="K50" s="485"/>
      <c r="L50" s="433">
        <v>100</v>
      </c>
      <c r="M50" s="455">
        <v>81</v>
      </c>
      <c r="N50" s="484">
        <f>Weather!M51</f>
        <v>0</v>
      </c>
      <c r="O50" s="481" t="str">
        <f t="shared" si="30"/>
        <v/>
      </c>
      <c r="P50" s="4">
        <f t="shared" si="42"/>
        <v>0.2110792416261621</v>
      </c>
      <c r="Q50" s="169">
        <f t="shared" si="1"/>
        <v>0.55211134401670148</v>
      </c>
      <c r="R50" s="169">
        <f t="shared" si="2"/>
        <v>0.34493755179867025</v>
      </c>
      <c r="S50" s="169">
        <f t="shared" si="3"/>
        <v>0.44721018865352824</v>
      </c>
      <c r="T50" s="169">
        <f t="shared" si="4"/>
        <v>0.34493755179867025</v>
      </c>
      <c r="U50" s="169">
        <f t="shared" si="5"/>
        <v>0.39607387022609924</v>
      </c>
      <c r="V50" s="169">
        <f t="shared" si="6"/>
        <v>-2.5082156254290847E-2</v>
      </c>
      <c r="W50" s="439">
        <f t="shared" si="7"/>
        <v>-5.8063596589098303</v>
      </c>
      <c r="X50" s="439">
        <f t="shared" si="8"/>
        <v>-5.8063596589098303</v>
      </c>
      <c r="Y50" s="169"/>
      <c r="Z50" s="119" t="str">
        <f t="shared" si="9"/>
        <v/>
      </c>
      <c r="AA50" s="4" t="str">
        <f t="shared" si="10"/>
        <v/>
      </c>
      <c r="AB50" s="466"/>
      <c r="AC50" s="466"/>
      <c r="AD50" s="466"/>
      <c r="AE50" s="466"/>
      <c r="AF50" s="466"/>
      <c r="AG50" s="466"/>
      <c r="AH50" s="466"/>
      <c r="AI50" s="466"/>
      <c r="AJ50" s="466"/>
      <c r="AK50" s="466"/>
      <c r="AL50" s="466"/>
      <c r="AM50" s="462">
        <f t="shared" si="11"/>
        <v>46</v>
      </c>
      <c r="AN50" s="32">
        <f t="shared" si="32"/>
        <v>1.0231834066475822</v>
      </c>
      <c r="AO50" s="32">
        <f t="shared" si="33"/>
        <v>-0.23031270674563392</v>
      </c>
      <c r="AP50" s="32">
        <f t="shared" si="34"/>
        <v>1.3412154816455613</v>
      </c>
      <c r="AQ50" s="32">
        <f t="shared" si="35"/>
        <v>10.24613153545288</v>
      </c>
      <c r="AR50" s="32">
        <f t="shared" si="36"/>
        <v>17.962424700636213</v>
      </c>
      <c r="AS50" s="32">
        <f t="shared" si="13"/>
        <v>13.484751471261619</v>
      </c>
      <c r="AT50" s="32">
        <f t="shared" si="14"/>
        <v>0.79833599999999993</v>
      </c>
      <c r="AU50" s="32">
        <f t="shared" si="15"/>
        <v>0.3</v>
      </c>
      <c r="AV50" s="32">
        <f t="shared" si="16"/>
        <v>5.5000000000000049E-2</v>
      </c>
      <c r="AW50" s="32">
        <f t="shared" si="17"/>
        <v>0.55211134401670148</v>
      </c>
      <c r="AX50" s="32">
        <f t="shared" si="18"/>
        <v>0.34493755179867025</v>
      </c>
      <c r="AY50" s="32">
        <f t="shared" si="19"/>
        <v>0.39607387022609936</v>
      </c>
      <c r="AZ50" s="32">
        <f t="shared" si="37"/>
        <v>0.25189184001222392</v>
      </c>
      <c r="BA50" s="32">
        <f t="shared" si="20"/>
        <v>-0.35394351397688317</v>
      </c>
      <c r="BB50" s="32">
        <f t="shared" si="38"/>
        <v>0.44439248602311676</v>
      </c>
      <c r="BC50" s="32">
        <f t="shared" si="22"/>
        <v>-4.49</v>
      </c>
      <c r="BD50" s="32">
        <v>0</v>
      </c>
      <c r="BE50" s="32">
        <f t="shared" si="39"/>
        <v>0.44852444790768586</v>
      </c>
      <c r="BF50" s="32">
        <f t="shared" si="40"/>
        <v>5.2450577681586508E-2</v>
      </c>
      <c r="BG50" s="32">
        <f t="shared" si="41"/>
        <v>3.3107219798799666E-2</v>
      </c>
      <c r="BH50" s="32">
        <f t="shared" si="24"/>
        <v>4.0088834498948775E-2</v>
      </c>
      <c r="BI50" s="32">
        <f t="shared" si="25"/>
        <v>0.17099040712721333</v>
      </c>
      <c r="BJ50" s="32">
        <f t="shared" si="26"/>
        <v>0.2110792416261621</v>
      </c>
      <c r="BK50" s="457">
        <f t="shared" si="27"/>
        <v>0.55975754998530269</v>
      </c>
      <c r="BL50" s="2"/>
    </row>
    <row r="51" spans="1:64" ht="15">
      <c r="A51" s="119"/>
      <c r="B51" s="480">
        <f>Input!B68</f>
        <v>38033</v>
      </c>
      <c r="C51" s="481">
        <v>1</v>
      </c>
      <c r="D51" s="481">
        <f t="shared" si="28"/>
        <v>2</v>
      </c>
      <c r="E51" s="481">
        <f t="shared" si="29"/>
        <v>16</v>
      </c>
      <c r="F51" s="481">
        <f t="shared" si="0"/>
        <v>47</v>
      </c>
      <c r="G51" s="431">
        <v>1.3824000000000001</v>
      </c>
      <c r="H51" s="455">
        <v>0.11</v>
      </c>
      <c r="I51" s="455">
        <v>-7</v>
      </c>
      <c r="J51" s="455">
        <v>1.05</v>
      </c>
      <c r="K51" s="485"/>
      <c r="L51" s="433">
        <v>100</v>
      </c>
      <c r="M51" s="455">
        <v>86</v>
      </c>
      <c r="N51" s="484">
        <f>Weather!M52</f>
        <v>0</v>
      </c>
      <c r="O51" s="481" t="str">
        <f t="shared" si="30"/>
        <v/>
      </c>
      <c r="P51" s="4">
        <f t="shared" si="42"/>
        <v>0.16164582054947796</v>
      </c>
      <c r="Q51" s="169">
        <f t="shared" si="1"/>
        <v>0.61570708706718724</v>
      </c>
      <c r="R51" s="169">
        <f t="shared" si="2"/>
        <v>0.36134947367872661</v>
      </c>
      <c r="S51" s="169">
        <f t="shared" si="3"/>
        <v>0.52950809487778105</v>
      </c>
      <c r="T51" s="169">
        <f t="shared" si="4"/>
        <v>0.36134947367872661</v>
      </c>
      <c r="U51" s="169">
        <f t="shared" si="5"/>
        <v>0.44542878427825383</v>
      </c>
      <c r="V51" s="169">
        <f t="shared" si="6"/>
        <v>-1.8282118988332496E-2</v>
      </c>
      <c r="W51" s="439">
        <f t="shared" si="7"/>
        <v>-4.2604566603226495</v>
      </c>
      <c r="X51" s="439">
        <f t="shared" si="8"/>
        <v>-4.2604566603226495</v>
      </c>
      <c r="Y51" s="169"/>
      <c r="Z51" s="119" t="str">
        <f t="shared" si="9"/>
        <v/>
      </c>
      <c r="AA51" s="4" t="str">
        <f t="shared" si="10"/>
        <v/>
      </c>
      <c r="AB51" s="466"/>
      <c r="AC51" s="466"/>
      <c r="AD51" s="466"/>
      <c r="AE51" s="466"/>
      <c r="AF51" s="466"/>
      <c r="AG51" s="466"/>
      <c r="AH51" s="466"/>
      <c r="AI51" s="466"/>
      <c r="AJ51" s="466"/>
      <c r="AK51" s="466"/>
      <c r="AL51" s="466"/>
      <c r="AM51" s="462">
        <f t="shared" si="11"/>
        <v>47</v>
      </c>
      <c r="AN51" s="32">
        <f t="shared" si="32"/>
        <v>1.0227757218120181</v>
      </c>
      <c r="AO51" s="32">
        <f t="shared" si="33"/>
        <v>-0.22446064584541689</v>
      </c>
      <c r="AP51" s="32">
        <f t="shared" si="34"/>
        <v>1.3473562196253059</v>
      </c>
      <c r="AQ51" s="32">
        <f t="shared" si="35"/>
        <v>10.293043318030886</v>
      </c>
      <c r="AR51" s="32">
        <f t="shared" si="36"/>
        <v>18.195931514856671</v>
      </c>
      <c r="AS51" s="32">
        <f t="shared" si="13"/>
        <v>13.660049706833201</v>
      </c>
      <c r="AT51" s="32">
        <f t="shared" si="14"/>
        <v>1.0644480000000001</v>
      </c>
      <c r="AU51" s="32">
        <f t="shared" si="15"/>
        <v>0.3</v>
      </c>
      <c r="AV51" s="32">
        <f t="shared" si="16"/>
        <v>5.5000000000000049E-2</v>
      </c>
      <c r="AW51" s="32">
        <f t="shared" si="17"/>
        <v>0.61570708706718724</v>
      </c>
      <c r="AX51" s="32">
        <f t="shared" si="18"/>
        <v>0.36134947367872661</v>
      </c>
      <c r="AY51" s="32">
        <f t="shared" si="19"/>
        <v>0.44542878427825383</v>
      </c>
      <c r="AZ51" s="32">
        <f t="shared" si="37"/>
        <v>0.24656336814795937</v>
      </c>
      <c r="BA51" s="32">
        <f t="shared" si="20"/>
        <v>-0.35196203454230229</v>
      </c>
      <c r="BB51" s="32">
        <f t="shared" si="38"/>
        <v>0.71248596545769782</v>
      </c>
      <c r="BC51" s="32">
        <f t="shared" si="22"/>
        <v>-3.4449999999999998</v>
      </c>
      <c r="BD51" s="32">
        <v>0</v>
      </c>
      <c r="BE51" s="32">
        <f t="shared" si="39"/>
        <v>0.48852828037295692</v>
      </c>
      <c r="BF51" s="32">
        <f t="shared" si="40"/>
        <v>4.3099496094703094E-2</v>
      </c>
      <c r="BG51" s="32">
        <f t="shared" si="41"/>
        <v>3.5497239689896432E-2</v>
      </c>
      <c r="BH51" s="32">
        <f t="shared" si="24"/>
        <v>8.1527157513401616E-2</v>
      </c>
      <c r="BI51" s="32">
        <f t="shared" si="25"/>
        <v>8.0118663036076343E-2</v>
      </c>
      <c r="BJ51" s="32">
        <f t="shared" si="26"/>
        <v>0.16164582054947796</v>
      </c>
      <c r="BK51" s="457">
        <f t="shared" si="27"/>
        <v>0.65384384890895242</v>
      </c>
      <c r="BL51" s="2"/>
    </row>
    <row r="52" spans="1:64" ht="15">
      <c r="A52" s="119"/>
      <c r="B52" s="480">
        <f>Input!B69</f>
        <v>38034</v>
      </c>
      <c r="C52" s="481">
        <v>1</v>
      </c>
      <c r="D52" s="481">
        <f t="shared" si="28"/>
        <v>2</v>
      </c>
      <c r="E52" s="481">
        <f t="shared" si="29"/>
        <v>17</v>
      </c>
      <c r="F52" s="481">
        <f t="shared" si="0"/>
        <v>48</v>
      </c>
      <c r="G52" s="431">
        <v>4.0608000000000004</v>
      </c>
      <c r="H52" s="455">
        <v>0.98</v>
      </c>
      <c r="I52" s="455">
        <v>-4.3</v>
      </c>
      <c r="J52" s="455">
        <v>1.51</v>
      </c>
      <c r="K52" s="485"/>
      <c r="L52" s="433">
        <v>100</v>
      </c>
      <c r="M52" s="455">
        <v>86</v>
      </c>
      <c r="N52" s="484">
        <f>Weather!M53</f>
        <v>0</v>
      </c>
      <c r="O52" s="481" t="str">
        <f t="shared" si="30"/>
        <v/>
      </c>
      <c r="P52" s="4">
        <f t="shared" si="42"/>
        <v>0.42844195262703466</v>
      </c>
      <c r="Q52" s="169">
        <f t="shared" si="1"/>
        <v>0.65576190637241216</v>
      </c>
      <c r="R52" s="169">
        <f t="shared" si="2"/>
        <v>0.44410136465433581</v>
      </c>
      <c r="S52" s="169">
        <f t="shared" si="3"/>
        <v>0.56395523948027448</v>
      </c>
      <c r="T52" s="169">
        <f t="shared" si="4"/>
        <v>0.44410136465433581</v>
      </c>
      <c r="U52" s="169">
        <f t="shared" si="5"/>
        <v>0.50402830206730509</v>
      </c>
      <c r="V52" s="169">
        <f t="shared" si="6"/>
        <v>-1.1125486505749235E-2</v>
      </c>
      <c r="W52" s="439">
        <f t="shared" si="7"/>
        <v>-2.6110289801297397</v>
      </c>
      <c r="X52" s="439">
        <f t="shared" si="8"/>
        <v>-2.6110289801297397</v>
      </c>
      <c r="Y52" s="169"/>
      <c r="Z52" s="119" t="str">
        <f t="shared" si="9"/>
        <v/>
      </c>
      <c r="AA52" s="4" t="str">
        <f t="shared" si="10"/>
        <v/>
      </c>
      <c r="AB52" s="466"/>
      <c r="AC52" s="466"/>
      <c r="AD52" s="466"/>
      <c r="AE52" s="466"/>
      <c r="AF52" s="466"/>
      <c r="AG52" s="466"/>
      <c r="AH52" s="466"/>
      <c r="AI52" s="466"/>
      <c r="AJ52" s="466"/>
      <c r="AK52" s="466"/>
      <c r="AL52" s="466"/>
      <c r="AM52" s="462">
        <f t="shared" si="11"/>
        <v>48</v>
      </c>
      <c r="AN52" s="32">
        <f t="shared" si="32"/>
        <v>1.0223612880385406</v>
      </c>
      <c r="AO52" s="32">
        <f t="shared" si="33"/>
        <v>-0.21854207241157836</v>
      </c>
      <c r="AP52" s="32">
        <f t="shared" si="34"/>
        <v>1.3535414178584662</v>
      </c>
      <c r="AQ52" s="32">
        <f t="shared" si="35"/>
        <v>10.340294751925802</v>
      </c>
      <c r="AR52" s="32">
        <f t="shared" si="36"/>
        <v>18.432226726827125</v>
      </c>
      <c r="AS52" s="32">
        <f t="shared" si="13"/>
        <v>13.83744124836366</v>
      </c>
      <c r="AT52" s="32">
        <f t="shared" si="14"/>
        <v>3.1268160000000003</v>
      </c>
      <c r="AU52" s="32">
        <f t="shared" si="15"/>
        <v>0.3</v>
      </c>
      <c r="AV52" s="32">
        <f t="shared" si="16"/>
        <v>5.5000000000000049E-2</v>
      </c>
      <c r="AW52" s="32">
        <f t="shared" si="17"/>
        <v>0.65576190637241216</v>
      </c>
      <c r="AX52" s="32">
        <f t="shared" si="18"/>
        <v>0.44410136465433581</v>
      </c>
      <c r="AY52" s="32">
        <f t="shared" si="19"/>
        <v>0.50402830206730509</v>
      </c>
      <c r="AZ52" s="32">
        <f t="shared" si="37"/>
        <v>0.2406070690616321</v>
      </c>
      <c r="BA52" s="32">
        <f t="shared" si="20"/>
        <v>-0.35247541747820582</v>
      </c>
      <c r="BB52" s="32">
        <f t="shared" si="38"/>
        <v>2.7743405825217944</v>
      </c>
      <c r="BC52" s="32">
        <f t="shared" si="22"/>
        <v>-1.66</v>
      </c>
      <c r="BD52" s="32">
        <v>0</v>
      </c>
      <c r="BE52" s="32">
        <f t="shared" si="39"/>
        <v>0.54993163551337398</v>
      </c>
      <c r="BF52" s="32">
        <f t="shared" si="40"/>
        <v>4.5903333446068895E-2</v>
      </c>
      <c r="BG52" s="32">
        <f t="shared" si="41"/>
        <v>3.9924750793838233E-2</v>
      </c>
      <c r="BH52" s="32">
        <f t="shared" si="24"/>
        <v>0.31939347773015425</v>
      </c>
      <c r="BI52" s="32">
        <f t="shared" si="25"/>
        <v>0.1090484748968804</v>
      </c>
      <c r="BJ52" s="32">
        <f t="shared" si="26"/>
        <v>0.42844195262703466</v>
      </c>
      <c r="BK52" s="457">
        <f t="shared" si="27"/>
        <v>0.64174138487439614</v>
      </c>
      <c r="BL52" s="2"/>
    </row>
    <row r="53" spans="1:64" ht="15">
      <c r="A53" s="119"/>
      <c r="B53" s="480">
        <f>Input!B70</f>
        <v>38035</v>
      </c>
      <c r="C53" s="481">
        <v>1</v>
      </c>
      <c r="D53" s="481">
        <f t="shared" si="28"/>
        <v>2</v>
      </c>
      <c r="E53" s="481">
        <f t="shared" si="29"/>
        <v>18</v>
      </c>
      <c r="F53" s="481">
        <f t="shared" si="0"/>
        <v>49</v>
      </c>
      <c r="G53" s="431">
        <v>2.2464</v>
      </c>
      <c r="H53" s="455">
        <v>2.46</v>
      </c>
      <c r="I53" s="455">
        <v>-2.7</v>
      </c>
      <c r="J53" s="455">
        <v>0.78</v>
      </c>
      <c r="K53" s="485"/>
      <c r="L53" s="433">
        <v>100</v>
      </c>
      <c r="M53" s="455">
        <v>84</v>
      </c>
      <c r="N53" s="484">
        <f>Weather!M54</f>
        <v>0</v>
      </c>
      <c r="O53" s="481" t="str">
        <f t="shared" si="30"/>
        <v/>
      </c>
      <c r="P53" s="4">
        <f t="shared" si="42"/>
        <v>0.27012829790668447</v>
      </c>
      <c r="Q53" s="169">
        <f t="shared" si="1"/>
        <v>0.72921183153710156</v>
      </c>
      <c r="R53" s="169">
        <f t="shared" si="2"/>
        <v>0.50070143361417307</v>
      </c>
      <c r="S53" s="169">
        <f t="shared" si="3"/>
        <v>0.61253793849116533</v>
      </c>
      <c r="T53" s="169">
        <f t="shared" si="4"/>
        <v>0.50070143361417307</v>
      </c>
      <c r="U53" s="169">
        <f t="shared" si="5"/>
        <v>0.5566196860526692</v>
      </c>
      <c r="V53" s="169">
        <f t="shared" si="6"/>
        <v>-5.3785383020223364E-3</v>
      </c>
      <c r="W53" s="439">
        <f t="shared" si="7"/>
        <v>-1.2694990895921467</v>
      </c>
      <c r="X53" s="439">
        <f t="shared" si="8"/>
        <v>-1.2694990895921467</v>
      </c>
      <c r="Y53" s="169"/>
      <c r="Z53" s="119" t="str">
        <f t="shared" si="9"/>
        <v/>
      </c>
      <c r="AA53" s="4" t="str">
        <f t="shared" si="10"/>
        <v/>
      </c>
      <c r="AB53" s="466"/>
      <c r="AC53" s="466"/>
      <c r="AD53" s="466"/>
      <c r="AE53" s="466"/>
      <c r="AF53" s="466"/>
      <c r="AG53" s="466"/>
      <c r="AH53" s="466"/>
      <c r="AI53" s="466"/>
      <c r="AJ53" s="466"/>
      <c r="AK53" s="466"/>
      <c r="AL53" s="466"/>
      <c r="AM53" s="462">
        <f t="shared" si="11"/>
        <v>49</v>
      </c>
      <c r="AN53" s="32">
        <f t="shared" si="32"/>
        <v>1.0219402281328214</v>
      </c>
      <c r="AO53" s="32">
        <f t="shared" si="33"/>
        <v>-0.21255874024516014</v>
      </c>
      <c r="AP53" s="32">
        <f t="shared" si="34"/>
        <v>1.3597692497994596</v>
      </c>
      <c r="AQ53" s="32">
        <f t="shared" si="35"/>
        <v>10.387871883357226</v>
      </c>
      <c r="AR53" s="32">
        <f t="shared" si="36"/>
        <v>18.671229940366931</v>
      </c>
      <c r="AS53" s="32">
        <f t="shared" si="13"/>
        <v>14.016865740832264</v>
      </c>
      <c r="AT53" s="32">
        <f t="shared" si="14"/>
        <v>1.7297279999999999</v>
      </c>
      <c r="AU53" s="32">
        <f t="shared" si="15"/>
        <v>0.3</v>
      </c>
      <c r="AV53" s="32">
        <f t="shared" si="16"/>
        <v>5.5000000000000049E-2</v>
      </c>
      <c r="AW53" s="32">
        <f t="shared" si="17"/>
        <v>0.72921183153710156</v>
      </c>
      <c r="AX53" s="32">
        <f t="shared" si="18"/>
        <v>0.50070143361417307</v>
      </c>
      <c r="AY53" s="32">
        <f t="shared" si="19"/>
        <v>0.5566196860526692</v>
      </c>
      <c r="AZ53" s="32">
        <f t="shared" si="37"/>
        <v>0.23555027119885705</v>
      </c>
      <c r="BA53" s="32">
        <f t="shared" si="20"/>
        <v>-0.35295267118926898</v>
      </c>
      <c r="BB53" s="32">
        <f t="shared" si="38"/>
        <v>1.3767753288107309</v>
      </c>
      <c r="BC53" s="32">
        <f t="shared" si="22"/>
        <v>-0.12000000000000011</v>
      </c>
      <c r="BD53" s="32">
        <v>0</v>
      </c>
      <c r="BE53" s="32">
        <f t="shared" si="39"/>
        <v>0.61495663257563726</v>
      </c>
      <c r="BF53" s="32">
        <f t="shared" si="40"/>
        <v>5.8336946522968058E-2</v>
      </c>
      <c r="BG53" s="32">
        <f t="shared" si="41"/>
        <v>4.4119044318029398E-2</v>
      </c>
      <c r="BH53" s="32">
        <f t="shared" si="24"/>
        <v>0.19206922452840086</v>
      </c>
      <c r="BI53" s="32">
        <f t="shared" si="25"/>
        <v>7.8059073378283592E-2</v>
      </c>
      <c r="BJ53" s="32">
        <f t="shared" si="26"/>
        <v>0.27012829790668447</v>
      </c>
      <c r="BK53" s="457">
        <f t="shared" si="27"/>
        <v>0.70394996318943215</v>
      </c>
      <c r="BL53" s="2"/>
    </row>
    <row r="54" spans="1:64" ht="15">
      <c r="A54" s="119"/>
      <c r="B54" s="480">
        <f>Input!B71</f>
        <v>38036</v>
      </c>
      <c r="C54" s="481">
        <v>1</v>
      </c>
      <c r="D54" s="481">
        <f t="shared" si="28"/>
        <v>2</v>
      </c>
      <c r="E54" s="481">
        <f t="shared" si="29"/>
        <v>19</v>
      </c>
      <c r="F54" s="481">
        <f t="shared" si="0"/>
        <v>50</v>
      </c>
      <c r="G54" s="431">
        <v>1.4688000000000001</v>
      </c>
      <c r="H54" s="455">
        <v>3.48</v>
      </c>
      <c r="I54" s="455">
        <v>1.3</v>
      </c>
      <c r="J54" s="455">
        <v>0.9</v>
      </c>
      <c r="K54" s="485"/>
      <c r="L54" s="433">
        <v>100</v>
      </c>
      <c r="M54" s="455">
        <v>85</v>
      </c>
      <c r="N54" s="484">
        <f>Weather!M55</f>
        <v>0</v>
      </c>
      <c r="O54" s="481" t="str">
        <f t="shared" si="30"/>
        <v/>
      </c>
      <c r="P54" s="4">
        <f t="shared" si="42"/>
        <v>0.20151220317447621</v>
      </c>
      <c r="Q54" s="169">
        <f t="shared" si="1"/>
        <v>0.78397204359477246</v>
      </c>
      <c r="R54" s="169">
        <f t="shared" si="2"/>
        <v>0.67106385242410471</v>
      </c>
      <c r="S54" s="169">
        <f t="shared" si="3"/>
        <v>0.6663762370555566</v>
      </c>
      <c r="T54" s="169">
        <f t="shared" si="4"/>
        <v>0.67106385242410471</v>
      </c>
      <c r="U54" s="169">
        <f t="shared" si="5"/>
        <v>0.66872004473983071</v>
      </c>
      <c r="V54" s="169">
        <f t="shared" si="6"/>
        <v>5.2458558743545859E-3</v>
      </c>
      <c r="W54" s="439">
        <f t="shared" si="7"/>
        <v>1.2514062960537009</v>
      </c>
      <c r="X54" s="439">
        <f t="shared" si="8"/>
        <v>1.2514062960537009</v>
      </c>
      <c r="Y54" s="169"/>
      <c r="Z54" s="119" t="str">
        <f t="shared" si="9"/>
        <v/>
      </c>
      <c r="AA54" s="4" t="str">
        <f t="shared" si="10"/>
        <v/>
      </c>
      <c r="AB54" s="466"/>
      <c r="AC54" s="466"/>
      <c r="AD54" s="466"/>
      <c r="AE54" s="466"/>
      <c r="AF54" s="466"/>
      <c r="AG54" s="466"/>
      <c r="AH54" s="466"/>
      <c r="AI54" s="466"/>
      <c r="AJ54" s="466"/>
      <c r="AK54" s="466"/>
      <c r="AL54" s="466"/>
      <c r="AM54" s="462">
        <f t="shared" si="11"/>
        <v>50</v>
      </c>
      <c r="AN54" s="32">
        <f t="shared" si="32"/>
        <v>1.0215126668639976</v>
      </c>
      <c r="AO54" s="32">
        <f t="shared" si="33"/>
        <v>-0.2065124223366139</v>
      </c>
      <c r="AP54" s="32">
        <f t="shared" si="34"/>
        <v>1.3660379293265765</v>
      </c>
      <c r="AQ54" s="32">
        <f t="shared" si="35"/>
        <v>10.435761067360406</v>
      </c>
      <c r="AR54" s="32">
        <f t="shared" si="36"/>
        <v>18.912859085194189</v>
      </c>
      <c r="AS54" s="32">
        <f t="shared" si="13"/>
        <v>14.198261572436982</v>
      </c>
      <c r="AT54" s="32">
        <f t="shared" si="14"/>
        <v>1.1309760000000002</v>
      </c>
      <c r="AU54" s="32">
        <f t="shared" si="15"/>
        <v>0.3</v>
      </c>
      <c r="AV54" s="32">
        <f t="shared" si="16"/>
        <v>5.5000000000000049E-2</v>
      </c>
      <c r="AW54" s="32">
        <f t="shared" si="17"/>
        <v>0.78397204359477246</v>
      </c>
      <c r="AX54" s="32">
        <f t="shared" si="18"/>
        <v>0.67106385242410471</v>
      </c>
      <c r="AY54" s="32">
        <f t="shared" si="19"/>
        <v>0.6687200447398306</v>
      </c>
      <c r="AZ54" s="32">
        <f t="shared" si="37"/>
        <v>0.22551457351740931</v>
      </c>
      <c r="BA54" s="32">
        <f t="shared" si="20"/>
        <v>-0.35035859338699932</v>
      </c>
      <c r="BB54" s="32">
        <f t="shared" si="38"/>
        <v>0.78061740661300094</v>
      </c>
      <c r="BC54" s="32">
        <f t="shared" si="22"/>
        <v>2.39</v>
      </c>
      <c r="BD54" s="32">
        <v>0</v>
      </c>
      <c r="BE54" s="32">
        <f t="shared" si="39"/>
        <v>0.72751794800943859</v>
      </c>
      <c r="BF54" s="32">
        <f t="shared" si="40"/>
        <v>5.8797903269607987E-2</v>
      </c>
      <c r="BG54" s="32">
        <f t="shared" si="41"/>
        <v>5.1768294971071036E-2</v>
      </c>
      <c r="BH54" s="32">
        <f t="shared" si="24"/>
        <v>0.11826175275186164</v>
      </c>
      <c r="BI54" s="32">
        <f t="shared" si="25"/>
        <v>8.3250450422614586E-2</v>
      </c>
      <c r="BJ54" s="32">
        <f t="shared" si="26"/>
        <v>0.20151220317447621</v>
      </c>
      <c r="BK54" s="457">
        <f t="shared" si="27"/>
        <v>0.52927758770708966</v>
      </c>
      <c r="BL54" s="2"/>
    </row>
    <row r="55" spans="1:64" ht="15">
      <c r="A55" s="119"/>
      <c r="B55" s="480">
        <f>Input!B72</f>
        <v>38037</v>
      </c>
      <c r="C55" s="481">
        <v>1</v>
      </c>
      <c r="D55" s="481">
        <f t="shared" si="28"/>
        <v>2</v>
      </c>
      <c r="E55" s="481">
        <f t="shared" si="29"/>
        <v>20</v>
      </c>
      <c r="F55" s="481">
        <f t="shared" si="0"/>
        <v>51</v>
      </c>
      <c r="G55" s="431">
        <v>2.7648000000000001</v>
      </c>
      <c r="H55" s="455">
        <v>3.03</v>
      </c>
      <c r="I55" s="455">
        <v>0.6</v>
      </c>
      <c r="J55" s="455">
        <v>4.6500000000000004</v>
      </c>
      <c r="K55" s="485"/>
      <c r="L55" s="433">
        <v>99</v>
      </c>
      <c r="M55" s="455">
        <v>87</v>
      </c>
      <c r="N55" s="484">
        <f>Weather!M56</f>
        <v>0</v>
      </c>
      <c r="O55" s="481" t="str">
        <f t="shared" si="30"/>
        <v/>
      </c>
      <c r="P55" s="4">
        <f t="shared" si="42"/>
        <v>0.40302323288783826</v>
      </c>
      <c r="Q55" s="169">
        <f t="shared" si="1"/>
        <v>0.75938123606121055</v>
      </c>
      <c r="R55" s="169">
        <f t="shared" si="2"/>
        <v>0.63799196508805101</v>
      </c>
      <c r="S55" s="169">
        <f t="shared" si="3"/>
        <v>0.66066167537325315</v>
      </c>
      <c r="T55" s="169">
        <f t="shared" si="4"/>
        <v>0.63161204543717053</v>
      </c>
      <c r="U55" s="169">
        <f t="shared" si="5"/>
        <v>0.64613686040521179</v>
      </c>
      <c r="V55" s="169">
        <f t="shared" si="6"/>
        <v>3.2566164569626378E-3</v>
      </c>
      <c r="W55" s="439">
        <f t="shared" si="7"/>
        <v>0.7753200051253375</v>
      </c>
      <c r="X55" s="439">
        <f t="shared" si="8"/>
        <v>0.7753200051253375</v>
      </c>
      <c r="Y55" s="169"/>
      <c r="Z55" s="119" t="str">
        <f t="shared" si="9"/>
        <v/>
      </c>
      <c r="AA55" s="4" t="str">
        <f t="shared" si="10"/>
        <v/>
      </c>
      <c r="AB55" s="466"/>
      <c r="AC55" s="466"/>
      <c r="AD55" s="466"/>
      <c r="AE55" s="466"/>
      <c r="AF55" s="466"/>
      <c r="AG55" s="466"/>
      <c r="AH55" s="466"/>
      <c r="AI55" s="466"/>
      <c r="AJ55" s="466"/>
      <c r="AK55" s="466"/>
      <c r="AL55" s="466"/>
      <c r="AM55" s="462">
        <f t="shared" si="11"/>
        <v>51</v>
      </c>
      <c r="AN55" s="32">
        <f t="shared" si="32"/>
        <v>1.0210787309277003</v>
      </c>
      <c r="AO55" s="32">
        <f t="shared" si="33"/>
        <v>-0.20040491034042626</v>
      </c>
      <c r="AP55" s="32">
        <f t="shared" si="34"/>
        <v>1.3723457104375565</v>
      </c>
      <c r="AQ55" s="32">
        <f t="shared" si="35"/>
        <v>10.483948965460606</v>
      </c>
      <c r="AR55" s="32">
        <f t="shared" si="36"/>
        <v>19.157030469065575</v>
      </c>
      <c r="AS55" s="32">
        <f t="shared" si="13"/>
        <v>14.381565913736909</v>
      </c>
      <c r="AT55" s="32">
        <f t="shared" si="14"/>
        <v>2.1288960000000001</v>
      </c>
      <c r="AU55" s="32">
        <f t="shared" si="15"/>
        <v>0.3</v>
      </c>
      <c r="AV55" s="32">
        <f t="shared" si="16"/>
        <v>5.5000000000000049E-2</v>
      </c>
      <c r="AW55" s="32">
        <f t="shared" si="17"/>
        <v>0.75938123606121055</v>
      </c>
      <c r="AX55" s="32">
        <f t="shared" si="18"/>
        <v>0.63799196508805101</v>
      </c>
      <c r="AY55" s="32">
        <f t="shared" si="19"/>
        <v>0.64613686040521179</v>
      </c>
      <c r="AZ55" s="32">
        <f t="shared" si="37"/>
        <v>0.22746430582280949</v>
      </c>
      <c r="BA55" s="32">
        <f t="shared" si="20"/>
        <v>-0.35045524724041777</v>
      </c>
      <c r="BB55" s="32">
        <f t="shared" si="38"/>
        <v>1.7784407527595825</v>
      </c>
      <c r="BC55" s="32">
        <f t="shared" si="22"/>
        <v>1.8149999999999999</v>
      </c>
      <c r="BD55" s="32">
        <v>0</v>
      </c>
      <c r="BE55" s="32">
        <f t="shared" si="39"/>
        <v>0.69868660057463083</v>
      </c>
      <c r="BF55" s="32">
        <f t="shared" si="40"/>
        <v>5.2549740169419046E-2</v>
      </c>
      <c r="BG55" s="32">
        <f t="shared" si="41"/>
        <v>4.9922232242641994E-2</v>
      </c>
      <c r="BH55" s="32">
        <f t="shared" si="24"/>
        <v>0.16233607341375444</v>
      </c>
      <c r="BI55" s="32">
        <f t="shared" si="25"/>
        <v>0.24068715947408378</v>
      </c>
      <c r="BJ55" s="32">
        <f t="shared" si="26"/>
        <v>0.40302323288783826</v>
      </c>
      <c r="BK55" s="457">
        <f t="shared" si="27"/>
        <v>0.54989705132130318</v>
      </c>
      <c r="BL55" s="2"/>
    </row>
    <row r="56" spans="1:64" ht="15">
      <c r="A56" s="119"/>
      <c r="B56" s="480">
        <f>Input!B73</f>
        <v>38038</v>
      </c>
      <c r="C56" s="481">
        <v>1</v>
      </c>
      <c r="D56" s="481">
        <f t="shared" si="28"/>
        <v>2</v>
      </c>
      <c r="E56" s="481">
        <f t="shared" si="29"/>
        <v>21</v>
      </c>
      <c r="F56" s="481">
        <f t="shared" si="0"/>
        <v>52</v>
      </c>
      <c r="G56" s="431">
        <v>4.32</v>
      </c>
      <c r="H56" s="455">
        <v>4.3499999999999996</v>
      </c>
      <c r="I56" s="455">
        <v>-0.7</v>
      </c>
      <c r="J56" s="455">
        <v>1.65</v>
      </c>
      <c r="K56" s="485"/>
      <c r="L56" s="433">
        <v>100</v>
      </c>
      <c r="M56" s="455">
        <v>86</v>
      </c>
      <c r="N56" s="484">
        <f>Weather!M57</f>
        <v>0</v>
      </c>
      <c r="O56" s="481" t="str">
        <f t="shared" si="30"/>
        <v/>
      </c>
      <c r="P56" s="4">
        <f t="shared" si="42"/>
        <v>0.52880251796818045</v>
      </c>
      <c r="Q56" s="169">
        <f t="shared" si="1"/>
        <v>0.83351442905422246</v>
      </c>
      <c r="R56" s="169">
        <f t="shared" si="2"/>
        <v>0.58037526258967109</v>
      </c>
      <c r="S56" s="169">
        <f t="shared" si="3"/>
        <v>0.7168224089866313</v>
      </c>
      <c r="T56" s="169">
        <f t="shared" si="4"/>
        <v>0.58037526258967109</v>
      </c>
      <c r="U56" s="169">
        <f t="shared" si="5"/>
        <v>0.64859883578815114</v>
      </c>
      <c r="V56" s="169">
        <f t="shared" si="6"/>
        <v>3.4768283477653039E-3</v>
      </c>
      <c r="W56" s="439">
        <f t="shared" si="7"/>
        <v>0.82792993720032826</v>
      </c>
      <c r="X56" s="439">
        <f t="shared" si="8"/>
        <v>0.82792993720032826</v>
      </c>
      <c r="Y56" s="169"/>
      <c r="Z56" s="119" t="str">
        <f t="shared" si="9"/>
        <v/>
      </c>
      <c r="AA56" s="4" t="str">
        <f t="shared" si="10"/>
        <v/>
      </c>
      <c r="AB56" s="466"/>
      <c r="AC56" s="466"/>
      <c r="AD56" s="466"/>
      <c r="AE56" s="466"/>
      <c r="AF56" s="466"/>
      <c r="AG56" s="466"/>
      <c r="AH56" s="466"/>
      <c r="AI56" s="466"/>
      <c r="AJ56" s="466"/>
      <c r="AK56" s="466"/>
      <c r="AL56" s="466"/>
      <c r="AM56" s="462">
        <f t="shared" si="11"/>
        <v>52</v>
      </c>
      <c r="AN56" s="32">
        <f t="shared" si="32"/>
        <v>1.0206385489085132</v>
      </c>
      <c r="AO56" s="32">
        <f t="shared" si="33"/>
        <v>-0.19423801404421251</v>
      </c>
      <c r="AP56" s="32">
        <f t="shared" si="34"/>
        <v>1.3786908868408727</v>
      </c>
      <c r="AQ56" s="32">
        <f t="shared" si="35"/>
        <v>10.532422542550744</v>
      </c>
      <c r="AR56" s="32">
        <f t="shared" si="36"/>
        <v>19.403658832932599</v>
      </c>
      <c r="AS56" s="32">
        <f t="shared" si="13"/>
        <v>14.566714759059161</v>
      </c>
      <c r="AT56" s="32">
        <f t="shared" si="14"/>
        <v>3.3264000000000005</v>
      </c>
      <c r="AU56" s="32">
        <f t="shared" si="15"/>
        <v>0.3</v>
      </c>
      <c r="AV56" s="32">
        <f t="shared" si="16"/>
        <v>5.5000000000000049E-2</v>
      </c>
      <c r="AW56" s="32">
        <f t="shared" si="17"/>
        <v>0.83351442905422246</v>
      </c>
      <c r="AX56" s="32">
        <f t="shared" si="18"/>
        <v>0.58037526258967109</v>
      </c>
      <c r="AY56" s="32">
        <f t="shared" si="19"/>
        <v>0.64859883578815114</v>
      </c>
      <c r="AZ56" s="32">
        <f t="shared" si="37"/>
        <v>0.22725011227744943</v>
      </c>
      <c r="BA56" s="32">
        <f t="shared" si="20"/>
        <v>-0.35031230099324479</v>
      </c>
      <c r="BB56" s="32">
        <f t="shared" si="38"/>
        <v>2.9760876990067557</v>
      </c>
      <c r="BC56" s="32">
        <f t="shared" si="22"/>
        <v>1.8249999999999997</v>
      </c>
      <c r="BD56" s="32">
        <v>0</v>
      </c>
      <c r="BE56" s="32">
        <f t="shared" si="39"/>
        <v>0.70694484582194672</v>
      </c>
      <c r="BF56" s="32">
        <f t="shared" si="40"/>
        <v>5.8346010033795581E-2</v>
      </c>
      <c r="BG56" s="32">
        <f t="shared" si="41"/>
        <v>4.9953847736258605E-2</v>
      </c>
      <c r="BH56" s="32">
        <f t="shared" si="24"/>
        <v>0.39204567727330986</v>
      </c>
      <c r="BI56" s="32">
        <f t="shared" si="25"/>
        <v>0.13675684069487057</v>
      </c>
      <c r="BJ56" s="32">
        <f t="shared" si="26"/>
        <v>0.52880251796818045</v>
      </c>
      <c r="BK56" s="457">
        <f t="shared" si="27"/>
        <v>0.80334248640183159</v>
      </c>
      <c r="BL56" s="2"/>
    </row>
    <row r="57" spans="1:64" ht="15">
      <c r="A57" s="119"/>
      <c r="B57" s="480">
        <f>Input!B74</f>
        <v>38039</v>
      </c>
      <c r="C57" s="481">
        <v>1</v>
      </c>
      <c r="D57" s="481">
        <f t="shared" si="28"/>
        <v>2</v>
      </c>
      <c r="E57" s="481">
        <f t="shared" si="29"/>
        <v>22</v>
      </c>
      <c r="F57" s="481">
        <f t="shared" si="0"/>
        <v>53</v>
      </c>
      <c r="G57" s="431">
        <v>2.2464</v>
      </c>
      <c r="H57" s="455">
        <v>4.3600000000000003</v>
      </c>
      <c r="I57" s="455">
        <v>-1.2</v>
      </c>
      <c r="J57" s="455">
        <v>1.92</v>
      </c>
      <c r="K57" s="485"/>
      <c r="L57" s="433">
        <v>100</v>
      </c>
      <c r="M57" s="455">
        <v>83</v>
      </c>
      <c r="N57" s="484">
        <f>Weather!M58</f>
        <v>0</v>
      </c>
      <c r="O57" s="481" t="str">
        <f t="shared" si="30"/>
        <v/>
      </c>
      <c r="P57" s="4">
        <f t="shared" si="42"/>
        <v>0.35968353967974764</v>
      </c>
      <c r="Q57" s="169">
        <f t="shared" si="1"/>
        <v>0.83409957476394314</v>
      </c>
      <c r="R57" s="169">
        <f t="shared" si="2"/>
        <v>0.55947184647021497</v>
      </c>
      <c r="S57" s="169">
        <f t="shared" si="3"/>
        <v>0.69230264705407274</v>
      </c>
      <c r="T57" s="169">
        <f t="shared" si="4"/>
        <v>0.55947184647021497</v>
      </c>
      <c r="U57" s="169">
        <f t="shared" si="5"/>
        <v>0.62588724676214391</v>
      </c>
      <c r="V57" s="169">
        <f t="shared" si="6"/>
        <v>1.4128931406616771E-3</v>
      </c>
      <c r="W57" s="439">
        <f t="shared" si="7"/>
        <v>0.33575392669899923</v>
      </c>
      <c r="X57" s="439">
        <f t="shared" si="8"/>
        <v>0.33575392669899923</v>
      </c>
      <c r="Y57" s="169"/>
      <c r="Z57" s="119" t="str">
        <f t="shared" si="9"/>
        <v/>
      </c>
      <c r="AA57" s="4" t="str">
        <f t="shared" si="10"/>
        <v/>
      </c>
      <c r="AB57" s="466"/>
      <c r="AC57" s="466"/>
      <c r="AD57" s="466"/>
      <c r="AE57" s="466"/>
      <c r="AF57" s="466"/>
      <c r="AG57" s="466"/>
      <c r="AH57" s="466"/>
      <c r="AI57" s="466"/>
      <c r="AJ57" s="466"/>
      <c r="AK57" s="466"/>
      <c r="AL57" s="466"/>
      <c r="AM57" s="462">
        <f t="shared" si="11"/>
        <v>53</v>
      </c>
      <c r="AN57" s="32">
        <f t="shared" si="32"/>
        <v>1.020192251241868</v>
      </c>
      <c r="AO57" s="32">
        <f t="shared" si="33"/>
        <v>-0.18801356083243781</v>
      </c>
      <c r="AP57" s="32">
        <f t="shared" si="34"/>
        <v>1.3850717914483854</v>
      </c>
      <c r="AQ57" s="32">
        <f t="shared" si="35"/>
        <v>10.581169063015549</v>
      </c>
      <c r="AR57" s="32">
        <f t="shared" si="36"/>
        <v>19.652657408989164</v>
      </c>
      <c r="AS57" s="32">
        <f t="shared" si="13"/>
        <v>14.753642970076346</v>
      </c>
      <c r="AT57" s="32">
        <f t="shared" si="14"/>
        <v>1.7297279999999999</v>
      </c>
      <c r="AU57" s="32">
        <f t="shared" si="15"/>
        <v>0.3</v>
      </c>
      <c r="AV57" s="32">
        <f t="shared" si="16"/>
        <v>5.5000000000000049E-2</v>
      </c>
      <c r="AW57" s="32">
        <f t="shared" si="17"/>
        <v>0.83409957476394314</v>
      </c>
      <c r="AX57" s="32">
        <f t="shared" si="18"/>
        <v>0.55947184647021497</v>
      </c>
      <c r="AY57" s="32">
        <f t="shared" si="19"/>
        <v>0.62588724676214391</v>
      </c>
      <c r="AZ57" s="32">
        <f t="shared" si="37"/>
        <v>0.22924174957802007</v>
      </c>
      <c r="BA57" s="32">
        <f t="shared" si="20"/>
        <v>-0.35216287260472867</v>
      </c>
      <c r="BB57" s="32">
        <f t="shared" si="38"/>
        <v>1.3775651273952714</v>
      </c>
      <c r="BC57" s="32">
        <f t="shared" si="22"/>
        <v>1.58</v>
      </c>
      <c r="BD57" s="32">
        <v>0</v>
      </c>
      <c r="BE57" s="32">
        <f t="shared" si="39"/>
        <v>0.69678571061707906</v>
      </c>
      <c r="BF57" s="32">
        <f t="shared" si="40"/>
        <v>7.0898463854935145E-2</v>
      </c>
      <c r="BG57" s="32">
        <f t="shared" si="41"/>
        <v>4.9184200964782675E-2</v>
      </c>
      <c r="BH57" s="32">
        <f t="shared" si="24"/>
        <v>0.17265688938756513</v>
      </c>
      <c r="BI57" s="32">
        <f t="shared" si="25"/>
        <v>0.18702665029218249</v>
      </c>
      <c r="BJ57" s="32">
        <f t="shared" si="26"/>
        <v>0.35968353967974764</v>
      </c>
      <c r="BK57" s="457">
        <f t="shared" si="27"/>
        <v>0.84309051544303848</v>
      </c>
      <c r="BL57" s="2"/>
    </row>
    <row r="58" spans="1:64" ht="15">
      <c r="A58" s="119"/>
      <c r="B58" s="480">
        <f>Input!B75</f>
        <v>38040</v>
      </c>
      <c r="C58" s="481">
        <v>1</v>
      </c>
      <c r="D58" s="481">
        <f t="shared" si="28"/>
        <v>2</v>
      </c>
      <c r="E58" s="481">
        <f t="shared" si="29"/>
        <v>23</v>
      </c>
      <c r="F58" s="481">
        <f t="shared" si="0"/>
        <v>54</v>
      </c>
      <c r="G58" s="431">
        <v>9.8496000000000006</v>
      </c>
      <c r="H58" s="455">
        <v>6.97</v>
      </c>
      <c r="I58" s="455">
        <v>-0.4</v>
      </c>
      <c r="J58" s="455">
        <v>2.31</v>
      </c>
      <c r="K58" s="485"/>
      <c r="L58" s="433">
        <v>100</v>
      </c>
      <c r="M58" s="455">
        <v>79</v>
      </c>
      <c r="N58" s="484">
        <f>Weather!M59</f>
        <v>0</v>
      </c>
      <c r="O58" s="481" t="str">
        <f t="shared" si="30"/>
        <v/>
      </c>
      <c r="P58" s="4">
        <f t="shared" si="42"/>
        <v>0.83176917696877539</v>
      </c>
      <c r="Q58" s="169">
        <f t="shared" si="1"/>
        <v>0.99979648234878604</v>
      </c>
      <c r="R58" s="169">
        <f t="shared" si="2"/>
        <v>0.59324625951914634</v>
      </c>
      <c r="S58" s="169">
        <f t="shared" si="3"/>
        <v>0.78983922105554105</v>
      </c>
      <c r="T58" s="169">
        <f t="shared" si="4"/>
        <v>0.59324625951914634</v>
      </c>
      <c r="U58" s="169">
        <f t="shared" si="5"/>
        <v>0.69154274028734375</v>
      </c>
      <c r="V58" s="169">
        <f t="shared" si="6"/>
        <v>7.1890783978187127E-3</v>
      </c>
      <c r="W58" s="439">
        <f t="shared" si="7"/>
        <v>1.7183214514293599</v>
      </c>
      <c r="X58" s="439">
        <f t="shared" si="8"/>
        <v>1.7183214514293599</v>
      </c>
      <c r="Y58" s="169"/>
      <c r="Z58" s="119" t="str">
        <f t="shared" si="9"/>
        <v/>
      </c>
      <c r="AA58" s="4" t="str">
        <f t="shared" si="10"/>
        <v/>
      </c>
      <c r="AB58" s="466"/>
      <c r="AC58" s="466"/>
      <c r="AD58" s="466"/>
      <c r="AE58" s="466"/>
      <c r="AF58" s="466"/>
      <c r="AG58" s="466"/>
      <c r="AH58" s="466"/>
      <c r="AI58" s="466"/>
      <c r="AJ58" s="466"/>
      <c r="AK58" s="466"/>
      <c r="AL58" s="466"/>
      <c r="AM58" s="462">
        <f t="shared" si="11"/>
        <v>54</v>
      </c>
      <c r="AN58" s="32">
        <f t="shared" si="32"/>
        <v>1.0197399701753953</v>
      </c>
      <c r="AO58" s="32">
        <f t="shared" si="33"/>
        <v>-0.18173339514492348</v>
      </c>
      <c r="AP58" s="32">
        <f t="shared" si="34"/>
        <v>1.3914867957749137</v>
      </c>
      <c r="AQ58" s="32">
        <f t="shared" si="35"/>
        <v>10.630176086144649</v>
      </c>
      <c r="AR58" s="32">
        <f t="shared" si="36"/>
        <v>19.903937981479221</v>
      </c>
      <c r="AS58" s="32">
        <f t="shared" si="13"/>
        <v>14.942284321456082</v>
      </c>
      <c r="AT58" s="32">
        <f t="shared" si="14"/>
        <v>7.5841920000000007</v>
      </c>
      <c r="AU58" s="32">
        <f t="shared" si="15"/>
        <v>0.65917632057480391</v>
      </c>
      <c r="AV58" s="32">
        <f t="shared" si="16"/>
        <v>0.5398880327759854</v>
      </c>
      <c r="AW58" s="32">
        <f t="shared" si="17"/>
        <v>0.99979648234878604</v>
      </c>
      <c r="AX58" s="32">
        <f t="shared" si="18"/>
        <v>0.59324625951914634</v>
      </c>
      <c r="AY58" s="32">
        <f t="shared" si="19"/>
        <v>0.69154274028734375</v>
      </c>
      <c r="AZ58" s="32">
        <f t="shared" si="37"/>
        <v>0.22357733163325993</v>
      </c>
      <c r="BA58" s="32">
        <f t="shared" si="20"/>
        <v>-3.4575023133389382</v>
      </c>
      <c r="BB58" s="32">
        <f t="shared" si="38"/>
        <v>4.126689686661063</v>
      </c>
      <c r="BC58" s="32">
        <f t="shared" si="22"/>
        <v>3.2849999999999997</v>
      </c>
      <c r="BD58" s="32">
        <v>0</v>
      </c>
      <c r="BE58" s="32">
        <f t="shared" si="39"/>
        <v>0.79652137093396624</v>
      </c>
      <c r="BF58" s="32">
        <f t="shared" si="40"/>
        <v>0.10497863064662249</v>
      </c>
      <c r="BG58" s="32">
        <f t="shared" si="41"/>
        <v>5.4758320026187177E-2</v>
      </c>
      <c r="BH58" s="32">
        <f t="shared" si="24"/>
        <v>0.52809676202750078</v>
      </c>
      <c r="BI58" s="32">
        <f t="shared" si="25"/>
        <v>0.30367241494127467</v>
      </c>
      <c r="BJ58" s="32">
        <f t="shared" si="26"/>
        <v>0.83176917696877539</v>
      </c>
      <c r="BK58" s="457">
        <f t="shared" si="27"/>
        <v>1.0695672852435807</v>
      </c>
      <c r="BL58" s="2"/>
    </row>
    <row r="59" spans="1:64" ht="15">
      <c r="A59" s="119"/>
      <c r="B59" s="480">
        <f>Input!B76</f>
        <v>38041</v>
      </c>
      <c r="C59" s="481">
        <v>1</v>
      </c>
      <c r="D59" s="481">
        <f t="shared" si="28"/>
        <v>2</v>
      </c>
      <c r="E59" s="481">
        <f t="shared" si="29"/>
        <v>24</v>
      </c>
      <c r="F59" s="481">
        <f t="shared" si="0"/>
        <v>55</v>
      </c>
      <c r="G59" s="431">
        <v>2.5055999999999998</v>
      </c>
      <c r="H59" s="455">
        <v>9.52</v>
      </c>
      <c r="I59" s="455">
        <v>2.8</v>
      </c>
      <c r="J59" s="455">
        <v>1.95</v>
      </c>
      <c r="K59" s="485"/>
      <c r="L59" s="433">
        <v>99</v>
      </c>
      <c r="M59" s="455">
        <v>71</v>
      </c>
      <c r="N59" s="484">
        <f>Weather!M60</f>
        <v>0</v>
      </c>
      <c r="O59" s="481" t="str">
        <f t="shared" si="30"/>
        <v/>
      </c>
      <c r="P59" s="4">
        <f t="shared" si="42"/>
        <v>0.65738291518508896</v>
      </c>
      <c r="Q59" s="169">
        <f t="shared" si="1"/>
        <v>1.1890193262564484</v>
      </c>
      <c r="R59" s="169">
        <f t="shared" si="2"/>
        <v>0.7470775464503866</v>
      </c>
      <c r="S59" s="169">
        <f t="shared" si="3"/>
        <v>0.84420372164207824</v>
      </c>
      <c r="T59" s="169">
        <f t="shared" si="4"/>
        <v>0.73960677098588268</v>
      </c>
      <c r="U59" s="169">
        <f t="shared" si="5"/>
        <v>0.7919052463139804</v>
      </c>
      <c r="V59" s="169">
        <f t="shared" si="6"/>
        <v>1.5036026220048885E-2</v>
      </c>
      <c r="W59" s="439">
        <f t="shared" si="7"/>
        <v>3.622517286926406</v>
      </c>
      <c r="X59" s="439">
        <f t="shared" si="8"/>
        <v>3.622517286926406</v>
      </c>
      <c r="Y59" s="169"/>
      <c r="Z59" s="119" t="str">
        <f t="shared" si="9"/>
        <v/>
      </c>
      <c r="AA59" s="4" t="str">
        <f t="shared" si="10"/>
        <v/>
      </c>
      <c r="AB59" s="466"/>
      <c r="AC59" s="466"/>
      <c r="AD59" s="466"/>
      <c r="AE59" s="466"/>
      <c r="AF59" s="466"/>
      <c r="AG59" s="466"/>
      <c r="AH59" s="466"/>
      <c r="AI59" s="466"/>
      <c r="AJ59" s="466"/>
      <c r="AK59" s="466"/>
      <c r="AL59" s="466"/>
      <c r="AM59" s="462">
        <f t="shared" si="11"/>
        <v>55</v>
      </c>
      <c r="AN59" s="32">
        <f t="shared" si="32"/>
        <v>1.0192818397297361</v>
      </c>
      <c r="AO59" s="32">
        <f t="shared" si="33"/>
        <v>-0.1753993779302998</v>
      </c>
      <c r="AP59" s="32">
        <f t="shared" si="34"/>
        <v>1.3979343092501209</v>
      </c>
      <c r="AQ59" s="32">
        <f t="shared" si="35"/>
        <v>10.679431460875728</v>
      </c>
      <c r="AR59" s="32">
        <f t="shared" si="36"/>
        <v>20.157410950126859</v>
      </c>
      <c r="AS59" s="32">
        <f t="shared" si="13"/>
        <v>15.132571548479238</v>
      </c>
      <c r="AT59" s="32">
        <f t="shared" si="14"/>
        <v>1.9293119999999999</v>
      </c>
      <c r="AU59" s="32">
        <f t="shared" si="15"/>
        <v>0.3</v>
      </c>
      <c r="AV59" s="32">
        <f t="shared" si="16"/>
        <v>5.5000000000000049E-2</v>
      </c>
      <c r="AW59" s="32">
        <f t="shared" si="17"/>
        <v>1.1890193262564484</v>
      </c>
      <c r="AX59" s="32">
        <f t="shared" si="18"/>
        <v>0.7470775464503866</v>
      </c>
      <c r="AY59" s="32">
        <f t="shared" si="19"/>
        <v>0.7919052463139804</v>
      </c>
      <c r="AZ59" s="32">
        <f t="shared" si="37"/>
        <v>0.21541531864729913</v>
      </c>
      <c r="BA59" s="32">
        <f t="shared" si="20"/>
        <v>-0.35363742903909684</v>
      </c>
      <c r="BB59" s="32">
        <f t="shared" si="38"/>
        <v>1.575674570960903</v>
      </c>
      <c r="BC59" s="32">
        <f t="shared" si="22"/>
        <v>6.16</v>
      </c>
      <c r="BD59" s="32">
        <v>0</v>
      </c>
      <c r="BE59" s="32">
        <f t="shared" si="39"/>
        <v>0.96804843635341742</v>
      </c>
      <c r="BF59" s="32">
        <f t="shared" si="40"/>
        <v>0.17614319003943701</v>
      </c>
      <c r="BG59" s="32">
        <f t="shared" si="41"/>
        <v>6.5387188852497627E-2</v>
      </c>
      <c r="BH59" s="32">
        <f t="shared" si="24"/>
        <v>0.2374959178700419</v>
      </c>
      <c r="BI59" s="32">
        <f t="shared" si="25"/>
        <v>0.41988699731504703</v>
      </c>
      <c r="BJ59" s="32">
        <f t="shared" si="26"/>
        <v>0.65738291518508896</v>
      </c>
      <c r="BK59" s="457">
        <f t="shared" si="27"/>
        <v>1.1753520030246725</v>
      </c>
      <c r="BL59" s="2"/>
    </row>
    <row r="60" spans="1:64" ht="15">
      <c r="A60" s="119"/>
      <c r="B60" s="480">
        <f>Input!B77</f>
        <v>38042</v>
      </c>
      <c r="C60" s="481">
        <v>1</v>
      </c>
      <c r="D60" s="481">
        <f t="shared" si="28"/>
        <v>2</v>
      </c>
      <c r="E60" s="481">
        <f t="shared" si="29"/>
        <v>25</v>
      </c>
      <c r="F60" s="481">
        <f t="shared" si="0"/>
        <v>56</v>
      </c>
      <c r="G60" s="431">
        <v>4.1471999999999998</v>
      </c>
      <c r="H60" s="455">
        <v>9.39</v>
      </c>
      <c r="I60" s="455">
        <v>2.9</v>
      </c>
      <c r="J60" s="455">
        <v>1.62</v>
      </c>
      <c r="K60" s="485"/>
      <c r="L60" s="433">
        <v>99</v>
      </c>
      <c r="M60" s="455">
        <v>85</v>
      </c>
      <c r="N60" s="484">
        <f>Weather!M61</f>
        <v>0</v>
      </c>
      <c r="O60" s="481" t="str">
        <f t="shared" si="30"/>
        <v/>
      </c>
      <c r="P60" s="4">
        <f t="shared" si="42"/>
        <v>0.63911787151342603</v>
      </c>
      <c r="Q60" s="169">
        <f t="shared" si="1"/>
        <v>1.1786609466098228</v>
      </c>
      <c r="R60" s="169">
        <f t="shared" si="2"/>
        <v>0.75240518260483069</v>
      </c>
      <c r="S60" s="169">
        <f t="shared" si="3"/>
        <v>1.0018618046183494</v>
      </c>
      <c r="T60" s="169">
        <f t="shared" si="4"/>
        <v>0.74488113077878237</v>
      </c>
      <c r="U60" s="169">
        <f t="shared" si="5"/>
        <v>0.87337146769856588</v>
      </c>
      <c r="V60" s="169">
        <f t="shared" si="6"/>
        <v>2.0705929304745525E-2</v>
      </c>
      <c r="W60" s="439">
        <f t="shared" si="7"/>
        <v>5.0174071007371044</v>
      </c>
      <c r="X60" s="439">
        <f t="shared" si="8"/>
        <v>5.0174071007371044</v>
      </c>
      <c r="Y60" s="169"/>
      <c r="Z60" s="119" t="str">
        <f t="shared" si="9"/>
        <v/>
      </c>
      <c r="AA60" s="4" t="str">
        <f t="shared" si="10"/>
        <v/>
      </c>
      <c r="AB60" s="466"/>
      <c r="AC60" s="466"/>
      <c r="AD60" s="466"/>
      <c r="AE60" s="466"/>
      <c r="AF60" s="466"/>
      <c r="AG60" s="466"/>
      <c r="AH60" s="466"/>
      <c r="AI60" s="466"/>
      <c r="AJ60" s="466"/>
      <c r="AK60" s="466"/>
      <c r="AL60" s="466"/>
      <c r="AM60" s="462">
        <f t="shared" si="11"/>
        <v>56</v>
      </c>
      <c r="AN60" s="32">
        <f t="shared" si="32"/>
        <v>1.018817995658829</v>
      </c>
      <c r="AO60" s="32">
        <f t="shared" si="33"/>
        <v>-0.16901338609456681</v>
      </c>
      <c r="AP60" s="32">
        <f t="shared" si="34"/>
        <v>1.404412778447967</v>
      </c>
      <c r="AQ60" s="32">
        <f t="shared" si="35"/>
        <v>10.728923319908006</v>
      </c>
      <c r="AR60" s="32">
        <f t="shared" si="36"/>
        <v>20.412985396045659</v>
      </c>
      <c r="AS60" s="32">
        <f t="shared" si="13"/>
        <v>15.324436396519399</v>
      </c>
      <c r="AT60" s="32">
        <f t="shared" si="14"/>
        <v>3.1933439999999997</v>
      </c>
      <c r="AU60" s="32">
        <f t="shared" si="15"/>
        <v>0.3</v>
      </c>
      <c r="AV60" s="32">
        <f t="shared" si="16"/>
        <v>5.5000000000000049E-2</v>
      </c>
      <c r="AW60" s="32">
        <f t="shared" si="17"/>
        <v>1.1786609466098228</v>
      </c>
      <c r="AX60" s="32">
        <f t="shared" si="18"/>
        <v>0.75240518260483069</v>
      </c>
      <c r="AY60" s="32">
        <f t="shared" si="19"/>
        <v>0.87337146769856588</v>
      </c>
      <c r="AZ60" s="32">
        <f t="shared" si="37"/>
        <v>0.20916391641870394</v>
      </c>
      <c r="BA60" s="32">
        <f t="shared" si="20"/>
        <v>-0.3432810243877773</v>
      </c>
      <c r="BB60" s="32">
        <f t="shared" si="38"/>
        <v>2.8500629756122224</v>
      </c>
      <c r="BC60" s="32">
        <f t="shared" si="22"/>
        <v>6.1450000000000005</v>
      </c>
      <c r="BD60" s="32">
        <v>0</v>
      </c>
      <c r="BE60" s="32">
        <f t="shared" si="39"/>
        <v>0.9655330646073268</v>
      </c>
      <c r="BF60" s="32">
        <f t="shared" si="40"/>
        <v>9.2161596908760912E-2</v>
      </c>
      <c r="BG60" s="32">
        <f t="shared" si="41"/>
        <v>6.5327455556226335E-2</v>
      </c>
      <c r="BH60" s="32">
        <f t="shared" si="24"/>
        <v>0.44841621919911578</v>
      </c>
      <c r="BI60" s="32">
        <f t="shared" si="25"/>
        <v>0.19070165231431024</v>
      </c>
      <c r="BJ60" s="32">
        <f t="shared" si="26"/>
        <v>0.63911787151342603</v>
      </c>
      <c r="BK60" s="457">
        <f t="shared" si="27"/>
        <v>1.1689756539884655</v>
      </c>
      <c r="BL60" s="2"/>
    </row>
    <row r="61" spans="1:64" ht="15">
      <c r="A61" s="119"/>
      <c r="B61" s="480">
        <f>Input!B78</f>
        <v>38043</v>
      </c>
      <c r="C61" s="481">
        <v>1</v>
      </c>
      <c r="D61" s="481">
        <f t="shared" si="28"/>
        <v>2</v>
      </c>
      <c r="E61" s="481">
        <f t="shared" si="29"/>
        <v>26</v>
      </c>
      <c r="F61" s="481">
        <f t="shared" si="0"/>
        <v>57</v>
      </c>
      <c r="G61" s="431">
        <v>9.5904000000000007</v>
      </c>
      <c r="H61" s="455">
        <v>7.15</v>
      </c>
      <c r="I61" s="455">
        <v>2.1</v>
      </c>
      <c r="J61" s="455">
        <v>1.95</v>
      </c>
      <c r="K61" s="485"/>
      <c r="L61" s="433">
        <v>100</v>
      </c>
      <c r="M61" s="455">
        <v>86</v>
      </c>
      <c r="N61" s="484">
        <f>Weather!M62</f>
        <v>0</v>
      </c>
      <c r="O61" s="481" t="str">
        <f t="shared" si="30"/>
        <v/>
      </c>
      <c r="P61" s="4">
        <f t="shared" si="42"/>
        <v>0.79120631579769019</v>
      </c>
      <c r="Q61" s="169">
        <f t="shared" si="1"/>
        <v>1.0122244289324474</v>
      </c>
      <c r="R61" s="169">
        <f t="shared" si="2"/>
        <v>0.71070739244263414</v>
      </c>
      <c r="S61" s="169">
        <f t="shared" si="3"/>
        <v>0.87051300888190475</v>
      </c>
      <c r="T61" s="169">
        <f t="shared" si="4"/>
        <v>0.71070739244263414</v>
      </c>
      <c r="U61" s="169">
        <f t="shared" si="5"/>
        <v>0.7906102006622695</v>
      </c>
      <c r="V61" s="169">
        <f t="shared" si="6"/>
        <v>1.4941255348365831E-2</v>
      </c>
      <c r="W61" s="439">
        <f t="shared" si="7"/>
        <v>3.5993385302326297</v>
      </c>
      <c r="X61" s="439">
        <f t="shared" si="8"/>
        <v>3.5993385302326297</v>
      </c>
      <c r="Y61" s="169"/>
      <c r="Z61" s="119" t="str">
        <f t="shared" si="9"/>
        <v/>
      </c>
      <c r="AA61" s="4" t="str">
        <f t="shared" si="10"/>
        <v/>
      </c>
      <c r="AB61" s="466"/>
      <c r="AC61" s="466"/>
      <c r="AD61" s="466"/>
      <c r="AE61" s="466"/>
      <c r="AF61" s="466"/>
      <c r="AG61" s="466"/>
      <c r="AH61" s="466"/>
      <c r="AI61" s="466"/>
      <c r="AJ61" s="466"/>
      <c r="AK61" s="466"/>
      <c r="AL61" s="466"/>
      <c r="AM61" s="462">
        <f t="shared" si="11"/>
        <v>57</v>
      </c>
      <c r="AN61" s="32">
        <f t="shared" si="32"/>
        <v>1.0183485754096824</v>
      </c>
      <c r="AO61" s="32">
        <f t="shared" si="33"/>
        <v>-0.16257731194492642</v>
      </c>
      <c r="AP61" s="32">
        <f t="shared" si="34"/>
        <v>1.4109206862388146</v>
      </c>
      <c r="AQ61" s="32">
        <f t="shared" si="35"/>
        <v>10.778640073224791</v>
      </c>
      <c r="AR61" s="32">
        <f t="shared" si="36"/>
        <v>20.670569149978895</v>
      </c>
      <c r="AS61" s="32">
        <f t="shared" si="13"/>
        <v>15.517809672272158</v>
      </c>
      <c r="AT61" s="32">
        <f t="shared" si="14"/>
        <v>7.3846080000000009</v>
      </c>
      <c r="AU61" s="32">
        <f t="shared" si="15"/>
        <v>0.6180253658566589</v>
      </c>
      <c r="AV61" s="32">
        <f t="shared" si="16"/>
        <v>0.4843342439064896</v>
      </c>
      <c r="AW61" s="32">
        <f t="shared" si="17"/>
        <v>1.0122244289324474</v>
      </c>
      <c r="AX61" s="32">
        <f t="shared" si="18"/>
        <v>0.71070739244263414</v>
      </c>
      <c r="AY61" s="32">
        <f t="shared" si="19"/>
        <v>0.79061020066226939</v>
      </c>
      <c r="AZ61" s="32">
        <f t="shared" si="37"/>
        <v>0.21551723037713022</v>
      </c>
      <c r="BA61" s="32">
        <f t="shared" si="20"/>
        <v>-3.046569864695778</v>
      </c>
      <c r="BB61" s="32">
        <f t="shared" si="38"/>
        <v>4.338038135304223</v>
      </c>
      <c r="BC61" s="32">
        <f t="shared" si="22"/>
        <v>4.625</v>
      </c>
      <c r="BD61" s="32">
        <v>0</v>
      </c>
      <c r="BE61" s="32">
        <f t="shared" si="39"/>
        <v>0.86146591068754075</v>
      </c>
      <c r="BF61" s="32">
        <f t="shared" si="40"/>
        <v>7.0855710025271357E-2</v>
      </c>
      <c r="BG61" s="32">
        <f t="shared" si="41"/>
        <v>5.9511615533200495E-2</v>
      </c>
      <c r="BH61" s="32">
        <f t="shared" si="24"/>
        <v>0.61553629742314941</v>
      </c>
      <c r="BI61" s="32">
        <f t="shared" si="25"/>
        <v>0.1756700183745408</v>
      </c>
      <c r="BJ61" s="32">
        <f t="shared" si="26"/>
        <v>0.79120631579769019</v>
      </c>
      <c r="BK61" s="457">
        <f t="shared" si="27"/>
        <v>0.97789522887400848</v>
      </c>
      <c r="BL61" s="2"/>
    </row>
    <row r="62" spans="1:64" ht="15">
      <c r="A62" s="119"/>
      <c r="B62" s="480">
        <f>Input!B79</f>
        <v>38044</v>
      </c>
      <c r="C62" s="481">
        <v>1</v>
      </c>
      <c r="D62" s="481">
        <f t="shared" si="28"/>
        <v>2</v>
      </c>
      <c r="E62" s="481">
        <f t="shared" si="29"/>
        <v>27</v>
      </c>
      <c r="F62" s="481">
        <f t="shared" si="0"/>
        <v>58</v>
      </c>
      <c r="G62" s="431">
        <v>3.6288</v>
      </c>
      <c r="H62" s="455">
        <v>6.47</v>
      </c>
      <c r="I62" s="455">
        <v>0.7</v>
      </c>
      <c r="J62" s="455">
        <v>2.16</v>
      </c>
      <c r="K62" s="485"/>
      <c r="L62" s="433">
        <v>100</v>
      </c>
      <c r="M62" s="455">
        <v>86</v>
      </c>
      <c r="N62" s="484">
        <f>Weather!M63</f>
        <v>0.2</v>
      </c>
      <c r="O62" s="481" t="str">
        <f t="shared" si="30"/>
        <v/>
      </c>
      <c r="P62" s="4">
        <f t="shared" si="42"/>
        <v>0.50865297494834683</v>
      </c>
      <c r="Q62" s="169">
        <f t="shared" si="1"/>
        <v>0.96597674300154501</v>
      </c>
      <c r="R62" s="169">
        <f t="shared" si="2"/>
        <v>0.64262650414003208</v>
      </c>
      <c r="S62" s="169">
        <f t="shared" si="3"/>
        <v>0.83073999898132866</v>
      </c>
      <c r="T62" s="169">
        <f t="shared" si="4"/>
        <v>0.64262650414003208</v>
      </c>
      <c r="U62" s="169">
        <f t="shared" si="5"/>
        <v>0.73668325156068037</v>
      </c>
      <c r="V62" s="169">
        <f t="shared" si="6"/>
        <v>1.0850517989379024E-2</v>
      </c>
      <c r="W62" s="439">
        <f t="shared" si="7"/>
        <v>2.6030726050079407</v>
      </c>
      <c r="X62" s="439">
        <f t="shared" si="8"/>
        <v>2.6030726050079407</v>
      </c>
      <c r="Y62" s="169"/>
      <c r="Z62" s="119" t="str">
        <f t="shared" si="9"/>
        <v/>
      </c>
      <c r="AA62" s="4" t="str">
        <f t="shared" si="10"/>
        <v/>
      </c>
      <c r="AB62" s="466"/>
      <c r="AC62" s="466"/>
      <c r="AD62" s="466"/>
      <c r="AE62" s="466"/>
      <c r="AF62" s="466"/>
      <c r="AG62" s="466"/>
      <c r="AH62" s="466"/>
      <c r="AI62" s="466"/>
      <c r="AJ62" s="466"/>
      <c r="AK62" s="466"/>
      <c r="AL62" s="466"/>
      <c r="AM62" s="462">
        <f t="shared" si="11"/>
        <v>58</v>
      </c>
      <c r="AN62" s="32">
        <f t="shared" si="32"/>
        <v>1.0178737180816473</v>
      </c>
      <c r="AO62" s="32">
        <f t="shared" si="33"/>
        <v>-0.1560930626290509</v>
      </c>
      <c r="AP62" s="32">
        <f t="shared" si="34"/>
        <v>1.4174565508690922</v>
      </c>
      <c r="AQ62" s="32">
        <f t="shared" si="35"/>
        <v>10.828570401062622</v>
      </c>
      <c r="AR62" s="32">
        <f t="shared" si="36"/>
        <v>20.93006886271716</v>
      </c>
      <c r="AS62" s="32">
        <f t="shared" si="13"/>
        <v>15.712621296619028</v>
      </c>
      <c r="AT62" s="32">
        <f t="shared" si="14"/>
        <v>2.7941760000000002</v>
      </c>
      <c r="AU62" s="32">
        <f t="shared" si="15"/>
        <v>0.3</v>
      </c>
      <c r="AV62" s="32">
        <f t="shared" si="16"/>
        <v>5.5000000000000049E-2</v>
      </c>
      <c r="AW62" s="32">
        <f t="shared" si="17"/>
        <v>0.96597674300154501</v>
      </c>
      <c r="AX62" s="32">
        <f t="shared" si="18"/>
        <v>0.64262650414003208</v>
      </c>
      <c r="AY62" s="32">
        <f t="shared" si="19"/>
        <v>0.73668325156068037</v>
      </c>
      <c r="AZ62" s="32">
        <f t="shared" si="37"/>
        <v>0.21983764428661806</v>
      </c>
      <c r="BA62" s="32">
        <f t="shared" si="20"/>
        <v>-0.34769649073418324</v>
      </c>
      <c r="BB62" s="32">
        <f t="shared" si="38"/>
        <v>2.4464795092658171</v>
      </c>
      <c r="BC62" s="32">
        <f t="shared" si="22"/>
        <v>3.585</v>
      </c>
      <c r="BD62" s="32">
        <v>0</v>
      </c>
      <c r="BE62" s="32">
        <f t="shared" si="39"/>
        <v>0.80430162357078849</v>
      </c>
      <c r="BF62" s="32">
        <f t="shared" si="40"/>
        <v>6.7618372010108119E-2</v>
      </c>
      <c r="BG62" s="32">
        <f t="shared" si="41"/>
        <v>5.5793170237260409E-2</v>
      </c>
      <c r="BH62" s="32">
        <f t="shared" si="24"/>
        <v>0.3234189213094889</v>
      </c>
      <c r="BI62" s="32">
        <f t="shared" si="25"/>
        <v>0.18523405363885792</v>
      </c>
      <c r="BJ62" s="32">
        <f t="shared" si="26"/>
        <v>0.50865297494834683</v>
      </c>
      <c r="BK62" s="457">
        <f t="shared" si="27"/>
        <v>1.0093216059824597</v>
      </c>
      <c r="BL62" s="2"/>
    </row>
    <row r="63" spans="1:64" ht="15">
      <c r="A63" s="119"/>
      <c r="B63" s="480">
        <f>Input!B80</f>
        <v>38045</v>
      </c>
      <c r="C63" s="481">
        <v>1</v>
      </c>
      <c r="D63" s="481">
        <f t="shared" si="28"/>
        <v>2</v>
      </c>
      <c r="E63" s="481">
        <f t="shared" si="29"/>
        <v>28</v>
      </c>
      <c r="F63" s="481">
        <f t="shared" si="0"/>
        <v>59</v>
      </c>
      <c r="G63" s="431">
        <v>10.7136</v>
      </c>
      <c r="H63" s="455">
        <v>7.32</v>
      </c>
      <c r="I63" s="455">
        <v>-0.2</v>
      </c>
      <c r="J63" s="455">
        <v>1.65</v>
      </c>
      <c r="K63" s="485"/>
      <c r="L63" s="433">
        <v>99</v>
      </c>
      <c r="M63" s="455">
        <v>86</v>
      </c>
      <c r="N63" s="484">
        <f>Weather!M64</f>
        <v>0</v>
      </c>
      <c r="O63" s="481" t="str">
        <f t="shared" si="30"/>
        <v/>
      </c>
      <c r="P63" s="4">
        <f t="shared" si="42"/>
        <v>0.83577336875360686</v>
      </c>
      <c r="Q63" s="169">
        <f t="shared" si="1"/>
        <v>1.0240866553893999</v>
      </c>
      <c r="R63" s="169">
        <f t="shared" si="2"/>
        <v>0.6019665508469253</v>
      </c>
      <c r="S63" s="169">
        <f t="shared" si="3"/>
        <v>0.88071452363488389</v>
      </c>
      <c r="T63" s="169">
        <f t="shared" si="4"/>
        <v>0.59594688533845608</v>
      </c>
      <c r="U63" s="169">
        <f t="shared" si="5"/>
        <v>0.73833070448667004</v>
      </c>
      <c r="V63" s="169">
        <f t="shared" si="6"/>
        <v>1.0979864501774296E-2</v>
      </c>
      <c r="W63" s="439">
        <f t="shared" si="7"/>
        <v>2.6344477253321958</v>
      </c>
      <c r="X63" s="439">
        <f t="shared" si="8"/>
        <v>2.6344477253321958</v>
      </c>
      <c r="Y63" s="169"/>
      <c r="Z63" s="119" t="str">
        <f t="shared" si="9"/>
        <v/>
      </c>
      <c r="AA63" s="4" t="str">
        <f t="shared" si="10"/>
        <v/>
      </c>
      <c r="AB63" s="466"/>
      <c r="AC63" s="466"/>
      <c r="AD63" s="466"/>
      <c r="AE63" s="466"/>
      <c r="AF63" s="466"/>
      <c r="AG63" s="466"/>
      <c r="AH63" s="466"/>
      <c r="AI63" s="466"/>
      <c r="AJ63" s="466"/>
      <c r="AK63" s="466"/>
      <c r="AL63" s="466"/>
      <c r="AM63" s="462">
        <f t="shared" si="11"/>
        <v>59</v>
      </c>
      <c r="AN63" s="32">
        <f t="shared" si="32"/>
        <v>1.0173935643851983</v>
      </c>
      <c r="AO63" s="32">
        <f t="shared" si="33"/>
        <v>-0.14956255956995423</v>
      </c>
      <c r="AP63" s="32">
        <f t="shared" si="34"/>
        <v>1.4240189249732551</v>
      </c>
      <c r="AQ63" s="32">
        <f t="shared" si="35"/>
        <v>10.878703246363218</v>
      </c>
      <c r="AR63" s="32">
        <f t="shared" si="36"/>
        <v>21.191390077535701</v>
      </c>
      <c r="AS63" s="32">
        <f t="shared" si="13"/>
        <v>15.908800359007602</v>
      </c>
      <c r="AT63" s="32">
        <f t="shared" si="14"/>
        <v>8.249471999999999</v>
      </c>
      <c r="AU63" s="32">
        <f t="shared" si="15"/>
        <v>0.67343858482289221</v>
      </c>
      <c r="AV63" s="32">
        <f t="shared" si="16"/>
        <v>0.55914208951090461</v>
      </c>
      <c r="AW63" s="32">
        <f t="shared" si="17"/>
        <v>1.0240866553893999</v>
      </c>
      <c r="AX63" s="32">
        <f t="shared" si="18"/>
        <v>0.6019665508469253</v>
      </c>
      <c r="AY63" s="32">
        <f t="shared" si="19"/>
        <v>0.73833070448666993</v>
      </c>
      <c r="AZ63" s="32">
        <f t="shared" si="37"/>
        <v>0.21970335911614686</v>
      </c>
      <c r="BA63" s="32">
        <f t="shared" si="20"/>
        <v>-3.5329318260528355</v>
      </c>
      <c r="BB63" s="32">
        <f t="shared" si="38"/>
        <v>4.7165401739471635</v>
      </c>
      <c r="BC63" s="32">
        <f t="shared" si="22"/>
        <v>3.56</v>
      </c>
      <c r="BD63" s="32">
        <v>0</v>
      </c>
      <c r="BE63" s="32">
        <f t="shared" si="39"/>
        <v>0.81302660311816255</v>
      </c>
      <c r="BF63" s="32">
        <f t="shared" si="40"/>
        <v>7.4695898631492619E-2</v>
      </c>
      <c r="BG63" s="32">
        <f t="shared" si="41"/>
        <v>5.5706296629071533E-2</v>
      </c>
      <c r="BH63" s="32">
        <f t="shared" si="24"/>
        <v>0.66802928848546539</v>
      </c>
      <c r="BI63" s="32">
        <f t="shared" si="25"/>
        <v>0.16774408026814147</v>
      </c>
      <c r="BJ63" s="32">
        <f t="shared" si="26"/>
        <v>0.83577336875360686</v>
      </c>
      <c r="BK63" s="457">
        <f t="shared" si="27"/>
        <v>1.1652828802833384</v>
      </c>
      <c r="BL63" s="2"/>
    </row>
    <row r="64" spans="1:64" ht="15">
      <c r="A64" s="119"/>
      <c r="B64" s="480">
        <f>Input!B81</f>
        <v>38046</v>
      </c>
      <c r="C64" s="481">
        <v>1</v>
      </c>
      <c r="D64" s="481">
        <f t="shared" si="28"/>
        <v>2</v>
      </c>
      <c r="E64" s="481">
        <f t="shared" si="29"/>
        <v>29</v>
      </c>
      <c r="F64" s="481">
        <f t="shared" si="0"/>
        <v>60</v>
      </c>
      <c r="G64" s="431">
        <v>14.3424</v>
      </c>
      <c r="H64" s="455">
        <v>10.33</v>
      </c>
      <c r="I64" s="455">
        <v>4.8</v>
      </c>
      <c r="J64" s="455">
        <v>2.95</v>
      </c>
      <c r="K64" s="485"/>
      <c r="L64" s="433">
        <v>100</v>
      </c>
      <c r="M64" s="455">
        <v>75</v>
      </c>
      <c r="N64" s="484">
        <f>Weather!M65</f>
        <v>0</v>
      </c>
      <c r="O64" s="481" t="str">
        <f t="shared" si="30"/>
        <v/>
      </c>
      <c r="P64" s="4">
        <f t="shared" si="42"/>
        <v>1.2856834746038537</v>
      </c>
      <c r="Q64" s="169">
        <f t="shared" si="1"/>
        <v>1.2553825328742463</v>
      </c>
      <c r="R64" s="169">
        <f t="shared" si="2"/>
        <v>0.8602074134922596</v>
      </c>
      <c r="S64" s="169">
        <f t="shared" si="3"/>
        <v>0.94153689965568477</v>
      </c>
      <c r="T64" s="169">
        <f t="shared" si="4"/>
        <v>0.8602074134922596</v>
      </c>
      <c r="U64" s="169">
        <f t="shared" si="5"/>
        <v>0.90087215657397213</v>
      </c>
      <c r="V64" s="169">
        <f t="shared" si="6"/>
        <v>2.2501087643399666E-2</v>
      </c>
      <c r="W64" s="439">
        <f t="shared" si="7"/>
        <v>5.4624184541607352</v>
      </c>
      <c r="X64" s="439">
        <f t="shared" si="8"/>
        <v>5.4624184541607352</v>
      </c>
      <c r="Y64" s="169"/>
      <c r="Z64" s="119" t="str">
        <f t="shared" si="9"/>
        <v/>
      </c>
      <c r="AA64" s="4" t="str">
        <f t="shared" si="10"/>
        <v/>
      </c>
      <c r="AB64" s="466"/>
      <c r="AC64" s="466"/>
      <c r="AD64" s="466"/>
      <c r="AE64" s="466"/>
      <c r="AF64" s="466"/>
      <c r="AG64" s="466"/>
      <c r="AH64" s="466"/>
      <c r="AI64" s="466"/>
      <c r="AJ64" s="466"/>
      <c r="AK64" s="466"/>
      <c r="AL64" s="466"/>
      <c r="AM64" s="462">
        <f t="shared" si="11"/>
        <v>60</v>
      </c>
      <c r="AN64" s="32">
        <f t="shared" si="32"/>
        <v>1.0169082566002381</v>
      </c>
      <c r="AO64" s="32">
        <f t="shared" si="33"/>
        <v>-0.14298773789663263</v>
      </c>
      <c r="AP64" s="32">
        <f t="shared" si="34"/>
        <v>1.4306063945225884</v>
      </c>
      <c r="AQ64" s="32">
        <f t="shared" si="35"/>
        <v>10.929027806742919</v>
      </c>
      <c r="AR64" s="32">
        <f t="shared" si="36"/>
        <v>21.454437304489844</v>
      </c>
      <c r="AS64" s="32">
        <f t="shared" si="13"/>
        <v>16.106275173226617</v>
      </c>
      <c r="AT64" s="32">
        <f t="shared" si="14"/>
        <v>11.043647999999999</v>
      </c>
      <c r="AU64" s="32">
        <f t="shared" si="15"/>
        <v>0.89048522055809043</v>
      </c>
      <c r="AV64" s="32">
        <f t="shared" si="16"/>
        <v>0.85215504775342221</v>
      </c>
      <c r="AW64" s="32">
        <f t="shared" si="17"/>
        <v>1.2553825328742463</v>
      </c>
      <c r="AX64" s="32">
        <f t="shared" si="18"/>
        <v>0.8602074134922596</v>
      </c>
      <c r="AY64" s="32">
        <f t="shared" si="19"/>
        <v>0.90087215657397213</v>
      </c>
      <c r="AZ64" s="32">
        <f t="shared" si="37"/>
        <v>0.20712000049349091</v>
      </c>
      <c r="BA64" s="32">
        <f t="shared" si="20"/>
        <v>-5.3734344978399404</v>
      </c>
      <c r="BB64" s="32">
        <f t="shared" si="38"/>
        <v>5.6702135021600588</v>
      </c>
      <c r="BC64" s="32">
        <f t="shared" si="22"/>
        <v>7.5649999999999995</v>
      </c>
      <c r="BD64" s="32">
        <v>0</v>
      </c>
      <c r="BE64" s="32">
        <f t="shared" si="39"/>
        <v>1.057794973183253</v>
      </c>
      <c r="BF64" s="32">
        <f t="shared" si="40"/>
        <v>0.15692281660928087</v>
      </c>
      <c r="BG64" s="32">
        <f t="shared" si="41"/>
        <v>7.119361375819297E-2</v>
      </c>
      <c r="BH64" s="32">
        <f t="shared" si="24"/>
        <v>0.80100232095827495</v>
      </c>
      <c r="BI64" s="32">
        <f t="shared" si="25"/>
        <v>0.48468115364557879</v>
      </c>
      <c r="BJ64" s="32">
        <f t="shared" si="26"/>
        <v>1.2856834746038537</v>
      </c>
      <c r="BK64" s="457">
        <f t="shared" si="27"/>
        <v>1.2013686992166073</v>
      </c>
      <c r="BL64" s="2"/>
    </row>
    <row r="65" spans="1:64" ht="15">
      <c r="A65" s="119"/>
      <c r="B65" s="480">
        <f>Input!B82</f>
        <v>38047</v>
      </c>
      <c r="C65" s="481">
        <v>1</v>
      </c>
      <c r="D65" s="481">
        <f t="shared" si="28"/>
        <v>3</v>
      </c>
      <c r="E65" s="481">
        <f t="shared" si="29"/>
        <v>1</v>
      </c>
      <c r="F65" s="481">
        <f t="shared" si="0"/>
        <v>61</v>
      </c>
      <c r="G65" s="431">
        <v>10.1088</v>
      </c>
      <c r="H65" s="455">
        <v>9.5500000000000007</v>
      </c>
      <c r="I65" s="455">
        <v>1.2</v>
      </c>
      <c r="J65" s="455">
        <v>0.95</v>
      </c>
      <c r="K65" s="485"/>
      <c r="L65" s="433">
        <v>97</v>
      </c>
      <c r="M65" s="455">
        <v>86</v>
      </c>
      <c r="N65" s="484">
        <f>Weather!M66</f>
        <v>0</v>
      </c>
      <c r="O65" s="481" t="str">
        <f t="shared" si="30"/>
        <v/>
      </c>
      <c r="P65" s="4">
        <f t="shared" si="42"/>
        <v>0.92411704693883201</v>
      </c>
      <c r="Q65" s="169">
        <f t="shared" si="1"/>
        <v>1.1914210608745304</v>
      </c>
      <c r="R65" s="169">
        <f t="shared" si="2"/>
        <v>0.66624845405223598</v>
      </c>
      <c r="S65" s="169">
        <f t="shared" si="3"/>
        <v>1.024622112352096</v>
      </c>
      <c r="T65" s="169">
        <f t="shared" si="4"/>
        <v>0.64626100043066892</v>
      </c>
      <c r="U65" s="169">
        <f t="shared" si="5"/>
        <v>0.8354415563913824</v>
      </c>
      <c r="V65" s="169">
        <f t="shared" si="6"/>
        <v>1.8134963623924506E-2</v>
      </c>
      <c r="W65" s="439">
        <f t="shared" si="7"/>
        <v>4.3829107958061355</v>
      </c>
      <c r="X65" s="439">
        <f t="shared" si="8"/>
        <v>4.3829107958061355</v>
      </c>
      <c r="Y65" s="169"/>
      <c r="Z65" s="119" t="str">
        <f t="shared" si="9"/>
        <v/>
      </c>
      <c r="AA65" s="4" t="str">
        <f t="shared" si="10"/>
        <v/>
      </c>
      <c r="AB65" s="466"/>
      <c r="AC65" s="466"/>
      <c r="AD65" s="466"/>
      <c r="AE65" s="466"/>
      <c r="AF65" s="466"/>
      <c r="AG65" s="466"/>
      <c r="AH65" s="466"/>
      <c r="AI65" s="466"/>
      <c r="AJ65" s="466"/>
      <c r="AK65" s="466"/>
      <c r="AL65" s="466"/>
      <c r="AM65" s="462">
        <f t="shared" si="11"/>
        <v>61</v>
      </c>
      <c r="AN65" s="32">
        <f t="shared" si="32"/>
        <v>1.0164179385339369</v>
      </c>
      <c r="AO65" s="32">
        <f t="shared" si="33"/>
        <v>-0.13637054587064404</v>
      </c>
      <c r="AP65" s="32">
        <f t="shared" si="34"/>
        <v>1.4372175777152121</v>
      </c>
      <c r="AQ65" s="32">
        <f t="shared" si="35"/>
        <v>10.97953352601294</v>
      </c>
      <c r="AR65" s="32">
        <f t="shared" si="36"/>
        <v>21.719114096402865</v>
      </c>
      <c r="AS65" s="32">
        <f t="shared" si="13"/>
        <v>16.30497333445156</v>
      </c>
      <c r="AT65" s="32">
        <f t="shared" si="14"/>
        <v>7.7837760000000005</v>
      </c>
      <c r="AU65" s="32">
        <f t="shared" si="15"/>
        <v>0.61998261466890181</v>
      </c>
      <c r="AV65" s="32">
        <f t="shared" si="16"/>
        <v>0.48697652980301753</v>
      </c>
      <c r="AW65" s="32">
        <f t="shared" si="17"/>
        <v>1.1914210608745304</v>
      </c>
      <c r="AX65" s="32">
        <f t="shared" si="18"/>
        <v>0.66624845405223598</v>
      </c>
      <c r="AY65" s="32">
        <f t="shared" si="19"/>
        <v>0.8354415563913824</v>
      </c>
      <c r="AZ65" s="32">
        <f t="shared" si="37"/>
        <v>0.21203651104603669</v>
      </c>
      <c r="BA65" s="32">
        <f t="shared" si="20"/>
        <v>-3.0489942842436912</v>
      </c>
      <c r="BB65" s="32">
        <f t="shared" si="38"/>
        <v>4.7347817157563092</v>
      </c>
      <c r="BC65" s="32">
        <f t="shared" si="22"/>
        <v>5.375</v>
      </c>
      <c r="BD65" s="32">
        <v>0</v>
      </c>
      <c r="BE65" s="32">
        <f t="shared" si="39"/>
        <v>0.92883475746338318</v>
      </c>
      <c r="BF65" s="32">
        <f t="shared" si="40"/>
        <v>9.3393201072000775E-2</v>
      </c>
      <c r="BG65" s="32">
        <f t="shared" si="41"/>
        <v>6.2323235292705566E-2</v>
      </c>
      <c r="BH65" s="32">
        <f t="shared" si="24"/>
        <v>0.79672171139619519</v>
      </c>
      <c r="BI65" s="32">
        <f t="shared" si="25"/>
        <v>0.12739533554263688</v>
      </c>
      <c r="BJ65" s="32">
        <f t="shared" si="26"/>
        <v>0.92411704693883201</v>
      </c>
      <c r="BK65" s="457">
        <f t="shared" si="27"/>
        <v>1.3654218207042086</v>
      </c>
      <c r="BL65" s="2"/>
    </row>
    <row r="66" spans="1:64" ht="15">
      <c r="A66" s="119"/>
      <c r="B66" s="480">
        <f>Input!B83</f>
        <v>38048</v>
      </c>
      <c r="C66" s="481">
        <v>1</v>
      </c>
      <c r="D66" s="481">
        <f t="shared" si="28"/>
        <v>3</v>
      </c>
      <c r="E66" s="481">
        <f t="shared" si="29"/>
        <v>2</v>
      </c>
      <c r="F66" s="481">
        <f t="shared" si="0"/>
        <v>62</v>
      </c>
      <c r="G66" s="431">
        <v>11.5776</v>
      </c>
      <c r="H66" s="455">
        <v>11.25</v>
      </c>
      <c r="I66" s="455">
        <v>2.7</v>
      </c>
      <c r="J66" s="455">
        <v>1.39</v>
      </c>
      <c r="K66" s="485"/>
      <c r="L66" s="433">
        <v>97</v>
      </c>
      <c r="M66" s="455">
        <v>86</v>
      </c>
      <c r="N66" s="484">
        <f>Weather!M67</f>
        <v>0</v>
      </c>
      <c r="O66" s="481" t="str">
        <f t="shared" si="30"/>
        <v/>
      </c>
      <c r="P66" s="4">
        <f t="shared" si="42"/>
        <v>1.0608928706242404</v>
      </c>
      <c r="Q66" s="169">
        <f t="shared" si="1"/>
        <v>1.3346886720571096</v>
      </c>
      <c r="R66" s="169">
        <f t="shared" si="2"/>
        <v>0.74178324165807108</v>
      </c>
      <c r="S66" s="169">
        <f t="shared" si="3"/>
        <v>1.1478322579691143</v>
      </c>
      <c r="T66" s="169">
        <f t="shared" si="4"/>
        <v>0.71952974440832895</v>
      </c>
      <c r="U66" s="169">
        <f t="shared" si="5"/>
        <v>0.93368100118872155</v>
      </c>
      <c r="V66" s="169">
        <f t="shared" si="6"/>
        <v>2.4572395255527697E-2</v>
      </c>
      <c r="W66" s="439">
        <f t="shared" si="7"/>
        <v>5.9779212375932778</v>
      </c>
      <c r="X66" s="439">
        <f t="shared" si="8"/>
        <v>5.9779212375932778</v>
      </c>
      <c r="Y66" s="169"/>
      <c r="Z66" s="119" t="str">
        <f t="shared" si="9"/>
        <v/>
      </c>
      <c r="AA66" s="4" t="str">
        <f t="shared" si="10"/>
        <v/>
      </c>
      <c r="AB66" s="466"/>
      <c r="AC66" s="466"/>
      <c r="AD66" s="466"/>
      <c r="AE66" s="466"/>
      <c r="AF66" s="466"/>
      <c r="AG66" s="466"/>
      <c r="AH66" s="466"/>
      <c r="AI66" s="466"/>
      <c r="AJ66" s="466"/>
      <c r="AK66" s="466"/>
      <c r="AL66" s="466"/>
      <c r="AM66" s="462">
        <f t="shared" si="11"/>
        <v>62</v>
      </c>
      <c r="AN66" s="32">
        <f t="shared" si="32"/>
        <v>1.0159227554781203</v>
      </c>
      <c r="AO66" s="32">
        <f t="shared" si="33"/>
        <v>-0.12971294430879665</v>
      </c>
      <c r="AP66" s="32">
        <f t="shared" si="34"/>
        <v>1.4438511238114637</v>
      </c>
      <c r="AQ66" s="32">
        <f t="shared" si="35"/>
        <v>11.030210085282366</v>
      </c>
      <c r="AR66" s="32">
        <f t="shared" si="36"/>
        <v>21.98532312637828</v>
      </c>
      <c r="AS66" s="32">
        <f t="shared" si="13"/>
        <v>16.504821777434703</v>
      </c>
      <c r="AT66" s="32">
        <f t="shared" si="14"/>
        <v>8.914752</v>
      </c>
      <c r="AU66" s="32">
        <f t="shared" si="15"/>
        <v>0.7014677381023785</v>
      </c>
      <c r="AV66" s="32">
        <f t="shared" si="16"/>
        <v>0.59698144643821105</v>
      </c>
      <c r="AW66" s="32">
        <f t="shared" si="17"/>
        <v>1.3346886720571096</v>
      </c>
      <c r="AX66" s="32">
        <f t="shared" si="18"/>
        <v>0.74178324165807108</v>
      </c>
      <c r="AY66" s="32">
        <f t="shared" si="19"/>
        <v>0.93368100118872155</v>
      </c>
      <c r="AZ66" s="32">
        <f t="shared" si="37"/>
        <v>0.20472196178500024</v>
      </c>
      <c r="BA66" s="32">
        <f t="shared" si="20"/>
        <v>-3.6926258731677994</v>
      </c>
      <c r="BB66" s="32">
        <f t="shared" si="38"/>
        <v>5.222126126832201</v>
      </c>
      <c r="BC66" s="32">
        <f t="shared" si="22"/>
        <v>6.9749999999999996</v>
      </c>
      <c r="BD66" s="32">
        <v>0</v>
      </c>
      <c r="BE66" s="32">
        <f t="shared" si="39"/>
        <v>1.0382359568575903</v>
      </c>
      <c r="BF66" s="32">
        <f t="shared" si="40"/>
        <v>0.10455495566886874</v>
      </c>
      <c r="BG66" s="32">
        <f t="shared" si="41"/>
        <v>6.8703777961038506E-2</v>
      </c>
      <c r="BH66" s="32">
        <f t="shared" si="24"/>
        <v>0.87374493013902443</v>
      </c>
      <c r="BI66" s="32">
        <f t="shared" si="25"/>
        <v>0.18714794048521594</v>
      </c>
      <c r="BJ66" s="32">
        <f t="shared" si="26"/>
        <v>1.0608928706242404</v>
      </c>
      <c r="BK66" s="457">
        <f t="shared" si="27"/>
        <v>1.4951725843179671</v>
      </c>
      <c r="BL66" s="2"/>
    </row>
    <row r="67" spans="1:64" ht="15">
      <c r="A67" s="119"/>
      <c r="B67" s="480">
        <f>Input!B84</f>
        <v>38049</v>
      </c>
      <c r="C67" s="481">
        <v>1</v>
      </c>
      <c r="D67" s="481">
        <f t="shared" si="28"/>
        <v>3</v>
      </c>
      <c r="E67" s="481">
        <f t="shared" si="29"/>
        <v>3</v>
      </c>
      <c r="F67" s="481">
        <f t="shared" si="0"/>
        <v>63</v>
      </c>
      <c r="G67" s="431">
        <v>8.5535999999999994</v>
      </c>
      <c r="H67" s="455">
        <v>10.8</v>
      </c>
      <c r="I67" s="455">
        <v>2.6</v>
      </c>
      <c r="J67" s="455">
        <v>1.37</v>
      </c>
      <c r="K67" s="485"/>
      <c r="L67" s="433">
        <v>88</v>
      </c>
      <c r="M67" s="455">
        <v>87</v>
      </c>
      <c r="N67" s="484">
        <f>Weather!M68</f>
        <v>0</v>
      </c>
      <c r="O67" s="481" t="str">
        <f t="shared" si="30"/>
        <v/>
      </c>
      <c r="P67" s="4">
        <f t="shared" si="42"/>
        <v>0.96808272715190891</v>
      </c>
      <c r="Q67" s="169">
        <f t="shared" si="1"/>
        <v>1.2953640863937455</v>
      </c>
      <c r="R67" s="169">
        <f t="shared" si="2"/>
        <v>0.73652208904469807</v>
      </c>
      <c r="S67" s="169">
        <f t="shared" si="3"/>
        <v>1.1269667551625586</v>
      </c>
      <c r="T67" s="169">
        <f t="shared" si="4"/>
        <v>0.6481394383593343</v>
      </c>
      <c r="U67" s="169">
        <f t="shared" si="5"/>
        <v>0.8875530967609464</v>
      </c>
      <c r="V67" s="169">
        <f t="shared" si="6"/>
        <v>2.1638608775436448E-2</v>
      </c>
      <c r="W67" s="439">
        <f t="shared" si="7"/>
        <v>5.2484101564801708</v>
      </c>
      <c r="X67" s="439">
        <f t="shared" si="8"/>
        <v>5.2484101564801708</v>
      </c>
      <c r="Y67" s="169"/>
      <c r="Z67" s="119" t="str">
        <f t="shared" si="9"/>
        <v/>
      </c>
      <c r="AA67" s="4" t="str">
        <f t="shared" si="10"/>
        <v/>
      </c>
      <c r="AB67" s="466"/>
      <c r="AC67" s="466"/>
      <c r="AD67" s="466"/>
      <c r="AE67" s="466"/>
      <c r="AF67" s="466"/>
      <c r="AG67" s="466"/>
      <c r="AH67" s="466"/>
      <c r="AI67" s="466"/>
      <c r="AJ67" s="466"/>
      <c r="AK67" s="466"/>
      <c r="AL67" s="466"/>
      <c r="AM67" s="462">
        <f t="shared" si="11"/>
        <v>63</v>
      </c>
      <c r="AN67" s="32">
        <f t="shared" si="32"/>
        <v>1.015422854166214</v>
      </c>
      <c r="AO67" s="32">
        <f t="shared" si="33"/>
        <v>-0.12301690600211586</v>
      </c>
      <c r="AP67" s="32">
        <f t="shared" si="34"/>
        <v>1.4505057119186424</v>
      </c>
      <c r="AQ67" s="32">
        <f t="shared" si="35"/>
        <v>11.081047393674272</v>
      </c>
      <c r="AR67" s="32">
        <f t="shared" si="36"/>
        <v>22.252966266664934</v>
      </c>
      <c r="AS67" s="32">
        <f t="shared" si="13"/>
        <v>16.705746835710702</v>
      </c>
      <c r="AT67" s="32">
        <f t="shared" si="14"/>
        <v>6.5862720000000001</v>
      </c>
      <c r="AU67" s="32">
        <f t="shared" si="15"/>
        <v>0.5120154210475385</v>
      </c>
      <c r="AV67" s="32">
        <f t="shared" si="16"/>
        <v>0.34122081841417706</v>
      </c>
      <c r="AW67" s="32">
        <f t="shared" si="17"/>
        <v>1.2953640863937455</v>
      </c>
      <c r="AX67" s="32">
        <f t="shared" si="18"/>
        <v>0.73652208904469807</v>
      </c>
      <c r="AY67" s="32">
        <f t="shared" si="19"/>
        <v>0.8875530967609464</v>
      </c>
      <c r="AZ67" s="32">
        <f t="shared" si="37"/>
        <v>0.2081059489722355</v>
      </c>
      <c r="BA67" s="32">
        <f t="shared" si="20"/>
        <v>-2.1368611867755112</v>
      </c>
      <c r="BB67" s="32">
        <f t="shared" si="38"/>
        <v>4.4494108132244889</v>
      </c>
      <c r="BC67" s="32">
        <f t="shared" si="22"/>
        <v>6.7</v>
      </c>
      <c r="BD67" s="32">
        <v>0</v>
      </c>
      <c r="BE67" s="32">
        <f t="shared" si="39"/>
        <v>1.0159430877192217</v>
      </c>
      <c r="BF67" s="32">
        <f t="shared" si="40"/>
        <v>0.1283899909582753</v>
      </c>
      <c r="BG67" s="32">
        <f t="shared" si="41"/>
        <v>6.756895664705527E-2</v>
      </c>
      <c r="BH67" s="32">
        <f t="shared" si="24"/>
        <v>0.73918121485911248</v>
      </c>
      <c r="BI67" s="32">
        <f t="shared" si="25"/>
        <v>0.2289015122927964</v>
      </c>
      <c r="BJ67" s="32">
        <f t="shared" si="26"/>
        <v>0.96808272715190891</v>
      </c>
      <c r="BK67" s="457">
        <f t="shared" si="27"/>
        <v>1.4656243500128734</v>
      </c>
      <c r="BL67" s="2"/>
    </row>
    <row r="68" spans="1:64" ht="15">
      <c r="A68" s="119"/>
      <c r="B68" s="480">
        <f>Input!B85</f>
        <v>38050</v>
      </c>
      <c r="C68" s="481">
        <v>1</v>
      </c>
      <c r="D68" s="481">
        <f t="shared" si="28"/>
        <v>3</v>
      </c>
      <c r="E68" s="481">
        <f t="shared" si="29"/>
        <v>4</v>
      </c>
      <c r="F68" s="481">
        <f t="shared" si="0"/>
        <v>64</v>
      </c>
      <c r="G68" s="431">
        <v>7.0848000000000004</v>
      </c>
      <c r="H68" s="455">
        <v>11.15</v>
      </c>
      <c r="I68" s="455">
        <v>6.7</v>
      </c>
      <c r="J68" s="455">
        <v>1.24</v>
      </c>
      <c r="K68" s="485"/>
      <c r="L68" s="433">
        <v>99</v>
      </c>
      <c r="M68" s="455">
        <v>78</v>
      </c>
      <c r="N68" s="484">
        <f>Weather!M69</f>
        <v>0</v>
      </c>
      <c r="O68" s="481" t="str">
        <f t="shared" si="30"/>
        <v/>
      </c>
      <c r="P68" s="4">
        <f t="shared" si="42"/>
        <v>0.98359335507564682</v>
      </c>
      <c r="Q68" s="169">
        <f t="shared" si="1"/>
        <v>1.3258603740045689</v>
      </c>
      <c r="R68" s="169">
        <f t="shared" si="2"/>
        <v>0.9814065388970683</v>
      </c>
      <c r="S68" s="169">
        <f t="shared" si="3"/>
        <v>1.0341710917235638</v>
      </c>
      <c r="T68" s="169">
        <f t="shared" si="4"/>
        <v>0.97159247350809763</v>
      </c>
      <c r="U68" s="169">
        <f t="shared" si="5"/>
        <v>1.0028817826158307</v>
      </c>
      <c r="V68" s="169">
        <f t="shared" si="6"/>
        <v>2.8712411342106812E-2</v>
      </c>
      <c r="W68" s="439">
        <f t="shared" si="7"/>
        <v>7.0148690161856697</v>
      </c>
      <c r="X68" s="439">
        <f t="shared" si="8"/>
        <v>7.0148690161856697</v>
      </c>
      <c r="Y68" s="169"/>
      <c r="Z68" s="119" t="str">
        <f t="shared" si="9"/>
        <v/>
      </c>
      <c r="AA68" s="4" t="str">
        <f t="shared" si="10"/>
        <v/>
      </c>
      <c r="AB68" s="466"/>
      <c r="AC68" s="466"/>
      <c r="AD68" s="466"/>
      <c r="AE68" s="466"/>
      <c r="AF68" s="466"/>
      <c r="AG68" s="466"/>
      <c r="AH68" s="466"/>
      <c r="AI68" s="466"/>
      <c r="AJ68" s="466"/>
      <c r="AK68" s="466"/>
      <c r="AL68" s="466"/>
      <c r="AM68" s="462">
        <f t="shared" si="11"/>
        <v>64</v>
      </c>
      <c r="AN68" s="32">
        <f t="shared" si="32"/>
        <v>1.0149183827297661</v>
      </c>
      <c r="AO68" s="32">
        <f t="shared" si="33"/>
        <v>-0.11628441513126445</v>
      </c>
      <c r="AP68" s="32">
        <f t="shared" si="34"/>
        <v>1.4571800497289138</v>
      </c>
      <c r="AQ68" s="32">
        <f t="shared" si="35"/>
        <v>11.132035578684025</v>
      </c>
      <c r="AR68" s="32">
        <f t="shared" si="36"/>
        <v>22.52194466870171</v>
      </c>
      <c r="AS68" s="32">
        <f t="shared" si="13"/>
        <v>16.907674301687749</v>
      </c>
      <c r="AT68" s="32">
        <f t="shared" si="14"/>
        <v>5.4552960000000006</v>
      </c>
      <c r="AU68" s="32">
        <f t="shared" si="15"/>
        <v>0.41902865370980003</v>
      </c>
      <c r="AV68" s="32">
        <f t="shared" si="16"/>
        <v>0.21568868250823015</v>
      </c>
      <c r="AW68" s="32">
        <f t="shared" si="17"/>
        <v>1.3258603740045689</v>
      </c>
      <c r="AX68" s="32">
        <f t="shared" si="18"/>
        <v>0.9814065388970683</v>
      </c>
      <c r="AY68" s="32">
        <f t="shared" si="19"/>
        <v>1.0028817826158307</v>
      </c>
      <c r="AZ68" s="32">
        <f t="shared" si="37"/>
        <v>0.19979842033960432</v>
      </c>
      <c r="BA68" s="32">
        <f t="shared" si="20"/>
        <v>-1.3373219648638408</v>
      </c>
      <c r="BB68" s="32">
        <f t="shared" si="38"/>
        <v>4.11797403513616</v>
      </c>
      <c r="BC68" s="32">
        <f t="shared" si="22"/>
        <v>8.9250000000000007</v>
      </c>
      <c r="BD68" s="32">
        <v>0</v>
      </c>
      <c r="BE68" s="32">
        <f t="shared" si="39"/>
        <v>1.1536334564508186</v>
      </c>
      <c r="BF68" s="32">
        <f t="shared" si="40"/>
        <v>0.15075167383498789</v>
      </c>
      <c r="BG68" s="32">
        <f t="shared" si="41"/>
        <v>7.7228446022262337E-2</v>
      </c>
      <c r="BH68" s="32">
        <f t="shared" si="24"/>
        <v>0.75160459009426239</v>
      </c>
      <c r="BI68" s="32">
        <f t="shared" si="25"/>
        <v>0.23198876498138443</v>
      </c>
      <c r="BJ68" s="32">
        <f t="shared" si="26"/>
        <v>0.98359335507564682</v>
      </c>
      <c r="BK68" s="457">
        <f t="shared" si="27"/>
        <v>1.1919700910194053</v>
      </c>
      <c r="BL68" s="2"/>
    </row>
    <row r="69" spans="1:64" ht="15">
      <c r="A69" s="119"/>
      <c r="B69" s="480">
        <f>Input!B86</f>
        <v>38051</v>
      </c>
      <c r="C69" s="481">
        <v>1</v>
      </c>
      <c r="D69" s="481">
        <f t="shared" si="28"/>
        <v>3</v>
      </c>
      <c r="E69" s="481">
        <f t="shared" si="29"/>
        <v>5</v>
      </c>
      <c r="F69" s="481">
        <f t="shared" ref="F69:F132" si="43">B69-DATE(YEAR(B69)-1,12,31)</f>
        <v>65</v>
      </c>
      <c r="G69" s="431">
        <v>16.1568</v>
      </c>
      <c r="H69" s="455">
        <v>9.5500000000000007</v>
      </c>
      <c r="I69" s="455">
        <v>4.4000000000000004</v>
      </c>
      <c r="J69" s="455">
        <v>3.09</v>
      </c>
      <c r="K69" s="485"/>
      <c r="L69" s="433">
        <v>98</v>
      </c>
      <c r="M69" s="455">
        <v>81</v>
      </c>
      <c r="N69" s="484">
        <f>Weather!M70</f>
        <v>0</v>
      </c>
      <c r="O69" s="481" t="str">
        <f t="shared" si="30"/>
        <v/>
      </c>
      <c r="P69" s="4">
        <f t="shared" si="42"/>
        <v>1.2950054322307294</v>
      </c>
      <c r="Q69" s="169">
        <f t="shared" ref="Q69:Q132" si="44">IF(H69="","",0.6108*EXP((17.27*H69)/(H69+237.3)))</f>
        <v>1.1914210608745304</v>
      </c>
      <c r="R69" s="169">
        <f t="shared" ref="R69:R132" si="45">IF(I69="","",0.6108*EXP((17.27*I69)/(I69+237.3)))</f>
        <v>0.83644378261789154</v>
      </c>
      <c r="S69" s="169">
        <f t="shared" ref="S69:S132" si="46">IF(OR(M69="",Q69=""),"",M69/100*Q69)</f>
        <v>0.96505105930836965</v>
      </c>
      <c r="T69" s="169">
        <f t="shared" ref="T69:T132" si="47">IF(OR(L69="",R69=""),"",L69/100*R69)</f>
        <v>0.81971490696553373</v>
      </c>
      <c r="U69" s="169">
        <f t="shared" ref="U69:U132" si="48">IF(OR(S69="",T69=""),"",(S69+T69)/2)</f>
        <v>0.89238298313695164</v>
      </c>
      <c r="V69" s="169">
        <f t="shared" ref="V69:V132" si="49">IF(U69="","",LN(U69/0.6108)/17.27)</f>
        <v>2.1952855841478179E-2</v>
      </c>
      <c r="W69" s="439">
        <f t="shared" ref="W69:W132" si="50">IF(ISNUMBER(V69),237.3*(V69/(1-V69)),"")</f>
        <v>5.3263410892782392</v>
      </c>
      <c r="X69" s="439">
        <f t="shared" ref="X69:X132" si="51">IF(AND(K69="",W69=""),"",IF(K69="",W69,K69))</f>
        <v>5.3263410892782392</v>
      </c>
      <c r="Y69" s="169"/>
      <c r="Z69" s="119" t="str">
        <f t="shared" ref="Z69:Z132" si="52">IF(AND(B69&gt;=H$1,B69&lt;=J$1),3,"")</f>
        <v/>
      </c>
      <c r="AA69" s="4" t="str">
        <f t="shared" ref="AA69:AA132" si="53">IF(Z69=3,$P$1+0.1654*($AA$1-7.3)*($P$1-1),"")</f>
        <v/>
      </c>
      <c r="AB69" s="466"/>
      <c r="AC69" s="466"/>
      <c r="AD69" s="466"/>
      <c r="AE69" s="466"/>
      <c r="AF69" s="466"/>
      <c r="AG69" s="466"/>
      <c r="AH69" s="466"/>
      <c r="AI69" s="466"/>
      <c r="AJ69" s="466"/>
      <c r="AK69" s="466"/>
      <c r="AL69" s="466"/>
      <c r="AM69" s="462">
        <f t="shared" ref="AM69:AM132" si="54">F69</f>
        <v>65</v>
      </c>
      <c r="AN69" s="32">
        <f t="shared" si="32"/>
        <v>1.0144094906545502</v>
      </c>
      <c r="AO69" s="32">
        <f t="shared" si="33"/>
        <v>-0.10951746667858643</v>
      </c>
      <c r="AP69" s="32">
        <f t="shared" si="34"/>
        <v>1.4638728722139929</v>
      </c>
      <c r="AQ69" s="32">
        <f t="shared" si="35"/>
        <v>11.183164976207395</v>
      </c>
      <c r="AR69" s="32">
        <f t="shared" si="36"/>
        <v>22.792158844166476</v>
      </c>
      <c r="AS69" s="32">
        <f t="shared" ref="AS69:AS132" si="55">AR69*(0.75+2*10^-5*E$2)</f>
        <v>17.110529487492659</v>
      </c>
      <c r="AT69" s="32">
        <f t="shared" ref="AT69:AT132" si="56">IF(G69="","",(1-AO$1)*G69)</f>
        <v>12.440736000000001</v>
      </c>
      <c r="AU69" s="32">
        <f t="shared" ref="AU69:AU132" si="57">IF(G69="","",IF(G69/AS69&lt;0.3,0.3,IF(G69/AS69&gt;1,1,G69/AS69)))</f>
        <v>0.94426066778413786</v>
      </c>
      <c r="AV69" s="32">
        <f t="shared" ref="AV69:AV132" si="58">IF(G69="","",1.35*AU69-0.35)</f>
        <v>0.92475190150858622</v>
      </c>
      <c r="AW69" s="32">
        <f t="shared" ref="AW69:AW132" si="59">IF(H69="","",0.6108*EXP((17.27*H69)/(H69+237.3)))</f>
        <v>1.1914210608745304</v>
      </c>
      <c r="AX69" s="32">
        <f t="shared" ref="AX69:AX132" si="60">IF(I69="","",0.6108*EXP((17.27*I69)/(I69+237.3)))</f>
        <v>0.83644378261789154</v>
      </c>
      <c r="AY69" s="32">
        <f t="shared" ref="AY69:AY132" si="61">IF(X69="","",0.6108*EXP((17.27*X69)/(X69+237.3)))</f>
        <v>0.89238298313695164</v>
      </c>
      <c r="AZ69" s="32">
        <f t="shared" si="37"/>
        <v>0.20774756535517294</v>
      </c>
      <c r="BA69" s="32">
        <f t="shared" ref="BA69:BA132" si="62">IF(AV69="","",IF(AZ69="","",IF(H69="","",IF(I69="","",-AV69*AZ69*BA$1*(((H69+273.15)^4+(I69+273.15)^4)/2)))))</f>
        <v>-5.7994240556745247</v>
      </c>
      <c r="BB69" s="32">
        <f t="shared" si="38"/>
        <v>6.6413119443254764</v>
      </c>
      <c r="BC69" s="32">
        <f t="shared" ref="BC69:BC132" si="63">IF(H69="","",IF(I69="","",(H69+I69)/2))</f>
        <v>6.9750000000000005</v>
      </c>
      <c r="BD69" s="32">
        <v>0</v>
      </c>
      <c r="BE69" s="32">
        <f t="shared" si="39"/>
        <v>1.0139324217462109</v>
      </c>
      <c r="BF69" s="32">
        <f t="shared" si="40"/>
        <v>0.12154943860925926</v>
      </c>
      <c r="BG69" s="32">
        <f t="shared" si="41"/>
        <v>6.8703777961038506E-2</v>
      </c>
      <c r="BH69" s="32">
        <f t="shared" ref="BH69:BH132" si="64">IF($AY69="","",IF($G69="","",0.408*$BG69*($BB69-$BD69)/($BG69+$BA$2*(1+0.34*$J69))))</f>
        <v>0.90228114705865226</v>
      </c>
      <c r="BI69" s="32">
        <f t="shared" ref="BI69:BI132" si="65">IF($BC69="","",IF($BF69="","",IF($BG69="","",IF($J69="","",($BA$2*900/($BC69+273)*$J69*$BF69)/($BG69+$BA$2*(1+0.34*$J69))))))</f>
        <v>0.39272428517207714</v>
      </c>
      <c r="BJ69" s="32">
        <f t="shared" ref="BJ69:BJ132" si="66">IF(BH69="","",IF(BI69="","",BH69+BI69))</f>
        <v>1.2950054322307294</v>
      </c>
      <c r="BK69" s="457">
        <f t="shared" ref="BK69:BK132" si="67">IF(OR(H69="",I69=""),"",0.0023*AR69*(H69-I69)^0.5*((H69+I69)/2+17.8)/2.45)</f>
        <v>1.2029968558718906</v>
      </c>
      <c r="BL69" s="2"/>
    </row>
    <row r="70" spans="1:64" ht="15">
      <c r="A70" s="119"/>
      <c r="B70" s="480">
        <f>Input!B87</f>
        <v>38052</v>
      </c>
      <c r="C70" s="481">
        <v>1</v>
      </c>
      <c r="D70" s="481">
        <f t="shared" ref="D70:D133" si="68">MONTH(B70)</f>
        <v>3</v>
      </c>
      <c r="E70" s="481">
        <f t="shared" ref="E70:E133" si="69">DAY(B70)</f>
        <v>6</v>
      </c>
      <c r="F70" s="481">
        <f t="shared" si="43"/>
        <v>66</v>
      </c>
      <c r="G70" s="431">
        <v>17.107199999999999</v>
      </c>
      <c r="H70" s="455">
        <v>7.85</v>
      </c>
      <c r="I70" s="455">
        <v>2.1</v>
      </c>
      <c r="J70" s="455">
        <v>3.69</v>
      </c>
      <c r="K70" s="485"/>
      <c r="L70" s="433">
        <v>74</v>
      </c>
      <c r="M70" s="455">
        <v>78</v>
      </c>
      <c r="N70" s="484">
        <f>Weather!M71</f>
        <v>0</v>
      </c>
      <c r="O70" s="481" t="str">
        <f t="shared" ref="O70:O133" si="70">IF(AND(N70&lt;&gt;"",P70&lt;&gt;"",N70&gt;(P70*2)),1,"")</f>
        <v/>
      </c>
      <c r="P70" s="4">
        <f t="shared" si="42"/>
        <v>1.5724939236484043</v>
      </c>
      <c r="Q70" s="169">
        <f t="shared" si="44"/>
        <v>1.0618584386784071</v>
      </c>
      <c r="R70" s="169">
        <f t="shared" si="45"/>
        <v>0.71070739244263414</v>
      </c>
      <c r="S70" s="169">
        <f t="shared" si="46"/>
        <v>0.82824958216915756</v>
      </c>
      <c r="T70" s="169">
        <f t="shared" si="47"/>
        <v>0.52592347040754928</v>
      </c>
      <c r="U70" s="169">
        <f t="shared" si="48"/>
        <v>0.67708652628835342</v>
      </c>
      <c r="V70" s="169">
        <f t="shared" si="49"/>
        <v>5.9658077477298252E-3</v>
      </c>
      <c r="W70" s="439">
        <f t="shared" si="50"/>
        <v>1.4241825779942676</v>
      </c>
      <c r="X70" s="439">
        <f t="shared" si="51"/>
        <v>1.4241825779942676</v>
      </c>
      <c r="Y70" s="169"/>
      <c r="Z70" s="119" t="str">
        <f t="shared" si="52"/>
        <v/>
      </c>
      <c r="AA70" s="4" t="str">
        <f t="shared" si="53"/>
        <v/>
      </c>
      <c r="AB70" s="466"/>
      <c r="AC70" s="466"/>
      <c r="AD70" s="466"/>
      <c r="AE70" s="466"/>
      <c r="AF70" s="466"/>
      <c r="AG70" s="466"/>
      <c r="AH70" s="466"/>
      <c r="AI70" s="466"/>
      <c r="AJ70" s="466"/>
      <c r="AK70" s="466"/>
      <c r="AL70" s="466"/>
      <c r="AM70" s="462">
        <f t="shared" si="54"/>
        <v>66</v>
      </c>
      <c r="AN70" s="32">
        <f t="shared" ref="AN70:AN133" si="71">1+0.033*COS(2*PI()/365*AM70)</f>
        <v>1.013896328736271</v>
      </c>
      <c r="AO70" s="32">
        <f t="shared" ref="AO70:AO133" si="72">0.409*SIN(2*PI()/365*AM70-1.39)</f>
        <v>-0.10271806583695095</v>
      </c>
      <c r="AP70" s="32">
        <f t="shared" ref="AP70:AP133" si="73">ACOS(-TAN(AS$2)*TAN(AO70))</f>
        <v>1.4705829402800423</v>
      </c>
      <c r="AQ70" s="32">
        <f t="shared" ref="AQ70:AQ133" si="74">AP70*24/PI()</f>
        <v>11.234426120264748</v>
      </c>
      <c r="AR70" s="32">
        <f t="shared" ref="AR70:AR133" si="75">(24*60/PI())*AS$1*AN70*(AP70*SIN(AS$2)*SIN(AO70)+COS(AS$2)*COS(AO70)*SIN(AP70))</f>
        <v>23.063508746852509</v>
      </c>
      <c r="AS70" s="32">
        <f t="shared" si="55"/>
        <v>17.314237286437116</v>
      </c>
      <c r="AT70" s="32">
        <f t="shared" si="56"/>
        <v>13.172544</v>
      </c>
      <c r="AU70" s="32">
        <f t="shared" si="57"/>
        <v>0.98804236750299723</v>
      </c>
      <c r="AV70" s="32">
        <f t="shared" si="58"/>
        <v>0.98385719612904643</v>
      </c>
      <c r="AW70" s="32">
        <f t="shared" si="59"/>
        <v>1.0618584386784071</v>
      </c>
      <c r="AX70" s="32">
        <f t="shared" si="60"/>
        <v>0.71070739244263414</v>
      </c>
      <c r="AY70" s="32">
        <f t="shared" si="61"/>
        <v>0.67708652628835331</v>
      </c>
      <c r="AZ70" s="32">
        <f t="shared" ref="AZ70:AZ133" si="76">IF(AY70="","",0.34-0.14*SQRT(AY70))</f>
        <v>0.2248006253695285</v>
      </c>
      <c r="BA70" s="32">
        <f t="shared" si="62"/>
        <v>-6.4887961443698083</v>
      </c>
      <c r="BB70" s="32">
        <f t="shared" ref="BB70:BB133" si="77">IF(AT70="","",IF(BA70="","",AT70+BA70))</f>
        <v>6.6837478556301919</v>
      </c>
      <c r="BC70" s="32">
        <f t="shared" si="63"/>
        <v>4.9749999999999996</v>
      </c>
      <c r="BD70" s="32">
        <v>0</v>
      </c>
      <c r="BE70" s="32">
        <f t="shared" ref="BE70:BE133" si="78">IF(AW70="","",IF(AX70="","",(AW70+AX70)/2))</f>
        <v>0.88628291556052063</v>
      </c>
      <c r="BF70" s="32">
        <f t="shared" ref="BF70:BF133" si="79">IF(BE70="","",IF(AY70="","",BE70-AY70))</f>
        <v>0.20919638927216733</v>
      </c>
      <c r="BG70" s="32">
        <f t="shared" ref="BG70:BG133" si="80">IF(BE70="","",IF(BC70="","",4099*0.6108*EXP((17.27*BC70)/(BC70+237.3))/(BC70+237.3)^2))</f>
        <v>6.0809869653730496E-2</v>
      </c>
      <c r="BH70" s="32">
        <f t="shared" si="64"/>
        <v>0.7817491869779557</v>
      </c>
      <c r="BI70" s="32">
        <f t="shared" si="65"/>
        <v>0.79074473667044864</v>
      </c>
      <c r="BJ70" s="32">
        <f t="shared" si="66"/>
        <v>1.5724939236484043</v>
      </c>
      <c r="BK70" s="457">
        <f t="shared" si="67"/>
        <v>1.1824408872479453</v>
      </c>
      <c r="BL70" s="2"/>
    </row>
    <row r="71" spans="1:64" ht="15">
      <c r="A71" s="119"/>
      <c r="B71" s="480">
        <f>Input!B88</f>
        <v>38053</v>
      </c>
      <c r="C71" s="481">
        <v>1</v>
      </c>
      <c r="D71" s="481">
        <f t="shared" si="68"/>
        <v>3</v>
      </c>
      <c r="E71" s="481">
        <f t="shared" si="69"/>
        <v>7</v>
      </c>
      <c r="F71" s="481">
        <f t="shared" si="43"/>
        <v>67</v>
      </c>
      <c r="G71" s="431">
        <v>12.3552</v>
      </c>
      <c r="H71" s="455">
        <v>6.05</v>
      </c>
      <c r="I71" s="455">
        <v>-0.8</v>
      </c>
      <c r="J71" s="455">
        <v>1.33</v>
      </c>
      <c r="K71" s="485"/>
      <c r="L71" s="433">
        <v>78</v>
      </c>
      <c r="M71" s="455">
        <v>82</v>
      </c>
      <c r="N71" s="484">
        <f>Weather!M72</f>
        <v>0</v>
      </c>
      <c r="O71" s="481" t="str">
        <f t="shared" si="70"/>
        <v/>
      </c>
      <c r="P71" s="4">
        <f t="shared" si="42"/>
        <v>1.0836619209021265</v>
      </c>
      <c r="Q71" s="169">
        <f t="shared" si="44"/>
        <v>0.93835131211155531</v>
      </c>
      <c r="R71" s="169">
        <f t="shared" si="45"/>
        <v>0.57614016245714772</v>
      </c>
      <c r="S71" s="169">
        <f t="shared" si="46"/>
        <v>0.76944807593147535</v>
      </c>
      <c r="T71" s="169">
        <f t="shared" si="47"/>
        <v>0.44938932671657522</v>
      </c>
      <c r="U71" s="169">
        <f t="shared" si="48"/>
        <v>0.60941870132402531</v>
      </c>
      <c r="V71" s="169">
        <f t="shared" si="49"/>
        <v>-1.31095493369463E-4</v>
      </c>
      <c r="W71" s="439">
        <f t="shared" si="50"/>
        <v>-3.1104882866607977E-2</v>
      </c>
      <c r="X71" s="439">
        <f t="shared" si="51"/>
        <v>-3.1104882866607977E-2</v>
      </c>
      <c r="Y71" s="169"/>
      <c r="Z71" s="119" t="str">
        <f t="shared" si="52"/>
        <v/>
      </c>
      <c r="AA71" s="4" t="str">
        <f t="shared" si="53"/>
        <v/>
      </c>
      <c r="AB71" s="466"/>
      <c r="AC71" s="466"/>
      <c r="AD71" s="466"/>
      <c r="AE71" s="466"/>
      <c r="AF71" s="466"/>
      <c r="AG71" s="466"/>
      <c r="AH71" s="466"/>
      <c r="AI71" s="466"/>
      <c r="AJ71" s="466"/>
      <c r="AK71" s="466"/>
      <c r="AL71" s="466"/>
      <c r="AM71" s="462">
        <f t="shared" si="54"/>
        <v>67</v>
      </c>
      <c r="AN71" s="32">
        <f t="shared" si="71"/>
        <v>1.0133790490358798</v>
      </c>
      <c r="AO71" s="32">
        <f t="shared" si="72"/>
        <v>-9.588822741557064E-2</v>
      </c>
      <c r="AP71" s="32">
        <f t="shared" si="73"/>
        <v>1.4773090393860469</v>
      </c>
      <c r="AQ71" s="32">
        <f t="shared" si="74"/>
        <v>11.285809732446186</v>
      </c>
      <c r="AR71" s="32">
        <f t="shared" si="75"/>
        <v>23.33589385519468</v>
      </c>
      <c r="AS71" s="32">
        <f t="shared" si="55"/>
        <v>17.518722234971751</v>
      </c>
      <c r="AT71" s="32">
        <f t="shared" si="56"/>
        <v>9.5135040000000011</v>
      </c>
      <c r="AU71" s="32">
        <f t="shared" si="57"/>
        <v>0.70525691510399835</v>
      </c>
      <c r="AV71" s="32">
        <f t="shared" si="58"/>
        <v>0.60209683539039782</v>
      </c>
      <c r="AW71" s="32">
        <f t="shared" si="59"/>
        <v>0.93835131211155531</v>
      </c>
      <c r="AX71" s="32">
        <f t="shared" si="60"/>
        <v>0.57614016245714772</v>
      </c>
      <c r="AY71" s="32">
        <f t="shared" si="61"/>
        <v>0.60941870132402531</v>
      </c>
      <c r="AZ71" s="32">
        <f t="shared" si="76"/>
        <v>0.23070861632337664</v>
      </c>
      <c r="BA71" s="32">
        <f t="shared" si="62"/>
        <v>-3.9404658075195602</v>
      </c>
      <c r="BB71" s="32">
        <f t="shared" si="77"/>
        <v>5.5730381924804409</v>
      </c>
      <c r="BC71" s="32">
        <f t="shared" si="63"/>
        <v>2.625</v>
      </c>
      <c r="BD71" s="32">
        <v>0</v>
      </c>
      <c r="BE71" s="32">
        <f t="shared" si="78"/>
        <v>0.75724573728435152</v>
      </c>
      <c r="BF71" s="32">
        <f t="shared" si="79"/>
        <v>0.1478270359603262</v>
      </c>
      <c r="BG71" s="32">
        <f t="shared" si="80"/>
        <v>5.25394763026188E-2</v>
      </c>
      <c r="BH71" s="32">
        <f t="shared" si="64"/>
        <v>0.79642404910136777</v>
      </c>
      <c r="BI71" s="32">
        <f t="shared" si="65"/>
        <v>0.28723787180075872</v>
      </c>
      <c r="BJ71" s="32">
        <f t="shared" si="66"/>
        <v>1.0836619209021265</v>
      </c>
      <c r="BK71" s="457">
        <f t="shared" si="67"/>
        <v>1.1710988197956835</v>
      </c>
      <c r="BL71" s="2"/>
    </row>
    <row r="72" spans="1:64" ht="15">
      <c r="A72" s="119"/>
      <c r="B72" s="480">
        <f>Input!B89</f>
        <v>38054</v>
      </c>
      <c r="C72" s="481">
        <v>1</v>
      </c>
      <c r="D72" s="481">
        <f t="shared" si="68"/>
        <v>3</v>
      </c>
      <c r="E72" s="481">
        <f t="shared" si="69"/>
        <v>8</v>
      </c>
      <c r="F72" s="481">
        <f t="shared" si="43"/>
        <v>68</v>
      </c>
      <c r="G72" s="431">
        <v>13.219200000000001</v>
      </c>
      <c r="H72" s="455">
        <v>6.23</v>
      </c>
      <c r="I72" s="455">
        <v>-0.4</v>
      </c>
      <c r="J72" s="455">
        <v>1.38</v>
      </c>
      <c r="K72" s="485"/>
      <c r="L72" s="433">
        <v>75</v>
      </c>
      <c r="M72" s="455">
        <v>84</v>
      </c>
      <c r="N72" s="484">
        <f>Weather!M73</f>
        <v>0</v>
      </c>
      <c r="O72" s="481" t="str">
        <f t="shared" si="70"/>
        <v/>
      </c>
      <c r="P72" s="4">
        <f t="shared" si="42"/>
        <v>1.1424230304692966</v>
      </c>
      <c r="Q72" s="169">
        <f t="shared" si="44"/>
        <v>0.9501043449648271</v>
      </c>
      <c r="R72" s="169">
        <f t="shared" si="45"/>
        <v>0.59324625951914634</v>
      </c>
      <c r="S72" s="169">
        <f t="shared" si="46"/>
        <v>0.79808764977045477</v>
      </c>
      <c r="T72" s="169">
        <f t="shared" si="47"/>
        <v>0.44493469463935975</v>
      </c>
      <c r="U72" s="169">
        <f t="shared" si="48"/>
        <v>0.62151117220490726</v>
      </c>
      <c r="V72" s="169">
        <f t="shared" si="49"/>
        <v>1.0066192031997509E-3</v>
      </c>
      <c r="W72" s="439">
        <f t="shared" si="50"/>
        <v>0.23911143107752814</v>
      </c>
      <c r="X72" s="439">
        <f t="shared" si="51"/>
        <v>0.23911143107752814</v>
      </c>
      <c r="Y72" s="169"/>
      <c r="Z72" s="119" t="str">
        <f t="shared" si="52"/>
        <v/>
      </c>
      <c r="AA72" s="4" t="str">
        <f t="shared" si="53"/>
        <v/>
      </c>
      <c r="AB72" s="466"/>
      <c r="AC72" s="466"/>
      <c r="AD72" s="466"/>
      <c r="AE72" s="466"/>
      <c r="AF72" s="466"/>
      <c r="AG72" s="466"/>
      <c r="AH72" s="466"/>
      <c r="AI72" s="466"/>
      <c r="AJ72" s="466"/>
      <c r="AK72" s="466"/>
      <c r="AL72" s="466"/>
      <c r="AM72" s="462">
        <f t="shared" si="54"/>
        <v>68</v>
      </c>
      <c r="AN72" s="32">
        <f t="shared" si="71"/>
        <v>1.012857804834516</v>
      </c>
      <c r="AO72" s="32">
        <f t="shared" si="72"/>
        <v>-8.9029975242969572E-2</v>
      </c>
      <c r="AP72" s="32">
        <f t="shared" si="73"/>
        <v>1.4840499781287653</v>
      </c>
      <c r="AQ72" s="32">
        <f t="shared" si="74"/>
        <v>11.337306711101384</v>
      </c>
      <c r="AR72" s="32">
        <f t="shared" si="75"/>
        <v>23.609213255267335</v>
      </c>
      <c r="AS72" s="32">
        <f t="shared" si="55"/>
        <v>17.723908574994294</v>
      </c>
      <c r="AT72" s="32">
        <f t="shared" si="56"/>
        <v>10.178784</v>
      </c>
      <c r="AU72" s="32">
        <f t="shared" si="57"/>
        <v>0.74584000160383679</v>
      </c>
      <c r="AV72" s="32">
        <f t="shared" si="58"/>
        <v>0.65688400216517973</v>
      </c>
      <c r="AW72" s="32">
        <f t="shared" si="59"/>
        <v>0.9501043449648271</v>
      </c>
      <c r="AX72" s="32">
        <f t="shared" si="60"/>
        <v>0.59324625951914634</v>
      </c>
      <c r="AY72" s="32">
        <f t="shared" si="61"/>
        <v>0.62151117220490726</v>
      </c>
      <c r="AZ72" s="32">
        <f t="shared" si="76"/>
        <v>0.22962962818212407</v>
      </c>
      <c r="BA72" s="32">
        <f t="shared" si="62"/>
        <v>-4.2966864862850569</v>
      </c>
      <c r="BB72" s="32">
        <f t="shared" si="77"/>
        <v>5.8820975137149434</v>
      </c>
      <c r="BC72" s="32">
        <f t="shared" si="63"/>
        <v>2.915</v>
      </c>
      <c r="BD72" s="32">
        <v>0</v>
      </c>
      <c r="BE72" s="32">
        <f t="shared" si="78"/>
        <v>0.77167530224198666</v>
      </c>
      <c r="BF72" s="32">
        <f t="shared" si="79"/>
        <v>0.1501641300370794</v>
      </c>
      <c r="BG72" s="32">
        <f t="shared" si="80"/>
        <v>5.3504725852580523E-2</v>
      </c>
      <c r="BH72" s="32">
        <f t="shared" si="64"/>
        <v>0.84418072982582693</v>
      </c>
      <c r="BI72" s="32">
        <f t="shared" si="65"/>
        <v>0.29824230064346963</v>
      </c>
      <c r="BJ72" s="32">
        <f t="shared" si="66"/>
        <v>1.1424230304692966</v>
      </c>
      <c r="BK72" s="457">
        <f t="shared" si="67"/>
        <v>1.1821837042385663</v>
      </c>
      <c r="BL72" s="2"/>
    </row>
    <row r="73" spans="1:64" ht="15">
      <c r="A73" s="119"/>
      <c r="B73" s="480">
        <f>Input!B90</f>
        <v>38055</v>
      </c>
      <c r="C73" s="481">
        <v>1</v>
      </c>
      <c r="D73" s="481">
        <f t="shared" si="68"/>
        <v>3</v>
      </c>
      <c r="E73" s="481">
        <f t="shared" si="69"/>
        <v>9</v>
      </c>
      <c r="F73" s="481">
        <f t="shared" si="43"/>
        <v>69</v>
      </c>
      <c r="G73" s="431">
        <v>15.984</v>
      </c>
      <c r="H73" s="455">
        <v>7.98</v>
      </c>
      <c r="I73" s="455">
        <v>-0.2</v>
      </c>
      <c r="J73" s="455">
        <v>2.15</v>
      </c>
      <c r="K73" s="485"/>
      <c r="L73" s="433">
        <v>93</v>
      </c>
      <c r="M73" s="455">
        <v>74</v>
      </c>
      <c r="N73" s="484">
        <f>Weather!M74</f>
        <v>0</v>
      </c>
      <c r="O73" s="481" t="str">
        <f t="shared" si="70"/>
        <v/>
      </c>
      <c r="P73" s="4">
        <f t="shared" ref="P73:P136" si="81">BJ73</f>
        <v>1.3410329982487244</v>
      </c>
      <c r="Q73" s="169">
        <f t="shared" si="44"/>
        <v>1.0713084294845034</v>
      </c>
      <c r="R73" s="169">
        <f t="shared" si="45"/>
        <v>0.6019665508469253</v>
      </c>
      <c r="S73" s="169">
        <f t="shared" si="46"/>
        <v>0.79276823781853256</v>
      </c>
      <c r="T73" s="169">
        <f t="shared" si="47"/>
        <v>0.55982889228764054</v>
      </c>
      <c r="U73" s="169">
        <f t="shared" si="48"/>
        <v>0.67629856505308661</v>
      </c>
      <c r="V73" s="169">
        <f t="shared" si="49"/>
        <v>5.8983827141425174E-3</v>
      </c>
      <c r="W73" s="439">
        <f t="shared" si="50"/>
        <v>1.4079910883632882</v>
      </c>
      <c r="X73" s="439">
        <f t="shared" si="51"/>
        <v>1.4079910883632882</v>
      </c>
      <c r="Y73" s="169"/>
      <c r="Z73" s="119" t="str">
        <f t="shared" si="52"/>
        <v/>
      </c>
      <c r="AA73" s="4" t="str">
        <f t="shared" si="53"/>
        <v/>
      </c>
      <c r="AB73" s="466"/>
      <c r="AC73" s="466"/>
      <c r="AD73" s="466"/>
      <c r="AE73" s="466"/>
      <c r="AF73" s="466"/>
      <c r="AG73" s="466"/>
      <c r="AH73" s="466"/>
      <c r="AI73" s="466"/>
      <c r="AJ73" s="466"/>
      <c r="AK73" s="466"/>
      <c r="AL73" s="466"/>
      <c r="AM73" s="462">
        <f t="shared" si="54"/>
        <v>69</v>
      </c>
      <c r="AN73" s="32">
        <f t="shared" si="71"/>
        <v>1.0123327505880855</v>
      </c>
      <c r="AO73" s="32">
        <f t="shared" si="72"/>
        <v>-8.2145341567279873E-2</v>
      </c>
      <c r="AP73" s="32">
        <f t="shared" si="73"/>
        <v>1.4908045867971873</v>
      </c>
      <c r="AQ73" s="32">
        <f t="shared" si="74"/>
        <v>11.388908120296458</v>
      </c>
      <c r="AR73" s="32">
        <f t="shared" si="75"/>
        <v>23.883365724075286</v>
      </c>
      <c r="AS73" s="32">
        <f t="shared" si="55"/>
        <v>17.9297203163778</v>
      </c>
      <c r="AT73" s="32">
        <f t="shared" si="56"/>
        <v>12.30768</v>
      </c>
      <c r="AU73" s="32">
        <f t="shared" si="57"/>
        <v>0.89148072128038203</v>
      </c>
      <c r="AV73" s="32">
        <f t="shared" si="58"/>
        <v>0.8534989737285158</v>
      </c>
      <c r="AW73" s="32">
        <f t="shared" si="59"/>
        <v>1.0713084294845034</v>
      </c>
      <c r="AX73" s="32">
        <f t="shared" si="60"/>
        <v>0.6019665508469253</v>
      </c>
      <c r="AY73" s="32">
        <f t="shared" si="61"/>
        <v>0.67629856505308661</v>
      </c>
      <c r="AZ73" s="32">
        <f t="shared" si="76"/>
        <v>0.22486767667140345</v>
      </c>
      <c r="BA73" s="32">
        <f t="shared" si="62"/>
        <v>-5.5470695729875601</v>
      </c>
      <c r="BB73" s="32">
        <f t="shared" si="77"/>
        <v>6.7606104270124394</v>
      </c>
      <c r="BC73" s="32">
        <f t="shared" si="63"/>
        <v>3.89</v>
      </c>
      <c r="BD73" s="32">
        <v>0</v>
      </c>
      <c r="BE73" s="32">
        <f t="shared" si="78"/>
        <v>0.83663749016571431</v>
      </c>
      <c r="BF73" s="32">
        <f t="shared" si="79"/>
        <v>0.16033892511262771</v>
      </c>
      <c r="BG73" s="32">
        <f t="shared" si="80"/>
        <v>5.6862423228999134E-2</v>
      </c>
      <c r="BH73" s="32">
        <f t="shared" si="64"/>
        <v>0.90643769393125728</v>
      </c>
      <c r="BI73" s="32">
        <f t="shared" si="65"/>
        <v>0.43459530431746707</v>
      </c>
      <c r="BJ73" s="32">
        <f t="shared" si="66"/>
        <v>1.3410329982487244</v>
      </c>
      <c r="BK73" s="457">
        <f t="shared" si="67"/>
        <v>1.3908922411969495</v>
      </c>
      <c r="BL73" s="2"/>
    </row>
    <row r="74" spans="1:64" ht="15">
      <c r="A74" s="119"/>
      <c r="B74" s="480">
        <f>Input!B91</f>
        <v>38056</v>
      </c>
      <c r="C74" s="481">
        <v>1</v>
      </c>
      <c r="D74" s="481">
        <f t="shared" si="68"/>
        <v>3</v>
      </c>
      <c r="E74" s="481">
        <f t="shared" si="69"/>
        <v>10</v>
      </c>
      <c r="F74" s="481">
        <f t="shared" si="43"/>
        <v>70</v>
      </c>
      <c r="G74" s="431">
        <v>14.860799999999999</v>
      </c>
      <c r="H74" s="455">
        <v>6.14</v>
      </c>
      <c r="I74" s="455">
        <v>-1.7</v>
      </c>
      <c r="J74" s="455">
        <v>2.17</v>
      </c>
      <c r="K74" s="485"/>
      <c r="L74" s="433">
        <v>98</v>
      </c>
      <c r="M74" s="455">
        <v>79</v>
      </c>
      <c r="N74" s="484">
        <f>Weather!M75</f>
        <v>0</v>
      </c>
      <c r="O74" s="481" t="str">
        <f t="shared" si="70"/>
        <v/>
      </c>
      <c r="P74" s="4">
        <f t="shared" si="81"/>
        <v>1.1150450964331124</v>
      </c>
      <c r="Q74" s="169">
        <f t="shared" si="44"/>
        <v>0.94421171429690509</v>
      </c>
      <c r="R74" s="169">
        <f t="shared" si="45"/>
        <v>0.53923734716108329</v>
      </c>
      <c r="S74" s="169">
        <f t="shared" si="46"/>
        <v>0.74592725429455509</v>
      </c>
      <c r="T74" s="169">
        <f t="shared" si="47"/>
        <v>0.52845260021786167</v>
      </c>
      <c r="U74" s="169">
        <f t="shared" si="48"/>
        <v>0.63718992725620838</v>
      </c>
      <c r="V74" s="169">
        <f t="shared" si="49"/>
        <v>2.4492296899292546E-3</v>
      </c>
      <c r="W74" s="439">
        <f t="shared" si="50"/>
        <v>0.58262919815054215</v>
      </c>
      <c r="X74" s="439">
        <f t="shared" si="51"/>
        <v>0.58262919815054215</v>
      </c>
      <c r="Y74" s="169"/>
      <c r="Z74" s="119" t="str">
        <f t="shared" si="52"/>
        <v/>
      </c>
      <c r="AA74" s="4" t="str">
        <f t="shared" si="53"/>
        <v/>
      </c>
      <c r="AB74" s="466"/>
      <c r="AC74" s="466"/>
      <c r="AD74" s="466"/>
      <c r="AE74" s="466"/>
      <c r="AF74" s="466"/>
      <c r="AG74" s="466"/>
      <c r="AH74" s="466"/>
      <c r="AI74" s="466"/>
      <c r="AJ74" s="466"/>
      <c r="AK74" s="466"/>
      <c r="AL74" s="466"/>
      <c r="AM74" s="462">
        <f t="shared" si="54"/>
        <v>70</v>
      </c>
      <c r="AN74" s="32">
        <f t="shared" si="71"/>
        <v>1.0118040418814931</v>
      </c>
      <c r="AO74" s="32">
        <f t="shared" si="72"/>
        <v>-7.5236366454042122E-2</v>
      </c>
      <c r="AP74" s="32">
        <f t="shared" si="73"/>
        <v>1.4975717158992852</v>
      </c>
      <c r="AQ74" s="32">
        <f t="shared" si="74"/>
        <v>11.440605178559174</v>
      </c>
      <c r="AR74" s="32">
        <f t="shared" si="75"/>
        <v>24.158249812960211</v>
      </c>
      <c r="AS74" s="32">
        <f t="shared" si="55"/>
        <v>18.136081299585491</v>
      </c>
      <c r="AT74" s="32">
        <f t="shared" si="56"/>
        <v>11.442816000000001</v>
      </c>
      <c r="AU74" s="32">
        <f t="shared" si="57"/>
        <v>0.81940523724602232</v>
      </c>
      <c r="AV74" s="32">
        <f t="shared" si="58"/>
        <v>0.75619707028213023</v>
      </c>
      <c r="AW74" s="32">
        <f t="shared" si="59"/>
        <v>0.94421171429690509</v>
      </c>
      <c r="AX74" s="32">
        <f t="shared" si="60"/>
        <v>0.53923734716108329</v>
      </c>
      <c r="AY74" s="32">
        <f t="shared" si="61"/>
        <v>0.63718992725620838</v>
      </c>
      <c r="AZ74" s="32">
        <f t="shared" si="76"/>
        <v>0.22824615185944744</v>
      </c>
      <c r="BA74" s="32">
        <f t="shared" si="62"/>
        <v>-4.8688767311843124</v>
      </c>
      <c r="BB74" s="32">
        <f t="shared" si="77"/>
        <v>6.5739392688156881</v>
      </c>
      <c r="BC74" s="32">
        <f t="shared" si="63"/>
        <v>2.2199999999999998</v>
      </c>
      <c r="BD74" s="32">
        <v>0</v>
      </c>
      <c r="BE74" s="32">
        <f t="shared" si="78"/>
        <v>0.74172453072899414</v>
      </c>
      <c r="BF74" s="32">
        <f t="shared" si="79"/>
        <v>0.10453460347278576</v>
      </c>
      <c r="BG74" s="32">
        <f t="shared" si="80"/>
        <v>5.1216497030604172E-2</v>
      </c>
      <c r="BH74" s="32">
        <f t="shared" si="64"/>
        <v>0.81843965493542081</v>
      </c>
      <c r="BI74" s="32">
        <f t="shared" si="65"/>
        <v>0.29660544149769158</v>
      </c>
      <c r="BJ74" s="32">
        <f t="shared" si="66"/>
        <v>1.1150450964331124</v>
      </c>
      <c r="BK74" s="457">
        <f t="shared" si="67"/>
        <v>1.2713037381572181</v>
      </c>
      <c r="BL74" s="2"/>
    </row>
    <row r="75" spans="1:64" ht="15">
      <c r="A75" s="119"/>
      <c r="B75" s="480">
        <f>Input!B92</f>
        <v>38057</v>
      </c>
      <c r="C75" s="481">
        <v>1</v>
      </c>
      <c r="D75" s="481">
        <f t="shared" si="68"/>
        <v>3</v>
      </c>
      <c r="E75" s="481">
        <f t="shared" si="69"/>
        <v>11</v>
      </c>
      <c r="F75" s="481">
        <f t="shared" si="43"/>
        <v>71</v>
      </c>
      <c r="G75" s="431">
        <v>17.539200000000001</v>
      </c>
      <c r="H75" s="455">
        <v>8.26</v>
      </c>
      <c r="I75" s="455">
        <v>0</v>
      </c>
      <c r="J75" s="455">
        <v>2.23</v>
      </c>
      <c r="K75" s="485"/>
      <c r="L75" s="433">
        <v>78</v>
      </c>
      <c r="M75" s="455">
        <v>64</v>
      </c>
      <c r="N75" s="484">
        <f>Weather!M76</f>
        <v>0</v>
      </c>
      <c r="O75" s="481" t="str">
        <f t="shared" si="70"/>
        <v/>
      </c>
      <c r="P75" s="4">
        <f t="shared" si="81"/>
        <v>1.6884894294026032</v>
      </c>
      <c r="Q75" s="169">
        <f t="shared" si="44"/>
        <v>1.0919140837040695</v>
      </c>
      <c r="R75" s="169">
        <f t="shared" si="45"/>
        <v>0.61080000000000001</v>
      </c>
      <c r="S75" s="169">
        <f t="shared" si="46"/>
        <v>0.69882501357060445</v>
      </c>
      <c r="T75" s="169">
        <f t="shared" si="47"/>
        <v>0.47642400000000001</v>
      </c>
      <c r="U75" s="169">
        <f t="shared" si="48"/>
        <v>0.5876245067853022</v>
      </c>
      <c r="V75" s="169">
        <f t="shared" si="49"/>
        <v>-2.2398044780736655E-3</v>
      </c>
      <c r="W75" s="439">
        <f t="shared" si="50"/>
        <v>-0.53031779447601135</v>
      </c>
      <c r="X75" s="439">
        <f t="shared" si="51"/>
        <v>-0.53031779447601135</v>
      </c>
      <c r="Y75" s="169"/>
      <c r="Z75" s="119" t="str">
        <f t="shared" si="52"/>
        <v/>
      </c>
      <c r="AA75" s="4" t="str">
        <f t="shared" si="53"/>
        <v/>
      </c>
      <c r="AB75" s="466"/>
      <c r="AC75" s="466"/>
      <c r="AD75" s="466"/>
      <c r="AE75" s="466"/>
      <c r="AF75" s="466"/>
      <c r="AG75" s="466"/>
      <c r="AH75" s="466"/>
      <c r="AI75" s="466"/>
      <c r="AJ75" s="466"/>
      <c r="AK75" s="466"/>
      <c r="AL75" s="466"/>
      <c r="AM75" s="462">
        <f t="shared" si="54"/>
        <v>71</v>
      </c>
      <c r="AN75" s="32">
        <f t="shared" si="71"/>
        <v>1.0112718353825392</v>
      </c>
      <c r="AO75" s="32">
        <f t="shared" si="72"/>
        <v>-6.8305097181690172E-2</v>
      </c>
      <c r="AP75" s="32">
        <f t="shared" si="73"/>
        <v>1.5043502346636857</v>
      </c>
      <c r="AQ75" s="32">
        <f t="shared" si="74"/>
        <v>11.492389247432559</v>
      </c>
      <c r="AR75" s="32">
        <f t="shared" si="75"/>
        <v>24.433763930945076</v>
      </c>
      <c r="AS75" s="32">
        <f t="shared" si="55"/>
        <v>18.342915258239088</v>
      </c>
      <c r="AT75" s="32">
        <f t="shared" si="56"/>
        <v>13.505184000000002</v>
      </c>
      <c r="AU75" s="32">
        <f t="shared" si="57"/>
        <v>0.95618388642568242</v>
      </c>
      <c r="AV75" s="32">
        <f t="shared" si="58"/>
        <v>0.94084824667467137</v>
      </c>
      <c r="AW75" s="32">
        <f t="shared" si="59"/>
        <v>1.0919140837040695</v>
      </c>
      <c r="AX75" s="32">
        <f t="shared" si="60"/>
        <v>0.61080000000000001</v>
      </c>
      <c r="AY75" s="32">
        <f t="shared" si="61"/>
        <v>0.5876245067853022</v>
      </c>
      <c r="AZ75" s="32">
        <f t="shared" si="76"/>
        <v>0.23268066188709546</v>
      </c>
      <c r="BA75" s="32">
        <f t="shared" si="62"/>
        <v>-6.3493294642829579</v>
      </c>
      <c r="BB75" s="32">
        <f t="shared" si="77"/>
        <v>7.1558545357170438</v>
      </c>
      <c r="BC75" s="32">
        <f t="shared" si="63"/>
        <v>4.13</v>
      </c>
      <c r="BD75" s="32">
        <v>0</v>
      </c>
      <c r="BE75" s="32">
        <f t="shared" si="78"/>
        <v>0.85135704185203476</v>
      </c>
      <c r="BF75" s="32">
        <f t="shared" si="79"/>
        <v>0.26373253506673255</v>
      </c>
      <c r="BG75" s="32">
        <f t="shared" si="80"/>
        <v>5.7716113735090807E-2</v>
      </c>
      <c r="BH75" s="32">
        <f t="shared" si="64"/>
        <v>0.9589864141226726</v>
      </c>
      <c r="BI75" s="32">
        <f t="shared" si="65"/>
        <v>0.72950301527993056</v>
      </c>
      <c r="BJ75" s="32">
        <f t="shared" si="66"/>
        <v>1.6884894294026032</v>
      </c>
      <c r="BK75" s="457">
        <f t="shared" si="67"/>
        <v>1.4457086535480281</v>
      </c>
      <c r="BL75" s="2"/>
    </row>
    <row r="76" spans="1:64" ht="15">
      <c r="A76" s="119"/>
      <c r="B76" s="480">
        <f>Input!B93</f>
        <v>38058</v>
      </c>
      <c r="C76" s="481">
        <v>1</v>
      </c>
      <c r="D76" s="481">
        <f t="shared" si="68"/>
        <v>3</v>
      </c>
      <c r="E76" s="481">
        <f t="shared" si="69"/>
        <v>12</v>
      </c>
      <c r="F76" s="481">
        <f t="shared" si="43"/>
        <v>72</v>
      </c>
      <c r="G76" s="431">
        <v>17.798400000000001</v>
      </c>
      <c r="H76" s="455">
        <v>9.66</v>
      </c>
      <c r="I76" s="455">
        <v>-1.2</v>
      </c>
      <c r="J76" s="455">
        <v>1.86</v>
      </c>
      <c r="K76" s="485"/>
      <c r="L76" s="433">
        <v>68</v>
      </c>
      <c r="M76" s="455">
        <v>81</v>
      </c>
      <c r="N76" s="484">
        <f>Weather!M77</f>
        <v>0</v>
      </c>
      <c r="O76" s="481" t="str">
        <f t="shared" si="70"/>
        <v/>
      </c>
      <c r="P76" s="4">
        <f t="shared" si="81"/>
        <v>1.5557057936289045</v>
      </c>
      <c r="Q76" s="169">
        <f t="shared" si="44"/>
        <v>1.2002639671718087</v>
      </c>
      <c r="R76" s="169">
        <f t="shared" si="45"/>
        <v>0.55947184647021497</v>
      </c>
      <c r="S76" s="169">
        <f t="shared" si="46"/>
        <v>0.97221381340916513</v>
      </c>
      <c r="T76" s="169">
        <f t="shared" si="47"/>
        <v>0.38044085559974622</v>
      </c>
      <c r="U76" s="169">
        <f t="shared" si="48"/>
        <v>0.6763273345044557</v>
      </c>
      <c r="V76" s="169">
        <f t="shared" si="49"/>
        <v>5.9008458679944012E-3</v>
      </c>
      <c r="W76" s="439">
        <f t="shared" si="50"/>
        <v>1.4085825530127458</v>
      </c>
      <c r="X76" s="439">
        <f t="shared" si="51"/>
        <v>1.4085825530127458</v>
      </c>
      <c r="Y76" s="169"/>
      <c r="Z76" s="119" t="str">
        <f t="shared" si="52"/>
        <v/>
      </c>
      <c r="AA76" s="4" t="str">
        <f t="shared" si="53"/>
        <v/>
      </c>
      <c r="AB76" s="466"/>
      <c r="AC76" s="466"/>
      <c r="AD76" s="466"/>
      <c r="AE76" s="466"/>
      <c r="AF76" s="466"/>
      <c r="AG76" s="466"/>
      <c r="AH76" s="466"/>
      <c r="AI76" s="466"/>
      <c r="AJ76" s="466"/>
      <c r="AK76" s="466"/>
      <c r="AL76" s="466"/>
      <c r="AM76" s="462">
        <f t="shared" si="54"/>
        <v>72</v>
      </c>
      <c r="AN76" s="32">
        <f t="shared" si="71"/>
        <v>1.0107362887954954</v>
      </c>
      <c r="AO76" s="32">
        <f t="shared" si="72"/>
        <v>-6.1353587634898642E-2</v>
      </c>
      <c r="AP76" s="32">
        <f t="shared" si="73"/>
        <v>1.511139029518771</v>
      </c>
      <c r="AQ76" s="32">
        <f t="shared" si="74"/>
        <v>11.544251819856093</v>
      </c>
      <c r="AR76" s="32">
        <f t="shared" si="75"/>
        <v>24.709806427840668</v>
      </c>
      <c r="AS76" s="32">
        <f t="shared" si="55"/>
        <v>18.550145881508548</v>
      </c>
      <c r="AT76" s="32">
        <f t="shared" si="56"/>
        <v>13.704768000000001</v>
      </c>
      <c r="AU76" s="32">
        <f t="shared" si="57"/>
        <v>0.95947493425062957</v>
      </c>
      <c r="AV76" s="32">
        <f t="shared" si="58"/>
        <v>0.94529116123835</v>
      </c>
      <c r="AW76" s="32">
        <f t="shared" si="59"/>
        <v>1.2002639671718087</v>
      </c>
      <c r="AX76" s="32">
        <f t="shared" si="60"/>
        <v>0.55947184647021497</v>
      </c>
      <c r="AY76" s="32">
        <f t="shared" si="61"/>
        <v>0.67632733450445559</v>
      </c>
      <c r="AZ76" s="32">
        <f t="shared" si="76"/>
        <v>0.22486522785757845</v>
      </c>
      <c r="BA76" s="32">
        <f t="shared" si="62"/>
        <v>-6.1799086834723793</v>
      </c>
      <c r="BB76" s="32">
        <f t="shared" si="77"/>
        <v>7.5248593165276221</v>
      </c>
      <c r="BC76" s="32">
        <f t="shared" si="63"/>
        <v>4.2300000000000004</v>
      </c>
      <c r="BD76" s="32">
        <v>0</v>
      </c>
      <c r="BE76" s="32">
        <f t="shared" si="78"/>
        <v>0.87986790682101179</v>
      </c>
      <c r="BF76" s="32">
        <f t="shared" si="79"/>
        <v>0.2035405723165562</v>
      </c>
      <c r="BG76" s="32">
        <f t="shared" si="80"/>
        <v>5.8075048365491835E-2</v>
      </c>
      <c r="BH76" s="32">
        <f t="shared" si="64"/>
        <v>1.0636435467382148</v>
      </c>
      <c r="BI76" s="32">
        <f t="shared" si="65"/>
        <v>0.49206224689068978</v>
      </c>
      <c r="BJ76" s="32">
        <f t="shared" si="66"/>
        <v>1.5557057936289045</v>
      </c>
      <c r="BK76" s="457">
        <f t="shared" si="67"/>
        <v>1.6840714163424726</v>
      </c>
      <c r="BL76" s="2"/>
    </row>
    <row r="77" spans="1:64" ht="15">
      <c r="A77" s="119"/>
      <c r="B77" s="480">
        <f>Input!B94</f>
        <v>38059</v>
      </c>
      <c r="C77" s="481">
        <v>1</v>
      </c>
      <c r="D77" s="481">
        <f t="shared" si="68"/>
        <v>3</v>
      </c>
      <c r="E77" s="481">
        <f t="shared" si="69"/>
        <v>13</v>
      </c>
      <c r="F77" s="481">
        <f t="shared" si="43"/>
        <v>73</v>
      </c>
      <c r="G77" s="431">
        <v>15.7248</v>
      </c>
      <c r="H77" s="455">
        <v>9.9700000000000006</v>
      </c>
      <c r="I77" s="455">
        <v>0.9</v>
      </c>
      <c r="J77" s="455">
        <v>2.0099999999999998</v>
      </c>
      <c r="K77" s="485"/>
      <c r="L77" s="433">
        <v>86</v>
      </c>
      <c r="M77" s="455">
        <v>85</v>
      </c>
      <c r="N77" s="484">
        <f>Weather!M78</f>
        <v>0</v>
      </c>
      <c r="O77" s="481" t="str">
        <f t="shared" si="70"/>
        <v/>
      </c>
      <c r="P77" s="4">
        <f t="shared" si="81"/>
        <v>1.3808451880317716</v>
      </c>
      <c r="Q77" s="169">
        <f t="shared" si="44"/>
        <v>1.2254962141884433</v>
      </c>
      <c r="R77" s="169">
        <f t="shared" si="45"/>
        <v>0.65198493935640356</v>
      </c>
      <c r="S77" s="169">
        <f t="shared" si="46"/>
        <v>1.0416717820601769</v>
      </c>
      <c r="T77" s="169">
        <f t="shared" si="47"/>
        <v>0.56070704784650705</v>
      </c>
      <c r="U77" s="169">
        <f t="shared" si="48"/>
        <v>0.80118941495334195</v>
      </c>
      <c r="V77" s="169">
        <f t="shared" si="49"/>
        <v>1.5710933345039223E-2</v>
      </c>
      <c r="W77" s="439">
        <f t="shared" si="50"/>
        <v>3.7877129890793726</v>
      </c>
      <c r="X77" s="439">
        <f t="shared" si="51"/>
        <v>3.7877129890793726</v>
      </c>
      <c r="Y77" s="169"/>
      <c r="Z77" s="119" t="str">
        <f t="shared" si="52"/>
        <v/>
      </c>
      <c r="AA77" s="4" t="str">
        <f t="shared" si="53"/>
        <v/>
      </c>
      <c r="AB77" s="466"/>
      <c r="AC77" s="466"/>
      <c r="AD77" s="466"/>
      <c r="AE77" s="466"/>
      <c r="AF77" s="466"/>
      <c r="AG77" s="466"/>
      <c r="AH77" s="466"/>
      <c r="AI77" s="466"/>
      <c r="AJ77" s="466"/>
      <c r="AK77" s="466"/>
      <c r="AL77" s="466"/>
      <c r="AM77" s="462">
        <f t="shared" si="54"/>
        <v>73</v>
      </c>
      <c r="AN77" s="32">
        <f t="shared" si="71"/>
        <v>1.0101975608143732</v>
      </c>
      <c r="AO77" s="32">
        <f t="shared" si="72"/>
        <v>-5.4383897695971947E-2</v>
      </c>
      <c r="AP77" s="32">
        <f t="shared" si="73"/>
        <v>1.5179370025515733</v>
      </c>
      <c r="AQ77" s="32">
        <f t="shared" si="74"/>
        <v>11.596184508392536</v>
      </c>
      <c r="AR77" s="32">
        <f t="shared" si="75"/>
        <v>24.98627567693995</v>
      </c>
      <c r="AS77" s="32">
        <f t="shared" si="55"/>
        <v>18.757696876192362</v>
      </c>
      <c r="AT77" s="32">
        <f t="shared" si="56"/>
        <v>12.108096</v>
      </c>
      <c r="AU77" s="32">
        <f t="shared" si="57"/>
        <v>0.8383118729228547</v>
      </c>
      <c r="AV77" s="32">
        <f t="shared" si="58"/>
        <v>0.78172102844585389</v>
      </c>
      <c r="AW77" s="32">
        <f t="shared" si="59"/>
        <v>1.2254962141884433</v>
      </c>
      <c r="AX77" s="32">
        <f t="shared" si="60"/>
        <v>0.65198493935640356</v>
      </c>
      <c r="AY77" s="32">
        <f t="shared" si="61"/>
        <v>0.80118941495334195</v>
      </c>
      <c r="AZ77" s="32">
        <f t="shared" si="76"/>
        <v>0.21468714138969816</v>
      </c>
      <c r="BA77" s="32">
        <f t="shared" si="62"/>
        <v>-4.9610639203624824</v>
      </c>
      <c r="BB77" s="32">
        <f t="shared" si="77"/>
        <v>7.1470320796375173</v>
      </c>
      <c r="BC77" s="32">
        <f t="shared" si="63"/>
        <v>5.4350000000000005</v>
      </c>
      <c r="BD77" s="32">
        <v>0</v>
      </c>
      <c r="BE77" s="32">
        <f t="shared" si="78"/>
        <v>0.93874057677242351</v>
      </c>
      <c r="BF77" s="32">
        <f t="shared" si="79"/>
        <v>0.13755116181908156</v>
      </c>
      <c r="BG77" s="32">
        <f t="shared" si="80"/>
        <v>6.2552999488120584E-2</v>
      </c>
      <c r="BH77" s="32">
        <f t="shared" si="64"/>
        <v>1.0391558068271303</v>
      </c>
      <c r="BI77" s="32">
        <f t="shared" si="65"/>
        <v>0.34168938120464126</v>
      </c>
      <c r="BJ77" s="32">
        <f t="shared" si="66"/>
        <v>1.3808451880317716</v>
      </c>
      <c r="BK77" s="457">
        <f t="shared" si="67"/>
        <v>1.6413817460729201</v>
      </c>
      <c r="BL77" s="2"/>
    </row>
    <row r="78" spans="1:64" ht="15">
      <c r="A78" s="119"/>
      <c r="B78" s="480">
        <f>Input!B95</f>
        <v>38060</v>
      </c>
      <c r="C78" s="481">
        <v>1</v>
      </c>
      <c r="D78" s="481">
        <f t="shared" si="68"/>
        <v>3</v>
      </c>
      <c r="E78" s="481">
        <f t="shared" si="69"/>
        <v>14</v>
      </c>
      <c r="F78" s="481">
        <f t="shared" si="43"/>
        <v>74</v>
      </c>
      <c r="G78" s="431">
        <v>16.1568</v>
      </c>
      <c r="H78" s="455">
        <v>10.53</v>
      </c>
      <c r="I78" s="455">
        <v>0.4</v>
      </c>
      <c r="J78" s="455">
        <v>1.05</v>
      </c>
      <c r="K78" s="485"/>
      <c r="L78" s="433">
        <v>99</v>
      </c>
      <c r="M78" s="455">
        <v>83</v>
      </c>
      <c r="N78" s="484">
        <f>Weather!M79</f>
        <v>0</v>
      </c>
      <c r="O78" s="481" t="str">
        <f t="shared" si="70"/>
        <v/>
      </c>
      <c r="P78" s="4">
        <f t="shared" si="81"/>
        <v>1.4003264529478212</v>
      </c>
      <c r="Q78" s="169">
        <f t="shared" si="44"/>
        <v>1.2722613642663765</v>
      </c>
      <c r="R78" s="169">
        <f t="shared" si="45"/>
        <v>0.62881142847361471</v>
      </c>
      <c r="S78" s="169">
        <f t="shared" si="46"/>
        <v>1.0559769323410924</v>
      </c>
      <c r="T78" s="169">
        <f t="shared" si="47"/>
        <v>0.62252331418887852</v>
      </c>
      <c r="U78" s="169">
        <f t="shared" si="48"/>
        <v>0.83925012326498538</v>
      </c>
      <c r="V78" s="169">
        <f t="shared" si="49"/>
        <v>1.8398332912033872E-2</v>
      </c>
      <c r="W78" s="439">
        <f t="shared" si="50"/>
        <v>4.4477556899201822</v>
      </c>
      <c r="X78" s="439">
        <f t="shared" si="51"/>
        <v>4.4477556899201822</v>
      </c>
      <c r="Y78" s="169"/>
      <c r="Z78" s="119" t="str">
        <f t="shared" si="52"/>
        <v/>
      </c>
      <c r="AA78" s="4" t="str">
        <f t="shared" si="53"/>
        <v/>
      </c>
      <c r="AB78" s="466"/>
      <c r="AC78" s="466"/>
      <c r="AD78" s="466"/>
      <c r="AE78" s="466"/>
      <c r="AF78" s="466"/>
      <c r="AG78" s="466"/>
      <c r="AH78" s="466"/>
      <c r="AI78" s="466"/>
      <c r="AJ78" s="466"/>
      <c r="AK78" s="466"/>
      <c r="AL78" s="466"/>
      <c r="AM78" s="462">
        <f t="shared" si="54"/>
        <v>74</v>
      </c>
      <c r="AN78" s="32">
        <f t="shared" si="71"/>
        <v>1.0096558110759004</v>
      </c>
      <c r="AO78" s="32">
        <f t="shared" si="72"/>
        <v>-4.7398092634457378E-2</v>
      </c>
      <c r="AP78" s="32">
        <f t="shared" si="73"/>
        <v>1.5247430699487201</v>
      </c>
      <c r="AQ78" s="32">
        <f t="shared" si="74"/>
        <v>11.648179033317618</v>
      </c>
      <c r="AR78" s="32">
        <f t="shared" si="75"/>
        <v>25.263070157127991</v>
      </c>
      <c r="AS78" s="32">
        <f t="shared" si="55"/>
        <v>18.965492028359126</v>
      </c>
      <c r="AT78" s="32">
        <f t="shared" si="56"/>
        <v>12.440736000000001</v>
      </c>
      <c r="AU78" s="32">
        <f t="shared" si="57"/>
        <v>0.85190513253443234</v>
      </c>
      <c r="AV78" s="32">
        <f t="shared" si="58"/>
        <v>0.80007192892148382</v>
      </c>
      <c r="AW78" s="32">
        <f t="shared" si="59"/>
        <v>1.2722613642663765</v>
      </c>
      <c r="AX78" s="32">
        <f t="shared" si="60"/>
        <v>0.62881142847361471</v>
      </c>
      <c r="AY78" s="32">
        <f t="shared" si="61"/>
        <v>0.83925012326498538</v>
      </c>
      <c r="AZ78" s="32">
        <f t="shared" si="76"/>
        <v>0.21174516611061511</v>
      </c>
      <c r="BA78" s="32">
        <f t="shared" si="62"/>
        <v>-5.0120679746577617</v>
      </c>
      <c r="BB78" s="32">
        <f t="shared" si="77"/>
        <v>7.4286680253422395</v>
      </c>
      <c r="BC78" s="32">
        <f t="shared" si="63"/>
        <v>5.4649999999999999</v>
      </c>
      <c r="BD78" s="32">
        <v>0</v>
      </c>
      <c r="BE78" s="32">
        <f t="shared" si="78"/>
        <v>0.95053639636999554</v>
      </c>
      <c r="BF78" s="32">
        <f t="shared" si="79"/>
        <v>0.11128627310501016</v>
      </c>
      <c r="BG78" s="32">
        <f t="shared" si="80"/>
        <v>6.266815342021935E-2</v>
      </c>
      <c r="BH78" s="32">
        <f t="shared" si="64"/>
        <v>1.2354643483689882</v>
      </c>
      <c r="BI78" s="32">
        <f t="shared" si="65"/>
        <v>0.16486210457883305</v>
      </c>
      <c r="BJ78" s="32">
        <f t="shared" si="66"/>
        <v>1.4003264529478212</v>
      </c>
      <c r="BK78" s="457">
        <f t="shared" si="67"/>
        <v>1.7561259455260687</v>
      </c>
      <c r="BL78" s="2"/>
    </row>
    <row r="79" spans="1:64" ht="15">
      <c r="A79" s="119"/>
      <c r="B79" s="480">
        <f>Input!B96</f>
        <v>38061</v>
      </c>
      <c r="C79" s="481">
        <v>1</v>
      </c>
      <c r="D79" s="481">
        <f t="shared" si="68"/>
        <v>3</v>
      </c>
      <c r="E79" s="481">
        <f t="shared" si="69"/>
        <v>15</v>
      </c>
      <c r="F79" s="481">
        <f t="shared" si="43"/>
        <v>75</v>
      </c>
      <c r="G79" s="431">
        <v>7.6032000000000002</v>
      </c>
      <c r="H79" s="455">
        <v>11.39</v>
      </c>
      <c r="I79" s="455">
        <v>1.4</v>
      </c>
      <c r="J79" s="455">
        <v>1.75</v>
      </c>
      <c r="K79" s="485"/>
      <c r="L79" s="433">
        <v>98</v>
      </c>
      <c r="M79" s="455">
        <v>84</v>
      </c>
      <c r="N79" s="484">
        <f>Weather!M80</f>
        <v>0</v>
      </c>
      <c r="O79" s="481" t="str">
        <f t="shared" si="70"/>
        <v/>
      </c>
      <c r="P79" s="4">
        <f t="shared" si="81"/>
        <v>0.98386499581817932</v>
      </c>
      <c r="Q79" s="169">
        <f t="shared" si="44"/>
        <v>1.3471350543584519</v>
      </c>
      <c r="R79" s="169">
        <f t="shared" si="45"/>
        <v>0.67590997623515991</v>
      </c>
      <c r="S79" s="169">
        <f t="shared" si="46"/>
        <v>1.1315934456610997</v>
      </c>
      <c r="T79" s="169">
        <f t="shared" si="47"/>
        <v>0.66239177671045668</v>
      </c>
      <c r="U79" s="169">
        <f t="shared" si="48"/>
        <v>0.89699261118577822</v>
      </c>
      <c r="V79" s="169">
        <f t="shared" si="49"/>
        <v>2.2251190007487497E-2</v>
      </c>
      <c r="W79" s="439">
        <f t="shared" si="50"/>
        <v>5.4003720943595104</v>
      </c>
      <c r="X79" s="439">
        <f t="shared" si="51"/>
        <v>5.4003720943595104</v>
      </c>
      <c r="Y79" s="169"/>
      <c r="Z79" s="119" t="str">
        <f t="shared" si="52"/>
        <v/>
      </c>
      <c r="AA79" s="4" t="str">
        <f t="shared" si="53"/>
        <v/>
      </c>
      <c r="AB79" s="466"/>
      <c r="AC79" s="466"/>
      <c r="AD79" s="466"/>
      <c r="AE79" s="466"/>
      <c r="AF79" s="466"/>
      <c r="AG79" s="466"/>
      <c r="AH79" s="466"/>
      <c r="AI79" s="466"/>
      <c r="AJ79" s="466"/>
      <c r="AK79" s="466"/>
      <c r="AL79" s="466"/>
      <c r="AM79" s="462">
        <f t="shared" si="54"/>
        <v>75</v>
      </c>
      <c r="AN79" s="32">
        <f t="shared" si="71"/>
        <v>1.0091112001122164</v>
      </c>
      <c r="AO79" s="32">
        <f t="shared" si="72"/>
        <v>-4.0398242495160601E-2</v>
      </c>
      <c r="AP79" s="32">
        <f t="shared" si="73"/>
        <v>1.5315561604215739</v>
      </c>
      <c r="AQ79" s="32">
        <f t="shared" si="74"/>
        <v>11.700227210588992</v>
      </c>
      <c r="AR79" s="32">
        <f t="shared" si="75"/>
        <v>25.540088534237768</v>
      </c>
      <c r="AS79" s="32">
        <f t="shared" si="55"/>
        <v>19.17345526442298</v>
      </c>
      <c r="AT79" s="32">
        <f t="shared" si="56"/>
        <v>5.8544640000000001</v>
      </c>
      <c r="AU79" s="32">
        <f t="shared" si="57"/>
        <v>0.3965482431384188</v>
      </c>
      <c r="AV79" s="32">
        <f t="shared" si="58"/>
        <v>0.18534012823686541</v>
      </c>
      <c r="AW79" s="32">
        <f t="shared" si="59"/>
        <v>1.3471350543584519</v>
      </c>
      <c r="AX79" s="32">
        <f t="shared" si="60"/>
        <v>0.67590997623515991</v>
      </c>
      <c r="AY79" s="32">
        <f t="shared" si="61"/>
        <v>0.89699261118577822</v>
      </c>
      <c r="AZ79" s="32">
        <f t="shared" si="76"/>
        <v>0.20740642859006606</v>
      </c>
      <c r="BA79" s="32">
        <f t="shared" si="62"/>
        <v>-1.1524600437691126</v>
      </c>
      <c r="BB79" s="32">
        <f t="shared" si="77"/>
        <v>4.7020039562308877</v>
      </c>
      <c r="BC79" s="32">
        <f t="shared" si="63"/>
        <v>6.3950000000000005</v>
      </c>
      <c r="BD79" s="32">
        <v>0</v>
      </c>
      <c r="BE79" s="32">
        <f t="shared" si="78"/>
        <v>1.0115225152968059</v>
      </c>
      <c r="BF79" s="32">
        <f t="shared" si="79"/>
        <v>0.1145299041110277</v>
      </c>
      <c r="BG79" s="32">
        <f t="shared" si="80"/>
        <v>6.6329133198821208E-2</v>
      </c>
      <c r="BH79" s="32">
        <f t="shared" si="64"/>
        <v>0.73394426787382083</v>
      </c>
      <c r="BI79" s="32">
        <f t="shared" si="65"/>
        <v>0.24992072794435852</v>
      </c>
      <c r="BJ79" s="32">
        <f t="shared" si="66"/>
        <v>0.98386499581817932</v>
      </c>
      <c r="BK79" s="457">
        <f t="shared" si="67"/>
        <v>1.8335490000882819</v>
      </c>
      <c r="BL79" s="2"/>
    </row>
    <row r="80" spans="1:64" ht="15">
      <c r="A80" s="119"/>
      <c r="B80" s="480">
        <f>Input!B97</f>
        <v>38062</v>
      </c>
      <c r="C80" s="481">
        <v>1</v>
      </c>
      <c r="D80" s="481">
        <f t="shared" si="68"/>
        <v>3</v>
      </c>
      <c r="E80" s="481">
        <f t="shared" si="69"/>
        <v>16</v>
      </c>
      <c r="F80" s="481">
        <f t="shared" si="43"/>
        <v>76</v>
      </c>
      <c r="G80" s="431">
        <v>14.3424</v>
      </c>
      <c r="H80" s="455">
        <v>11.01</v>
      </c>
      <c r="I80" s="455">
        <v>2.2999999999999998</v>
      </c>
      <c r="J80" s="455">
        <v>1.31</v>
      </c>
      <c r="K80" s="485"/>
      <c r="L80" s="433">
        <v>100</v>
      </c>
      <c r="M80" s="455">
        <v>86</v>
      </c>
      <c r="N80" s="484">
        <f>Weather!M81</f>
        <v>0</v>
      </c>
      <c r="O80" s="481" t="str">
        <f t="shared" si="70"/>
        <v/>
      </c>
      <c r="P80" s="4">
        <f t="shared" si="81"/>
        <v>1.3348911220504578</v>
      </c>
      <c r="Q80" s="169">
        <f t="shared" si="44"/>
        <v>1.3135869771207336</v>
      </c>
      <c r="R80" s="169">
        <f t="shared" si="45"/>
        <v>0.72093576428893136</v>
      </c>
      <c r="S80" s="169">
        <f t="shared" si="46"/>
        <v>1.1296848003238309</v>
      </c>
      <c r="T80" s="169">
        <f t="shared" si="47"/>
        <v>0.72093576428893136</v>
      </c>
      <c r="U80" s="169">
        <f t="shared" si="48"/>
        <v>0.92531028230638113</v>
      </c>
      <c r="V80" s="169">
        <f t="shared" si="49"/>
        <v>2.4050929256030158E-2</v>
      </c>
      <c r="W80" s="439">
        <f t="shared" si="50"/>
        <v>5.8479337534542353</v>
      </c>
      <c r="X80" s="439">
        <f t="shared" si="51"/>
        <v>5.8479337534542353</v>
      </c>
      <c r="Y80" s="169"/>
      <c r="Z80" s="119" t="str">
        <f t="shared" si="52"/>
        <v/>
      </c>
      <c r="AA80" s="4" t="str">
        <f t="shared" si="53"/>
        <v/>
      </c>
      <c r="AB80" s="466"/>
      <c r="AC80" s="466"/>
      <c r="AD80" s="466"/>
      <c r="AE80" s="466"/>
      <c r="AF80" s="466"/>
      <c r="AG80" s="466"/>
      <c r="AH80" s="466"/>
      <c r="AI80" s="466"/>
      <c r="AJ80" s="466"/>
      <c r="AK80" s="466"/>
      <c r="AL80" s="466"/>
      <c r="AM80" s="462">
        <f t="shared" si="54"/>
        <v>76</v>
      </c>
      <c r="AN80" s="32">
        <f t="shared" si="71"/>
        <v>1.0085638893033033</v>
      </c>
      <c r="AO80" s="32">
        <f t="shared" si="72"/>
        <v>-3.3386421484746936E-2</v>
      </c>
      <c r="AP80" s="32">
        <f t="shared" si="73"/>
        <v>1.5383752136176176</v>
      </c>
      <c r="AQ80" s="32">
        <f t="shared" si="74"/>
        <v>11.752320939710124</v>
      </c>
      <c r="AR80" s="32">
        <f t="shared" si="75"/>
        <v>25.817229741485157</v>
      </c>
      <c r="AS80" s="32">
        <f t="shared" si="55"/>
        <v>19.381510711527739</v>
      </c>
      <c r="AT80" s="32">
        <f t="shared" si="56"/>
        <v>11.043647999999999</v>
      </c>
      <c r="AU80" s="32">
        <f t="shared" si="57"/>
        <v>0.74000423462704712</v>
      </c>
      <c r="AV80" s="32">
        <f t="shared" si="58"/>
        <v>0.64900571674651375</v>
      </c>
      <c r="AW80" s="32">
        <f t="shared" si="59"/>
        <v>1.3135869771207336</v>
      </c>
      <c r="AX80" s="32">
        <f t="shared" si="60"/>
        <v>0.72093576428893136</v>
      </c>
      <c r="AY80" s="32">
        <f t="shared" si="61"/>
        <v>0.92531028230638113</v>
      </c>
      <c r="AZ80" s="32">
        <f t="shared" si="76"/>
        <v>0.20532973032920346</v>
      </c>
      <c r="BA80" s="32">
        <f t="shared" si="62"/>
        <v>-4.0081977426552537</v>
      </c>
      <c r="BB80" s="32">
        <f t="shared" si="77"/>
        <v>7.0354502573447455</v>
      </c>
      <c r="BC80" s="32">
        <f t="shared" si="63"/>
        <v>6.6549999999999994</v>
      </c>
      <c r="BD80" s="32">
        <v>0</v>
      </c>
      <c r="BE80" s="32">
        <f t="shared" si="78"/>
        <v>1.0172613707048326</v>
      </c>
      <c r="BF80" s="32">
        <f t="shared" si="79"/>
        <v>9.1951088398451453E-2</v>
      </c>
      <c r="BG80" s="32">
        <f t="shared" si="80"/>
        <v>6.738479429819054E-2</v>
      </c>
      <c r="BH80" s="32">
        <f t="shared" si="64"/>
        <v>1.1766281869235231</v>
      </c>
      <c r="BI80" s="32">
        <f t="shared" si="65"/>
        <v>0.15826293512693468</v>
      </c>
      <c r="BJ80" s="32">
        <f t="shared" si="66"/>
        <v>1.3348911220504578</v>
      </c>
      <c r="BK80" s="457">
        <f t="shared" si="67"/>
        <v>1.7492349086710086</v>
      </c>
      <c r="BL80" s="2"/>
    </row>
    <row r="81" spans="1:64" ht="15">
      <c r="A81" s="119"/>
      <c r="B81" s="480">
        <f>Input!B98</f>
        <v>38063</v>
      </c>
      <c r="C81" s="481">
        <v>1</v>
      </c>
      <c r="D81" s="481">
        <f t="shared" si="68"/>
        <v>3</v>
      </c>
      <c r="E81" s="481">
        <f t="shared" si="69"/>
        <v>17</v>
      </c>
      <c r="F81" s="481">
        <f t="shared" si="43"/>
        <v>77</v>
      </c>
      <c r="G81" s="431">
        <v>14.0832</v>
      </c>
      <c r="H81" s="455">
        <v>10.25</v>
      </c>
      <c r="I81" s="455">
        <v>5.2</v>
      </c>
      <c r="J81" s="455">
        <v>1.7</v>
      </c>
      <c r="K81" s="485"/>
      <c r="L81" s="433">
        <v>93</v>
      </c>
      <c r="M81" s="455">
        <v>88</v>
      </c>
      <c r="N81" s="484">
        <f>Weather!M82</f>
        <v>0</v>
      </c>
      <c r="O81" s="481" t="str">
        <f t="shared" si="70"/>
        <v/>
      </c>
      <c r="P81" s="4">
        <f t="shared" si="81"/>
        <v>1.3733747862333849</v>
      </c>
      <c r="Q81" s="169">
        <f t="shared" si="44"/>
        <v>1.2486863221792912</v>
      </c>
      <c r="R81" s="169">
        <f t="shared" si="45"/>
        <v>0.88456442308191707</v>
      </c>
      <c r="S81" s="169">
        <f t="shared" si="46"/>
        <v>1.0988439635177762</v>
      </c>
      <c r="T81" s="169">
        <f t="shared" si="47"/>
        <v>0.82264491346618296</v>
      </c>
      <c r="U81" s="169">
        <f t="shared" si="48"/>
        <v>0.96074443849197966</v>
      </c>
      <c r="V81" s="169">
        <f t="shared" si="49"/>
        <v>2.6226917624124716E-2</v>
      </c>
      <c r="W81" s="439">
        <f t="shared" si="50"/>
        <v>6.3912708872789263</v>
      </c>
      <c r="X81" s="439">
        <f t="shared" si="51"/>
        <v>6.3912708872789263</v>
      </c>
      <c r="Y81" s="169"/>
      <c r="Z81" s="119" t="str">
        <f t="shared" si="52"/>
        <v/>
      </c>
      <c r="AA81" s="4" t="str">
        <f t="shared" si="53"/>
        <v/>
      </c>
      <c r="AB81" s="466"/>
      <c r="AC81" s="466"/>
      <c r="AD81" s="466"/>
      <c r="AE81" s="466"/>
      <c r="AF81" s="466"/>
      <c r="AG81" s="466"/>
      <c r="AH81" s="466"/>
      <c r="AI81" s="466"/>
      <c r="AJ81" s="466"/>
      <c r="AK81" s="466"/>
      <c r="AL81" s="466"/>
      <c r="AM81" s="462">
        <f t="shared" si="54"/>
        <v>77</v>
      </c>
      <c r="AN81" s="32">
        <f t="shared" si="71"/>
        <v>1.0080140408291658</v>
      </c>
      <c r="AO81" s="32">
        <f t="shared" si="72"/>
        <v>-2.6364707357109451E-2</v>
      </c>
      <c r="AP81" s="32">
        <f t="shared" si="73"/>
        <v>1.5451991785200399</v>
      </c>
      <c r="AQ81" s="32">
        <f t="shared" si="74"/>
        <v>11.804452191504017</v>
      </c>
      <c r="AR81" s="32">
        <f t="shared" si="75"/>
        <v>26.09439305881957</v>
      </c>
      <c r="AS81" s="32">
        <f t="shared" si="55"/>
        <v>19.589582757117029</v>
      </c>
      <c r="AT81" s="32">
        <f t="shared" si="56"/>
        <v>10.844063999999999</v>
      </c>
      <c r="AU81" s="32">
        <f t="shared" si="57"/>
        <v>0.71891270858658163</v>
      </c>
      <c r="AV81" s="32">
        <f t="shared" si="58"/>
        <v>0.62053215659188532</v>
      </c>
      <c r="AW81" s="32">
        <f t="shared" si="59"/>
        <v>1.2486863221792912</v>
      </c>
      <c r="AX81" s="32">
        <f t="shared" si="60"/>
        <v>0.88456442308191707</v>
      </c>
      <c r="AY81" s="32">
        <f t="shared" si="61"/>
        <v>0.96074443849197977</v>
      </c>
      <c r="AZ81" s="32">
        <f t="shared" si="76"/>
        <v>0.20277539945606401</v>
      </c>
      <c r="BA81" s="32">
        <f t="shared" si="62"/>
        <v>-3.8391803882883018</v>
      </c>
      <c r="BB81" s="32">
        <f t="shared" si="77"/>
        <v>7.0048836117116977</v>
      </c>
      <c r="BC81" s="32">
        <f t="shared" si="63"/>
        <v>7.7249999999999996</v>
      </c>
      <c r="BD81" s="32">
        <v>0</v>
      </c>
      <c r="BE81" s="32">
        <f t="shared" si="78"/>
        <v>1.0666253726306041</v>
      </c>
      <c r="BF81" s="32">
        <f t="shared" si="79"/>
        <v>0.10588093413862432</v>
      </c>
      <c r="BG81" s="32">
        <f t="shared" si="80"/>
        <v>7.1881973427875112E-2</v>
      </c>
      <c r="BH81" s="32">
        <f t="shared" si="64"/>
        <v>1.1555355181544824</v>
      </c>
      <c r="BI81" s="32">
        <f t="shared" si="65"/>
        <v>0.21783926807890247</v>
      </c>
      <c r="BJ81" s="32">
        <f t="shared" si="66"/>
        <v>1.3733747862333849</v>
      </c>
      <c r="BK81" s="457">
        <f t="shared" si="67"/>
        <v>1.405142570086054</v>
      </c>
      <c r="BL81" s="2"/>
    </row>
    <row r="82" spans="1:64" ht="15">
      <c r="A82" s="119"/>
      <c r="B82" s="480">
        <f>Input!B99</f>
        <v>38064</v>
      </c>
      <c r="C82" s="481">
        <v>1</v>
      </c>
      <c r="D82" s="481">
        <f t="shared" si="68"/>
        <v>3</v>
      </c>
      <c r="E82" s="481">
        <f t="shared" si="69"/>
        <v>18</v>
      </c>
      <c r="F82" s="481">
        <f t="shared" si="43"/>
        <v>78</v>
      </c>
      <c r="G82" s="431">
        <v>15.0336</v>
      </c>
      <c r="H82" s="455">
        <v>12.83</v>
      </c>
      <c r="I82" s="455">
        <v>5.6</v>
      </c>
      <c r="J82" s="455">
        <v>1.91</v>
      </c>
      <c r="K82" s="485"/>
      <c r="L82" s="433">
        <v>90</v>
      </c>
      <c r="M82" s="455">
        <v>88</v>
      </c>
      <c r="N82" s="484">
        <f>Weather!M83</f>
        <v>0.2</v>
      </c>
      <c r="O82" s="481" t="str">
        <f t="shared" si="70"/>
        <v/>
      </c>
      <c r="P82" s="4">
        <f t="shared" si="81"/>
        <v>1.5527441502753514</v>
      </c>
      <c r="Q82" s="169">
        <f t="shared" si="44"/>
        <v>1.481196281758691</v>
      </c>
      <c r="R82" s="169">
        <f t="shared" si="45"/>
        <v>0.90952746275151153</v>
      </c>
      <c r="S82" s="169">
        <f t="shared" si="46"/>
        <v>1.303452727947648</v>
      </c>
      <c r="T82" s="169">
        <f t="shared" si="47"/>
        <v>0.81857471647636038</v>
      </c>
      <c r="U82" s="169">
        <f t="shared" si="48"/>
        <v>1.0610137222120042</v>
      </c>
      <c r="V82" s="169">
        <f t="shared" si="49"/>
        <v>3.1975130195002033E-2</v>
      </c>
      <c r="W82" s="439">
        <f t="shared" si="50"/>
        <v>7.838330018114589</v>
      </c>
      <c r="X82" s="439">
        <f t="shared" si="51"/>
        <v>7.838330018114589</v>
      </c>
      <c r="Y82" s="169"/>
      <c r="Z82" s="119" t="str">
        <f t="shared" si="52"/>
        <v/>
      </c>
      <c r="AA82" s="4" t="str">
        <f t="shared" si="53"/>
        <v/>
      </c>
      <c r="AB82" s="466"/>
      <c r="AC82" s="466"/>
      <c r="AD82" s="466"/>
      <c r="AE82" s="466"/>
      <c r="AF82" s="466"/>
      <c r="AG82" s="466"/>
      <c r="AH82" s="466"/>
      <c r="AI82" s="466"/>
      <c r="AJ82" s="466"/>
      <c r="AK82" s="466"/>
      <c r="AL82" s="466"/>
      <c r="AM82" s="462">
        <f t="shared" si="54"/>
        <v>78</v>
      </c>
      <c r="AN82" s="32">
        <f t="shared" si="71"/>
        <v>1.0074618176217736</v>
      </c>
      <c r="AO82" s="32">
        <f t="shared" si="72"/>
        <v>-1.9335180797684971E-2</v>
      </c>
      <c r="AP82" s="32">
        <f t="shared" si="73"/>
        <v>1.552027011837414</v>
      </c>
      <c r="AQ82" s="32">
        <f t="shared" si="74"/>
        <v>11.856612995811265</v>
      </c>
      <c r="AR82" s="32">
        <f t="shared" si="75"/>
        <v>26.371478191030921</v>
      </c>
      <c r="AS82" s="32">
        <f t="shared" si="55"/>
        <v>19.797596107570733</v>
      </c>
      <c r="AT82" s="32">
        <f t="shared" si="56"/>
        <v>11.575872</v>
      </c>
      <c r="AU82" s="32">
        <f t="shared" si="57"/>
        <v>0.75936492078707729</v>
      </c>
      <c r="AV82" s="32">
        <f t="shared" si="58"/>
        <v>0.67514264306255434</v>
      </c>
      <c r="AW82" s="32">
        <f t="shared" si="59"/>
        <v>1.481196281758691</v>
      </c>
      <c r="AX82" s="32">
        <f t="shared" si="60"/>
        <v>0.90952746275151153</v>
      </c>
      <c r="AY82" s="32">
        <f t="shared" si="61"/>
        <v>1.0610137222120042</v>
      </c>
      <c r="AZ82" s="32">
        <f t="shared" si="76"/>
        <v>0.19579227151308679</v>
      </c>
      <c r="BA82" s="32">
        <f t="shared" si="62"/>
        <v>-4.1215210432128258</v>
      </c>
      <c r="BB82" s="32">
        <f t="shared" si="77"/>
        <v>7.4543509567871746</v>
      </c>
      <c r="BC82" s="32">
        <f t="shared" si="63"/>
        <v>9.2149999999999999</v>
      </c>
      <c r="BD82" s="32">
        <v>0</v>
      </c>
      <c r="BE82" s="32">
        <f t="shared" si="78"/>
        <v>1.1953618722551012</v>
      </c>
      <c r="BF82" s="32">
        <f t="shared" si="79"/>
        <v>0.13434815004309697</v>
      </c>
      <c r="BG82" s="32">
        <f t="shared" si="80"/>
        <v>7.8570292735380312E-2</v>
      </c>
      <c r="BH82" s="32">
        <f t="shared" si="64"/>
        <v>1.2625690805597798</v>
      </c>
      <c r="BI82" s="32">
        <f t="shared" si="65"/>
        <v>0.2901750697155715</v>
      </c>
      <c r="BJ82" s="32">
        <f t="shared" si="66"/>
        <v>1.5527441502753514</v>
      </c>
      <c r="BK82" s="457">
        <f t="shared" si="67"/>
        <v>1.7983339615166272</v>
      </c>
      <c r="BL82" s="2"/>
    </row>
    <row r="83" spans="1:64" ht="15">
      <c r="A83" s="119"/>
      <c r="B83" s="480">
        <f>Input!B100</f>
        <v>38065</v>
      </c>
      <c r="C83" s="481">
        <v>1</v>
      </c>
      <c r="D83" s="481">
        <f t="shared" si="68"/>
        <v>3</v>
      </c>
      <c r="E83" s="481">
        <f t="shared" si="69"/>
        <v>19</v>
      </c>
      <c r="F83" s="481">
        <f t="shared" si="43"/>
        <v>79</v>
      </c>
      <c r="G83" s="431">
        <v>11.059200000000001</v>
      </c>
      <c r="H83" s="455">
        <v>11.43</v>
      </c>
      <c r="I83" s="455">
        <v>4.7</v>
      </c>
      <c r="J83" s="455">
        <v>1.89</v>
      </c>
      <c r="K83" s="485"/>
      <c r="L83" s="433">
        <v>91</v>
      </c>
      <c r="M83" s="455">
        <v>88</v>
      </c>
      <c r="N83" s="484">
        <f>Weather!M84</f>
        <v>1.2</v>
      </c>
      <c r="O83" s="481" t="str">
        <f t="shared" si="70"/>
        <v/>
      </c>
      <c r="P83" s="4">
        <f t="shared" si="81"/>
        <v>1.2539160732494974</v>
      </c>
      <c r="Q83" s="169">
        <f t="shared" si="44"/>
        <v>1.3507098424529123</v>
      </c>
      <c r="R83" s="169">
        <f t="shared" si="45"/>
        <v>0.85421136592944225</v>
      </c>
      <c r="S83" s="169">
        <f t="shared" si="46"/>
        <v>1.1886246613585627</v>
      </c>
      <c r="T83" s="169">
        <f t="shared" si="47"/>
        <v>0.77733234299579246</v>
      </c>
      <c r="U83" s="169">
        <f t="shared" si="48"/>
        <v>0.98297850217717753</v>
      </c>
      <c r="V83" s="169">
        <f t="shared" si="49"/>
        <v>2.7551689459028333E-2</v>
      </c>
      <c r="W83" s="439">
        <f t="shared" si="50"/>
        <v>6.7232528842487618</v>
      </c>
      <c r="X83" s="439">
        <f t="shared" si="51"/>
        <v>6.7232528842487618</v>
      </c>
      <c r="Y83" s="169"/>
      <c r="Z83" s="119" t="str">
        <f t="shared" si="52"/>
        <v/>
      </c>
      <c r="AA83" s="4" t="str">
        <f t="shared" si="53"/>
        <v/>
      </c>
      <c r="AB83" s="466"/>
      <c r="AC83" s="466"/>
      <c r="AD83" s="466"/>
      <c r="AE83" s="466"/>
      <c r="AF83" s="466"/>
      <c r="AG83" s="466"/>
      <c r="AH83" s="466"/>
      <c r="AI83" s="466"/>
      <c r="AJ83" s="466"/>
      <c r="AK83" s="466"/>
      <c r="AL83" s="466"/>
      <c r="AM83" s="462">
        <f t="shared" si="54"/>
        <v>79</v>
      </c>
      <c r="AN83" s="32">
        <f t="shared" si="71"/>
        <v>1.0069073833167805</v>
      </c>
      <c r="AO83" s="32">
        <f t="shared" si="72"/>
        <v>-1.2299924806902849E-2</v>
      </c>
      <c r="AP83" s="32">
        <f t="shared" si="73"/>
        <v>1.5588576763852824</v>
      </c>
      <c r="AQ83" s="32">
        <f t="shared" si="74"/>
        <v>11.908795429126263</v>
      </c>
      <c r="AR83" s="32">
        <f t="shared" si="75"/>
        <v>26.648385344457278</v>
      </c>
      <c r="AS83" s="32">
        <f t="shared" si="55"/>
        <v>20.005475845790968</v>
      </c>
      <c r="AT83" s="32">
        <f t="shared" si="56"/>
        <v>8.5155840000000005</v>
      </c>
      <c r="AU83" s="32">
        <f t="shared" si="57"/>
        <v>0.55280864525533346</v>
      </c>
      <c r="AV83" s="32">
        <f t="shared" si="58"/>
        <v>0.3962916710947002</v>
      </c>
      <c r="AW83" s="32">
        <f t="shared" si="59"/>
        <v>1.3507098424529123</v>
      </c>
      <c r="AX83" s="32">
        <f t="shared" si="60"/>
        <v>0.85421136592944225</v>
      </c>
      <c r="AY83" s="32">
        <f t="shared" si="61"/>
        <v>0.98297850217717764</v>
      </c>
      <c r="AZ83" s="32">
        <f t="shared" si="76"/>
        <v>0.20119661876354497</v>
      </c>
      <c r="BA83" s="32">
        <f t="shared" si="62"/>
        <v>-2.4454488495581943</v>
      </c>
      <c r="BB83" s="32">
        <f t="shared" si="77"/>
        <v>6.0701351504418062</v>
      </c>
      <c r="BC83" s="32">
        <f t="shared" si="63"/>
        <v>8.0649999999999995</v>
      </c>
      <c r="BD83" s="32">
        <v>0</v>
      </c>
      <c r="BE83" s="32">
        <f t="shared" si="78"/>
        <v>1.1024606041911773</v>
      </c>
      <c r="BF83" s="32">
        <f t="shared" si="79"/>
        <v>0.11948210201399967</v>
      </c>
      <c r="BG83" s="32">
        <f t="shared" si="80"/>
        <v>7.3363652316089753E-2</v>
      </c>
      <c r="BH83" s="32">
        <f t="shared" si="64"/>
        <v>0.98959861222212653</v>
      </c>
      <c r="BI83" s="32">
        <f t="shared" si="65"/>
        <v>0.26431746102737091</v>
      </c>
      <c r="BJ83" s="32">
        <f t="shared" si="66"/>
        <v>1.2539160732494974</v>
      </c>
      <c r="BK83" s="457">
        <f t="shared" si="67"/>
        <v>1.6786210553823906</v>
      </c>
      <c r="BL83" s="2"/>
    </row>
    <row r="84" spans="1:64" ht="15">
      <c r="A84" s="119"/>
      <c r="B84" s="480">
        <f>Input!B101</f>
        <v>38066</v>
      </c>
      <c r="C84" s="481">
        <v>1</v>
      </c>
      <c r="D84" s="481">
        <f t="shared" si="68"/>
        <v>3</v>
      </c>
      <c r="E84" s="481">
        <f t="shared" si="69"/>
        <v>20</v>
      </c>
      <c r="F84" s="481">
        <f t="shared" si="43"/>
        <v>80</v>
      </c>
      <c r="G84" s="431">
        <v>3.024</v>
      </c>
      <c r="H84" s="455">
        <v>10.64</v>
      </c>
      <c r="I84" s="455">
        <v>4.8</v>
      </c>
      <c r="J84" s="455">
        <v>1.26</v>
      </c>
      <c r="K84" s="485"/>
      <c r="L84" s="433">
        <v>100</v>
      </c>
      <c r="M84" s="455">
        <v>88</v>
      </c>
      <c r="N84" s="484">
        <f>Weather!M85</f>
        <v>0.2</v>
      </c>
      <c r="O84" s="481" t="str">
        <f t="shared" si="70"/>
        <v/>
      </c>
      <c r="P84" s="4">
        <f t="shared" si="81"/>
        <v>0.47253029285191905</v>
      </c>
      <c r="Q84" s="169">
        <f t="shared" si="44"/>
        <v>1.2816294892538997</v>
      </c>
      <c r="R84" s="169">
        <f t="shared" si="45"/>
        <v>0.8602074134922596</v>
      </c>
      <c r="S84" s="169">
        <f t="shared" si="46"/>
        <v>1.1278339505434318</v>
      </c>
      <c r="T84" s="169">
        <f t="shared" si="47"/>
        <v>0.8602074134922596</v>
      </c>
      <c r="U84" s="169">
        <f t="shared" si="48"/>
        <v>0.99402068201784566</v>
      </c>
      <c r="V84" s="169">
        <f t="shared" si="49"/>
        <v>2.8198519974211734E-2</v>
      </c>
      <c r="W84" s="439">
        <f t="shared" si="50"/>
        <v>6.8856746232809556</v>
      </c>
      <c r="X84" s="439">
        <f t="shared" si="51"/>
        <v>6.8856746232809556</v>
      </c>
      <c r="Y84" s="169"/>
      <c r="Z84" s="119" t="str">
        <f t="shared" si="52"/>
        <v/>
      </c>
      <c r="AA84" s="4" t="str">
        <f t="shared" si="53"/>
        <v/>
      </c>
      <c r="AB84" s="466"/>
      <c r="AC84" s="466"/>
      <c r="AD84" s="466"/>
      <c r="AE84" s="466"/>
      <c r="AF84" s="466"/>
      <c r="AG84" s="466"/>
      <c r="AH84" s="466"/>
      <c r="AI84" s="466"/>
      <c r="AJ84" s="466"/>
      <c r="AK84" s="466"/>
      <c r="AL84" s="466"/>
      <c r="AM84" s="462">
        <f t="shared" si="54"/>
        <v>80</v>
      </c>
      <c r="AN84" s="32">
        <f t="shared" si="71"/>
        <v>1.0063509022050374</v>
      </c>
      <c r="AO84" s="32">
        <f t="shared" si="72"/>
        <v>-5.2610240829463247E-3</v>
      </c>
      <c r="AP84" s="32">
        <f t="shared" si="73"/>
        <v>1.5656901394614156</v>
      </c>
      <c r="AQ84" s="32">
        <f t="shared" si="74"/>
        <v>11.960991602185116</v>
      </c>
      <c r="AR84" s="32">
        <f t="shared" si="75"/>
        <v>26.925015302142537</v>
      </c>
      <c r="AS84" s="32">
        <f t="shared" si="55"/>
        <v>20.213147487624447</v>
      </c>
      <c r="AT84" s="32">
        <f t="shared" si="56"/>
        <v>2.3284799999999999</v>
      </c>
      <c r="AU84" s="32">
        <f t="shared" si="57"/>
        <v>0.3</v>
      </c>
      <c r="AV84" s="32">
        <f t="shared" si="58"/>
        <v>5.5000000000000049E-2</v>
      </c>
      <c r="AW84" s="32">
        <f t="shared" si="59"/>
        <v>1.2816294892538997</v>
      </c>
      <c r="AX84" s="32">
        <f t="shared" si="60"/>
        <v>0.8602074134922596</v>
      </c>
      <c r="AY84" s="32">
        <f t="shared" si="61"/>
        <v>0.99402068201784566</v>
      </c>
      <c r="AZ84" s="32">
        <f t="shared" si="76"/>
        <v>0.20041917980055507</v>
      </c>
      <c r="BA84" s="32">
        <f t="shared" si="62"/>
        <v>-0.33635742447595607</v>
      </c>
      <c r="BB84" s="32">
        <f t="shared" si="77"/>
        <v>1.9921225755240437</v>
      </c>
      <c r="BC84" s="32">
        <f t="shared" si="63"/>
        <v>7.7200000000000006</v>
      </c>
      <c r="BD84" s="32">
        <v>0</v>
      </c>
      <c r="BE84" s="32">
        <f t="shared" si="78"/>
        <v>1.0709184513730796</v>
      </c>
      <c r="BF84" s="32">
        <f t="shared" si="79"/>
        <v>7.6897769355233958E-2</v>
      </c>
      <c r="BG84" s="32">
        <f t="shared" si="80"/>
        <v>7.1860376374214219E-2</v>
      </c>
      <c r="BH84" s="32">
        <f t="shared" si="64"/>
        <v>0.3482326136201303</v>
      </c>
      <c r="BI84" s="32">
        <f t="shared" si="65"/>
        <v>0.12429767923178878</v>
      </c>
      <c r="BJ84" s="32">
        <f t="shared" si="66"/>
        <v>0.47253029285191905</v>
      </c>
      <c r="BK84" s="457">
        <f t="shared" si="67"/>
        <v>1.5588517112068909</v>
      </c>
      <c r="BL84" s="2"/>
    </row>
    <row r="85" spans="1:64" ht="15">
      <c r="A85" s="119"/>
      <c r="B85" s="480">
        <f>Input!B102</f>
        <v>38067</v>
      </c>
      <c r="C85" s="481">
        <v>1</v>
      </c>
      <c r="D85" s="481">
        <f t="shared" si="68"/>
        <v>3</v>
      </c>
      <c r="E85" s="481">
        <f t="shared" si="69"/>
        <v>21</v>
      </c>
      <c r="F85" s="481">
        <f t="shared" si="43"/>
        <v>81</v>
      </c>
      <c r="G85" s="431">
        <v>11.4048</v>
      </c>
      <c r="H85" s="455">
        <v>13.36</v>
      </c>
      <c r="I85" s="455">
        <v>5.3</v>
      </c>
      <c r="J85" s="455">
        <v>1.57</v>
      </c>
      <c r="K85" s="485"/>
      <c r="L85" s="433">
        <v>100</v>
      </c>
      <c r="M85" s="455">
        <v>80</v>
      </c>
      <c r="N85" s="484">
        <f>Weather!M86</f>
        <v>0</v>
      </c>
      <c r="O85" s="481" t="str">
        <f t="shared" si="70"/>
        <v/>
      </c>
      <c r="P85" s="4">
        <f t="shared" si="81"/>
        <v>1.4014913229730439</v>
      </c>
      <c r="Q85" s="169">
        <f t="shared" si="44"/>
        <v>1.533408492539041</v>
      </c>
      <c r="R85" s="169">
        <f t="shared" si="45"/>
        <v>0.89074786868336131</v>
      </c>
      <c r="S85" s="169">
        <f t="shared" si="46"/>
        <v>1.226726794031233</v>
      </c>
      <c r="T85" s="169">
        <f t="shared" si="47"/>
        <v>0.89074786868336131</v>
      </c>
      <c r="U85" s="169">
        <f t="shared" si="48"/>
        <v>1.0587373313572972</v>
      </c>
      <c r="V85" s="169">
        <f t="shared" si="49"/>
        <v>3.1850764730169644E-2</v>
      </c>
      <c r="W85" s="439">
        <f t="shared" si="50"/>
        <v>7.8068403042871113</v>
      </c>
      <c r="X85" s="439">
        <f t="shared" si="51"/>
        <v>7.8068403042871113</v>
      </c>
      <c r="Y85" s="169"/>
      <c r="Z85" s="119" t="str">
        <f t="shared" si="52"/>
        <v/>
      </c>
      <c r="AA85" s="4" t="str">
        <f t="shared" si="53"/>
        <v/>
      </c>
      <c r="AB85" s="466"/>
      <c r="AC85" s="466"/>
      <c r="AD85" s="466"/>
      <c r="AE85" s="466"/>
      <c r="AF85" s="466"/>
      <c r="AG85" s="466"/>
      <c r="AH85" s="466"/>
      <c r="AI85" s="466"/>
      <c r="AJ85" s="466"/>
      <c r="AK85" s="466"/>
      <c r="AL85" s="466"/>
      <c r="AM85" s="462">
        <f t="shared" si="54"/>
        <v>81</v>
      </c>
      <c r="AN85" s="32">
        <f t="shared" si="71"/>
        <v>1.0057925391839071</v>
      </c>
      <c r="AO85" s="32">
        <f t="shared" si="72"/>
        <v>1.7794355959882655E-3</v>
      </c>
      <c r="AP85" s="32">
        <f t="shared" si="73"/>
        <v>1.5725233712164666</v>
      </c>
      <c r="AQ85" s="32">
        <f t="shared" si="74"/>
        <v>12.013193647518342</v>
      </c>
      <c r="AR85" s="32">
        <f t="shared" si="75"/>
        <v>27.201269497298306</v>
      </c>
      <c r="AS85" s="32">
        <f t="shared" si="55"/>
        <v>20.420537037011787</v>
      </c>
      <c r="AT85" s="32">
        <f t="shared" si="56"/>
        <v>8.7816960000000002</v>
      </c>
      <c r="AU85" s="32">
        <f t="shared" si="57"/>
        <v>0.55849657525309171</v>
      </c>
      <c r="AV85" s="32">
        <f t="shared" si="58"/>
        <v>0.4039703765916739</v>
      </c>
      <c r="AW85" s="32">
        <f t="shared" si="59"/>
        <v>1.533408492539041</v>
      </c>
      <c r="AX85" s="32">
        <f t="shared" si="60"/>
        <v>0.89074786868336131</v>
      </c>
      <c r="AY85" s="32">
        <f t="shared" si="61"/>
        <v>1.0587373313572972</v>
      </c>
      <c r="AZ85" s="32">
        <f t="shared" si="76"/>
        <v>0.19594705246124597</v>
      </c>
      <c r="BA85" s="32">
        <f t="shared" si="62"/>
        <v>-2.4726645708839423</v>
      </c>
      <c r="BB85" s="32">
        <f t="shared" si="77"/>
        <v>6.3090314291160574</v>
      </c>
      <c r="BC85" s="32">
        <f t="shared" si="63"/>
        <v>9.33</v>
      </c>
      <c r="BD85" s="32">
        <v>0</v>
      </c>
      <c r="BE85" s="32">
        <f t="shared" si="78"/>
        <v>1.2120781806112011</v>
      </c>
      <c r="BF85" s="32">
        <f t="shared" si="79"/>
        <v>0.1533408492539039</v>
      </c>
      <c r="BG85" s="32">
        <f t="shared" si="80"/>
        <v>7.9107889835552128E-2</v>
      </c>
      <c r="BH85" s="32">
        <f t="shared" si="64"/>
        <v>1.1185680892368588</v>
      </c>
      <c r="BI85" s="32">
        <f t="shared" si="65"/>
        <v>0.28292323373618505</v>
      </c>
      <c r="BJ85" s="32">
        <f t="shared" si="66"/>
        <v>1.4014913229730439</v>
      </c>
      <c r="BK85" s="457">
        <f t="shared" si="67"/>
        <v>1.9668364110729073</v>
      </c>
      <c r="BL85" s="2"/>
    </row>
    <row r="86" spans="1:64" ht="15">
      <c r="A86" s="119"/>
      <c r="B86" s="480">
        <f>Input!B103</f>
        <v>38068</v>
      </c>
      <c r="C86" s="481">
        <v>1</v>
      </c>
      <c r="D86" s="481">
        <f t="shared" si="68"/>
        <v>3</v>
      </c>
      <c r="E86" s="481">
        <f t="shared" si="69"/>
        <v>22</v>
      </c>
      <c r="F86" s="481">
        <f t="shared" si="43"/>
        <v>82</v>
      </c>
      <c r="G86" s="431">
        <v>16.1568</v>
      </c>
      <c r="H86" s="455">
        <v>13.86</v>
      </c>
      <c r="I86" s="455">
        <v>6.2</v>
      </c>
      <c r="J86" s="455">
        <v>1.52</v>
      </c>
      <c r="K86" s="485"/>
      <c r="L86" s="433">
        <v>100</v>
      </c>
      <c r="M86" s="455">
        <v>75</v>
      </c>
      <c r="N86" s="484">
        <f>Weather!M87</f>
        <v>0</v>
      </c>
      <c r="O86" s="481" t="str">
        <f t="shared" si="70"/>
        <v/>
      </c>
      <c r="P86" s="4">
        <f t="shared" si="81"/>
        <v>1.8243026445582893</v>
      </c>
      <c r="Q86" s="169">
        <f t="shared" si="44"/>
        <v>1.5841390129071271</v>
      </c>
      <c r="R86" s="169">
        <f t="shared" si="45"/>
        <v>0.94813654445332363</v>
      </c>
      <c r="S86" s="169">
        <f t="shared" si="46"/>
        <v>1.1881042596803453</v>
      </c>
      <c r="T86" s="169">
        <f t="shared" si="47"/>
        <v>0.94813654445332363</v>
      </c>
      <c r="U86" s="169">
        <f t="shared" si="48"/>
        <v>1.0681204020668345</v>
      </c>
      <c r="V86" s="169">
        <f t="shared" si="49"/>
        <v>3.23616778134957E-2</v>
      </c>
      <c r="W86" s="439">
        <f t="shared" si="50"/>
        <v>7.9362567284332757</v>
      </c>
      <c r="X86" s="439">
        <f t="shared" si="51"/>
        <v>7.9362567284332757</v>
      </c>
      <c r="Y86" s="169"/>
      <c r="Z86" s="119" t="str">
        <f t="shared" si="52"/>
        <v/>
      </c>
      <c r="AA86" s="4" t="str">
        <f t="shared" si="53"/>
        <v/>
      </c>
      <c r="AB86" s="466"/>
      <c r="AC86" s="466"/>
      <c r="AD86" s="466"/>
      <c r="AE86" s="466"/>
      <c r="AF86" s="466"/>
      <c r="AG86" s="466"/>
      <c r="AH86" s="466"/>
      <c r="AI86" s="466"/>
      <c r="AJ86" s="466"/>
      <c r="AK86" s="466"/>
      <c r="AL86" s="466"/>
      <c r="AM86" s="462">
        <f t="shared" si="54"/>
        <v>82</v>
      </c>
      <c r="AN86" s="32">
        <f t="shared" si="71"/>
        <v>1.0052324597084035</v>
      </c>
      <c r="AO86" s="32">
        <f t="shared" si="72"/>
        <v>8.8193679897523095E-3</v>
      </c>
      <c r="AP86" s="32">
        <f t="shared" si="73"/>
        <v>1.5793563430217132</v>
      </c>
      <c r="AQ86" s="32">
        <f t="shared" si="74"/>
        <v>12.065393706981347</v>
      </c>
      <c r="AR86" s="32">
        <f t="shared" si="75"/>
        <v>27.477050084929527</v>
      </c>
      <c r="AS86" s="32">
        <f t="shared" si="55"/>
        <v>20.627571039758294</v>
      </c>
      <c r="AT86" s="32">
        <f t="shared" si="56"/>
        <v>12.440736000000001</v>
      </c>
      <c r="AU86" s="32">
        <f t="shared" si="57"/>
        <v>0.78326236127650828</v>
      </c>
      <c r="AV86" s="32">
        <f t="shared" si="58"/>
        <v>0.70740418772328628</v>
      </c>
      <c r="AW86" s="32">
        <f t="shared" si="59"/>
        <v>1.5841390129071271</v>
      </c>
      <c r="AX86" s="32">
        <f t="shared" si="60"/>
        <v>0.94813654445332363</v>
      </c>
      <c r="AY86" s="32">
        <f t="shared" si="61"/>
        <v>1.0681204020668345</v>
      </c>
      <c r="AZ86" s="32">
        <f t="shared" si="76"/>
        <v>0.19531012516243595</v>
      </c>
      <c r="BA86" s="32">
        <f t="shared" si="62"/>
        <v>-4.358280587085031</v>
      </c>
      <c r="BB86" s="32">
        <f t="shared" si="77"/>
        <v>8.082455412914971</v>
      </c>
      <c r="BC86" s="32">
        <f t="shared" si="63"/>
        <v>10.029999999999999</v>
      </c>
      <c r="BD86" s="32">
        <v>0</v>
      </c>
      <c r="BE86" s="32">
        <f t="shared" si="78"/>
        <v>1.2661377786802253</v>
      </c>
      <c r="BF86" s="32">
        <f t="shared" si="79"/>
        <v>0.19801737661339081</v>
      </c>
      <c r="BG86" s="32">
        <f t="shared" si="80"/>
        <v>8.2448437693211765E-2</v>
      </c>
      <c r="BH86" s="32">
        <f t="shared" si="64"/>
        <v>1.4756712601934998</v>
      </c>
      <c r="BI86" s="32">
        <f t="shared" si="65"/>
        <v>0.34863138436478941</v>
      </c>
      <c r="BJ86" s="32">
        <f t="shared" si="66"/>
        <v>1.8243026445582893</v>
      </c>
      <c r="BK86" s="457">
        <f t="shared" si="67"/>
        <v>1.9868242320373564</v>
      </c>
      <c r="BL86" s="2"/>
    </row>
    <row r="87" spans="1:64" ht="15">
      <c r="A87" s="119"/>
      <c r="B87" s="480">
        <f>Input!B104</f>
        <v>38069</v>
      </c>
      <c r="C87" s="481">
        <v>1</v>
      </c>
      <c r="D87" s="481">
        <f t="shared" si="68"/>
        <v>3</v>
      </c>
      <c r="E87" s="481">
        <f t="shared" si="69"/>
        <v>23</v>
      </c>
      <c r="F87" s="481">
        <f t="shared" si="43"/>
        <v>83</v>
      </c>
      <c r="G87" s="431">
        <v>2.5920000000000001</v>
      </c>
      <c r="H87" s="455">
        <v>13.17</v>
      </c>
      <c r="I87" s="455">
        <v>3.7</v>
      </c>
      <c r="J87" s="455">
        <v>1.05</v>
      </c>
      <c r="K87" s="485"/>
      <c r="L87" s="433">
        <v>99</v>
      </c>
      <c r="M87" s="455">
        <v>82</v>
      </c>
      <c r="N87" s="484">
        <f>Weather!M88</f>
        <v>0</v>
      </c>
      <c r="O87" s="481" t="str">
        <f t="shared" si="70"/>
        <v/>
      </c>
      <c r="P87" s="4">
        <f t="shared" si="81"/>
        <v>0.49590084445667348</v>
      </c>
      <c r="Q87" s="169">
        <f t="shared" si="44"/>
        <v>1.5145081165520657</v>
      </c>
      <c r="R87" s="169">
        <f t="shared" si="45"/>
        <v>0.79624796581976021</v>
      </c>
      <c r="S87" s="169">
        <f t="shared" si="46"/>
        <v>1.2418966555726938</v>
      </c>
      <c r="T87" s="169">
        <f t="shared" si="47"/>
        <v>0.78828548616156258</v>
      </c>
      <c r="U87" s="169">
        <f t="shared" si="48"/>
        <v>1.0150910708671281</v>
      </c>
      <c r="V87" s="169">
        <f t="shared" si="49"/>
        <v>2.941308854074166E-2</v>
      </c>
      <c r="W87" s="439">
        <f t="shared" si="50"/>
        <v>7.1912425650002998</v>
      </c>
      <c r="X87" s="439">
        <f t="shared" si="51"/>
        <v>7.1912425650002998</v>
      </c>
      <c r="Y87" s="169"/>
      <c r="Z87" s="119" t="str">
        <f t="shared" si="52"/>
        <v/>
      </c>
      <c r="AA87" s="4" t="str">
        <f t="shared" si="53"/>
        <v/>
      </c>
      <c r="AB87" s="466"/>
      <c r="AC87" s="466"/>
      <c r="AD87" s="466"/>
      <c r="AE87" s="466"/>
      <c r="AF87" s="466"/>
      <c r="AG87" s="466"/>
      <c r="AH87" s="466"/>
      <c r="AI87" s="466"/>
      <c r="AJ87" s="466"/>
      <c r="AK87" s="466"/>
      <c r="AL87" s="466"/>
      <c r="AM87" s="462">
        <f t="shared" si="54"/>
        <v>83</v>
      </c>
      <c r="AN87" s="32">
        <f t="shared" si="71"/>
        <v>1.0046708297421625</v>
      </c>
      <c r="AO87" s="32">
        <f t="shared" si="72"/>
        <v>1.5856687014443527E-2</v>
      </c>
      <c r="AP87" s="32">
        <f t="shared" si="73"/>
        <v>1.586188025835557</v>
      </c>
      <c r="AQ87" s="32">
        <f t="shared" si="74"/>
        <v>12.117583919275386</v>
      </c>
      <c r="AR87" s="32">
        <f t="shared" si="75"/>
        <v>27.752260011489177</v>
      </c>
      <c r="AS87" s="32">
        <f t="shared" si="55"/>
        <v>20.834176635825155</v>
      </c>
      <c r="AT87" s="32">
        <f t="shared" si="56"/>
        <v>1.9958400000000001</v>
      </c>
      <c r="AU87" s="32">
        <f t="shared" si="57"/>
        <v>0.3</v>
      </c>
      <c r="AV87" s="32">
        <f t="shared" si="58"/>
        <v>5.5000000000000049E-2</v>
      </c>
      <c r="AW87" s="32">
        <f t="shared" si="59"/>
        <v>1.5145081165520657</v>
      </c>
      <c r="AX87" s="32">
        <f t="shared" si="60"/>
        <v>0.79624796581976021</v>
      </c>
      <c r="AY87" s="32">
        <f t="shared" si="61"/>
        <v>1.0150910708671281</v>
      </c>
      <c r="AZ87" s="32">
        <f t="shared" si="76"/>
        <v>0.19894758070491769</v>
      </c>
      <c r="BA87" s="32">
        <f t="shared" si="62"/>
        <v>-0.33765386003520836</v>
      </c>
      <c r="BB87" s="32">
        <f t="shared" si="77"/>
        <v>1.6581861399647917</v>
      </c>
      <c r="BC87" s="32">
        <f t="shared" si="63"/>
        <v>8.4350000000000005</v>
      </c>
      <c r="BD87" s="32">
        <v>0</v>
      </c>
      <c r="BE87" s="32">
        <f t="shared" si="78"/>
        <v>1.1553780411859129</v>
      </c>
      <c r="BF87" s="32">
        <f t="shared" si="79"/>
        <v>0.14028697031878479</v>
      </c>
      <c r="BG87" s="32">
        <f t="shared" si="80"/>
        <v>7.5005652271202844E-2</v>
      </c>
      <c r="BH87" s="32">
        <f t="shared" si="64"/>
        <v>0.30554542886609581</v>
      </c>
      <c r="BI87" s="32">
        <f t="shared" si="65"/>
        <v>0.19035541559057764</v>
      </c>
      <c r="BJ87" s="32">
        <f t="shared" si="66"/>
        <v>0.49590084445667348</v>
      </c>
      <c r="BK87" s="457">
        <f t="shared" si="67"/>
        <v>2.103372373625028</v>
      </c>
      <c r="BL87" s="2"/>
    </row>
    <row r="88" spans="1:64" ht="15">
      <c r="A88" s="119"/>
      <c r="B88" s="480">
        <f>Input!B105</f>
        <v>38070</v>
      </c>
      <c r="C88" s="481">
        <v>1</v>
      </c>
      <c r="D88" s="481">
        <f t="shared" si="68"/>
        <v>3</v>
      </c>
      <c r="E88" s="481">
        <f t="shared" si="69"/>
        <v>24</v>
      </c>
      <c r="F88" s="481">
        <f t="shared" si="43"/>
        <v>84</v>
      </c>
      <c r="G88" s="431">
        <v>13.9968</v>
      </c>
      <c r="H88" s="455">
        <v>13.04</v>
      </c>
      <c r="I88" s="455">
        <v>4.5999999999999996</v>
      </c>
      <c r="J88" s="455">
        <v>1.01</v>
      </c>
      <c r="K88" s="485"/>
      <c r="L88" s="433">
        <v>100</v>
      </c>
      <c r="M88" s="455">
        <v>86</v>
      </c>
      <c r="N88" s="484">
        <f>Weather!M89</f>
        <v>0</v>
      </c>
      <c r="O88" s="481" t="str">
        <f t="shared" si="70"/>
        <v/>
      </c>
      <c r="P88" s="4">
        <f t="shared" si="81"/>
        <v>1.5357753584385381</v>
      </c>
      <c r="Q88" s="169">
        <f t="shared" si="44"/>
        <v>1.5016943929164366</v>
      </c>
      <c r="R88" s="169">
        <f t="shared" si="45"/>
        <v>0.84825220792722944</v>
      </c>
      <c r="S88" s="169">
        <f t="shared" si="46"/>
        <v>1.2914571779081354</v>
      </c>
      <c r="T88" s="169">
        <f t="shared" si="47"/>
        <v>0.84825220792722944</v>
      </c>
      <c r="U88" s="169">
        <f t="shared" si="48"/>
        <v>1.0698546929176824</v>
      </c>
      <c r="V88" s="169">
        <f t="shared" si="49"/>
        <v>3.2455619217033611E-2</v>
      </c>
      <c r="W88" s="439">
        <f t="shared" si="50"/>
        <v>7.9600673552252053</v>
      </c>
      <c r="X88" s="439">
        <f t="shared" si="51"/>
        <v>7.9600673552252053</v>
      </c>
      <c r="Y88" s="169"/>
      <c r="Z88" s="119" t="str">
        <f t="shared" si="52"/>
        <v/>
      </c>
      <c r="AA88" s="4" t="str">
        <f t="shared" si="53"/>
        <v/>
      </c>
      <c r="AB88" s="466"/>
      <c r="AC88" s="466"/>
      <c r="AD88" s="466"/>
      <c r="AE88" s="466"/>
      <c r="AF88" s="466"/>
      <c r="AG88" s="466"/>
      <c r="AH88" s="466"/>
      <c r="AI88" s="466"/>
      <c r="AJ88" s="466"/>
      <c r="AK88" s="466"/>
      <c r="AL88" s="466"/>
      <c r="AM88" s="462">
        <f t="shared" si="54"/>
        <v>84</v>
      </c>
      <c r="AN88" s="32">
        <f t="shared" si="71"/>
        <v>1.0041078157082641</v>
      </c>
      <c r="AO88" s="32">
        <f t="shared" si="72"/>
        <v>2.2889307360556943E-2</v>
      </c>
      <c r="AP88" s="32">
        <f t="shared" si="73"/>
        <v>1.5930173885704422</v>
      </c>
      <c r="AQ88" s="32">
        <f t="shared" si="74"/>
        <v>12.169756407471766</v>
      </c>
      <c r="AR88" s="32">
        <f t="shared" si="75"/>
        <v>28.026803082433435</v>
      </c>
      <c r="AS88" s="32">
        <f t="shared" si="55"/>
        <v>21.040281610044431</v>
      </c>
      <c r="AT88" s="32">
        <f t="shared" si="56"/>
        <v>10.777536000000001</v>
      </c>
      <c r="AU88" s="32">
        <f t="shared" si="57"/>
        <v>0.66523824440249224</v>
      </c>
      <c r="AV88" s="32">
        <f t="shared" si="58"/>
        <v>0.54807162994336456</v>
      </c>
      <c r="AW88" s="32">
        <f t="shared" si="59"/>
        <v>1.5016943929164366</v>
      </c>
      <c r="AX88" s="32">
        <f t="shared" si="60"/>
        <v>0.84825220792722944</v>
      </c>
      <c r="AY88" s="32">
        <f t="shared" si="61"/>
        <v>1.0698546929176824</v>
      </c>
      <c r="AZ88" s="32">
        <f t="shared" si="76"/>
        <v>0.19519270743092193</v>
      </c>
      <c r="BA88" s="32">
        <f t="shared" si="62"/>
        <v>-3.3181184871678759</v>
      </c>
      <c r="BB88" s="32">
        <f t="shared" si="77"/>
        <v>7.4594175128321254</v>
      </c>
      <c r="BC88" s="32">
        <f t="shared" si="63"/>
        <v>8.82</v>
      </c>
      <c r="BD88" s="32">
        <v>0</v>
      </c>
      <c r="BE88" s="32">
        <f t="shared" si="78"/>
        <v>1.174973300421833</v>
      </c>
      <c r="BF88" s="32">
        <f t="shared" si="79"/>
        <v>0.10511860750415059</v>
      </c>
      <c r="BG88" s="32">
        <f t="shared" si="80"/>
        <v>7.6747455673748785E-2</v>
      </c>
      <c r="BH88" s="32">
        <f t="shared" si="64"/>
        <v>1.3994416508093652</v>
      </c>
      <c r="BI88" s="32">
        <f t="shared" si="65"/>
        <v>0.13633370762917274</v>
      </c>
      <c r="BJ88" s="32">
        <f t="shared" si="66"/>
        <v>1.5357753584385381</v>
      </c>
      <c r="BK88" s="457">
        <f t="shared" si="67"/>
        <v>2.0347665439827307</v>
      </c>
      <c r="BL88" s="2"/>
    </row>
    <row r="89" spans="1:64" ht="15">
      <c r="A89" s="119"/>
      <c r="B89" s="480">
        <f>Input!B106</f>
        <v>38071</v>
      </c>
      <c r="C89" s="481">
        <v>1</v>
      </c>
      <c r="D89" s="481">
        <f t="shared" si="68"/>
        <v>3</v>
      </c>
      <c r="E89" s="481">
        <f t="shared" si="69"/>
        <v>25</v>
      </c>
      <c r="F89" s="481">
        <f t="shared" si="43"/>
        <v>85</v>
      </c>
      <c r="G89" s="431">
        <v>17.107199999999999</v>
      </c>
      <c r="H89" s="455">
        <v>13.91</v>
      </c>
      <c r="I89" s="455">
        <v>5.9</v>
      </c>
      <c r="J89" s="455">
        <v>1.49</v>
      </c>
      <c r="K89" s="485"/>
      <c r="L89" s="433">
        <v>100</v>
      </c>
      <c r="M89" s="455">
        <v>85</v>
      </c>
      <c r="N89" s="484">
        <f>Weather!M90</f>
        <v>0</v>
      </c>
      <c r="O89" s="481" t="str">
        <f t="shared" si="70"/>
        <v/>
      </c>
      <c r="P89" s="4">
        <f t="shared" si="81"/>
        <v>1.8042864664435185</v>
      </c>
      <c r="Q89" s="169">
        <f t="shared" si="44"/>
        <v>1.589292146321861</v>
      </c>
      <c r="R89" s="169">
        <f t="shared" si="45"/>
        <v>0.92865518405702308</v>
      </c>
      <c r="S89" s="169">
        <f t="shared" si="46"/>
        <v>1.3508983243735817</v>
      </c>
      <c r="T89" s="169">
        <f t="shared" si="47"/>
        <v>0.92865518405702308</v>
      </c>
      <c r="U89" s="169">
        <f t="shared" si="48"/>
        <v>1.1397767542153023</v>
      </c>
      <c r="V89" s="169">
        <f t="shared" si="49"/>
        <v>3.612148924326794E-2</v>
      </c>
      <c r="W89" s="439">
        <f t="shared" si="50"/>
        <v>8.8928524723494213</v>
      </c>
      <c r="X89" s="439">
        <f t="shared" si="51"/>
        <v>8.8928524723494213</v>
      </c>
      <c r="Y89" s="169"/>
      <c r="Z89" s="119" t="str">
        <f t="shared" si="52"/>
        <v/>
      </c>
      <c r="AA89" s="4" t="str">
        <f t="shared" si="53"/>
        <v/>
      </c>
      <c r="AB89" s="466"/>
      <c r="AC89" s="466"/>
      <c r="AD89" s="466"/>
      <c r="AE89" s="466"/>
      <c r="AF89" s="466"/>
      <c r="AG89" s="466"/>
      <c r="AH89" s="466"/>
      <c r="AI89" s="466"/>
      <c r="AJ89" s="466"/>
      <c r="AK89" s="466"/>
      <c r="AL89" s="466"/>
      <c r="AM89" s="462">
        <f t="shared" si="54"/>
        <v>85</v>
      </c>
      <c r="AN89" s="32">
        <f t="shared" si="71"/>
        <v>1.0035435844399174</v>
      </c>
      <c r="AO89" s="32">
        <f t="shared" si="72"/>
        <v>2.9915145110907808E-2</v>
      </c>
      <c r="AP89" s="32">
        <f t="shared" si="73"/>
        <v>1.5998433964618612</v>
      </c>
      <c r="AQ89" s="32">
        <f t="shared" si="74"/>
        <v>12.221903266551939</v>
      </c>
      <c r="AR89" s="32">
        <f t="shared" si="75"/>
        <v>28.300584027555189</v>
      </c>
      <c r="AS89" s="32">
        <f t="shared" si="55"/>
        <v>21.245814441166232</v>
      </c>
      <c r="AT89" s="32">
        <f t="shared" si="56"/>
        <v>13.172544</v>
      </c>
      <c r="AU89" s="32">
        <f t="shared" si="57"/>
        <v>0.80520330474377166</v>
      </c>
      <c r="AV89" s="32">
        <f t="shared" si="58"/>
        <v>0.73702446140409184</v>
      </c>
      <c r="AW89" s="32">
        <f t="shared" si="59"/>
        <v>1.589292146321861</v>
      </c>
      <c r="AX89" s="32">
        <f t="shared" si="60"/>
        <v>0.92865518405702308</v>
      </c>
      <c r="AY89" s="32">
        <f t="shared" si="61"/>
        <v>1.1397767542153023</v>
      </c>
      <c r="AZ89" s="32">
        <f t="shared" si="76"/>
        <v>0.19053554140659418</v>
      </c>
      <c r="BA89" s="32">
        <f t="shared" si="62"/>
        <v>-4.4224067259500561</v>
      </c>
      <c r="BB89" s="32">
        <f t="shared" si="77"/>
        <v>8.7501372740499441</v>
      </c>
      <c r="BC89" s="32">
        <f t="shared" si="63"/>
        <v>9.9050000000000011</v>
      </c>
      <c r="BD89" s="32">
        <v>0</v>
      </c>
      <c r="BE89" s="32">
        <f t="shared" si="78"/>
        <v>1.2589736651894421</v>
      </c>
      <c r="BF89" s="32">
        <f t="shared" si="79"/>
        <v>0.11919691097413976</v>
      </c>
      <c r="BG89" s="32">
        <f t="shared" si="80"/>
        <v>8.184323552277141E-2</v>
      </c>
      <c r="BH89" s="32">
        <f t="shared" si="64"/>
        <v>1.5970273960012433</v>
      </c>
      <c r="BI89" s="32">
        <f t="shared" si="65"/>
        <v>0.20725907044227515</v>
      </c>
      <c r="BJ89" s="32">
        <f t="shared" si="66"/>
        <v>1.8042864664435185</v>
      </c>
      <c r="BK89" s="457">
        <f t="shared" si="67"/>
        <v>2.0832028553942026</v>
      </c>
      <c r="BL89" s="2"/>
    </row>
    <row r="90" spans="1:64" ht="15">
      <c r="A90" s="119"/>
      <c r="B90" s="480">
        <f>Input!B107</f>
        <v>38072</v>
      </c>
      <c r="C90" s="481">
        <v>1</v>
      </c>
      <c r="D90" s="481">
        <f t="shared" si="68"/>
        <v>3</v>
      </c>
      <c r="E90" s="481">
        <f t="shared" si="69"/>
        <v>26</v>
      </c>
      <c r="F90" s="481">
        <f t="shared" si="43"/>
        <v>86</v>
      </c>
      <c r="G90" s="431">
        <v>4.0608000000000004</v>
      </c>
      <c r="H90" s="455">
        <v>14.98</v>
      </c>
      <c r="I90" s="455">
        <v>8.6</v>
      </c>
      <c r="J90" s="455">
        <v>1.38</v>
      </c>
      <c r="K90" s="485"/>
      <c r="L90" s="433">
        <v>90</v>
      </c>
      <c r="M90" s="455">
        <v>67</v>
      </c>
      <c r="N90" s="484">
        <f>Weather!M91</f>
        <v>0</v>
      </c>
      <c r="O90" s="481" t="str">
        <f t="shared" si="70"/>
        <v/>
      </c>
      <c r="P90" s="4">
        <f t="shared" si="81"/>
        <v>1.0646170170755511</v>
      </c>
      <c r="Q90" s="169">
        <f t="shared" si="44"/>
        <v>1.7031516442646557</v>
      </c>
      <c r="R90" s="169">
        <f t="shared" si="45"/>
        <v>1.1174036087713535</v>
      </c>
      <c r="S90" s="169">
        <f t="shared" si="46"/>
        <v>1.1411116016573193</v>
      </c>
      <c r="T90" s="169">
        <f t="shared" si="47"/>
        <v>1.0056632478942182</v>
      </c>
      <c r="U90" s="169">
        <f t="shared" si="48"/>
        <v>1.0733874247757687</v>
      </c>
      <c r="V90" s="169">
        <f t="shared" si="49"/>
        <v>3.2646506717421267E-2</v>
      </c>
      <c r="W90" s="439">
        <f t="shared" si="50"/>
        <v>8.0084644319168721</v>
      </c>
      <c r="X90" s="439">
        <f t="shared" si="51"/>
        <v>8.0084644319168721</v>
      </c>
      <c r="Y90" s="169"/>
      <c r="Z90" s="119" t="str">
        <f t="shared" si="52"/>
        <v/>
      </c>
      <c r="AA90" s="4" t="str">
        <f t="shared" si="53"/>
        <v/>
      </c>
      <c r="AB90" s="466"/>
      <c r="AC90" s="466"/>
      <c r="AD90" s="466"/>
      <c r="AE90" s="466"/>
      <c r="AF90" s="466"/>
      <c r="AG90" s="466"/>
      <c r="AH90" s="466"/>
      <c r="AI90" s="466"/>
      <c r="AJ90" s="466"/>
      <c r="AK90" s="466"/>
      <c r="AL90" s="466"/>
      <c r="AM90" s="462">
        <f t="shared" si="54"/>
        <v>86</v>
      </c>
      <c r="AN90" s="32">
        <f t="shared" si="71"/>
        <v>1.0029783031310244</v>
      </c>
      <c r="AO90" s="32">
        <f t="shared" si="72"/>
        <v>3.693211835814051E-2</v>
      </c>
      <c r="AP90" s="32">
        <f t="shared" si="73"/>
        <v>1.6066650094411223</v>
      </c>
      <c r="AQ90" s="32">
        <f t="shared" si="74"/>
        <v>12.274016550976384</v>
      </c>
      <c r="AR90" s="32">
        <f t="shared" si="75"/>
        <v>28.573508563980408</v>
      </c>
      <c r="AS90" s="32">
        <f t="shared" si="55"/>
        <v>21.450704349151373</v>
      </c>
      <c r="AT90" s="32">
        <f t="shared" si="56"/>
        <v>3.1268160000000003</v>
      </c>
      <c r="AU90" s="32">
        <f t="shared" si="57"/>
        <v>0.3</v>
      </c>
      <c r="AV90" s="32">
        <f t="shared" si="58"/>
        <v>5.5000000000000049E-2</v>
      </c>
      <c r="AW90" s="32">
        <f t="shared" si="59"/>
        <v>1.7031516442646557</v>
      </c>
      <c r="AX90" s="32">
        <f t="shared" si="60"/>
        <v>1.1174036087713535</v>
      </c>
      <c r="AY90" s="32">
        <f t="shared" si="61"/>
        <v>1.0733874247757687</v>
      </c>
      <c r="AZ90" s="32">
        <f t="shared" si="76"/>
        <v>0.19495382278182902</v>
      </c>
      <c r="BA90" s="32">
        <f t="shared" si="62"/>
        <v>-0.34660169674535901</v>
      </c>
      <c r="BB90" s="32">
        <f t="shared" si="77"/>
        <v>2.7802143032546414</v>
      </c>
      <c r="BC90" s="32">
        <f t="shared" si="63"/>
        <v>11.79</v>
      </c>
      <c r="BD90" s="32">
        <v>0</v>
      </c>
      <c r="BE90" s="32">
        <f t="shared" si="78"/>
        <v>1.4102776265180046</v>
      </c>
      <c r="BF90" s="32">
        <f t="shared" si="79"/>
        <v>0.33689020174223594</v>
      </c>
      <c r="BG90" s="32">
        <f t="shared" si="80"/>
        <v>9.1383778100140353E-2</v>
      </c>
      <c r="BH90" s="32">
        <f t="shared" si="64"/>
        <v>0.54561451357825197</v>
      </c>
      <c r="BI90" s="32">
        <f t="shared" si="65"/>
        <v>0.51900250349729915</v>
      </c>
      <c r="BJ90" s="32">
        <f t="shared" si="66"/>
        <v>1.0646170170755511</v>
      </c>
      <c r="BK90" s="457">
        <f t="shared" si="67"/>
        <v>2.0048441941166635</v>
      </c>
      <c r="BL90" s="2"/>
    </row>
    <row r="91" spans="1:64" ht="15">
      <c r="A91" s="119"/>
      <c r="B91" s="480">
        <f>Input!B108</f>
        <v>38073</v>
      </c>
      <c r="C91" s="481">
        <v>1</v>
      </c>
      <c r="D91" s="481">
        <f t="shared" si="68"/>
        <v>3</v>
      </c>
      <c r="E91" s="481">
        <f t="shared" si="69"/>
        <v>27</v>
      </c>
      <c r="F91" s="481">
        <f t="shared" si="43"/>
        <v>87</v>
      </c>
      <c r="G91" s="431">
        <v>3.8016000000000001</v>
      </c>
      <c r="H91" s="455">
        <v>14.03</v>
      </c>
      <c r="I91" s="455">
        <v>3.3</v>
      </c>
      <c r="J91" s="455">
        <v>1.52</v>
      </c>
      <c r="K91" s="485"/>
      <c r="L91" s="433">
        <v>100</v>
      </c>
      <c r="M91" s="455">
        <v>84</v>
      </c>
      <c r="N91" s="484">
        <f>Weather!M92</f>
        <v>0</v>
      </c>
      <c r="O91" s="481" t="str">
        <f t="shared" si="70"/>
        <v/>
      </c>
      <c r="P91" s="4">
        <f t="shared" si="81"/>
        <v>0.68732022495647926</v>
      </c>
      <c r="Q91" s="169">
        <f t="shared" si="44"/>
        <v>1.6017197185144811</v>
      </c>
      <c r="R91" s="169">
        <f t="shared" si="45"/>
        <v>0.77405265232365905</v>
      </c>
      <c r="S91" s="169">
        <f t="shared" si="46"/>
        <v>1.3454445635521641</v>
      </c>
      <c r="T91" s="169">
        <f t="shared" si="47"/>
        <v>0.77405265232365905</v>
      </c>
      <c r="U91" s="169">
        <f t="shared" si="48"/>
        <v>1.0597486079379115</v>
      </c>
      <c r="V91" s="169">
        <f t="shared" si="49"/>
        <v>3.1906046514851155E-2</v>
      </c>
      <c r="W91" s="439">
        <f t="shared" si="50"/>
        <v>7.8208368213822625</v>
      </c>
      <c r="X91" s="439">
        <f t="shared" si="51"/>
        <v>7.8208368213822625</v>
      </c>
      <c r="Y91" s="169"/>
      <c r="Z91" s="119" t="str">
        <f t="shared" si="52"/>
        <v/>
      </c>
      <c r="AA91" s="4" t="str">
        <f t="shared" si="53"/>
        <v/>
      </c>
      <c r="AB91" s="466"/>
      <c r="AC91" s="466"/>
      <c r="AD91" s="466"/>
      <c r="AE91" s="466"/>
      <c r="AF91" s="466"/>
      <c r="AG91" s="466"/>
      <c r="AH91" s="466"/>
      <c r="AI91" s="466"/>
      <c r="AJ91" s="466"/>
      <c r="AK91" s="466"/>
      <c r="AL91" s="466"/>
      <c r="AM91" s="462">
        <f t="shared" si="54"/>
        <v>87</v>
      </c>
      <c r="AN91" s="32">
        <f t="shared" si="71"/>
        <v>1.0024121392866365</v>
      </c>
      <c r="AO91" s="32">
        <f t="shared" si="72"/>
        <v>4.3938147821643299E-2</v>
      </c>
      <c r="AP91" s="32">
        <f t="shared" si="73"/>
        <v>1.6134811805135896</v>
      </c>
      <c r="AQ91" s="32">
        <f t="shared" si="74"/>
        <v>12.326088262295253</v>
      </c>
      <c r="AR91" s="32">
        <f t="shared" si="75"/>
        <v>28.845483456719244</v>
      </c>
      <c r="AS91" s="32">
        <f t="shared" si="55"/>
        <v>21.654881340628272</v>
      </c>
      <c r="AT91" s="32">
        <f t="shared" si="56"/>
        <v>2.9272320000000001</v>
      </c>
      <c r="AU91" s="32">
        <f t="shared" si="57"/>
        <v>0.3</v>
      </c>
      <c r="AV91" s="32">
        <f t="shared" si="58"/>
        <v>5.5000000000000049E-2</v>
      </c>
      <c r="AW91" s="32">
        <f t="shared" si="59"/>
        <v>1.6017197185144811</v>
      </c>
      <c r="AX91" s="32">
        <f t="shared" si="60"/>
        <v>0.77405265232365905</v>
      </c>
      <c r="AY91" s="32">
        <f t="shared" si="61"/>
        <v>1.0597486079379115</v>
      </c>
      <c r="AZ91" s="32">
        <f t="shared" si="76"/>
        <v>0.1958782711886127</v>
      </c>
      <c r="BA91" s="32">
        <f t="shared" si="62"/>
        <v>-0.33369128533533166</v>
      </c>
      <c r="BB91" s="32">
        <f t="shared" si="77"/>
        <v>2.5935407146646683</v>
      </c>
      <c r="BC91" s="32">
        <f t="shared" si="63"/>
        <v>8.6649999999999991</v>
      </c>
      <c r="BD91" s="32">
        <v>0</v>
      </c>
      <c r="BE91" s="32">
        <f t="shared" si="78"/>
        <v>1.1878861854190701</v>
      </c>
      <c r="BF91" s="32">
        <f t="shared" si="79"/>
        <v>0.12813757748115862</v>
      </c>
      <c r="BG91" s="32">
        <f t="shared" si="80"/>
        <v>7.604210002337207E-2</v>
      </c>
      <c r="BH91" s="32">
        <f t="shared" si="64"/>
        <v>0.45246037403206724</v>
      </c>
      <c r="BI91" s="32">
        <f t="shared" si="65"/>
        <v>0.23485985092441206</v>
      </c>
      <c r="BJ91" s="32">
        <f t="shared" si="66"/>
        <v>0.68732022495647926</v>
      </c>
      <c r="BK91" s="457">
        <f t="shared" si="67"/>
        <v>2.347530984854767</v>
      </c>
      <c r="BL91" s="2"/>
    </row>
    <row r="92" spans="1:64" ht="15">
      <c r="A92" s="119"/>
      <c r="B92" s="480">
        <f>Input!B109</f>
        <v>38074</v>
      </c>
      <c r="C92" s="481">
        <v>1</v>
      </c>
      <c r="D92" s="481">
        <f t="shared" si="68"/>
        <v>3</v>
      </c>
      <c r="E92" s="481">
        <f t="shared" si="69"/>
        <v>28</v>
      </c>
      <c r="F92" s="481">
        <f t="shared" si="43"/>
        <v>88</v>
      </c>
      <c r="G92" s="431">
        <v>20.217600000000001</v>
      </c>
      <c r="H92" s="455">
        <v>15.86</v>
      </c>
      <c r="I92" s="455">
        <v>6.5</v>
      </c>
      <c r="J92" s="455">
        <v>1.81</v>
      </c>
      <c r="K92" s="485"/>
      <c r="L92" s="433">
        <v>100</v>
      </c>
      <c r="M92" s="455">
        <v>68</v>
      </c>
      <c r="N92" s="484">
        <f>Weather!M93</f>
        <v>0</v>
      </c>
      <c r="O92" s="481" t="str">
        <f t="shared" si="70"/>
        <v/>
      </c>
      <c r="P92" s="4">
        <f t="shared" si="81"/>
        <v>2.3931185072781882</v>
      </c>
      <c r="Q92" s="169">
        <f t="shared" si="44"/>
        <v>1.8020906428312817</v>
      </c>
      <c r="R92" s="169">
        <f t="shared" si="45"/>
        <v>0.96797712681678449</v>
      </c>
      <c r="S92" s="169">
        <f t="shared" si="46"/>
        <v>1.2254216371252717</v>
      </c>
      <c r="T92" s="169">
        <f t="shared" si="47"/>
        <v>0.96797712681678449</v>
      </c>
      <c r="U92" s="169">
        <f t="shared" si="48"/>
        <v>1.0966993819710282</v>
      </c>
      <c r="V92" s="169">
        <f t="shared" si="49"/>
        <v>3.3890608736908037E-2</v>
      </c>
      <c r="W92" s="439">
        <f t="shared" si="50"/>
        <v>8.3243590487758823</v>
      </c>
      <c r="X92" s="439">
        <f t="shared" si="51"/>
        <v>8.3243590487758823</v>
      </c>
      <c r="Y92" s="169"/>
      <c r="Z92" s="119" t="str">
        <f t="shared" si="52"/>
        <v/>
      </c>
      <c r="AA92" s="4" t="str">
        <f t="shared" si="53"/>
        <v/>
      </c>
      <c r="AB92" s="466"/>
      <c r="AC92" s="466"/>
      <c r="AD92" s="466"/>
      <c r="AE92" s="466"/>
      <c r="AF92" s="466"/>
      <c r="AG92" s="466"/>
      <c r="AH92" s="466"/>
      <c r="AI92" s="466"/>
      <c r="AJ92" s="466"/>
      <c r="AK92" s="466"/>
      <c r="AL92" s="466"/>
      <c r="AM92" s="462">
        <f t="shared" si="54"/>
        <v>88</v>
      </c>
      <c r="AN92" s="32">
        <f t="shared" si="71"/>
        <v>1.0018452606733199</v>
      </c>
      <c r="AO92" s="32">
        <f t="shared" si="72"/>
        <v>5.0931157463683728E-2</v>
      </c>
      <c r="AP92" s="32">
        <f t="shared" si="73"/>
        <v>1.6202908541441341</v>
      </c>
      <c r="AQ92" s="32">
        <f t="shared" si="74"/>
        <v>12.378110336814153</v>
      </c>
      <c r="AR92" s="32">
        <f t="shared" si="75"/>
        <v>29.116416576670758</v>
      </c>
      <c r="AS92" s="32">
        <f t="shared" si="55"/>
        <v>21.858276252438273</v>
      </c>
      <c r="AT92" s="32">
        <f t="shared" si="56"/>
        <v>15.567552000000001</v>
      </c>
      <c r="AU92" s="32">
        <f t="shared" si="57"/>
        <v>0.92494027280603808</v>
      </c>
      <c r="AV92" s="32">
        <f t="shared" si="58"/>
        <v>0.89866936828815158</v>
      </c>
      <c r="AW92" s="32">
        <f t="shared" si="59"/>
        <v>1.8020906428312817</v>
      </c>
      <c r="AX92" s="32">
        <f t="shared" si="60"/>
        <v>0.96797712681678449</v>
      </c>
      <c r="AY92" s="32">
        <f t="shared" si="61"/>
        <v>1.0966993819710285</v>
      </c>
      <c r="AZ92" s="32">
        <f t="shared" si="76"/>
        <v>0.19338721786067847</v>
      </c>
      <c r="BA92" s="32">
        <f t="shared" si="62"/>
        <v>-5.574680040589298</v>
      </c>
      <c r="BB92" s="32">
        <f t="shared" si="77"/>
        <v>9.9928719594107029</v>
      </c>
      <c r="BC92" s="32">
        <f t="shared" si="63"/>
        <v>11.18</v>
      </c>
      <c r="BD92" s="32">
        <v>0</v>
      </c>
      <c r="BE92" s="32">
        <f t="shared" si="78"/>
        <v>1.3850338848240331</v>
      </c>
      <c r="BF92" s="32">
        <f t="shared" si="79"/>
        <v>0.28833450285300466</v>
      </c>
      <c r="BG92" s="32">
        <f t="shared" si="80"/>
        <v>8.8197795725582465E-2</v>
      </c>
      <c r="BH92" s="32">
        <f t="shared" si="64"/>
        <v>1.8289352975732052</v>
      </c>
      <c r="BI92" s="32">
        <f t="shared" si="65"/>
        <v>0.56418320970498292</v>
      </c>
      <c r="BJ92" s="32">
        <f t="shared" si="66"/>
        <v>2.3931185072781882</v>
      </c>
      <c r="BK92" s="457">
        <f t="shared" si="67"/>
        <v>2.4234607005199256</v>
      </c>
      <c r="BL92" s="2"/>
    </row>
    <row r="93" spans="1:64" ht="15">
      <c r="A93" s="119"/>
      <c r="B93" s="480">
        <f>Input!B110</f>
        <v>38075</v>
      </c>
      <c r="C93" s="481">
        <v>1</v>
      </c>
      <c r="D93" s="481">
        <f t="shared" si="68"/>
        <v>3</v>
      </c>
      <c r="E93" s="481">
        <f t="shared" si="69"/>
        <v>29</v>
      </c>
      <c r="F93" s="481">
        <f t="shared" si="43"/>
        <v>89</v>
      </c>
      <c r="G93" s="431">
        <v>11.3184</v>
      </c>
      <c r="H93" s="455">
        <v>17.48</v>
      </c>
      <c r="I93" s="455">
        <v>6</v>
      </c>
      <c r="J93" s="455">
        <v>3.35</v>
      </c>
      <c r="K93" s="485"/>
      <c r="L93" s="433">
        <v>92</v>
      </c>
      <c r="M93" s="455">
        <v>67</v>
      </c>
      <c r="N93" s="484">
        <f>Weather!M94</f>
        <v>0</v>
      </c>
      <c r="O93" s="481" t="str">
        <f t="shared" si="70"/>
        <v/>
      </c>
      <c r="P93" s="4">
        <f t="shared" si="81"/>
        <v>2.1526092770776621</v>
      </c>
      <c r="Q93" s="169">
        <f t="shared" si="44"/>
        <v>1.9974634456256537</v>
      </c>
      <c r="R93" s="169">
        <f t="shared" si="45"/>
        <v>0.93510940339373394</v>
      </c>
      <c r="S93" s="169">
        <f t="shared" si="46"/>
        <v>1.3383005085691881</v>
      </c>
      <c r="T93" s="169">
        <f t="shared" si="47"/>
        <v>0.8603006511222353</v>
      </c>
      <c r="U93" s="169">
        <f t="shared" si="48"/>
        <v>1.0993005798457118</v>
      </c>
      <c r="V93" s="169">
        <f t="shared" si="49"/>
        <v>3.4027784986006282E-2</v>
      </c>
      <c r="W93" s="439">
        <f t="shared" si="50"/>
        <v>8.3592397914491912</v>
      </c>
      <c r="X93" s="439">
        <f t="shared" si="51"/>
        <v>8.3592397914491912</v>
      </c>
      <c r="Y93" s="169"/>
      <c r="Z93" s="119" t="str">
        <f t="shared" si="52"/>
        <v/>
      </c>
      <c r="AA93" s="4" t="str">
        <f t="shared" si="53"/>
        <v/>
      </c>
      <c r="AB93" s="466"/>
      <c r="AC93" s="466"/>
      <c r="AD93" s="466"/>
      <c r="AE93" s="466"/>
      <c r="AF93" s="466"/>
      <c r="AG93" s="466"/>
      <c r="AH93" s="466"/>
      <c r="AI93" s="466"/>
      <c r="AJ93" s="466"/>
      <c r="AK93" s="466"/>
      <c r="AL93" s="466"/>
      <c r="AM93" s="462">
        <f t="shared" si="54"/>
        <v>89</v>
      </c>
      <c r="AN93" s="32">
        <f t="shared" si="71"/>
        <v>1.0012778352694418</v>
      </c>
      <c r="AO93" s="32">
        <f t="shared" si="72"/>
        <v>5.7909075104583187E-2</v>
      </c>
      <c r="AP93" s="32">
        <f t="shared" si="73"/>
        <v>1.627092964651589</v>
      </c>
      <c r="AQ93" s="32">
        <f t="shared" si="74"/>
        <v>12.430074633328653</v>
      </c>
      <c r="AR93" s="32">
        <f t="shared" si="75"/>
        <v>29.386216955988075</v>
      </c>
      <c r="AS93" s="32">
        <f t="shared" si="55"/>
        <v>22.060820793199369</v>
      </c>
      <c r="AT93" s="32">
        <f t="shared" si="56"/>
        <v>8.7151680000000002</v>
      </c>
      <c r="AU93" s="32">
        <f t="shared" si="57"/>
        <v>0.51305434671266148</v>
      </c>
      <c r="AV93" s="32">
        <f t="shared" si="58"/>
        <v>0.34262336806209304</v>
      </c>
      <c r="AW93" s="32">
        <f t="shared" si="59"/>
        <v>1.9974634456256537</v>
      </c>
      <c r="AX93" s="32">
        <f t="shared" si="60"/>
        <v>0.93510940339373394</v>
      </c>
      <c r="AY93" s="32">
        <f t="shared" si="61"/>
        <v>1.0993005798457116</v>
      </c>
      <c r="AZ93" s="32">
        <f t="shared" si="76"/>
        <v>0.19321344964549395</v>
      </c>
      <c r="BA93" s="32">
        <f t="shared" si="62"/>
        <v>-2.1419820346862046</v>
      </c>
      <c r="BB93" s="32">
        <f t="shared" si="77"/>
        <v>6.5731859653137956</v>
      </c>
      <c r="BC93" s="32">
        <f t="shared" si="63"/>
        <v>11.74</v>
      </c>
      <c r="BD93" s="32">
        <v>0</v>
      </c>
      <c r="BE93" s="32">
        <f t="shared" si="78"/>
        <v>1.4662864245096938</v>
      </c>
      <c r="BF93" s="32">
        <f t="shared" si="79"/>
        <v>0.36698584466398221</v>
      </c>
      <c r="BG93" s="32">
        <f t="shared" si="80"/>
        <v>9.1118994417921359E-2</v>
      </c>
      <c r="BH93" s="32">
        <f t="shared" si="64"/>
        <v>1.0413124765021391</v>
      </c>
      <c r="BI93" s="32">
        <f t="shared" si="65"/>
        <v>1.1112968005755228</v>
      </c>
      <c r="BJ93" s="32">
        <f t="shared" si="66"/>
        <v>2.1526092770776621</v>
      </c>
      <c r="BK93" s="457">
        <f t="shared" si="67"/>
        <v>2.7611300803863159</v>
      </c>
      <c r="BL93" s="2"/>
    </row>
    <row r="94" spans="1:64" ht="15">
      <c r="A94" s="119"/>
      <c r="B94" s="480">
        <f>Input!B111</f>
        <v>38076</v>
      </c>
      <c r="C94" s="481">
        <v>1</v>
      </c>
      <c r="D94" s="481">
        <f t="shared" si="68"/>
        <v>3</v>
      </c>
      <c r="E94" s="481">
        <f t="shared" si="69"/>
        <v>30</v>
      </c>
      <c r="F94" s="481">
        <f t="shared" si="43"/>
        <v>90</v>
      </c>
      <c r="G94" s="431">
        <v>17.712</v>
      </c>
      <c r="H94" s="455">
        <v>18.34</v>
      </c>
      <c r="I94" s="455">
        <v>11</v>
      </c>
      <c r="J94" s="455">
        <v>2.1</v>
      </c>
      <c r="K94" s="485"/>
      <c r="L94" s="433">
        <v>97</v>
      </c>
      <c r="M94" s="455">
        <v>70</v>
      </c>
      <c r="N94" s="484">
        <f>Weather!M95</f>
        <v>0</v>
      </c>
      <c r="O94" s="481" t="str">
        <f t="shared" si="70"/>
        <v/>
      </c>
      <c r="P94" s="4">
        <f t="shared" si="81"/>
        <v>2.5106888403813876</v>
      </c>
      <c r="Q94" s="169">
        <f t="shared" si="44"/>
        <v>2.1085282620433463</v>
      </c>
      <c r="R94" s="169">
        <f t="shared" si="45"/>
        <v>1.3127141391058279</v>
      </c>
      <c r="S94" s="169">
        <f t="shared" si="46"/>
        <v>1.4759697834303422</v>
      </c>
      <c r="T94" s="169">
        <f t="shared" si="47"/>
        <v>1.273332714932653</v>
      </c>
      <c r="U94" s="169">
        <f t="shared" si="48"/>
        <v>1.3746512491814977</v>
      </c>
      <c r="V94" s="169">
        <f t="shared" si="49"/>
        <v>4.6970802989345112E-2</v>
      </c>
      <c r="W94" s="439">
        <f t="shared" si="50"/>
        <v>11.695519491253298</v>
      </c>
      <c r="X94" s="439">
        <f t="shared" si="51"/>
        <v>11.695519491253298</v>
      </c>
      <c r="Y94" s="169"/>
      <c r="Z94" s="119" t="str">
        <f t="shared" si="52"/>
        <v/>
      </c>
      <c r="AA94" s="4" t="str">
        <f t="shared" si="53"/>
        <v/>
      </c>
      <c r="AB94" s="466"/>
      <c r="AC94" s="466"/>
      <c r="AD94" s="466"/>
      <c r="AE94" s="466"/>
      <c r="AF94" s="466"/>
      <c r="AG94" s="466"/>
      <c r="AH94" s="466"/>
      <c r="AI94" s="466"/>
      <c r="AJ94" s="466"/>
      <c r="AK94" s="466"/>
      <c r="AL94" s="466"/>
      <c r="AM94" s="462">
        <f t="shared" si="54"/>
        <v>90</v>
      </c>
      <c r="AN94" s="32">
        <f t="shared" si="71"/>
        <v>1.0007100312153954</v>
      </c>
      <c r="AO94" s="32">
        <f t="shared" si="72"/>
        <v>6.4869833036749036E-2</v>
      </c>
      <c r="AP94" s="32">
        <f t="shared" si="73"/>
        <v>1.6338864346140609</v>
      </c>
      <c r="AQ94" s="32">
        <f t="shared" si="74"/>
        <v>12.481972920941791</v>
      </c>
      <c r="AR94" s="32">
        <f t="shared" si="75"/>
        <v>29.654794840718701</v>
      </c>
      <c r="AS94" s="32">
        <f t="shared" si="55"/>
        <v>22.262447582824343</v>
      </c>
      <c r="AT94" s="32">
        <f t="shared" si="56"/>
        <v>13.63824</v>
      </c>
      <c r="AU94" s="32">
        <f t="shared" si="57"/>
        <v>0.7955998519077907</v>
      </c>
      <c r="AV94" s="32">
        <f t="shared" si="58"/>
        <v>0.72405980007551751</v>
      </c>
      <c r="AW94" s="32">
        <f t="shared" si="59"/>
        <v>2.1085282620433463</v>
      </c>
      <c r="AX94" s="32">
        <f t="shared" si="60"/>
        <v>1.3127141391058279</v>
      </c>
      <c r="AY94" s="32">
        <f t="shared" si="61"/>
        <v>1.3746512491814977</v>
      </c>
      <c r="AZ94" s="32">
        <f t="shared" si="76"/>
        <v>0.17585626882528424</v>
      </c>
      <c r="BA94" s="32">
        <f t="shared" si="62"/>
        <v>-4.2858376819232422</v>
      </c>
      <c r="BB94" s="32">
        <f t="shared" si="77"/>
        <v>9.3524023180767575</v>
      </c>
      <c r="BC94" s="32">
        <f t="shared" si="63"/>
        <v>14.67</v>
      </c>
      <c r="BD94" s="32">
        <v>0</v>
      </c>
      <c r="BE94" s="32">
        <f t="shared" si="78"/>
        <v>1.7106212005745871</v>
      </c>
      <c r="BF94" s="32">
        <f t="shared" si="79"/>
        <v>0.33596995139308938</v>
      </c>
      <c r="BG94" s="32">
        <f t="shared" si="80"/>
        <v>0.10778389416899209</v>
      </c>
      <c r="BH94" s="32">
        <f t="shared" si="64"/>
        <v>1.8458316325989841</v>
      </c>
      <c r="BI94" s="32">
        <f t="shared" si="65"/>
        <v>0.66485720778240343</v>
      </c>
      <c r="BJ94" s="32">
        <f t="shared" si="66"/>
        <v>2.5106888403813876</v>
      </c>
      <c r="BK94" s="457">
        <f t="shared" si="67"/>
        <v>2.4489899001464401</v>
      </c>
      <c r="BL94" s="2"/>
    </row>
    <row r="95" spans="1:64" ht="15">
      <c r="A95" s="119"/>
      <c r="B95" s="480">
        <f>Input!B112</f>
        <v>38077</v>
      </c>
      <c r="C95" s="481">
        <v>1</v>
      </c>
      <c r="D95" s="481">
        <f t="shared" si="68"/>
        <v>3</v>
      </c>
      <c r="E95" s="481">
        <f t="shared" si="69"/>
        <v>31</v>
      </c>
      <c r="F95" s="481">
        <f t="shared" si="43"/>
        <v>91</v>
      </c>
      <c r="G95" s="431">
        <v>5.6159999999999997</v>
      </c>
      <c r="H95" s="455">
        <v>15.09</v>
      </c>
      <c r="I95" s="455">
        <v>6.6</v>
      </c>
      <c r="J95" s="455">
        <v>1.31</v>
      </c>
      <c r="K95" s="485"/>
      <c r="L95" s="433">
        <v>100</v>
      </c>
      <c r="M95" s="455">
        <v>87</v>
      </c>
      <c r="N95" s="484">
        <f>Weather!M96</f>
        <v>0</v>
      </c>
      <c r="O95" s="481" t="str">
        <f t="shared" si="70"/>
        <v/>
      </c>
      <c r="P95" s="4">
        <f t="shared" si="81"/>
        <v>0.93869359143232689</v>
      </c>
      <c r="Q95" s="169">
        <f t="shared" si="44"/>
        <v>1.7152525925046267</v>
      </c>
      <c r="R95" s="169">
        <f t="shared" si="45"/>
        <v>0.9746714566306458</v>
      </c>
      <c r="S95" s="169">
        <f t="shared" si="46"/>
        <v>1.4922697554790252</v>
      </c>
      <c r="T95" s="169">
        <f t="shared" si="47"/>
        <v>0.9746714566306458</v>
      </c>
      <c r="U95" s="169">
        <f t="shared" si="48"/>
        <v>1.2334706060548355</v>
      </c>
      <c r="V95" s="169">
        <f t="shared" si="49"/>
        <v>4.0695861762172617E-2</v>
      </c>
      <c r="W95" s="439">
        <f t="shared" si="50"/>
        <v>10.066805313592218</v>
      </c>
      <c r="X95" s="439">
        <f t="shared" si="51"/>
        <v>10.066805313592218</v>
      </c>
      <c r="Y95" s="169"/>
      <c r="Z95" s="119" t="str">
        <f t="shared" si="52"/>
        <v/>
      </c>
      <c r="AA95" s="4" t="str">
        <f t="shared" si="53"/>
        <v/>
      </c>
      <c r="AB95" s="466"/>
      <c r="AC95" s="466"/>
      <c r="AD95" s="466"/>
      <c r="AE95" s="466"/>
      <c r="AF95" s="466"/>
      <c r="AG95" s="466"/>
      <c r="AH95" s="466"/>
      <c r="AI95" s="466"/>
      <c r="AJ95" s="466"/>
      <c r="AK95" s="466"/>
      <c r="AL95" s="466"/>
      <c r="AM95" s="462">
        <f t="shared" si="54"/>
        <v>91</v>
      </c>
      <c r="AN95" s="32">
        <f t="shared" si="71"/>
        <v>1.000142016763776</v>
      </c>
      <c r="AO95" s="32">
        <f t="shared" si="72"/>
        <v>7.1811368637380357E-2</v>
      </c>
      <c r="AP95" s="32">
        <f t="shared" si="73"/>
        <v>1.6406701732870161</v>
      </c>
      <c r="AQ95" s="32">
        <f t="shared" si="74"/>
        <v>12.533796866979127</v>
      </c>
      <c r="AR95" s="32">
        <f t="shared" si="75"/>
        <v>29.922061740642615</v>
      </c>
      <c r="AS95" s="32">
        <f t="shared" si="55"/>
        <v>22.463090189935226</v>
      </c>
      <c r="AT95" s="32">
        <f t="shared" si="56"/>
        <v>4.3243200000000002</v>
      </c>
      <c r="AU95" s="32">
        <f t="shared" si="57"/>
        <v>0.3</v>
      </c>
      <c r="AV95" s="32">
        <f t="shared" si="58"/>
        <v>5.5000000000000049E-2</v>
      </c>
      <c r="AW95" s="32">
        <f t="shared" si="59"/>
        <v>1.7152525925046267</v>
      </c>
      <c r="AX95" s="32">
        <f t="shared" si="60"/>
        <v>0.9746714566306458</v>
      </c>
      <c r="AY95" s="32">
        <f t="shared" si="61"/>
        <v>1.2334706060548355</v>
      </c>
      <c r="AZ95" s="32">
        <f t="shared" si="76"/>
        <v>0.18451358940835128</v>
      </c>
      <c r="BA95" s="32">
        <f t="shared" si="62"/>
        <v>-0.32390058393940496</v>
      </c>
      <c r="BB95" s="32">
        <f t="shared" si="77"/>
        <v>4.0004194160605948</v>
      </c>
      <c r="BC95" s="32">
        <f t="shared" si="63"/>
        <v>10.844999999999999</v>
      </c>
      <c r="BD95" s="32">
        <v>0</v>
      </c>
      <c r="BE95" s="32">
        <f t="shared" si="78"/>
        <v>1.3449620245676361</v>
      </c>
      <c r="BF95" s="32">
        <f t="shared" si="79"/>
        <v>0.11149141851280064</v>
      </c>
      <c r="BG95" s="32">
        <f t="shared" si="80"/>
        <v>8.6488754886232797E-2</v>
      </c>
      <c r="BH95" s="32">
        <f t="shared" si="64"/>
        <v>0.76931493907940907</v>
      </c>
      <c r="BI95" s="32">
        <f t="shared" si="65"/>
        <v>0.1693786523529178</v>
      </c>
      <c r="BJ95" s="32">
        <f t="shared" si="66"/>
        <v>0.93869359143232689</v>
      </c>
      <c r="BK95" s="457">
        <f t="shared" si="67"/>
        <v>2.3445307765640049</v>
      </c>
      <c r="BL95" s="2"/>
    </row>
    <row r="96" spans="1:64" ht="15">
      <c r="A96" s="119"/>
      <c r="B96" s="480">
        <f>Input!B113</f>
        <v>38078</v>
      </c>
      <c r="C96" s="481">
        <v>1</v>
      </c>
      <c r="D96" s="481">
        <f t="shared" si="68"/>
        <v>4</v>
      </c>
      <c r="E96" s="481">
        <f t="shared" si="69"/>
        <v>1</v>
      </c>
      <c r="F96" s="481">
        <f t="shared" si="43"/>
        <v>92</v>
      </c>
      <c r="G96" s="431">
        <v>19.526399999999999</v>
      </c>
      <c r="H96" s="455">
        <v>10.37</v>
      </c>
      <c r="I96" s="455">
        <v>4.7</v>
      </c>
      <c r="J96" s="455">
        <v>3.3</v>
      </c>
      <c r="K96" s="485"/>
      <c r="L96" s="433">
        <v>100</v>
      </c>
      <c r="M96" s="455">
        <v>88</v>
      </c>
      <c r="N96" s="484">
        <f>Weather!M97</f>
        <v>0</v>
      </c>
      <c r="O96" s="481" t="str">
        <f t="shared" si="70"/>
        <v/>
      </c>
      <c r="P96" s="4">
        <f t="shared" si="81"/>
        <v>1.6167318103592816</v>
      </c>
      <c r="Q96" s="169">
        <f t="shared" si="44"/>
        <v>1.2587424612278404</v>
      </c>
      <c r="R96" s="169">
        <f t="shared" si="45"/>
        <v>0.85421136592944225</v>
      </c>
      <c r="S96" s="169">
        <f t="shared" si="46"/>
        <v>1.1076933658804995</v>
      </c>
      <c r="T96" s="169">
        <f t="shared" si="47"/>
        <v>0.85421136592944225</v>
      </c>
      <c r="U96" s="169">
        <f t="shared" si="48"/>
        <v>0.98095236590497081</v>
      </c>
      <c r="V96" s="169">
        <f t="shared" si="49"/>
        <v>2.7432213570942623E-2</v>
      </c>
      <c r="W96" s="439">
        <f t="shared" si="50"/>
        <v>6.6932756474342918</v>
      </c>
      <c r="X96" s="439">
        <f t="shared" si="51"/>
        <v>6.6932756474342918</v>
      </c>
      <c r="Y96" s="169"/>
      <c r="Z96" s="119" t="str">
        <f t="shared" si="52"/>
        <v/>
      </c>
      <c r="AA96" s="4" t="str">
        <f t="shared" si="53"/>
        <v/>
      </c>
      <c r="AB96" s="466"/>
      <c r="AC96" s="466"/>
      <c r="AD96" s="466"/>
      <c r="AE96" s="466"/>
      <c r="AF96" s="466"/>
      <c r="AG96" s="466"/>
      <c r="AH96" s="466"/>
      <c r="AI96" s="466"/>
      <c r="AJ96" s="466"/>
      <c r="AK96" s="466"/>
      <c r="AL96" s="466"/>
      <c r="AM96" s="462">
        <f t="shared" si="54"/>
        <v>92</v>
      </c>
      <c r="AN96" s="32">
        <f t="shared" si="71"/>
        <v>0.99957396022952472</v>
      </c>
      <c r="AO96" s="32">
        <f t="shared" si="72"/>
        <v>7.8731624979668152E-2</v>
      </c>
      <c r="AP96" s="32">
        <f t="shared" si="73"/>
        <v>1.6474430750361484</v>
      </c>
      <c r="AQ96" s="32">
        <f t="shared" si="74"/>
        <v>12.585538025016731</v>
      </c>
      <c r="AR96" s="32">
        <f t="shared" si="75"/>
        <v>30.187930476239487</v>
      </c>
      <c r="AS96" s="32">
        <f t="shared" si="55"/>
        <v>22.662683167122509</v>
      </c>
      <c r="AT96" s="32">
        <f t="shared" si="56"/>
        <v>15.035328</v>
      </c>
      <c r="AU96" s="32">
        <f t="shared" si="57"/>
        <v>0.86161024517730456</v>
      </c>
      <c r="AV96" s="32">
        <f t="shared" si="58"/>
        <v>0.81317383098936136</v>
      </c>
      <c r="AW96" s="32">
        <f t="shared" si="59"/>
        <v>1.2587424612278404</v>
      </c>
      <c r="AX96" s="32">
        <f t="shared" si="60"/>
        <v>0.85421136592944225</v>
      </c>
      <c r="AY96" s="32">
        <f t="shared" si="61"/>
        <v>0.98095236590497081</v>
      </c>
      <c r="AZ96" s="32">
        <f t="shared" si="76"/>
        <v>0.20133974480141245</v>
      </c>
      <c r="BA96" s="32">
        <f t="shared" si="62"/>
        <v>-4.9825487620329447</v>
      </c>
      <c r="BB96" s="32">
        <f t="shared" si="77"/>
        <v>10.052779237967055</v>
      </c>
      <c r="BC96" s="32">
        <f t="shared" si="63"/>
        <v>7.5350000000000001</v>
      </c>
      <c r="BD96" s="32">
        <v>0</v>
      </c>
      <c r="BE96" s="32">
        <f t="shared" si="78"/>
        <v>1.0564769135786414</v>
      </c>
      <c r="BF96" s="32">
        <f t="shared" si="79"/>
        <v>7.5524547673670561E-2</v>
      </c>
      <c r="BG96" s="32">
        <f t="shared" si="80"/>
        <v>7.1065175840861097E-2</v>
      </c>
      <c r="BH96" s="32">
        <f t="shared" si="64"/>
        <v>1.3653644809047147</v>
      </c>
      <c r="BI96" s="32">
        <f t="shared" si="65"/>
        <v>0.2513673294545668</v>
      </c>
      <c r="BJ96" s="32">
        <f t="shared" si="66"/>
        <v>1.6167318103592816</v>
      </c>
      <c r="BK96" s="457">
        <f t="shared" si="67"/>
        <v>1.7096512606708989</v>
      </c>
      <c r="BL96" s="2"/>
    </row>
    <row r="97" spans="1:64" ht="15">
      <c r="A97" s="119"/>
      <c r="B97" s="480">
        <f>Input!B114</f>
        <v>38079</v>
      </c>
      <c r="C97" s="481">
        <v>1</v>
      </c>
      <c r="D97" s="481">
        <f t="shared" si="68"/>
        <v>4</v>
      </c>
      <c r="E97" s="481">
        <f t="shared" si="69"/>
        <v>2</v>
      </c>
      <c r="F97" s="481">
        <f t="shared" si="43"/>
        <v>93</v>
      </c>
      <c r="G97" s="431">
        <v>21.427199999999999</v>
      </c>
      <c r="H97" s="455">
        <v>10.85</v>
      </c>
      <c r="I97" s="455">
        <v>1.7</v>
      </c>
      <c r="J97" s="455">
        <v>1.82</v>
      </c>
      <c r="K97" s="485"/>
      <c r="L97" s="433">
        <v>100</v>
      </c>
      <c r="M97" s="455">
        <v>84</v>
      </c>
      <c r="N97" s="484">
        <f>Weather!M98</f>
        <v>0</v>
      </c>
      <c r="O97" s="481" t="str">
        <f t="shared" si="70"/>
        <v/>
      </c>
      <c r="P97" s="4">
        <f t="shared" si="81"/>
        <v>1.8984918973670475</v>
      </c>
      <c r="Q97" s="169">
        <f t="shared" si="44"/>
        <v>1.2996825952484532</v>
      </c>
      <c r="R97" s="169">
        <f t="shared" si="45"/>
        <v>0.6906343876068135</v>
      </c>
      <c r="S97" s="169">
        <f t="shared" si="46"/>
        <v>1.0917333800087006</v>
      </c>
      <c r="T97" s="169">
        <f t="shared" si="47"/>
        <v>0.6906343876068135</v>
      </c>
      <c r="U97" s="169">
        <f t="shared" si="48"/>
        <v>0.89118388380775704</v>
      </c>
      <c r="V97" s="169">
        <f t="shared" si="49"/>
        <v>2.1874997797705461E-2</v>
      </c>
      <c r="W97" s="439">
        <f t="shared" si="50"/>
        <v>5.3070282077524515</v>
      </c>
      <c r="X97" s="439">
        <f t="shared" si="51"/>
        <v>5.3070282077524515</v>
      </c>
      <c r="Y97" s="169"/>
      <c r="Z97" s="119" t="str">
        <f t="shared" si="52"/>
        <v/>
      </c>
      <c r="AA97" s="4" t="str">
        <f t="shared" si="53"/>
        <v/>
      </c>
      <c r="AB97" s="466"/>
      <c r="AC97" s="466"/>
      <c r="AD97" s="466"/>
      <c r="AE97" s="466"/>
      <c r="AF97" s="466"/>
      <c r="AG97" s="466"/>
      <c r="AH97" s="466"/>
      <c r="AI97" s="466"/>
      <c r="AJ97" s="466"/>
      <c r="AK97" s="466"/>
      <c r="AL97" s="466"/>
      <c r="AM97" s="462">
        <f t="shared" si="54"/>
        <v>93</v>
      </c>
      <c r="AN97" s="32">
        <f t="shared" si="71"/>
        <v>0.99900602994005205</v>
      </c>
      <c r="AO97" s="32">
        <f t="shared" si="72"/>
        <v>8.5628551442306938E-2</v>
      </c>
      <c r="AP97" s="32">
        <f t="shared" si="73"/>
        <v>1.6542040177871224</v>
      </c>
      <c r="AQ97" s="32">
        <f t="shared" si="74"/>
        <v>12.637187823038117</v>
      </c>
      <c r="AR97" s="32">
        <f t="shared" si="75"/>
        <v>30.45231522272455</v>
      </c>
      <c r="AS97" s="32">
        <f t="shared" si="55"/>
        <v>22.861162084003777</v>
      </c>
      <c r="AT97" s="32">
        <f t="shared" si="56"/>
        <v>16.498943999999998</v>
      </c>
      <c r="AU97" s="32">
        <f t="shared" si="57"/>
        <v>0.93727518842941338</v>
      </c>
      <c r="AV97" s="32">
        <f t="shared" si="58"/>
        <v>0.91532150437970816</v>
      </c>
      <c r="AW97" s="32">
        <f t="shared" si="59"/>
        <v>1.2996825952484532</v>
      </c>
      <c r="AX97" s="32">
        <f t="shared" si="60"/>
        <v>0.6906343876068135</v>
      </c>
      <c r="AY97" s="32">
        <f t="shared" si="61"/>
        <v>0.89118388380775704</v>
      </c>
      <c r="AZ97" s="32">
        <f t="shared" si="76"/>
        <v>0.20783644934161297</v>
      </c>
      <c r="BA97" s="32">
        <f t="shared" si="62"/>
        <v>-5.6918114107938305</v>
      </c>
      <c r="BB97" s="32">
        <f t="shared" si="77"/>
        <v>10.807132589206168</v>
      </c>
      <c r="BC97" s="32">
        <f t="shared" si="63"/>
        <v>6.2749999999999995</v>
      </c>
      <c r="BD97" s="32">
        <v>0</v>
      </c>
      <c r="BE97" s="32">
        <f t="shared" si="78"/>
        <v>0.99515849142763335</v>
      </c>
      <c r="BF97" s="32">
        <f t="shared" si="79"/>
        <v>0.10397460761987631</v>
      </c>
      <c r="BG97" s="32">
        <f t="shared" si="80"/>
        <v>6.5846699506034931E-2</v>
      </c>
      <c r="BH97" s="32">
        <f t="shared" si="64"/>
        <v>1.6639357263480206</v>
      </c>
      <c r="BI97" s="32">
        <f t="shared" si="65"/>
        <v>0.2345561710190269</v>
      </c>
      <c r="BJ97" s="32">
        <f t="shared" si="66"/>
        <v>1.8984918973670475</v>
      </c>
      <c r="BK97" s="457">
        <f t="shared" si="67"/>
        <v>2.081895426647737</v>
      </c>
      <c r="BL97" s="2"/>
    </row>
    <row r="98" spans="1:64" ht="15">
      <c r="A98" s="119"/>
      <c r="B98" s="480">
        <f>Input!B115</f>
        <v>38080</v>
      </c>
      <c r="C98" s="481">
        <v>1</v>
      </c>
      <c r="D98" s="481">
        <f t="shared" si="68"/>
        <v>4</v>
      </c>
      <c r="E98" s="481">
        <f t="shared" si="69"/>
        <v>3</v>
      </c>
      <c r="F98" s="481">
        <f t="shared" si="43"/>
        <v>94</v>
      </c>
      <c r="G98" s="431">
        <v>21.6</v>
      </c>
      <c r="H98" s="455">
        <v>11.95</v>
      </c>
      <c r="I98" s="455">
        <v>6.3</v>
      </c>
      <c r="J98" s="455">
        <v>1.64</v>
      </c>
      <c r="K98" s="485"/>
      <c r="L98" s="433">
        <v>100</v>
      </c>
      <c r="M98" s="455">
        <v>87</v>
      </c>
      <c r="N98" s="484">
        <f>Weather!M99</f>
        <v>2</v>
      </c>
      <c r="O98" s="481" t="str">
        <f t="shared" si="70"/>
        <v/>
      </c>
      <c r="P98" s="4">
        <f t="shared" si="81"/>
        <v>2.1128725013730758</v>
      </c>
      <c r="Q98" s="169">
        <f t="shared" si="44"/>
        <v>1.3979463464333168</v>
      </c>
      <c r="R98" s="169">
        <f t="shared" si="45"/>
        <v>0.95470988059941519</v>
      </c>
      <c r="S98" s="169">
        <f t="shared" si="46"/>
        <v>1.2162133213969857</v>
      </c>
      <c r="T98" s="169">
        <f t="shared" si="47"/>
        <v>0.95470988059941519</v>
      </c>
      <c r="U98" s="169">
        <f t="shared" si="48"/>
        <v>1.0854616009982005</v>
      </c>
      <c r="V98" s="169">
        <f t="shared" si="49"/>
        <v>3.329421197826949E-2</v>
      </c>
      <c r="W98" s="439">
        <f t="shared" si="50"/>
        <v>8.1728242453284565</v>
      </c>
      <c r="X98" s="439">
        <f t="shared" si="51"/>
        <v>8.1728242453284565</v>
      </c>
      <c r="Y98" s="169"/>
      <c r="Z98" s="119" t="str">
        <f t="shared" si="52"/>
        <v/>
      </c>
      <c r="AA98" s="4" t="str">
        <f t="shared" si="53"/>
        <v/>
      </c>
      <c r="AB98" s="466"/>
      <c r="AC98" s="466"/>
      <c r="AD98" s="466"/>
      <c r="AE98" s="466"/>
      <c r="AF98" s="466"/>
      <c r="AG98" s="466"/>
      <c r="AH98" s="466"/>
      <c r="AI98" s="466"/>
      <c r="AJ98" s="466"/>
      <c r="AK98" s="466"/>
      <c r="AL98" s="466"/>
      <c r="AM98" s="462">
        <f t="shared" si="54"/>
        <v>94</v>
      </c>
      <c r="AN98" s="32">
        <f t="shared" si="71"/>
        <v>0.99843839418535973</v>
      </c>
      <c r="AO98" s="32">
        <f t="shared" si="72"/>
        <v>9.2500104317137774E-2</v>
      </c>
      <c r="AP98" s="32">
        <f t="shared" si="73"/>
        <v>1.6609518614943934</v>
      </c>
      <c r="AQ98" s="32">
        <f t="shared" si="74"/>
        <v>12.688737551736857</v>
      </c>
      <c r="AR98" s="32">
        <f t="shared" si="75"/>
        <v>30.715131551101813</v>
      </c>
      <c r="AS98" s="32">
        <f t="shared" si="55"/>
        <v>23.058463558043155</v>
      </c>
      <c r="AT98" s="32">
        <f t="shared" si="56"/>
        <v>16.632000000000001</v>
      </c>
      <c r="AU98" s="32">
        <f t="shared" si="57"/>
        <v>0.93674931747417234</v>
      </c>
      <c r="AV98" s="32">
        <f t="shared" si="58"/>
        <v>0.91461157859013287</v>
      </c>
      <c r="AW98" s="32">
        <f t="shared" si="59"/>
        <v>1.3979463464333168</v>
      </c>
      <c r="AX98" s="32">
        <f t="shared" si="60"/>
        <v>0.95470988059941519</v>
      </c>
      <c r="AY98" s="32">
        <f t="shared" si="61"/>
        <v>1.0854616009982005</v>
      </c>
      <c r="AZ98" s="32">
        <f t="shared" si="76"/>
        <v>0.19414031612688609</v>
      </c>
      <c r="BA98" s="32">
        <f t="shared" si="62"/>
        <v>-5.5271224992578372</v>
      </c>
      <c r="BB98" s="32">
        <f t="shared" si="77"/>
        <v>11.104877500742164</v>
      </c>
      <c r="BC98" s="32">
        <f t="shared" si="63"/>
        <v>9.125</v>
      </c>
      <c r="BD98" s="32">
        <v>0</v>
      </c>
      <c r="BE98" s="32">
        <f t="shared" si="78"/>
        <v>1.1763281135163659</v>
      </c>
      <c r="BF98" s="32">
        <f t="shared" si="79"/>
        <v>9.0866512518165354E-2</v>
      </c>
      <c r="BG98" s="32">
        <f t="shared" si="80"/>
        <v>7.8151743522675995E-2</v>
      </c>
      <c r="BH98" s="32">
        <f t="shared" si="64"/>
        <v>1.9382310140643806</v>
      </c>
      <c r="BI98" s="32">
        <f t="shared" si="65"/>
        <v>0.17464148730869522</v>
      </c>
      <c r="BJ98" s="32">
        <f t="shared" si="66"/>
        <v>2.1128725013730758</v>
      </c>
      <c r="BK98" s="457">
        <f t="shared" si="67"/>
        <v>1.8454150888306304</v>
      </c>
      <c r="BL98" s="2"/>
    </row>
    <row r="99" spans="1:64" ht="15">
      <c r="A99" s="119"/>
      <c r="B99" s="480">
        <f>Input!B116</f>
        <v>38081</v>
      </c>
      <c r="C99" s="481">
        <v>1</v>
      </c>
      <c r="D99" s="481">
        <f t="shared" si="68"/>
        <v>4</v>
      </c>
      <c r="E99" s="481">
        <f t="shared" si="69"/>
        <v>4</v>
      </c>
      <c r="F99" s="481">
        <f t="shared" si="43"/>
        <v>95</v>
      </c>
      <c r="G99" s="431">
        <v>1.9008</v>
      </c>
      <c r="H99" s="455">
        <v>13.88</v>
      </c>
      <c r="I99" s="455">
        <v>11.9</v>
      </c>
      <c r="J99" s="455">
        <v>2.36</v>
      </c>
      <c r="K99" s="485"/>
      <c r="L99" s="433">
        <v>100</v>
      </c>
      <c r="M99" s="455">
        <v>87</v>
      </c>
      <c r="N99" s="484">
        <f>Weather!M100</f>
        <v>2.4</v>
      </c>
      <c r="O99" s="481">
        <f t="shared" si="70"/>
        <v>1</v>
      </c>
      <c r="P99" s="4">
        <f t="shared" si="81"/>
        <v>0.44427184411836929</v>
      </c>
      <c r="Q99" s="169">
        <f t="shared" si="44"/>
        <v>1.5861985043143554</v>
      </c>
      <c r="R99" s="169">
        <f t="shared" si="45"/>
        <v>1.3933421778648425</v>
      </c>
      <c r="S99" s="169">
        <f t="shared" si="46"/>
        <v>1.3799926987534892</v>
      </c>
      <c r="T99" s="169">
        <f t="shared" si="47"/>
        <v>1.3933421778648425</v>
      </c>
      <c r="U99" s="169">
        <f t="shared" si="48"/>
        <v>1.3866674383091659</v>
      </c>
      <c r="V99" s="169">
        <f t="shared" si="49"/>
        <v>4.7474756671425783E-2</v>
      </c>
      <c r="W99" s="439">
        <f t="shared" si="50"/>
        <v>11.827255851783455</v>
      </c>
      <c r="X99" s="439">
        <f t="shared" si="51"/>
        <v>11.827255851783455</v>
      </c>
      <c r="Y99" s="169"/>
      <c r="Z99" s="119" t="str">
        <f t="shared" si="52"/>
        <v/>
      </c>
      <c r="AA99" s="4" t="str">
        <f t="shared" si="53"/>
        <v/>
      </c>
      <c r="AB99" s="466"/>
      <c r="AC99" s="466"/>
      <c r="AD99" s="466"/>
      <c r="AE99" s="466"/>
      <c r="AF99" s="466"/>
      <c r="AG99" s="466"/>
      <c r="AH99" s="466"/>
      <c r="AI99" s="466"/>
      <c r="AJ99" s="466"/>
      <c r="AK99" s="466"/>
      <c r="AL99" s="466"/>
      <c r="AM99" s="462">
        <f t="shared" si="54"/>
        <v>95</v>
      </c>
      <c r="AN99" s="32">
        <f t="shared" si="71"/>
        <v>0.99787122116817262</v>
      </c>
      <c r="AO99" s="32">
        <f t="shared" si="72"/>
        <v>9.9344247414743778E-2</v>
      </c>
      <c r="AP99" s="32">
        <f t="shared" si="73"/>
        <v>1.6676854466314133</v>
      </c>
      <c r="AQ99" s="32">
        <f t="shared" si="74"/>
        <v>12.740178352982623</v>
      </c>
      <c r="AR99" s="32">
        <f t="shared" si="75"/>
        <v>30.976296466191748</v>
      </c>
      <c r="AS99" s="32">
        <f t="shared" si="55"/>
        <v>23.254525283099472</v>
      </c>
      <c r="AT99" s="32">
        <f t="shared" si="56"/>
        <v>1.463616</v>
      </c>
      <c r="AU99" s="32">
        <f t="shared" si="57"/>
        <v>0.3</v>
      </c>
      <c r="AV99" s="32">
        <f t="shared" si="58"/>
        <v>5.5000000000000049E-2</v>
      </c>
      <c r="AW99" s="32">
        <f t="shared" si="59"/>
        <v>1.5861985043143554</v>
      </c>
      <c r="AX99" s="32">
        <f t="shared" si="60"/>
        <v>1.3933421778648425</v>
      </c>
      <c r="AY99" s="32">
        <f t="shared" si="61"/>
        <v>1.3866674383091659</v>
      </c>
      <c r="AZ99" s="32">
        <f t="shared" si="76"/>
        <v>0.17514041795861654</v>
      </c>
      <c r="BA99" s="32">
        <f t="shared" si="62"/>
        <v>-0.31599735098860343</v>
      </c>
      <c r="BB99" s="32">
        <f t="shared" si="77"/>
        <v>1.1476186490113967</v>
      </c>
      <c r="BC99" s="32">
        <f t="shared" si="63"/>
        <v>12.89</v>
      </c>
      <c r="BD99" s="32">
        <v>0</v>
      </c>
      <c r="BE99" s="32">
        <f t="shared" si="78"/>
        <v>1.4897703410895988</v>
      </c>
      <c r="BF99" s="32">
        <f t="shared" si="79"/>
        <v>0.10310290278043288</v>
      </c>
      <c r="BG99" s="32">
        <f t="shared" si="80"/>
        <v>9.7377152971143494E-2</v>
      </c>
      <c r="BH99" s="32">
        <f t="shared" si="64"/>
        <v>0.20882319893189955</v>
      </c>
      <c r="BI99" s="32">
        <f t="shared" si="65"/>
        <v>0.23544864518646971</v>
      </c>
      <c r="BJ99" s="32">
        <f t="shared" si="66"/>
        <v>0.44427184411836929</v>
      </c>
      <c r="BK99" s="457">
        <f t="shared" si="67"/>
        <v>1.2558007190297333</v>
      </c>
      <c r="BL99" s="2"/>
    </row>
    <row r="100" spans="1:64" ht="15">
      <c r="A100" s="119"/>
      <c r="B100" s="480">
        <f>Input!B117</f>
        <v>38082</v>
      </c>
      <c r="C100" s="481">
        <v>1</v>
      </c>
      <c r="D100" s="481">
        <f t="shared" si="68"/>
        <v>4</v>
      </c>
      <c r="E100" s="481">
        <f t="shared" si="69"/>
        <v>5</v>
      </c>
      <c r="F100" s="481">
        <f t="shared" si="43"/>
        <v>96</v>
      </c>
      <c r="G100" s="431">
        <v>8.8992000000000004</v>
      </c>
      <c r="H100" s="455">
        <v>13.86</v>
      </c>
      <c r="I100" s="455">
        <v>8.1999999999999993</v>
      </c>
      <c r="J100" s="455">
        <v>1.52</v>
      </c>
      <c r="K100" s="485"/>
      <c r="L100" s="433">
        <v>100</v>
      </c>
      <c r="M100" s="455">
        <v>87</v>
      </c>
      <c r="N100" s="484">
        <f>Weather!M101</f>
        <v>4</v>
      </c>
      <c r="O100" s="481">
        <f t="shared" si="70"/>
        <v>1</v>
      </c>
      <c r="P100" s="4">
        <f t="shared" si="81"/>
        <v>1.2870475400541517</v>
      </c>
      <c r="Q100" s="169">
        <f t="shared" si="44"/>
        <v>1.5841390129071271</v>
      </c>
      <c r="R100" s="169">
        <f t="shared" si="45"/>
        <v>1.087469457177191</v>
      </c>
      <c r="S100" s="169">
        <f t="shared" si="46"/>
        <v>1.3782009412292007</v>
      </c>
      <c r="T100" s="169">
        <f t="shared" si="47"/>
        <v>1.087469457177191</v>
      </c>
      <c r="U100" s="169">
        <f t="shared" si="48"/>
        <v>1.2328351992031958</v>
      </c>
      <c r="V100" s="169">
        <f t="shared" si="49"/>
        <v>4.0666025622189891E-2</v>
      </c>
      <c r="W100" s="439">
        <f t="shared" si="50"/>
        <v>10.059111985900781</v>
      </c>
      <c r="X100" s="439">
        <f t="shared" si="51"/>
        <v>10.059111985900781</v>
      </c>
      <c r="Y100" s="169"/>
      <c r="Z100" s="119" t="str">
        <f t="shared" si="52"/>
        <v/>
      </c>
      <c r="AA100" s="4" t="str">
        <f t="shared" si="53"/>
        <v/>
      </c>
      <c r="AB100" s="466"/>
      <c r="AC100" s="466"/>
      <c r="AD100" s="466"/>
      <c r="AE100" s="466"/>
      <c r="AF100" s="466"/>
      <c r="AG100" s="466"/>
      <c r="AH100" s="466"/>
      <c r="AI100" s="466"/>
      <c r="AJ100" s="466"/>
      <c r="AK100" s="466"/>
      <c r="AL100" s="466"/>
      <c r="AM100" s="462">
        <f t="shared" si="54"/>
        <v>96</v>
      </c>
      <c r="AN100" s="32">
        <f t="shared" si="71"/>
        <v>0.99730467895409602</v>
      </c>
      <c r="AO100" s="32">
        <f t="shared" si="72"/>
        <v>0.10615895266781625</v>
      </c>
      <c r="AP100" s="32">
        <f t="shared" si="73"/>
        <v>1.674403592704659</v>
      </c>
      <c r="AQ100" s="32">
        <f t="shared" si="74"/>
        <v>12.791501208469207</v>
      </c>
      <c r="AR100" s="32">
        <f t="shared" si="75"/>
        <v>31.235728441599793</v>
      </c>
      <c r="AS100" s="32">
        <f t="shared" si="55"/>
        <v>23.449286055677799</v>
      </c>
      <c r="AT100" s="32">
        <f t="shared" si="56"/>
        <v>6.8523840000000007</v>
      </c>
      <c r="AU100" s="32">
        <f t="shared" si="57"/>
        <v>0.37950835598447691</v>
      </c>
      <c r="AV100" s="32">
        <f t="shared" si="58"/>
        <v>0.16233628057904392</v>
      </c>
      <c r="AW100" s="32">
        <f t="shared" si="59"/>
        <v>1.5841390129071271</v>
      </c>
      <c r="AX100" s="32">
        <f t="shared" si="60"/>
        <v>1.087469457177191</v>
      </c>
      <c r="AY100" s="32">
        <f t="shared" si="61"/>
        <v>1.2328351992031961</v>
      </c>
      <c r="AZ100" s="32">
        <f t="shared" si="76"/>
        <v>0.18455364300060731</v>
      </c>
      <c r="BA100" s="32">
        <f t="shared" si="62"/>
        <v>-0.95800257843608461</v>
      </c>
      <c r="BB100" s="32">
        <f t="shared" si="77"/>
        <v>5.8943814215639163</v>
      </c>
      <c r="BC100" s="32">
        <f t="shared" si="63"/>
        <v>11.03</v>
      </c>
      <c r="BD100" s="32">
        <v>0</v>
      </c>
      <c r="BE100" s="32">
        <f t="shared" si="78"/>
        <v>1.3358042350421591</v>
      </c>
      <c r="BF100" s="32">
        <f t="shared" si="79"/>
        <v>0.102969035838963</v>
      </c>
      <c r="BG100" s="32">
        <f t="shared" si="80"/>
        <v>8.7429027598104933E-2</v>
      </c>
      <c r="BH100" s="32">
        <f t="shared" si="64"/>
        <v>1.1111523595537665</v>
      </c>
      <c r="BI100" s="32">
        <f t="shared" si="65"/>
        <v>0.17589518050038513</v>
      </c>
      <c r="BJ100" s="32">
        <f t="shared" si="66"/>
        <v>1.2870475400541517</v>
      </c>
      <c r="BK100" s="457">
        <f t="shared" si="67"/>
        <v>2.0112508846057815</v>
      </c>
      <c r="BL100" s="2"/>
    </row>
    <row r="101" spans="1:64" ht="15">
      <c r="A101" s="119"/>
      <c r="B101" s="480">
        <f>Input!B118</f>
        <v>38083</v>
      </c>
      <c r="C101" s="481">
        <v>1</v>
      </c>
      <c r="D101" s="481">
        <f t="shared" si="68"/>
        <v>4</v>
      </c>
      <c r="E101" s="481">
        <f t="shared" si="69"/>
        <v>6</v>
      </c>
      <c r="F101" s="481">
        <f t="shared" si="43"/>
        <v>97</v>
      </c>
      <c r="G101" s="431">
        <v>15.552</v>
      </c>
      <c r="H101" s="455">
        <v>15.1</v>
      </c>
      <c r="I101" s="455">
        <v>8.8000000000000007</v>
      </c>
      <c r="J101" s="455">
        <v>2.27</v>
      </c>
      <c r="K101" s="485"/>
      <c r="L101" s="433">
        <v>95</v>
      </c>
      <c r="M101" s="455">
        <v>88</v>
      </c>
      <c r="N101" s="484">
        <f>Weather!M102</f>
        <v>0.8</v>
      </c>
      <c r="O101" s="481" t="str">
        <f t="shared" si="70"/>
        <v/>
      </c>
      <c r="P101" s="4">
        <f t="shared" si="81"/>
        <v>1.8718532351116166</v>
      </c>
      <c r="Q101" s="169">
        <f t="shared" si="44"/>
        <v>1.7163564077019398</v>
      </c>
      <c r="R101" s="169">
        <f t="shared" si="45"/>
        <v>1.1326407811431278</v>
      </c>
      <c r="S101" s="169">
        <f t="shared" si="46"/>
        <v>1.510393638777707</v>
      </c>
      <c r="T101" s="169">
        <f t="shared" si="47"/>
        <v>1.0760087420859714</v>
      </c>
      <c r="U101" s="169">
        <f t="shared" si="48"/>
        <v>1.2932011904318392</v>
      </c>
      <c r="V101" s="169">
        <f t="shared" si="49"/>
        <v>4.3434070239621675E-2</v>
      </c>
      <c r="W101" s="439">
        <f t="shared" si="50"/>
        <v>10.774902750763999</v>
      </c>
      <c r="X101" s="439">
        <f t="shared" si="51"/>
        <v>10.774902750763999</v>
      </c>
      <c r="Y101" s="169"/>
      <c r="Z101" s="119" t="str">
        <f t="shared" si="52"/>
        <v/>
      </c>
      <c r="AA101" s="4" t="str">
        <f t="shared" si="53"/>
        <v/>
      </c>
      <c r="AB101" s="466"/>
      <c r="AC101" s="466"/>
      <c r="AD101" s="466"/>
      <c r="AE101" s="466"/>
      <c r="AF101" s="466"/>
      <c r="AG101" s="466"/>
      <c r="AH101" s="466"/>
      <c r="AI101" s="466"/>
      <c r="AJ101" s="466"/>
      <c r="AK101" s="466"/>
      <c r="AL101" s="466"/>
      <c r="AM101" s="462">
        <f t="shared" si="54"/>
        <v>97</v>
      </c>
      <c r="AN101" s="32">
        <f t="shared" si="71"/>
        <v>0.99673893542181524</v>
      </c>
      <c r="AO101" s="32">
        <f t="shared" si="72"/>
        <v>0.11294220073211542</v>
      </c>
      <c r="AP101" s="32">
        <f t="shared" si="73"/>
        <v>1.6811050967940502</v>
      </c>
      <c r="AQ101" s="32">
        <f t="shared" si="74"/>
        <v>12.842696928564107</v>
      </c>
      <c r="AR101" s="32">
        <f t="shared" si="75"/>
        <v>31.49334745160132</v>
      </c>
      <c r="AS101" s="32">
        <f t="shared" si="55"/>
        <v>23.642685798866143</v>
      </c>
      <c r="AT101" s="32">
        <f t="shared" si="56"/>
        <v>11.97504</v>
      </c>
      <c r="AU101" s="32">
        <f t="shared" si="57"/>
        <v>0.65779328678241133</v>
      </c>
      <c r="AV101" s="32">
        <f t="shared" si="58"/>
        <v>0.53802093715625543</v>
      </c>
      <c r="AW101" s="32">
        <f t="shared" si="59"/>
        <v>1.7163564077019398</v>
      </c>
      <c r="AX101" s="32">
        <f t="shared" si="60"/>
        <v>1.1326407811431278</v>
      </c>
      <c r="AY101" s="32">
        <f t="shared" si="61"/>
        <v>1.293201190431839</v>
      </c>
      <c r="AZ101" s="32">
        <f t="shared" si="76"/>
        <v>0.18079339419338142</v>
      </c>
      <c r="BA101" s="32">
        <f t="shared" si="62"/>
        <v>-3.1512631654506413</v>
      </c>
      <c r="BB101" s="32">
        <f t="shared" si="77"/>
        <v>8.8237768345493581</v>
      </c>
      <c r="BC101" s="32">
        <f t="shared" si="63"/>
        <v>11.95</v>
      </c>
      <c r="BD101" s="32">
        <v>0</v>
      </c>
      <c r="BE101" s="32">
        <f t="shared" si="78"/>
        <v>1.4244985944225337</v>
      </c>
      <c r="BF101" s="32">
        <f t="shared" si="79"/>
        <v>0.13129740399069467</v>
      </c>
      <c r="BG101" s="32">
        <f t="shared" si="80"/>
        <v>9.2235496041265852E-2</v>
      </c>
      <c r="BH101" s="32">
        <f t="shared" si="64"/>
        <v>1.5726414817983094</v>
      </c>
      <c r="BI101" s="32">
        <f t="shared" si="65"/>
        <v>0.29921175331330718</v>
      </c>
      <c r="BJ101" s="32">
        <f t="shared" si="66"/>
        <v>1.8718532351116166</v>
      </c>
      <c r="BK101" s="457">
        <f t="shared" si="67"/>
        <v>2.2076886303366243</v>
      </c>
      <c r="BL101" s="2"/>
    </row>
    <row r="102" spans="1:64" ht="15">
      <c r="A102" s="119"/>
      <c r="B102" s="480">
        <f>Input!B119</f>
        <v>38084</v>
      </c>
      <c r="C102" s="481">
        <v>1</v>
      </c>
      <c r="D102" s="481">
        <f t="shared" si="68"/>
        <v>4</v>
      </c>
      <c r="E102" s="481">
        <f t="shared" si="69"/>
        <v>7</v>
      </c>
      <c r="F102" s="481">
        <f t="shared" si="43"/>
        <v>98</v>
      </c>
      <c r="G102" s="431">
        <v>21.167999999999999</v>
      </c>
      <c r="H102" s="455">
        <v>15.11</v>
      </c>
      <c r="I102" s="455">
        <v>8.5</v>
      </c>
      <c r="J102" s="455">
        <v>2.42</v>
      </c>
      <c r="K102" s="485"/>
      <c r="L102" s="433">
        <v>100</v>
      </c>
      <c r="M102" s="455">
        <v>76</v>
      </c>
      <c r="N102" s="484">
        <f>Weather!M103</f>
        <v>0</v>
      </c>
      <c r="O102" s="481" t="str">
        <f t="shared" si="70"/>
        <v/>
      </c>
      <c r="P102" s="4">
        <f t="shared" si="81"/>
        <v>2.4478030510786795</v>
      </c>
      <c r="Q102" s="169">
        <f t="shared" si="44"/>
        <v>1.7174608456900899</v>
      </c>
      <c r="R102" s="169">
        <f t="shared" si="45"/>
        <v>1.109852890889037</v>
      </c>
      <c r="S102" s="169">
        <f t="shared" si="46"/>
        <v>1.3052702427244685</v>
      </c>
      <c r="T102" s="169">
        <f t="shared" si="47"/>
        <v>1.109852890889037</v>
      </c>
      <c r="U102" s="169">
        <f t="shared" si="48"/>
        <v>1.2075615668067528</v>
      </c>
      <c r="V102" s="169">
        <f t="shared" si="49"/>
        <v>3.9466635662187569E-2</v>
      </c>
      <c r="W102" s="439">
        <f t="shared" si="50"/>
        <v>9.7502418868017138</v>
      </c>
      <c r="X102" s="439">
        <f t="shared" si="51"/>
        <v>9.7502418868017138</v>
      </c>
      <c r="Y102" s="169"/>
      <c r="Z102" s="119" t="str">
        <f t="shared" si="52"/>
        <v/>
      </c>
      <c r="AA102" s="4" t="str">
        <f t="shared" si="53"/>
        <v/>
      </c>
      <c r="AB102" s="466"/>
      <c r="AC102" s="466"/>
      <c r="AD102" s="466"/>
      <c r="AE102" s="466"/>
      <c r="AF102" s="466"/>
      <c r="AG102" s="466"/>
      <c r="AH102" s="466"/>
      <c r="AI102" s="466"/>
      <c r="AJ102" s="466"/>
      <c r="AK102" s="466"/>
      <c r="AL102" s="466"/>
      <c r="AM102" s="462">
        <f t="shared" si="54"/>
        <v>98</v>
      </c>
      <c r="AN102" s="32">
        <f t="shared" si="71"/>
        <v>0.99617415821334854</v>
      </c>
      <c r="AO102" s="32">
        <f t="shared" si="72"/>
        <v>0.11969198158484542</v>
      </c>
      <c r="AP102" s="32">
        <f t="shared" si="73"/>
        <v>1.6877887321224638</v>
      </c>
      <c r="AQ102" s="32">
        <f t="shared" si="74"/>
        <v>12.893756141380461</v>
      </c>
      <c r="AR102" s="32">
        <f t="shared" si="75"/>
        <v>31.749074999927338</v>
      </c>
      <c r="AS102" s="32">
        <f t="shared" si="55"/>
        <v>23.834665583945451</v>
      </c>
      <c r="AT102" s="32">
        <f t="shared" si="56"/>
        <v>16.29936</v>
      </c>
      <c r="AU102" s="32">
        <f t="shared" si="57"/>
        <v>0.88811818758045991</v>
      </c>
      <c r="AV102" s="32">
        <f t="shared" si="58"/>
        <v>0.84895955323362104</v>
      </c>
      <c r="AW102" s="32">
        <f t="shared" si="59"/>
        <v>1.7174608456900899</v>
      </c>
      <c r="AX102" s="32">
        <f t="shared" si="60"/>
        <v>1.109852890889037</v>
      </c>
      <c r="AY102" s="32">
        <f t="shared" si="61"/>
        <v>1.2075615668067528</v>
      </c>
      <c r="AZ102" s="32">
        <f t="shared" si="76"/>
        <v>0.18615525127774965</v>
      </c>
      <c r="BA102" s="32">
        <f t="shared" si="62"/>
        <v>-5.1099175857681294</v>
      </c>
      <c r="BB102" s="32">
        <f t="shared" si="77"/>
        <v>11.18944241423187</v>
      </c>
      <c r="BC102" s="32">
        <f t="shared" si="63"/>
        <v>11.805</v>
      </c>
      <c r="BD102" s="32">
        <v>0</v>
      </c>
      <c r="BE102" s="32">
        <f t="shared" si="78"/>
        <v>1.4136568682895634</v>
      </c>
      <c r="BF102" s="32">
        <f t="shared" si="79"/>
        <v>0.20609530148281063</v>
      </c>
      <c r="BG102" s="32">
        <f t="shared" si="80"/>
        <v>9.1463340930821646E-2</v>
      </c>
      <c r="BH102" s="32">
        <f t="shared" si="64"/>
        <v>1.9530559883074181</v>
      </c>
      <c r="BI102" s="32">
        <f t="shared" si="65"/>
        <v>0.49474706277126157</v>
      </c>
      <c r="BJ102" s="32">
        <f t="shared" si="66"/>
        <v>2.4478030510786795</v>
      </c>
      <c r="BK102" s="457">
        <f t="shared" si="67"/>
        <v>2.2686036348055745</v>
      </c>
      <c r="BL102" s="2"/>
    </row>
    <row r="103" spans="1:64" ht="15">
      <c r="A103" s="119"/>
      <c r="B103" s="480">
        <f>Input!B120</f>
        <v>38085</v>
      </c>
      <c r="C103" s="481">
        <v>1</v>
      </c>
      <c r="D103" s="481">
        <f t="shared" si="68"/>
        <v>4</v>
      </c>
      <c r="E103" s="481">
        <f t="shared" si="69"/>
        <v>8</v>
      </c>
      <c r="F103" s="481">
        <f t="shared" si="43"/>
        <v>99</v>
      </c>
      <c r="G103" s="431">
        <v>2.6783999999999999</v>
      </c>
      <c r="H103" s="455">
        <v>8.58</v>
      </c>
      <c r="I103" s="455">
        <v>3.5</v>
      </c>
      <c r="J103" s="455">
        <v>2.1</v>
      </c>
      <c r="K103" s="485"/>
      <c r="L103" s="433">
        <v>97</v>
      </c>
      <c r="M103" s="455">
        <v>87</v>
      </c>
      <c r="N103" s="484">
        <f>Weather!M104</f>
        <v>8</v>
      </c>
      <c r="O103" s="481">
        <f t="shared" si="70"/>
        <v>1</v>
      </c>
      <c r="P103" s="4">
        <f t="shared" si="81"/>
        <v>0.46595535146604128</v>
      </c>
      <c r="Q103" s="169">
        <f t="shared" si="44"/>
        <v>1.1158898590655459</v>
      </c>
      <c r="R103" s="169">
        <f t="shared" si="45"/>
        <v>0.78508109266494874</v>
      </c>
      <c r="S103" s="169">
        <f t="shared" si="46"/>
        <v>0.97082417738702498</v>
      </c>
      <c r="T103" s="169">
        <f t="shared" si="47"/>
        <v>0.76152865988500029</v>
      </c>
      <c r="U103" s="169">
        <f t="shared" si="48"/>
        <v>0.86617641863601258</v>
      </c>
      <c r="V103" s="169">
        <f t="shared" si="49"/>
        <v>2.0226927107139272E-2</v>
      </c>
      <c r="W103" s="439">
        <f t="shared" si="50"/>
        <v>4.8989403110989747</v>
      </c>
      <c r="X103" s="439">
        <f t="shared" si="51"/>
        <v>4.8989403110989747</v>
      </c>
      <c r="Y103" s="169"/>
      <c r="Z103" s="119" t="str">
        <f t="shared" si="52"/>
        <v/>
      </c>
      <c r="AA103" s="4" t="str">
        <f t="shared" si="53"/>
        <v/>
      </c>
      <c r="AB103" s="466"/>
      <c r="AC103" s="466"/>
      <c r="AD103" s="466"/>
      <c r="AE103" s="466"/>
      <c r="AF103" s="466"/>
      <c r="AG103" s="466"/>
      <c r="AH103" s="466"/>
      <c r="AI103" s="466"/>
      <c r="AJ103" s="466"/>
      <c r="AK103" s="466"/>
      <c r="AL103" s="466"/>
      <c r="AM103" s="462">
        <f t="shared" si="54"/>
        <v>99</v>
      </c>
      <c r="AN103" s="32">
        <f t="shared" si="71"/>
        <v>0.99561051468437156</v>
      </c>
      <c r="AO103" s="32">
        <f t="shared" si="72"/>
        <v>0.12640629512026721</v>
      </c>
      <c r="AP103" s="32">
        <f t="shared" si="73"/>
        <v>1.6944532466572033</v>
      </c>
      <c r="AQ103" s="32">
        <f t="shared" si="74"/>
        <v>12.944669282093015</v>
      </c>
      <c r="AR103" s="32">
        <f t="shared" si="75"/>
        <v>32.002834145444879</v>
      </c>
      <c r="AS103" s="32">
        <f t="shared" si="55"/>
        <v>24.025167649668383</v>
      </c>
      <c r="AT103" s="32">
        <f t="shared" si="56"/>
        <v>2.0623679999999998</v>
      </c>
      <c r="AU103" s="32">
        <f t="shared" si="57"/>
        <v>0.3</v>
      </c>
      <c r="AV103" s="32">
        <f t="shared" si="58"/>
        <v>5.5000000000000049E-2</v>
      </c>
      <c r="AW103" s="32">
        <f t="shared" si="59"/>
        <v>1.1158898590655459</v>
      </c>
      <c r="AX103" s="32">
        <f t="shared" si="60"/>
        <v>0.78508109266494874</v>
      </c>
      <c r="AY103" s="32">
        <f t="shared" si="61"/>
        <v>0.86617641863601258</v>
      </c>
      <c r="AZ103" s="32">
        <f t="shared" si="76"/>
        <v>0.2097039608995506</v>
      </c>
      <c r="BA103" s="32">
        <f t="shared" si="62"/>
        <v>-0.34354249391934494</v>
      </c>
      <c r="BB103" s="32">
        <f t="shared" si="77"/>
        <v>1.7188255060806548</v>
      </c>
      <c r="BC103" s="32">
        <f t="shared" si="63"/>
        <v>6.04</v>
      </c>
      <c r="BD103" s="32">
        <v>0</v>
      </c>
      <c r="BE103" s="32">
        <f t="shared" si="78"/>
        <v>0.95048547586524734</v>
      </c>
      <c r="BF103" s="32">
        <f t="shared" si="79"/>
        <v>8.4309057229234763E-2</v>
      </c>
      <c r="BG103" s="32">
        <f t="shared" si="80"/>
        <v>6.4910629009970439E-2</v>
      </c>
      <c r="BH103" s="32">
        <f t="shared" si="64"/>
        <v>0.25297347903031103</v>
      </c>
      <c r="BI103" s="32">
        <f t="shared" si="65"/>
        <v>0.21298187243573025</v>
      </c>
      <c r="BJ103" s="32">
        <f t="shared" si="66"/>
        <v>0.46595535146604128</v>
      </c>
      <c r="BK103" s="457">
        <f t="shared" si="67"/>
        <v>1.6143150649283642</v>
      </c>
      <c r="BL103" s="2"/>
    </row>
    <row r="104" spans="1:64" ht="15">
      <c r="A104" s="119"/>
      <c r="B104" s="480">
        <f>Input!B121</f>
        <v>38086</v>
      </c>
      <c r="C104" s="481">
        <v>1</v>
      </c>
      <c r="D104" s="481">
        <f t="shared" si="68"/>
        <v>4</v>
      </c>
      <c r="E104" s="481">
        <f t="shared" si="69"/>
        <v>9</v>
      </c>
      <c r="F104" s="481">
        <f t="shared" si="43"/>
        <v>100</v>
      </c>
      <c r="G104" s="431">
        <v>3.9744000000000002</v>
      </c>
      <c r="H104" s="455">
        <v>7.48</v>
      </c>
      <c r="I104" s="455">
        <v>0.4</v>
      </c>
      <c r="J104" s="455">
        <v>1.7</v>
      </c>
      <c r="K104" s="485"/>
      <c r="L104" s="433">
        <v>99</v>
      </c>
      <c r="M104" s="455">
        <v>87</v>
      </c>
      <c r="N104" s="484">
        <f>Weather!M105</f>
        <v>0</v>
      </c>
      <c r="O104" s="481" t="str">
        <f t="shared" si="70"/>
        <v/>
      </c>
      <c r="P104" s="4">
        <f t="shared" si="81"/>
        <v>0.54789851191428862</v>
      </c>
      <c r="Q104" s="169">
        <f t="shared" si="44"/>
        <v>1.0353627564360872</v>
      </c>
      <c r="R104" s="169">
        <f t="shared" si="45"/>
        <v>0.62881142847361471</v>
      </c>
      <c r="S104" s="169">
        <f t="shared" si="46"/>
        <v>0.90076559809939583</v>
      </c>
      <c r="T104" s="169">
        <f t="shared" si="47"/>
        <v>0.62252331418887852</v>
      </c>
      <c r="U104" s="169">
        <f t="shared" si="48"/>
        <v>0.76164445614413712</v>
      </c>
      <c r="V104" s="169">
        <f t="shared" si="49"/>
        <v>1.2779981497804994E-2</v>
      </c>
      <c r="W104" s="439">
        <f t="shared" si="50"/>
        <v>3.0719490615985543</v>
      </c>
      <c r="X104" s="439">
        <f t="shared" si="51"/>
        <v>3.0719490615985543</v>
      </c>
      <c r="Y104" s="169"/>
      <c r="Z104" s="119" t="str">
        <f t="shared" si="52"/>
        <v/>
      </c>
      <c r="AA104" s="4" t="str">
        <f t="shared" si="53"/>
        <v/>
      </c>
      <c r="AB104" s="466"/>
      <c r="AC104" s="466"/>
      <c r="AD104" s="466"/>
      <c r="AE104" s="466"/>
      <c r="AF104" s="466"/>
      <c r="AG104" s="466"/>
      <c r="AH104" s="466"/>
      <c r="AI104" s="466"/>
      <c r="AJ104" s="466"/>
      <c r="AK104" s="466"/>
      <c r="AL104" s="466"/>
      <c r="AM104" s="462">
        <f t="shared" si="54"/>
        <v>100</v>
      </c>
      <c r="AN104" s="32">
        <f t="shared" si="71"/>
        <v>0.99504817185462646</v>
      </c>
      <c r="AO104" s="32">
        <f t="shared" si="72"/>
        <v>0.13308315174237367</v>
      </c>
      <c r="AP104" s="32">
        <f t="shared" si="73"/>
        <v>1.7010973617464389</v>
      </c>
      <c r="AQ104" s="32">
        <f t="shared" si="74"/>
        <v>12.995426582521334</v>
      </c>
      <c r="AR104" s="32">
        <f t="shared" si="75"/>
        <v>32.254549524735133</v>
      </c>
      <c r="AS104" s="32">
        <f t="shared" si="55"/>
        <v>24.21413541920916</v>
      </c>
      <c r="AT104" s="32">
        <f t="shared" si="56"/>
        <v>3.0602880000000003</v>
      </c>
      <c r="AU104" s="32">
        <f t="shared" si="57"/>
        <v>0.3</v>
      </c>
      <c r="AV104" s="32">
        <f t="shared" si="58"/>
        <v>5.5000000000000049E-2</v>
      </c>
      <c r="AW104" s="32">
        <f t="shared" si="59"/>
        <v>1.0353627564360872</v>
      </c>
      <c r="AX104" s="32">
        <f t="shared" si="60"/>
        <v>0.62881142847361471</v>
      </c>
      <c r="AY104" s="32">
        <f t="shared" si="61"/>
        <v>0.76164445614413712</v>
      </c>
      <c r="AZ104" s="32">
        <f t="shared" si="76"/>
        <v>0.21781885849107038</v>
      </c>
      <c r="BA104" s="32">
        <f t="shared" si="62"/>
        <v>-0.34638794255652677</v>
      </c>
      <c r="BB104" s="32">
        <f t="shared" si="77"/>
        <v>2.7139000574434737</v>
      </c>
      <c r="BC104" s="32">
        <f t="shared" si="63"/>
        <v>3.9400000000000004</v>
      </c>
      <c r="BD104" s="32">
        <v>0</v>
      </c>
      <c r="BE104" s="32">
        <f t="shared" si="78"/>
        <v>0.83208709245485091</v>
      </c>
      <c r="BF104" s="32">
        <f t="shared" si="79"/>
        <v>7.0442636310713791E-2</v>
      </c>
      <c r="BG104" s="32">
        <f t="shared" si="80"/>
        <v>5.7039376641809754E-2</v>
      </c>
      <c r="BH104" s="32">
        <f t="shared" si="64"/>
        <v>0.38760713309548328</v>
      </c>
      <c r="BI104" s="32">
        <f t="shared" si="65"/>
        <v>0.16029137881880537</v>
      </c>
      <c r="BJ104" s="32">
        <f t="shared" si="66"/>
        <v>0.54789851191428862</v>
      </c>
      <c r="BK104" s="457">
        <f t="shared" si="67"/>
        <v>1.7515756578753028</v>
      </c>
      <c r="BL104" s="2"/>
    </row>
    <row r="105" spans="1:64" ht="15">
      <c r="A105" s="119"/>
      <c r="B105" s="480">
        <f>Input!B122</f>
        <v>38087</v>
      </c>
      <c r="C105" s="481">
        <v>1</v>
      </c>
      <c r="D105" s="481">
        <f t="shared" si="68"/>
        <v>4</v>
      </c>
      <c r="E105" s="481">
        <f t="shared" si="69"/>
        <v>10</v>
      </c>
      <c r="F105" s="481">
        <f t="shared" si="43"/>
        <v>101</v>
      </c>
      <c r="G105" s="431">
        <v>13.5648</v>
      </c>
      <c r="H105" s="455">
        <v>9.65</v>
      </c>
      <c r="I105" s="455">
        <v>2.5</v>
      </c>
      <c r="J105" s="455">
        <v>2.4700000000000002</v>
      </c>
      <c r="K105" s="485"/>
      <c r="L105" s="433">
        <v>92</v>
      </c>
      <c r="M105" s="455">
        <v>82</v>
      </c>
      <c r="N105" s="484">
        <f>Weather!M106</f>
        <v>0.6</v>
      </c>
      <c r="O105" s="481" t="str">
        <f t="shared" si="70"/>
        <v/>
      </c>
      <c r="P105" s="4">
        <f t="shared" si="81"/>
        <v>1.5021347877701818</v>
      </c>
      <c r="Q105" s="169">
        <f t="shared" si="44"/>
        <v>1.1994576882851018</v>
      </c>
      <c r="R105" s="169">
        <f t="shared" si="45"/>
        <v>0.73129391021763079</v>
      </c>
      <c r="S105" s="169">
        <f t="shared" si="46"/>
        <v>0.98355530439378347</v>
      </c>
      <c r="T105" s="169">
        <f t="shared" si="47"/>
        <v>0.6727903974002204</v>
      </c>
      <c r="U105" s="169">
        <f t="shared" si="48"/>
        <v>0.82817285089700188</v>
      </c>
      <c r="V105" s="169">
        <f t="shared" si="49"/>
        <v>1.7628970259179456E-2</v>
      </c>
      <c r="W105" s="439">
        <f t="shared" si="50"/>
        <v>4.2584263133319205</v>
      </c>
      <c r="X105" s="439">
        <f t="shared" si="51"/>
        <v>4.2584263133319205</v>
      </c>
      <c r="Y105" s="169"/>
      <c r="Z105" s="119" t="str">
        <f t="shared" si="52"/>
        <v/>
      </c>
      <c r="AA105" s="4" t="str">
        <f t="shared" si="53"/>
        <v/>
      </c>
      <c r="AB105" s="466"/>
      <c r="AC105" s="466"/>
      <c r="AD105" s="466"/>
      <c r="AE105" s="466"/>
      <c r="AF105" s="466"/>
      <c r="AG105" s="466"/>
      <c r="AH105" s="466"/>
      <c r="AI105" s="466"/>
      <c r="AJ105" s="466"/>
      <c r="AK105" s="466"/>
      <c r="AL105" s="466"/>
      <c r="AM105" s="462">
        <f t="shared" si="54"/>
        <v>101</v>
      </c>
      <c r="AN105" s="32">
        <f t="shared" si="71"/>
        <v>0.99448729635843003</v>
      </c>
      <c r="AO105" s="32">
        <f t="shared" si="72"/>
        <v>0.13972057295444912</v>
      </c>
      <c r="AP105" s="32">
        <f t="shared" si="73"/>
        <v>1.7077197707937959</v>
      </c>
      <c r="AQ105" s="32">
        <f t="shared" si="74"/>
        <v>13.046018061004375</v>
      </c>
      <c r="AR105" s="32">
        <f t="shared" si="75"/>
        <v>32.50414737158129</v>
      </c>
      <c r="AS105" s="32">
        <f t="shared" si="55"/>
        <v>24.401513514793507</v>
      </c>
      <c r="AT105" s="32">
        <f t="shared" si="56"/>
        <v>10.444896</v>
      </c>
      <c r="AU105" s="32">
        <f t="shared" si="57"/>
        <v>0.55589994414798449</v>
      </c>
      <c r="AV105" s="32">
        <f t="shared" si="58"/>
        <v>0.40046492459977912</v>
      </c>
      <c r="AW105" s="32">
        <f t="shared" si="59"/>
        <v>1.1994576882851018</v>
      </c>
      <c r="AX105" s="32">
        <f t="shared" si="60"/>
        <v>0.73129391021763079</v>
      </c>
      <c r="AY105" s="32">
        <f t="shared" si="61"/>
        <v>0.82817285089700177</v>
      </c>
      <c r="AZ105" s="32">
        <f t="shared" si="76"/>
        <v>0.2125943962080897</v>
      </c>
      <c r="BA105" s="32">
        <f t="shared" si="62"/>
        <v>-2.5383793453358106</v>
      </c>
      <c r="BB105" s="32">
        <f t="shared" si="77"/>
        <v>7.9065166546641894</v>
      </c>
      <c r="BC105" s="32">
        <f t="shared" si="63"/>
        <v>6.0750000000000002</v>
      </c>
      <c r="BD105" s="32">
        <v>0</v>
      </c>
      <c r="BE105" s="32">
        <f t="shared" si="78"/>
        <v>0.9653757992513663</v>
      </c>
      <c r="BF105" s="32">
        <f t="shared" si="79"/>
        <v>0.13720294835436453</v>
      </c>
      <c r="BG105" s="32">
        <f t="shared" si="80"/>
        <v>6.5049317451382829E-2</v>
      </c>
      <c r="BH105" s="32">
        <f t="shared" si="64"/>
        <v>1.1130698202005924</v>
      </c>
      <c r="BI105" s="32">
        <f t="shared" si="65"/>
        <v>0.3890649675695893</v>
      </c>
      <c r="BJ105" s="32">
        <f t="shared" si="66"/>
        <v>1.5021347877701818</v>
      </c>
      <c r="BK105" s="457">
        <f t="shared" si="67"/>
        <v>1.9480357880556527</v>
      </c>
      <c r="BL105" s="2"/>
    </row>
    <row r="106" spans="1:64" ht="15">
      <c r="A106" s="119"/>
      <c r="B106" s="480">
        <f>Input!B123</f>
        <v>38088</v>
      </c>
      <c r="C106" s="481">
        <v>1</v>
      </c>
      <c r="D106" s="481">
        <f t="shared" si="68"/>
        <v>4</v>
      </c>
      <c r="E106" s="481">
        <f t="shared" si="69"/>
        <v>11</v>
      </c>
      <c r="F106" s="481">
        <f t="shared" si="43"/>
        <v>102</v>
      </c>
      <c r="G106" s="431">
        <v>16.416</v>
      </c>
      <c r="H106" s="455">
        <v>8.93</v>
      </c>
      <c r="I106" s="455">
        <v>6.5</v>
      </c>
      <c r="J106" s="455">
        <v>3.72</v>
      </c>
      <c r="K106" s="485"/>
      <c r="L106" s="433">
        <v>100</v>
      </c>
      <c r="M106" s="455">
        <v>87</v>
      </c>
      <c r="N106" s="484">
        <f>Weather!M107</f>
        <v>15</v>
      </c>
      <c r="O106" s="481">
        <f t="shared" si="70"/>
        <v>1</v>
      </c>
      <c r="P106" s="4">
        <f t="shared" si="81"/>
        <v>1.4775161847336267</v>
      </c>
      <c r="Q106" s="169">
        <f t="shared" si="44"/>
        <v>1.1426427056228727</v>
      </c>
      <c r="R106" s="169">
        <f t="shared" si="45"/>
        <v>0.96797712681678449</v>
      </c>
      <c r="S106" s="169">
        <f t="shared" si="46"/>
        <v>0.99409915389189929</v>
      </c>
      <c r="T106" s="169">
        <f t="shared" si="47"/>
        <v>0.96797712681678449</v>
      </c>
      <c r="U106" s="169">
        <f t="shared" si="48"/>
        <v>0.98103814035434189</v>
      </c>
      <c r="V106" s="169">
        <f t="shared" si="49"/>
        <v>2.7437276463319546E-2</v>
      </c>
      <c r="W106" s="439">
        <f t="shared" si="50"/>
        <v>6.6945458089008998</v>
      </c>
      <c r="X106" s="439">
        <f t="shared" si="51"/>
        <v>6.6945458089008998</v>
      </c>
      <c r="Y106" s="169"/>
      <c r="Z106" s="119" t="str">
        <f t="shared" si="52"/>
        <v/>
      </c>
      <c r="AA106" s="4" t="str">
        <f t="shared" si="53"/>
        <v/>
      </c>
      <c r="AB106" s="466"/>
      <c r="AC106" s="466"/>
      <c r="AD106" s="466"/>
      <c r="AE106" s="466"/>
      <c r="AF106" s="466"/>
      <c r="AG106" s="466"/>
      <c r="AH106" s="466"/>
      <c r="AI106" s="466"/>
      <c r="AJ106" s="466"/>
      <c r="AK106" s="466"/>
      <c r="AL106" s="466"/>
      <c r="AM106" s="462">
        <f t="shared" si="54"/>
        <v>102</v>
      </c>
      <c r="AN106" s="32">
        <f t="shared" si="71"/>
        <v>0.99392805439529652</v>
      </c>
      <c r="AO106" s="32">
        <f t="shared" si="72"/>
        <v>0.14631659194534127</v>
      </c>
      <c r="AP106" s="32">
        <f t="shared" si="73"/>
        <v>1.714319137974446</v>
      </c>
      <c r="AQ106" s="32">
        <f t="shared" si="74"/>
        <v>13.096433512592162</v>
      </c>
      <c r="AR106" s="32">
        <f t="shared" si="75"/>
        <v>32.751555533387659</v>
      </c>
      <c r="AS106" s="32">
        <f t="shared" si="55"/>
        <v>24.587247770024785</v>
      </c>
      <c r="AT106" s="32">
        <f t="shared" si="56"/>
        <v>12.640320000000001</v>
      </c>
      <c r="AU106" s="32">
        <f t="shared" si="57"/>
        <v>0.66766317863414337</v>
      </c>
      <c r="AV106" s="32">
        <f t="shared" si="58"/>
        <v>0.55134529115609365</v>
      </c>
      <c r="AW106" s="32">
        <f t="shared" si="59"/>
        <v>1.1426427056228727</v>
      </c>
      <c r="AX106" s="32">
        <f t="shared" si="60"/>
        <v>0.96797712681678449</v>
      </c>
      <c r="AY106" s="32">
        <f t="shared" si="61"/>
        <v>0.98103814035434189</v>
      </c>
      <c r="AZ106" s="32">
        <f t="shared" si="76"/>
        <v>0.20133368270937207</v>
      </c>
      <c r="BA106" s="32">
        <f t="shared" si="62"/>
        <v>-3.3851306873388998</v>
      </c>
      <c r="BB106" s="32">
        <f t="shared" si="77"/>
        <v>9.255189312661102</v>
      </c>
      <c r="BC106" s="32">
        <f t="shared" si="63"/>
        <v>7.7149999999999999</v>
      </c>
      <c r="BD106" s="32">
        <v>0</v>
      </c>
      <c r="BE106" s="32">
        <f t="shared" si="78"/>
        <v>1.0553099162198287</v>
      </c>
      <c r="BF106" s="32">
        <f t="shared" si="79"/>
        <v>7.4271775865486833E-2</v>
      </c>
      <c r="BG106" s="32">
        <f t="shared" si="80"/>
        <v>7.1838784868529196E-2</v>
      </c>
      <c r="BH106" s="32">
        <f t="shared" si="64"/>
        <v>1.2119214272729717</v>
      </c>
      <c r="BI106" s="32">
        <f t="shared" si="65"/>
        <v>0.26559475746065508</v>
      </c>
      <c r="BJ106" s="32">
        <f t="shared" si="66"/>
        <v>1.4775161847336267</v>
      </c>
      <c r="BK106" s="457">
        <f t="shared" si="67"/>
        <v>1.2229040765822077</v>
      </c>
      <c r="BL106" s="2"/>
    </row>
    <row r="107" spans="1:64" ht="15">
      <c r="A107" s="119"/>
      <c r="B107" s="480">
        <f>Input!B124</f>
        <v>38089</v>
      </c>
      <c r="C107" s="481">
        <v>1</v>
      </c>
      <c r="D107" s="481">
        <f t="shared" si="68"/>
        <v>4</v>
      </c>
      <c r="E107" s="481">
        <f t="shared" si="69"/>
        <v>12</v>
      </c>
      <c r="F107" s="481">
        <f t="shared" si="43"/>
        <v>103</v>
      </c>
      <c r="G107" s="431">
        <v>23.846399999999999</v>
      </c>
      <c r="H107" s="455">
        <v>11.36</v>
      </c>
      <c r="I107" s="455">
        <v>3.5</v>
      </c>
      <c r="J107" s="455">
        <v>1.84</v>
      </c>
      <c r="K107" s="485"/>
      <c r="L107" s="433">
        <v>86</v>
      </c>
      <c r="M107" s="455">
        <v>86</v>
      </c>
      <c r="N107" s="484">
        <f>Weather!M108</f>
        <v>0</v>
      </c>
      <c r="O107" s="481" t="str">
        <f t="shared" si="70"/>
        <v/>
      </c>
      <c r="P107" s="4">
        <f t="shared" si="81"/>
        <v>2.3188094411304103</v>
      </c>
      <c r="Q107" s="169">
        <f t="shared" si="44"/>
        <v>1.3444594212063117</v>
      </c>
      <c r="R107" s="169">
        <f t="shared" si="45"/>
        <v>0.78508109266494874</v>
      </c>
      <c r="S107" s="169">
        <f t="shared" si="46"/>
        <v>1.156235102237428</v>
      </c>
      <c r="T107" s="169">
        <f t="shared" si="47"/>
        <v>0.6751697396918559</v>
      </c>
      <c r="U107" s="169">
        <f t="shared" si="48"/>
        <v>0.91570242096464194</v>
      </c>
      <c r="V107" s="169">
        <f t="shared" si="49"/>
        <v>2.344654722675742E-2</v>
      </c>
      <c r="W107" s="439">
        <f t="shared" si="50"/>
        <v>5.697451215915649</v>
      </c>
      <c r="X107" s="439">
        <f t="shared" si="51"/>
        <v>5.697451215915649</v>
      </c>
      <c r="Y107" s="169"/>
      <c r="Z107" s="119" t="str">
        <f t="shared" si="52"/>
        <v/>
      </c>
      <c r="AA107" s="4" t="str">
        <f t="shared" si="53"/>
        <v/>
      </c>
      <c r="AB107" s="466"/>
      <c r="AC107" s="466"/>
      <c r="AD107" s="466"/>
      <c r="AE107" s="466"/>
      <c r="AF107" s="466"/>
      <c r="AG107" s="466"/>
      <c r="AH107" s="466"/>
      <c r="AI107" s="466"/>
      <c r="AJ107" s="466"/>
      <c r="AK107" s="466"/>
      <c r="AL107" s="466"/>
      <c r="AM107" s="462">
        <f t="shared" si="54"/>
        <v>103</v>
      </c>
      <c r="AN107" s="32">
        <f t="shared" si="71"/>
        <v>0.99337061168068908</v>
      </c>
      <c r="AO107" s="32">
        <f t="shared" si="72"/>
        <v>0.1528692541722694</v>
      </c>
      <c r="AP107" s="32">
        <f t="shared" si="73"/>
        <v>1.7208940969962245</v>
      </c>
      <c r="AQ107" s="32">
        <f t="shared" si="74"/>
        <v>13.14666249958141</v>
      </c>
      <c r="AR107" s="32">
        <f t="shared" si="75"/>
        <v>32.996703484560335</v>
      </c>
      <c r="AS107" s="32">
        <f t="shared" si="55"/>
        <v>24.771285239929135</v>
      </c>
      <c r="AT107" s="32">
        <f t="shared" si="56"/>
        <v>18.361727999999999</v>
      </c>
      <c r="AU107" s="32">
        <f t="shared" si="57"/>
        <v>0.96266300957052076</v>
      </c>
      <c r="AV107" s="32">
        <f t="shared" si="58"/>
        <v>0.94959506292020313</v>
      </c>
      <c r="AW107" s="32">
        <f t="shared" si="59"/>
        <v>1.3444594212063117</v>
      </c>
      <c r="AX107" s="32">
        <f t="shared" si="60"/>
        <v>0.78508109266494874</v>
      </c>
      <c r="AY107" s="32">
        <f t="shared" si="61"/>
        <v>0.91570242096464205</v>
      </c>
      <c r="AZ107" s="32">
        <f t="shared" si="76"/>
        <v>0.20603072198855821</v>
      </c>
      <c r="BA107" s="32">
        <f t="shared" si="62"/>
        <v>-5.9484565181102118</v>
      </c>
      <c r="BB107" s="32">
        <f t="shared" si="77"/>
        <v>12.413271481889787</v>
      </c>
      <c r="BC107" s="32">
        <f t="shared" si="63"/>
        <v>7.43</v>
      </c>
      <c r="BD107" s="32">
        <v>0</v>
      </c>
      <c r="BE107" s="32">
        <f t="shared" si="78"/>
        <v>1.0647702569356303</v>
      </c>
      <c r="BF107" s="32">
        <f t="shared" si="79"/>
        <v>0.14906783597098827</v>
      </c>
      <c r="BG107" s="32">
        <f t="shared" si="80"/>
        <v>7.0617202210339916E-2</v>
      </c>
      <c r="BH107" s="32">
        <f t="shared" si="64"/>
        <v>1.9900795705860668</v>
      </c>
      <c r="BI107" s="32">
        <f t="shared" si="65"/>
        <v>0.32872987054434333</v>
      </c>
      <c r="BJ107" s="32">
        <f t="shared" si="66"/>
        <v>2.3188094411304103</v>
      </c>
      <c r="BK107" s="457">
        <f t="shared" si="67"/>
        <v>2.1910930903941281</v>
      </c>
      <c r="BL107" s="2"/>
    </row>
    <row r="108" spans="1:64" ht="15">
      <c r="A108" s="119"/>
      <c r="B108" s="480">
        <f>Input!B125</f>
        <v>38090</v>
      </c>
      <c r="C108" s="481">
        <v>1</v>
      </c>
      <c r="D108" s="481">
        <f t="shared" si="68"/>
        <v>4</v>
      </c>
      <c r="E108" s="481">
        <f t="shared" si="69"/>
        <v>13</v>
      </c>
      <c r="F108" s="481">
        <f t="shared" si="43"/>
        <v>104</v>
      </c>
      <c r="G108" s="431">
        <v>23.587199999999999</v>
      </c>
      <c r="H108" s="455">
        <v>10.53</v>
      </c>
      <c r="I108" s="455">
        <v>8.8000000000000007</v>
      </c>
      <c r="J108" s="455">
        <v>2.93</v>
      </c>
      <c r="K108" s="485"/>
      <c r="L108" s="433">
        <v>87</v>
      </c>
      <c r="M108" s="455">
        <v>86</v>
      </c>
      <c r="N108" s="484">
        <f>Weather!M109</f>
        <v>8.4</v>
      </c>
      <c r="O108" s="481">
        <f t="shared" si="70"/>
        <v>1</v>
      </c>
      <c r="P108" s="4">
        <f t="shared" si="81"/>
        <v>2.3817274499732548</v>
      </c>
      <c r="Q108" s="169">
        <f t="shared" si="44"/>
        <v>1.2722613642663765</v>
      </c>
      <c r="R108" s="169">
        <f t="shared" si="45"/>
        <v>1.1326407811431278</v>
      </c>
      <c r="S108" s="169">
        <f t="shared" si="46"/>
        <v>1.0941447732690837</v>
      </c>
      <c r="T108" s="169">
        <f t="shared" si="47"/>
        <v>0.98539747959452118</v>
      </c>
      <c r="U108" s="169">
        <f t="shared" si="48"/>
        <v>1.0397711264318024</v>
      </c>
      <c r="V108" s="169">
        <f t="shared" si="49"/>
        <v>3.0804072022766128E-2</v>
      </c>
      <c r="W108" s="439">
        <f t="shared" si="50"/>
        <v>7.5421347531436469</v>
      </c>
      <c r="X108" s="439">
        <f t="shared" si="51"/>
        <v>7.5421347531436469</v>
      </c>
      <c r="Y108" s="169"/>
      <c r="Z108" s="119" t="str">
        <f t="shared" si="52"/>
        <v/>
      </c>
      <c r="AA108" s="4" t="str">
        <f t="shared" si="53"/>
        <v/>
      </c>
      <c r="AB108" s="466"/>
      <c r="AC108" s="466"/>
      <c r="AD108" s="466"/>
      <c r="AE108" s="466"/>
      <c r="AF108" s="466"/>
      <c r="AG108" s="466"/>
      <c r="AH108" s="466"/>
      <c r="AI108" s="466"/>
      <c r="AJ108" s="466"/>
      <c r="AK108" s="466"/>
      <c r="AL108" s="466"/>
      <c r="AM108" s="462">
        <f t="shared" si="54"/>
        <v>104</v>
      </c>
      <c r="AN108" s="32">
        <f t="shared" si="71"/>
        <v>0.99281513339691441</v>
      </c>
      <c r="AO108" s="32">
        <f t="shared" si="72"/>
        <v>0.15937661793999749</v>
      </c>
      <c r="AP108" s="32">
        <f t="shared" si="73"/>
        <v>1.7274432499094841</v>
      </c>
      <c r="AQ108" s="32">
        <f t="shared" si="74"/>
        <v>13.196694342423488</v>
      </c>
      <c r="AR108" s="32">
        <f t="shared" si="75"/>
        <v>33.23952233688879</v>
      </c>
      <c r="AS108" s="32">
        <f t="shared" si="55"/>
        <v>24.953574208749153</v>
      </c>
      <c r="AT108" s="32">
        <f t="shared" si="56"/>
        <v>18.162144000000001</v>
      </c>
      <c r="AU108" s="32">
        <f t="shared" si="57"/>
        <v>0.94524334681201383</v>
      </c>
      <c r="AV108" s="32">
        <f t="shared" si="58"/>
        <v>0.92607851819621867</v>
      </c>
      <c r="AW108" s="32">
        <f t="shared" si="59"/>
        <v>1.2722613642663765</v>
      </c>
      <c r="AX108" s="32">
        <f t="shared" si="60"/>
        <v>1.1326407811431278</v>
      </c>
      <c r="AY108" s="32">
        <f t="shared" si="61"/>
        <v>1.0397711264318024</v>
      </c>
      <c r="AZ108" s="32">
        <f t="shared" si="76"/>
        <v>0.19724316451369719</v>
      </c>
      <c r="BA108" s="32">
        <f t="shared" si="62"/>
        <v>-5.7263776626227392</v>
      </c>
      <c r="BB108" s="32">
        <f t="shared" si="77"/>
        <v>12.435766337377263</v>
      </c>
      <c r="BC108" s="32">
        <f t="shared" si="63"/>
        <v>9.6649999999999991</v>
      </c>
      <c r="BD108" s="32">
        <v>0</v>
      </c>
      <c r="BE108" s="32">
        <f t="shared" si="78"/>
        <v>1.2024510727047522</v>
      </c>
      <c r="BF108" s="32">
        <f t="shared" si="79"/>
        <v>0.16267994627294979</v>
      </c>
      <c r="BG108" s="32">
        <f t="shared" si="80"/>
        <v>8.0691869497284879E-2</v>
      </c>
      <c r="BH108" s="32">
        <f t="shared" si="64"/>
        <v>1.9072434296378316</v>
      </c>
      <c r="BI108" s="32">
        <f t="shared" si="65"/>
        <v>0.47448402033542314</v>
      </c>
      <c r="BJ108" s="32">
        <f t="shared" si="66"/>
        <v>2.3817274499732548</v>
      </c>
      <c r="BK108" s="457">
        <f t="shared" si="67"/>
        <v>1.1272472403612335</v>
      </c>
      <c r="BL108" s="2"/>
    </row>
    <row r="109" spans="1:64" ht="15">
      <c r="A109" s="119"/>
      <c r="B109" s="480">
        <f>Input!B126</f>
        <v>38091</v>
      </c>
      <c r="C109" s="481">
        <v>1</v>
      </c>
      <c r="D109" s="481">
        <f t="shared" si="68"/>
        <v>4</v>
      </c>
      <c r="E109" s="481">
        <f t="shared" si="69"/>
        <v>14</v>
      </c>
      <c r="F109" s="481">
        <f t="shared" si="43"/>
        <v>105</v>
      </c>
      <c r="G109" s="431">
        <v>8.8127999999999993</v>
      </c>
      <c r="H109" s="455">
        <v>11.32</v>
      </c>
      <c r="I109" s="455">
        <v>8.6</v>
      </c>
      <c r="J109" s="455">
        <v>1.83</v>
      </c>
      <c r="K109" s="485"/>
      <c r="L109" s="433">
        <v>98</v>
      </c>
      <c r="M109" s="455">
        <v>86</v>
      </c>
      <c r="N109" s="484">
        <f>Weather!M110</f>
        <v>2.4</v>
      </c>
      <c r="O109" s="481" t="str">
        <f t="shared" si="70"/>
        <v/>
      </c>
      <c r="P109" s="4">
        <f t="shared" si="81"/>
        <v>1.2746820392788025</v>
      </c>
      <c r="Q109" s="169">
        <f t="shared" si="44"/>
        <v>1.3408991743307455</v>
      </c>
      <c r="R109" s="169">
        <f t="shared" si="45"/>
        <v>1.1174036087713535</v>
      </c>
      <c r="S109" s="169">
        <f t="shared" si="46"/>
        <v>1.1531732899244411</v>
      </c>
      <c r="T109" s="169">
        <f t="shared" si="47"/>
        <v>1.0950555365959265</v>
      </c>
      <c r="U109" s="169">
        <f t="shared" si="48"/>
        <v>1.1241144132601839</v>
      </c>
      <c r="V109" s="169">
        <f t="shared" si="49"/>
        <v>3.5320280433441695E-2</v>
      </c>
      <c r="W109" s="439">
        <f t="shared" si="50"/>
        <v>8.6883785124265085</v>
      </c>
      <c r="X109" s="439">
        <f t="shared" si="51"/>
        <v>8.6883785124265085</v>
      </c>
      <c r="Y109" s="169"/>
      <c r="Z109" s="119" t="str">
        <f t="shared" si="52"/>
        <v/>
      </c>
      <c r="AA109" s="4" t="str">
        <f t="shared" si="53"/>
        <v/>
      </c>
      <c r="AB109" s="466"/>
      <c r="AC109" s="466"/>
      <c r="AD109" s="466"/>
      <c r="AE109" s="466"/>
      <c r="AF109" s="466"/>
      <c r="AG109" s="466"/>
      <c r="AH109" s="466"/>
      <c r="AI109" s="466"/>
      <c r="AJ109" s="466"/>
      <c r="AK109" s="466"/>
      <c r="AL109" s="466"/>
      <c r="AM109" s="462">
        <f t="shared" si="54"/>
        <v>105</v>
      </c>
      <c r="AN109" s="32">
        <f t="shared" si="71"/>
        <v>0.99226178414417643</v>
      </c>
      <c r="AO109" s="32">
        <f t="shared" si="72"/>
        <v>0.16583675497620093</v>
      </c>
      <c r="AP109" s="32">
        <f t="shared" si="73"/>
        <v>1.7339651659695794</v>
      </c>
      <c r="AQ109" s="32">
        <f t="shared" si="74"/>
        <v>13.24651811103443</v>
      </c>
      <c r="AR109" s="32">
        <f t="shared" si="75"/>
        <v>33.479944846976693</v>
      </c>
      <c r="AS109" s="32">
        <f t="shared" si="55"/>
        <v>25.134064195522345</v>
      </c>
      <c r="AT109" s="32">
        <f t="shared" si="56"/>
        <v>6.7858559999999999</v>
      </c>
      <c r="AU109" s="32">
        <f t="shared" si="57"/>
        <v>0.35063171365536683</v>
      </c>
      <c r="AV109" s="32">
        <f t="shared" si="58"/>
        <v>0.12335281343474525</v>
      </c>
      <c r="AW109" s="32">
        <f t="shared" si="59"/>
        <v>1.3408991743307455</v>
      </c>
      <c r="AX109" s="32">
        <f t="shared" si="60"/>
        <v>1.1174036087713535</v>
      </c>
      <c r="AY109" s="32">
        <f t="shared" si="61"/>
        <v>1.1241144132601841</v>
      </c>
      <c r="AZ109" s="32">
        <f t="shared" si="76"/>
        <v>0.19156603320028259</v>
      </c>
      <c r="BA109" s="32">
        <f t="shared" si="62"/>
        <v>-0.74395148060770988</v>
      </c>
      <c r="BB109" s="32">
        <f t="shared" si="77"/>
        <v>6.0419045193922898</v>
      </c>
      <c r="BC109" s="32">
        <f t="shared" si="63"/>
        <v>9.9600000000000009</v>
      </c>
      <c r="BD109" s="32">
        <v>0</v>
      </c>
      <c r="BE109" s="32">
        <f t="shared" si="78"/>
        <v>1.2291513915510495</v>
      </c>
      <c r="BF109" s="32">
        <f t="shared" si="79"/>
        <v>0.10503697829086533</v>
      </c>
      <c r="BG109" s="32">
        <f t="shared" si="80"/>
        <v>8.2109055760187857E-2</v>
      </c>
      <c r="BH109" s="32">
        <f t="shared" si="64"/>
        <v>1.059834826689519</v>
      </c>
      <c r="BI109" s="32">
        <f t="shared" si="65"/>
        <v>0.21484721258928355</v>
      </c>
      <c r="BJ109" s="32">
        <f t="shared" si="66"/>
        <v>1.2746820392788025</v>
      </c>
      <c r="BK109" s="457">
        <f t="shared" si="67"/>
        <v>1.4389655587547092</v>
      </c>
      <c r="BL109" s="2"/>
    </row>
    <row r="110" spans="1:64" ht="15">
      <c r="A110" s="119"/>
      <c r="B110" s="480">
        <f>Input!B127</f>
        <v>38092</v>
      </c>
      <c r="C110" s="481">
        <v>1</v>
      </c>
      <c r="D110" s="481">
        <f t="shared" si="68"/>
        <v>4</v>
      </c>
      <c r="E110" s="481">
        <f t="shared" si="69"/>
        <v>15</v>
      </c>
      <c r="F110" s="481">
        <f t="shared" si="43"/>
        <v>106</v>
      </c>
      <c r="G110" s="431">
        <v>15.0336</v>
      </c>
      <c r="H110" s="455">
        <v>11.31</v>
      </c>
      <c r="I110" s="455">
        <v>7</v>
      </c>
      <c r="J110" s="455">
        <v>1.9</v>
      </c>
      <c r="K110" s="485"/>
      <c r="L110" s="433">
        <v>98</v>
      </c>
      <c r="M110" s="455">
        <v>87</v>
      </c>
      <c r="N110" s="484">
        <f>Weather!M111</f>
        <v>6</v>
      </c>
      <c r="O110" s="481">
        <f t="shared" si="70"/>
        <v>1</v>
      </c>
      <c r="P110" s="4">
        <f t="shared" si="81"/>
        <v>1.7042348255788369</v>
      </c>
      <c r="Q110" s="169">
        <f t="shared" si="44"/>
        <v>1.3400104080373922</v>
      </c>
      <c r="R110" s="169">
        <f t="shared" si="45"/>
        <v>1.001858425976152</v>
      </c>
      <c r="S110" s="169">
        <f t="shared" si="46"/>
        <v>1.1658090549925313</v>
      </c>
      <c r="T110" s="169">
        <f t="shared" si="47"/>
        <v>0.98182125745662896</v>
      </c>
      <c r="U110" s="169">
        <f t="shared" si="48"/>
        <v>1.0738151562245801</v>
      </c>
      <c r="V110" s="169">
        <f t="shared" si="49"/>
        <v>3.2669576092283929E-2</v>
      </c>
      <c r="W110" s="439">
        <f t="shared" si="50"/>
        <v>8.0143146696258238</v>
      </c>
      <c r="X110" s="439">
        <f t="shared" si="51"/>
        <v>8.0143146696258238</v>
      </c>
      <c r="Y110" s="169"/>
      <c r="Z110" s="119" t="str">
        <f t="shared" si="52"/>
        <v/>
      </c>
      <c r="AA110" s="4" t="str">
        <f t="shared" si="53"/>
        <v/>
      </c>
      <c r="AB110" s="466"/>
      <c r="AC110" s="466"/>
      <c r="AD110" s="466"/>
      <c r="AE110" s="466"/>
      <c r="AF110" s="466"/>
      <c r="AG110" s="466"/>
      <c r="AH110" s="466"/>
      <c r="AI110" s="466"/>
      <c r="AJ110" s="466"/>
      <c r="AK110" s="466"/>
      <c r="AL110" s="466"/>
      <c r="AM110" s="462">
        <f t="shared" si="54"/>
        <v>106</v>
      </c>
      <c r="AN110" s="32">
        <f t="shared" si="71"/>
        <v>0.99171072789180092</v>
      </c>
      <c r="AO110" s="32">
        <f t="shared" si="72"/>
        <v>0.17224775100285453</v>
      </c>
      <c r="AP110" s="32">
        <f t="shared" si="73"/>
        <v>1.7404583805560592</v>
      </c>
      <c r="AQ110" s="32">
        <f t="shared" si="74"/>
        <v>13.296122616538172</v>
      </c>
      <c r="AR110" s="32">
        <f t="shared" si="75"/>
        <v>33.717905420778628</v>
      </c>
      <c r="AS110" s="32">
        <f t="shared" si="55"/>
        <v>25.312705957486934</v>
      </c>
      <c r="AT110" s="32">
        <f t="shared" si="56"/>
        <v>11.575872</v>
      </c>
      <c r="AU110" s="32">
        <f t="shared" si="57"/>
        <v>0.59391516755455365</v>
      </c>
      <c r="AV110" s="32">
        <f t="shared" si="58"/>
        <v>0.45178547619864751</v>
      </c>
      <c r="AW110" s="32">
        <f t="shared" si="59"/>
        <v>1.3400104080373922</v>
      </c>
      <c r="AX110" s="32">
        <f t="shared" si="60"/>
        <v>1.001858425976152</v>
      </c>
      <c r="AY110" s="32">
        <f t="shared" si="61"/>
        <v>1.0738151562245801</v>
      </c>
      <c r="AZ110" s="32">
        <f t="shared" si="76"/>
        <v>0.19492492611753814</v>
      </c>
      <c r="BA110" s="32">
        <f t="shared" si="62"/>
        <v>-2.7417119283040088</v>
      </c>
      <c r="BB110" s="32">
        <f t="shared" si="77"/>
        <v>8.834160071695992</v>
      </c>
      <c r="BC110" s="32">
        <f t="shared" si="63"/>
        <v>9.1550000000000011</v>
      </c>
      <c r="BD110" s="32">
        <v>0</v>
      </c>
      <c r="BE110" s="32">
        <f t="shared" si="78"/>
        <v>1.1709344170067721</v>
      </c>
      <c r="BF110" s="32">
        <f t="shared" si="79"/>
        <v>9.7119260782192018E-2</v>
      </c>
      <c r="BG110" s="32">
        <f t="shared" si="80"/>
        <v>7.8291047856130058E-2</v>
      </c>
      <c r="BH110" s="32">
        <f t="shared" si="64"/>
        <v>1.4949622730071457</v>
      </c>
      <c r="BI110" s="32">
        <f t="shared" si="65"/>
        <v>0.20927255257169111</v>
      </c>
      <c r="BJ110" s="32">
        <f t="shared" si="66"/>
        <v>1.7042348255788369</v>
      </c>
      <c r="BK110" s="457">
        <f t="shared" si="67"/>
        <v>1.771333397227264</v>
      </c>
      <c r="BL110" s="2"/>
    </row>
    <row r="111" spans="1:64" ht="15">
      <c r="A111" s="119"/>
      <c r="B111" s="480">
        <f>Input!B128</f>
        <v>38093</v>
      </c>
      <c r="C111" s="481">
        <v>1</v>
      </c>
      <c r="D111" s="481">
        <f t="shared" si="68"/>
        <v>4</v>
      </c>
      <c r="E111" s="481">
        <f t="shared" si="69"/>
        <v>16</v>
      </c>
      <c r="F111" s="481">
        <f t="shared" si="43"/>
        <v>107</v>
      </c>
      <c r="G111" s="431">
        <v>4.8384</v>
      </c>
      <c r="H111" s="455">
        <v>11.22</v>
      </c>
      <c r="I111" s="455">
        <v>8.1</v>
      </c>
      <c r="J111" s="455">
        <v>1.75</v>
      </c>
      <c r="K111" s="485"/>
      <c r="L111" s="433">
        <v>100</v>
      </c>
      <c r="M111" s="455">
        <v>88</v>
      </c>
      <c r="N111" s="484">
        <f>Weather!M112</f>
        <v>7.6</v>
      </c>
      <c r="O111" s="481">
        <f t="shared" si="70"/>
        <v>1</v>
      </c>
      <c r="P111" s="4">
        <f t="shared" si="81"/>
        <v>0.75456294317937433</v>
      </c>
      <c r="Q111" s="169">
        <f t="shared" si="44"/>
        <v>1.3320347750876735</v>
      </c>
      <c r="R111" s="169">
        <f t="shared" si="45"/>
        <v>1.0800971266534045</v>
      </c>
      <c r="S111" s="169">
        <f t="shared" si="46"/>
        <v>1.1721906020771526</v>
      </c>
      <c r="T111" s="169">
        <f t="shared" si="47"/>
        <v>1.0800971266534045</v>
      </c>
      <c r="U111" s="169">
        <f t="shared" si="48"/>
        <v>1.1261438643652786</v>
      </c>
      <c r="V111" s="169">
        <f t="shared" si="49"/>
        <v>3.5424724554715667E-2</v>
      </c>
      <c r="W111" s="439">
        <f t="shared" si="50"/>
        <v>8.7150141112142538</v>
      </c>
      <c r="X111" s="439">
        <f t="shared" si="51"/>
        <v>8.7150141112142538</v>
      </c>
      <c r="Y111" s="169"/>
      <c r="Z111" s="119" t="str">
        <f t="shared" si="52"/>
        <v/>
      </c>
      <c r="AA111" s="4" t="str">
        <f t="shared" si="53"/>
        <v/>
      </c>
      <c r="AB111" s="466"/>
      <c r="AC111" s="466"/>
      <c r="AD111" s="466"/>
      <c r="AE111" s="466"/>
      <c r="AF111" s="466"/>
      <c r="AG111" s="466"/>
      <c r="AH111" s="466"/>
      <c r="AI111" s="466"/>
      <c r="AJ111" s="466"/>
      <c r="AK111" s="466"/>
      <c r="AL111" s="466"/>
      <c r="AM111" s="462">
        <f t="shared" si="54"/>
        <v>107</v>
      </c>
      <c r="AN111" s="32">
        <f t="shared" si="71"/>
        <v>0.99116212792964831</v>
      </c>
      <c r="AO111" s="32">
        <f t="shared" si="72"/>
        <v>0.17860770630347506</v>
      </c>
      <c r="AP111" s="32">
        <f t="shared" si="73"/>
        <v>1.746921394152837</v>
      </c>
      <c r="AQ111" s="32">
        <f t="shared" si="74"/>
        <v>13.345496403475643</v>
      </c>
      <c r="AR111" s="32">
        <f t="shared" si="75"/>
        <v>33.953340115308229</v>
      </c>
      <c r="AS111" s="32">
        <f t="shared" si="55"/>
        <v>25.489451491364196</v>
      </c>
      <c r="AT111" s="32">
        <f t="shared" si="56"/>
        <v>3.725568</v>
      </c>
      <c r="AU111" s="32">
        <f t="shared" si="57"/>
        <v>0.3</v>
      </c>
      <c r="AV111" s="32">
        <f t="shared" si="58"/>
        <v>5.5000000000000049E-2</v>
      </c>
      <c r="AW111" s="32">
        <f t="shared" si="59"/>
        <v>1.3320347750876735</v>
      </c>
      <c r="AX111" s="32">
        <f t="shared" si="60"/>
        <v>1.0800971266534045</v>
      </c>
      <c r="AY111" s="32">
        <f t="shared" si="61"/>
        <v>1.1261438643652786</v>
      </c>
      <c r="AZ111" s="32">
        <f t="shared" si="76"/>
        <v>0.19143210393372512</v>
      </c>
      <c r="BA111" s="32">
        <f t="shared" si="62"/>
        <v>-0.33008962032058536</v>
      </c>
      <c r="BB111" s="32">
        <f t="shared" si="77"/>
        <v>3.3954783796794148</v>
      </c>
      <c r="BC111" s="32">
        <f t="shared" si="63"/>
        <v>9.66</v>
      </c>
      <c r="BD111" s="32">
        <v>0</v>
      </c>
      <c r="BE111" s="32">
        <f t="shared" si="78"/>
        <v>1.2060659508705389</v>
      </c>
      <c r="BF111" s="32">
        <f t="shared" si="79"/>
        <v>7.9922086505260337E-2</v>
      </c>
      <c r="BG111" s="32">
        <f t="shared" si="80"/>
        <v>8.0668030497976273E-2</v>
      </c>
      <c r="BH111" s="32">
        <f t="shared" si="64"/>
        <v>0.59534413926171059</v>
      </c>
      <c r="BI111" s="32">
        <f t="shared" si="65"/>
        <v>0.15921880391766374</v>
      </c>
      <c r="BJ111" s="32">
        <f t="shared" si="66"/>
        <v>0.75456294317937433</v>
      </c>
      <c r="BK111" s="457">
        <f t="shared" si="67"/>
        <v>1.5460448393098147</v>
      </c>
      <c r="BL111" s="2"/>
    </row>
    <row r="112" spans="1:64" ht="15">
      <c r="A112" s="119"/>
      <c r="B112" s="480">
        <f>Input!B129</f>
        <v>38094</v>
      </c>
      <c r="C112" s="481">
        <v>1</v>
      </c>
      <c r="D112" s="481">
        <f t="shared" si="68"/>
        <v>4</v>
      </c>
      <c r="E112" s="481">
        <f t="shared" si="69"/>
        <v>17</v>
      </c>
      <c r="F112" s="481">
        <f t="shared" si="43"/>
        <v>108</v>
      </c>
      <c r="G112" s="431">
        <v>13.824</v>
      </c>
      <c r="H112" s="455">
        <v>12.44</v>
      </c>
      <c r="I112" s="455">
        <v>7.4</v>
      </c>
      <c r="J112" s="455">
        <v>1.72</v>
      </c>
      <c r="K112" s="485"/>
      <c r="L112" s="433">
        <v>100</v>
      </c>
      <c r="M112" s="455">
        <v>87</v>
      </c>
      <c r="N112" s="484">
        <f>Weather!M113</f>
        <v>0.2</v>
      </c>
      <c r="O112" s="481" t="str">
        <f t="shared" si="70"/>
        <v/>
      </c>
      <c r="P112" s="4">
        <f t="shared" si="81"/>
        <v>1.6714663384207553</v>
      </c>
      <c r="Q112" s="169">
        <f t="shared" si="44"/>
        <v>1.4437792491244752</v>
      </c>
      <c r="R112" s="169">
        <f t="shared" si="45"/>
        <v>1.0297111140367921</v>
      </c>
      <c r="S112" s="169">
        <f t="shared" si="46"/>
        <v>1.2560879467382935</v>
      </c>
      <c r="T112" s="169">
        <f t="shared" si="47"/>
        <v>1.0297111140367921</v>
      </c>
      <c r="U112" s="169">
        <f t="shared" si="48"/>
        <v>1.1428995303875427</v>
      </c>
      <c r="V112" s="169">
        <f t="shared" si="49"/>
        <v>3.6279918162333467E-2</v>
      </c>
      <c r="W112" s="439">
        <f t="shared" si="50"/>
        <v>8.9333248753157246</v>
      </c>
      <c r="X112" s="439">
        <f t="shared" si="51"/>
        <v>8.9333248753157246</v>
      </c>
      <c r="Y112" s="169"/>
      <c r="Z112" s="119" t="str">
        <f t="shared" si="52"/>
        <v/>
      </c>
      <c r="AA112" s="4" t="str">
        <f t="shared" si="53"/>
        <v/>
      </c>
      <c r="AB112" s="466"/>
      <c r="AC112" s="466"/>
      <c r="AD112" s="466"/>
      <c r="AE112" s="466"/>
      <c r="AF112" s="466"/>
      <c r="AG112" s="466"/>
      <c r="AH112" s="466"/>
      <c r="AI112" s="466"/>
      <c r="AJ112" s="466"/>
      <c r="AK112" s="466"/>
      <c r="AL112" s="466"/>
      <c r="AM112" s="462">
        <f t="shared" si="54"/>
        <v>108</v>
      </c>
      <c r="AN112" s="32">
        <f t="shared" si="71"/>
        <v>0.99061614681972687</v>
      </c>
      <c r="AO112" s="32">
        <f t="shared" si="72"/>
        <v>0.18491473628604796</v>
      </c>
      <c r="AP112" s="32">
        <f t="shared" si="73"/>
        <v>1.7533526713937946</v>
      </c>
      <c r="AQ112" s="32">
        <f t="shared" si="74"/>
        <v>13.394627742513698</v>
      </c>
      <c r="AR112" s="32">
        <f t="shared" si="75"/>
        <v>34.186186637591128</v>
      </c>
      <c r="AS112" s="32">
        <f t="shared" si="55"/>
        <v>25.664254032572412</v>
      </c>
      <c r="AT112" s="32">
        <f t="shared" si="56"/>
        <v>10.64448</v>
      </c>
      <c r="AU112" s="32">
        <f t="shared" si="57"/>
        <v>0.53864803482910251</v>
      </c>
      <c r="AV112" s="32">
        <f t="shared" si="58"/>
        <v>0.37717484701928849</v>
      </c>
      <c r="AW112" s="32">
        <f t="shared" si="59"/>
        <v>1.4437792491244752</v>
      </c>
      <c r="AX112" s="32">
        <f t="shared" si="60"/>
        <v>1.0297111140367921</v>
      </c>
      <c r="AY112" s="32">
        <f t="shared" si="61"/>
        <v>1.1428995303875427</v>
      </c>
      <c r="AZ112" s="32">
        <f t="shared" si="76"/>
        <v>0.19033092906149301</v>
      </c>
      <c r="BA112" s="32">
        <f t="shared" si="62"/>
        <v>-2.2595919425376239</v>
      </c>
      <c r="BB112" s="32">
        <f t="shared" si="77"/>
        <v>8.3848880574623763</v>
      </c>
      <c r="BC112" s="32">
        <f t="shared" si="63"/>
        <v>9.92</v>
      </c>
      <c r="BD112" s="32">
        <v>0</v>
      </c>
      <c r="BE112" s="32">
        <f t="shared" si="78"/>
        <v>1.2367451815806336</v>
      </c>
      <c r="BF112" s="32">
        <f t="shared" si="79"/>
        <v>9.3845651193090962E-2</v>
      </c>
      <c r="BG112" s="32">
        <f t="shared" si="80"/>
        <v>8.1915659013538075E-2</v>
      </c>
      <c r="BH112" s="32">
        <f t="shared" si="64"/>
        <v>1.4884322378833419</v>
      </c>
      <c r="BI112" s="32">
        <f t="shared" si="65"/>
        <v>0.18303410053741337</v>
      </c>
      <c r="BJ112" s="32">
        <f t="shared" si="66"/>
        <v>1.6714663384207553</v>
      </c>
      <c r="BK112" s="457">
        <f t="shared" si="67"/>
        <v>1.997197000425363</v>
      </c>
      <c r="BL112" s="2"/>
    </row>
    <row r="113" spans="1:64" ht="15">
      <c r="A113" s="119"/>
      <c r="B113" s="480">
        <f>Input!B130</f>
        <v>38095</v>
      </c>
      <c r="C113" s="481">
        <v>1</v>
      </c>
      <c r="D113" s="481">
        <f t="shared" si="68"/>
        <v>4</v>
      </c>
      <c r="E113" s="481">
        <f t="shared" si="69"/>
        <v>18</v>
      </c>
      <c r="F113" s="481">
        <f t="shared" si="43"/>
        <v>109</v>
      </c>
      <c r="G113" s="431">
        <v>23.414400000000001</v>
      </c>
      <c r="H113" s="455">
        <v>11.4</v>
      </c>
      <c r="I113" s="455">
        <v>7.1</v>
      </c>
      <c r="J113" s="455">
        <v>2.35</v>
      </c>
      <c r="K113" s="485"/>
      <c r="L113" s="433">
        <v>100</v>
      </c>
      <c r="M113" s="455">
        <v>82</v>
      </c>
      <c r="N113" s="484">
        <f>Weather!M114</f>
        <v>0.6</v>
      </c>
      <c r="O113" s="481" t="str">
        <f t="shared" si="70"/>
        <v/>
      </c>
      <c r="P113" s="4">
        <f t="shared" si="81"/>
        <v>2.3496203991815219</v>
      </c>
      <c r="Q113" s="169">
        <f t="shared" si="44"/>
        <v>1.3480279711634873</v>
      </c>
      <c r="R113" s="169">
        <f t="shared" si="45"/>
        <v>1.0087586481243795</v>
      </c>
      <c r="S113" s="169">
        <f t="shared" si="46"/>
        <v>1.1053829363540595</v>
      </c>
      <c r="T113" s="169">
        <f t="shared" si="47"/>
        <v>1.0087586481243795</v>
      </c>
      <c r="U113" s="169">
        <f t="shared" si="48"/>
        <v>1.0570707922392195</v>
      </c>
      <c r="V113" s="169">
        <f t="shared" si="49"/>
        <v>3.1759547479176801E-2</v>
      </c>
      <c r="W113" s="439">
        <f t="shared" si="50"/>
        <v>7.7837489615179791</v>
      </c>
      <c r="X113" s="439">
        <f t="shared" si="51"/>
        <v>7.7837489615179791</v>
      </c>
      <c r="Y113" s="169"/>
      <c r="Z113" s="119" t="str">
        <f t="shared" si="52"/>
        <v/>
      </c>
      <c r="AA113" s="4" t="str">
        <f t="shared" si="53"/>
        <v/>
      </c>
      <c r="AB113" s="466"/>
      <c r="AC113" s="466"/>
      <c r="AD113" s="466"/>
      <c r="AE113" s="466"/>
      <c r="AF113" s="466"/>
      <c r="AG113" s="466"/>
      <c r="AH113" s="466"/>
      <c r="AI113" s="466"/>
      <c r="AJ113" s="466"/>
      <c r="AK113" s="466"/>
      <c r="AL113" s="466"/>
      <c r="AM113" s="462">
        <f t="shared" si="54"/>
        <v>109</v>
      </c>
      <c r="AN113" s="32">
        <f t="shared" si="71"/>
        <v>0.99007294634802301</v>
      </c>
      <c r="AO113" s="32">
        <f t="shared" si="72"/>
        <v>0.19116697204147237</v>
      </c>
      <c r="AP113" s="32">
        <f t="shared" si="73"/>
        <v>1.7597506401784617</v>
      </c>
      <c r="AQ113" s="32">
        <f t="shared" si="74"/>
        <v>13.443504623689414</v>
      </c>
      <c r="AR113" s="32">
        <f t="shared" si="75"/>
        <v>34.416384340944184</v>
      </c>
      <c r="AS113" s="32">
        <f t="shared" si="55"/>
        <v>25.837068052433619</v>
      </c>
      <c r="AT113" s="32">
        <f t="shared" si="56"/>
        <v>18.029088000000002</v>
      </c>
      <c r="AU113" s="32">
        <f t="shared" si="57"/>
        <v>0.90623285709055423</v>
      </c>
      <c r="AV113" s="32">
        <f t="shared" si="58"/>
        <v>0.87341435707224824</v>
      </c>
      <c r="AW113" s="32">
        <f t="shared" si="59"/>
        <v>1.3480279711634873</v>
      </c>
      <c r="AX113" s="32">
        <f t="shared" si="60"/>
        <v>1.0087586481243795</v>
      </c>
      <c r="AY113" s="32">
        <f t="shared" si="61"/>
        <v>1.0570707922392195</v>
      </c>
      <c r="AZ113" s="32">
        <f t="shared" si="76"/>
        <v>0.19606047267033042</v>
      </c>
      <c r="BA113" s="32">
        <f t="shared" si="62"/>
        <v>-5.3384629563793755</v>
      </c>
      <c r="BB113" s="32">
        <f t="shared" si="77"/>
        <v>12.690625043620626</v>
      </c>
      <c r="BC113" s="32">
        <f t="shared" si="63"/>
        <v>9.25</v>
      </c>
      <c r="BD113" s="32">
        <v>0</v>
      </c>
      <c r="BE113" s="32">
        <f t="shared" si="78"/>
        <v>1.1783933096439334</v>
      </c>
      <c r="BF113" s="32">
        <f t="shared" si="79"/>
        <v>0.12132251740471389</v>
      </c>
      <c r="BG113" s="32">
        <f t="shared" si="80"/>
        <v>7.8733577995933141E-2</v>
      </c>
      <c r="BH113" s="32">
        <f t="shared" si="64"/>
        <v>2.0437433626144439</v>
      </c>
      <c r="BI113" s="32">
        <f t="shared" si="65"/>
        <v>0.30587703656707788</v>
      </c>
      <c r="BJ113" s="32">
        <f t="shared" si="66"/>
        <v>2.3496203991815219</v>
      </c>
      <c r="BK113" s="457">
        <f t="shared" si="67"/>
        <v>1.8122933292596652</v>
      </c>
      <c r="BL113" s="2"/>
    </row>
    <row r="114" spans="1:64" ht="15">
      <c r="A114" s="119"/>
      <c r="B114" s="480">
        <f>Input!B131</f>
        <v>38096</v>
      </c>
      <c r="C114" s="481">
        <v>1</v>
      </c>
      <c r="D114" s="481">
        <f t="shared" si="68"/>
        <v>4</v>
      </c>
      <c r="E114" s="481">
        <f t="shared" si="69"/>
        <v>19</v>
      </c>
      <c r="F114" s="481">
        <f t="shared" si="43"/>
        <v>110</v>
      </c>
      <c r="G114" s="431">
        <v>21.081600000000002</v>
      </c>
      <c r="H114" s="455">
        <v>11.37</v>
      </c>
      <c r="I114" s="455">
        <v>5.8</v>
      </c>
      <c r="J114" s="455">
        <v>2.12</v>
      </c>
      <c r="K114" s="485"/>
      <c r="L114" s="433">
        <v>99</v>
      </c>
      <c r="M114" s="455">
        <v>86</v>
      </c>
      <c r="N114" s="484">
        <f>Weather!M115</f>
        <v>1.4</v>
      </c>
      <c r="O114" s="481" t="str">
        <f t="shared" si="70"/>
        <v/>
      </c>
      <c r="P114" s="4">
        <f t="shared" si="81"/>
        <v>2.1232463360499847</v>
      </c>
      <c r="Q114" s="169">
        <f t="shared" si="44"/>
        <v>1.3453507796376623</v>
      </c>
      <c r="R114" s="169">
        <f t="shared" si="45"/>
        <v>0.92224025736807469</v>
      </c>
      <c r="S114" s="169">
        <f t="shared" si="46"/>
        <v>1.1570016704883894</v>
      </c>
      <c r="T114" s="169">
        <f t="shared" si="47"/>
        <v>0.9130178547943939</v>
      </c>
      <c r="U114" s="169">
        <f t="shared" si="48"/>
        <v>1.0350097626413917</v>
      </c>
      <c r="V114" s="169">
        <f t="shared" si="49"/>
        <v>3.0538307169326366E-2</v>
      </c>
      <c r="W114" s="439">
        <f t="shared" si="50"/>
        <v>7.475014582702924</v>
      </c>
      <c r="X114" s="439">
        <f t="shared" si="51"/>
        <v>7.475014582702924</v>
      </c>
      <c r="Y114" s="169"/>
      <c r="Z114" s="119" t="str">
        <f t="shared" si="52"/>
        <v/>
      </c>
      <c r="AA114" s="4" t="str">
        <f t="shared" si="53"/>
        <v/>
      </c>
      <c r="AB114" s="466"/>
      <c r="AC114" s="466"/>
      <c r="AD114" s="466"/>
      <c r="AE114" s="466"/>
      <c r="AF114" s="466"/>
      <c r="AG114" s="466"/>
      <c r="AH114" s="466"/>
      <c r="AI114" s="466"/>
      <c r="AJ114" s="466"/>
      <c r="AK114" s="466"/>
      <c r="AL114" s="466"/>
      <c r="AM114" s="462">
        <f t="shared" si="54"/>
        <v>110</v>
      </c>
      <c r="AN114" s="32">
        <f t="shared" si="71"/>
        <v>0.98953268747655954</v>
      </c>
      <c r="AO114" s="32">
        <f t="shared" si="72"/>
        <v>0.19736256089735976</v>
      </c>
      <c r="AP114" s="32">
        <f t="shared" si="73"/>
        <v>1.7661136908625921</v>
      </c>
      <c r="AQ114" s="32">
        <f t="shared" si="74"/>
        <v>13.492114750226548</v>
      </c>
      <c r="AR114" s="32">
        <f t="shared" si="75"/>
        <v>34.64387421867044</v>
      </c>
      <c r="AS114" s="32">
        <f t="shared" si="55"/>
        <v>26.007849253440273</v>
      </c>
      <c r="AT114" s="32">
        <f t="shared" si="56"/>
        <v>16.232832000000002</v>
      </c>
      <c r="AU114" s="32">
        <f t="shared" si="57"/>
        <v>0.81058605786910132</v>
      </c>
      <c r="AV114" s="32">
        <f t="shared" si="58"/>
        <v>0.74429117812328693</v>
      </c>
      <c r="AW114" s="32">
        <f t="shared" si="59"/>
        <v>1.3453507796376623</v>
      </c>
      <c r="AX114" s="32">
        <f t="shared" si="60"/>
        <v>0.92224025736807469</v>
      </c>
      <c r="AY114" s="32">
        <f t="shared" si="61"/>
        <v>1.0350097626413917</v>
      </c>
      <c r="AZ114" s="32">
        <f t="shared" si="76"/>
        <v>0.1975703986252462</v>
      </c>
      <c r="BA114" s="32">
        <f t="shared" si="62"/>
        <v>-4.5423290889128527</v>
      </c>
      <c r="BB114" s="32">
        <f t="shared" si="77"/>
        <v>11.690502911087149</v>
      </c>
      <c r="BC114" s="32">
        <f t="shared" si="63"/>
        <v>8.5849999999999991</v>
      </c>
      <c r="BD114" s="32">
        <v>0</v>
      </c>
      <c r="BE114" s="32">
        <f t="shared" si="78"/>
        <v>1.1337955185028685</v>
      </c>
      <c r="BF114" s="32">
        <f t="shared" si="79"/>
        <v>9.8785755861476865E-2</v>
      </c>
      <c r="BG114" s="32">
        <f t="shared" si="80"/>
        <v>7.5680217451059198E-2</v>
      </c>
      <c r="BH114" s="32">
        <f t="shared" si="64"/>
        <v>1.8882539945600922</v>
      </c>
      <c r="BI114" s="32">
        <f t="shared" si="65"/>
        <v>0.23499234148989243</v>
      </c>
      <c r="BJ114" s="32">
        <f t="shared" si="66"/>
        <v>2.1232463360499847</v>
      </c>
      <c r="BK114" s="457">
        <f t="shared" si="67"/>
        <v>2.0252232330062245</v>
      </c>
      <c r="BL114" s="2"/>
    </row>
    <row r="115" spans="1:64" ht="15">
      <c r="A115" s="119"/>
      <c r="B115" s="480">
        <f>Input!B132</f>
        <v>38097</v>
      </c>
      <c r="C115" s="481">
        <v>1</v>
      </c>
      <c r="D115" s="481">
        <f t="shared" si="68"/>
        <v>4</v>
      </c>
      <c r="E115" s="481">
        <f t="shared" si="69"/>
        <v>20</v>
      </c>
      <c r="F115" s="481">
        <f t="shared" si="43"/>
        <v>111</v>
      </c>
      <c r="G115" s="431">
        <v>22.118400000000001</v>
      </c>
      <c r="H115" s="455">
        <v>11.97</v>
      </c>
      <c r="I115" s="455">
        <v>8.3000000000000007</v>
      </c>
      <c r="J115" s="455">
        <v>1.73</v>
      </c>
      <c r="K115" s="485"/>
      <c r="L115" s="433">
        <v>100</v>
      </c>
      <c r="M115" s="455">
        <v>86</v>
      </c>
      <c r="N115" s="484">
        <f>Weather!M116</f>
        <v>3.2</v>
      </c>
      <c r="O115" s="481" t="str">
        <f t="shared" si="70"/>
        <v/>
      </c>
      <c r="P115" s="4">
        <f t="shared" si="81"/>
        <v>2.3856445539884792</v>
      </c>
      <c r="Q115" s="169">
        <f t="shared" si="44"/>
        <v>1.3997917522667138</v>
      </c>
      <c r="R115" s="169">
        <f t="shared" si="45"/>
        <v>1.0948860433443903</v>
      </c>
      <c r="S115" s="169">
        <f t="shared" si="46"/>
        <v>1.2038209069493739</v>
      </c>
      <c r="T115" s="169">
        <f t="shared" si="47"/>
        <v>1.0948860433443903</v>
      </c>
      <c r="U115" s="169">
        <f t="shared" si="48"/>
        <v>1.1493534751468821</v>
      </c>
      <c r="V115" s="169">
        <f t="shared" si="49"/>
        <v>3.6605981146335224E-2</v>
      </c>
      <c r="W115" s="439">
        <f t="shared" si="50"/>
        <v>9.0166631264344641</v>
      </c>
      <c r="X115" s="439">
        <f t="shared" si="51"/>
        <v>9.0166631264344641</v>
      </c>
      <c r="Y115" s="169"/>
      <c r="Z115" s="119" t="str">
        <f t="shared" si="52"/>
        <v/>
      </c>
      <c r="AA115" s="4" t="str">
        <f t="shared" si="53"/>
        <v/>
      </c>
      <c r="AB115" s="466"/>
      <c r="AC115" s="466"/>
      <c r="AD115" s="466"/>
      <c r="AE115" s="466"/>
      <c r="AF115" s="466"/>
      <c r="AG115" s="466"/>
      <c r="AH115" s="466"/>
      <c r="AI115" s="466"/>
      <c r="AJ115" s="466"/>
      <c r="AK115" s="466"/>
      <c r="AL115" s="466"/>
      <c r="AM115" s="462">
        <f t="shared" si="54"/>
        <v>111</v>
      </c>
      <c r="AN115" s="32">
        <f t="shared" si="71"/>
        <v>0.98899553029569987</v>
      </c>
      <c r="AO115" s="32">
        <f t="shared" si="72"/>
        <v>0.20349966696702032</v>
      </c>
      <c r="AP115" s="32">
        <f t="shared" si="73"/>
        <v>1.7724401755286394</v>
      </c>
      <c r="AQ115" s="32">
        <f t="shared" si="74"/>
        <v>13.540445532962382</v>
      </c>
      <c r="AR115" s="32">
        <f t="shared" si="75"/>
        <v>34.868598895265869</v>
      </c>
      <c r="AS115" s="32">
        <f t="shared" si="55"/>
        <v>26.176554562653994</v>
      </c>
      <c r="AT115" s="32">
        <f t="shared" si="56"/>
        <v>17.031168000000001</v>
      </c>
      <c r="AU115" s="32">
        <f t="shared" si="57"/>
        <v>0.84496987359659059</v>
      </c>
      <c r="AV115" s="32">
        <f t="shared" si="58"/>
        <v>0.79070932935539739</v>
      </c>
      <c r="AW115" s="32">
        <f t="shared" si="59"/>
        <v>1.3997917522667138</v>
      </c>
      <c r="AX115" s="32">
        <f t="shared" si="60"/>
        <v>1.0948860433443903</v>
      </c>
      <c r="AY115" s="32">
        <f t="shared" si="61"/>
        <v>1.1493534751468821</v>
      </c>
      <c r="AZ115" s="32">
        <f t="shared" si="76"/>
        <v>0.18990893393383174</v>
      </c>
      <c r="BA115" s="32">
        <f t="shared" si="62"/>
        <v>-4.7398214032159709</v>
      </c>
      <c r="BB115" s="32">
        <f t="shared" si="77"/>
        <v>12.291346596784031</v>
      </c>
      <c r="BC115" s="32">
        <f t="shared" si="63"/>
        <v>10.135000000000002</v>
      </c>
      <c r="BD115" s="32">
        <v>0</v>
      </c>
      <c r="BE115" s="32">
        <f t="shared" si="78"/>
        <v>1.2473388978055522</v>
      </c>
      <c r="BF115" s="32">
        <f t="shared" si="79"/>
        <v>9.7985422658670052E-2</v>
      </c>
      <c r="BG115" s="32">
        <f t="shared" si="80"/>
        <v>8.2959754662512625E-2</v>
      </c>
      <c r="BH115" s="32">
        <f t="shared" si="64"/>
        <v>2.1948604471247952</v>
      </c>
      <c r="BI115" s="32">
        <f t="shared" si="65"/>
        <v>0.19078410686368377</v>
      </c>
      <c r="BJ115" s="32">
        <f t="shared" si="66"/>
        <v>2.3856445539884792</v>
      </c>
      <c r="BK115" s="457">
        <f t="shared" si="67"/>
        <v>1.7517735159049597</v>
      </c>
      <c r="BL115" s="2"/>
    </row>
    <row r="116" spans="1:64" ht="15">
      <c r="A116" s="119"/>
      <c r="B116" s="480">
        <f>Input!B133</f>
        <v>38098</v>
      </c>
      <c r="C116" s="481">
        <v>1</v>
      </c>
      <c r="D116" s="481">
        <f t="shared" si="68"/>
        <v>4</v>
      </c>
      <c r="E116" s="481">
        <f t="shared" si="69"/>
        <v>21</v>
      </c>
      <c r="F116" s="481">
        <f t="shared" si="43"/>
        <v>112</v>
      </c>
      <c r="G116" s="431">
        <v>24.019200000000001</v>
      </c>
      <c r="H116" s="455">
        <v>13.45</v>
      </c>
      <c r="I116" s="455">
        <v>5.6</v>
      </c>
      <c r="J116" s="455">
        <v>1.77</v>
      </c>
      <c r="K116" s="485"/>
      <c r="L116" s="433">
        <v>100</v>
      </c>
      <c r="M116" s="455">
        <v>82</v>
      </c>
      <c r="N116" s="484">
        <f>Weather!M117</f>
        <v>0</v>
      </c>
      <c r="O116" s="481" t="str">
        <f t="shared" si="70"/>
        <v/>
      </c>
      <c r="P116" s="4">
        <f t="shared" si="81"/>
        <v>2.5681773320425307</v>
      </c>
      <c r="Q116" s="169">
        <f t="shared" si="44"/>
        <v>1.5424333294814421</v>
      </c>
      <c r="R116" s="169">
        <f t="shared" si="45"/>
        <v>0.90952746275151153</v>
      </c>
      <c r="S116" s="169">
        <f t="shared" si="46"/>
        <v>1.2647953301747825</v>
      </c>
      <c r="T116" s="169">
        <f t="shared" si="47"/>
        <v>0.90952746275151153</v>
      </c>
      <c r="U116" s="169">
        <f t="shared" si="48"/>
        <v>1.087161396463147</v>
      </c>
      <c r="V116" s="169">
        <f t="shared" si="49"/>
        <v>3.3384816535135378E-2</v>
      </c>
      <c r="W116" s="439">
        <f t="shared" si="50"/>
        <v>8.1958333567554487</v>
      </c>
      <c r="X116" s="439">
        <f t="shared" si="51"/>
        <v>8.1958333567554487</v>
      </c>
      <c r="Y116" s="169"/>
      <c r="Z116" s="119" t="str">
        <f t="shared" si="52"/>
        <v/>
      </c>
      <c r="AA116" s="4" t="str">
        <f t="shared" si="53"/>
        <v/>
      </c>
      <c r="AB116" s="466"/>
      <c r="AC116" s="466"/>
      <c r="AD116" s="466"/>
      <c r="AE116" s="466"/>
      <c r="AF116" s="466"/>
      <c r="AG116" s="466"/>
      <c r="AH116" s="466"/>
      <c r="AI116" s="466"/>
      <c r="AJ116" s="466"/>
      <c r="AK116" s="466"/>
      <c r="AL116" s="466"/>
      <c r="AM116" s="462">
        <f t="shared" si="54"/>
        <v>112</v>
      </c>
      <c r="AN116" s="32">
        <f t="shared" si="71"/>
        <v>0.9884616339767095</v>
      </c>
      <c r="AO116" s="32">
        <f t="shared" si="72"/>
        <v>0.2095764716934761</v>
      </c>
      <c r="AP116" s="32">
        <f t="shared" si="73"/>
        <v>1.7787284073413006</v>
      </c>
      <c r="AQ116" s="32">
        <f t="shared" si="74"/>
        <v>13.588484085424433</v>
      </c>
      <c r="AR116" s="32">
        <f t="shared" si="75"/>
        <v>35.090502615241888</v>
      </c>
      <c r="AS116" s="32">
        <f t="shared" si="55"/>
        <v>26.343142123314394</v>
      </c>
      <c r="AT116" s="32">
        <f t="shared" si="56"/>
        <v>18.494784000000003</v>
      </c>
      <c r="AU116" s="32">
        <f t="shared" si="57"/>
        <v>0.91178189327469628</v>
      </c>
      <c r="AV116" s="32">
        <f t="shared" si="58"/>
        <v>0.88090555592083997</v>
      </c>
      <c r="AW116" s="32">
        <f t="shared" si="59"/>
        <v>1.5424333294814421</v>
      </c>
      <c r="AX116" s="32">
        <f t="shared" si="60"/>
        <v>0.90952746275151153</v>
      </c>
      <c r="AY116" s="32">
        <f t="shared" si="61"/>
        <v>1.087161396463147</v>
      </c>
      <c r="AZ116" s="32">
        <f t="shared" si="76"/>
        <v>0.19402615518293123</v>
      </c>
      <c r="BA116" s="32">
        <f t="shared" si="62"/>
        <v>-5.3534952913234513</v>
      </c>
      <c r="BB116" s="32">
        <f t="shared" si="77"/>
        <v>13.141288708676552</v>
      </c>
      <c r="BC116" s="32">
        <f t="shared" si="63"/>
        <v>9.5249999999999986</v>
      </c>
      <c r="BD116" s="32">
        <v>0</v>
      </c>
      <c r="BE116" s="32">
        <f t="shared" si="78"/>
        <v>1.2259803961164768</v>
      </c>
      <c r="BF116" s="32">
        <f t="shared" si="79"/>
        <v>0.13881899965332978</v>
      </c>
      <c r="BG116" s="32">
        <f t="shared" si="80"/>
        <v>8.0026645952548103E-2</v>
      </c>
      <c r="BH116" s="32">
        <f t="shared" si="64"/>
        <v>2.288055207946007</v>
      </c>
      <c r="BI116" s="32">
        <f t="shared" si="65"/>
        <v>0.28012212409652371</v>
      </c>
      <c r="BJ116" s="32">
        <f t="shared" si="66"/>
        <v>2.5681773320425307</v>
      </c>
      <c r="BK116" s="457">
        <f t="shared" si="67"/>
        <v>2.5220073009717363</v>
      </c>
      <c r="BL116" s="2"/>
    </row>
    <row r="117" spans="1:64" ht="15">
      <c r="A117" s="119"/>
      <c r="B117" s="480">
        <f>Input!B134</f>
        <v>38099</v>
      </c>
      <c r="C117" s="481">
        <v>1</v>
      </c>
      <c r="D117" s="481">
        <f t="shared" si="68"/>
        <v>4</v>
      </c>
      <c r="E117" s="481">
        <f t="shared" si="69"/>
        <v>22</v>
      </c>
      <c r="F117" s="481">
        <f t="shared" si="43"/>
        <v>113</v>
      </c>
      <c r="G117" s="431">
        <v>23.9328</v>
      </c>
      <c r="H117" s="455">
        <v>14.15</v>
      </c>
      <c r="I117" s="455">
        <v>7.3</v>
      </c>
      <c r="J117" s="455">
        <v>2.62</v>
      </c>
      <c r="K117" s="485"/>
      <c r="L117" s="433">
        <v>94</v>
      </c>
      <c r="M117" s="455">
        <v>80</v>
      </c>
      <c r="N117" s="484">
        <f>Weather!M118</f>
        <v>0</v>
      </c>
      <c r="O117" s="481" t="str">
        <f t="shared" si="70"/>
        <v/>
      </c>
      <c r="P117" s="4">
        <f t="shared" si="81"/>
        <v>2.6660228759485736</v>
      </c>
      <c r="Q117" s="169">
        <f t="shared" si="44"/>
        <v>1.6142324679094995</v>
      </c>
      <c r="R117" s="169">
        <f t="shared" si="45"/>
        <v>1.0226847750674277</v>
      </c>
      <c r="S117" s="169">
        <f t="shared" si="46"/>
        <v>1.2913859743275997</v>
      </c>
      <c r="T117" s="169">
        <f t="shared" si="47"/>
        <v>0.96132368856338202</v>
      </c>
      <c r="U117" s="169">
        <f t="shared" si="48"/>
        <v>1.1263548314454908</v>
      </c>
      <c r="V117" s="169">
        <f t="shared" si="49"/>
        <v>3.5435571009332631E-2</v>
      </c>
      <c r="W117" s="439">
        <f t="shared" si="50"/>
        <v>8.7177805315854044</v>
      </c>
      <c r="X117" s="439">
        <f t="shared" si="51"/>
        <v>8.7177805315854044</v>
      </c>
      <c r="Y117" s="169"/>
      <c r="Z117" s="119" t="str">
        <f t="shared" si="52"/>
        <v/>
      </c>
      <c r="AA117" s="4" t="str">
        <f t="shared" si="53"/>
        <v/>
      </c>
      <c r="AB117" s="466"/>
      <c r="AC117" s="466"/>
      <c r="AD117" s="466"/>
      <c r="AE117" s="466"/>
      <c r="AF117" s="466"/>
      <c r="AG117" s="466"/>
      <c r="AH117" s="466"/>
      <c r="AI117" s="466"/>
      <c r="AJ117" s="466"/>
      <c r="AK117" s="466"/>
      <c r="AL117" s="466"/>
      <c r="AM117" s="462">
        <f t="shared" si="54"/>
        <v>113</v>
      </c>
      <c r="AN117" s="32">
        <f t="shared" si="71"/>
        <v>0.98793115672459009</v>
      </c>
      <c r="AO117" s="32">
        <f t="shared" si="72"/>
        <v>0.21559117438833836</v>
      </c>
      <c r="AP117" s="32">
        <f t="shared" si="73"/>
        <v>1.7849766599934525</v>
      </c>
      <c r="AQ117" s="32">
        <f t="shared" si="74"/>
        <v>13.636217219597729</v>
      </c>
      <c r="AR117" s="32">
        <f t="shared" si="75"/>
        <v>35.309531229673347</v>
      </c>
      <c r="AS117" s="32">
        <f t="shared" si="55"/>
        <v>26.507571284740376</v>
      </c>
      <c r="AT117" s="32">
        <f t="shared" si="56"/>
        <v>18.428256000000001</v>
      </c>
      <c r="AU117" s="32">
        <f t="shared" si="57"/>
        <v>0.90286657132475223</v>
      </c>
      <c r="AV117" s="32">
        <f t="shared" si="58"/>
        <v>0.86886987128841564</v>
      </c>
      <c r="AW117" s="32">
        <f t="shared" si="59"/>
        <v>1.6142324679094995</v>
      </c>
      <c r="AX117" s="32">
        <f t="shared" si="60"/>
        <v>1.0226847750674277</v>
      </c>
      <c r="AY117" s="32">
        <f t="shared" si="61"/>
        <v>1.1263548314454908</v>
      </c>
      <c r="AZ117" s="32">
        <f t="shared" si="76"/>
        <v>0.19141818854135739</v>
      </c>
      <c r="BA117" s="32">
        <f t="shared" si="62"/>
        <v>-5.2968999478578187</v>
      </c>
      <c r="BB117" s="32">
        <f t="shared" si="77"/>
        <v>13.131356052142182</v>
      </c>
      <c r="BC117" s="32">
        <f t="shared" si="63"/>
        <v>10.725</v>
      </c>
      <c r="BD117" s="32">
        <v>0</v>
      </c>
      <c r="BE117" s="32">
        <f t="shared" si="78"/>
        <v>1.3184586214884635</v>
      </c>
      <c r="BF117" s="32">
        <f t="shared" si="79"/>
        <v>0.19210379004297273</v>
      </c>
      <c r="BG117" s="32">
        <f t="shared" si="80"/>
        <v>8.5883470323519367E-2</v>
      </c>
      <c r="BH117" s="32">
        <f t="shared" si="64"/>
        <v>2.1624571543275564</v>
      </c>
      <c r="BI117" s="32">
        <f t="shared" si="65"/>
        <v>0.50356572162101709</v>
      </c>
      <c r="BJ117" s="32">
        <f t="shared" si="66"/>
        <v>2.6660228759485736</v>
      </c>
      <c r="BK117" s="457">
        <f t="shared" si="67"/>
        <v>2.4747118754437945</v>
      </c>
      <c r="BL117" s="2"/>
    </row>
    <row r="118" spans="1:64" ht="15">
      <c r="A118" s="119"/>
      <c r="B118" s="480">
        <f>Input!B135</f>
        <v>38100</v>
      </c>
      <c r="C118" s="481">
        <v>1</v>
      </c>
      <c r="D118" s="481">
        <f t="shared" si="68"/>
        <v>4</v>
      </c>
      <c r="E118" s="481">
        <f t="shared" si="69"/>
        <v>23</v>
      </c>
      <c r="F118" s="481">
        <f t="shared" si="43"/>
        <v>114</v>
      </c>
      <c r="G118" s="431">
        <v>22.5504</v>
      </c>
      <c r="H118" s="455">
        <v>12</v>
      </c>
      <c r="I118" s="455">
        <v>5</v>
      </c>
      <c r="J118" s="455">
        <v>2.12</v>
      </c>
      <c r="K118" s="485"/>
      <c r="L118" s="433">
        <v>96</v>
      </c>
      <c r="M118" s="455">
        <v>86</v>
      </c>
      <c r="N118" s="484">
        <f>Weather!M119</f>
        <v>0</v>
      </c>
      <c r="O118" s="481" t="str">
        <f t="shared" si="70"/>
        <v/>
      </c>
      <c r="P118" s="4">
        <f t="shared" si="81"/>
        <v>2.2909912187436534</v>
      </c>
      <c r="Q118" s="169">
        <f t="shared" si="44"/>
        <v>1.4025638730469563</v>
      </c>
      <c r="R118" s="169">
        <f t="shared" si="45"/>
        <v>0.87231096034971234</v>
      </c>
      <c r="S118" s="169">
        <f t="shared" si="46"/>
        <v>1.2062049308203824</v>
      </c>
      <c r="T118" s="169">
        <f t="shared" si="47"/>
        <v>0.83741852193572386</v>
      </c>
      <c r="U118" s="169">
        <f t="shared" si="48"/>
        <v>1.0218117263780531</v>
      </c>
      <c r="V118" s="169">
        <f t="shared" si="49"/>
        <v>2.9795191643504838E-2</v>
      </c>
      <c r="W118" s="439">
        <f t="shared" si="50"/>
        <v>7.2875324015150911</v>
      </c>
      <c r="X118" s="439">
        <f t="shared" si="51"/>
        <v>7.2875324015150911</v>
      </c>
      <c r="Y118" s="169"/>
      <c r="Z118" s="119" t="str">
        <f t="shared" si="52"/>
        <v/>
      </c>
      <c r="AA118" s="4" t="str">
        <f t="shared" si="53"/>
        <v/>
      </c>
      <c r="AB118" s="466"/>
      <c r="AC118" s="466"/>
      <c r="AD118" s="466"/>
      <c r="AE118" s="466"/>
      <c r="AF118" s="466"/>
      <c r="AG118" s="466"/>
      <c r="AH118" s="466"/>
      <c r="AI118" s="466"/>
      <c r="AJ118" s="466"/>
      <c r="AK118" s="466"/>
      <c r="AL118" s="466"/>
      <c r="AM118" s="462">
        <f t="shared" si="54"/>
        <v>114</v>
      </c>
      <c r="AN118" s="32">
        <f t="shared" si="71"/>
        <v>0.98740425573120028</v>
      </c>
      <c r="AO118" s="32">
        <f t="shared" si="72"/>
        <v>0.22154199276539069</v>
      </c>
      <c r="AP118" s="32">
        <f t="shared" si="73"/>
        <v>1.7911831672479623</v>
      </c>
      <c r="AQ118" s="32">
        <f t="shared" si="74"/>
        <v>13.683631442424495</v>
      </c>
      <c r="AR118" s="32">
        <f t="shared" si="75"/>
        <v>35.525632180588623</v>
      </c>
      <c r="AS118" s="32">
        <f t="shared" si="55"/>
        <v>26.669802590611493</v>
      </c>
      <c r="AT118" s="32">
        <f t="shared" si="56"/>
        <v>17.363807999999999</v>
      </c>
      <c r="AU118" s="32">
        <f t="shared" si="57"/>
        <v>0.84554056684087953</v>
      </c>
      <c r="AV118" s="32">
        <f t="shared" si="58"/>
        <v>0.79147976523518737</v>
      </c>
      <c r="AW118" s="32">
        <f t="shared" si="59"/>
        <v>1.4025638730469563</v>
      </c>
      <c r="AX118" s="32">
        <f t="shared" si="60"/>
        <v>0.87231096034971234</v>
      </c>
      <c r="AY118" s="32">
        <f t="shared" si="61"/>
        <v>1.0218117263780531</v>
      </c>
      <c r="AZ118" s="32">
        <f t="shared" si="76"/>
        <v>0.19848141522397195</v>
      </c>
      <c r="BA118" s="32">
        <f t="shared" si="62"/>
        <v>-4.8483837296399868</v>
      </c>
      <c r="BB118" s="32">
        <f t="shared" si="77"/>
        <v>12.515424270360011</v>
      </c>
      <c r="BC118" s="32">
        <f t="shared" si="63"/>
        <v>8.5</v>
      </c>
      <c r="BD118" s="32">
        <v>0</v>
      </c>
      <c r="BE118" s="32">
        <f t="shared" si="78"/>
        <v>1.1374374166983343</v>
      </c>
      <c r="BF118" s="32">
        <f t="shared" si="79"/>
        <v>0.11562569032028125</v>
      </c>
      <c r="BG118" s="32">
        <f t="shared" si="80"/>
        <v>7.529733037824983E-2</v>
      </c>
      <c r="BH118" s="32">
        <f t="shared" si="64"/>
        <v>2.0153046868523896</v>
      </c>
      <c r="BI118" s="32">
        <f t="shared" si="65"/>
        <v>0.27568653189126396</v>
      </c>
      <c r="BJ118" s="32">
        <f t="shared" si="66"/>
        <v>2.2909912187436534</v>
      </c>
      <c r="BK118" s="457">
        <f t="shared" si="67"/>
        <v>2.320642999661779</v>
      </c>
      <c r="BL118" s="2"/>
    </row>
    <row r="119" spans="1:64" ht="15">
      <c r="A119" s="119"/>
      <c r="B119" s="480">
        <f>Input!B136</f>
        <v>38101</v>
      </c>
      <c r="C119" s="481">
        <v>1</v>
      </c>
      <c r="D119" s="481">
        <f t="shared" si="68"/>
        <v>4</v>
      </c>
      <c r="E119" s="481">
        <f t="shared" si="69"/>
        <v>24</v>
      </c>
      <c r="F119" s="481">
        <f t="shared" si="43"/>
        <v>115</v>
      </c>
      <c r="G119" s="431">
        <v>8.2943999999999996</v>
      </c>
      <c r="H119" s="455">
        <v>14.41</v>
      </c>
      <c r="I119" s="455">
        <v>9.5</v>
      </c>
      <c r="J119" s="455">
        <v>3.26</v>
      </c>
      <c r="K119" s="485"/>
      <c r="L119" s="433">
        <v>97</v>
      </c>
      <c r="M119" s="455">
        <v>70</v>
      </c>
      <c r="N119" s="484">
        <f>Weather!M120</f>
        <v>0.6</v>
      </c>
      <c r="O119" s="481" t="str">
        <f t="shared" si="70"/>
        <v/>
      </c>
      <c r="P119" s="4">
        <f t="shared" si="81"/>
        <v>1.7423348114641519</v>
      </c>
      <c r="Q119" s="169">
        <f t="shared" si="44"/>
        <v>1.6416379962791174</v>
      </c>
      <c r="R119" s="169">
        <f t="shared" si="45"/>
        <v>1.1874205365788533</v>
      </c>
      <c r="S119" s="169">
        <f t="shared" si="46"/>
        <v>1.1491465973953821</v>
      </c>
      <c r="T119" s="169">
        <f t="shared" si="47"/>
        <v>1.1517979204814877</v>
      </c>
      <c r="U119" s="169">
        <f t="shared" si="48"/>
        <v>1.1504722589384349</v>
      </c>
      <c r="V119" s="169">
        <f t="shared" si="49"/>
        <v>3.6662317525278827E-2</v>
      </c>
      <c r="W119" s="439">
        <f t="shared" si="50"/>
        <v>9.0310678249389049</v>
      </c>
      <c r="X119" s="439">
        <f t="shared" si="51"/>
        <v>9.0310678249389049</v>
      </c>
      <c r="Y119" s="169"/>
      <c r="Z119" s="119" t="str">
        <f t="shared" si="52"/>
        <v/>
      </c>
      <c r="AA119" s="4" t="str">
        <f t="shared" si="53"/>
        <v/>
      </c>
      <c r="AB119" s="466"/>
      <c r="AC119" s="466"/>
      <c r="AD119" s="466"/>
      <c r="AE119" s="466"/>
      <c r="AF119" s="466"/>
      <c r="AG119" s="466"/>
      <c r="AH119" s="466"/>
      <c r="AI119" s="466"/>
      <c r="AJ119" s="466"/>
      <c r="AK119" s="466"/>
      <c r="AL119" s="466"/>
      <c r="AM119" s="462">
        <f t="shared" si="54"/>
        <v>115</v>
      </c>
      <c r="AN119" s="32">
        <f t="shared" si="71"/>
        <v>0.98688108712867562</v>
      </c>
      <c r="AO119" s="32">
        <f t="shared" si="72"/>
        <v>0.22742716346871891</v>
      </c>
      <c r="AP119" s="32">
        <f t="shared" si="73"/>
        <v>1.7973461225809726</v>
      </c>
      <c r="AQ119" s="32">
        <f t="shared" si="74"/>
        <v>13.730712953079045</v>
      </c>
      <c r="AR119" s="32">
        <f t="shared" si="75"/>
        <v>35.738754483323483</v>
      </c>
      <c r="AS119" s="32">
        <f t="shared" si="55"/>
        <v>26.829797765720606</v>
      </c>
      <c r="AT119" s="32">
        <f t="shared" si="56"/>
        <v>6.3866879999999995</v>
      </c>
      <c r="AU119" s="32">
        <f t="shared" si="57"/>
        <v>0.30914880806881939</v>
      </c>
      <c r="AV119" s="32">
        <f t="shared" si="58"/>
        <v>6.7350890892906246E-2</v>
      </c>
      <c r="AW119" s="32">
        <f t="shared" si="59"/>
        <v>1.6416379962791174</v>
      </c>
      <c r="AX119" s="32">
        <f t="shared" si="60"/>
        <v>1.1874205365788533</v>
      </c>
      <c r="AY119" s="32">
        <f t="shared" si="61"/>
        <v>1.1504722589384349</v>
      </c>
      <c r="AZ119" s="32">
        <f t="shared" si="76"/>
        <v>0.18983590217634136</v>
      </c>
      <c r="BA119" s="32">
        <f t="shared" si="62"/>
        <v>-0.41412388499189029</v>
      </c>
      <c r="BB119" s="32">
        <f t="shared" si="77"/>
        <v>5.972564115008109</v>
      </c>
      <c r="BC119" s="32">
        <f t="shared" si="63"/>
        <v>11.955</v>
      </c>
      <c r="BD119" s="32">
        <v>0</v>
      </c>
      <c r="BE119" s="32">
        <f t="shared" si="78"/>
        <v>1.4145292664289855</v>
      </c>
      <c r="BF119" s="32">
        <f t="shared" si="79"/>
        <v>0.26405700749055061</v>
      </c>
      <c r="BG119" s="32">
        <f t="shared" si="80"/>
        <v>9.2262220822692587E-2</v>
      </c>
      <c r="BH119" s="32">
        <f t="shared" si="64"/>
        <v>0.96176529912058739</v>
      </c>
      <c r="BI119" s="32">
        <f t="shared" si="65"/>
        <v>0.78056951234356442</v>
      </c>
      <c r="BJ119" s="32">
        <f t="shared" si="66"/>
        <v>1.7423348114641519</v>
      </c>
      <c r="BK119" s="457">
        <f t="shared" si="67"/>
        <v>2.2120852775283963</v>
      </c>
      <c r="BL119" s="2"/>
    </row>
    <row r="120" spans="1:64" ht="15">
      <c r="A120" s="119"/>
      <c r="B120" s="480">
        <f>Input!B137</f>
        <v>38102</v>
      </c>
      <c r="C120" s="481">
        <v>1</v>
      </c>
      <c r="D120" s="481">
        <f t="shared" si="68"/>
        <v>4</v>
      </c>
      <c r="E120" s="481">
        <f t="shared" si="69"/>
        <v>25</v>
      </c>
      <c r="F120" s="481">
        <f t="shared" si="43"/>
        <v>116</v>
      </c>
      <c r="G120" s="432">
        <v>0</v>
      </c>
      <c r="H120" s="455">
        <v>14.18</v>
      </c>
      <c r="I120" s="455">
        <v>6.9</v>
      </c>
      <c r="J120" s="455">
        <v>1.82</v>
      </c>
      <c r="K120" s="485"/>
      <c r="L120" s="434">
        <v>99</v>
      </c>
      <c r="M120" s="455">
        <v>78</v>
      </c>
      <c r="N120" s="484">
        <f>Weather!M121</f>
        <v>0</v>
      </c>
      <c r="O120" s="481" t="str">
        <f t="shared" si="70"/>
        <v/>
      </c>
      <c r="P120" s="4">
        <f t="shared" si="81"/>
        <v>0.3063071784918493</v>
      </c>
      <c r="Q120" s="169">
        <f t="shared" si="44"/>
        <v>1.6173740222631401</v>
      </c>
      <c r="R120" s="169">
        <f t="shared" si="45"/>
        <v>0.99499981011308136</v>
      </c>
      <c r="S120" s="169">
        <f t="shared" si="46"/>
        <v>1.2615517373652494</v>
      </c>
      <c r="T120" s="169">
        <f t="shared" si="47"/>
        <v>0.98504981201195052</v>
      </c>
      <c r="U120" s="169">
        <f t="shared" si="48"/>
        <v>1.1233007746885999</v>
      </c>
      <c r="V120" s="169">
        <f t="shared" si="49"/>
        <v>3.5278354195543801E-2</v>
      </c>
      <c r="W120" s="439">
        <f t="shared" si="50"/>
        <v>8.6776880015185363</v>
      </c>
      <c r="X120" s="439">
        <f t="shared" si="51"/>
        <v>8.6776880015185363</v>
      </c>
      <c r="Y120" s="169"/>
      <c r="Z120" s="119" t="str">
        <f t="shared" si="52"/>
        <v/>
      </c>
      <c r="AA120" s="4" t="str">
        <f t="shared" si="53"/>
        <v/>
      </c>
      <c r="AB120" s="466"/>
      <c r="AC120" s="466"/>
      <c r="AD120" s="466"/>
      <c r="AE120" s="466"/>
      <c r="AF120" s="466"/>
      <c r="AG120" s="466"/>
      <c r="AH120" s="466"/>
      <c r="AI120" s="466"/>
      <c r="AJ120" s="466"/>
      <c r="AK120" s="466"/>
      <c r="AL120" s="466"/>
      <c r="AM120" s="462">
        <f t="shared" si="54"/>
        <v>116</v>
      </c>
      <c r="AN120" s="32">
        <f t="shared" si="71"/>
        <v>0.98636180594316414</v>
      </c>
      <c r="AO120" s="32">
        <f t="shared" si="72"/>
        <v>0.23324494259523115</v>
      </c>
      <c r="AP120" s="32">
        <f t="shared" si="73"/>
        <v>1.803463678932389</v>
      </c>
      <c r="AQ120" s="32">
        <f t="shared" si="74"/>
        <v>13.777447641061659</v>
      </c>
      <c r="AR120" s="32">
        <f t="shared" si="75"/>
        <v>35.948848706966366</v>
      </c>
      <c r="AS120" s="32">
        <f t="shared" si="55"/>
        <v>26.987519701293792</v>
      </c>
      <c r="AT120" s="32">
        <f t="shared" si="56"/>
        <v>0</v>
      </c>
      <c r="AU120" s="32">
        <f t="shared" si="57"/>
        <v>0.3</v>
      </c>
      <c r="AV120" s="32">
        <f t="shared" si="58"/>
        <v>5.5000000000000049E-2</v>
      </c>
      <c r="AW120" s="32">
        <f t="shared" si="59"/>
        <v>1.6173740222631401</v>
      </c>
      <c r="AX120" s="32">
        <f t="shared" si="60"/>
        <v>0.99499981011308136</v>
      </c>
      <c r="AY120" s="32">
        <f t="shared" si="61"/>
        <v>1.1233007746886001</v>
      </c>
      <c r="AZ120" s="32">
        <f t="shared" si="76"/>
        <v>0.19161976147782833</v>
      </c>
      <c r="BA120" s="32">
        <f t="shared" si="62"/>
        <v>-0.33481427570779276</v>
      </c>
      <c r="BB120" s="32">
        <f t="shared" si="77"/>
        <v>-0.33481427570779276</v>
      </c>
      <c r="BC120" s="32">
        <f t="shared" si="63"/>
        <v>10.54</v>
      </c>
      <c r="BD120" s="32">
        <v>0</v>
      </c>
      <c r="BE120" s="32">
        <f t="shared" si="78"/>
        <v>1.3061869161881108</v>
      </c>
      <c r="BF120" s="32">
        <f t="shared" si="79"/>
        <v>0.18288614149951066</v>
      </c>
      <c r="BG120" s="32">
        <f t="shared" si="80"/>
        <v>8.4957402046016206E-2</v>
      </c>
      <c r="BH120" s="32">
        <f t="shared" si="64"/>
        <v>-5.9946056590784759E-2</v>
      </c>
      <c r="BI120" s="32">
        <f t="shared" si="65"/>
        <v>0.36625323508263408</v>
      </c>
      <c r="BJ120" s="32">
        <f t="shared" si="66"/>
        <v>0.3063071784918493</v>
      </c>
      <c r="BK120" s="457">
        <f t="shared" si="67"/>
        <v>2.5805499717883573</v>
      </c>
      <c r="BL120" s="2"/>
    </row>
    <row r="121" spans="1:64" ht="15">
      <c r="A121" s="119"/>
      <c r="B121" s="480">
        <f>Input!B138</f>
        <v>38103</v>
      </c>
      <c r="C121" s="481">
        <v>1</v>
      </c>
      <c r="D121" s="481">
        <f t="shared" si="68"/>
        <v>4</v>
      </c>
      <c r="E121" s="481">
        <f t="shared" si="69"/>
        <v>26</v>
      </c>
      <c r="F121" s="481">
        <f t="shared" si="43"/>
        <v>117</v>
      </c>
      <c r="G121" s="432">
        <v>0</v>
      </c>
      <c r="H121" s="455">
        <v>14.88</v>
      </c>
      <c r="I121" s="455">
        <v>5.8</v>
      </c>
      <c r="J121" s="455">
        <v>1.61</v>
      </c>
      <c r="K121" s="485"/>
      <c r="L121" s="434">
        <v>99</v>
      </c>
      <c r="M121" s="455">
        <v>83</v>
      </c>
      <c r="N121" s="484">
        <f>Weather!M122</f>
        <v>0</v>
      </c>
      <c r="O121" s="481" t="str">
        <f t="shared" si="70"/>
        <v/>
      </c>
      <c r="P121" s="4">
        <f t="shared" si="81"/>
        <v>0.21108337461382062</v>
      </c>
      <c r="Q121" s="169">
        <f t="shared" si="44"/>
        <v>1.6922158105676843</v>
      </c>
      <c r="R121" s="169">
        <f t="shared" si="45"/>
        <v>0.92224025736807469</v>
      </c>
      <c r="S121" s="169">
        <f t="shared" si="46"/>
        <v>1.4045391227711779</v>
      </c>
      <c r="T121" s="169">
        <f t="shared" si="47"/>
        <v>0.9130178547943939</v>
      </c>
      <c r="U121" s="169">
        <f t="shared" si="48"/>
        <v>1.1587784887827859</v>
      </c>
      <c r="V121" s="169">
        <f t="shared" si="49"/>
        <v>3.7078872554845044E-2</v>
      </c>
      <c r="W121" s="439">
        <f t="shared" si="50"/>
        <v>9.1376294552908561</v>
      </c>
      <c r="X121" s="439">
        <f t="shared" si="51"/>
        <v>9.1376294552908561</v>
      </c>
      <c r="Y121" s="169"/>
      <c r="Z121" s="119" t="str">
        <f t="shared" si="52"/>
        <v/>
      </c>
      <c r="AA121" s="4" t="str">
        <f t="shared" si="53"/>
        <v/>
      </c>
      <c r="AB121" s="466"/>
      <c r="AC121" s="466"/>
      <c r="AD121" s="466"/>
      <c r="AE121" s="466"/>
      <c r="AF121" s="466"/>
      <c r="AG121" s="466"/>
      <c r="AH121" s="466"/>
      <c r="AI121" s="466"/>
      <c r="AJ121" s="466"/>
      <c r="AK121" s="466"/>
      <c r="AL121" s="466"/>
      <c r="AM121" s="462">
        <f t="shared" si="54"/>
        <v>117</v>
      </c>
      <c r="AN121" s="32">
        <f t="shared" si="71"/>
        <v>0.9858465660488881</v>
      </c>
      <c r="AO121" s="32">
        <f t="shared" si="72"/>
        <v>0.23899360621141433</v>
      </c>
      <c r="AP121" s="32">
        <f t="shared" si="73"/>
        <v>1.8095339485693844</v>
      </c>
      <c r="AQ121" s="32">
        <f t="shared" si="74"/>
        <v>13.823821085155826</v>
      </c>
      <c r="AR121" s="32">
        <f t="shared" si="75"/>
        <v>36.155866953026802</v>
      </c>
      <c r="AS121" s="32">
        <f t="shared" si="55"/>
        <v>27.142932438976281</v>
      </c>
      <c r="AT121" s="32">
        <f t="shared" si="56"/>
        <v>0</v>
      </c>
      <c r="AU121" s="32">
        <f t="shared" si="57"/>
        <v>0.3</v>
      </c>
      <c r="AV121" s="32">
        <f t="shared" si="58"/>
        <v>5.5000000000000049E-2</v>
      </c>
      <c r="AW121" s="32">
        <f t="shared" si="59"/>
        <v>1.6922158105676843</v>
      </c>
      <c r="AX121" s="32">
        <f t="shared" si="60"/>
        <v>0.92224025736807469</v>
      </c>
      <c r="AY121" s="32">
        <f t="shared" si="61"/>
        <v>1.1587784887827857</v>
      </c>
      <c r="AZ121" s="32">
        <f t="shared" si="76"/>
        <v>0.18929479643972941</v>
      </c>
      <c r="BA121" s="32">
        <f t="shared" si="62"/>
        <v>-0.3300017449543563</v>
      </c>
      <c r="BB121" s="32">
        <f t="shared" si="77"/>
        <v>-0.3300017449543563</v>
      </c>
      <c r="BC121" s="32">
        <f t="shared" si="63"/>
        <v>10.34</v>
      </c>
      <c r="BD121" s="32">
        <v>0</v>
      </c>
      <c r="BE121" s="32">
        <f t="shared" si="78"/>
        <v>1.3072280339678795</v>
      </c>
      <c r="BF121" s="32">
        <f t="shared" si="79"/>
        <v>0.14844954518509379</v>
      </c>
      <c r="BG121" s="32">
        <f t="shared" si="80"/>
        <v>8.3965841474536493E-2</v>
      </c>
      <c r="BH121" s="32">
        <f t="shared" si="64"/>
        <v>-6.0192967355963668E-2</v>
      </c>
      <c r="BI121" s="32">
        <f t="shared" si="65"/>
        <v>0.27127634196978428</v>
      </c>
      <c r="BJ121" s="32">
        <f t="shared" si="66"/>
        <v>0.21108337461382062</v>
      </c>
      <c r="BK121" s="457">
        <f t="shared" si="67"/>
        <v>2.8781110614286276</v>
      </c>
      <c r="BL121" s="2"/>
    </row>
    <row r="122" spans="1:64" ht="15">
      <c r="A122" s="119"/>
      <c r="B122" s="480">
        <f>Input!B139</f>
        <v>38104</v>
      </c>
      <c r="C122" s="481">
        <v>1</v>
      </c>
      <c r="D122" s="481">
        <f t="shared" si="68"/>
        <v>4</v>
      </c>
      <c r="E122" s="481">
        <f t="shared" si="69"/>
        <v>27</v>
      </c>
      <c r="F122" s="481">
        <f t="shared" si="43"/>
        <v>118</v>
      </c>
      <c r="G122" s="432">
        <v>0</v>
      </c>
      <c r="H122" s="455">
        <v>16.829999999999998</v>
      </c>
      <c r="I122" s="455">
        <v>8.3000000000000007</v>
      </c>
      <c r="J122" s="455">
        <v>1.45</v>
      </c>
      <c r="K122" s="485"/>
      <c r="L122" s="434">
        <v>99</v>
      </c>
      <c r="M122" s="455">
        <v>86</v>
      </c>
      <c r="N122" s="484">
        <f>Weather!M123</f>
        <v>0</v>
      </c>
      <c r="O122" s="481" t="str">
        <f t="shared" si="70"/>
        <v/>
      </c>
      <c r="P122" s="4">
        <f t="shared" si="81"/>
        <v>0.15562453823735539</v>
      </c>
      <c r="Q122" s="169">
        <f t="shared" si="44"/>
        <v>1.9169519625555558</v>
      </c>
      <c r="R122" s="169">
        <f t="shared" si="45"/>
        <v>1.0948860433443903</v>
      </c>
      <c r="S122" s="169">
        <f t="shared" si="46"/>
        <v>1.6485786877977779</v>
      </c>
      <c r="T122" s="169">
        <f t="shared" si="47"/>
        <v>1.0839371829109463</v>
      </c>
      <c r="U122" s="169">
        <f t="shared" si="48"/>
        <v>1.366257935354362</v>
      </c>
      <c r="V122" s="169">
        <f t="shared" si="49"/>
        <v>4.6616171062942947E-2</v>
      </c>
      <c r="W122" s="439">
        <f t="shared" si="50"/>
        <v>11.602900172504061</v>
      </c>
      <c r="X122" s="439">
        <f t="shared" si="51"/>
        <v>11.602900172504061</v>
      </c>
      <c r="Y122" s="169"/>
      <c r="Z122" s="119" t="str">
        <f t="shared" si="52"/>
        <v/>
      </c>
      <c r="AA122" s="4" t="str">
        <f t="shared" si="53"/>
        <v/>
      </c>
      <c r="AB122" s="466"/>
      <c r="AC122" s="466"/>
      <c r="AD122" s="466"/>
      <c r="AE122" s="466"/>
      <c r="AF122" s="466"/>
      <c r="AG122" s="466"/>
      <c r="AH122" s="466"/>
      <c r="AI122" s="466"/>
      <c r="AJ122" s="466"/>
      <c r="AK122" s="466"/>
      <c r="AL122" s="466"/>
      <c r="AM122" s="462">
        <f t="shared" si="54"/>
        <v>118</v>
      </c>
      <c r="AN122" s="32">
        <f t="shared" si="71"/>
        <v>0.98533552012254777</v>
      </c>
      <c r="AO122" s="32">
        <f t="shared" si="72"/>
        <v>0.2446714508641725</v>
      </c>
      <c r="AP122" s="32">
        <f t="shared" si="73"/>
        <v>1.8155550030688115</v>
      </c>
      <c r="AQ122" s="32">
        <f t="shared" si="74"/>
        <v>13.869818553293882</v>
      </c>
      <c r="AR122" s="32">
        <f t="shared" si="75"/>
        <v>36.359762832463552</v>
      </c>
      <c r="AS122" s="32">
        <f t="shared" si="55"/>
        <v>27.296001153587039</v>
      </c>
      <c r="AT122" s="32">
        <f t="shared" si="56"/>
        <v>0</v>
      </c>
      <c r="AU122" s="32">
        <f t="shared" si="57"/>
        <v>0.3</v>
      </c>
      <c r="AV122" s="32">
        <f t="shared" si="58"/>
        <v>5.5000000000000049E-2</v>
      </c>
      <c r="AW122" s="32">
        <f t="shared" si="59"/>
        <v>1.9169519625555558</v>
      </c>
      <c r="AX122" s="32">
        <f t="shared" si="60"/>
        <v>1.0948860433443903</v>
      </c>
      <c r="AY122" s="32">
        <f t="shared" si="61"/>
        <v>1.366257935354362</v>
      </c>
      <c r="AZ122" s="32">
        <f t="shared" si="76"/>
        <v>0.17635814858983814</v>
      </c>
      <c r="BA122" s="32">
        <f t="shared" si="62"/>
        <v>-0.31715147864902404</v>
      </c>
      <c r="BB122" s="32">
        <f t="shared" si="77"/>
        <v>-0.31715147864902404</v>
      </c>
      <c r="BC122" s="32">
        <f t="shared" si="63"/>
        <v>12.565</v>
      </c>
      <c r="BD122" s="32">
        <v>0</v>
      </c>
      <c r="BE122" s="32">
        <f t="shared" si="78"/>
        <v>1.5059190029499732</v>
      </c>
      <c r="BF122" s="32">
        <f t="shared" si="79"/>
        <v>0.13966106759561114</v>
      </c>
      <c r="BG122" s="32">
        <f t="shared" si="80"/>
        <v>9.5572537847446418E-2</v>
      </c>
      <c r="BH122" s="32">
        <f t="shared" si="64"/>
        <v>-6.3169772202486291E-2</v>
      </c>
      <c r="BI122" s="32">
        <f t="shared" si="65"/>
        <v>0.21879431043984168</v>
      </c>
      <c r="BJ122" s="32">
        <f t="shared" si="66"/>
        <v>0.15562453823735539</v>
      </c>
      <c r="BK122" s="457">
        <f t="shared" si="67"/>
        <v>3.0271266704516195</v>
      </c>
      <c r="BL122" s="2"/>
    </row>
    <row r="123" spans="1:64" ht="15">
      <c r="A123" s="119"/>
      <c r="B123" s="480">
        <f>Input!B140</f>
        <v>38105</v>
      </c>
      <c r="C123" s="481">
        <v>1</v>
      </c>
      <c r="D123" s="481">
        <f t="shared" si="68"/>
        <v>4</v>
      </c>
      <c r="E123" s="481">
        <f t="shared" si="69"/>
        <v>28</v>
      </c>
      <c r="F123" s="481">
        <f t="shared" si="43"/>
        <v>119</v>
      </c>
      <c r="G123" s="432">
        <v>0</v>
      </c>
      <c r="H123" s="455">
        <v>18.48</v>
      </c>
      <c r="I123" s="455">
        <v>8.6</v>
      </c>
      <c r="J123" s="455">
        <v>1.65</v>
      </c>
      <c r="K123" s="485"/>
      <c r="L123" s="434">
        <v>99</v>
      </c>
      <c r="M123" s="455">
        <v>86</v>
      </c>
      <c r="N123" s="484">
        <f>Weather!M124</f>
        <v>0</v>
      </c>
      <c r="O123" s="481" t="str">
        <f t="shared" si="70"/>
        <v/>
      </c>
      <c r="P123" s="4">
        <f t="shared" si="81"/>
        <v>0.19878373475728461</v>
      </c>
      <c r="Q123" s="169">
        <f t="shared" si="44"/>
        <v>2.1271109656199467</v>
      </c>
      <c r="R123" s="169">
        <f t="shared" si="45"/>
        <v>1.1174036087713535</v>
      </c>
      <c r="S123" s="169">
        <f t="shared" si="46"/>
        <v>1.8293154304331543</v>
      </c>
      <c r="T123" s="169">
        <f t="shared" si="47"/>
        <v>1.10622957268364</v>
      </c>
      <c r="U123" s="169">
        <f t="shared" si="48"/>
        <v>1.4677725015583971</v>
      </c>
      <c r="V123" s="169">
        <f t="shared" si="49"/>
        <v>5.0766163991323977E-2</v>
      </c>
      <c r="W123" s="439">
        <f t="shared" si="50"/>
        <v>12.691088600249888</v>
      </c>
      <c r="X123" s="439">
        <f t="shared" si="51"/>
        <v>12.691088600249888</v>
      </c>
      <c r="Y123" s="169"/>
      <c r="Z123" s="119" t="str">
        <f t="shared" si="52"/>
        <v/>
      </c>
      <c r="AA123" s="4" t="str">
        <f t="shared" si="53"/>
        <v/>
      </c>
      <c r="AB123" s="466"/>
      <c r="AC123" s="466"/>
      <c r="AD123" s="466"/>
      <c r="AE123" s="466"/>
      <c r="AF123" s="466"/>
      <c r="AG123" s="466"/>
      <c r="AH123" s="466"/>
      <c r="AI123" s="466"/>
      <c r="AJ123" s="466"/>
      <c r="AK123" s="466"/>
      <c r="AL123" s="466"/>
      <c r="AM123" s="462">
        <f t="shared" si="54"/>
        <v>119</v>
      </c>
      <c r="AN123" s="32">
        <f t="shared" si="71"/>
        <v>0.98482881959808055</v>
      </c>
      <c r="AO123" s="32">
        <f t="shared" si="72"/>
        <v>0.25027679408559728</v>
      </c>
      <c r="AP123" s="32">
        <f t="shared" si="73"/>
        <v>1.8215248734244569</v>
      </c>
      <c r="AQ123" s="32">
        <f t="shared" si="74"/>
        <v>13.915425003376384</v>
      </c>
      <c r="AR123" s="32">
        <f t="shared" si="75"/>
        <v>36.560491441212079</v>
      </c>
      <c r="AS123" s="32">
        <f t="shared" si="55"/>
        <v>27.446692134746733</v>
      </c>
      <c r="AT123" s="32">
        <f t="shared" si="56"/>
        <v>0</v>
      </c>
      <c r="AU123" s="32">
        <f t="shared" si="57"/>
        <v>0.3</v>
      </c>
      <c r="AV123" s="32">
        <f t="shared" si="58"/>
        <v>5.5000000000000049E-2</v>
      </c>
      <c r="AW123" s="32">
        <f t="shared" si="59"/>
        <v>2.1271109656199467</v>
      </c>
      <c r="AX123" s="32">
        <f t="shared" si="60"/>
        <v>1.1174036087713535</v>
      </c>
      <c r="AY123" s="32">
        <f t="shared" si="61"/>
        <v>1.4677725015583969</v>
      </c>
      <c r="AZ123" s="32">
        <f t="shared" si="76"/>
        <v>0.17038767429651649</v>
      </c>
      <c r="BA123" s="32">
        <f t="shared" si="62"/>
        <v>-0.31075645488076786</v>
      </c>
      <c r="BB123" s="32">
        <f t="shared" si="77"/>
        <v>-0.31075645488076786</v>
      </c>
      <c r="BC123" s="32">
        <f t="shared" si="63"/>
        <v>13.54</v>
      </c>
      <c r="BD123" s="32">
        <v>0</v>
      </c>
      <c r="BE123" s="32">
        <f t="shared" si="78"/>
        <v>1.6222572871956502</v>
      </c>
      <c r="BF123" s="32">
        <f t="shared" si="79"/>
        <v>0.15448478563725332</v>
      </c>
      <c r="BG123" s="32">
        <f t="shared" si="80"/>
        <v>0.10107353221055707</v>
      </c>
      <c r="BH123" s="32">
        <f t="shared" si="64"/>
        <v>-6.2257960624605521E-2</v>
      </c>
      <c r="BI123" s="32">
        <f t="shared" si="65"/>
        <v>0.26104169538189015</v>
      </c>
      <c r="BJ123" s="32">
        <f t="shared" si="66"/>
        <v>0.19878373475728461</v>
      </c>
      <c r="BK123" s="457">
        <f t="shared" si="67"/>
        <v>3.3810472566356613</v>
      </c>
      <c r="BL123" s="2"/>
    </row>
    <row r="124" spans="1:64" ht="15">
      <c r="A124" s="119"/>
      <c r="B124" s="480">
        <f>Input!B141</f>
        <v>38106</v>
      </c>
      <c r="C124" s="481">
        <v>1</v>
      </c>
      <c r="D124" s="481">
        <f t="shared" si="68"/>
        <v>4</v>
      </c>
      <c r="E124" s="481">
        <f t="shared" si="69"/>
        <v>29</v>
      </c>
      <c r="F124" s="481">
        <f t="shared" si="43"/>
        <v>120</v>
      </c>
      <c r="G124" s="432">
        <v>0</v>
      </c>
      <c r="H124" s="455">
        <v>17.48</v>
      </c>
      <c r="I124" s="455">
        <v>13.4</v>
      </c>
      <c r="J124" s="455">
        <v>1.76</v>
      </c>
      <c r="K124" s="485"/>
      <c r="L124" s="434">
        <v>99</v>
      </c>
      <c r="M124" s="455">
        <v>86</v>
      </c>
      <c r="N124" s="484">
        <f>Weather!M125</f>
        <v>0.8</v>
      </c>
      <c r="O124" s="481">
        <f t="shared" si="70"/>
        <v>1</v>
      </c>
      <c r="P124" s="4">
        <f t="shared" si="81"/>
        <v>0.18408138027917034</v>
      </c>
      <c r="Q124" s="169">
        <f t="shared" si="44"/>
        <v>1.9974634456256537</v>
      </c>
      <c r="R124" s="169">
        <f t="shared" si="45"/>
        <v>1.537413793359947</v>
      </c>
      <c r="S124" s="169">
        <f t="shared" si="46"/>
        <v>1.7178185632380623</v>
      </c>
      <c r="T124" s="169">
        <f t="shared" si="47"/>
        <v>1.5220396554263476</v>
      </c>
      <c r="U124" s="169">
        <f t="shared" si="48"/>
        <v>1.619929109332205</v>
      </c>
      <c r="V124" s="169">
        <f t="shared" si="49"/>
        <v>5.6477596656224177E-2</v>
      </c>
      <c r="W124" s="439">
        <f t="shared" si="50"/>
        <v>14.204361909188162</v>
      </c>
      <c r="X124" s="439">
        <f t="shared" si="51"/>
        <v>14.204361909188162</v>
      </c>
      <c r="Y124" s="169"/>
      <c r="Z124" s="119" t="str">
        <f t="shared" si="52"/>
        <v/>
      </c>
      <c r="AA124" s="4" t="str">
        <f t="shared" si="53"/>
        <v/>
      </c>
      <c r="AB124" s="466"/>
      <c r="AC124" s="466"/>
      <c r="AD124" s="466"/>
      <c r="AE124" s="466"/>
      <c r="AF124" s="466"/>
      <c r="AG124" s="466"/>
      <c r="AH124" s="466"/>
      <c r="AI124" s="466"/>
      <c r="AJ124" s="466"/>
      <c r="AK124" s="466"/>
      <c r="AL124" s="466"/>
      <c r="AM124" s="462">
        <f t="shared" si="54"/>
        <v>120</v>
      </c>
      <c r="AN124" s="32">
        <f t="shared" si="71"/>
        <v>0.98432661462178739</v>
      </c>
      <c r="AO124" s="32">
        <f t="shared" si="72"/>
        <v>0.25580797489151891</v>
      </c>
      <c r="AP124" s="32">
        <f t="shared" si="73"/>
        <v>1.8274415502850907</v>
      </c>
      <c r="AQ124" s="32">
        <f t="shared" si="74"/>
        <v>13.960625085090653</v>
      </c>
      <c r="AR124" s="32">
        <f t="shared" si="75"/>
        <v>36.758009334354661</v>
      </c>
      <c r="AS124" s="32">
        <f t="shared" si="55"/>
        <v>27.594972767486734</v>
      </c>
      <c r="AT124" s="32">
        <f t="shared" si="56"/>
        <v>0</v>
      </c>
      <c r="AU124" s="32">
        <f t="shared" si="57"/>
        <v>0.3</v>
      </c>
      <c r="AV124" s="32">
        <f t="shared" si="58"/>
        <v>5.5000000000000049E-2</v>
      </c>
      <c r="AW124" s="32">
        <f t="shared" si="59"/>
        <v>1.9974634456256537</v>
      </c>
      <c r="AX124" s="32">
        <f t="shared" si="60"/>
        <v>1.537413793359947</v>
      </c>
      <c r="AY124" s="32">
        <f t="shared" si="61"/>
        <v>1.619929109332205</v>
      </c>
      <c r="AZ124" s="32">
        <f t="shared" si="76"/>
        <v>0.16181298997145943</v>
      </c>
      <c r="BA124" s="32">
        <f t="shared" si="62"/>
        <v>-0.3025711064038617</v>
      </c>
      <c r="BB124" s="32">
        <f t="shared" si="77"/>
        <v>-0.3025711064038617</v>
      </c>
      <c r="BC124" s="32">
        <f t="shared" si="63"/>
        <v>15.440000000000001</v>
      </c>
      <c r="BD124" s="32">
        <v>0</v>
      </c>
      <c r="BE124" s="32">
        <f t="shared" si="78"/>
        <v>1.7674386194928005</v>
      </c>
      <c r="BF124" s="32">
        <f t="shared" si="79"/>
        <v>0.14750951016059544</v>
      </c>
      <c r="BG124" s="32">
        <f t="shared" si="80"/>
        <v>0.11257023724904235</v>
      </c>
      <c r="BH124" s="32">
        <f t="shared" si="64"/>
        <v>-6.3211726698964465E-2</v>
      </c>
      <c r="BI124" s="32">
        <f t="shared" si="65"/>
        <v>0.24729310697813481</v>
      </c>
      <c r="BJ124" s="32">
        <f t="shared" si="66"/>
        <v>0.18408138027917034</v>
      </c>
      <c r="BK124" s="457">
        <f t="shared" si="67"/>
        <v>2.3168868894285173</v>
      </c>
      <c r="BL124" s="2"/>
    </row>
    <row r="125" spans="1:64" ht="15">
      <c r="A125" s="119"/>
      <c r="B125" s="480">
        <f>Input!B142</f>
        <v>38107</v>
      </c>
      <c r="C125" s="481">
        <v>1</v>
      </c>
      <c r="D125" s="481">
        <f t="shared" si="68"/>
        <v>4</v>
      </c>
      <c r="E125" s="481">
        <f t="shared" si="69"/>
        <v>30</v>
      </c>
      <c r="F125" s="481">
        <f t="shared" si="43"/>
        <v>121</v>
      </c>
      <c r="G125" s="432">
        <v>0</v>
      </c>
      <c r="H125" s="455">
        <v>17.45</v>
      </c>
      <c r="I125" s="455">
        <v>12.8</v>
      </c>
      <c r="J125" s="455">
        <v>1.55</v>
      </c>
      <c r="K125" s="485"/>
      <c r="L125" s="434">
        <v>99</v>
      </c>
      <c r="M125" s="455">
        <v>88</v>
      </c>
      <c r="N125" s="484">
        <f>Weather!M126</f>
        <v>11.4</v>
      </c>
      <c r="O125" s="481">
        <f t="shared" si="70"/>
        <v>1</v>
      </c>
      <c r="P125" s="4">
        <f t="shared" si="81"/>
        <v>0.12965692950090307</v>
      </c>
      <c r="Q125" s="169">
        <f t="shared" si="44"/>
        <v>1.9936833796158651</v>
      </c>
      <c r="R125" s="169">
        <f t="shared" si="45"/>
        <v>1.4782881252432811</v>
      </c>
      <c r="S125" s="169">
        <f t="shared" si="46"/>
        <v>1.7544413740619613</v>
      </c>
      <c r="T125" s="169">
        <f t="shared" si="47"/>
        <v>1.4635052439908482</v>
      </c>
      <c r="U125" s="169">
        <f t="shared" si="48"/>
        <v>1.6089733090264047</v>
      </c>
      <c r="V125" s="169">
        <f t="shared" si="49"/>
        <v>5.6084654601181193E-2</v>
      </c>
      <c r="W125" s="439">
        <f t="shared" si="50"/>
        <v>14.099663282025665</v>
      </c>
      <c r="X125" s="439">
        <f t="shared" si="51"/>
        <v>14.099663282025665</v>
      </c>
      <c r="Y125" s="169"/>
      <c r="Z125" s="119" t="str">
        <f t="shared" si="52"/>
        <v/>
      </c>
      <c r="AA125" s="4" t="str">
        <f t="shared" si="53"/>
        <v/>
      </c>
      <c r="AB125" s="466"/>
      <c r="AC125" s="466"/>
      <c r="AD125" s="466"/>
      <c r="AE125" s="466"/>
      <c r="AF125" s="466"/>
      <c r="AG125" s="466"/>
      <c r="AH125" s="466"/>
      <c r="AI125" s="466"/>
      <c r="AJ125" s="466"/>
      <c r="AK125" s="466"/>
      <c r="AL125" s="466"/>
      <c r="AM125" s="462">
        <f t="shared" si="54"/>
        <v>121</v>
      </c>
      <c r="AN125" s="32">
        <f t="shared" si="71"/>
        <v>0.98382905400784104</v>
      </c>
      <c r="AO125" s="32">
        <f t="shared" si="72"/>
        <v>0.26126335427369202</v>
      </c>
      <c r="AP125" s="32">
        <f t="shared" si="73"/>
        <v>1.833302984329243</v>
      </c>
      <c r="AQ125" s="32">
        <f t="shared" si="74"/>
        <v>14.005403142773885</v>
      </c>
      <c r="AR125" s="32">
        <f t="shared" si="75"/>
        <v>36.952274499078584</v>
      </c>
      <c r="AS125" s="32">
        <f t="shared" si="55"/>
        <v>27.740811511948277</v>
      </c>
      <c r="AT125" s="32">
        <f t="shared" si="56"/>
        <v>0</v>
      </c>
      <c r="AU125" s="32">
        <f t="shared" si="57"/>
        <v>0.3</v>
      </c>
      <c r="AV125" s="32">
        <f t="shared" si="58"/>
        <v>5.5000000000000049E-2</v>
      </c>
      <c r="AW125" s="32">
        <f t="shared" si="59"/>
        <v>1.9936833796158651</v>
      </c>
      <c r="AX125" s="32">
        <f t="shared" si="60"/>
        <v>1.4782881252432811</v>
      </c>
      <c r="AY125" s="32">
        <f t="shared" si="61"/>
        <v>1.6089733090264047</v>
      </c>
      <c r="AZ125" s="32">
        <f t="shared" si="76"/>
        <v>0.16241656367521906</v>
      </c>
      <c r="BA125" s="32">
        <f t="shared" si="62"/>
        <v>-0.3024032667357226</v>
      </c>
      <c r="BB125" s="32">
        <f t="shared" si="77"/>
        <v>-0.3024032667357226</v>
      </c>
      <c r="BC125" s="32">
        <f t="shared" si="63"/>
        <v>15.125</v>
      </c>
      <c r="BD125" s="32">
        <v>0</v>
      </c>
      <c r="BE125" s="32">
        <f t="shared" si="78"/>
        <v>1.7359857524295732</v>
      </c>
      <c r="BF125" s="32">
        <f t="shared" si="79"/>
        <v>0.12701244340316853</v>
      </c>
      <c r="BG125" s="32">
        <f t="shared" si="80"/>
        <v>0.11059081168649175</v>
      </c>
      <c r="BH125" s="32">
        <f t="shared" si="64"/>
        <v>-6.4038176131981164E-2</v>
      </c>
      <c r="BI125" s="32">
        <f t="shared" si="65"/>
        <v>0.19369510563288422</v>
      </c>
      <c r="BJ125" s="32">
        <f t="shared" si="66"/>
        <v>0.12965692950090307</v>
      </c>
      <c r="BK125" s="457">
        <f t="shared" si="67"/>
        <v>2.4629476847574407</v>
      </c>
      <c r="BL125" s="2"/>
    </row>
    <row r="126" spans="1:64" ht="15">
      <c r="A126" s="119"/>
      <c r="B126" s="480">
        <f>Input!B143</f>
        <v>38108</v>
      </c>
      <c r="C126" s="481">
        <v>1</v>
      </c>
      <c r="D126" s="481">
        <f t="shared" si="68"/>
        <v>5</v>
      </c>
      <c r="E126" s="481">
        <f t="shared" si="69"/>
        <v>1</v>
      </c>
      <c r="F126" s="481">
        <f t="shared" si="43"/>
        <v>122</v>
      </c>
      <c r="G126" s="432">
        <v>0</v>
      </c>
      <c r="H126" s="455">
        <v>15.65</v>
      </c>
      <c r="I126" s="455">
        <v>9.8000000000000007</v>
      </c>
      <c r="J126" s="455">
        <v>1.78</v>
      </c>
      <c r="K126" s="485"/>
      <c r="L126" s="434">
        <v>99</v>
      </c>
      <c r="M126" s="455">
        <v>88</v>
      </c>
      <c r="N126" s="484">
        <f>Weather!M127</f>
        <v>16</v>
      </c>
      <c r="O126" s="481">
        <f t="shared" si="70"/>
        <v>1</v>
      </c>
      <c r="P126" s="4">
        <f t="shared" si="81"/>
        <v>0.1468710709433419</v>
      </c>
      <c r="Q126" s="169">
        <f t="shared" si="44"/>
        <v>1.7780336591807981</v>
      </c>
      <c r="R126" s="169">
        <f t="shared" si="45"/>
        <v>1.2116020265985501</v>
      </c>
      <c r="S126" s="169">
        <f t="shared" si="46"/>
        <v>1.5646696200791024</v>
      </c>
      <c r="T126" s="169">
        <f t="shared" si="47"/>
        <v>1.1994860063325645</v>
      </c>
      <c r="U126" s="169">
        <f t="shared" si="48"/>
        <v>1.3820778132058336</v>
      </c>
      <c r="V126" s="169">
        <f t="shared" si="49"/>
        <v>4.7282787155645149E-2</v>
      </c>
      <c r="W126" s="439">
        <f t="shared" si="50"/>
        <v>11.777057494885039</v>
      </c>
      <c r="X126" s="439">
        <f t="shared" si="51"/>
        <v>11.777057494885039</v>
      </c>
      <c r="Y126" s="169"/>
      <c r="Z126" s="119" t="str">
        <f t="shared" si="52"/>
        <v/>
      </c>
      <c r="AA126" s="4" t="str">
        <f t="shared" si="53"/>
        <v/>
      </c>
      <c r="AB126" s="466"/>
      <c r="AC126" s="466"/>
      <c r="AD126" s="466"/>
      <c r="AE126" s="466"/>
      <c r="AF126" s="466"/>
      <c r="AG126" s="466"/>
      <c r="AH126" s="466"/>
      <c r="AI126" s="466"/>
      <c r="AJ126" s="466"/>
      <c r="AK126" s="466"/>
      <c r="AL126" s="466"/>
      <c r="AM126" s="462">
        <f t="shared" si="54"/>
        <v>122</v>
      </c>
      <c r="AN126" s="32">
        <f t="shared" si="71"/>
        <v>0.98333628519418981</v>
      </c>
      <c r="AO126" s="32">
        <f t="shared" si="72"/>
        <v>0.26664131568546878</v>
      </c>
      <c r="AP126" s="32">
        <f t="shared" si="73"/>
        <v>1.8391070867825916</v>
      </c>
      <c r="AQ126" s="32">
        <f t="shared" si="74"/>
        <v>14.049743219365668</v>
      </c>
      <c r="AR126" s="32">
        <f t="shared" si="75"/>
        <v>37.143246326569709</v>
      </c>
      <c r="AS126" s="32">
        <f t="shared" si="55"/>
        <v>27.884177882282415</v>
      </c>
      <c r="AT126" s="32">
        <f t="shared" si="56"/>
        <v>0</v>
      </c>
      <c r="AU126" s="32">
        <f t="shared" si="57"/>
        <v>0.3</v>
      </c>
      <c r="AV126" s="32">
        <f t="shared" si="58"/>
        <v>5.5000000000000049E-2</v>
      </c>
      <c r="AW126" s="32">
        <f t="shared" si="59"/>
        <v>1.7780336591807981</v>
      </c>
      <c r="AX126" s="32">
        <f t="shared" si="60"/>
        <v>1.2116020265985501</v>
      </c>
      <c r="AY126" s="32">
        <f t="shared" si="61"/>
        <v>1.3820778132058336</v>
      </c>
      <c r="AZ126" s="32">
        <f t="shared" si="76"/>
        <v>0.17541347218306616</v>
      </c>
      <c r="BA126" s="32">
        <f t="shared" si="62"/>
        <v>-0.31593601675866534</v>
      </c>
      <c r="BB126" s="32">
        <f t="shared" si="77"/>
        <v>-0.31593601675866534</v>
      </c>
      <c r="BC126" s="32">
        <f t="shared" si="63"/>
        <v>12.725000000000001</v>
      </c>
      <c r="BD126" s="32">
        <v>0</v>
      </c>
      <c r="BE126" s="32">
        <f t="shared" si="78"/>
        <v>1.4948178428896741</v>
      </c>
      <c r="BF126" s="32">
        <f t="shared" si="79"/>
        <v>0.11274002968384056</v>
      </c>
      <c r="BG126" s="32">
        <f t="shared" si="80"/>
        <v>9.6457372269808356E-2</v>
      </c>
      <c r="BH126" s="32">
        <f t="shared" si="64"/>
        <v>-6.0892909614043096E-2</v>
      </c>
      <c r="BI126" s="32">
        <f t="shared" si="65"/>
        <v>0.20776398055738499</v>
      </c>
      <c r="BJ126" s="32">
        <f t="shared" si="66"/>
        <v>0.1468710709433419</v>
      </c>
      <c r="BK126" s="457">
        <f t="shared" si="67"/>
        <v>2.5743951927948059</v>
      </c>
      <c r="BL126" s="2"/>
    </row>
    <row r="127" spans="1:64" ht="15">
      <c r="A127" s="119"/>
      <c r="B127" s="480">
        <f>Input!B144</f>
        <v>38109</v>
      </c>
      <c r="C127" s="481">
        <v>1</v>
      </c>
      <c r="D127" s="481">
        <f t="shared" si="68"/>
        <v>5</v>
      </c>
      <c r="E127" s="481">
        <f t="shared" si="69"/>
        <v>2</v>
      </c>
      <c r="F127" s="481">
        <f t="shared" si="43"/>
        <v>123</v>
      </c>
      <c r="G127" s="431">
        <v>23.76</v>
      </c>
      <c r="H127" s="455">
        <v>15.85</v>
      </c>
      <c r="I127" s="455">
        <v>9.3000000000000007</v>
      </c>
      <c r="J127" s="455">
        <v>2.39</v>
      </c>
      <c r="K127" s="485"/>
      <c r="L127" s="433">
        <v>100</v>
      </c>
      <c r="M127" s="455">
        <v>88</v>
      </c>
      <c r="N127" s="484">
        <f>Weather!M128</f>
        <v>0</v>
      </c>
      <c r="O127" s="481" t="str">
        <f t="shared" si="70"/>
        <v/>
      </c>
      <c r="P127" s="4">
        <f t="shared" si="81"/>
        <v>2.7175793432871416</v>
      </c>
      <c r="Q127" s="169">
        <f t="shared" si="44"/>
        <v>1.800938636574188</v>
      </c>
      <c r="R127" s="169">
        <f t="shared" si="45"/>
        <v>1.1715363388062088</v>
      </c>
      <c r="S127" s="169">
        <f t="shared" si="46"/>
        <v>1.5848260001852854</v>
      </c>
      <c r="T127" s="169">
        <f t="shared" si="47"/>
        <v>1.1715363388062088</v>
      </c>
      <c r="U127" s="169">
        <f t="shared" si="48"/>
        <v>1.3781811694957471</v>
      </c>
      <c r="V127" s="169">
        <f t="shared" si="49"/>
        <v>4.7119301816496727E-2</v>
      </c>
      <c r="W127" s="439">
        <f t="shared" si="50"/>
        <v>11.734323449273381</v>
      </c>
      <c r="X127" s="439">
        <f t="shared" si="51"/>
        <v>11.734323449273381</v>
      </c>
      <c r="Y127" s="169"/>
      <c r="Z127" s="119" t="str">
        <f t="shared" si="52"/>
        <v/>
      </c>
      <c r="AA127" s="4" t="str">
        <f t="shared" si="53"/>
        <v/>
      </c>
      <c r="AB127" s="466"/>
      <c r="AC127" s="466"/>
      <c r="AD127" s="466"/>
      <c r="AE127" s="466"/>
      <c r="AF127" s="466"/>
      <c r="AG127" s="466"/>
      <c r="AH127" s="466"/>
      <c r="AI127" s="466"/>
      <c r="AJ127" s="466"/>
      <c r="AK127" s="466"/>
      <c r="AL127" s="466"/>
      <c r="AM127" s="462">
        <f t="shared" si="54"/>
        <v>123</v>
      </c>
      <c r="AN127" s="32">
        <f t="shared" si="71"/>
        <v>0.98284845419886802</v>
      </c>
      <c r="AO127" s="32">
        <f t="shared" si="72"/>
        <v>0.27194026552081696</v>
      </c>
      <c r="AP127" s="32">
        <f t="shared" si="73"/>
        <v>1.8448517300837513</v>
      </c>
      <c r="AQ127" s="32">
        <f t="shared" si="74"/>
        <v>14.093629061494276</v>
      </c>
      <c r="AR127" s="32">
        <f t="shared" si="75"/>
        <v>37.330885582990128</v>
      </c>
      <c r="AS127" s="32">
        <f t="shared" si="55"/>
        <v>28.025042424862349</v>
      </c>
      <c r="AT127" s="32">
        <f t="shared" si="56"/>
        <v>18.295200000000001</v>
      </c>
      <c r="AU127" s="32">
        <f t="shared" si="57"/>
        <v>0.84781316794444439</v>
      </c>
      <c r="AV127" s="32">
        <f t="shared" si="58"/>
        <v>0.7945477767250001</v>
      </c>
      <c r="AW127" s="32">
        <f t="shared" si="59"/>
        <v>1.800938636574188</v>
      </c>
      <c r="AX127" s="32">
        <f t="shared" si="60"/>
        <v>1.1715363388062088</v>
      </c>
      <c r="AY127" s="32">
        <f t="shared" si="61"/>
        <v>1.3781811694957471</v>
      </c>
      <c r="AZ127" s="32">
        <f t="shared" si="76"/>
        <v>0.17564565438627233</v>
      </c>
      <c r="BA127" s="32">
        <f t="shared" si="62"/>
        <v>-4.5613005313020647</v>
      </c>
      <c r="BB127" s="32">
        <f t="shared" si="77"/>
        <v>13.733899468697937</v>
      </c>
      <c r="BC127" s="32">
        <f t="shared" si="63"/>
        <v>12.574999999999999</v>
      </c>
      <c r="BD127" s="32">
        <v>0</v>
      </c>
      <c r="BE127" s="32">
        <f t="shared" si="78"/>
        <v>1.4862374876901985</v>
      </c>
      <c r="BF127" s="32">
        <f t="shared" si="79"/>
        <v>0.10805631819445138</v>
      </c>
      <c r="BG127" s="32">
        <f t="shared" si="80"/>
        <v>9.5627636784791123E-2</v>
      </c>
      <c r="BH127" s="32">
        <f t="shared" si="64"/>
        <v>2.4661803064356604</v>
      </c>
      <c r="BI127" s="32">
        <f t="shared" si="65"/>
        <v>0.25139903685148091</v>
      </c>
      <c r="BJ127" s="32">
        <f t="shared" si="66"/>
        <v>2.7175793432871416</v>
      </c>
      <c r="BK127" s="457">
        <f t="shared" si="67"/>
        <v>2.7243755928412043</v>
      </c>
      <c r="BL127" s="2"/>
    </row>
    <row r="128" spans="1:64" ht="15">
      <c r="A128" s="119"/>
      <c r="B128" s="480">
        <f>Input!B145</f>
        <v>38110</v>
      </c>
      <c r="C128" s="481">
        <v>1</v>
      </c>
      <c r="D128" s="481">
        <f t="shared" si="68"/>
        <v>5</v>
      </c>
      <c r="E128" s="481">
        <f t="shared" si="69"/>
        <v>3</v>
      </c>
      <c r="F128" s="481">
        <f t="shared" si="43"/>
        <v>124</v>
      </c>
      <c r="G128" s="431">
        <v>25.056000000000001</v>
      </c>
      <c r="H128" s="455">
        <v>17.18</v>
      </c>
      <c r="I128" s="455">
        <v>10.7</v>
      </c>
      <c r="J128" s="455">
        <v>1.96</v>
      </c>
      <c r="K128" s="485"/>
      <c r="L128" s="433">
        <v>100</v>
      </c>
      <c r="M128" s="455">
        <v>74</v>
      </c>
      <c r="N128" s="484">
        <f>Weather!M129</f>
        <v>0</v>
      </c>
      <c r="O128" s="481" t="str">
        <f t="shared" si="70"/>
        <v/>
      </c>
      <c r="P128" s="4">
        <f t="shared" si="81"/>
        <v>3.2908053176774832</v>
      </c>
      <c r="Q128" s="169">
        <f t="shared" si="44"/>
        <v>1.9599436845329137</v>
      </c>
      <c r="R128" s="169">
        <f t="shared" si="45"/>
        <v>1.2867648881638445</v>
      </c>
      <c r="S128" s="169">
        <f t="shared" si="46"/>
        <v>1.450358326554356</v>
      </c>
      <c r="T128" s="169">
        <f t="shared" si="47"/>
        <v>1.2867648881638445</v>
      </c>
      <c r="U128" s="169">
        <f t="shared" si="48"/>
        <v>1.3685616073591003</v>
      </c>
      <c r="V128" s="169">
        <f t="shared" si="49"/>
        <v>4.6713721614834218E-2</v>
      </c>
      <c r="W128" s="439">
        <f t="shared" si="50"/>
        <v>11.628370606548591</v>
      </c>
      <c r="X128" s="439">
        <f t="shared" si="51"/>
        <v>11.628370606548591</v>
      </c>
      <c r="Y128" s="169"/>
      <c r="Z128" s="119" t="str">
        <f t="shared" si="52"/>
        <v/>
      </c>
      <c r="AA128" s="4" t="str">
        <f t="shared" si="53"/>
        <v/>
      </c>
      <c r="AB128" s="466"/>
      <c r="AC128" s="466"/>
      <c r="AD128" s="466"/>
      <c r="AE128" s="466"/>
      <c r="AF128" s="466"/>
      <c r="AG128" s="466"/>
      <c r="AH128" s="466"/>
      <c r="AI128" s="466"/>
      <c r="AJ128" s="466"/>
      <c r="AK128" s="466"/>
      <c r="AL128" s="466"/>
      <c r="AM128" s="462">
        <f t="shared" si="54"/>
        <v>124</v>
      </c>
      <c r="AN128" s="32">
        <f t="shared" si="71"/>
        <v>0.98236570557672775</v>
      </c>
      <c r="AO128" s="32">
        <f t="shared" si="72"/>
        <v>0.27715863358653975</v>
      </c>
      <c r="AP128" s="32">
        <f t="shared" si="73"/>
        <v>1.8505347487041148</v>
      </c>
      <c r="AQ128" s="32">
        <f t="shared" si="74"/>
        <v>14.137044125739754</v>
      </c>
      <c r="AR128" s="32">
        <f t="shared" si="75"/>
        <v>37.515154379689164</v>
      </c>
      <c r="AS128" s="32">
        <f t="shared" si="55"/>
        <v>28.163376695920253</v>
      </c>
      <c r="AT128" s="32">
        <f t="shared" si="56"/>
        <v>19.293120000000002</v>
      </c>
      <c r="AU128" s="32">
        <f t="shared" si="57"/>
        <v>0.8896660464591809</v>
      </c>
      <c r="AV128" s="32">
        <f t="shared" si="58"/>
        <v>0.85104916271989428</v>
      </c>
      <c r="AW128" s="32">
        <f t="shared" si="59"/>
        <v>1.9599436845329137</v>
      </c>
      <c r="AX128" s="32">
        <f t="shared" si="60"/>
        <v>1.2867648881638445</v>
      </c>
      <c r="AY128" s="32">
        <f t="shared" si="61"/>
        <v>1.3685616073591003</v>
      </c>
      <c r="AZ128" s="32">
        <f t="shared" si="76"/>
        <v>0.17622024696489993</v>
      </c>
      <c r="BA128" s="32">
        <f t="shared" si="62"/>
        <v>-4.9958634816921217</v>
      </c>
      <c r="BB128" s="32">
        <f t="shared" si="77"/>
        <v>14.297256518307879</v>
      </c>
      <c r="BC128" s="32">
        <f t="shared" si="63"/>
        <v>13.94</v>
      </c>
      <c r="BD128" s="32">
        <v>0</v>
      </c>
      <c r="BE128" s="32">
        <f t="shared" si="78"/>
        <v>1.6233542863483792</v>
      </c>
      <c r="BF128" s="32">
        <f t="shared" si="79"/>
        <v>0.25479267898927893</v>
      </c>
      <c r="BG128" s="32">
        <f t="shared" si="80"/>
        <v>0.10340703489438488</v>
      </c>
      <c r="BH128" s="32">
        <f t="shared" si="64"/>
        <v>2.8024123935305782</v>
      </c>
      <c r="BI128" s="32">
        <f t="shared" si="65"/>
        <v>0.48839292414690488</v>
      </c>
      <c r="BJ128" s="32">
        <f t="shared" si="66"/>
        <v>3.2908053176774832</v>
      </c>
      <c r="BK128" s="457">
        <f t="shared" si="67"/>
        <v>2.8455283377657148</v>
      </c>
      <c r="BL128" s="2"/>
    </row>
    <row r="129" spans="1:64" ht="15">
      <c r="A129" s="119"/>
      <c r="B129" s="480">
        <f>Input!B146</f>
        <v>38111</v>
      </c>
      <c r="C129" s="481">
        <v>1</v>
      </c>
      <c r="D129" s="481">
        <f t="shared" si="68"/>
        <v>5</v>
      </c>
      <c r="E129" s="481">
        <f t="shared" si="69"/>
        <v>4</v>
      </c>
      <c r="F129" s="481">
        <f t="shared" si="43"/>
        <v>125</v>
      </c>
      <c r="G129" s="431">
        <v>9.5039999999999996</v>
      </c>
      <c r="H129" s="455">
        <v>17.45</v>
      </c>
      <c r="I129" s="455">
        <v>10.7</v>
      </c>
      <c r="J129" s="455">
        <v>2.08</v>
      </c>
      <c r="K129" s="485"/>
      <c r="L129" s="433">
        <v>87</v>
      </c>
      <c r="M129" s="455">
        <v>74</v>
      </c>
      <c r="N129" s="484">
        <f>Weather!M130</f>
        <v>0</v>
      </c>
      <c r="O129" s="481" t="str">
        <f t="shared" si="70"/>
        <v/>
      </c>
      <c r="P129" s="4">
        <f t="shared" si="81"/>
        <v>1.9868260661321759</v>
      </c>
      <c r="Q129" s="169">
        <f t="shared" si="44"/>
        <v>1.9936833796158651</v>
      </c>
      <c r="R129" s="169">
        <f t="shared" si="45"/>
        <v>1.2867648881638445</v>
      </c>
      <c r="S129" s="169">
        <f t="shared" si="46"/>
        <v>1.4753257009157401</v>
      </c>
      <c r="T129" s="169">
        <f t="shared" si="47"/>
        <v>1.1194854527025446</v>
      </c>
      <c r="U129" s="169">
        <f t="shared" si="48"/>
        <v>1.2974055768091424</v>
      </c>
      <c r="V129" s="169">
        <f t="shared" si="49"/>
        <v>4.3622018869445632E-2</v>
      </c>
      <c r="W129" s="439">
        <f t="shared" si="50"/>
        <v>10.823654749435697</v>
      </c>
      <c r="X129" s="439">
        <f t="shared" si="51"/>
        <v>10.823654749435697</v>
      </c>
      <c r="Y129" s="169"/>
      <c r="Z129" s="119" t="str">
        <f t="shared" si="52"/>
        <v/>
      </c>
      <c r="AA129" s="4" t="str">
        <f t="shared" si="53"/>
        <v/>
      </c>
      <c r="AB129" s="466"/>
      <c r="AC129" s="466"/>
      <c r="AD129" s="466"/>
      <c r="AE129" s="466"/>
      <c r="AF129" s="466"/>
      <c r="AG129" s="466"/>
      <c r="AH129" s="466"/>
      <c r="AI129" s="466"/>
      <c r="AJ129" s="466"/>
      <c r="AK129" s="466"/>
      <c r="AL129" s="466"/>
      <c r="AM129" s="462">
        <f t="shared" si="54"/>
        <v>125</v>
      </c>
      <c r="AN129" s="32">
        <f t="shared" si="71"/>
        <v>0.98188818237660425</v>
      </c>
      <c r="AO129" s="32">
        <f t="shared" si="72"/>
        <v>0.28229487356755767</v>
      </c>
      <c r="AP129" s="32">
        <f t="shared" si="73"/>
        <v>1.8561539401272209</v>
      </c>
      <c r="AQ129" s="32">
        <f t="shared" si="74"/>
        <v>14.179971586115766</v>
      </c>
      <c r="AR129" s="32">
        <f t="shared" si="75"/>
        <v>37.696016142796594</v>
      </c>
      <c r="AS129" s="32">
        <f t="shared" si="55"/>
        <v>28.299153238720262</v>
      </c>
      <c r="AT129" s="32">
        <f t="shared" si="56"/>
        <v>7.3180800000000001</v>
      </c>
      <c r="AU129" s="32">
        <f t="shared" si="57"/>
        <v>0.33584043733846319</v>
      </c>
      <c r="AV129" s="32">
        <f t="shared" si="58"/>
        <v>0.10338459040692538</v>
      </c>
      <c r="AW129" s="32">
        <f t="shared" si="59"/>
        <v>1.9936833796158651</v>
      </c>
      <c r="AX129" s="32">
        <f t="shared" si="60"/>
        <v>1.2867648881638445</v>
      </c>
      <c r="AY129" s="32">
        <f t="shared" si="61"/>
        <v>1.2974055768091424</v>
      </c>
      <c r="AZ129" s="32">
        <f t="shared" si="76"/>
        <v>0.18053480221233478</v>
      </c>
      <c r="BA129" s="32">
        <f t="shared" si="62"/>
        <v>-0.62296180370720822</v>
      </c>
      <c r="BB129" s="32">
        <f t="shared" si="77"/>
        <v>6.6951181962927917</v>
      </c>
      <c r="BC129" s="32">
        <f t="shared" si="63"/>
        <v>14.074999999999999</v>
      </c>
      <c r="BD129" s="32">
        <v>0</v>
      </c>
      <c r="BE129" s="32">
        <f t="shared" si="78"/>
        <v>1.6402241338898547</v>
      </c>
      <c r="BF129" s="32">
        <f t="shared" si="79"/>
        <v>0.34281855708071229</v>
      </c>
      <c r="BG129" s="32">
        <f t="shared" si="80"/>
        <v>0.10420486250927824</v>
      </c>
      <c r="BH129" s="32">
        <f t="shared" si="64"/>
        <v>1.3010645755364236</v>
      </c>
      <c r="BI129" s="32">
        <f t="shared" si="65"/>
        <v>0.6857614905957522</v>
      </c>
      <c r="BJ129" s="32">
        <f t="shared" si="66"/>
        <v>1.9868260661321759</v>
      </c>
      <c r="BK129" s="457">
        <f t="shared" si="67"/>
        <v>2.9306184961320652</v>
      </c>
      <c r="BL129" s="2"/>
    </row>
    <row r="130" spans="1:64" ht="15">
      <c r="A130" s="119"/>
      <c r="B130" s="480">
        <f>Input!B147</f>
        <v>38112</v>
      </c>
      <c r="C130" s="481">
        <v>1</v>
      </c>
      <c r="D130" s="481">
        <f t="shared" si="68"/>
        <v>5</v>
      </c>
      <c r="E130" s="481">
        <f t="shared" si="69"/>
        <v>5</v>
      </c>
      <c r="F130" s="481">
        <f t="shared" si="43"/>
        <v>126</v>
      </c>
      <c r="G130" s="431">
        <v>21.2544</v>
      </c>
      <c r="H130" s="455">
        <v>17.649999999999999</v>
      </c>
      <c r="I130" s="455">
        <v>10.5</v>
      </c>
      <c r="J130" s="455">
        <v>1.99</v>
      </c>
      <c r="K130" s="485"/>
      <c r="L130" s="433">
        <v>100</v>
      </c>
      <c r="M130" s="455">
        <v>75</v>
      </c>
      <c r="N130" s="484">
        <f>Weather!M131</f>
        <v>0</v>
      </c>
      <c r="O130" s="481" t="str">
        <f t="shared" si="70"/>
        <v/>
      </c>
      <c r="P130" s="4">
        <f t="shared" si="81"/>
        <v>2.9434706790229859</v>
      </c>
      <c r="Q130" s="169">
        <f t="shared" si="44"/>
        <v>2.0190025969869776</v>
      </c>
      <c r="R130" s="169">
        <f t="shared" si="45"/>
        <v>1.2697168912941836</v>
      </c>
      <c r="S130" s="169">
        <f t="shared" si="46"/>
        <v>1.5142519477402332</v>
      </c>
      <c r="T130" s="169">
        <f t="shared" si="47"/>
        <v>1.2697168912941836</v>
      </c>
      <c r="U130" s="169">
        <f t="shared" si="48"/>
        <v>1.3919844195172084</v>
      </c>
      <c r="V130" s="169">
        <f t="shared" si="49"/>
        <v>4.7696356375893353E-2</v>
      </c>
      <c r="W130" s="439">
        <f t="shared" si="50"/>
        <v>11.885227410163171</v>
      </c>
      <c r="X130" s="439">
        <f t="shared" si="51"/>
        <v>11.885227410163171</v>
      </c>
      <c r="Y130" s="169"/>
      <c r="Z130" s="119" t="str">
        <f t="shared" si="52"/>
        <v/>
      </c>
      <c r="AA130" s="4" t="str">
        <f t="shared" si="53"/>
        <v/>
      </c>
      <c r="AB130" s="466"/>
      <c r="AC130" s="466"/>
      <c r="AD130" s="466"/>
      <c r="AE130" s="466"/>
      <c r="AF130" s="466"/>
      <c r="AG130" s="466"/>
      <c r="AH130" s="466"/>
      <c r="AI130" s="466"/>
      <c r="AJ130" s="466"/>
      <c r="AK130" s="466"/>
      <c r="AL130" s="466"/>
      <c r="AM130" s="462">
        <f t="shared" si="54"/>
        <v>126</v>
      </c>
      <c r="AN130" s="32">
        <f t="shared" si="71"/>
        <v>0.98141602609892764</v>
      </c>
      <c r="AO130" s="32">
        <f t="shared" si="72"/>
        <v>0.28734746348511525</v>
      </c>
      <c r="AP130" s="32">
        <f t="shared" si="73"/>
        <v>1.8617070659928832</v>
      </c>
      <c r="AQ130" s="32">
        <f t="shared" si="74"/>
        <v>14.222394342810084</v>
      </c>
      <c r="AR130" s="32">
        <f t="shared" si="75"/>
        <v>37.873435582346566</v>
      </c>
      <c r="AS130" s="32">
        <f t="shared" si="55"/>
        <v>28.432345560379215</v>
      </c>
      <c r="AT130" s="32">
        <f t="shared" si="56"/>
        <v>16.365888000000002</v>
      </c>
      <c r="AU130" s="32">
        <f t="shared" si="57"/>
        <v>0.74754296844289347</v>
      </c>
      <c r="AV130" s="32">
        <f t="shared" si="58"/>
        <v>0.65918300739790625</v>
      </c>
      <c r="AW130" s="32">
        <f t="shared" si="59"/>
        <v>2.0190025969869776</v>
      </c>
      <c r="AX130" s="32">
        <f t="shared" si="60"/>
        <v>1.2697168912941836</v>
      </c>
      <c r="AY130" s="32">
        <f t="shared" si="61"/>
        <v>1.3919844195172084</v>
      </c>
      <c r="AZ130" s="32">
        <f t="shared" si="76"/>
        <v>0.1748246549192729</v>
      </c>
      <c r="BA130" s="32">
        <f t="shared" si="62"/>
        <v>-3.8467788895779771</v>
      </c>
      <c r="BB130" s="32">
        <f t="shared" si="77"/>
        <v>12.519109110422026</v>
      </c>
      <c r="BC130" s="32">
        <f t="shared" si="63"/>
        <v>14.074999999999999</v>
      </c>
      <c r="BD130" s="32">
        <v>0</v>
      </c>
      <c r="BE130" s="32">
        <f t="shared" si="78"/>
        <v>1.6443597441405806</v>
      </c>
      <c r="BF130" s="32">
        <f t="shared" si="79"/>
        <v>0.2523753246233722</v>
      </c>
      <c r="BG130" s="32">
        <f t="shared" si="80"/>
        <v>0.10420486250927824</v>
      </c>
      <c r="BH130" s="32">
        <f t="shared" si="64"/>
        <v>2.4558958102693755</v>
      </c>
      <c r="BI130" s="32">
        <f t="shared" si="65"/>
        <v>0.48757486875361039</v>
      </c>
      <c r="BJ130" s="32">
        <f t="shared" si="66"/>
        <v>2.9434706790229859</v>
      </c>
      <c r="BK130" s="457">
        <f t="shared" si="67"/>
        <v>3.0303979861125883</v>
      </c>
      <c r="BL130" s="2"/>
    </row>
    <row r="131" spans="1:64" ht="15">
      <c r="A131" s="119"/>
      <c r="B131" s="480">
        <f>Input!B148</f>
        <v>38113</v>
      </c>
      <c r="C131" s="481">
        <v>1</v>
      </c>
      <c r="D131" s="481">
        <f t="shared" si="68"/>
        <v>5</v>
      </c>
      <c r="E131" s="481">
        <f t="shared" si="69"/>
        <v>6</v>
      </c>
      <c r="F131" s="481">
        <f t="shared" si="43"/>
        <v>127</v>
      </c>
      <c r="G131" s="431">
        <v>25.401599999999998</v>
      </c>
      <c r="H131" s="455">
        <v>16.75</v>
      </c>
      <c r="I131" s="455">
        <v>13</v>
      </c>
      <c r="J131" s="455">
        <v>1.9</v>
      </c>
      <c r="K131" s="485"/>
      <c r="L131" s="433">
        <v>100</v>
      </c>
      <c r="M131" s="455">
        <v>78</v>
      </c>
      <c r="N131" s="484">
        <f>Weather!M132</f>
        <v>2.2000000000000002</v>
      </c>
      <c r="O131" s="481" t="str">
        <f t="shared" si="70"/>
        <v/>
      </c>
      <c r="P131" s="4">
        <f t="shared" si="81"/>
        <v>3.3627214264420116</v>
      </c>
      <c r="Q131" s="169">
        <f t="shared" si="44"/>
        <v>1.9072420812994948</v>
      </c>
      <c r="R131" s="169">
        <f t="shared" si="45"/>
        <v>1.4977709027569757</v>
      </c>
      <c r="S131" s="169">
        <f t="shared" si="46"/>
        <v>1.487648823413606</v>
      </c>
      <c r="T131" s="169">
        <f t="shared" si="47"/>
        <v>1.4977709027569757</v>
      </c>
      <c r="U131" s="169">
        <f t="shared" si="48"/>
        <v>1.4927098630852909</v>
      </c>
      <c r="V131" s="169">
        <f t="shared" si="49"/>
        <v>5.174168348696058E-2</v>
      </c>
      <c r="W131" s="439">
        <f t="shared" si="50"/>
        <v>12.948266603772948</v>
      </c>
      <c r="X131" s="439">
        <f t="shared" si="51"/>
        <v>12.948266603772948</v>
      </c>
      <c r="Y131" s="169"/>
      <c r="Z131" s="119" t="str">
        <f t="shared" si="52"/>
        <v/>
      </c>
      <c r="AA131" s="4" t="str">
        <f t="shared" si="53"/>
        <v/>
      </c>
      <c r="AB131" s="466"/>
      <c r="AC131" s="466"/>
      <c r="AD131" s="466"/>
      <c r="AE131" s="466"/>
      <c r="AF131" s="466"/>
      <c r="AG131" s="466"/>
      <c r="AH131" s="466"/>
      <c r="AI131" s="466"/>
      <c r="AJ131" s="466"/>
      <c r="AK131" s="466"/>
      <c r="AL131" s="466"/>
      <c r="AM131" s="462">
        <f t="shared" si="54"/>
        <v>127</v>
      </c>
      <c r="AN131" s="32">
        <f t="shared" si="71"/>
        <v>0.980949376653793</v>
      </c>
      <c r="AO131" s="32">
        <f t="shared" si="72"/>
        <v>0.29231490614777594</v>
      </c>
      <c r="AP131" s="32">
        <f t="shared" si="73"/>
        <v>1.8671918534110354</v>
      </c>
      <c r="AQ131" s="32">
        <f t="shared" si="74"/>
        <v>14.264295032221629</v>
      </c>
      <c r="AR131" s="32">
        <f t="shared" si="75"/>
        <v>38.047378661078788</v>
      </c>
      <c r="AS131" s="32">
        <f t="shared" si="55"/>
        <v>28.562928108445071</v>
      </c>
      <c r="AT131" s="32">
        <f t="shared" si="56"/>
        <v>19.559231999999998</v>
      </c>
      <c r="AU131" s="32">
        <f t="shared" si="57"/>
        <v>0.889320587285644</v>
      </c>
      <c r="AV131" s="32">
        <f t="shared" si="58"/>
        <v>0.85058279283561944</v>
      </c>
      <c r="AW131" s="32">
        <f t="shared" si="59"/>
        <v>1.9072420812994948</v>
      </c>
      <c r="AX131" s="32">
        <f t="shared" si="60"/>
        <v>1.4977709027569757</v>
      </c>
      <c r="AY131" s="32">
        <f t="shared" si="61"/>
        <v>1.4927098630852911</v>
      </c>
      <c r="AZ131" s="32">
        <f t="shared" si="76"/>
        <v>0.16895289152846896</v>
      </c>
      <c r="BA131" s="32">
        <f t="shared" si="62"/>
        <v>-4.8474066823178301</v>
      </c>
      <c r="BB131" s="32">
        <f t="shared" si="77"/>
        <v>14.711825317682168</v>
      </c>
      <c r="BC131" s="32">
        <f t="shared" si="63"/>
        <v>14.875</v>
      </c>
      <c r="BD131" s="32">
        <v>0</v>
      </c>
      <c r="BE131" s="32">
        <f t="shared" si="78"/>
        <v>1.7025064920282351</v>
      </c>
      <c r="BF131" s="32">
        <f t="shared" si="79"/>
        <v>0.20979662894294404</v>
      </c>
      <c r="BG131" s="32">
        <f t="shared" si="80"/>
        <v>0.10904096115422553</v>
      </c>
      <c r="BH131" s="32">
        <f t="shared" si="64"/>
        <v>2.9817041525552406</v>
      </c>
      <c r="BI131" s="32">
        <f t="shared" si="65"/>
        <v>0.38101727388677098</v>
      </c>
      <c r="BJ131" s="32">
        <f t="shared" si="66"/>
        <v>3.3627214264420116</v>
      </c>
      <c r="BK131" s="457">
        <f t="shared" si="67"/>
        <v>2.2600483093547759</v>
      </c>
      <c r="BL131" s="2"/>
    </row>
    <row r="132" spans="1:64" ht="15">
      <c r="A132" s="119"/>
      <c r="B132" s="480">
        <f>Input!B149</f>
        <v>38114</v>
      </c>
      <c r="C132" s="481">
        <v>1</v>
      </c>
      <c r="D132" s="481">
        <f t="shared" si="68"/>
        <v>5</v>
      </c>
      <c r="E132" s="481">
        <f t="shared" si="69"/>
        <v>7</v>
      </c>
      <c r="F132" s="481">
        <f t="shared" si="43"/>
        <v>128</v>
      </c>
      <c r="G132" s="431">
        <v>10.281599999999999</v>
      </c>
      <c r="H132" s="455">
        <v>16.79</v>
      </c>
      <c r="I132" s="455">
        <v>11.4</v>
      </c>
      <c r="J132" s="455">
        <v>2</v>
      </c>
      <c r="K132" s="485"/>
      <c r="L132" s="433">
        <v>86</v>
      </c>
      <c r="M132" s="455">
        <v>86</v>
      </c>
      <c r="N132" s="484">
        <f>Weather!M133</f>
        <v>0</v>
      </c>
      <c r="O132" s="481" t="str">
        <f t="shared" si="70"/>
        <v/>
      </c>
      <c r="P132" s="4">
        <f t="shared" si="81"/>
        <v>1.8421522137245261</v>
      </c>
      <c r="Q132" s="169">
        <f t="shared" si="44"/>
        <v>1.9120916226962363</v>
      </c>
      <c r="R132" s="169">
        <f t="shared" si="45"/>
        <v>1.3480279711634873</v>
      </c>
      <c r="S132" s="169">
        <f t="shared" si="46"/>
        <v>1.6443987955187633</v>
      </c>
      <c r="T132" s="169">
        <f t="shared" si="47"/>
        <v>1.1593040552005991</v>
      </c>
      <c r="U132" s="169">
        <f t="shared" si="48"/>
        <v>1.4018514253596812</v>
      </c>
      <c r="V132" s="169">
        <f t="shared" si="49"/>
        <v>4.8105356993740848E-2</v>
      </c>
      <c r="W132" s="439">
        <f t="shared" si="50"/>
        <v>11.992294839019953</v>
      </c>
      <c r="X132" s="439">
        <f t="shared" si="51"/>
        <v>11.992294839019953</v>
      </c>
      <c r="Y132" s="169"/>
      <c r="Z132" s="119" t="str">
        <f t="shared" si="52"/>
        <v/>
      </c>
      <c r="AA132" s="4" t="str">
        <f t="shared" si="53"/>
        <v/>
      </c>
      <c r="AB132" s="466"/>
      <c r="AC132" s="466"/>
      <c r="AD132" s="466"/>
      <c r="AE132" s="466"/>
      <c r="AF132" s="466"/>
      <c r="AG132" s="466"/>
      <c r="AH132" s="466"/>
      <c r="AI132" s="466"/>
      <c r="AJ132" s="466"/>
      <c r="AK132" s="466"/>
      <c r="AL132" s="466"/>
      <c r="AM132" s="462">
        <f t="shared" si="54"/>
        <v>128</v>
      </c>
      <c r="AN132" s="32">
        <f t="shared" si="71"/>
        <v>0.98048837231950192</v>
      </c>
      <c r="AO132" s="32">
        <f t="shared" si="72"/>
        <v>0.29719572959507262</v>
      </c>
      <c r="AP132" s="32">
        <f t="shared" si="73"/>
        <v>1.8726059964499007</v>
      </c>
      <c r="AQ132" s="32">
        <f t="shared" si="74"/>
        <v>14.305656038329245</v>
      </c>
      <c r="AR132" s="32">
        <f t="shared" si="75"/>
        <v>38.217812563062012</v>
      </c>
      <c r="AS132" s="32">
        <f t="shared" si="55"/>
        <v>28.690876247341915</v>
      </c>
      <c r="AT132" s="32">
        <f t="shared" si="56"/>
        <v>7.9168319999999994</v>
      </c>
      <c r="AU132" s="32">
        <f t="shared" si="57"/>
        <v>0.3583578246744048</v>
      </c>
      <c r="AV132" s="32">
        <f t="shared" si="58"/>
        <v>0.13378306331044654</v>
      </c>
      <c r="AW132" s="32">
        <f t="shared" si="59"/>
        <v>1.9120916226962363</v>
      </c>
      <c r="AX132" s="32">
        <f t="shared" si="60"/>
        <v>1.3480279711634873</v>
      </c>
      <c r="AY132" s="32">
        <f t="shared" si="61"/>
        <v>1.4018514253596812</v>
      </c>
      <c r="AZ132" s="32">
        <f t="shared" si="76"/>
        <v>0.17424027046037466</v>
      </c>
      <c r="BA132" s="32">
        <f t="shared" si="62"/>
        <v>-0.7780096478831996</v>
      </c>
      <c r="BB132" s="32">
        <f t="shared" si="77"/>
        <v>7.1388223521167999</v>
      </c>
      <c r="BC132" s="32">
        <f t="shared" si="63"/>
        <v>14.094999999999999</v>
      </c>
      <c r="BD132" s="32">
        <v>0</v>
      </c>
      <c r="BE132" s="32">
        <f t="shared" si="78"/>
        <v>1.6300597969298618</v>
      </c>
      <c r="BF132" s="32">
        <f t="shared" si="79"/>
        <v>0.22820837157018059</v>
      </c>
      <c r="BG132" s="32">
        <f t="shared" si="80"/>
        <v>0.10432350321143202</v>
      </c>
      <c r="BH132" s="32">
        <f t="shared" si="64"/>
        <v>1.3997898020820296</v>
      </c>
      <c r="BI132" s="32">
        <f t="shared" si="65"/>
        <v>0.44236241164249657</v>
      </c>
      <c r="BJ132" s="32">
        <f t="shared" si="66"/>
        <v>1.8421522137245261</v>
      </c>
      <c r="BK132" s="457">
        <f t="shared" si="67"/>
        <v>2.6567125471879449</v>
      </c>
      <c r="BL132" s="2"/>
    </row>
    <row r="133" spans="1:64" ht="15">
      <c r="A133" s="119"/>
      <c r="B133" s="480">
        <f>Input!B150</f>
        <v>38115</v>
      </c>
      <c r="C133" s="481">
        <v>1</v>
      </c>
      <c r="D133" s="481">
        <f t="shared" si="68"/>
        <v>5</v>
      </c>
      <c r="E133" s="481">
        <f t="shared" si="69"/>
        <v>8</v>
      </c>
      <c r="F133" s="481">
        <f t="shared" ref="F133:F196" si="82">B133-DATE(YEAR(B133)-1,12,31)</f>
        <v>129</v>
      </c>
      <c r="G133" s="431">
        <v>9.5039999999999996</v>
      </c>
      <c r="H133" s="455">
        <v>18.03</v>
      </c>
      <c r="I133" s="455">
        <v>9.5</v>
      </c>
      <c r="J133" s="455">
        <v>1.7</v>
      </c>
      <c r="K133" s="485"/>
      <c r="L133" s="433">
        <v>96</v>
      </c>
      <c r="M133" s="455">
        <v>86</v>
      </c>
      <c r="N133" s="484">
        <f>Weather!M134</f>
        <v>0</v>
      </c>
      <c r="O133" s="481" t="str">
        <f t="shared" si="70"/>
        <v/>
      </c>
      <c r="P133" s="4">
        <f t="shared" si="81"/>
        <v>1.6487735550847691</v>
      </c>
      <c r="Q133" s="169">
        <f t="shared" ref="Q133:Q196" si="83">IF(H133="","",0.6108*EXP((17.27*H133)/(H133+237.3)))</f>
        <v>2.0678857119107374</v>
      </c>
      <c r="R133" s="169">
        <f t="shared" ref="R133:R196" si="84">IF(I133="","",0.6108*EXP((17.27*I133)/(I133+237.3)))</f>
        <v>1.1874205365788533</v>
      </c>
      <c r="S133" s="169">
        <f t="shared" ref="S133:S196" si="85">IF(OR(M133="",Q133=""),"",M133/100*Q133)</f>
        <v>1.7783817122432342</v>
      </c>
      <c r="T133" s="169">
        <f t="shared" ref="T133:T196" si="86">IF(OR(L133="",R133=""),"",L133/100*R133)</f>
        <v>1.1399237151156991</v>
      </c>
      <c r="U133" s="169">
        <f t="shared" ref="U133:U196" si="87">IF(OR(S133="",T133=""),"",(S133+T133)/2)</f>
        <v>1.4591527136794666</v>
      </c>
      <c r="V133" s="169">
        <f t="shared" ref="V133:V196" si="88">IF(U133="","",LN(U133/0.6108)/17.27)</f>
        <v>5.0425109426938036E-2</v>
      </c>
      <c r="W133" s="439">
        <f t="shared" ref="W133:W196" si="89">IF(ISNUMBER(V133),237.3*(V133/(1-V133)),"")</f>
        <v>12.601300419592045</v>
      </c>
      <c r="X133" s="439">
        <f t="shared" ref="X133:X196" si="90">IF(AND(K133="",W133=""),"",IF(K133="",W133,K133))</f>
        <v>12.601300419592045</v>
      </c>
      <c r="Y133" s="169"/>
      <c r="Z133" s="119" t="str">
        <f t="shared" ref="Z133:Z196" si="91">IF(AND(B133&gt;=H$1,B133&lt;=J$1),3,"")</f>
        <v/>
      </c>
      <c r="AA133" s="4" t="str">
        <f t="shared" ref="AA133:AA196" si="92">IF(Z133=3,$P$1+0.1654*($AA$1-7.3)*($P$1-1),"")</f>
        <v/>
      </c>
      <c r="AB133" s="466"/>
      <c r="AC133" s="466"/>
      <c r="AD133" s="466"/>
      <c r="AE133" s="466"/>
      <c r="AF133" s="466"/>
      <c r="AG133" s="466"/>
      <c r="AH133" s="466"/>
      <c r="AI133" s="466"/>
      <c r="AJ133" s="466"/>
      <c r="AK133" s="466"/>
      <c r="AL133" s="466"/>
      <c r="AM133" s="462">
        <f t="shared" ref="AM133:AM196" si="93">F133</f>
        <v>129</v>
      </c>
      <c r="AN133" s="32">
        <f t="shared" si="71"/>
        <v>0.98003314970158795</v>
      </c>
      <c r="AO133" s="32">
        <f t="shared" si="72"/>
        <v>0.30198848753368118</v>
      </c>
      <c r="AP133" s="32">
        <f t="shared" si="73"/>
        <v>1.8779471578026852</v>
      </c>
      <c r="AQ133" s="32">
        <f t="shared" si="74"/>
        <v>14.346459505424301</v>
      </c>
      <c r="AR133" s="32">
        <f t="shared" si="75"/>
        <v>38.384705662281036</v>
      </c>
      <c r="AS133" s="32">
        <f t="shared" ref="AS133:AS196" si="94">AR133*(0.75+2*10^-5*E$2)</f>
        <v>28.81616623478762</v>
      </c>
      <c r="AT133" s="32">
        <f t="shared" ref="AT133:AT196" si="95">IF(G133="","",(1-AO$1)*G133)</f>
        <v>7.3180800000000001</v>
      </c>
      <c r="AU133" s="32">
        <f t="shared" ref="AU133:AU196" si="96">IF(G133="","",IF(G133/AS133&lt;0.3,0.3,IF(G133/AS133&gt;1,1,G133/AS133)))</f>
        <v>0.32981486581398622</v>
      </c>
      <c r="AV133" s="32">
        <f t="shared" ref="AV133:AV196" si="97">IF(G133="","",1.35*AU133-0.35)</f>
        <v>9.5250068848881431E-2</v>
      </c>
      <c r="AW133" s="32">
        <f t="shared" ref="AW133:AW196" si="98">IF(H133="","",0.6108*EXP((17.27*H133)/(H133+237.3)))</f>
        <v>2.0678857119107374</v>
      </c>
      <c r="AX133" s="32">
        <f t="shared" ref="AX133:AX196" si="99">IF(I133="","",0.6108*EXP((17.27*I133)/(I133+237.3)))</f>
        <v>1.1874205365788533</v>
      </c>
      <c r="AY133" s="32">
        <f t="shared" ref="AY133:AY196" si="100">IF(X133="","",0.6108*EXP((17.27*X133)/(X133+237.3)))</f>
        <v>1.4591527136794666</v>
      </c>
      <c r="AZ133" s="32">
        <f t="shared" si="76"/>
        <v>0.17088644883357942</v>
      </c>
      <c r="BA133" s="32">
        <f t="shared" ref="BA133:BA196" si="101">IF(AV133="","",IF(AZ133="","",IF(H133="","",IF(I133="","",-AV133*AZ133*BA$1*(((H133+273.15)^4+(I133+273.15)^4)/2)))))</f>
        <v>-0.54119958198919338</v>
      </c>
      <c r="BB133" s="32">
        <f t="shared" si="77"/>
        <v>6.7768804180108067</v>
      </c>
      <c r="BC133" s="32">
        <f t="shared" ref="BC133:BC196" si="102">IF(H133="","",IF(I133="","",(H133+I133)/2))</f>
        <v>13.765000000000001</v>
      </c>
      <c r="BD133" s="32">
        <v>0</v>
      </c>
      <c r="BE133" s="32">
        <f t="shared" si="78"/>
        <v>1.6276531242447954</v>
      </c>
      <c r="BF133" s="32">
        <f t="shared" si="79"/>
        <v>0.16850041056532872</v>
      </c>
      <c r="BG133" s="32">
        <f t="shared" si="80"/>
        <v>0.10238055092978222</v>
      </c>
      <c r="BH133" s="32">
        <f t="shared" ref="BH133:BH196" si="103">IF($AY133="","",IF($G133="","",0.408*$BG133*($BB133-$BD133)/($BG133+$BA$2*(1+0.34*$J133))))</f>
        <v>1.3590960360818554</v>
      </c>
      <c r="BI133" s="32">
        <f t="shared" ref="BI133:BI196" si="104">IF($BC133="","",IF($BF133="","",IF($BG133="","",IF($J133="","",($BA$2*900/($BC133+273)*$J133*$BF133)/($BG133+$BA$2*(1+0.34*$J133))))))</f>
        <v>0.28967751900291372</v>
      </c>
      <c r="BJ133" s="32">
        <f t="shared" ref="BJ133:BJ196" si="105">IF(BH133="","",IF(BI133="","",BH133+BI133))</f>
        <v>1.6487735550847691</v>
      </c>
      <c r="BK133" s="457">
        <f t="shared" ref="BK133:BK196" si="106">IF(OR(H133="",I133=""),"",0.0023*AR133*(H133-I133)^0.5*((H133+I133)/2+17.8)/2.45)</f>
        <v>3.3220049530624416</v>
      </c>
      <c r="BL133" s="2"/>
    </row>
    <row r="134" spans="1:64" ht="15">
      <c r="A134" s="119"/>
      <c r="B134" s="480">
        <f>Input!B151</f>
        <v>38116</v>
      </c>
      <c r="C134" s="481">
        <v>1</v>
      </c>
      <c r="D134" s="481">
        <f t="shared" ref="D134:D197" si="107">MONTH(B134)</f>
        <v>5</v>
      </c>
      <c r="E134" s="481">
        <f t="shared" ref="E134:E197" si="108">DAY(B134)</f>
        <v>9</v>
      </c>
      <c r="F134" s="481">
        <f t="shared" si="82"/>
        <v>130</v>
      </c>
      <c r="G134" s="431">
        <v>19.440000000000001</v>
      </c>
      <c r="H134" s="455">
        <v>19.100000000000001</v>
      </c>
      <c r="I134" s="455">
        <v>12.9</v>
      </c>
      <c r="J134" s="455">
        <v>1.85</v>
      </c>
      <c r="K134" s="485"/>
      <c r="L134" s="433">
        <v>98</v>
      </c>
      <c r="M134" s="455">
        <v>77</v>
      </c>
      <c r="N134" s="484">
        <f>Weather!M135</f>
        <v>0</v>
      </c>
      <c r="O134" s="481" t="str">
        <f t="shared" ref="O134:O197" si="109">IF(AND(N134&lt;&gt;"",P134&lt;&gt;"",N134&gt;(P134*2)),1,"")</f>
        <v/>
      </c>
      <c r="P134" s="4">
        <f t="shared" si="81"/>
        <v>2.9498016282126498</v>
      </c>
      <c r="Q134" s="169">
        <f t="shared" si="83"/>
        <v>2.2111396340059919</v>
      </c>
      <c r="R134" s="169">
        <f t="shared" si="84"/>
        <v>1.4880015210641748</v>
      </c>
      <c r="S134" s="169">
        <f t="shared" si="85"/>
        <v>1.7025775181846139</v>
      </c>
      <c r="T134" s="169">
        <f t="shared" si="86"/>
        <v>1.4582414906428913</v>
      </c>
      <c r="U134" s="169">
        <f t="shared" si="87"/>
        <v>1.5804095044137525</v>
      </c>
      <c r="V134" s="169">
        <f t="shared" si="88"/>
        <v>5.5047463758187781E-2</v>
      </c>
      <c r="W134" s="439">
        <f t="shared" si="89"/>
        <v>13.823724101286729</v>
      </c>
      <c r="X134" s="439">
        <f t="shared" si="90"/>
        <v>13.823724101286729</v>
      </c>
      <c r="Y134" s="169"/>
      <c r="Z134" s="119" t="str">
        <f t="shared" si="91"/>
        <v/>
      </c>
      <c r="AA134" s="4" t="str">
        <f t="shared" si="92"/>
        <v/>
      </c>
      <c r="AB134" s="466"/>
      <c r="AC134" s="466"/>
      <c r="AD134" s="466"/>
      <c r="AE134" s="466"/>
      <c r="AF134" s="466"/>
      <c r="AG134" s="466"/>
      <c r="AH134" s="466"/>
      <c r="AI134" s="466"/>
      <c r="AJ134" s="466"/>
      <c r="AK134" s="466"/>
      <c r="AL134" s="466"/>
      <c r="AM134" s="462">
        <f t="shared" si="93"/>
        <v>130</v>
      </c>
      <c r="AN134" s="32">
        <f t="shared" ref="AN134:AN197" si="110">1+0.033*COS(2*PI()/365*AM134)</f>
        <v>0.97958384369233742</v>
      </c>
      <c r="AO134" s="32">
        <f t="shared" ref="AO134:AO197" si="111">0.409*SIN(2*PI()/365*AM134-1.39)</f>
        <v>0.30669175976598817</v>
      </c>
      <c r="AP134" s="32">
        <f t="shared" ref="AP134:AP197" si="112">ACOS(-TAN(AS$2)*TAN(AO134))</f>
        <v>1.883212970636543</v>
      </c>
      <c r="AQ134" s="32">
        <f t="shared" ref="AQ134:AQ197" si="113">AP134*24/PI()</f>
        <v>14.386687352235752</v>
      </c>
      <c r="AR134" s="32">
        <f t="shared" ref="AR134:AR197" si="114">(24*60/PI())*AS$1*AN134*(AP134*SIN(AS$2)*SIN(AO134)+COS(AS$2)*COS(AO134)*SIN(AP134))</f>
        <v>38.54802749132584</v>
      </c>
      <c r="AS134" s="32">
        <f t="shared" si="94"/>
        <v>28.938775198288138</v>
      </c>
      <c r="AT134" s="32">
        <f t="shared" si="95"/>
        <v>14.968800000000002</v>
      </c>
      <c r="AU134" s="32">
        <f t="shared" si="96"/>
        <v>0.67176305378501189</v>
      </c>
      <c r="AV134" s="32">
        <f t="shared" si="97"/>
        <v>0.55688012260976616</v>
      </c>
      <c r="AW134" s="32">
        <f t="shared" si="98"/>
        <v>2.2111396340059919</v>
      </c>
      <c r="AX134" s="32">
        <f t="shared" si="99"/>
        <v>1.4880015210641748</v>
      </c>
      <c r="AY134" s="32">
        <f t="shared" si="100"/>
        <v>1.5804095044137521</v>
      </c>
      <c r="AZ134" s="32">
        <f t="shared" ref="AZ134:AZ197" si="115">IF(AY134="","",0.34-0.14*SQRT(AY134))</f>
        <v>0.16399992532243193</v>
      </c>
      <c r="BA134" s="32">
        <f t="shared" si="101"/>
        <v>-3.1303553950332028</v>
      </c>
      <c r="BB134" s="32">
        <f t="shared" ref="BB134:BB197" si="116">IF(AT134="","",IF(BA134="","",AT134+BA134))</f>
        <v>11.838444604966799</v>
      </c>
      <c r="BC134" s="32">
        <f t="shared" si="102"/>
        <v>16</v>
      </c>
      <c r="BD134" s="32">
        <v>0</v>
      </c>
      <c r="BE134" s="32">
        <f t="shared" ref="BE134:BE197" si="117">IF(AW134="","",IF(AX134="","",(AW134+AX134)/2))</f>
        <v>1.8495705775350832</v>
      </c>
      <c r="BF134" s="32">
        <f t="shared" ref="BF134:BF197" si="118">IF(BE134="","",IF(AY134="","",BE134-AY134))</f>
        <v>0.2691610731213312</v>
      </c>
      <c r="BG134" s="32">
        <f t="shared" ref="BG134:BG197" si="119">IF(BE134="","",IF(BC134="","",4099*0.6108*EXP((17.27*BC134)/(BC134+237.3))/(BC134+237.3)^2))</f>
        <v>0.11616355545115212</v>
      </c>
      <c r="BH134" s="32">
        <f t="shared" si="103"/>
        <v>2.4882647826563491</v>
      </c>
      <c r="BI134" s="32">
        <f t="shared" si="104"/>
        <v>0.46153684555630076</v>
      </c>
      <c r="BJ134" s="32">
        <f t="shared" si="105"/>
        <v>2.9498016282126498</v>
      </c>
      <c r="BK134" s="457">
        <f t="shared" si="106"/>
        <v>3.0456251963065064</v>
      </c>
      <c r="BL134" s="2"/>
    </row>
    <row r="135" spans="1:64" ht="15">
      <c r="A135" s="119"/>
      <c r="B135" s="480">
        <f>Input!B152</f>
        <v>38117</v>
      </c>
      <c r="C135" s="481">
        <v>1</v>
      </c>
      <c r="D135" s="481">
        <f t="shared" si="107"/>
        <v>5</v>
      </c>
      <c r="E135" s="481">
        <f t="shared" si="108"/>
        <v>10</v>
      </c>
      <c r="F135" s="481">
        <f t="shared" si="82"/>
        <v>131</v>
      </c>
      <c r="G135" s="431">
        <v>26.438400000000001</v>
      </c>
      <c r="H135" s="455">
        <v>20.79</v>
      </c>
      <c r="I135" s="455">
        <v>12.9</v>
      </c>
      <c r="J135" s="455">
        <v>1.2</v>
      </c>
      <c r="K135" s="485"/>
      <c r="L135" s="433">
        <v>100</v>
      </c>
      <c r="M135" s="455">
        <v>81</v>
      </c>
      <c r="N135" s="484">
        <f>Weather!M136</f>
        <v>0</v>
      </c>
      <c r="O135" s="481" t="str">
        <f t="shared" si="109"/>
        <v/>
      </c>
      <c r="P135" s="4">
        <f t="shared" si="81"/>
        <v>3.8585248973018555</v>
      </c>
      <c r="Q135" s="169">
        <f t="shared" si="83"/>
        <v>2.4551054298304917</v>
      </c>
      <c r="R135" s="169">
        <f t="shared" si="84"/>
        <v>1.4880015210641748</v>
      </c>
      <c r="S135" s="169">
        <f t="shared" si="85"/>
        <v>1.9886353981626985</v>
      </c>
      <c r="T135" s="169">
        <f t="shared" si="86"/>
        <v>1.4880015210641748</v>
      </c>
      <c r="U135" s="169">
        <f t="shared" si="87"/>
        <v>1.7383184596134367</v>
      </c>
      <c r="V135" s="169">
        <f t="shared" si="88"/>
        <v>6.0561896298500145E-2</v>
      </c>
      <c r="W135" s="439">
        <f t="shared" si="89"/>
        <v>15.297801882858778</v>
      </c>
      <c r="X135" s="439">
        <f t="shared" si="90"/>
        <v>15.297801882858778</v>
      </c>
      <c r="Y135" s="169"/>
      <c r="Z135" s="119" t="str">
        <f t="shared" si="91"/>
        <v/>
      </c>
      <c r="AA135" s="4" t="str">
        <f t="shared" si="92"/>
        <v/>
      </c>
      <c r="AB135" s="466"/>
      <c r="AC135" s="466"/>
      <c r="AD135" s="466"/>
      <c r="AE135" s="466"/>
      <c r="AF135" s="466"/>
      <c r="AG135" s="466"/>
      <c r="AH135" s="466"/>
      <c r="AI135" s="466"/>
      <c r="AJ135" s="466"/>
      <c r="AK135" s="466"/>
      <c r="AL135" s="466"/>
      <c r="AM135" s="462">
        <f t="shared" si="93"/>
        <v>131</v>
      </c>
      <c r="AN135" s="32">
        <f t="shared" si="110"/>
        <v>0.97914058743081744</v>
      </c>
      <c r="AO135" s="32">
        <f t="shared" si="111"/>
        <v>0.31130415261092631</v>
      </c>
      <c r="AP135" s="32">
        <f t="shared" si="112"/>
        <v>1.888401040627012</v>
      </c>
      <c r="AQ135" s="32">
        <f t="shared" si="113"/>
        <v>14.426321287472065</v>
      </c>
      <c r="AR135" s="32">
        <f t="shared" si="114"/>
        <v>38.707748710316466</v>
      </c>
      <c r="AS135" s="32">
        <f t="shared" si="94"/>
        <v>29.058681111808781</v>
      </c>
      <c r="AT135" s="32">
        <f t="shared" si="95"/>
        <v>20.357568000000001</v>
      </c>
      <c r="AU135" s="32">
        <f t="shared" si="96"/>
        <v>0.90982794085778529</v>
      </c>
      <c r="AV135" s="32">
        <f t="shared" si="97"/>
        <v>0.87826772015801013</v>
      </c>
      <c r="AW135" s="32">
        <f t="shared" si="98"/>
        <v>2.4551054298304917</v>
      </c>
      <c r="AX135" s="32">
        <f t="shared" si="99"/>
        <v>1.4880015210641748</v>
      </c>
      <c r="AY135" s="32">
        <f t="shared" si="100"/>
        <v>1.7383184596134367</v>
      </c>
      <c r="AZ135" s="32">
        <f t="shared" si="115"/>
        <v>0.15541657222701882</v>
      </c>
      <c r="BA135" s="32">
        <f t="shared" si="101"/>
        <v>-4.7354836147685884</v>
      </c>
      <c r="BB135" s="32">
        <f t="shared" si="116"/>
        <v>15.622084385231412</v>
      </c>
      <c r="BC135" s="32">
        <f t="shared" si="102"/>
        <v>16.844999999999999</v>
      </c>
      <c r="BD135" s="32">
        <v>0</v>
      </c>
      <c r="BE135" s="32">
        <f t="shared" si="117"/>
        <v>1.9715534754473332</v>
      </c>
      <c r="BF135" s="32">
        <f t="shared" si="118"/>
        <v>0.2332350158338965</v>
      </c>
      <c r="BG135" s="32">
        <f t="shared" si="119"/>
        <v>0.12176973702599238</v>
      </c>
      <c r="BH135" s="32">
        <f t="shared" si="103"/>
        <v>3.5888304707045435</v>
      </c>
      <c r="BI135" s="32">
        <f t="shared" si="104"/>
        <v>0.26969442659731196</v>
      </c>
      <c r="BJ135" s="32">
        <f t="shared" si="105"/>
        <v>3.8585248973018555</v>
      </c>
      <c r="BK135" s="457">
        <f t="shared" si="106"/>
        <v>3.5362155688933563</v>
      </c>
      <c r="BL135" s="2"/>
    </row>
    <row r="136" spans="1:64" ht="15">
      <c r="A136" s="119"/>
      <c r="B136" s="480">
        <f>Input!B153</f>
        <v>38118</v>
      </c>
      <c r="C136" s="481">
        <v>1</v>
      </c>
      <c r="D136" s="481">
        <f t="shared" si="107"/>
        <v>5</v>
      </c>
      <c r="E136" s="481">
        <f t="shared" si="108"/>
        <v>11</v>
      </c>
      <c r="F136" s="481">
        <f t="shared" si="82"/>
        <v>132</v>
      </c>
      <c r="G136" s="431">
        <v>23.0688</v>
      </c>
      <c r="H136" s="455">
        <v>23</v>
      </c>
      <c r="I136" s="455">
        <v>14.7</v>
      </c>
      <c r="J136" s="455">
        <v>1.27</v>
      </c>
      <c r="K136" s="485"/>
      <c r="L136" s="433">
        <v>100</v>
      </c>
      <c r="M136" s="455">
        <v>81</v>
      </c>
      <c r="N136" s="484">
        <f>Weather!M137</f>
        <v>0</v>
      </c>
      <c r="O136" s="481" t="str">
        <f t="shared" si="109"/>
        <v/>
      </c>
      <c r="P136" s="4">
        <f t="shared" si="81"/>
        <v>3.672381118675212</v>
      </c>
      <c r="Q136" s="169">
        <f t="shared" si="83"/>
        <v>2.809437622397069</v>
      </c>
      <c r="R136" s="169">
        <f t="shared" si="84"/>
        <v>1.6726864071818137</v>
      </c>
      <c r="S136" s="169">
        <f t="shared" si="85"/>
        <v>2.2756444741416262</v>
      </c>
      <c r="T136" s="169">
        <f t="shared" si="86"/>
        <v>1.6726864071818137</v>
      </c>
      <c r="U136" s="169">
        <f t="shared" si="87"/>
        <v>1.97416544066172</v>
      </c>
      <c r="V136" s="169">
        <f t="shared" si="88"/>
        <v>6.7928862362254011E-2</v>
      </c>
      <c r="W136" s="439">
        <f t="shared" si="89"/>
        <v>17.294301247667008</v>
      </c>
      <c r="X136" s="439">
        <f t="shared" si="90"/>
        <v>17.294301247667008</v>
      </c>
      <c r="Y136" s="169"/>
      <c r="Z136" s="119" t="str">
        <f t="shared" si="91"/>
        <v/>
      </c>
      <c r="AA136" s="4" t="str">
        <f t="shared" si="92"/>
        <v/>
      </c>
      <c r="AB136" s="466"/>
      <c r="AC136" s="466"/>
      <c r="AD136" s="466"/>
      <c r="AE136" s="466"/>
      <c r="AF136" s="466"/>
      <c r="AG136" s="466"/>
      <c r="AH136" s="466"/>
      <c r="AI136" s="466"/>
      <c r="AJ136" s="466"/>
      <c r="AK136" s="466"/>
      <c r="AL136" s="466"/>
      <c r="AM136" s="462">
        <f t="shared" si="93"/>
        <v>132</v>
      </c>
      <c r="AN136" s="32">
        <f t="shared" si="110"/>
        <v>0.97870351226342489</v>
      </c>
      <c r="AO136" s="32">
        <f t="shared" si="111"/>
        <v>0.31582429931695188</v>
      </c>
      <c r="AP136" s="32">
        <f t="shared" si="112"/>
        <v>1.8935089481805343</v>
      </c>
      <c r="AQ136" s="32">
        <f t="shared" si="113"/>
        <v>14.465342826800043</v>
      </c>
      <c r="AR136" s="32">
        <f t="shared" si="114"/>
        <v>38.863841076192855</v>
      </c>
      <c r="AS136" s="32">
        <f t="shared" si="94"/>
        <v>29.175862772719501</v>
      </c>
      <c r="AT136" s="32">
        <f t="shared" si="95"/>
        <v>17.762975999999998</v>
      </c>
      <c r="AU136" s="32">
        <f t="shared" si="96"/>
        <v>0.79068098790107322</v>
      </c>
      <c r="AV136" s="32">
        <f t="shared" si="97"/>
        <v>0.71741933366644883</v>
      </c>
      <c r="AW136" s="32">
        <f t="shared" si="98"/>
        <v>2.809437622397069</v>
      </c>
      <c r="AX136" s="32">
        <f t="shared" si="99"/>
        <v>1.6726864071818137</v>
      </c>
      <c r="AY136" s="32">
        <f t="shared" si="100"/>
        <v>1.9741654406617197</v>
      </c>
      <c r="AZ136" s="32">
        <f t="shared" si="115"/>
        <v>0.14329300308080115</v>
      </c>
      <c r="BA136" s="32">
        <f t="shared" si="101"/>
        <v>-3.6664991212962419</v>
      </c>
      <c r="BB136" s="32">
        <f t="shared" si="116"/>
        <v>14.096476878703756</v>
      </c>
      <c r="BC136" s="32">
        <f t="shared" si="102"/>
        <v>18.850000000000001</v>
      </c>
      <c r="BD136" s="32">
        <v>0</v>
      </c>
      <c r="BE136" s="32">
        <f t="shared" si="117"/>
        <v>2.2410620147894411</v>
      </c>
      <c r="BF136" s="32">
        <f t="shared" si="118"/>
        <v>0.26689657412772139</v>
      </c>
      <c r="BG136" s="32">
        <f t="shared" si="119"/>
        <v>0.13599736091294831</v>
      </c>
      <c r="BH136" s="32">
        <f t="shared" si="103"/>
        <v>3.3701217701763002</v>
      </c>
      <c r="BI136" s="32">
        <f t="shared" si="104"/>
        <v>0.30225934849891184</v>
      </c>
      <c r="BJ136" s="32">
        <f t="shared" si="105"/>
        <v>3.672381118675212</v>
      </c>
      <c r="BK136" s="457">
        <f t="shared" si="106"/>
        <v>3.8523035272801063</v>
      </c>
      <c r="BL136" s="2"/>
    </row>
    <row r="137" spans="1:64" ht="15">
      <c r="A137" s="119"/>
      <c r="B137" s="480">
        <f>Input!B154</f>
        <v>38119</v>
      </c>
      <c r="C137" s="481">
        <v>1</v>
      </c>
      <c r="D137" s="481">
        <f t="shared" si="107"/>
        <v>5</v>
      </c>
      <c r="E137" s="481">
        <f t="shared" si="108"/>
        <v>12</v>
      </c>
      <c r="F137" s="481">
        <f t="shared" si="82"/>
        <v>133</v>
      </c>
      <c r="G137" s="431">
        <v>23.6736</v>
      </c>
      <c r="H137" s="455">
        <v>24.29</v>
      </c>
      <c r="I137" s="455">
        <v>15.6</v>
      </c>
      <c r="J137" s="455">
        <v>1.47</v>
      </c>
      <c r="K137" s="485"/>
      <c r="L137" s="433">
        <v>90</v>
      </c>
      <c r="M137" s="455">
        <v>79</v>
      </c>
      <c r="N137" s="484">
        <f>Weather!M138</f>
        <v>0</v>
      </c>
      <c r="O137" s="481" t="str">
        <f t="shared" si="109"/>
        <v/>
      </c>
      <c r="P137" s="4">
        <f t="shared" ref="P137:P200" si="120">BJ137</f>
        <v>3.9687784154374723</v>
      </c>
      <c r="Q137" s="169">
        <f t="shared" si="83"/>
        <v>3.0362528555924286</v>
      </c>
      <c r="R137" s="169">
        <f t="shared" si="84"/>
        <v>1.7723474716742158</v>
      </c>
      <c r="S137" s="169">
        <f t="shared" si="85"/>
        <v>2.3986397559180186</v>
      </c>
      <c r="T137" s="169">
        <f t="shared" si="86"/>
        <v>1.5951127245067942</v>
      </c>
      <c r="U137" s="169">
        <f t="shared" si="87"/>
        <v>1.9968762402124063</v>
      </c>
      <c r="V137" s="169">
        <f t="shared" si="88"/>
        <v>6.8591186178220312E-2</v>
      </c>
      <c r="W137" s="439">
        <f t="shared" si="89"/>
        <v>17.475342984252823</v>
      </c>
      <c r="X137" s="439">
        <f t="shared" si="90"/>
        <v>17.475342984252823</v>
      </c>
      <c r="Y137" s="169"/>
      <c r="Z137" s="119" t="str">
        <f t="shared" si="91"/>
        <v/>
      </c>
      <c r="AA137" s="4" t="str">
        <f t="shared" si="92"/>
        <v/>
      </c>
      <c r="AB137" s="466"/>
      <c r="AC137" s="466"/>
      <c r="AD137" s="466"/>
      <c r="AE137" s="466"/>
      <c r="AF137" s="466"/>
      <c r="AG137" s="466"/>
      <c r="AH137" s="466"/>
      <c r="AI137" s="466"/>
      <c r="AJ137" s="466"/>
      <c r="AK137" s="466"/>
      <c r="AL137" s="466"/>
      <c r="AM137" s="462">
        <f t="shared" si="93"/>
        <v>133</v>
      </c>
      <c r="AN137" s="32">
        <f t="shared" si="110"/>
        <v>0.97827274770496442</v>
      </c>
      <c r="AO137" s="32">
        <f t="shared" si="111"/>
        <v>0.32025086046704321</v>
      </c>
      <c r="AP137" s="32">
        <f t="shared" si="112"/>
        <v>1.898534250847004</v>
      </c>
      <c r="AQ137" s="32">
        <f t="shared" si="113"/>
        <v>14.503733311275315</v>
      </c>
      <c r="AR137" s="32">
        <f t="shared" si="114"/>
        <v>39.016277412492776</v>
      </c>
      <c r="AS137" s="32">
        <f t="shared" si="94"/>
        <v>29.290299779106579</v>
      </c>
      <c r="AT137" s="32">
        <f t="shared" si="95"/>
        <v>18.228672</v>
      </c>
      <c r="AU137" s="32">
        <f t="shared" si="96"/>
        <v>0.8082402767651734</v>
      </c>
      <c r="AV137" s="32">
        <f t="shared" si="97"/>
        <v>0.74112437363298411</v>
      </c>
      <c r="AW137" s="32">
        <f t="shared" si="98"/>
        <v>3.0362528555924286</v>
      </c>
      <c r="AX137" s="32">
        <f t="shared" si="99"/>
        <v>1.7723474716742158</v>
      </c>
      <c r="AY137" s="32">
        <f t="shared" si="100"/>
        <v>1.9968762402124061</v>
      </c>
      <c r="AZ137" s="32">
        <f t="shared" si="115"/>
        <v>0.14216477990973611</v>
      </c>
      <c r="BA137" s="32">
        <f t="shared" si="101"/>
        <v>-3.8149173897290747</v>
      </c>
      <c r="BB137" s="32">
        <f t="shared" si="116"/>
        <v>14.413754610270924</v>
      </c>
      <c r="BC137" s="32">
        <f t="shared" si="102"/>
        <v>19.945</v>
      </c>
      <c r="BD137" s="32">
        <v>0</v>
      </c>
      <c r="BE137" s="32">
        <f t="shared" si="117"/>
        <v>2.4043001636333221</v>
      </c>
      <c r="BF137" s="32">
        <f t="shared" si="118"/>
        <v>0.40742392342091605</v>
      </c>
      <c r="BG137" s="32">
        <f t="shared" si="119"/>
        <v>0.14434503348324229</v>
      </c>
      <c r="BH137" s="32">
        <f t="shared" si="103"/>
        <v>3.4647460745161518</v>
      </c>
      <c r="BI137" s="32">
        <f t="shared" si="104"/>
        <v>0.50403234092132032</v>
      </c>
      <c r="BJ137" s="32">
        <f t="shared" si="105"/>
        <v>3.9687784154374723</v>
      </c>
      <c r="BK137" s="457">
        <f t="shared" si="106"/>
        <v>4.0754624879684904</v>
      </c>
      <c r="BL137" s="2"/>
    </row>
    <row r="138" spans="1:64" ht="15">
      <c r="A138" s="119"/>
      <c r="B138" s="480">
        <f>Input!B155</f>
        <v>38120</v>
      </c>
      <c r="C138" s="481">
        <v>1</v>
      </c>
      <c r="D138" s="481">
        <f t="shared" si="107"/>
        <v>5</v>
      </c>
      <c r="E138" s="481">
        <f t="shared" si="108"/>
        <v>13</v>
      </c>
      <c r="F138" s="481">
        <f t="shared" si="82"/>
        <v>134</v>
      </c>
      <c r="G138" s="431">
        <v>27.3888</v>
      </c>
      <c r="H138" s="455">
        <v>13.66</v>
      </c>
      <c r="I138" s="455">
        <v>10.3</v>
      </c>
      <c r="J138" s="455">
        <v>4.12</v>
      </c>
      <c r="K138" s="485"/>
      <c r="L138" s="433">
        <v>100</v>
      </c>
      <c r="M138" s="455">
        <v>84</v>
      </c>
      <c r="N138" s="484">
        <f>Weather!M139</f>
        <v>9.8000000000000007</v>
      </c>
      <c r="O138" s="481">
        <f t="shared" si="109"/>
        <v>1</v>
      </c>
      <c r="P138" s="4">
        <f t="shared" si="120"/>
        <v>2.7737374970843311</v>
      </c>
      <c r="Q138" s="169">
        <f t="shared" si="83"/>
        <v>1.5636727883350108</v>
      </c>
      <c r="R138" s="169">
        <f t="shared" si="84"/>
        <v>1.2528677634951673</v>
      </c>
      <c r="S138" s="169">
        <f t="shared" si="85"/>
        <v>1.3134851422014091</v>
      </c>
      <c r="T138" s="169">
        <f t="shared" si="86"/>
        <v>1.2528677634951673</v>
      </c>
      <c r="U138" s="169">
        <f t="shared" si="87"/>
        <v>1.2831764528482883</v>
      </c>
      <c r="V138" s="169">
        <f t="shared" si="88"/>
        <v>4.2983457629587114E-2</v>
      </c>
      <c r="W138" s="439">
        <f t="shared" si="89"/>
        <v>10.658096327401962</v>
      </c>
      <c r="X138" s="439">
        <f t="shared" si="90"/>
        <v>10.658096327401962</v>
      </c>
      <c r="Y138" s="169"/>
      <c r="Z138" s="119" t="str">
        <f t="shared" si="91"/>
        <v/>
      </c>
      <c r="AA138" s="4" t="str">
        <f t="shared" si="92"/>
        <v/>
      </c>
      <c r="AB138" s="466"/>
      <c r="AC138" s="466"/>
      <c r="AD138" s="466"/>
      <c r="AE138" s="466"/>
      <c r="AF138" s="466"/>
      <c r="AG138" s="466"/>
      <c r="AH138" s="466"/>
      <c r="AI138" s="466"/>
      <c r="AJ138" s="466"/>
      <c r="AK138" s="466"/>
      <c r="AL138" s="466"/>
      <c r="AM138" s="462">
        <f t="shared" si="93"/>
        <v>134</v>
      </c>
      <c r="AN138" s="32">
        <f t="shared" si="110"/>
        <v>0.97784842140027151</v>
      </c>
      <c r="AO138" s="32">
        <f t="shared" si="111"/>
        <v>0.32458252437559854</v>
      </c>
      <c r="AP138" s="32">
        <f t="shared" si="112"/>
        <v>1.903474485923546</v>
      </c>
      <c r="AQ138" s="32">
        <f t="shared" si="113"/>
        <v>14.541473927233762</v>
      </c>
      <c r="AR138" s="32">
        <f t="shared" si="114"/>
        <v>39.165031579735157</v>
      </c>
      <c r="AS138" s="32">
        <f t="shared" si="94"/>
        <v>29.40197250753878</v>
      </c>
      <c r="AT138" s="32">
        <f t="shared" si="95"/>
        <v>21.089376000000001</v>
      </c>
      <c r="AU138" s="32">
        <f t="shared" si="96"/>
        <v>0.93152933848153918</v>
      </c>
      <c r="AV138" s="32">
        <f t="shared" si="97"/>
        <v>0.9075646069500779</v>
      </c>
      <c r="AW138" s="32">
        <f t="shared" si="98"/>
        <v>1.5636727883350108</v>
      </c>
      <c r="AX138" s="32">
        <f t="shared" si="99"/>
        <v>1.2528677634951673</v>
      </c>
      <c r="AY138" s="32">
        <f t="shared" si="100"/>
        <v>1.2831764528482883</v>
      </c>
      <c r="AZ138" s="32">
        <f t="shared" si="115"/>
        <v>0.18141166979936246</v>
      </c>
      <c r="BA138" s="32">
        <f t="shared" si="101"/>
        <v>-5.3333607648622081</v>
      </c>
      <c r="BB138" s="32">
        <f t="shared" si="116"/>
        <v>15.756015235137793</v>
      </c>
      <c r="BC138" s="32">
        <f t="shared" si="102"/>
        <v>11.98</v>
      </c>
      <c r="BD138" s="32">
        <v>0</v>
      </c>
      <c r="BE138" s="32">
        <f t="shared" si="117"/>
        <v>1.4082702759150889</v>
      </c>
      <c r="BF138" s="32">
        <f t="shared" si="118"/>
        <v>0.12509382306680061</v>
      </c>
      <c r="BG138" s="32">
        <f t="shared" si="119"/>
        <v>9.2395943703245942E-2</v>
      </c>
      <c r="BH138" s="32">
        <f t="shared" si="103"/>
        <v>2.3428599024983523</v>
      </c>
      <c r="BI138" s="32">
        <f t="shared" si="104"/>
        <v>0.43087759458597868</v>
      </c>
      <c r="BJ138" s="32">
        <f t="shared" si="105"/>
        <v>2.7737374970843311</v>
      </c>
      <c r="BK138" s="457">
        <f t="shared" si="106"/>
        <v>2.0070332381417129</v>
      </c>
      <c r="BL138" s="2"/>
    </row>
    <row r="139" spans="1:64" ht="15">
      <c r="A139" s="119"/>
      <c r="B139" s="480">
        <f>Input!B156</f>
        <v>38121</v>
      </c>
      <c r="C139" s="481">
        <v>1</v>
      </c>
      <c r="D139" s="481">
        <f t="shared" si="107"/>
        <v>5</v>
      </c>
      <c r="E139" s="481">
        <f t="shared" si="108"/>
        <v>14</v>
      </c>
      <c r="F139" s="481">
        <f t="shared" si="82"/>
        <v>135</v>
      </c>
      <c r="G139" s="431">
        <v>21.427199999999999</v>
      </c>
      <c r="H139" s="455">
        <v>13.97</v>
      </c>
      <c r="I139" s="455">
        <v>7.5</v>
      </c>
      <c r="J139" s="455">
        <v>2.13</v>
      </c>
      <c r="K139" s="485"/>
      <c r="L139" s="433">
        <v>99</v>
      </c>
      <c r="M139" s="455">
        <v>84</v>
      </c>
      <c r="N139" s="484">
        <f>Weather!M140</f>
        <v>0</v>
      </c>
      <c r="O139" s="481" t="str">
        <f t="shared" si="109"/>
        <v/>
      </c>
      <c r="P139" s="4">
        <f t="shared" si="120"/>
        <v>2.5122717623350574</v>
      </c>
      <c r="Q139" s="169">
        <f t="shared" si="83"/>
        <v>1.5954953161735252</v>
      </c>
      <c r="R139" s="169">
        <f t="shared" si="84"/>
        <v>1.0367799276460743</v>
      </c>
      <c r="S139" s="169">
        <f t="shared" si="85"/>
        <v>1.3402160655857611</v>
      </c>
      <c r="T139" s="169">
        <f t="shared" si="86"/>
        <v>1.0264121283696135</v>
      </c>
      <c r="U139" s="169">
        <f t="shared" si="87"/>
        <v>1.1833140969776874</v>
      </c>
      <c r="V139" s="169">
        <f t="shared" si="88"/>
        <v>3.829211142151414E-2</v>
      </c>
      <c r="W139" s="439">
        <f t="shared" si="89"/>
        <v>9.4485218934374267</v>
      </c>
      <c r="X139" s="439">
        <f t="shared" si="90"/>
        <v>9.4485218934374267</v>
      </c>
      <c r="Y139" s="169"/>
      <c r="Z139" s="119" t="str">
        <f t="shared" si="91"/>
        <v/>
      </c>
      <c r="AA139" s="4" t="str">
        <f t="shared" si="92"/>
        <v/>
      </c>
      <c r="AB139" s="466"/>
      <c r="AC139" s="466"/>
      <c r="AD139" s="466"/>
      <c r="AE139" s="466"/>
      <c r="AF139" s="466"/>
      <c r="AG139" s="466"/>
      <c r="AH139" s="466"/>
      <c r="AI139" s="466"/>
      <c r="AJ139" s="466"/>
      <c r="AK139" s="466"/>
      <c r="AL139" s="466"/>
      <c r="AM139" s="462">
        <f t="shared" si="93"/>
        <v>135</v>
      </c>
      <c r="AN139" s="32">
        <f t="shared" si="110"/>
        <v>0.97743065908638782</v>
      </c>
      <c r="AO139" s="32">
        <f t="shared" si="111"/>
        <v>0.3288180074771167</v>
      </c>
      <c r="AP139" s="32">
        <f t="shared" si="112"/>
        <v>1.9083271732499241</v>
      </c>
      <c r="AQ139" s="32">
        <f t="shared" si="113"/>
        <v>14.578545727646839</v>
      </c>
      <c r="AR139" s="32">
        <f t="shared" si="114"/>
        <v>39.310078446518865</v>
      </c>
      <c r="AS139" s="32">
        <f t="shared" si="94"/>
        <v>29.510862091370644</v>
      </c>
      <c r="AT139" s="32">
        <f t="shared" si="95"/>
        <v>16.498943999999998</v>
      </c>
      <c r="AU139" s="32">
        <f t="shared" si="96"/>
        <v>0.72607841592894662</v>
      </c>
      <c r="AV139" s="32">
        <f t="shared" si="97"/>
        <v>0.63020586150407798</v>
      </c>
      <c r="AW139" s="32">
        <f t="shared" si="98"/>
        <v>1.5954953161735252</v>
      </c>
      <c r="AX139" s="32">
        <f t="shared" si="99"/>
        <v>1.0367799276460743</v>
      </c>
      <c r="AY139" s="32">
        <f t="shared" si="100"/>
        <v>1.1833140969776872</v>
      </c>
      <c r="AZ139" s="32">
        <f t="shared" si="115"/>
        <v>0.18770766171352329</v>
      </c>
      <c r="BA139" s="32">
        <f t="shared" si="101"/>
        <v>-3.767632653912198</v>
      </c>
      <c r="BB139" s="32">
        <f t="shared" si="116"/>
        <v>12.7313113460878</v>
      </c>
      <c r="BC139" s="32">
        <f t="shared" si="102"/>
        <v>10.734999999999999</v>
      </c>
      <c r="BD139" s="32">
        <v>0</v>
      </c>
      <c r="BE139" s="32">
        <f t="shared" si="117"/>
        <v>1.3161376219097998</v>
      </c>
      <c r="BF139" s="32">
        <f t="shared" si="118"/>
        <v>0.13282352493211258</v>
      </c>
      <c r="BG139" s="32">
        <f t="shared" si="119"/>
        <v>8.5933772340829204E-2</v>
      </c>
      <c r="BH139" s="32">
        <f t="shared" si="103"/>
        <v>2.2136013030467092</v>
      </c>
      <c r="BI139" s="32">
        <f t="shared" si="104"/>
        <v>0.29867045928834812</v>
      </c>
      <c r="BJ139" s="32">
        <f t="shared" si="105"/>
        <v>2.5122717623350574</v>
      </c>
      <c r="BK139" s="457">
        <f t="shared" si="106"/>
        <v>2.6785248467414484</v>
      </c>
      <c r="BL139" s="2"/>
    </row>
    <row r="140" spans="1:64" ht="15">
      <c r="A140" s="119"/>
      <c r="B140" s="480">
        <f>Input!B157</f>
        <v>38122</v>
      </c>
      <c r="C140" s="481">
        <v>1</v>
      </c>
      <c r="D140" s="481">
        <f t="shared" si="107"/>
        <v>5</v>
      </c>
      <c r="E140" s="481">
        <f t="shared" si="108"/>
        <v>15</v>
      </c>
      <c r="F140" s="481">
        <f t="shared" si="82"/>
        <v>136</v>
      </c>
      <c r="G140" s="431">
        <v>21.7728</v>
      </c>
      <c r="H140" s="455">
        <v>15.43</v>
      </c>
      <c r="I140" s="455">
        <v>6.7</v>
      </c>
      <c r="J140" s="455">
        <v>1.59</v>
      </c>
      <c r="K140" s="485"/>
      <c r="L140" s="433">
        <v>100</v>
      </c>
      <c r="M140" s="455">
        <v>83</v>
      </c>
      <c r="N140" s="484">
        <f>Weather!M141</f>
        <v>0</v>
      </c>
      <c r="O140" s="481" t="str">
        <f t="shared" si="109"/>
        <v/>
      </c>
      <c r="P140" s="4">
        <f t="shared" si="120"/>
        <v>2.6871893259664557</v>
      </c>
      <c r="Q140" s="169">
        <f t="shared" si="83"/>
        <v>1.7531334866383526</v>
      </c>
      <c r="R140" s="169">
        <f t="shared" si="84"/>
        <v>0.9814065388970683</v>
      </c>
      <c r="S140" s="169">
        <f t="shared" si="85"/>
        <v>1.4551007939098326</v>
      </c>
      <c r="T140" s="169">
        <f t="shared" si="86"/>
        <v>0.9814065388970683</v>
      </c>
      <c r="U140" s="169">
        <f t="shared" si="87"/>
        <v>1.2182536664034505</v>
      </c>
      <c r="V140" s="169">
        <f t="shared" si="88"/>
        <v>3.9977076892897478E-2</v>
      </c>
      <c r="W140" s="439">
        <f t="shared" si="89"/>
        <v>9.8815977393346355</v>
      </c>
      <c r="X140" s="439">
        <f t="shared" si="90"/>
        <v>9.8815977393346355</v>
      </c>
      <c r="Y140" s="169"/>
      <c r="Z140" s="119" t="str">
        <f t="shared" si="91"/>
        <v/>
      </c>
      <c r="AA140" s="4" t="str">
        <f t="shared" si="92"/>
        <v/>
      </c>
      <c r="AB140" s="466"/>
      <c r="AC140" s="466"/>
      <c r="AD140" s="466"/>
      <c r="AE140" s="466"/>
      <c r="AF140" s="466"/>
      <c r="AG140" s="466"/>
      <c r="AH140" s="466"/>
      <c r="AI140" s="466"/>
      <c r="AJ140" s="466"/>
      <c r="AK140" s="466"/>
      <c r="AL140" s="466"/>
      <c r="AM140" s="462">
        <f t="shared" si="93"/>
        <v>136</v>
      </c>
      <c r="AN140" s="32">
        <f t="shared" si="110"/>
        <v>0.97701958455530324</v>
      </c>
      <c r="AO140" s="32">
        <f t="shared" si="111"/>
        <v>0.33295605470654577</v>
      </c>
      <c r="AP140" s="32">
        <f t="shared" si="112"/>
        <v>1.9130898181951044</v>
      </c>
      <c r="AQ140" s="32">
        <f t="shared" si="113"/>
        <v>14.61492965493726</v>
      </c>
      <c r="AR140" s="32">
        <f t="shared" si="114"/>
        <v>39.451393861440117</v>
      </c>
      <c r="AS140" s="32">
        <f t="shared" si="94"/>
        <v>29.616950399660325</v>
      </c>
      <c r="AT140" s="32">
        <f t="shared" si="95"/>
        <v>16.765056000000001</v>
      </c>
      <c r="AU140" s="32">
        <f t="shared" si="96"/>
        <v>0.73514658687647028</v>
      </c>
      <c r="AV140" s="32">
        <f t="shared" si="97"/>
        <v>0.64244789228323496</v>
      </c>
      <c r="AW140" s="32">
        <f t="shared" si="98"/>
        <v>1.7531334866383526</v>
      </c>
      <c r="AX140" s="32">
        <f t="shared" si="99"/>
        <v>0.9814065388970683</v>
      </c>
      <c r="AY140" s="32">
        <f t="shared" si="100"/>
        <v>1.2182536664034507</v>
      </c>
      <c r="AZ140" s="32">
        <f t="shared" si="115"/>
        <v>0.18547565932349808</v>
      </c>
      <c r="BA140" s="32">
        <f t="shared" si="101"/>
        <v>-3.8152509255339422</v>
      </c>
      <c r="BB140" s="32">
        <f t="shared" si="116"/>
        <v>12.94980507446606</v>
      </c>
      <c r="BC140" s="32">
        <f t="shared" si="102"/>
        <v>11.065</v>
      </c>
      <c r="BD140" s="32">
        <v>0</v>
      </c>
      <c r="BE140" s="32">
        <f t="shared" si="117"/>
        <v>1.3672700127677104</v>
      </c>
      <c r="BF140" s="32">
        <f t="shared" si="118"/>
        <v>0.14901634636425976</v>
      </c>
      <c r="BG140" s="32">
        <f t="shared" si="119"/>
        <v>8.7607893891092248E-2</v>
      </c>
      <c r="BH140" s="32">
        <f t="shared" si="103"/>
        <v>2.4234203146848938</v>
      </c>
      <c r="BI140" s="32">
        <f t="shared" si="104"/>
        <v>0.26376901128156172</v>
      </c>
      <c r="BJ140" s="32">
        <f t="shared" si="105"/>
        <v>2.6871893259664557</v>
      </c>
      <c r="BK140" s="457">
        <f t="shared" si="106"/>
        <v>3.1586593203435451</v>
      </c>
      <c r="BL140" s="2"/>
    </row>
    <row r="141" spans="1:64" ht="15">
      <c r="A141" s="119"/>
      <c r="B141" s="480">
        <f>Input!B158</f>
        <v>38123</v>
      </c>
      <c r="C141" s="481">
        <v>1</v>
      </c>
      <c r="D141" s="481">
        <f t="shared" si="107"/>
        <v>5</v>
      </c>
      <c r="E141" s="481">
        <f t="shared" si="108"/>
        <v>16</v>
      </c>
      <c r="F141" s="481">
        <f t="shared" si="82"/>
        <v>137</v>
      </c>
      <c r="G141" s="431">
        <v>25.833600000000001</v>
      </c>
      <c r="H141" s="455">
        <v>12.09</v>
      </c>
      <c r="I141" s="455">
        <v>6</v>
      </c>
      <c r="J141" s="455">
        <v>2.89</v>
      </c>
      <c r="K141" s="485"/>
      <c r="L141" s="433">
        <v>96</v>
      </c>
      <c r="M141" s="455">
        <v>82</v>
      </c>
      <c r="N141" s="484">
        <f>Weather!M142</f>
        <v>1</v>
      </c>
      <c r="O141" s="481" t="str">
        <f t="shared" si="109"/>
        <v/>
      </c>
      <c r="P141" s="4">
        <f t="shared" si="120"/>
        <v>2.6582090288371689</v>
      </c>
      <c r="Q141" s="169">
        <f t="shared" si="83"/>
        <v>1.4109091886099356</v>
      </c>
      <c r="R141" s="169">
        <f t="shared" si="84"/>
        <v>0.93510940339373394</v>
      </c>
      <c r="S141" s="169">
        <f t="shared" si="85"/>
        <v>1.1569455346601472</v>
      </c>
      <c r="T141" s="169">
        <f t="shared" si="86"/>
        <v>0.89770502725798451</v>
      </c>
      <c r="U141" s="169">
        <f t="shared" si="87"/>
        <v>1.0273252809590658</v>
      </c>
      <c r="V141" s="169">
        <f t="shared" si="88"/>
        <v>3.0106793034439069E-2</v>
      </c>
      <c r="W141" s="439">
        <f t="shared" si="89"/>
        <v>7.3661119964170174</v>
      </c>
      <c r="X141" s="439">
        <f t="shared" si="90"/>
        <v>7.3661119964170174</v>
      </c>
      <c r="Y141" s="169"/>
      <c r="Z141" s="119" t="str">
        <f t="shared" si="91"/>
        <v/>
      </c>
      <c r="AA141" s="4" t="str">
        <f t="shared" si="92"/>
        <v/>
      </c>
      <c r="AB141" s="466"/>
      <c r="AC141" s="466"/>
      <c r="AD141" s="466"/>
      <c r="AE141" s="466"/>
      <c r="AF141" s="466"/>
      <c r="AG141" s="466"/>
      <c r="AH141" s="466"/>
      <c r="AI141" s="466"/>
      <c r="AJ141" s="466"/>
      <c r="AK141" s="466"/>
      <c r="AL141" s="466"/>
      <c r="AM141" s="462">
        <f t="shared" si="93"/>
        <v>137</v>
      </c>
      <c r="AN141" s="32">
        <f t="shared" si="110"/>
        <v>0.97661531961727288</v>
      </c>
      <c r="AO141" s="32">
        <f t="shared" si="111"/>
        <v>0.33699543987118497</v>
      </c>
      <c r="AP141" s="32">
        <f t="shared" si="112"/>
        <v>1.91775991483355</v>
      </c>
      <c r="AQ141" s="32">
        <f t="shared" si="113"/>
        <v>14.650606565244082</v>
      </c>
      <c r="AR141" s="32">
        <f t="shared" si="114"/>
        <v>39.588954625922788</v>
      </c>
      <c r="AS141" s="32">
        <f t="shared" si="94"/>
        <v>29.720220016772757</v>
      </c>
      <c r="AT141" s="32">
        <f t="shared" si="95"/>
        <v>19.891871999999999</v>
      </c>
      <c r="AU141" s="32">
        <f t="shared" si="96"/>
        <v>0.86922640496674242</v>
      </c>
      <c r="AV141" s="32">
        <f t="shared" si="97"/>
        <v>0.8234556467051023</v>
      </c>
      <c r="AW141" s="32">
        <f t="shared" si="98"/>
        <v>1.4109091886099356</v>
      </c>
      <c r="AX141" s="32">
        <f t="shared" si="99"/>
        <v>0.93510940339373394</v>
      </c>
      <c r="AY141" s="32">
        <f t="shared" si="100"/>
        <v>1.0273252809590658</v>
      </c>
      <c r="AZ141" s="32">
        <f t="shared" si="115"/>
        <v>0.19810012154058171</v>
      </c>
      <c r="BA141" s="32">
        <f t="shared" si="101"/>
        <v>-5.0724945529688057</v>
      </c>
      <c r="BB141" s="32">
        <f t="shared" si="116"/>
        <v>14.819377447031194</v>
      </c>
      <c r="BC141" s="32">
        <f t="shared" si="102"/>
        <v>9.0449999999999999</v>
      </c>
      <c r="BD141" s="32">
        <v>0</v>
      </c>
      <c r="BE141" s="32">
        <f t="shared" si="117"/>
        <v>1.1730092960018348</v>
      </c>
      <c r="BF141" s="32">
        <f t="shared" si="118"/>
        <v>0.14568401504276896</v>
      </c>
      <c r="BG141" s="32">
        <f t="shared" si="119"/>
        <v>7.7781299673891732E-2</v>
      </c>
      <c r="BH141" s="32">
        <f t="shared" si="103"/>
        <v>2.2305593434838329</v>
      </c>
      <c r="BI141" s="32">
        <f t="shared" si="104"/>
        <v>0.42764968535333603</v>
      </c>
      <c r="BJ141" s="32">
        <f t="shared" si="105"/>
        <v>2.6582090288371689</v>
      </c>
      <c r="BK141" s="457">
        <f t="shared" si="106"/>
        <v>2.4621122011547287</v>
      </c>
      <c r="BL141" s="2"/>
    </row>
    <row r="142" spans="1:64" ht="15">
      <c r="A142" s="119"/>
      <c r="B142" s="480">
        <f>Input!B159</f>
        <v>38124</v>
      </c>
      <c r="C142" s="481">
        <v>1</v>
      </c>
      <c r="D142" s="481">
        <f t="shared" si="107"/>
        <v>5</v>
      </c>
      <c r="E142" s="481">
        <f t="shared" si="108"/>
        <v>17</v>
      </c>
      <c r="F142" s="481">
        <f t="shared" si="82"/>
        <v>138</v>
      </c>
      <c r="G142" s="431">
        <v>15.2928</v>
      </c>
      <c r="H142" s="455">
        <v>14.77</v>
      </c>
      <c r="I142" s="455">
        <v>6.2</v>
      </c>
      <c r="J142" s="455">
        <v>2.06</v>
      </c>
      <c r="K142" s="485"/>
      <c r="L142" s="433">
        <v>89</v>
      </c>
      <c r="M142" s="455">
        <v>80</v>
      </c>
      <c r="N142" s="484">
        <f>Weather!M143</f>
        <v>0</v>
      </c>
      <c r="O142" s="481" t="str">
        <f t="shared" si="109"/>
        <v/>
      </c>
      <c r="P142" s="4">
        <f t="shared" si="120"/>
        <v>2.1669250851470583</v>
      </c>
      <c r="Q142" s="169">
        <f t="shared" si="83"/>
        <v>1.6802575593606601</v>
      </c>
      <c r="R142" s="169">
        <f t="shared" si="84"/>
        <v>0.94813654445332363</v>
      </c>
      <c r="S142" s="169">
        <f t="shared" si="85"/>
        <v>1.3442060474885282</v>
      </c>
      <c r="T142" s="169">
        <f t="shared" si="86"/>
        <v>0.84384152456345807</v>
      </c>
      <c r="U142" s="169">
        <f t="shared" si="87"/>
        <v>1.0940237860259932</v>
      </c>
      <c r="V142" s="169">
        <f t="shared" si="88"/>
        <v>3.3749169175170637E-2</v>
      </c>
      <c r="W142" s="439">
        <f t="shared" si="89"/>
        <v>8.2884046148053212</v>
      </c>
      <c r="X142" s="439">
        <f t="shared" si="90"/>
        <v>8.2884046148053212</v>
      </c>
      <c r="Y142" s="169"/>
      <c r="Z142" s="119" t="str">
        <f t="shared" si="91"/>
        <v/>
      </c>
      <c r="AA142" s="4" t="str">
        <f t="shared" si="92"/>
        <v/>
      </c>
      <c r="AB142" s="466"/>
      <c r="AC142" s="466"/>
      <c r="AD142" s="466"/>
      <c r="AE142" s="466"/>
      <c r="AF142" s="466"/>
      <c r="AG142" s="466"/>
      <c r="AH142" s="466"/>
      <c r="AI142" s="466"/>
      <c r="AJ142" s="466"/>
      <c r="AK142" s="466"/>
      <c r="AL142" s="466"/>
      <c r="AM142" s="462">
        <f t="shared" si="93"/>
        <v>138</v>
      </c>
      <c r="AN142" s="32">
        <f t="shared" si="110"/>
        <v>0.9762179840647226</v>
      </c>
      <c r="AO142" s="32">
        <f t="shared" si="111"/>
        <v>0.34093496601403311</v>
      </c>
      <c r="AP142" s="32">
        <f t="shared" si="112"/>
        <v>1.9223349493088155</v>
      </c>
      <c r="AQ142" s="32">
        <f t="shared" si="113"/>
        <v>14.68555725411869</v>
      </c>
      <c r="AR142" s="32">
        <f t="shared" si="114"/>
        <v>39.722738468048497</v>
      </c>
      <c r="AS142" s="32">
        <f t="shared" si="94"/>
        <v>29.820654222733371</v>
      </c>
      <c r="AT142" s="32">
        <f t="shared" si="95"/>
        <v>11.775456</v>
      </c>
      <c r="AU142" s="32">
        <f t="shared" si="96"/>
        <v>0.51282577121804862</v>
      </c>
      <c r="AV142" s="32">
        <f t="shared" si="97"/>
        <v>0.34231479114436569</v>
      </c>
      <c r="AW142" s="32">
        <f t="shared" si="98"/>
        <v>1.6802575593606601</v>
      </c>
      <c r="AX142" s="32">
        <f t="shared" si="99"/>
        <v>0.94813654445332363</v>
      </c>
      <c r="AY142" s="32">
        <f t="shared" si="100"/>
        <v>1.0940237860259929</v>
      </c>
      <c r="AZ142" s="32">
        <f t="shared" si="115"/>
        <v>0.19356617123728048</v>
      </c>
      <c r="BA142" s="32">
        <f t="shared" si="101"/>
        <v>-2.1041894125422909</v>
      </c>
      <c r="BB142" s="32">
        <f t="shared" si="116"/>
        <v>9.6712665874577084</v>
      </c>
      <c r="BC142" s="32">
        <f t="shared" si="102"/>
        <v>10.484999999999999</v>
      </c>
      <c r="BD142" s="32">
        <v>0</v>
      </c>
      <c r="BE142" s="32">
        <f t="shared" si="117"/>
        <v>1.3141970519069919</v>
      </c>
      <c r="BF142" s="32">
        <f t="shared" si="118"/>
        <v>0.22017326588099895</v>
      </c>
      <c r="BG142" s="32">
        <f t="shared" si="119"/>
        <v>8.4683732414178037E-2</v>
      </c>
      <c r="BH142" s="32">
        <f t="shared" si="103"/>
        <v>1.6808220768017905</v>
      </c>
      <c r="BI142" s="32">
        <f t="shared" si="104"/>
        <v>0.48610300834526782</v>
      </c>
      <c r="BJ142" s="32">
        <f t="shared" si="105"/>
        <v>2.1669250851470583</v>
      </c>
      <c r="BK142" s="457">
        <f t="shared" si="106"/>
        <v>3.0877883663723509</v>
      </c>
      <c r="BL142" s="2"/>
    </row>
    <row r="143" spans="1:64" ht="15">
      <c r="A143" s="119"/>
      <c r="B143" s="480">
        <f>Input!B160</f>
        <v>38125</v>
      </c>
      <c r="C143" s="481">
        <v>1</v>
      </c>
      <c r="D143" s="481">
        <f t="shared" si="107"/>
        <v>5</v>
      </c>
      <c r="E143" s="481">
        <f t="shared" si="108"/>
        <v>18</v>
      </c>
      <c r="F143" s="481">
        <f t="shared" si="82"/>
        <v>139</v>
      </c>
      <c r="G143" s="431">
        <v>26.783999999999999</v>
      </c>
      <c r="H143" s="455">
        <v>15.14</v>
      </c>
      <c r="I143" s="455">
        <v>4.8</v>
      </c>
      <c r="J143" s="455">
        <v>1.95</v>
      </c>
      <c r="K143" s="485"/>
      <c r="L143" s="433">
        <v>87</v>
      </c>
      <c r="M143" s="455">
        <v>79</v>
      </c>
      <c r="N143" s="484">
        <f>Weather!M144</f>
        <v>0</v>
      </c>
      <c r="O143" s="481" t="str">
        <f t="shared" si="109"/>
        <v/>
      </c>
      <c r="P143" s="4">
        <f t="shared" si="120"/>
        <v>3.1563511268161637</v>
      </c>
      <c r="Q143" s="169">
        <f t="shared" si="83"/>
        <v>1.7207778993854561</v>
      </c>
      <c r="R143" s="169">
        <f t="shared" si="84"/>
        <v>0.8602074134922596</v>
      </c>
      <c r="S143" s="169">
        <f t="shared" si="85"/>
        <v>1.3594145405145104</v>
      </c>
      <c r="T143" s="169">
        <f t="shared" si="86"/>
        <v>0.7483804497382659</v>
      </c>
      <c r="U143" s="169">
        <f t="shared" si="87"/>
        <v>1.0538974951263882</v>
      </c>
      <c r="V143" s="169">
        <f t="shared" si="88"/>
        <v>3.1585460209997744E-2</v>
      </c>
      <c r="W143" s="439">
        <f t="shared" si="89"/>
        <v>7.7396914233214451</v>
      </c>
      <c r="X143" s="439">
        <f t="shared" si="90"/>
        <v>7.7396914233214451</v>
      </c>
      <c r="Y143" s="169"/>
      <c r="Z143" s="119" t="str">
        <f t="shared" si="91"/>
        <v/>
      </c>
      <c r="AA143" s="4" t="str">
        <f t="shared" si="92"/>
        <v/>
      </c>
      <c r="AB143" s="466"/>
      <c r="AC143" s="466"/>
      <c r="AD143" s="466"/>
      <c r="AE143" s="466"/>
      <c r="AF143" s="466"/>
      <c r="AG143" s="466"/>
      <c r="AH143" s="466"/>
      <c r="AI143" s="466"/>
      <c r="AJ143" s="466"/>
      <c r="AK143" s="466"/>
      <c r="AL143" s="466"/>
      <c r="AM143" s="462">
        <f t="shared" si="93"/>
        <v>139</v>
      </c>
      <c r="AN143" s="32">
        <f t="shared" si="110"/>
        <v>0.97582769563675187</v>
      </c>
      <c r="AO143" s="32">
        <f t="shared" si="111"/>
        <v>0.34477346576847206</v>
      </c>
      <c r="AP143" s="32">
        <f t="shared" si="112"/>
        <v>1.9268124033809357</v>
      </c>
      <c r="AQ143" s="32">
        <f t="shared" si="113"/>
        <v>14.719762483624844</v>
      </c>
      <c r="AR143" s="32">
        <f t="shared" si="114"/>
        <v>39.852724017463338</v>
      </c>
      <c r="AS143" s="32">
        <f t="shared" si="94"/>
        <v>29.91823697439008</v>
      </c>
      <c r="AT143" s="32">
        <f t="shared" si="95"/>
        <v>20.62368</v>
      </c>
      <c r="AU143" s="32">
        <f t="shared" si="96"/>
        <v>0.89523991747665554</v>
      </c>
      <c r="AV143" s="32">
        <f t="shared" si="97"/>
        <v>0.85857388859348516</v>
      </c>
      <c r="AW143" s="32">
        <f t="shared" si="98"/>
        <v>1.7207778993854561</v>
      </c>
      <c r="AX143" s="32">
        <f t="shared" si="99"/>
        <v>0.8602074134922596</v>
      </c>
      <c r="AY143" s="32">
        <f t="shared" si="100"/>
        <v>1.0538974951263882</v>
      </c>
      <c r="AZ143" s="32">
        <f t="shared" si="115"/>
        <v>0.19627668628758518</v>
      </c>
      <c r="BA143" s="32">
        <f t="shared" si="101"/>
        <v>-5.3160953728711462</v>
      </c>
      <c r="BB143" s="32">
        <f t="shared" si="116"/>
        <v>15.307584627128854</v>
      </c>
      <c r="BC143" s="32">
        <f t="shared" si="102"/>
        <v>9.9700000000000006</v>
      </c>
      <c r="BD143" s="32">
        <v>0</v>
      </c>
      <c r="BE143" s="32">
        <f t="shared" si="117"/>
        <v>1.2904926564388579</v>
      </c>
      <c r="BF143" s="32">
        <f t="shared" si="118"/>
        <v>0.23659516131246972</v>
      </c>
      <c r="BG143" s="32">
        <f t="shared" si="119"/>
        <v>8.2157465781985808E-2</v>
      </c>
      <c r="BH143" s="32">
        <f t="shared" si="103"/>
        <v>2.6481092363657104</v>
      </c>
      <c r="BI143" s="32">
        <f t="shared" si="104"/>
        <v>0.5082418904504532</v>
      </c>
      <c r="BJ143" s="32">
        <f t="shared" si="105"/>
        <v>3.1563511268161637</v>
      </c>
      <c r="BK143" s="457">
        <f t="shared" si="106"/>
        <v>3.3408418125904338</v>
      </c>
      <c r="BL143" s="2"/>
    </row>
    <row r="144" spans="1:64" ht="15">
      <c r="A144" s="119"/>
      <c r="B144" s="480">
        <f>Input!B161</f>
        <v>38126</v>
      </c>
      <c r="C144" s="481">
        <v>1</v>
      </c>
      <c r="D144" s="481">
        <f t="shared" si="107"/>
        <v>5</v>
      </c>
      <c r="E144" s="481">
        <f t="shared" si="108"/>
        <v>19</v>
      </c>
      <c r="F144" s="481">
        <f t="shared" si="82"/>
        <v>140</v>
      </c>
      <c r="G144" s="431">
        <v>16.502400000000002</v>
      </c>
      <c r="H144" s="455">
        <v>16.11</v>
      </c>
      <c r="I144" s="455">
        <v>6.7</v>
      </c>
      <c r="J144" s="455">
        <v>1.22</v>
      </c>
      <c r="K144" s="485"/>
      <c r="L144" s="433">
        <v>93</v>
      </c>
      <c r="M144" s="455">
        <v>87</v>
      </c>
      <c r="N144" s="484">
        <f>Weather!M145</f>
        <v>0.2</v>
      </c>
      <c r="O144" s="481" t="str">
        <f t="shared" si="109"/>
        <v/>
      </c>
      <c r="P144" s="4">
        <f t="shared" si="120"/>
        <v>2.2714870024934979</v>
      </c>
      <c r="Q144" s="169">
        <f t="shared" si="83"/>
        <v>1.8311014884153334</v>
      </c>
      <c r="R144" s="169">
        <f t="shared" si="84"/>
        <v>0.9814065388970683</v>
      </c>
      <c r="S144" s="169">
        <f t="shared" si="85"/>
        <v>1.5930582949213401</v>
      </c>
      <c r="T144" s="169">
        <f t="shared" si="86"/>
        <v>0.9127080811742736</v>
      </c>
      <c r="U144" s="169">
        <f t="shared" si="87"/>
        <v>1.2528831880478069</v>
      </c>
      <c r="V144" s="169">
        <f t="shared" si="88"/>
        <v>4.1600066669716683E-2</v>
      </c>
      <c r="W144" s="439">
        <f t="shared" si="89"/>
        <v>10.30018416885865</v>
      </c>
      <c r="X144" s="439">
        <f t="shared" si="90"/>
        <v>10.30018416885865</v>
      </c>
      <c r="Y144" s="169"/>
      <c r="Z144" s="119" t="str">
        <f t="shared" si="91"/>
        <v/>
      </c>
      <c r="AA144" s="4" t="str">
        <f t="shared" si="92"/>
        <v/>
      </c>
      <c r="AB144" s="466"/>
      <c r="AC144" s="466"/>
      <c r="AD144" s="466"/>
      <c r="AE144" s="466"/>
      <c r="AF144" s="466"/>
      <c r="AG144" s="466"/>
      <c r="AH144" s="466"/>
      <c r="AI144" s="466"/>
      <c r="AJ144" s="466"/>
      <c r="AK144" s="466"/>
      <c r="AL144" s="466"/>
      <c r="AM144" s="462">
        <f t="shared" si="93"/>
        <v>140</v>
      </c>
      <c r="AN144" s="32">
        <f t="shared" si="110"/>
        <v>0.97544456998424511</v>
      </c>
      <c r="AO144" s="32">
        <f t="shared" si="111"/>
        <v>0.34850980170418305</v>
      </c>
      <c r="AP144" s="32">
        <f t="shared" si="112"/>
        <v>1.9311897581529691</v>
      </c>
      <c r="AQ144" s="32">
        <f t="shared" si="113"/>
        <v>14.753203010807372</v>
      </c>
      <c r="AR144" s="32">
        <f t="shared" si="114"/>
        <v>39.978890781429655</v>
      </c>
      <c r="AS144" s="32">
        <f t="shared" si="94"/>
        <v>30.012952887434874</v>
      </c>
      <c r="AT144" s="32">
        <f t="shared" si="95"/>
        <v>12.706848000000001</v>
      </c>
      <c r="AU144" s="32">
        <f t="shared" si="96"/>
        <v>0.54984259835721938</v>
      </c>
      <c r="AV144" s="32">
        <f t="shared" si="97"/>
        <v>0.39228750778224619</v>
      </c>
      <c r="AW144" s="32">
        <f t="shared" si="98"/>
        <v>1.8311014884153334</v>
      </c>
      <c r="AX144" s="32">
        <f t="shared" si="99"/>
        <v>0.9814065388970683</v>
      </c>
      <c r="AY144" s="32">
        <f t="shared" si="100"/>
        <v>1.2528831880478069</v>
      </c>
      <c r="AZ144" s="32">
        <f t="shared" si="115"/>
        <v>0.18329482942245648</v>
      </c>
      <c r="BA144" s="32">
        <f t="shared" si="101"/>
        <v>-2.3138089855685315</v>
      </c>
      <c r="BB144" s="32">
        <f t="shared" si="116"/>
        <v>10.393039014431469</v>
      </c>
      <c r="BC144" s="32">
        <f t="shared" si="102"/>
        <v>11.404999999999999</v>
      </c>
      <c r="BD144" s="32">
        <v>0</v>
      </c>
      <c r="BE144" s="32">
        <f t="shared" si="117"/>
        <v>1.4062540136562007</v>
      </c>
      <c r="BF144" s="32">
        <f t="shared" si="118"/>
        <v>0.15337082560839388</v>
      </c>
      <c r="BG144" s="32">
        <f t="shared" si="119"/>
        <v>8.9361749712641519E-2</v>
      </c>
      <c r="BH144" s="32">
        <f t="shared" si="103"/>
        <v>2.0558825936615825</v>
      </c>
      <c r="BI144" s="32">
        <f t="shared" si="104"/>
        <v>0.21560440883191526</v>
      </c>
      <c r="BJ144" s="32">
        <f t="shared" si="105"/>
        <v>2.2714870024934979</v>
      </c>
      <c r="BK144" s="457">
        <f t="shared" si="106"/>
        <v>3.3623623525256194</v>
      </c>
      <c r="BL144" s="2"/>
    </row>
    <row r="145" spans="1:64" ht="15">
      <c r="A145" s="119"/>
      <c r="B145" s="480">
        <f>Input!B162</f>
        <v>38127</v>
      </c>
      <c r="C145" s="481">
        <v>1</v>
      </c>
      <c r="D145" s="481">
        <f t="shared" si="107"/>
        <v>5</v>
      </c>
      <c r="E145" s="481">
        <f t="shared" si="108"/>
        <v>20</v>
      </c>
      <c r="F145" s="481">
        <f t="shared" si="82"/>
        <v>141</v>
      </c>
      <c r="G145" s="431">
        <v>18.230399999999999</v>
      </c>
      <c r="H145" s="455">
        <v>14.3</v>
      </c>
      <c r="I145" s="455">
        <v>10.3</v>
      </c>
      <c r="J145" s="455">
        <v>2.0299999999999998</v>
      </c>
      <c r="K145" s="485"/>
      <c r="L145" s="433">
        <v>100</v>
      </c>
      <c r="M145" s="455">
        <v>87</v>
      </c>
      <c r="N145" s="484">
        <f>Weather!M146</f>
        <v>0</v>
      </c>
      <c r="O145" s="481" t="str">
        <f t="shared" si="109"/>
        <v/>
      </c>
      <c r="P145" s="4">
        <f t="shared" si="120"/>
        <v>2.3149334984040815</v>
      </c>
      <c r="Q145" s="169">
        <f t="shared" si="83"/>
        <v>1.6299939408502728</v>
      </c>
      <c r="R145" s="169">
        <f t="shared" si="84"/>
        <v>1.2528677634951673</v>
      </c>
      <c r="S145" s="169">
        <f t="shared" si="85"/>
        <v>1.4180947285397374</v>
      </c>
      <c r="T145" s="169">
        <f t="shared" si="86"/>
        <v>1.2528677634951673</v>
      </c>
      <c r="U145" s="169">
        <f t="shared" si="87"/>
        <v>1.3354812460174523</v>
      </c>
      <c r="V145" s="169">
        <f t="shared" si="88"/>
        <v>4.5296897303958493E-2</v>
      </c>
      <c r="W145" s="439">
        <f t="shared" si="89"/>
        <v>11.258949195697339</v>
      </c>
      <c r="X145" s="439">
        <f t="shared" si="90"/>
        <v>11.258949195697339</v>
      </c>
      <c r="Y145" s="169"/>
      <c r="Z145" s="119" t="str">
        <f t="shared" si="91"/>
        <v/>
      </c>
      <c r="AA145" s="4" t="str">
        <f t="shared" si="92"/>
        <v/>
      </c>
      <c r="AB145" s="466"/>
      <c r="AC145" s="466"/>
      <c r="AD145" s="466"/>
      <c r="AE145" s="466"/>
      <c r="AF145" s="466"/>
      <c r="AG145" s="466"/>
      <c r="AH145" s="466"/>
      <c r="AI145" s="466"/>
      <c r="AJ145" s="466"/>
      <c r="AK145" s="466"/>
      <c r="AL145" s="466"/>
      <c r="AM145" s="462">
        <f t="shared" si="93"/>
        <v>141</v>
      </c>
      <c r="AN145" s="32">
        <f t="shared" si="110"/>
        <v>0.97506872063560157</v>
      </c>
      <c r="AO145" s="32">
        <f t="shared" si="111"/>
        <v>0.35214286666419159</v>
      </c>
      <c r="AP145" s="32">
        <f t="shared" si="112"/>
        <v>1.9354644979708735</v>
      </c>
      <c r="AQ145" s="32">
        <f t="shared" si="113"/>
        <v>14.785859617485032</v>
      </c>
      <c r="AR145" s="32">
        <f t="shared" si="114"/>
        <v>40.101219122080565</v>
      </c>
      <c r="AS145" s="32">
        <f t="shared" si="94"/>
        <v>30.104787219328323</v>
      </c>
      <c r="AT145" s="32">
        <f t="shared" si="95"/>
        <v>14.037407999999999</v>
      </c>
      <c r="AU145" s="32">
        <f t="shared" si="96"/>
        <v>0.60556481821919161</v>
      </c>
      <c r="AV145" s="32">
        <f t="shared" si="97"/>
        <v>0.46751250459590876</v>
      </c>
      <c r="AW145" s="32">
        <f t="shared" si="98"/>
        <v>1.6299939408502728</v>
      </c>
      <c r="AX145" s="32">
        <f t="shared" si="99"/>
        <v>1.2528677634951673</v>
      </c>
      <c r="AY145" s="32">
        <f t="shared" si="100"/>
        <v>1.3354812460174523</v>
      </c>
      <c r="AZ145" s="32">
        <f t="shared" si="115"/>
        <v>0.17821176673830058</v>
      </c>
      <c r="BA145" s="32">
        <f t="shared" si="101"/>
        <v>-2.7112763005775249</v>
      </c>
      <c r="BB145" s="32">
        <f t="shared" si="116"/>
        <v>11.326131699422474</v>
      </c>
      <c r="BC145" s="32">
        <f t="shared" si="102"/>
        <v>12.3</v>
      </c>
      <c r="BD145" s="32">
        <v>0</v>
      </c>
      <c r="BE145" s="32">
        <f t="shared" si="117"/>
        <v>1.4414308521727199</v>
      </c>
      <c r="BF145" s="32">
        <f t="shared" si="118"/>
        <v>0.10594960615526761</v>
      </c>
      <c r="BG145" s="32">
        <f t="shared" si="119"/>
        <v>9.4122233501256494E-2</v>
      </c>
      <c r="BH145" s="32">
        <f t="shared" si="103"/>
        <v>2.0955490664686987</v>
      </c>
      <c r="BI145" s="32">
        <f t="shared" si="104"/>
        <v>0.21938443193538282</v>
      </c>
      <c r="BJ145" s="32">
        <f t="shared" si="105"/>
        <v>2.3149334984040815</v>
      </c>
      <c r="BK145" s="457">
        <f t="shared" si="106"/>
        <v>2.266291754956439</v>
      </c>
      <c r="BL145" s="2"/>
    </row>
    <row r="146" spans="1:64" ht="15">
      <c r="A146" s="119"/>
      <c r="B146" s="480">
        <f>Input!B163</f>
        <v>38128</v>
      </c>
      <c r="C146" s="481">
        <v>1</v>
      </c>
      <c r="D146" s="481">
        <f t="shared" si="107"/>
        <v>5</v>
      </c>
      <c r="E146" s="481">
        <f t="shared" si="108"/>
        <v>21</v>
      </c>
      <c r="F146" s="481">
        <f t="shared" si="82"/>
        <v>142</v>
      </c>
      <c r="G146" s="431">
        <v>21.2544</v>
      </c>
      <c r="H146" s="455">
        <v>13.67</v>
      </c>
      <c r="I146" s="455">
        <v>10.9</v>
      </c>
      <c r="J146" s="455">
        <v>3.47</v>
      </c>
      <c r="K146" s="485"/>
      <c r="L146" s="433">
        <v>84</v>
      </c>
      <c r="M146" s="455">
        <v>87</v>
      </c>
      <c r="N146" s="484">
        <f>Weather!M147</f>
        <v>0</v>
      </c>
      <c r="O146" s="481" t="str">
        <f t="shared" si="109"/>
        <v/>
      </c>
      <c r="P146" s="4">
        <f t="shared" si="120"/>
        <v>2.6663210175425371</v>
      </c>
      <c r="Q146" s="169">
        <f t="shared" si="83"/>
        <v>1.5646905613636155</v>
      </c>
      <c r="R146" s="169">
        <f t="shared" si="84"/>
        <v>1.3040137525909687</v>
      </c>
      <c r="S146" s="169">
        <f t="shared" si="85"/>
        <v>1.3612807883863456</v>
      </c>
      <c r="T146" s="169">
        <f t="shared" si="86"/>
        <v>1.0953715521764138</v>
      </c>
      <c r="U146" s="169">
        <f t="shared" si="87"/>
        <v>1.2283261702813797</v>
      </c>
      <c r="V146" s="169">
        <f t="shared" si="88"/>
        <v>4.045385703952413E-2</v>
      </c>
      <c r="W146" s="439">
        <f t="shared" si="89"/>
        <v>10.00441755292897</v>
      </c>
      <c r="X146" s="439">
        <f t="shared" si="90"/>
        <v>10.00441755292897</v>
      </c>
      <c r="Y146" s="169"/>
      <c r="Z146" s="119" t="str">
        <f t="shared" si="91"/>
        <v/>
      </c>
      <c r="AA146" s="4" t="str">
        <f t="shared" si="92"/>
        <v/>
      </c>
      <c r="AB146" s="466"/>
      <c r="AC146" s="466"/>
      <c r="AD146" s="466"/>
      <c r="AE146" s="466"/>
      <c r="AF146" s="466"/>
      <c r="AG146" s="466"/>
      <c r="AH146" s="466"/>
      <c r="AI146" s="466"/>
      <c r="AJ146" s="466"/>
      <c r="AK146" s="466"/>
      <c r="AL146" s="466"/>
      <c r="AM146" s="462">
        <f t="shared" si="93"/>
        <v>142</v>
      </c>
      <c r="AN146" s="32">
        <f t="shared" si="110"/>
        <v>0.97470025896309476</v>
      </c>
      <c r="AO146" s="32">
        <f t="shared" si="111"/>
        <v>0.35567158409294203</v>
      </c>
      <c r="AP146" s="32">
        <f t="shared" si="112"/>
        <v>1.9396341144896514</v>
      </c>
      <c r="AQ146" s="32">
        <f t="shared" si="113"/>
        <v>14.817713141313565</v>
      </c>
      <c r="AR146" s="32">
        <f t="shared" si="114"/>
        <v>40.219690234926006</v>
      </c>
      <c r="AS146" s="32">
        <f t="shared" si="94"/>
        <v>30.193725853163652</v>
      </c>
      <c r="AT146" s="32">
        <f t="shared" si="95"/>
        <v>16.365888000000002</v>
      </c>
      <c r="AU146" s="32">
        <f t="shared" si="96"/>
        <v>0.70393432408319345</v>
      </c>
      <c r="AV146" s="32">
        <f t="shared" si="97"/>
        <v>0.60031133751231125</v>
      </c>
      <c r="AW146" s="32">
        <f t="shared" si="98"/>
        <v>1.5646905613636155</v>
      </c>
      <c r="AX146" s="32">
        <f t="shared" si="99"/>
        <v>1.3040137525909687</v>
      </c>
      <c r="AY146" s="32">
        <f t="shared" si="100"/>
        <v>1.2283261702813797</v>
      </c>
      <c r="AZ146" s="32">
        <f t="shared" si="115"/>
        <v>0.18483817177696366</v>
      </c>
      <c r="BA146" s="32">
        <f t="shared" si="101"/>
        <v>-3.6095622609952023</v>
      </c>
      <c r="BB146" s="32">
        <f t="shared" si="116"/>
        <v>12.756325739004799</v>
      </c>
      <c r="BC146" s="32">
        <f t="shared" si="102"/>
        <v>12.285</v>
      </c>
      <c r="BD146" s="32">
        <v>0</v>
      </c>
      <c r="BE146" s="32">
        <f t="shared" si="117"/>
        <v>1.4343521569772921</v>
      </c>
      <c r="BF146" s="32">
        <f t="shared" si="118"/>
        <v>0.20602598669591243</v>
      </c>
      <c r="BG146" s="32">
        <f t="shared" si="119"/>
        <v>9.4040704444625423E-2</v>
      </c>
      <c r="BH146" s="32">
        <f t="shared" si="103"/>
        <v>2.0365149297726561</v>
      </c>
      <c r="BI146" s="32">
        <f t="shared" si="104"/>
        <v>0.62980608776988101</v>
      </c>
      <c r="BJ146" s="32">
        <f t="shared" si="105"/>
        <v>2.6663210175425371</v>
      </c>
      <c r="BK146" s="457">
        <f t="shared" si="106"/>
        <v>1.8905596015365753</v>
      </c>
      <c r="BL146" s="2"/>
    </row>
    <row r="147" spans="1:64" ht="15">
      <c r="A147" s="119"/>
      <c r="B147" s="480">
        <f>Input!B164</f>
        <v>38129</v>
      </c>
      <c r="C147" s="481">
        <v>1</v>
      </c>
      <c r="D147" s="481">
        <f t="shared" si="107"/>
        <v>5</v>
      </c>
      <c r="E147" s="481">
        <f t="shared" si="108"/>
        <v>22</v>
      </c>
      <c r="F147" s="481">
        <f t="shared" si="82"/>
        <v>143</v>
      </c>
      <c r="G147" s="431">
        <v>13.391999999999999</v>
      </c>
      <c r="H147" s="455">
        <v>16.52</v>
      </c>
      <c r="I147" s="455">
        <v>11.2</v>
      </c>
      <c r="J147" s="455">
        <v>1.9</v>
      </c>
      <c r="K147" s="485"/>
      <c r="L147" s="433">
        <v>98</v>
      </c>
      <c r="M147" s="455">
        <v>87</v>
      </c>
      <c r="N147" s="484">
        <f>Weather!M148</f>
        <v>0.2</v>
      </c>
      <c r="O147" s="481" t="str">
        <f t="shared" si="109"/>
        <v/>
      </c>
      <c r="P147" s="4">
        <f t="shared" si="120"/>
        <v>2.0078951527307867</v>
      </c>
      <c r="Q147" s="169">
        <f t="shared" si="83"/>
        <v>1.879565756952523</v>
      </c>
      <c r="R147" s="169">
        <f t="shared" si="84"/>
        <v>1.3302680876001909</v>
      </c>
      <c r="S147" s="169">
        <f t="shared" si="85"/>
        <v>1.6352222085486949</v>
      </c>
      <c r="T147" s="169">
        <f t="shared" si="86"/>
        <v>1.303662725848187</v>
      </c>
      <c r="U147" s="169">
        <f t="shared" si="87"/>
        <v>1.469442467198441</v>
      </c>
      <c r="V147" s="169">
        <f t="shared" si="88"/>
        <v>5.0832006975741653E-2</v>
      </c>
      <c r="W147" s="439">
        <f t="shared" si="89"/>
        <v>12.708430271558061</v>
      </c>
      <c r="X147" s="439">
        <f t="shared" si="90"/>
        <v>12.708430271558061</v>
      </c>
      <c r="Y147" s="169"/>
      <c r="Z147" s="119" t="str">
        <f t="shared" si="91"/>
        <v/>
      </c>
      <c r="AA147" s="4" t="str">
        <f t="shared" si="92"/>
        <v/>
      </c>
      <c r="AB147" s="466"/>
      <c r="AC147" s="466"/>
      <c r="AD147" s="466"/>
      <c r="AE147" s="466"/>
      <c r="AF147" s="466"/>
      <c r="AG147" s="466"/>
      <c r="AH147" s="466"/>
      <c r="AI147" s="466"/>
      <c r="AJ147" s="466"/>
      <c r="AK147" s="466"/>
      <c r="AL147" s="466"/>
      <c r="AM147" s="462">
        <f t="shared" si="93"/>
        <v>143</v>
      </c>
      <c r="AN147" s="32">
        <f t="shared" si="110"/>
        <v>0.97433929414987031</v>
      </c>
      <c r="AO147" s="32">
        <f t="shared" si="111"/>
        <v>0.35909490835530422</v>
      </c>
      <c r="AP147" s="32">
        <f t="shared" si="112"/>
        <v>1.9436961108974382</v>
      </c>
      <c r="AQ147" s="32">
        <f t="shared" si="113"/>
        <v>14.848744508055365</v>
      </c>
      <c r="AR147" s="32">
        <f t="shared" si="114"/>
        <v>40.334286128647932</v>
      </c>
      <c r="AS147" s="32">
        <f t="shared" si="94"/>
        <v>30.279755282498577</v>
      </c>
      <c r="AT147" s="32">
        <f t="shared" si="95"/>
        <v>10.31184</v>
      </c>
      <c r="AU147" s="32">
        <f t="shared" si="96"/>
        <v>0.44227570120886855</v>
      </c>
      <c r="AV147" s="32">
        <f t="shared" si="97"/>
        <v>0.24707219663197266</v>
      </c>
      <c r="AW147" s="32">
        <f t="shared" si="98"/>
        <v>1.879565756952523</v>
      </c>
      <c r="AX147" s="32">
        <f t="shared" si="99"/>
        <v>1.3302680876001909</v>
      </c>
      <c r="AY147" s="32">
        <f t="shared" si="100"/>
        <v>1.469442467198441</v>
      </c>
      <c r="AZ147" s="32">
        <f t="shared" si="115"/>
        <v>0.17029121308226425</v>
      </c>
      <c r="BA147" s="32">
        <f t="shared" si="101"/>
        <v>-1.3996649232641452</v>
      </c>
      <c r="BB147" s="32">
        <f t="shared" si="116"/>
        <v>8.9121750767358545</v>
      </c>
      <c r="BC147" s="32">
        <f t="shared" si="102"/>
        <v>13.86</v>
      </c>
      <c r="BD147" s="32">
        <v>0</v>
      </c>
      <c r="BE147" s="32">
        <f t="shared" si="117"/>
        <v>1.6049169222763568</v>
      </c>
      <c r="BF147" s="32">
        <f t="shared" si="118"/>
        <v>0.13547445507791589</v>
      </c>
      <c r="BG147" s="32">
        <f t="shared" si="119"/>
        <v>0.10293670422126049</v>
      </c>
      <c r="BH147" s="32">
        <f t="shared" si="103"/>
        <v>1.753923171404945</v>
      </c>
      <c r="BI147" s="32">
        <f t="shared" si="104"/>
        <v>0.25397198132584159</v>
      </c>
      <c r="BJ147" s="32">
        <f t="shared" si="105"/>
        <v>2.0078951527307867</v>
      </c>
      <c r="BK147" s="457">
        <f t="shared" si="106"/>
        <v>2.7650491351104001</v>
      </c>
      <c r="BL147" s="2"/>
    </row>
    <row r="148" spans="1:64" ht="15">
      <c r="A148" s="119"/>
      <c r="B148" s="480">
        <f>Input!B165</f>
        <v>38130</v>
      </c>
      <c r="C148" s="481">
        <v>1</v>
      </c>
      <c r="D148" s="481">
        <f t="shared" si="107"/>
        <v>5</v>
      </c>
      <c r="E148" s="481">
        <f t="shared" si="108"/>
        <v>23</v>
      </c>
      <c r="F148" s="481">
        <f t="shared" si="82"/>
        <v>144</v>
      </c>
      <c r="G148" s="431">
        <v>21.2544</v>
      </c>
      <c r="H148" s="455">
        <v>19.8</v>
      </c>
      <c r="I148" s="455">
        <v>15.1</v>
      </c>
      <c r="J148" s="455">
        <v>1.61</v>
      </c>
      <c r="K148" s="485"/>
      <c r="L148" s="433">
        <v>91</v>
      </c>
      <c r="M148" s="455">
        <v>83</v>
      </c>
      <c r="N148" s="484">
        <f>Weather!M149</f>
        <v>0.2</v>
      </c>
      <c r="O148" s="481" t="str">
        <f t="shared" si="109"/>
        <v/>
      </c>
      <c r="P148" s="4">
        <f t="shared" si="120"/>
        <v>3.3353746158162507</v>
      </c>
      <c r="Q148" s="169">
        <f t="shared" si="83"/>
        <v>2.3094882494907831</v>
      </c>
      <c r="R148" s="169">
        <f t="shared" si="84"/>
        <v>1.7163564077019398</v>
      </c>
      <c r="S148" s="169">
        <f t="shared" si="85"/>
        <v>1.9168752470773498</v>
      </c>
      <c r="T148" s="169">
        <f t="shared" si="86"/>
        <v>1.5618843310087653</v>
      </c>
      <c r="U148" s="169">
        <f t="shared" si="87"/>
        <v>1.7393797890430576</v>
      </c>
      <c r="V148" s="169">
        <f t="shared" si="88"/>
        <v>6.059723869394678E-2</v>
      </c>
      <c r="W148" s="439">
        <f t="shared" si="89"/>
        <v>15.307305167041893</v>
      </c>
      <c r="X148" s="439">
        <f t="shared" si="90"/>
        <v>15.307305167041893</v>
      </c>
      <c r="Y148" s="169"/>
      <c r="Z148" s="119" t="str">
        <f t="shared" si="91"/>
        <v/>
      </c>
      <c r="AA148" s="4" t="str">
        <f t="shared" si="92"/>
        <v/>
      </c>
      <c r="AB148" s="466"/>
      <c r="AC148" s="466"/>
      <c r="AD148" s="466"/>
      <c r="AE148" s="466"/>
      <c r="AF148" s="466"/>
      <c r="AG148" s="466"/>
      <c r="AH148" s="466"/>
      <c r="AI148" s="466"/>
      <c r="AJ148" s="466"/>
      <c r="AK148" s="466"/>
      <c r="AL148" s="466"/>
      <c r="AM148" s="462">
        <f t="shared" si="93"/>
        <v>144</v>
      </c>
      <c r="AN148" s="32">
        <f t="shared" si="110"/>
        <v>0.97398593315759263</v>
      </c>
      <c r="AO148" s="32">
        <f t="shared" si="111"/>
        <v>0.36241182504641783</v>
      </c>
      <c r="AP148" s="32">
        <f t="shared" si="112"/>
        <v>1.9476480062878949</v>
      </c>
      <c r="AQ148" s="32">
        <f t="shared" si="113"/>
        <v>14.87893476498208</v>
      </c>
      <c r="AR148" s="32">
        <f t="shared" si="114"/>
        <v>40.444989606212332</v>
      </c>
      <c r="AS148" s="32">
        <f t="shared" si="94"/>
        <v>30.362862597175724</v>
      </c>
      <c r="AT148" s="32">
        <f t="shared" si="95"/>
        <v>16.365888000000002</v>
      </c>
      <c r="AU148" s="32">
        <f t="shared" si="96"/>
        <v>0.70001304824193455</v>
      </c>
      <c r="AV148" s="32">
        <f t="shared" si="97"/>
        <v>0.59501761512661178</v>
      </c>
      <c r="AW148" s="32">
        <f t="shared" si="98"/>
        <v>2.3094882494907831</v>
      </c>
      <c r="AX148" s="32">
        <f t="shared" si="99"/>
        <v>1.7163564077019398</v>
      </c>
      <c r="AY148" s="32">
        <f t="shared" si="100"/>
        <v>1.7393797890430571</v>
      </c>
      <c r="AZ148" s="32">
        <f t="shared" si="115"/>
        <v>0.15536023216748804</v>
      </c>
      <c r="BA148" s="32">
        <f t="shared" si="101"/>
        <v>-3.2316072733620222</v>
      </c>
      <c r="BB148" s="32">
        <f t="shared" si="116"/>
        <v>13.134280726637979</v>
      </c>
      <c r="BC148" s="32">
        <f t="shared" si="102"/>
        <v>17.45</v>
      </c>
      <c r="BD148" s="32">
        <v>0</v>
      </c>
      <c r="BE148" s="32">
        <f t="shared" si="117"/>
        <v>2.0129223285963613</v>
      </c>
      <c r="BF148" s="32">
        <f t="shared" si="118"/>
        <v>0.27354253955330421</v>
      </c>
      <c r="BG148" s="32">
        <f t="shared" si="119"/>
        <v>0.1259231912299546</v>
      </c>
      <c r="BH148" s="32">
        <f t="shared" si="103"/>
        <v>2.9367836121408195</v>
      </c>
      <c r="BI148" s="32">
        <f t="shared" si="104"/>
        <v>0.39859100367543115</v>
      </c>
      <c r="BJ148" s="32">
        <f t="shared" si="105"/>
        <v>3.3353746158162507</v>
      </c>
      <c r="BK148" s="457">
        <f t="shared" si="106"/>
        <v>2.9015798731510518</v>
      </c>
      <c r="BL148" s="2"/>
    </row>
    <row r="149" spans="1:64" ht="15">
      <c r="A149" s="119"/>
      <c r="B149" s="480">
        <f>Input!B166</f>
        <v>38131</v>
      </c>
      <c r="C149" s="481">
        <v>1</v>
      </c>
      <c r="D149" s="481">
        <f t="shared" si="107"/>
        <v>5</v>
      </c>
      <c r="E149" s="481">
        <f t="shared" si="108"/>
        <v>24</v>
      </c>
      <c r="F149" s="481">
        <f t="shared" si="82"/>
        <v>145</v>
      </c>
      <c r="G149" s="431">
        <v>24.278400000000001</v>
      </c>
      <c r="H149" s="455">
        <v>22.06</v>
      </c>
      <c r="I149" s="455">
        <v>14.9</v>
      </c>
      <c r="J149" s="455">
        <v>1.97</v>
      </c>
      <c r="K149" s="485"/>
      <c r="L149" s="433">
        <v>99</v>
      </c>
      <c r="M149" s="455">
        <v>84</v>
      </c>
      <c r="N149" s="484">
        <f>Weather!M150</f>
        <v>6.6</v>
      </c>
      <c r="O149" s="481" t="str">
        <f t="shared" si="109"/>
        <v/>
      </c>
      <c r="P149" s="4">
        <f t="shared" si="120"/>
        <v>3.6860224665711194</v>
      </c>
      <c r="Q149" s="169">
        <f t="shared" si="83"/>
        <v>2.653615757844789</v>
      </c>
      <c r="R149" s="169">
        <f t="shared" si="84"/>
        <v>1.6943980378095331</v>
      </c>
      <c r="S149" s="169">
        <f t="shared" si="85"/>
        <v>2.2290372365896225</v>
      </c>
      <c r="T149" s="169">
        <f t="shared" si="86"/>
        <v>1.6774540574314378</v>
      </c>
      <c r="U149" s="169">
        <f t="shared" si="87"/>
        <v>1.9532456470105302</v>
      </c>
      <c r="V149" s="169">
        <f t="shared" si="88"/>
        <v>6.7311993569305964E-2</v>
      </c>
      <c r="W149" s="439">
        <f t="shared" si="89"/>
        <v>17.125915594351788</v>
      </c>
      <c r="X149" s="439">
        <f t="shared" si="90"/>
        <v>17.125915594351788</v>
      </c>
      <c r="Y149" s="169"/>
      <c r="Z149" s="119" t="str">
        <f t="shared" si="91"/>
        <v/>
      </c>
      <c r="AA149" s="4" t="str">
        <f t="shared" si="92"/>
        <v/>
      </c>
      <c r="AB149" s="466"/>
      <c r="AC149" s="466"/>
      <c r="AD149" s="466"/>
      <c r="AE149" s="466"/>
      <c r="AF149" s="466"/>
      <c r="AG149" s="466"/>
      <c r="AH149" s="466"/>
      <c r="AI149" s="466"/>
      <c r="AJ149" s="466"/>
      <c r="AK149" s="466"/>
      <c r="AL149" s="466"/>
      <c r="AM149" s="462">
        <f t="shared" si="93"/>
        <v>145</v>
      </c>
      <c r="AN149" s="32">
        <f t="shared" si="110"/>
        <v>0.97364028069474995</v>
      </c>
      <c r="AO149" s="32">
        <f t="shared" si="111"/>
        <v>0.36562135129228251</v>
      </c>
      <c r="AP149" s="32">
        <f t="shared" si="112"/>
        <v>1.9514873401699415</v>
      </c>
      <c r="AQ149" s="32">
        <f t="shared" si="113"/>
        <v>14.908265115326461</v>
      </c>
      <c r="AR149" s="32">
        <f t="shared" si="114"/>
        <v>40.551784247315283</v>
      </c>
      <c r="AS149" s="32">
        <f t="shared" si="94"/>
        <v>30.44303547014453</v>
      </c>
      <c r="AT149" s="32">
        <f t="shared" si="95"/>
        <v>18.694368000000001</v>
      </c>
      <c r="AU149" s="32">
        <f t="shared" si="96"/>
        <v>0.79750260199282086</v>
      </c>
      <c r="AV149" s="32">
        <f t="shared" si="97"/>
        <v>0.72662851269030815</v>
      </c>
      <c r="AW149" s="32">
        <f t="shared" si="98"/>
        <v>2.653615757844789</v>
      </c>
      <c r="AX149" s="32">
        <f t="shared" si="99"/>
        <v>1.6943980378095331</v>
      </c>
      <c r="AY149" s="32">
        <f t="shared" si="100"/>
        <v>1.9532456470105295</v>
      </c>
      <c r="AZ149" s="32">
        <f t="shared" si="115"/>
        <v>0.14433800910394892</v>
      </c>
      <c r="BA149" s="32">
        <f t="shared" si="101"/>
        <v>-3.720578983692759</v>
      </c>
      <c r="BB149" s="32">
        <f t="shared" si="116"/>
        <v>14.973789016307242</v>
      </c>
      <c r="BC149" s="32">
        <f t="shared" si="102"/>
        <v>18.48</v>
      </c>
      <c r="BD149" s="32">
        <v>0</v>
      </c>
      <c r="BE149" s="32">
        <f t="shared" si="117"/>
        <v>2.1740068978271609</v>
      </c>
      <c r="BF149" s="32">
        <f t="shared" si="118"/>
        <v>0.22076125081663145</v>
      </c>
      <c r="BG149" s="32">
        <f t="shared" si="119"/>
        <v>0.13327076747160366</v>
      </c>
      <c r="BH149" s="32">
        <f t="shared" si="103"/>
        <v>3.3186829443450829</v>
      </c>
      <c r="BI149" s="32">
        <f t="shared" si="104"/>
        <v>0.3673395222260365</v>
      </c>
      <c r="BJ149" s="32">
        <f t="shared" si="105"/>
        <v>3.6860224665711194</v>
      </c>
      <c r="BK149" s="457">
        <f t="shared" si="106"/>
        <v>3.695689778579677</v>
      </c>
      <c r="BL149" s="2"/>
    </row>
    <row r="150" spans="1:64" ht="15">
      <c r="A150" s="119"/>
      <c r="B150" s="480">
        <f>Input!B167</f>
        <v>38132</v>
      </c>
      <c r="C150" s="481">
        <v>1</v>
      </c>
      <c r="D150" s="481">
        <f t="shared" si="107"/>
        <v>5</v>
      </c>
      <c r="E150" s="481">
        <f t="shared" si="108"/>
        <v>25</v>
      </c>
      <c r="F150" s="481">
        <f t="shared" si="82"/>
        <v>146</v>
      </c>
      <c r="G150" s="431">
        <v>21.6</v>
      </c>
      <c r="H150" s="455">
        <v>21.08</v>
      </c>
      <c r="I150" s="455">
        <v>15.6</v>
      </c>
      <c r="J150" s="455">
        <v>2.06</v>
      </c>
      <c r="K150" s="485"/>
      <c r="L150" s="433">
        <v>100</v>
      </c>
      <c r="M150" s="455">
        <v>85</v>
      </c>
      <c r="N150" s="484">
        <f>Weather!M151</f>
        <v>5.2</v>
      </c>
      <c r="O150" s="481" t="str">
        <f t="shared" si="109"/>
        <v/>
      </c>
      <c r="P150" s="4">
        <f t="shared" si="120"/>
        <v>3.28904064531531</v>
      </c>
      <c r="Q150" s="169">
        <f t="shared" si="83"/>
        <v>2.4992527055244507</v>
      </c>
      <c r="R150" s="169">
        <f t="shared" si="84"/>
        <v>1.7723474716742158</v>
      </c>
      <c r="S150" s="169">
        <f t="shared" si="85"/>
        <v>2.1243647996957828</v>
      </c>
      <c r="T150" s="169">
        <f t="shared" si="86"/>
        <v>1.7723474716742158</v>
      </c>
      <c r="U150" s="169">
        <f t="shared" si="87"/>
        <v>1.9483561356849992</v>
      </c>
      <c r="V150" s="169">
        <f t="shared" si="88"/>
        <v>6.7166862498076241E-2</v>
      </c>
      <c r="W150" s="439">
        <f t="shared" si="89"/>
        <v>17.086331767197347</v>
      </c>
      <c r="X150" s="439">
        <f t="shared" si="90"/>
        <v>17.086331767197347</v>
      </c>
      <c r="Y150" s="169"/>
      <c r="Z150" s="119" t="str">
        <f t="shared" si="91"/>
        <v/>
      </c>
      <c r="AA150" s="4" t="str">
        <f t="shared" si="92"/>
        <v/>
      </c>
      <c r="AB150" s="466"/>
      <c r="AC150" s="466"/>
      <c r="AD150" s="466"/>
      <c r="AE150" s="466"/>
      <c r="AF150" s="466"/>
      <c r="AG150" s="466"/>
      <c r="AH150" s="466"/>
      <c r="AI150" s="466"/>
      <c r="AJ150" s="466"/>
      <c r="AK150" s="466"/>
      <c r="AL150" s="466"/>
      <c r="AM150" s="462">
        <f t="shared" si="93"/>
        <v>146</v>
      </c>
      <c r="AN150" s="32">
        <f t="shared" si="110"/>
        <v>0.97330243918562676</v>
      </c>
      <c r="AO150" s="32">
        <f t="shared" si="111"/>
        <v>0.3687225360410043</v>
      </c>
      <c r="AP150" s="32">
        <f t="shared" si="112"/>
        <v>1.955211677102539</v>
      </c>
      <c r="AQ150" s="32">
        <f t="shared" si="113"/>
        <v>14.936716953689464</v>
      </c>
      <c r="AR150" s="32">
        <f t="shared" si="114"/>
        <v>40.654654392169732</v>
      </c>
      <c r="AS150" s="32">
        <f t="shared" si="94"/>
        <v>30.520262145289664</v>
      </c>
      <c r="AT150" s="32">
        <f t="shared" si="95"/>
        <v>16.632000000000001</v>
      </c>
      <c r="AU150" s="32">
        <f t="shared" si="96"/>
        <v>0.70772655546582952</v>
      </c>
      <c r="AV150" s="32">
        <f t="shared" si="97"/>
        <v>0.60543084987886997</v>
      </c>
      <c r="AW150" s="32">
        <f t="shared" si="98"/>
        <v>2.4992527055244507</v>
      </c>
      <c r="AX150" s="32">
        <f t="shared" si="99"/>
        <v>1.7723474716742158</v>
      </c>
      <c r="AY150" s="32">
        <f t="shared" si="100"/>
        <v>1.9483561356849992</v>
      </c>
      <c r="AZ150" s="32">
        <f t="shared" si="115"/>
        <v>0.14458306045937067</v>
      </c>
      <c r="BA150" s="32">
        <f t="shared" si="101"/>
        <v>-3.0981530485734288</v>
      </c>
      <c r="BB150" s="32">
        <f t="shared" si="116"/>
        <v>13.533846951426572</v>
      </c>
      <c r="BC150" s="32">
        <f t="shared" si="102"/>
        <v>18.34</v>
      </c>
      <c r="BD150" s="32">
        <v>0</v>
      </c>
      <c r="BE150" s="32">
        <f t="shared" si="117"/>
        <v>2.1358000885993333</v>
      </c>
      <c r="BF150" s="32">
        <f t="shared" si="118"/>
        <v>0.18744395291433413</v>
      </c>
      <c r="BG150" s="32">
        <f t="shared" si="119"/>
        <v>0.13225123220024307</v>
      </c>
      <c r="BH150" s="32">
        <f t="shared" si="103"/>
        <v>2.9641036722659635</v>
      </c>
      <c r="BI150" s="32">
        <f t="shared" si="104"/>
        <v>0.32493697304934654</v>
      </c>
      <c r="BJ150" s="32">
        <f t="shared" si="105"/>
        <v>3.28904064531531</v>
      </c>
      <c r="BK150" s="457">
        <f t="shared" si="106"/>
        <v>3.2288692019810439</v>
      </c>
      <c r="BL150" s="2"/>
    </row>
    <row r="151" spans="1:64" ht="15">
      <c r="A151" s="119"/>
      <c r="B151" s="480">
        <f>Input!B168</f>
        <v>38133</v>
      </c>
      <c r="C151" s="481">
        <v>1</v>
      </c>
      <c r="D151" s="481">
        <f t="shared" si="107"/>
        <v>5</v>
      </c>
      <c r="E151" s="481">
        <f t="shared" si="108"/>
        <v>26</v>
      </c>
      <c r="F151" s="481">
        <f t="shared" si="82"/>
        <v>147</v>
      </c>
      <c r="G151" s="431">
        <v>20.217600000000001</v>
      </c>
      <c r="H151" s="455">
        <v>18.7</v>
      </c>
      <c r="I151" s="455">
        <v>13.9</v>
      </c>
      <c r="J151" s="455">
        <v>1.67</v>
      </c>
      <c r="K151" s="485"/>
      <c r="L151" s="433">
        <v>80</v>
      </c>
      <c r="M151" s="455">
        <v>83</v>
      </c>
      <c r="N151" s="484">
        <f>Weather!M152</f>
        <v>0</v>
      </c>
      <c r="O151" s="481" t="str">
        <f t="shared" si="109"/>
        <v/>
      </c>
      <c r="P151" s="4">
        <f t="shared" si="120"/>
        <v>3.2219838024285434</v>
      </c>
      <c r="Q151" s="169">
        <f t="shared" si="83"/>
        <v>2.1566019800756622</v>
      </c>
      <c r="R151" s="169">
        <f t="shared" si="84"/>
        <v>1.5882603446201491</v>
      </c>
      <c r="S151" s="169">
        <f t="shared" si="85"/>
        <v>1.7899796434627995</v>
      </c>
      <c r="T151" s="169">
        <f t="shared" si="86"/>
        <v>1.2706082756961194</v>
      </c>
      <c r="U151" s="169">
        <f t="shared" si="87"/>
        <v>1.5302939595794594</v>
      </c>
      <c r="V151" s="169">
        <f t="shared" si="88"/>
        <v>5.3181560685084235E-2</v>
      </c>
      <c r="W151" s="439">
        <f t="shared" si="89"/>
        <v>13.328832463066375</v>
      </c>
      <c r="X151" s="439">
        <f t="shared" si="90"/>
        <v>13.328832463066375</v>
      </c>
      <c r="Y151" s="169"/>
      <c r="Z151" s="119" t="str">
        <f t="shared" si="91"/>
        <v/>
      </c>
      <c r="AA151" s="4" t="str">
        <f t="shared" si="92"/>
        <v/>
      </c>
      <c r="AB151" s="466"/>
      <c r="AC151" s="466"/>
      <c r="AD151" s="466"/>
      <c r="AE151" s="466"/>
      <c r="AF151" s="466"/>
      <c r="AG151" s="466"/>
      <c r="AH151" s="466"/>
      <c r="AI151" s="466"/>
      <c r="AJ151" s="466"/>
      <c r="AK151" s="466"/>
      <c r="AL151" s="466"/>
      <c r="AM151" s="462">
        <f t="shared" si="93"/>
        <v>147</v>
      </c>
      <c r="AN151" s="32">
        <f t="shared" si="110"/>
        <v>0.97297250873995333</v>
      </c>
      <c r="AO151" s="32">
        <f t="shared" si="111"/>
        <v>0.37171446034461303</v>
      </c>
      <c r="AP151" s="32">
        <f t="shared" si="112"/>
        <v>1.9588186114408845</v>
      </c>
      <c r="AQ151" s="32">
        <f t="shared" si="113"/>
        <v>14.964271902298533</v>
      </c>
      <c r="AR151" s="32">
        <f t="shared" si="114"/>
        <v>40.753585126629233</v>
      </c>
      <c r="AS151" s="32">
        <f t="shared" si="94"/>
        <v>30.594531426263099</v>
      </c>
      <c r="AT151" s="32">
        <f t="shared" si="95"/>
        <v>15.567552000000001</v>
      </c>
      <c r="AU151" s="32">
        <f t="shared" si="96"/>
        <v>0.66082397923717551</v>
      </c>
      <c r="AV151" s="32">
        <f t="shared" si="97"/>
        <v>0.54211237197018702</v>
      </c>
      <c r="AW151" s="32">
        <f t="shared" si="98"/>
        <v>2.1566019800756622</v>
      </c>
      <c r="AX151" s="32">
        <f t="shared" si="99"/>
        <v>1.5882603446201491</v>
      </c>
      <c r="AY151" s="32">
        <f t="shared" si="100"/>
        <v>1.5302939595794594</v>
      </c>
      <c r="AZ151" s="32">
        <f t="shared" si="115"/>
        <v>0.16681292886662297</v>
      </c>
      <c r="BA151" s="32">
        <f t="shared" si="101"/>
        <v>-3.111633473476239</v>
      </c>
      <c r="BB151" s="32">
        <f t="shared" si="116"/>
        <v>12.455918526523762</v>
      </c>
      <c r="BC151" s="32">
        <f t="shared" si="102"/>
        <v>16.3</v>
      </c>
      <c r="BD151" s="32">
        <v>0</v>
      </c>
      <c r="BE151" s="32">
        <f t="shared" si="117"/>
        <v>1.8724311623479055</v>
      </c>
      <c r="BF151" s="32">
        <f t="shared" si="118"/>
        <v>0.34213720276844617</v>
      </c>
      <c r="BG151" s="32">
        <f t="shared" si="119"/>
        <v>0.11812828143960909</v>
      </c>
      <c r="BH151" s="32">
        <f t="shared" si="103"/>
        <v>2.6878686226184443</v>
      </c>
      <c r="BI151" s="32">
        <f t="shared" si="104"/>
        <v>0.53411517981009915</v>
      </c>
      <c r="BJ151" s="32">
        <f t="shared" si="105"/>
        <v>3.2219838024285434</v>
      </c>
      <c r="BK151" s="457">
        <f t="shared" si="106"/>
        <v>2.8582655134436599</v>
      </c>
      <c r="BL151" s="2"/>
    </row>
    <row r="152" spans="1:64" ht="15">
      <c r="A152" s="119"/>
      <c r="B152" s="480">
        <f>Input!B169</f>
        <v>38134</v>
      </c>
      <c r="C152" s="481">
        <v>1</v>
      </c>
      <c r="D152" s="481">
        <f t="shared" si="107"/>
        <v>5</v>
      </c>
      <c r="E152" s="481">
        <f t="shared" si="108"/>
        <v>27</v>
      </c>
      <c r="F152" s="481">
        <f t="shared" si="82"/>
        <v>148</v>
      </c>
      <c r="G152" s="431">
        <v>19.3536</v>
      </c>
      <c r="H152" s="455">
        <v>19.57</v>
      </c>
      <c r="I152" s="455">
        <v>11.1</v>
      </c>
      <c r="J152" s="455">
        <v>1.46</v>
      </c>
      <c r="K152" s="485"/>
      <c r="L152" s="433">
        <v>100</v>
      </c>
      <c r="M152" s="455">
        <v>86</v>
      </c>
      <c r="N152" s="484">
        <f>Weather!M153</f>
        <v>0</v>
      </c>
      <c r="O152" s="481" t="str">
        <f t="shared" si="109"/>
        <v/>
      </c>
      <c r="P152" s="4">
        <f t="shared" si="120"/>
        <v>2.8444012802599774</v>
      </c>
      <c r="Q152" s="169">
        <f t="shared" si="83"/>
        <v>2.2767600102281214</v>
      </c>
      <c r="R152" s="169">
        <f t="shared" si="84"/>
        <v>1.3214654993101305</v>
      </c>
      <c r="S152" s="169">
        <f t="shared" si="85"/>
        <v>1.9580136087961844</v>
      </c>
      <c r="T152" s="169">
        <f t="shared" si="86"/>
        <v>1.3214654993101305</v>
      </c>
      <c r="U152" s="169">
        <f t="shared" si="87"/>
        <v>1.6397395540531574</v>
      </c>
      <c r="V152" s="169">
        <f t="shared" si="88"/>
        <v>5.7181420171290596E-2</v>
      </c>
      <c r="W152" s="439">
        <f t="shared" si="89"/>
        <v>14.392112434942142</v>
      </c>
      <c r="X152" s="439">
        <f t="shared" si="90"/>
        <v>14.392112434942142</v>
      </c>
      <c r="Y152" s="169"/>
      <c r="Z152" s="119" t="str">
        <f t="shared" si="91"/>
        <v/>
      </c>
      <c r="AA152" s="4" t="str">
        <f t="shared" si="92"/>
        <v/>
      </c>
      <c r="AB152" s="466"/>
      <c r="AC152" s="466"/>
      <c r="AD152" s="466"/>
      <c r="AE152" s="466"/>
      <c r="AF152" s="466"/>
      <c r="AG152" s="466"/>
      <c r="AH152" s="466"/>
      <c r="AI152" s="466"/>
      <c r="AJ152" s="466"/>
      <c r="AK152" s="466"/>
      <c r="AL152" s="466"/>
      <c r="AM152" s="462">
        <f t="shared" si="93"/>
        <v>148</v>
      </c>
      <c r="AN152" s="32">
        <f t="shared" si="110"/>
        <v>0.97265058712324137</v>
      </c>
      <c r="AO152" s="32">
        <f t="shared" si="111"/>
        <v>0.37459623763136651</v>
      </c>
      <c r="AP152" s="32">
        <f t="shared" si="112"/>
        <v>1.9623057721790784</v>
      </c>
      <c r="AQ152" s="32">
        <f t="shared" si="113"/>
        <v>14.990911848002829</v>
      </c>
      <c r="AR152" s="32">
        <f t="shared" si="114"/>
        <v>40.848562268635064</v>
      </c>
      <c r="AS152" s="32">
        <f t="shared" si="94"/>
        <v>30.665832666309718</v>
      </c>
      <c r="AT152" s="32">
        <f t="shared" si="95"/>
        <v>14.902272</v>
      </c>
      <c r="AU152" s="32">
        <f t="shared" si="96"/>
        <v>0.63111281570587741</v>
      </c>
      <c r="AV152" s="32">
        <f t="shared" si="97"/>
        <v>0.50200230120293454</v>
      </c>
      <c r="AW152" s="32">
        <f t="shared" si="98"/>
        <v>2.2767600102281214</v>
      </c>
      <c r="AX152" s="32">
        <f t="shared" si="99"/>
        <v>1.3214654993101305</v>
      </c>
      <c r="AY152" s="32">
        <f t="shared" si="100"/>
        <v>1.6397395540531574</v>
      </c>
      <c r="AZ152" s="32">
        <f t="shared" si="115"/>
        <v>0.16072675810528256</v>
      </c>
      <c r="BA152" s="32">
        <f t="shared" si="101"/>
        <v>-2.7418528067235974</v>
      </c>
      <c r="BB152" s="32">
        <f t="shared" si="116"/>
        <v>12.160419193276402</v>
      </c>
      <c r="BC152" s="32">
        <f t="shared" si="102"/>
        <v>15.335000000000001</v>
      </c>
      <c r="BD152" s="32">
        <v>0</v>
      </c>
      <c r="BE152" s="32">
        <f t="shared" si="117"/>
        <v>1.7991127547691259</v>
      </c>
      <c r="BF152" s="32">
        <f t="shared" si="118"/>
        <v>0.1593732007159685</v>
      </c>
      <c r="BG152" s="32">
        <f t="shared" si="119"/>
        <v>0.11190711190445263</v>
      </c>
      <c r="BH152" s="32">
        <f t="shared" si="103"/>
        <v>2.6148403762798633</v>
      </c>
      <c r="BI152" s="32">
        <f t="shared" si="104"/>
        <v>0.22956090398011386</v>
      </c>
      <c r="BJ152" s="32">
        <f t="shared" si="105"/>
        <v>2.8444012802599774</v>
      </c>
      <c r="BK152" s="457">
        <f t="shared" si="106"/>
        <v>3.6980025575671185</v>
      </c>
      <c r="BL152" s="2"/>
    </row>
    <row r="153" spans="1:64" ht="15">
      <c r="A153" s="119"/>
      <c r="B153" s="480">
        <f>Input!B170</f>
        <v>38135</v>
      </c>
      <c r="C153" s="481">
        <v>1</v>
      </c>
      <c r="D153" s="481">
        <f t="shared" si="107"/>
        <v>5</v>
      </c>
      <c r="E153" s="481">
        <f t="shared" si="108"/>
        <v>28</v>
      </c>
      <c r="F153" s="481">
        <f t="shared" si="82"/>
        <v>149</v>
      </c>
      <c r="G153" s="431">
        <v>20.1312</v>
      </c>
      <c r="H153" s="455">
        <v>19.75</v>
      </c>
      <c r="I153" s="455">
        <v>14.7</v>
      </c>
      <c r="J153" s="455">
        <v>1.21</v>
      </c>
      <c r="K153" s="485"/>
      <c r="L153" s="433">
        <v>93</v>
      </c>
      <c r="M153" s="455">
        <v>74</v>
      </c>
      <c r="N153" s="484">
        <f>Weather!M154</f>
        <v>0</v>
      </c>
      <c r="O153" s="481" t="str">
        <f t="shared" si="109"/>
        <v/>
      </c>
      <c r="P153" s="4">
        <f t="shared" si="120"/>
        <v>3.3058542029797064</v>
      </c>
      <c r="Q153" s="169">
        <f t="shared" si="83"/>
        <v>2.3023386280434228</v>
      </c>
      <c r="R153" s="169">
        <f t="shared" si="84"/>
        <v>1.6726864071818137</v>
      </c>
      <c r="S153" s="169">
        <f t="shared" si="85"/>
        <v>1.7037305847521329</v>
      </c>
      <c r="T153" s="169">
        <f t="shared" si="86"/>
        <v>1.5555983586790869</v>
      </c>
      <c r="U153" s="169">
        <f t="shared" si="87"/>
        <v>1.6296644717156099</v>
      </c>
      <c r="V153" s="169">
        <f t="shared" si="88"/>
        <v>5.6824542773247097E-2</v>
      </c>
      <c r="W153" s="439">
        <f t="shared" si="89"/>
        <v>14.296877528747737</v>
      </c>
      <c r="X153" s="439">
        <f t="shared" si="90"/>
        <v>14.296877528747737</v>
      </c>
      <c r="Y153" s="169"/>
      <c r="Z153" s="119" t="str">
        <f t="shared" si="91"/>
        <v/>
      </c>
      <c r="AA153" s="4" t="str">
        <f t="shared" si="92"/>
        <v/>
      </c>
      <c r="AB153" s="466"/>
      <c r="AC153" s="466"/>
      <c r="AD153" s="466"/>
      <c r="AE153" s="466"/>
      <c r="AF153" s="466"/>
      <c r="AG153" s="466"/>
      <c r="AH153" s="466"/>
      <c r="AI153" s="466"/>
      <c r="AJ153" s="466"/>
      <c r="AK153" s="466"/>
      <c r="AL153" s="466"/>
      <c r="AM153" s="462">
        <f t="shared" si="93"/>
        <v>149</v>
      </c>
      <c r="AN153" s="32">
        <f t="shared" si="110"/>
        <v>0.97233676972781347</v>
      </c>
      <c r="AO153" s="32">
        <f t="shared" si="111"/>
        <v>0.37736701396846095</v>
      </c>
      <c r="AP153" s="32">
        <f t="shared" si="112"/>
        <v>1.9656708278730177</v>
      </c>
      <c r="AQ153" s="32">
        <f t="shared" si="113"/>
        <v>15.01661897988139</v>
      </c>
      <c r="AR153" s="32">
        <f t="shared" si="114"/>
        <v>40.939572355962646</v>
      </c>
      <c r="AS153" s="32">
        <f t="shared" si="94"/>
        <v>30.73415575906828</v>
      </c>
      <c r="AT153" s="32">
        <f t="shared" si="95"/>
        <v>15.501024000000001</v>
      </c>
      <c r="AU153" s="32">
        <f t="shared" si="96"/>
        <v>0.65501067144361624</v>
      </c>
      <c r="AV153" s="32">
        <f t="shared" si="97"/>
        <v>0.53426440644888196</v>
      </c>
      <c r="AW153" s="32">
        <f t="shared" si="98"/>
        <v>2.3023386280434228</v>
      </c>
      <c r="AX153" s="32">
        <f t="shared" si="99"/>
        <v>1.6726864071818137</v>
      </c>
      <c r="AY153" s="32">
        <f t="shared" si="100"/>
        <v>1.6296644717156101</v>
      </c>
      <c r="AZ153" s="32">
        <f t="shared" si="115"/>
        <v>0.16127836268200219</v>
      </c>
      <c r="BA153" s="32">
        <f t="shared" si="101"/>
        <v>-3.0030482495524859</v>
      </c>
      <c r="BB153" s="32">
        <f t="shared" si="116"/>
        <v>12.497975750447516</v>
      </c>
      <c r="BC153" s="32">
        <f t="shared" si="102"/>
        <v>17.225000000000001</v>
      </c>
      <c r="BD153" s="32">
        <v>0</v>
      </c>
      <c r="BE153" s="32">
        <f t="shared" si="117"/>
        <v>1.9875125176126183</v>
      </c>
      <c r="BF153" s="32">
        <f t="shared" si="118"/>
        <v>0.35784804589700814</v>
      </c>
      <c r="BG153" s="32">
        <f t="shared" si="119"/>
        <v>0.12436470489104114</v>
      </c>
      <c r="BH153" s="32">
        <f t="shared" si="103"/>
        <v>2.8945346773090472</v>
      </c>
      <c r="BI153" s="32">
        <f t="shared" si="104"/>
        <v>0.41131952567065921</v>
      </c>
      <c r="BJ153" s="32">
        <f t="shared" si="105"/>
        <v>3.3058542029797064</v>
      </c>
      <c r="BK153" s="457">
        <f t="shared" si="106"/>
        <v>3.0250244309973868</v>
      </c>
      <c r="BL153" s="2"/>
    </row>
    <row r="154" spans="1:64" ht="15">
      <c r="A154" s="119"/>
      <c r="B154" s="480">
        <f>Input!B171</f>
        <v>38136</v>
      </c>
      <c r="C154" s="481">
        <v>1</v>
      </c>
      <c r="D154" s="481">
        <f t="shared" si="107"/>
        <v>5</v>
      </c>
      <c r="E154" s="481">
        <f t="shared" si="108"/>
        <v>29</v>
      </c>
      <c r="F154" s="481">
        <f t="shared" si="82"/>
        <v>150</v>
      </c>
      <c r="G154" s="431">
        <v>26.956800000000001</v>
      </c>
      <c r="H154" s="455">
        <v>21.45</v>
      </c>
      <c r="I154" s="455">
        <v>13.5</v>
      </c>
      <c r="J154" s="455">
        <v>1.71</v>
      </c>
      <c r="K154" s="485"/>
      <c r="L154" s="433">
        <v>100</v>
      </c>
      <c r="M154" s="455">
        <v>78</v>
      </c>
      <c r="N154" s="484">
        <f>Weather!M155</f>
        <v>0.2</v>
      </c>
      <c r="O154" s="481" t="str">
        <f t="shared" si="109"/>
        <v/>
      </c>
      <c r="P154" s="4">
        <f t="shared" si="120"/>
        <v>4.038093828748214</v>
      </c>
      <c r="Q154" s="169">
        <f t="shared" si="83"/>
        <v>2.5565846978361941</v>
      </c>
      <c r="R154" s="169">
        <f t="shared" si="84"/>
        <v>1.5474672427794578</v>
      </c>
      <c r="S154" s="169">
        <f t="shared" si="85"/>
        <v>1.9941360643122314</v>
      </c>
      <c r="T154" s="169">
        <f t="shared" si="86"/>
        <v>1.5474672427794578</v>
      </c>
      <c r="U154" s="169">
        <f t="shared" si="87"/>
        <v>1.7708016535458446</v>
      </c>
      <c r="V154" s="169">
        <f t="shared" si="88"/>
        <v>6.1633935222797628E-2</v>
      </c>
      <c r="W154" s="439">
        <f t="shared" si="89"/>
        <v>15.586382945170216</v>
      </c>
      <c r="X154" s="439">
        <f t="shared" si="90"/>
        <v>15.586382945170216</v>
      </c>
      <c r="Y154" s="169"/>
      <c r="Z154" s="119" t="str">
        <f t="shared" si="91"/>
        <v/>
      </c>
      <c r="AA154" s="4" t="str">
        <f t="shared" si="92"/>
        <v/>
      </c>
      <c r="AB154" s="466"/>
      <c r="AC154" s="466"/>
      <c r="AD154" s="466"/>
      <c r="AE154" s="466"/>
      <c r="AF154" s="466"/>
      <c r="AG154" s="466"/>
      <c r="AH154" s="466"/>
      <c r="AI154" s="466"/>
      <c r="AJ154" s="466"/>
      <c r="AK154" s="466"/>
      <c r="AL154" s="466"/>
      <c r="AM154" s="462">
        <f t="shared" si="93"/>
        <v>150</v>
      </c>
      <c r="AN154" s="32">
        <f t="shared" si="110"/>
        <v>0.97203114954453662</v>
      </c>
      <c r="AO154" s="32">
        <f t="shared" si="111"/>
        <v>0.3800259683150693</v>
      </c>
      <c r="AP154" s="32">
        <f t="shared" si="112"/>
        <v>1.9689114916260464</v>
      </c>
      <c r="AQ154" s="32">
        <f t="shared" si="113"/>
        <v>15.041375827330663</v>
      </c>
      <c r="AR154" s="32">
        <f t="shared" si="114"/>
        <v>41.026602635234561</v>
      </c>
      <c r="AS154" s="32">
        <f t="shared" si="94"/>
        <v>30.799491130323293</v>
      </c>
      <c r="AT154" s="32">
        <f t="shared" si="95"/>
        <v>20.756736</v>
      </c>
      <c r="AU154" s="32">
        <f t="shared" si="96"/>
        <v>0.87523523963225436</v>
      </c>
      <c r="AV154" s="32">
        <f t="shared" si="97"/>
        <v>0.83156757350354338</v>
      </c>
      <c r="AW154" s="32">
        <f t="shared" si="98"/>
        <v>2.5565846978361941</v>
      </c>
      <c r="AX154" s="32">
        <f t="shared" si="99"/>
        <v>1.5474672427794578</v>
      </c>
      <c r="AY154" s="32">
        <f t="shared" si="100"/>
        <v>1.7708016535458446</v>
      </c>
      <c r="AZ154" s="32">
        <f t="shared" si="115"/>
        <v>0.15369993985642796</v>
      </c>
      <c r="BA154" s="32">
        <f t="shared" si="101"/>
        <v>-4.4728713985684792</v>
      </c>
      <c r="BB154" s="32">
        <f t="shared" si="116"/>
        <v>16.283864601431521</v>
      </c>
      <c r="BC154" s="32">
        <f t="shared" si="102"/>
        <v>17.475000000000001</v>
      </c>
      <c r="BD154" s="32">
        <v>0</v>
      </c>
      <c r="BE154" s="32">
        <f t="shared" si="117"/>
        <v>2.0520259703078261</v>
      </c>
      <c r="BF154" s="32">
        <f t="shared" si="118"/>
        <v>0.28122431676198145</v>
      </c>
      <c r="BG154" s="32">
        <f t="shared" si="119"/>
        <v>0.12609737414010605</v>
      </c>
      <c r="BH154" s="32">
        <f t="shared" si="103"/>
        <v>3.6074969674751909</v>
      </c>
      <c r="BI154" s="32">
        <f t="shared" si="104"/>
        <v>0.43059686127302288</v>
      </c>
      <c r="BJ154" s="32">
        <f t="shared" si="105"/>
        <v>4.038093828748214</v>
      </c>
      <c r="BK154" s="457">
        <f t="shared" si="106"/>
        <v>3.8306978104073477</v>
      </c>
      <c r="BL154" s="2"/>
    </row>
    <row r="155" spans="1:64" ht="15">
      <c r="A155" s="119"/>
      <c r="B155" s="480">
        <f>Input!B172</f>
        <v>38137</v>
      </c>
      <c r="C155" s="481">
        <v>1</v>
      </c>
      <c r="D155" s="481">
        <f t="shared" si="107"/>
        <v>5</v>
      </c>
      <c r="E155" s="481">
        <f t="shared" si="108"/>
        <v>30</v>
      </c>
      <c r="F155" s="481">
        <f t="shared" si="82"/>
        <v>151</v>
      </c>
      <c r="G155" s="431">
        <v>20.995200000000001</v>
      </c>
      <c r="H155" s="455">
        <v>23.09</v>
      </c>
      <c r="I155" s="455">
        <v>15.6</v>
      </c>
      <c r="J155" s="455">
        <v>1.46</v>
      </c>
      <c r="K155" s="485"/>
      <c r="L155" s="433">
        <v>89</v>
      </c>
      <c r="M155" s="455">
        <v>80</v>
      </c>
      <c r="N155" s="484">
        <f>Weather!M156</f>
        <v>0</v>
      </c>
      <c r="O155" s="481" t="str">
        <f t="shared" si="109"/>
        <v/>
      </c>
      <c r="P155" s="4">
        <f t="shared" si="120"/>
        <v>3.6071849907178821</v>
      </c>
      <c r="Q155" s="169">
        <f t="shared" si="83"/>
        <v>2.8247673943446587</v>
      </c>
      <c r="R155" s="169">
        <f t="shared" si="84"/>
        <v>1.7723474716742158</v>
      </c>
      <c r="S155" s="169">
        <f t="shared" si="85"/>
        <v>2.2598139154757271</v>
      </c>
      <c r="T155" s="169">
        <f t="shared" si="86"/>
        <v>1.5773892497900521</v>
      </c>
      <c r="U155" s="169">
        <f t="shared" si="87"/>
        <v>1.9186015826328897</v>
      </c>
      <c r="V155" s="169">
        <f t="shared" si="88"/>
        <v>6.6275754715024601E-2</v>
      </c>
      <c r="W155" s="439">
        <f t="shared" si="89"/>
        <v>16.84355597843059</v>
      </c>
      <c r="X155" s="439">
        <f t="shared" si="90"/>
        <v>16.84355597843059</v>
      </c>
      <c r="Y155" s="169"/>
      <c r="Z155" s="119" t="str">
        <f t="shared" si="91"/>
        <v/>
      </c>
      <c r="AA155" s="4" t="str">
        <f t="shared" si="92"/>
        <v/>
      </c>
      <c r="AB155" s="466"/>
      <c r="AC155" s="466"/>
      <c r="AD155" s="466"/>
      <c r="AE155" s="466"/>
      <c r="AF155" s="466"/>
      <c r="AG155" s="466"/>
      <c r="AH155" s="466"/>
      <c r="AI155" s="466"/>
      <c r="AJ155" s="466"/>
      <c r="AK155" s="466"/>
      <c r="AL155" s="466"/>
      <c r="AM155" s="462">
        <f t="shared" si="93"/>
        <v>151</v>
      </c>
      <c r="AN155" s="32">
        <f t="shared" si="110"/>
        <v>0.97173381713526685</v>
      </c>
      <c r="AO155" s="32">
        <f t="shared" si="111"/>
        <v>0.38257231276563386</v>
      </c>
      <c r="AP155" s="32">
        <f t="shared" si="112"/>
        <v>1.9720255261186928</v>
      </c>
      <c r="AQ155" s="32">
        <f t="shared" si="113"/>
        <v>15.065165298488905</v>
      </c>
      <c r="AR155" s="32">
        <f t="shared" si="114"/>
        <v>41.109641052157095</v>
      </c>
      <c r="AS155" s="32">
        <f t="shared" si="94"/>
        <v>30.861829730675375</v>
      </c>
      <c r="AT155" s="32">
        <f t="shared" si="95"/>
        <v>16.166304</v>
      </c>
      <c r="AU155" s="32">
        <f t="shared" si="96"/>
        <v>0.68029667013332151</v>
      </c>
      <c r="AV155" s="32">
        <f t="shared" si="97"/>
        <v>0.56840050467998415</v>
      </c>
      <c r="AW155" s="32">
        <f t="shared" si="98"/>
        <v>2.8247673943446587</v>
      </c>
      <c r="AX155" s="32">
        <f t="shared" si="99"/>
        <v>1.7723474716742158</v>
      </c>
      <c r="AY155" s="32">
        <f t="shared" si="100"/>
        <v>1.9186015826328895</v>
      </c>
      <c r="AZ155" s="32">
        <f t="shared" si="115"/>
        <v>0.14608096787678465</v>
      </c>
      <c r="BA155" s="32">
        <f t="shared" si="101"/>
        <v>-2.9808830111832356</v>
      </c>
      <c r="BB155" s="32">
        <f t="shared" si="116"/>
        <v>13.185420988816764</v>
      </c>
      <c r="BC155" s="32">
        <f t="shared" si="102"/>
        <v>19.344999999999999</v>
      </c>
      <c r="BD155" s="32">
        <v>0</v>
      </c>
      <c r="BE155" s="32">
        <f t="shared" si="117"/>
        <v>2.2985574330094374</v>
      </c>
      <c r="BF155" s="32">
        <f t="shared" si="118"/>
        <v>0.37995585037654789</v>
      </c>
      <c r="BG155" s="32">
        <f t="shared" si="119"/>
        <v>0.13971886699580069</v>
      </c>
      <c r="BH155" s="32">
        <f t="shared" si="103"/>
        <v>3.1299170300795232</v>
      </c>
      <c r="BI155" s="32">
        <f t="shared" si="104"/>
        <v>0.47726796063835891</v>
      </c>
      <c r="BJ155" s="32">
        <f t="shared" si="105"/>
        <v>3.6071849907178821</v>
      </c>
      <c r="BK155" s="457">
        <f t="shared" si="106"/>
        <v>3.9232565451630808</v>
      </c>
      <c r="BL155" s="2"/>
    </row>
    <row r="156" spans="1:64" ht="15">
      <c r="A156" s="119"/>
      <c r="B156" s="480">
        <f>Input!B173</f>
        <v>38138</v>
      </c>
      <c r="C156" s="481">
        <v>1</v>
      </c>
      <c r="D156" s="481">
        <f t="shared" si="107"/>
        <v>5</v>
      </c>
      <c r="E156" s="481">
        <f t="shared" si="108"/>
        <v>31</v>
      </c>
      <c r="F156" s="481">
        <f t="shared" si="82"/>
        <v>152</v>
      </c>
      <c r="G156" s="431">
        <v>26.8704</v>
      </c>
      <c r="H156" s="455">
        <v>21.58</v>
      </c>
      <c r="I156" s="455">
        <v>15.3</v>
      </c>
      <c r="J156" s="455">
        <v>2.0499999999999998</v>
      </c>
      <c r="K156" s="485"/>
      <c r="L156" s="433">
        <v>98</v>
      </c>
      <c r="M156" s="455">
        <v>86</v>
      </c>
      <c r="N156" s="484">
        <f>Weather!M157</f>
        <v>0</v>
      </c>
      <c r="O156" s="481" t="str">
        <f t="shared" si="109"/>
        <v/>
      </c>
      <c r="P156" s="4">
        <f t="shared" si="120"/>
        <v>3.9641089845261237</v>
      </c>
      <c r="Q156" s="169">
        <f t="shared" si="83"/>
        <v>2.5769993961026372</v>
      </c>
      <c r="R156" s="169">
        <f t="shared" si="84"/>
        <v>1.7385638954612772</v>
      </c>
      <c r="S156" s="169">
        <f t="shared" si="85"/>
        <v>2.216219480648268</v>
      </c>
      <c r="T156" s="169">
        <f t="shared" si="86"/>
        <v>1.7037926175520517</v>
      </c>
      <c r="U156" s="169">
        <f t="shared" si="87"/>
        <v>1.9600060491001599</v>
      </c>
      <c r="V156" s="169">
        <f t="shared" si="88"/>
        <v>6.7512059360215093E-2</v>
      </c>
      <c r="W156" s="439">
        <f t="shared" si="89"/>
        <v>17.180502811851074</v>
      </c>
      <c r="X156" s="439">
        <f t="shared" si="90"/>
        <v>17.180502811851074</v>
      </c>
      <c r="Y156" s="169"/>
      <c r="Z156" s="119" t="str">
        <f t="shared" si="91"/>
        <v/>
      </c>
      <c r="AA156" s="4" t="str">
        <f t="shared" si="92"/>
        <v/>
      </c>
      <c r="AB156" s="466"/>
      <c r="AC156" s="466"/>
      <c r="AD156" s="466"/>
      <c r="AE156" s="466"/>
      <c r="AF156" s="466"/>
      <c r="AG156" s="466"/>
      <c r="AH156" s="466"/>
      <c r="AI156" s="466"/>
      <c r="AJ156" s="466"/>
      <c r="AK156" s="466"/>
      <c r="AL156" s="466"/>
      <c r="AM156" s="462">
        <f t="shared" si="93"/>
        <v>152</v>
      </c>
      <c r="AN156" s="32">
        <f t="shared" si="110"/>
        <v>0.9714448606060142</v>
      </c>
      <c r="AO156" s="32">
        <f t="shared" si="111"/>
        <v>0.38500529278333917</v>
      </c>
      <c r="AP156" s="32">
        <f t="shared" si="112"/>
        <v>1.9750107486627235</v>
      </c>
      <c r="AQ156" s="32">
        <f t="shared" si="113"/>
        <v>15.087970718846273</v>
      </c>
      <c r="AR156" s="32">
        <f t="shared" si="114"/>
        <v>41.188676242930129</v>
      </c>
      <c r="AS156" s="32">
        <f t="shared" si="94"/>
        <v>30.921163029092508</v>
      </c>
      <c r="AT156" s="32">
        <f t="shared" si="95"/>
        <v>20.690208000000002</v>
      </c>
      <c r="AU156" s="32">
        <f t="shared" si="96"/>
        <v>0.86899706763030538</v>
      </c>
      <c r="AV156" s="32">
        <f t="shared" si="97"/>
        <v>0.82314604130091229</v>
      </c>
      <c r="AW156" s="32">
        <f t="shared" si="98"/>
        <v>2.5769993961026372</v>
      </c>
      <c r="AX156" s="32">
        <f t="shared" si="99"/>
        <v>1.7385638954612772</v>
      </c>
      <c r="AY156" s="32">
        <f t="shared" si="100"/>
        <v>1.9600060491001592</v>
      </c>
      <c r="AZ156" s="32">
        <f t="shared" si="115"/>
        <v>0.1439996975452254</v>
      </c>
      <c r="BA156" s="32">
        <f t="shared" si="101"/>
        <v>-4.2017201841902629</v>
      </c>
      <c r="BB156" s="32">
        <f t="shared" si="116"/>
        <v>16.488487815809741</v>
      </c>
      <c r="BC156" s="32">
        <f t="shared" si="102"/>
        <v>18.439999999999998</v>
      </c>
      <c r="BD156" s="32">
        <v>0</v>
      </c>
      <c r="BE156" s="32">
        <f t="shared" si="117"/>
        <v>2.1577816457819572</v>
      </c>
      <c r="BF156" s="32">
        <f t="shared" si="118"/>
        <v>0.197775596681798</v>
      </c>
      <c r="BG156" s="32">
        <f t="shared" si="119"/>
        <v>0.1329787945339006</v>
      </c>
      <c r="BH156" s="32">
        <f t="shared" si="103"/>
        <v>3.6237332453085092</v>
      </c>
      <c r="BI156" s="32">
        <f t="shared" si="104"/>
        <v>0.3403757392176146</v>
      </c>
      <c r="BJ156" s="32">
        <f t="shared" si="105"/>
        <v>3.9641089845261237</v>
      </c>
      <c r="BK156" s="457">
        <f t="shared" si="106"/>
        <v>3.5116206723106438</v>
      </c>
      <c r="BL156" s="2"/>
    </row>
    <row r="157" spans="1:64" ht="15">
      <c r="A157" s="119"/>
      <c r="B157" s="480">
        <f>Input!B174</f>
        <v>38139</v>
      </c>
      <c r="C157" s="481">
        <v>1</v>
      </c>
      <c r="D157" s="481">
        <f t="shared" si="107"/>
        <v>6</v>
      </c>
      <c r="E157" s="481">
        <f t="shared" si="108"/>
        <v>1</v>
      </c>
      <c r="F157" s="481">
        <f t="shared" si="82"/>
        <v>153</v>
      </c>
      <c r="G157" s="431">
        <v>25.92</v>
      </c>
      <c r="H157" s="455">
        <v>22.92</v>
      </c>
      <c r="I157" s="455">
        <v>17.5</v>
      </c>
      <c r="J157" s="455">
        <v>1.88</v>
      </c>
      <c r="K157" s="485"/>
      <c r="L157" s="433">
        <v>83</v>
      </c>
      <c r="M157" s="455">
        <v>82</v>
      </c>
      <c r="N157" s="484">
        <f>Weather!M158</f>
        <v>0</v>
      </c>
      <c r="O157" s="481" t="str">
        <f t="shared" si="109"/>
        <v/>
      </c>
      <c r="P157" s="4">
        <f t="shared" si="120"/>
        <v>4.342203995140836</v>
      </c>
      <c r="Q157" s="169">
        <f t="shared" si="83"/>
        <v>2.7958721788209537</v>
      </c>
      <c r="R157" s="169">
        <f t="shared" si="84"/>
        <v>1.9999869748999506</v>
      </c>
      <c r="S157" s="169">
        <f t="shared" si="85"/>
        <v>2.2926151866331819</v>
      </c>
      <c r="T157" s="169">
        <f t="shared" si="86"/>
        <v>1.6599891891669589</v>
      </c>
      <c r="U157" s="169">
        <f t="shared" si="87"/>
        <v>1.9763021879000704</v>
      </c>
      <c r="V157" s="169">
        <f t="shared" si="88"/>
        <v>6.7991501005796123E-2</v>
      </c>
      <c r="W157" s="439">
        <f t="shared" si="89"/>
        <v>17.311412080562757</v>
      </c>
      <c r="X157" s="439">
        <f t="shared" si="90"/>
        <v>17.311412080562757</v>
      </c>
      <c r="Y157" s="169"/>
      <c r="Z157" s="119" t="str">
        <f t="shared" si="91"/>
        <v/>
      </c>
      <c r="AA157" s="4" t="str">
        <f t="shared" si="92"/>
        <v/>
      </c>
      <c r="AB157" s="466"/>
      <c r="AC157" s="466"/>
      <c r="AD157" s="466"/>
      <c r="AE157" s="466"/>
      <c r="AF157" s="466"/>
      <c r="AG157" s="466"/>
      <c r="AH157" s="466"/>
      <c r="AI157" s="466"/>
      <c r="AJ157" s="466"/>
      <c r="AK157" s="466"/>
      <c r="AL157" s="466"/>
      <c r="AM157" s="462">
        <f t="shared" si="93"/>
        <v>153</v>
      </c>
      <c r="AN157" s="32">
        <f t="shared" si="110"/>
        <v>0.9711643655808343</v>
      </c>
      <c r="AO157" s="32">
        <f t="shared" si="111"/>
        <v>0.38732418742369801</v>
      </c>
      <c r="AP157" s="32">
        <f t="shared" si="112"/>
        <v>1.9778650362587329</v>
      </c>
      <c r="AQ157" s="32">
        <f t="shared" si="113"/>
        <v>15.109775869881993</v>
      </c>
      <c r="AR157" s="32">
        <f t="shared" si="114"/>
        <v>41.263697526770883</v>
      </c>
      <c r="AS157" s="32">
        <f t="shared" si="94"/>
        <v>30.97748300729744</v>
      </c>
      <c r="AT157" s="32">
        <f t="shared" si="95"/>
        <v>19.958400000000001</v>
      </c>
      <c r="AU157" s="32">
        <f t="shared" si="96"/>
        <v>0.83673679988441818</v>
      </c>
      <c r="AV157" s="32">
        <f t="shared" si="97"/>
        <v>0.77959467984396469</v>
      </c>
      <c r="AW157" s="32">
        <f t="shared" si="98"/>
        <v>2.7958721788209537</v>
      </c>
      <c r="AX157" s="32">
        <f t="shared" si="99"/>
        <v>1.9999869748999506</v>
      </c>
      <c r="AY157" s="32">
        <f t="shared" si="100"/>
        <v>1.9763021879000706</v>
      </c>
      <c r="AZ157" s="32">
        <f t="shared" si="115"/>
        <v>0.14318657849922589</v>
      </c>
      <c r="BA157" s="32">
        <f t="shared" si="101"/>
        <v>-4.0531545160002862</v>
      </c>
      <c r="BB157" s="32">
        <f t="shared" si="116"/>
        <v>15.905245483999714</v>
      </c>
      <c r="BC157" s="32">
        <f t="shared" si="102"/>
        <v>20.21</v>
      </c>
      <c r="BD157" s="32">
        <v>0</v>
      </c>
      <c r="BE157" s="32">
        <f t="shared" si="117"/>
        <v>2.3979295768604523</v>
      </c>
      <c r="BF157" s="32">
        <f t="shared" si="118"/>
        <v>0.42162738896038165</v>
      </c>
      <c r="BG157" s="32">
        <f t="shared" si="119"/>
        <v>0.1464291426968414</v>
      </c>
      <c r="BH157" s="32">
        <f t="shared" si="103"/>
        <v>3.7054531788541842</v>
      </c>
      <c r="BI157" s="32">
        <f t="shared" si="104"/>
        <v>0.63675081628665153</v>
      </c>
      <c r="BJ157" s="32">
        <f t="shared" si="105"/>
        <v>4.342203995140836</v>
      </c>
      <c r="BK157" s="457">
        <f t="shared" si="106"/>
        <v>3.4278941734573736</v>
      </c>
      <c r="BL157" s="2"/>
    </row>
    <row r="158" spans="1:64" ht="15">
      <c r="A158" s="119"/>
      <c r="B158" s="480">
        <f>Input!B175</f>
        <v>38140</v>
      </c>
      <c r="C158" s="481">
        <v>1</v>
      </c>
      <c r="D158" s="481">
        <f t="shared" si="107"/>
        <v>6</v>
      </c>
      <c r="E158" s="481">
        <f t="shared" si="108"/>
        <v>2</v>
      </c>
      <c r="F158" s="481">
        <f t="shared" si="82"/>
        <v>154</v>
      </c>
      <c r="G158" s="431">
        <v>22.5504</v>
      </c>
      <c r="H158" s="455">
        <v>22.75</v>
      </c>
      <c r="I158" s="455">
        <v>16.600000000000001</v>
      </c>
      <c r="J158" s="455">
        <v>1.25</v>
      </c>
      <c r="K158" s="485"/>
      <c r="L158" s="433">
        <v>68</v>
      </c>
      <c r="M158" s="455">
        <v>83</v>
      </c>
      <c r="N158" s="484">
        <f>Weather!M159</f>
        <v>0</v>
      </c>
      <c r="O158" s="481" t="str">
        <f t="shared" si="109"/>
        <v/>
      </c>
      <c r="P158" s="4">
        <f t="shared" si="120"/>
        <v>3.9718550288769805</v>
      </c>
      <c r="Q158" s="169">
        <f t="shared" si="83"/>
        <v>2.7672353391241531</v>
      </c>
      <c r="R158" s="169">
        <f t="shared" si="84"/>
        <v>1.889152127641528</v>
      </c>
      <c r="S158" s="169">
        <f t="shared" si="85"/>
        <v>2.2968053314730468</v>
      </c>
      <c r="T158" s="169">
        <f t="shared" si="86"/>
        <v>1.2846234467962392</v>
      </c>
      <c r="U158" s="169">
        <f t="shared" si="87"/>
        <v>1.7907143891346431</v>
      </c>
      <c r="V158" s="169">
        <f t="shared" si="88"/>
        <v>6.2281432886293647E-2</v>
      </c>
      <c r="W158" s="439">
        <f t="shared" si="89"/>
        <v>15.761001799727996</v>
      </c>
      <c r="X158" s="439">
        <f t="shared" si="90"/>
        <v>15.761001799727996</v>
      </c>
      <c r="Y158" s="169"/>
      <c r="Z158" s="119" t="str">
        <f t="shared" si="91"/>
        <v/>
      </c>
      <c r="AA158" s="4" t="str">
        <f t="shared" si="92"/>
        <v/>
      </c>
      <c r="AB158" s="466"/>
      <c r="AC158" s="466"/>
      <c r="AD158" s="466"/>
      <c r="AE158" s="466"/>
      <c r="AF158" s="466"/>
      <c r="AG158" s="466"/>
      <c r="AH158" s="466"/>
      <c r="AI158" s="466"/>
      <c r="AJ158" s="466"/>
      <c r="AK158" s="466"/>
      <c r="AL158" s="466"/>
      <c r="AM158" s="462">
        <f t="shared" si="93"/>
        <v>154</v>
      </c>
      <c r="AN158" s="32">
        <f t="shared" si="110"/>
        <v>0.97089241517645686</v>
      </c>
      <c r="AO158" s="32">
        <f t="shared" si="111"/>
        <v>0.38952830954818268</v>
      </c>
      <c r="AP158" s="32">
        <f t="shared" si="112"/>
        <v>1.9805863306355707</v>
      </c>
      <c r="AQ158" s="32">
        <f t="shared" si="113"/>
        <v>15.130565027562723</v>
      </c>
      <c r="AR158" s="32">
        <f t="shared" si="114"/>
        <v>41.334694899485896</v>
      </c>
      <c r="AS158" s="32">
        <f t="shared" si="94"/>
        <v>31.030782154942056</v>
      </c>
      <c r="AT158" s="32">
        <f t="shared" si="95"/>
        <v>17.363807999999999</v>
      </c>
      <c r="AU158" s="32">
        <f t="shared" si="96"/>
        <v>0.72671065419498471</v>
      </c>
      <c r="AV158" s="32">
        <f t="shared" si="97"/>
        <v>0.6310593831632294</v>
      </c>
      <c r="AW158" s="32">
        <f t="shared" si="98"/>
        <v>2.7672353391241531</v>
      </c>
      <c r="AX158" s="32">
        <f t="shared" si="99"/>
        <v>1.889152127641528</v>
      </c>
      <c r="AY158" s="32">
        <f t="shared" si="100"/>
        <v>1.7907143891346433</v>
      </c>
      <c r="AZ158" s="32">
        <f t="shared" si="115"/>
        <v>0.15265539231929037</v>
      </c>
      <c r="BA158" s="32">
        <f t="shared" si="101"/>
        <v>-3.4729483564044488</v>
      </c>
      <c r="BB158" s="32">
        <f t="shared" si="116"/>
        <v>13.890859643595551</v>
      </c>
      <c r="BC158" s="32">
        <f t="shared" si="102"/>
        <v>19.675000000000001</v>
      </c>
      <c r="BD158" s="32">
        <v>0</v>
      </c>
      <c r="BE158" s="32">
        <f t="shared" si="117"/>
        <v>2.3281937333828404</v>
      </c>
      <c r="BF158" s="32">
        <f t="shared" si="118"/>
        <v>0.5374793442481971</v>
      </c>
      <c r="BG158" s="32">
        <f t="shared" si="119"/>
        <v>0.14224747007716412</v>
      </c>
      <c r="BH158" s="32">
        <f t="shared" si="103"/>
        <v>3.3889865999794146</v>
      </c>
      <c r="BI158" s="32">
        <f t="shared" si="104"/>
        <v>0.58286842889756607</v>
      </c>
      <c r="BJ158" s="32">
        <f t="shared" si="105"/>
        <v>3.9718550288769805</v>
      </c>
      <c r="BK158" s="457">
        <f t="shared" si="106"/>
        <v>3.6062488118522822</v>
      </c>
      <c r="BL158" s="2"/>
    </row>
    <row r="159" spans="1:64" ht="15">
      <c r="A159" s="119"/>
      <c r="B159" s="480">
        <f>Input!B176</f>
        <v>38141</v>
      </c>
      <c r="C159" s="481">
        <v>1</v>
      </c>
      <c r="D159" s="481">
        <f t="shared" si="107"/>
        <v>6</v>
      </c>
      <c r="E159" s="481">
        <f t="shared" si="108"/>
        <v>3</v>
      </c>
      <c r="F159" s="481">
        <f t="shared" si="82"/>
        <v>155</v>
      </c>
      <c r="G159" s="431">
        <v>26.6112</v>
      </c>
      <c r="H159" s="455">
        <v>23.91</v>
      </c>
      <c r="I159" s="455">
        <v>18.2</v>
      </c>
      <c r="J159" s="455">
        <v>1.95</v>
      </c>
      <c r="K159" s="485"/>
      <c r="L159" s="433">
        <v>79</v>
      </c>
      <c r="M159" s="455">
        <v>73</v>
      </c>
      <c r="N159" s="484">
        <f>Weather!M160</f>
        <v>0</v>
      </c>
      <c r="O159" s="481" t="str">
        <f t="shared" si="109"/>
        <v/>
      </c>
      <c r="P159" s="4">
        <f t="shared" si="120"/>
        <v>4.7508185916955172</v>
      </c>
      <c r="Q159" s="169">
        <f t="shared" si="83"/>
        <v>2.9678363205512177</v>
      </c>
      <c r="R159" s="169">
        <f t="shared" si="84"/>
        <v>2.0900878010879693</v>
      </c>
      <c r="S159" s="169">
        <f t="shared" si="85"/>
        <v>2.1665205140023889</v>
      </c>
      <c r="T159" s="169">
        <f t="shared" si="86"/>
        <v>1.6511693628594959</v>
      </c>
      <c r="U159" s="169">
        <f t="shared" si="87"/>
        <v>1.9088449384309425</v>
      </c>
      <c r="V159" s="169">
        <f t="shared" si="88"/>
        <v>6.5980545482781094E-2</v>
      </c>
      <c r="W159" s="439">
        <f t="shared" si="89"/>
        <v>16.763230538015854</v>
      </c>
      <c r="X159" s="439">
        <f t="shared" si="90"/>
        <v>16.763230538015854</v>
      </c>
      <c r="Y159" s="169"/>
      <c r="Z159" s="119" t="str">
        <f t="shared" si="91"/>
        <v/>
      </c>
      <c r="AA159" s="4" t="str">
        <f t="shared" si="92"/>
        <v/>
      </c>
      <c r="AB159" s="466"/>
      <c r="AC159" s="466"/>
      <c r="AD159" s="466"/>
      <c r="AE159" s="466"/>
      <c r="AF159" s="466"/>
      <c r="AG159" s="466"/>
      <c r="AH159" s="466"/>
      <c r="AI159" s="466"/>
      <c r="AJ159" s="466"/>
      <c r="AK159" s="466"/>
      <c r="AL159" s="466"/>
      <c r="AM159" s="462">
        <f t="shared" si="93"/>
        <v>155</v>
      </c>
      <c r="AN159" s="32">
        <f t="shared" si="110"/>
        <v>0.97062908997765562</v>
      </c>
      <c r="AO159" s="32">
        <f t="shared" si="111"/>
        <v>0.39161700602783878</v>
      </c>
      <c r="AP159" s="32">
        <f t="shared" si="112"/>
        <v>1.9831726432491348</v>
      </c>
      <c r="AQ159" s="32">
        <f t="shared" si="113"/>
        <v>15.150323000530546</v>
      </c>
      <c r="AR159" s="32">
        <f t="shared" si="114"/>
        <v>41.401659028018294</v>
      </c>
      <c r="AS159" s="32">
        <f t="shared" si="94"/>
        <v>31.081053465513897</v>
      </c>
      <c r="AT159" s="32">
        <f t="shared" si="95"/>
        <v>20.490624</v>
      </c>
      <c r="AU159" s="32">
        <f t="shared" si="96"/>
        <v>0.85618719550566591</v>
      </c>
      <c r="AV159" s="32">
        <f t="shared" si="97"/>
        <v>0.80585271393264912</v>
      </c>
      <c r="AW159" s="32">
        <f t="shared" si="98"/>
        <v>2.9678363205512177</v>
      </c>
      <c r="AX159" s="32">
        <f t="shared" si="99"/>
        <v>2.0900878010879693</v>
      </c>
      <c r="AY159" s="32">
        <f t="shared" si="100"/>
        <v>1.9088449384309423</v>
      </c>
      <c r="AZ159" s="32">
        <f t="shared" si="115"/>
        <v>0.14657466351781503</v>
      </c>
      <c r="BA159" s="32">
        <f t="shared" si="101"/>
        <v>-4.3386655677023258</v>
      </c>
      <c r="BB159" s="32">
        <f t="shared" si="116"/>
        <v>16.151958432297675</v>
      </c>
      <c r="BC159" s="32">
        <f t="shared" si="102"/>
        <v>21.055</v>
      </c>
      <c r="BD159" s="32">
        <v>0</v>
      </c>
      <c r="BE159" s="32">
        <f t="shared" si="117"/>
        <v>2.5289620608195937</v>
      </c>
      <c r="BF159" s="32">
        <f t="shared" si="118"/>
        <v>0.62011712238865146</v>
      </c>
      <c r="BG159" s="32">
        <f t="shared" si="119"/>
        <v>0.15324552039318359</v>
      </c>
      <c r="BH159" s="32">
        <f t="shared" si="103"/>
        <v>3.8129948925230837</v>
      </c>
      <c r="BI159" s="32">
        <f t="shared" si="104"/>
        <v>0.93782369917243391</v>
      </c>
      <c r="BJ159" s="32">
        <f t="shared" si="105"/>
        <v>4.7508185916955172</v>
      </c>
      <c r="BK159" s="457">
        <f t="shared" si="106"/>
        <v>3.6086475167999357</v>
      </c>
      <c r="BL159" s="2"/>
    </row>
    <row r="160" spans="1:64" ht="15">
      <c r="A160" s="119"/>
      <c r="B160" s="480">
        <f>Input!B177</f>
        <v>38142</v>
      </c>
      <c r="C160" s="481">
        <v>1</v>
      </c>
      <c r="D160" s="481">
        <f t="shared" si="107"/>
        <v>6</v>
      </c>
      <c r="E160" s="481">
        <f t="shared" si="108"/>
        <v>4</v>
      </c>
      <c r="F160" s="481">
        <f t="shared" si="82"/>
        <v>156</v>
      </c>
      <c r="G160" s="431">
        <v>26.6112</v>
      </c>
      <c r="H160" s="455">
        <v>18.23</v>
      </c>
      <c r="I160" s="455">
        <v>13.5</v>
      </c>
      <c r="J160" s="455">
        <v>1.31</v>
      </c>
      <c r="K160" s="485"/>
      <c r="L160" s="433">
        <v>76</v>
      </c>
      <c r="M160" s="455">
        <v>87</v>
      </c>
      <c r="N160" s="484">
        <f>Weather!M161</f>
        <v>7.2</v>
      </c>
      <c r="O160" s="481" t="str">
        <f t="shared" si="109"/>
        <v/>
      </c>
      <c r="P160" s="4">
        <f t="shared" si="120"/>
        <v>3.9279677078967485</v>
      </c>
      <c r="Q160" s="169">
        <f t="shared" si="83"/>
        <v>2.0940274002875432</v>
      </c>
      <c r="R160" s="169">
        <f t="shared" si="84"/>
        <v>1.5474672427794578</v>
      </c>
      <c r="S160" s="169">
        <f t="shared" si="85"/>
        <v>1.8218038382501627</v>
      </c>
      <c r="T160" s="169">
        <f t="shared" si="86"/>
        <v>1.1760751045123878</v>
      </c>
      <c r="U160" s="169">
        <f t="shared" si="87"/>
        <v>1.4989394713812754</v>
      </c>
      <c r="V160" s="169">
        <f t="shared" si="88"/>
        <v>5.1982834082849767E-2</v>
      </c>
      <c r="W160" s="439">
        <f t="shared" si="89"/>
        <v>13.011923171165748</v>
      </c>
      <c r="X160" s="439">
        <f t="shared" si="90"/>
        <v>13.011923171165748</v>
      </c>
      <c r="Y160" s="169"/>
      <c r="Z160" s="119" t="str">
        <f t="shared" si="91"/>
        <v/>
      </c>
      <c r="AA160" s="4" t="str">
        <f t="shared" si="92"/>
        <v/>
      </c>
      <c r="AB160" s="466"/>
      <c r="AC160" s="466"/>
      <c r="AD160" s="466"/>
      <c r="AE160" s="466"/>
      <c r="AF160" s="466"/>
      <c r="AG160" s="466"/>
      <c r="AH160" s="466"/>
      <c r="AI160" s="466"/>
      <c r="AJ160" s="466"/>
      <c r="AK160" s="466"/>
      <c r="AL160" s="466"/>
      <c r="AM160" s="462">
        <f t="shared" si="93"/>
        <v>156</v>
      </c>
      <c r="AN160" s="32">
        <f t="shared" si="110"/>
        <v>0.97037446801337024</v>
      </c>
      <c r="AO160" s="32">
        <f t="shared" si="111"/>
        <v>0.3935896579368216</v>
      </c>
      <c r="AP160" s="32">
        <f t="shared" si="112"/>
        <v>1.9856220602174155</v>
      </c>
      <c r="AQ160" s="32">
        <f t="shared" si="113"/>
        <v>15.169035167803909</v>
      </c>
      <c r="AR160" s="32">
        <f t="shared" si="114"/>
        <v>41.464581245892418</v>
      </c>
      <c r="AS160" s="32">
        <f t="shared" si="94"/>
        <v>31.128290432916359</v>
      </c>
      <c r="AT160" s="32">
        <f t="shared" si="95"/>
        <v>20.490624</v>
      </c>
      <c r="AU160" s="32">
        <f t="shared" si="96"/>
        <v>0.85488793730413803</v>
      </c>
      <c r="AV160" s="32">
        <f t="shared" si="97"/>
        <v>0.80409871536058641</v>
      </c>
      <c r="AW160" s="32">
        <f t="shared" si="98"/>
        <v>2.0940274002875432</v>
      </c>
      <c r="AX160" s="32">
        <f t="shared" si="99"/>
        <v>1.5474672427794578</v>
      </c>
      <c r="AY160" s="32">
        <f t="shared" si="100"/>
        <v>1.4989394713812756</v>
      </c>
      <c r="AZ160" s="32">
        <f t="shared" si="115"/>
        <v>0.16859634298220763</v>
      </c>
      <c r="BA160" s="32">
        <f t="shared" si="101"/>
        <v>-4.6367062577238931</v>
      </c>
      <c r="BB160" s="32">
        <f t="shared" si="116"/>
        <v>15.853917742276106</v>
      </c>
      <c r="BC160" s="32">
        <f t="shared" si="102"/>
        <v>15.865</v>
      </c>
      <c r="BD160" s="32">
        <v>0</v>
      </c>
      <c r="BE160" s="32">
        <f t="shared" si="117"/>
        <v>1.8207473215335006</v>
      </c>
      <c r="BF160" s="32">
        <f t="shared" si="118"/>
        <v>0.32180785015222502</v>
      </c>
      <c r="BG160" s="32">
        <f t="shared" si="119"/>
        <v>0.11528852187941349</v>
      </c>
      <c r="BH160" s="32">
        <f t="shared" si="103"/>
        <v>3.512741535457534</v>
      </c>
      <c r="BI160" s="32">
        <f t="shared" si="104"/>
        <v>0.4152261724392145</v>
      </c>
      <c r="BJ160" s="32">
        <f t="shared" si="105"/>
        <v>3.9279677078967485</v>
      </c>
      <c r="BK160" s="457">
        <f t="shared" si="106"/>
        <v>2.8500220797180336</v>
      </c>
      <c r="BL160" s="2"/>
    </row>
    <row r="161" spans="1:64" ht="15">
      <c r="A161" s="119"/>
      <c r="B161" s="480">
        <f>Input!B178</f>
        <v>38143</v>
      </c>
      <c r="C161" s="481">
        <v>1</v>
      </c>
      <c r="D161" s="481">
        <f t="shared" si="107"/>
        <v>6</v>
      </c>
      <c r="E161" s="481">
        <f t="shared" si="108"/>
        <v>5</v>
      </c>
      <c r="F161" s="481">
        <f t="shared" si="82"/>
        <v>157</v>
      </c>
      <c r="G161" s="431">
        <v>24.7104</v>
      </c>
      <c r="H161" s="455">
        <v>20.53</v>
      </c>
      <c r="I161" s="455">
        <v>11.8</v>
      </c>
      <c r="J161" s="455">
        <v>1.4</v>
      </c>
      <c r="K161" s="485"/>
      <c r="L161" s="433">
        <v>91</v>
      </c>
      <c r="M161" s="455">
        <v>88</v>
      </c>
      <c r="N161" s="484">
        <f>Weather!M162</f>
        <v>0</v>
      </c>
      <c r="O161" s="481" t="str">
        <f t="shared" si="109"/>
        <v/>
      </c>
      <c r="P161" s="4">
        <f t="shared" si="120"/>
        <v>3.6238138037089076</v>
      </c>
      <c r="Q161" s="169">
        <f t="shared" si="83"/>
        <v>2.4161061563507671</v>
      </c>
      <c r="R161" s="169">
        <f t="shared" si="84"/>
        <v>1.3841737831842924</v>
      </c>
      <c r="S161" s="169">
        <f t="shared" si="85"/>
        <v>2.1261734175886748</v>
      </c>
      <c r="T161" s="169">
        <f t="shared" si="86"/>
        <v>1.2595981426977061</v>
      </c>
      <c r="U161" s="169">
        <f t="shared" si="87"/>
        <v>1.6928857801431905</v>
      </c>
      <c r="V161" s="169">
        <f t="shared" si="88"/>
        <v>5.9028392620769241E-2</v>
      </c>
      <c r="W161" s="439">
        <f t="shared" si="89"/>
        <v>14.886142641350981</v>
      </c>
      <c r="X161" s="439">
        <f t="shared" si="90"/>
        <v>14.886142641350981</v>
      </c>
      <c r="Y161" s="169"/>
      <c r="Z161" s="119" t="str">
        <f t="shared" si="91"/>
        <v/>
      </c>
      <c r="AA161" s="4" t="str">
        <f t="shared" si="92"/>
        <v/>
      </c>
      <c r="AB161" s="466"/>
      <c r="AC161" s="466"/>
      <c r="AD161" s="466"/>
      <c r="AE161" s="466"/>
      <c r="AF161" s="466"/>
      <c r="AG161" s="466"/>
      <c r="AH161" s="466"/>
      <c r="AI161" s="466"/>
      <c r="AJ161" s="466"/>
      <c r="AK161" s="466"/>
      <c r="AL161" s="466"/>
      <c r="AM161" s="462">
        <f t="shared" si="93"/>
        <v>157</v>
      </c>
      <c r="AN161" s="32">
        <f t="shared" si="110"/>
        <v>0.97012862473358386</v>
      </c>
      <c r="AO161" s="32">
        <f t="shared" si="111"/>
        <v>0.39544568073579722</v>
      </c>
      <c r="AP161" s="32">
        <f t="shared" si="112"/>
        <v>1.9879327471681822</v>
      </c>
      <c r="AQ161" s="32">
        <f t="shared" si="113"/>
        <v>15.186687515811226</v>
      </c>
      <c r="AR161" s="32">
        <f t="shared" si="114"/>
        <v>41.523453549472762</v>
      </c>
      <c r="AS161" s="32">
        <f t="shared" si="94"/>
        <v>31.172487048660194</v>
      </c>
      <c r="AT161" s="32">
        <f t="shared" si="95"/>
        <v>19.027008000000002</v>
      </c>
      <c r="AU161" s="32">
        <f t="shared" si="96"/>
        <v>0.79269902210327692</v>
      </c>
      <c r="AV161" s="32">
        <f t="shared" si="97"/>
        <v>0.72014367983942396</v>
      </c>
      <c r="AW161" s="32">
        <f t="shared" si="98"/>
        <v>2.4161061563507671</v>
      </c>
      <c r="AX161" s="32">
        <f t="shared" si="99"/>
        <v>1.3841737831842924</v>
      </c>
      <c r="AY161" s="32">
        <f t="shared" si="100"/>
        <v>1.69288578014319</v>
      </c>
      <c r="AZ161" s="32">
        <f t="shared" si="115"/>
        <v>0.15784467811560782</v>
      </c>
      <c r="BA161" s="32">
        <f t="shared" si="101"/>
        <v>-3.9077047757677801</v>
      </c>
      <c r="BB161" s="32">
        <f t="shared" si="116"/>
        <v>15.119303224232223</v>
      </c>
      <c r="BC161" s="32">
        <f t="shared" si="102"/>
        <v>16.164999999999999</v>
      </c>
      <c r="BD161" s="32">
        <v>0</v>
      </c>
      <c r="BE161" s="32">
        <f t="shared" si="117"/>
        <v>1.9001399697675296</v>
      </c>
      <c r="BF161" s="32">
        <f t="shared" si="118"/>
        <v>0.20725418962433961</v>
      </c>
      <c r="BG161" s="32">
        <f t="shared" si="119"/>
        <v>0.11724069244518447</v>
      </c>
      <c r="BH161" s="32">
        <f t="shared" si="103"/>
        <v>3.343606871055437</v>
      </c>
      <c r="BI161" s="32">
        <f t="shared" si="104"/>
        <v>0.2802069326534708</v>
      </c>
      <c r="BJ161" s="32">
        <f t="shared" si="105"/>
        <v>3.6238138037089076</v>
      </c>
      <c r="BK161" s="457">
        <f t="shared" si="106"/>
        <v>3.9119559830696349</v>
      </c>
      <c r="BL161" s="2"/>
    </row>
    <row r="162" spans="1:64" ht="15">
      <c r="A162" s="119"/>
      <c r="B162" s="480">
        <f>Input!B179</f>
        <v>38144</v>
      </c>
      <c r="C162" s="481">
        <v>1</v>
      </c>
      <c r="D162" s="481">
        <f t="shared" si="107"/>
        <v>6</v>
      </c>
      <c r="E162" s="481">
        <f t="shared" si="108"/>
        <v>6</v>
      </c>
      <c r="F162" s="481">
        <f t="shared" si="82"/>
        <v>158</v>
      </c>
      <c r="G162" s="431">
        <v>28.598400000000002</v>
      </c>
      <c r="H162" s="455">
        <v>21.1</v>
      </c>
      <c r="I162" s="455">
        <v>12.8</v>
      </c>
      <c r="J162" s="455">
        <v>1.71</v>
      </c>
      <c r="K162" s="485"/>
      <c r="L162" s="433">
        <v>93</v>
      </c>
      <c r="M162" s="455">
        <v>86</v>
      </c>
      <c r="N162" s="484">
        <f>Weather!M163</f>
        <v>0.4</v>
      </c>
      <c r="O162" s="481" t="str">
        <f t="shared" si="109"/>
        <v/>
      </c>
      <c r="P162" s="4">
        <f t="shared" si="120"/>
        <v>4.1290757913512</v>
      </c>
      <c r="Q162" s="169">
        <f t="shared" si="83"/>
        <v>2.5023227554890153</v>
      </c>
      <c r="R162" s="169">
        <f t="shared" si="84"/>
        <v>1.4782881252432811</v>
      </c>
      <c r="S162" s="169">
        <f t="shared" si="85"/>
        <v>2.1519975697205531</v>
      </c>
      <c r="T162" s="169">
        <f t="shared" si="86"/>
        <v>1.3748079564762514</v>
      </c>
      <c r="U162" s="169">
        <f t="shared" si="87"/>
        <v>1.7634027630984024</v>
      </c>
      <c r="V162" s="169">
        <f t="shared" si="88"/>
        <v>6.1391490227127983E-2</v>
      </c>
      <c r="W162" s="439">
        <f t="shared" si="89"/>
        <v>15.521061741090266</v>
      </c>
      <c r="X162" s="439">
        <f t="shared" si="90"/>
        <v>15.521061741090266</v>
      </c>
      <c r="Y162" s="169"/>
      <c r="Z162" s="119" t="str">
        <f t="shared" si="91"/>
        <v/>
      </c>
      <c r="AA162" s="4" t="str">
        <f t="shared" si="92"/>
        <v/>
      </c>
      <c r="AB162" s="466"/>
      <c r="AC162" s="466"/>
      <c r="AD162" s="466"/>
      <c r="AE162" s="466"/>
      <c r="AF162" s="466"/>
      <c r="AG162" s="466"/>
      <c r="AH162" s="466"/>
      <c r="AI162" s="466"/>
      <c r="AJ162" s="466"/>
      <c r="AK162" s="466"/>
      <c r="AL162" s="466"/>
      <c r="AM162" s="462">
        <f t="shared" si="93"/>
        <v>158</v>
      </c>
      <c r="AN162" s="32">
        <f t="shared" si="110"/>
        <v>0.96989163298696601</v>
      </c>
      <c r="AO162" s="32">
        <f t="shared" si="111"/>
        <v>0.39718452444515412</v>
      </c>
      <c r="AP162" s="32">
        <f t="shared" si="112"/>
        <v>1.9901029539753909</v>
      </c>
      <c r="AQ162" s="32">
        <f t="shared" si="113"/>
        <v>15.203266674574374</v>
      </c>
      <c r="AR162" s="32">
        <f t="shared" si="114"/>
        <v>41.578268594950558</v>
      </c>
      <c r="AS162" s="32">
        <f t="shared" si="94"/>
        <v>31.213637799601283</v>
      </c>
      <c r="AT162" s="32">
        <f t="shared" si="95"/>
        <v>22.020768</v>
      </c>
      <c r="AU162" s="32">
        <f t="shared" si="96"/>
        <v>0.91621489887235485</v>
      </c>
      <c r="AV162" s="32">
        <f t="shared" si="97"/>
        <v>0.8868901134776791</v>
      </c>
      <c r="AW162" s="32">
        <f t="shared" si="98"/>
        <v>2.5023227554890153</v>
      </c>
      <c r="AX162" s="32">
        <f t="shared" si="99"/>
        <v>1.4782881252432811</v>
      </c>
      <c r="AY162" s="32">
        <f t="shared" si="100"/>
        <v>1.7634027630984024</v>
      </c>
      <c r="AZ162" s="32">
        <f t="shared" si="115"/>
        <v>0.15408955339538155</v>
      </c>
      <c r="BA162" s="32">
        <f t="shared" si="101"/>
        <v>-4.7485711875980003</v>
      </c>
      <c r="BB162" s="32">
        <f t="shared" si="116"/>
        <v>17.272196812402001</v>
      </c>
      <c r="BC162" s="32">
        <f t="shared" si="102"/>
        <v>16.950000000000003</v>
      </c>
      <c r="BD162" s="32">
        <v>0</v>
      </c>
      <c r="BE162" s="32">
        <f t="shared" si="117"/>
        <v>1.9903054403661482</v>
      </c>
      <c r="BF162" s="32">
        <f t="shared" si="118"/>
        <v>0.22690267726774582</v>
      </c>
      <c r="BG162" s="32">
        <f t="shared" si="119"/>
        <v>0.12248213190241858</v>
      </c>
      <c r="BH162" s="32">
        <f t="shared" si="103"/>
        <v>3.775520511785778</v>
      </c>
      <c r="BI162" s="32">
        <f t="shared" si="104"/>
        <v>0.3535552795654216</v>
      </c>
      <c r="BJ162" s="32">
        <f t="shared" si="105"/>
        <v>4.1290757913512</v>
      </c>
      <c r="BK162" s="457">
        <f t="shared" si="106"/>
        <v>3.9077071292664112</v>
      </c>
      <c r="BL162" s="2"/>
    </row>
    <row r="163" spans="1:64" ht="15">
      <c r="A163" s="119"/>
      <c r="B163" s="480">
        <f>Input!B180</f>
        <v>38145</v>
      </c>
      <c r="C163" s="481">
        <v>1</v>
      </c>
      <c r="D163" s="481">
        <f t="shared" si="107"/>
        <v>6</v>
      </c>
      <c r="E163" s="481">
        <f t="shared" si="108"/>
        <v>7</v>
      </c>
      <c r="F163" s="481">
        <f t="shared" si="82"/>
        <v>159</v>
      </c>
      <c r="G163" s="431">
        <v>27.820799999999998</v>
      </c>
      <c r="H163" s="455">
        <v>22.27</v>
      </c>
      <c r="I163" s="455">
        <v>16</v>
      </c>
      <c r="J163" s="455">
        <v>1.58</v>
      </c>
      <c r="K163" s="485"/>
      <c r="L163" s="433">
        <v>85</v>
      </c>
      <c r="M163" s="455">
        <v>83</v>
      </c>
      <c r="N163" s="484">
        <f>Weather!M164</f>
        <v>0</v>
      </c>
      <c r="O163" s="481" t="str">
        <f t="shared" si="109"/>
        <v/>
      </c>
      <c r="P163" s="4">
        <f t="shared" si="120"/>
        <v>4.4462286753676405</v>
      </c>
      <c r="Q163" s="169">
        <f t="shared" si="83"/>
        <v>2.6877561720399799</v>
      </c>
      <c r="R163" s="169">
        <f t="shared" si="84"/>
        <v>1.8182866804855506</v>
      </c>
      <c r="S163" s="169">
        <f t="shared" si="85"/>
        <v>2.230837622793183</v>
      </c>
      <c r="T163" s="169">
        <f t="shared" si="86"/>
        <v>1.5455436784127181</v>
      </c>
      <c r="U163" s="169">
        <f t="shared" si="87"/>
        <v>1.8881906506029504</v>
      </c>
      <c r="V163" s="169">
        <f t="shared" si="88"/>
        <v>6.5350593425307052E-2</v>
      </c>
      <c r="W163" s="439">
        <f t="shared" si="89"/>
        <v>16.591992367125158</v>
      </c>
      <c r="X163" s="439">
        <f t="shared" si="90"/>
        <v>16.591992367125158</v>
      </c>
      <c r="Y163" s="169"/>
      <c r="Z163" s="119" t="str">
        <f t="shared" si="91"/>
        <v/>
      </c>
      <c r="AA163" s="4" t="str">
        <f t="shared" si="92"/>
        <v/>
      </c>
      <c r="AB163" s="466"/>
      <c r="AC163" s="466"/>
      <c r="AD163" s="466"/>
      <c r="AE163" s="466"/>
      <c r="AF163" s="466"/>
      <c r="AG163" s="466"/>
      <c r="AH163" s="466"/>
      <c r="AI163" s="466"/>
      <c r="AJ163" s="466"/>
      <c r="AK163" s="466"/>
      <c r="AL163" s="466"/>
      <c r="AM163" s="462">
        <f t="shared" si="93"/>
        <v>159</v>
      </c>
      <c r="AN163" s="32">
        <f t="shared" si="110"/>
        <v>0.96966356299928591</v>
      </c>
      <c r="AO163" s="32">
        <f t="shared" si="111"/>
        <v>0.39880567380797377</v>
      </c>
      <c r="AP163" s="32">
        <f t="shared" si="112"/>
        <v>1.9921310193602464</v>
      </c>
      <c r="AQ163" s="32">
        <f t="shared" si="113"/>
        <v>15.218759952858214</v>
      </c>
      <c r="AR163" s="32">
        <f t="shared" si="114"/>
        <v>41.629019695968772</v>
      </c>
      <c r="AS163" s="32">
        <f t="shared" si="94"/>
        <v>31.25173766615768</v>
      </c>
      <c r="AT163" s="32">
        <f t="shared" si="95"/>
        <v>21.422015999999999</v>
      </c>
      <c r="AU163" s="32">
        <f t="shared" si="96"/>
        <v>0.89021609925156187</v>
      </c>
      <c r="AV163" s="32">
        <f t="shared" si="97"/>
        <v>0.85179173398960872</v>
      </c>
      <c r="AW163" s="32">
        <f t="shared" si="98"/>
        <v>2.6877561720399799</v>
      </c>
      <c r="AX163" s="32">
        <f t="shared" si="99"/>
        <v>1.8182866804855506</v>
      </c>
      <c r="AY163" s="32">
        <f t="shared" si="100"/>
        <v>1.88819065060295</v>
      </c>
      <c r="AZ163" s="32">
        <f t="shared" si="115"/>
        <v>0.14762397043337802</v>
      </c>
      <c r="BA163" s="32">
        <f t="shared" si="101"/>
        <v>-4.4999964794701706</v>
      </c>
      <c r="BB163" s="32">
        <f t="shared" si="116"/>
        <v>16.92201952052983</v>
      </c>
      <c r="BC163" s="32">
        <f t="shared" si="102"/>
        <v>19.134999999999998</v>
      </c>
      <c r="BD163" s="32">
        <v>0</v>
      </c>
      <c r="BE163" s="32">
        <f t="shared" si="117"/>
        <v>2.253021426262765</v>
      </c>
      <c r="BF163" s="32">
        <f t="shared" si="118"/>
        <v>0.36483077565981503</v>
      </c>
      <c r="BG163" s="32">
        <f t="shared" si="119"/>
        <v>0.13812965171797681</v>
      </c>
      <c r="BH163" s="32">
        <f t="shared" si="103"/>
        <v>3.9523002975946153</v>
      </c>
      <c r="BI163" s="32">
        <f t="shared" si="104"/>
        <v>0.4939283777730249</v>
      </c>
      <c r="BJ163" s="32">
        <f t="shared" si="105"/>
        <v>4.4462286753676405</v>
      </c>
      <c r="BK163" s="457">
        <f t="shared" si="106"/>
        <v>3.6143467020112907</v>
      </c>
      <c r="BL163" s="2"/>
    </row>
    <row r="164" spans="1:64" ht="15">
      <c r="A164" s="119"/>
      <c r="B164" s="480">
        <f>Input!B181</f>
        <v>38146</v>
      </c>
      <c r="C164" s="481">
        <v>1</v>
      </c>
      <c r="D164" s="481">
        <f t="shared" si="107"/>
        <v>6</v>
      </c>
      <c r="E164" s="481">
        <f t="shared" si="108"/>
        <v>8</v>
      </c>
      <c r="F164" s="481">
        <f t="shared" si="82"/>
        <v>160</v>
      </c>
      <c r="G164" s="431">
        <v>27.216000000000001</v>
      </c>
      <c r="H164" s="455">
        <v>21.65</v>
      </c>
      <c r="I164" s="455">
        <v>15.4</v>
      </c>
      <c r="J164" s="455">
        <v>2.11</v>
      </c>
      <c r="K164" s="485"/>
      <c r="L164" s="433">
        <v>74</v>
      </c>
      <c r="M164" s="455">
        <v>84</v>
      </c>
      <c r="N164" s="484">
        <f>Weather!M165</f>
        <v>0</v>
      </c>
      <c r="O164" s="481" t="str">
        <f t="shared" si="109"/>
        <v/>
      </c>
      <c r="P164" s="4">
        <f t="shared" si="120"/>
        <v>4.3562374293007231</v>
      </c>
      <c r="Q164" s="169">
        <f t="shared" si="83"/>
        <v>2.5880508034988008</v>
      </c>
      <c r="R164" s="169">
        <f t="shared" si="84"/>
        <v>1.7497618068909833</v>
      </c>
      <c r="S164" s="169">
        <f t="shared" si="85"/>
        <v>2.1739626749389926</v>
      </c>
      <c r="T164" s="169">
        <f t="shared" si="86"/>
        <v>1.2948237370993276</v>
      </c>
      <c r="U164" s="169">
        <f t="shared" si="87"/>
        <v>1.7343932060191602</v>
      </c>
      <c r="V164" s="169">
        <f t="shared" si="88"/>
        <v>6.0430997145305594E-2</v>
      </c>
      <c r="W164" s="439">
        <f t="shared" si="89"/>
        <v>15.262610387327522</v>
      </c>
      <c r="X164" s="439">
        <f t="shared" si="90"/>
        <v>15.262610387327522</v>
      </c>
      <c r="Y164" s="169"/>
      <c r="Z164" s="119" t="str">
        <f t="shared" si="91"/>
        <v/>
      </c>
      <c r="AA164" s="4" t="str">
        <f t="shared" si="92"/>
        <v/>
      </c>
      <c r="AB164" s="466"/>
      <c r="AC164" s="466"/>
      <c r="AD164" s="466"/>
      <c r="AE164" s="466"/>
      <c r="AF164" s="466"/>
      <c r="AG164" s="466"/>
      <c r="AH164" s="466"/>
      <c r="AI164" s="466"/>
      <c r="AJ164" s="466"/>
      <c r="AK164" s="466"/>
      <c r="AL164" s="466"/>
      <c r="AM164" s="462">
        <f t="shared" si="93"/>
        <v>160</v>
      </c>
      <c r="AN164" s="32">
        <f t="shared" si="110"/>
        <v>0.96944448235260294</v>
      </c>
      <c r="AO164" s="32">
        <f t="shared" si="111"/>
        <v>0.40030864844271274</v>
      </c>
      <c r="AP164" s="32">
        <f t="shared" si="112"/>
        <v>1.9940153753329004</v>
      </c>
      <c r="AQ164" s="32">
        <f t="shared" si="113"/>
        <v>15.233155372102662</v>
      </c>
      <c r="AR164" s="32">
        <f t="shared" si="114"/>
        <v>41.675700821794287</v>
      </c>
      <c r="AS164" s="32">
        <f t="shared" si="94"/>
        <v>31.28678212093741</v>
      </c>
      <c r="AT164" s="32">
        <f t="shared" si="95"/>
        <v>20.956320000000002</v>
      </c>
      <c r="AU164" s="32">
        <f t="shared" si="96"/>
        <v>0.86988811744199146</v>
      </c>
      <c r="AV164" s="32">
        <f t="shared" si="97"/>
        <v>0.82434895854668866</v>
      </c>
      <c r="AW164" s="32">
        <f t="shared" si="98"/>
        <v>2.5880508034988008</v>
      </c>
      <c r="AX164" s="32">
        <f t="shared" si="99"/>
        <v>1.7497618068909833</v>
      </c>
      <c r="AY164" s="32">
        <f t="shared" si="100"/>
        <v>1.7343932060191605</v>
      </c>
      <c r="AZ164" s="32">
        <f t="shared" si="115"/>
        <v>0.15562509162585181</v>
      </c>
      <c r="BA164" s="32">
        <f t="shared" si="101"/>
        <v>-4.552842608089799</v>
      </c>
      <c r="BB164" s="32">
        <f t="shared" si="116"/>
        <v>16.403477391910201</v>
      </c>
      <c r="BC164" s="32">
        <f t="shared" si="102"/>
        <v>18.524999999999999</v>
      </c>
      <c r="BD164" s="32">
        <v>0</v>
      </c>
      <c r="BE164" s="32">
        <f t="shared" si="117"/>
        <v>2.1689063051948922</v>
      </c>
      <c r="BF164" s="32">
        <f t="shared" si="118"/>
        <v>0.43451309917573178</v>
      </c>
      <c r="BG164" s="32">
        <f t="shared" si="119"/>
        <v>0.13359988603501666</v>
      </c>
      <c r="BH164" s="32">
        <f t="shared" si="103"/>
        <v>3.5929227958036463</v>
      </c>
      <c r="BI164" s="32">
        <f t="shared" si="104"/>
        <v>0.76331463349707729</v>
      </c>
      <c r="BJ164" s="32">
        <f t="shared" si="105"/>
        <v>4.3562374293007231</v>
      </c>
      <c r="BK164" s="457">
        <f t="shared" si="106"/>
        <v>3.552959810621283</v>
      </c>
      <c r="BL164" s="2"/>
    </row>
    <row r="165" spans="1:64" ht="15">
      <c r="A165" s="119"/>
      <c r="B165" s="480">
        <f>Input!B182</f>
        <v>38147</v>
      </c>
      <c r="C165" s="481">
        <v>1</v>
      </c>
      <c r="D165" s="481">
        <f t="shared" si="107"/>
        <v>6</v>
      </c>
      <c r="E165" s="481">
        <f t="shared" si="108"/>
        <v>9</v>
      </c>
      <c r="F165" s="481">
        <f t="shared" si="82"/>
        <v>161</v>
      </c>
      <c r="G165" s="431">
        <v>25.315200000000001</v>
      </c>
      <c r="H165" s="455">
        <v>22.53</v>
      </c>
      <c r="I165" s="455">
        <v>18.100000000000001</v>
      </c>
      <c r="J165" s="455">
        <v>1.9</v>
      </c>
      <c r="K165" s="485"/>
      <c r="L165" s="433">
        <v>89</v>
      </c>
      <c r="M165" s="455">
        <v>86</v>
      </c>
      <c r="N165" s="484">
        <f>Weather!M166</f>
        <v>0.2</v>
      </c>
      <c r="O165" s="481" t="str">
        <f t="shared" si="109"/>
        <v/>
      </c>
      <c r="P165" s="4">
        <f t="shared" si="120"/>
        <v>4.1459186279255205</v>
      </c>
      <c r="Q165" s="169">
        <f t="shared" si="83"/>
        <v>2.7305562586925918</v>
      </c>
      <c r="R165" s="169">
        <f t="shared" si="84"/>
        <v>2.0770026187312354</v>
      </c>
      <c r="S165" s="169">
        <f t="shared" si="85"/>
        <v>2.348278382475629</v>
      </c>
      <c r="T165" s="169">
        <f t="shared" si="86"/>
        <v>1.8485323306707995</v>
      </c>
      <c r="U165" s="169">
        <f t="shared" si="87"/>
        <v>2.0984053565732141</v>
      </c>
      <c r="V165" s="169">
        <f t="shared" si="88"/>
        <v>7.1462849328256389E-2</v>
      </c>
      <c r="W165" s="439">
        <f t="shared" si="89"/>
        <v>18.263280185749164</v>
      </c>
      <c r="X165" s="439">
        <f t="shared" si="90"/>
        <v>18.263280185749164</v>
      </c>
      <c r="Y165" s="169"/>
      <c r="Z165" s="119" t="str">
        <f t="shared" si="91"/>
        <v/>
      </c>
      <c r="AA165" s="4" t="str">
        <f t="shared" si="92"/>
        <v/>
      </c>
      <c r="AB165" s="466"/>
      <c r="AC165" s="466"/>
      <c r="AD165" s="466"/>
      <c r="AE165" s="466"/>
      <c r="AF165" s="466"/>
      <c r="AG165" s="466"/>
      <c r="AH165" s="466"/>
      <c r="AI165" s="466"/>
      <c r="AJ165" s="466"/>
      <c r="AK165" s="466"/>
      <c r="AL165" s="466"/>
      <c r="AM165" s="462">
        <f t="shared" si="93"/>
        <v>161</v>
      </c>
      <c r="AN165" s="32">
        <f t="shared" si="110"/>
        <v>0.96923445596524105</v>
      </c>
      <c r="AO165" s="32">
        <f t="shared" si="111"/>
        <v>0.40169300298555</v>
      </c>
      <c r="AP165" s="32">
        <f t="shared" si="112"/>
        <v>1.9957545514510209</v>
      </c>
      <c r="AQ165" s="32">
        <f t="shared" si="113"/>
        <v>15.246441698955762</v>
      </c>
      <c r="AR165" s="32">
        <f t="shared" si="114"/>
        <v>41.718306595945776</v>
      </c>
      <c r="AS165" s="32">
        <f t="shared" si="94"/>
        <v>31.318767127708416</v>
      </c>
      <c r="AT165" s="32">
        <f t="shared" si="95"/>
        <v>19.492704</v>
      </c>
      <c r="AU165" s="32">
        <f t="shared" si="96"/>
        <v>0.80830768008115739</v>
      </c>
      <c r="AV165" s="32">
        <f t="shared" si="97"/>
        <v>0.74121536810956246</v>
      </c>
      <c r="AW165" s="32">
        <f t="shared" si="98"/>
        <v>2.7305562586925918</v>
      </c>
      <c r="AX165" s="32">
        <f t="shared" si="99"/>
        <v>2.0770026187312354</v>
      </c>
      <c r="AY165" s="32">
        <f t="shared" si="100"/>
        <v>2.0984053565732137</v>
      </c>
      <c r="AZ165" s="32">
        <f t="shared" si="115"/>
        <v>0.13719776877747378</v>
      </c>
      <c r="BA165" s="32">
        <f t="shared" si="101"/>
        <v>-3.6971001676942095</v>
      </c>
      <c r="BB165" s="32">
        <f t="shared" si="116"/>
        <v>15.79560383230579</v>
      </c>
      <c r="BC165" s="32">
        <f t="shared" si="102"/>
        <v>20.315000000000001</v>
      </c>
      <c r="BD165" s="32">
        <v>0</v>
      </c>
      <c r="BE165" s="32">
        <f t="shared" si="117"/>
        <v>2.4037794387119136</v>
      </c>
      <c r="BF165" s="32">
        <f t="shared" si="118"/>
        <v>0.30537408213869988</v>
      </c>
      <c r="BG165" s="32">
        <f t="shared" si="119"/>
        <v>0.14726193371049204</v>
      </c>
      <c r="BH165" s="32">
        <f t="shared" si="103"/>
        <v>3.682327256930078</v>
      </c>
      <c r="BI165" s="32">
        <f t="shared" si="104"/>
        <v>0.46359137099544262</v>
      </c>
      <c r="BJ165" s="32">
        <f t="shared" si="105"/>
        <v>4.1459186279255205</v>
      </c>
      <c r="BK165" s="457">
        <f t="shared" si="106"/>
        <v>3.1418555234727523</v>
      </c>
      <c r="BL165" s="2"/>
    </row>
    <row r="166" spans="1:64" ht="15">
      <c r="A166" s="119"/>
      <c r="B166" s="480">
        <f>Input!B183</f>
        <v>38148</v>
      </c>
      <c r="C166" s="481">
        <v>1</v>
      </c>
      <c r="D166" s="481">
        <f t="shared" si="107"/>
        <v>6</v>
      </c>
      <c r="E166" s="481">
        <f t="shared" si="108"/>
        <v>10</v>
      </c>
      <c r="F166" s="481">
        <f t="shared" si="82"/>
        <v>162</v>
      </c>
      <c r="G166" s="431">
        <v>27.820799999999998</v>
      </c>
      <c r="H166" s="455">
        <v>21.51</v>
      </c>
      <c r="I166" s="455">
        <v>16.600000000000001</v>
      </c>
      <c r="J166" s="455">
        <v>2.3199999999999998</v>
      </c>
      <c r="K166" s="485"/>
      <c r="L166" s="433">
        <v>77</v>
      </c>
      <c r="M166" s="455">
        <v>86</v>
      </c>
      <c r="N166" s="484">
        <f>Weather!M167</f>
        <v>0</v>
      </c>
      <c r="O166" s="481" t="str">
        <f t="shared" si="109"/>
        <v/>
      </c>
      <c r="P166" s="4">
        <f t="shared" si="120"/>
        <v>4.411672347114922</v>
      </c>
      <c r="Q166" s="169">
        <f t="shared" si="83"/>
        <v>2.5659892401968398</v>
      </c>
      <c r="R166" s="169">
        <f t="shared" si="84"/>
        <v>1.889152127641528</v>
      </c>
      <c r="S166" s="169">
        <f t="shared" si="85"/>
        <v>2.2067507465692824</v>
      </c>
      <c r="T166" s="169">
        <f t="shared" si="86"/>
        <v>1.4546471382839765</v>
      </c>
      <c r="U166" s="169">
        <f t="shared" si="87"/>
        <v>1.8306989424266296</v>
      </c>
      <c r="V166" s="169">
        <f t="shared" si="88"/>
        <v>6.356013522434005E-2</v>
      </c>
      <c r="W166" s="439">
        <f t="shared" si="89"/>
        <v>16.106554895918745</v>
      </c>
      <c r="X166" s="439">
        <f t="shared" si="90"/>
        <v>16.106554895918745</v>
      </c>
      <c r="Y166" s="169"/>
      <c r="Z166" s="119" t="str">
        <f t="shared" si="91"/>
        <v/>
      </c>
      <c r="AA166" s="4" t="str">
        <f t="shared" si="92"/>
        <v/>
      </c>
      <c r="AB166" s="466"/>
      <c r="AC166" s="466"/>
      <c r="AD166" s="466"/>
      <c r="AE166" s="466"/>
      <c r="AF166" s="466"/>
      <c r="AG166" s="466"/>
      <c r="AH166" s="466"/>
      <c r="AI166" s="466"/>
      <c r="AJ166" s="466"/>
      <c r="AK166" s="466"/>
      <c r="AL166" s="466"/>
      <c r="AM166" s="462">
        <f t="shared" si="93"/>
        <v>162</v>
      </c>
      <c r="AN166" s="32">
        <f t="shared" si="110"/>
        <v>0.96903354607255143</v>
      </c>
      <c r="AO166" s="32">
        <f t="shared" si="111"/>
        <v>0.40295832722235758</v>
      </c>
      <c r="AP166" s="32">
        <f t="shared" si="112"/>
        <v>1.9973471788719053</v>
      </c>
      <c r="AQ166" s="32">
        <f t="shared" si="113"/>
        <v>15.258608476229558</v>
      </c>
      <c r="AR166" s="32">
        <f t="shared" si="114"/>
        <v>41.756832295186001</v>
      </c>
      <c r="AS166" s="32">
        <f t="shared" si="94"/>
        <v>31.347689140642036</v>
      </c>
      <c r="AT166" s="32">
        <f t="shared" si="95"/>
        <v>21.422015999999999</v>
      </c>
      <c r="AU166" s="32">
        <f t="shared" si="96"/>
        <v>0.88749125574077958</v>
      </c>
      <c r="AV166" s="32">
        <f t="shared" si="97"/>
        <v>0.84811319525005258</v>
      </c>
      <c r="AW166" s="32">
        <f t="shared" si="98"/>
        <v>2.5659892401968398</v>
      </c>
      <c r="AX166" s="32">
        <f t="shared" si="99"/>
        <v>1.889152127641528</v>
      </c>
      <c r="AY166" s="32">
        <f t="shared" si="100"/>
        <v>1.8306989424266289</v>
      </c>
      <c r="AZ166" s="32">
        <f t="shared" si="115"/>
        <v>0.15057534671653236</v>
      </c>
      <c r="BA166" s="32">
        <f t="shared" si="101"/>
        <v>-4.5639222975410334</v>
      </c>
      <c r="BB166" s="32">
        <f t="shared" si="116"/>
        <v>16.858093702458966</v>
      </c>
      <c r="BC166" s="32">
        <f t="shared" si="102"/>
        <v>19.055</v>
      </c>
      <c r="BD166" s="32">
        <v>0</v>
      </c>
      <c r="BE166" s="32">
        <f t="shared" si="117"/>
        <v>2.227570683919184</v>
      </c>
      <c r="BF166" s="32">
        <f t="shared" si="118"/>
        <v>0.39687174149255511</v>
      </c>
      <c r="BG166" s="32">
        <f t="shared" si="119"/>
        <v>0.13752827583168684</v>
      </c>
      <c r="BH166" s="32">
        <f t="shared" si="103"/>
        <v>3.6723904186619745</v>
      </c>
      <c r="BI166" s="32">
        <f t="shared" si="104"/>
        <v>0.73928192845294782</v>
      </c>
      <c r="BJ166" s="32">
        <f t="shared" si="105"/>
        <v>4.411672347114922</v>
      </c>
      <c r="BK166" s="457">
        <f t="shared" si="106"/>
        <v>3.2013006189048867</v>
      </c>
      <c r="BL166" s="2"/>
    </row>
    <row r="167" spans="1:64" ht="15">
      <c r="A167" s="119"/>
      <c r="B167" s="480">
        <f>Input!B184</f>
        <v>38149</v>
      </c>
      <c r="C167" s="481">
        <v>1</v>
      </c>
      <c r="D167" s="481">
        <f t="shared" si="107"/>
        <v>6</v>
      </c>
      <c r="E167" s="481">
        <f t="shared" si="108"/>
        <v>11</v>
      </c>
      <c r="F167" s="481">
        <f t="shared" si="82"/>
        <v>163</v>
      </c>
      <c r="G167" s="431">
        <v>28.512</v>
      </c>
      <c r="H167" s="455">
        <v>21.49</v>
      </c>
      <c r="I167" s="455">
        <v>14</v>
      </c>
      <c r="J167" s="455">
        <v>2.2000000000000002</v>
      </c>
      <c r="K167" s="485"/>
      <c r="L167" s="433">
        <v>88</v>
      </c>
      <c r="M167" s="455">
        <v>76</v>
      </c>
      <c r="N167" s="484">
        <f>Weather!M168</f>
        <v>0</v>
      </c>
      <c r="O167" s="481" t="str">
        <f t="shared" si="109"/>
        <v/>
      </c>
      <c r="P167" s="4">
        <f t="shared" si="120"/>
        <v>4.3849772680391643</v>
      </c>
      <c r="Q167" s="169">
        <f t="shared" si="83"/>
        <v>2.5628510399449316</v>
      </c>
      <c r="R167" s="169">
        <f t="shared" si="84"/>
        <v>1.5986048594252917</v>
      </c>
      <c r="S167" s="169">
        <f t="shared" si="85"/>
        <v>1.9477667903581479</v>
      </c>
      <c r="T167" s="169">
        <f t="shared" si="86"/>
        <v>1.4067722762942567</v>
      </c>
      <c r="U167" s="169">
        <f t="shared" si="87"/>
        <v>1.6772695333262022</v>
      </c>
      <c r="V167" s="169">
        <f t="shared" si="88"/>
        <v>5.8491771805098527E-2</v>
      </c>
      <c r="W167" s="439">
        <f t="shared" si="89"/>
        <v>14.742406952684183</v>
      </c>
      <c r="X167" s="439">
        <f t="shared" si="90"/>
        <v>14.742406952684183</v>
      </c>
      <c r="Y167" s="169"/>
      <c r="Z167" s="119" t="str">
        <f t="shared" si="91"/>
        <v/>
      </c>
      <c r="AA167" s="4" t="str">
        <f t="shared" si="92"/>
        <v/>
      </c>
      <c r="AB167" s="466"/>
      <c r="AC167" s="466"/>
      <c r="AD167" s="466"/>
      <c r="AE167" s="466"/>
      <c r="AF167" s="466"/>
      <c r="AG167" s="466"/>
      <c r="AH167" s="466"/>
      <c r="AI167" s="466"/>
      <c r="AJ167" s="466"/>
      <c r="AK167" s="466"/>
      <c r="AL167" s="466"/>
      <c r="AM167" s="462">
        <f t="shared" si="93"/>
        <v>163</v>
      </c>
      <c r="AN167" s="32">
        <f t="shared" si="110"/>
        <v>0.96884181220847143</v>
      </c>
      <c r="AO167" s="32">
        <f t="shared" si="111"/>
        <v>0.40410424621025626</v>
      </c>
      <c r="AP167" s="32">
        <f t="shared" si="112"/>
        <v>1.9987919941754833</v>
      </c>
      <c r="AQ167" s="32">
        <f t="shared" si="113"/>
        <v>15.269646052105683</v>
      </c>
      <c r="AR167" s="32">
        <f t="shared" si="114"/>
        <v>41.791273848789046</v>
      </c>
      <c r="AS167" s="32">
        <f t="shared" si="94"/>
        <v>31.373545103762915</v>
      </c>
      <c r="AT167" s="32">
        <f t="shared" si="95"/>
        <v>21.954240000000002</v>
      </c>
      <c r="AU167" s="32">
        <f t="shared" si="96"/>
        <v>0.90879114571532105</v>
      </c>
      <c r="AV167" s="32">
        <f t="shared" si="97"/>
        <v>0.87686804671568341</v>
      </c>
      <c r="AW167" s="32">
        <f t="shared" si="98"/>
        <v>2.5628510399449316</v>
      </c>
      <c r="AX167" s="32">
        <f t="shared" si="99"/>
        <v>1.5986048594252917</v>
      </c>
      <c r="AY167" s="32">
        <f t="shared" si="100"/>
        <v>1.6772695333262022</v>
      </c>
      <c r="AZ167" s="32">
        <f t="shared" si="115"/>
        <v>0.15868678246417456</v>
      </c>
      <c r="BA167" s="32">
        <f t="shared" si="101"/>
        <v>-4.8870612938873919</v>
      </c>
      <c r="BB167" s="32">
        <f t="shared" si="116"/>
        <v>17.06717870611261</v>
      </c>
      <c r="BC167" s="32">
        <f t="shared" si="102"/>
        <v>17.744999999999997</v>
      </c>
      <c r="BD167" s="32">
        <v>0</v>
      </c>
      <c r="BE167" s="32">
        <f t="shared" si="117"/>
        <v>2.0807279496851114</v>
      </c>
      <c r="BF167" s="32">
        <f t="shared" si="118"/>
        <v>0.40345841635890922</v>
      </c>
      <c r="BG167" s="32">
        <f t="shared" si="119"/>
        <v>0.12799160477352733</v>
      </c>
      <c r="BH167" s="32">
        <f t="shared" si="103"/>
        <v>3.6332655553762438</v>
      </c>
      <c r="BI167" s="32">
        <f t="shared" si="104"/>
        <v>0.75171171266292058</v>
      </c>
      <c r="BJ167" s="32">
        <f t="shared" si="105"/>
        <v>4.3849772680391643</v>
      </c>
      <c r="BK167" s="457">
        <f t="shared" si="106"/>
        <v>3.8165133708449268</v>
      </c>
      <c r="BL167" s="2"/>
    </row>
    <row r="168" spans="1:64" ht="15">
      <c r="A168" s="119"/>
      <c r="B168" s="480">
        <f>Input!B185</f>
        <v>38150</v>
      </c>
      <c r="C168" s="481">
        <v>1</v>
      </c>
      <c r="D168" s="481">
        <f t="shared" si="107"/>
        <v>6</v>
      </c>
      <c r="E168" s="481">
        <f t="shared" si="108"/>
        <v>12</v>
      </c>
      <c r="F168" s="481">
        <f t="shared" si="82"/>
        <v>164</v>
      </c>
      <c r="G168" s="431">
        <v>28.512</v>
      </c>
      <c r="H168" s="455">
        <v>20.440000000000001</v>
      </c>
      <c r="I168" s="455">
        <v>12.3</v>
      </c>
      <c r="J168" s="455">
        <v>4.0999999999999996</v>
      </c>
      <c r="K168" s="485"/>
      <c r="L168" s="433">
        <v>95</v>
      </c>
      <c r="M168" s="455">
        <v>80</v>
      </c>
      <c r="N168" s="484">
        <f>Weather!M169</f>
        <v>0</v>
      </c>
      <c r="O168" s="481" t="str">
        <f t="shared" si="109"/>
        <v/>
      </c>
      <c r="P168" s="4">
        <f t="shared" si="120"/>
        <v>3.8091930190969734</v>
      </c>
      <c r="Q168" s="169">
        <f t="shared" si="83"/>
        <v>2.4027331624317236</v>
      </c>
      <c r="R168" s="169">
        <f t="shared" si="84"/>
        <v>1.4305514044122081</v>
      </c>
      <c r="S168" s="169">
        <f t="shared" si="85"/>
        <v>1.9221865299453791</v>
      </c>
      <c r="T168" s="169">
        <f t="shared" si="86"/>
        <v>1.3590238341915977</v>
      </c>
      <c r="U168" s="169">
        <f t="shared" si="87"/>
        <v>1.6406051820684884</v>
      </c>
      <c r="V168" s="169">
        <f t="shared" si="88"/>
        <v>5.7211979899330731E-2</v>
      </c>
      <c r="W168" s="439">
        <f t="shared" si="89"/>
        <v>14.400270835708666</v>
      </c>
      <c r="X168" s="439">
        <f t="shared" si="90"/>
        <v>14.400270835708666</v>
      </c>
      <c r="Y168" s="169"/>
      <c r="Z168" s="119" t="str">
        <f t="shared" si="91"/>
        <v/>
      </c>
      <c r="AA168" s="4" t="str">
        <f t="shared" si="92"/>
        <v/>
      </c>
      <c r="AB168" s="466"/>
      <c r="AC168" s="466"/>
      <c r="AD168" s="466"/>
      <c r="AE168" s="466"/>
      <c r="AF168" s="466"/>
      <c r="AG168" s="466"/>
      <c r="AH168" s="466"/>
      <c r="AI168" s="466"/>
      <c r="AJ168" s="466"/>
      <c r="AK168" s="466"/>
      <c r="AL168" s="466"/>
      <c r="AM168" s="462">
        <f t="shared" si="93"/>
        <v>164</v>
      </c>
      <c r="AN168" s="32">
        <f t="shared" si="110"/>
        <v>0.96865931118788273</v>
      </c>
      <c r="AO168" s="32">
        <f t="shared" si="111"/>
        <v>0.40513042038871888</v>
      </c>
      <c r="AP168" s="32">
        <f t="shared" si="112"/>
        <v>2.0000878429364071</v>
      </c>
      <c r="AQ168" s="32">
        <f t="shared" si="113"/>
        <v>15.279545607424106</v>
      </c>
      <c r="AR168" s="32">
        <f t="shared" si="114"/>
        <v>41.821627837995436</v>
      </c>
      <c r="AS168" s="32">
        <f t="shared" si="94"/>
        <v>31.396332450539937</v>
      </c>
      <c r="AT168" s="32">
        <f t="shared" si="95"/>
        <v>21.954240000000002</v>
      </c>
      <c r="AU168" s="32">
        <f t="shared" si="96"/>
        <v>0.90813154832387644</v>
      </c>
      <c r="AV168" s="32">
        <f t="shared" si="97"/>
        <v>0.87597759023723321</v>
      </c>
      <c r="AW168" s="32">
        <f t="shared" si="98"/>
        <v>2.4027331624317236</v>
      </c>
      <c r="AX168" s="32">
        <f t="shared" si="99"/>
        <v>1.4305514044122081</v>
      </c>
      <c r="AY168" s="32">
        <f t="shared" si="100"/>
        <v>1.6406051820684888</v>
      </c>
      <c r="AZ168" s="32">
        <f t="shared" si="115"/>
        <v>0.16067944465694298</v>
      </c>
      <c r="BA168" s="32">
        <f t="shared" si="101"/>
        <v>-4.8515257733978592</v>
      </c>
      <c r="BB168" s="32">
        <f t="shared" si="116"/>
        <v>17.102714226602142</v>
      </c>
      <c r="BC168" s="32">
        <f t="shared" si="102"/>
        <v>16.37</v>
      </c>
      <c r="BD168" s="32">
        <v>0</v>
      </c>
      <c r="BE168" s="32">
        <f t="shared" si="117"/>
        <v>1.9166422834219659</v>
      </c>
      <c r="BF168" s="32">
        <f t="shared" si="118"/>
        <v>0.27603710135347703</v>
      </c>
      <c r="BG168" s="32">
        <f t="shared" si="119"/>
        <v>0.11859075376401694</v>
      </c>
      <c r="BH168" s="32">
        <f t="shared" si="103"/>
        <v>2.9632540690139257</v>
      </c>
      <c r="BI168" s="32">
        <f t="shared" si="104"/>
        <v>0.84593895008304754</v>
      </c>
      <c r="BJ168" s="32">
        <f t="shared" si="105"/>
        <v>3.8091930190969734</v>
      </c>
      <c r="BK168" s="457">
        <f t="shared" si="106"/>
        <v>3.8275411270619788</v>
      </c>
      <c r="BL168" s="2"/>
    </row>
    <row r="169" spans="1:64" ht="15">
      <c r="A169" s="119"/>
      <c r="B169" s="480">
        <f>Input!B186</f>
        <v>38151</v>
      </c>
      <c r="C169" s="481">
        <v>1</v>
      </c>
      <c r="D169" s="481">
        <f t="shared" si="107"/>
        <v>6</v>
      </c>
      <c r="E169" s="481">
        <f t="shared" si="108"/>
        <v>13</v>
      </c>
      <c r="F169" s="481">
        <f t="shared" si="82"/>
        <v>165</v>
      </c>
      <c r="G169" s="431">
        <v>28.339200000000002</v>
      </c>
      <c r="H169" s="455">
        <v>19.77</v>
      </c>
      <c r="I169" s="455">
        <v>12.2</v>
      </c>
      <c r="J169" s="455">
        <v>1.74</v>
      </c>
      <c r="K169" s="485"/>
      <c r="L169" s="433">
        <v>82</v>
      </c>
      <c r="M169" s="455">
        <v>84</v>
      </c>
      <c r="N169" s="484">
        <f>Weather!M170</f>
        <v>0</v>
      </c>
      <c r="O169" s="481" t="str">
        <f t="shared" si="109"/>
        <v/>
      </c>
      <c r="P169" s="4">
        <f t="shared" si="120"/>
        <v>4.0988775716802071</v>
      </c>
      <c r="Q169" s="169">
        <f t="shared" si="83"/>
        <v>2.305196150396601</v>
      </c>
      <c r="R169" s="169">
        <f t="shared" si="84"/>
        <v>1.4211682209835756</v>
      </c>
      <c r="S169" s="169">
        <f t="shared" si="85"/>
        <v>1.9363647663331447</v>
      </c>
      <c r="T169" s="169">
        <f t="shared" si="86"/>
        <v>1.165357941206532</v>
      </c>
      <c r="U169" s="169">
        <f t="shared" si="87"/>
        <v>1.5508613537698384</v>
      </c>
      <c r="V169" s="169">
        <f t="shared" si="88"/>
        <v>5.3954614610746618E-2</v>
      </c>
      <c r="W169" s="439">
        <f t="shared" si="89"/>
        <v>13.533631942892635</v>
      </c>
      <c r="X169" s="439">
        <f t="shared" si="90"/>
        <v>13.533631942892635</v>
      </c>
      <c r="Y169" s="169"/>
      <c r="Z169" s="119" t="str">
        <f t="shared" si="91"/>
        <v/>
      </c>
      <c r="AA169" s="4" t="str">
        <f t="shared" si="92"/>
        <v/>
      </c>
      <c r="AB169" s="466"/>
      <c r="AC169" s="466"/>
      <c r="AD169" s="466"/>
      <c r="AE169" s="466"/>
      <c r="AF169" s="466"/>
      <c r="AG169" s="466"/>
      <c r="AH169" s="466"/>
      <c r="AI169" s="466"/>
      <c r="AJ169" s="466"/>
      <c r="AK169" s="466"/>
      <c r="AL169" s="466"/>
      <c r="AM169" s="462">
        <f t="shared" si="93"/>
        <v>165</v>
      </c>
      <c r="AN169" s="32">
        <f t="shared" si="110"/>
        <v>0.96848609708977662</v>
      </c>
      <c r="AO169" s="32">
        <f t="shared" si="111"/>
        <v>0.40603654568018976</v>
      </c>
      <c r="AP169" s="32">
        <f t="shared" si="112"/>
        <v>2.0012336830245046</v>
      </c>
      <c r="AQ169" s="32">
        <f t="shared" si="113"/>
        <v>15.288299180896759</v>
      </c>
      <c r="AR169" s="32">
        <f t="shared" si="114"/>
        <v>41.847891495572128</v>
      </c>
      <c r="AS169" s="32">
        <f t="shared" si="94"/>
        <v>31.41604910355591</v>
      </c>
      <c r="AT169" s="32">
        <f t="shared" si="95"/>
        <v>21.821184000000002</v>
      </c>
      <c r="AU169" s="32">
        <f t="shared" si="96"/>
        <v>0.9020612333074165</v>
      </c>
      <c r="AV169" s="32">
        <f t="shared" si="97"/>
        <v>0.86778266496501233</v>
      </c>
      <c r="AW169" s="32">
        <f t="shared" si="98"/>
        <v>2.305196150396601</v>
      </c>
      <c r="AX169" s="32">
        <f t="shared" si="99"/>
        <v>1.4211682209835756</v>
      </c>
      <c r="AY169" s="32">
        <f t="shared" si="100"/>
        <v>1.5508613537698384</v>
      </c>
      <c r="AZ169" s="32">
        <f t="shared" si="115"/>
        <v>0.16565298243477511</v>
      </c>
      <c r="BA169" s="32">
        <f t="shared" si="101"/>
        <v>-4.9278253220581094</v>
      </c>
      <c r="BB169" s="32">
        <f t="shared" si="116"/>
        <v>16.893358677941894</v>
      </c>
      <c r="BC169" s="32">
        <f t="shared" si="102"/>
        <v>15.984999999999999</v>
      </c>
      <c r="BD169" s="32">
        <v>0</v>
      </c>
      <c r="BE169" s="32">
        <f t="shared" si="117"/>
        <v>1.8631821856900883</v>
      </c>
      <c r="BF169" s="32">
        <f t="shared" si="118"/>
        <v>0.31232083192024995</v>
      </c>
      <c r="BG169" s="32">
        <f t="shared" si="119"/>
        <v>0.11606605189958383</v>
      </c>
      <c r="BH169" s="32">
        <f t="shared" si="103"/>
        <v>3.5892575333005405</v>
      </c>
      <c r="BI169" s="32">
        <f t="shared" si="104"/>
        <v>0.50962003837966674</v>
      </c>
      <c r="BJ169" s="32">
        <f t="shared" si="105"/>
        <v>4.0988775716802071</v>
      </c>
      <c r="BK169" s="457">
        <f t="shared" si="106"/>
        <v>3.6518017771390232</v>
      </c>
      <c r="BL169" s="2"/>
    </row>
    <row r="170" spans="1:64" ht="15">
      <c r="A170" s="119"/>
      <c r="B170" s="480">
        <f>Input!B187</f>
        <v>38152</v>
      </c>
      <c r="C170" s="481">
        <v>1</v>
      </c>
      <c r="D170" s="481">
        <f t="shared" si="107"/>
        <v>6</v>
      </c>
      <c r="E170" s="481">
        <f t="shared" si="108"/>
        <v>14</v>
      </c>
      <c r="F170" s="481">
        <f t="shared" si="82"/>
        <v>166</v>
      </c>
      <c r="G170" s="431">
        <v>28.598400000000002</v>
      </c>
      <c r="H170" s="455">
        <v>20.059999999999999</v>
      </c>
      <c r="I170" s="455">
        <v>10.9</v>
      </c>
      <c r="J170" s="455">
        <v>1.29</v>
      </c>
      <c r="K170" s="485"/>
      <c r="L170" s="433">
        <v>69</v>
      </c>
      <c r="M170" s="455">
        <v>87</v>
      </c>
      <c r="N170" s="484">
        <f>Weather!M171</f>
        <v>0</v>
      </c>
      <c r="O170" s="481" t="str">
        <f t="shared" si="109"/>
        <v/>
      </c>
      <c r="P170" s="4">
        <f t="shared" si="120"/>
        <v>4.1796010570230111</v>
      </c>
      <c r="Q170" s="169">
        <f t="shared" si="83"/>
        <v>2.3469801606721163</v>
      </c>
      <c r="R170" s="169">
        <f t="shared" si="84"/>
        <v>1.3040137525909687</v>
      </c>
      <c r="S170" s="169">
        <f t="shared" si="85"/>
        <v>2.0418727397847412</v>
      </c>
      <c r="T170" s="169">
        <f t="shared" si="86"/>
        <v>0.89976948928776834</v>
      </c>
      <c r="U170" s="169">
        <f t="shared" si="87"/>
        <v>1.4708211145362546</v>
      </c>
      <c r="V170" s="169">
        <f t="shared" si="88"/>
        <v>5.0886307573654387E-2</v>
      </c>
      <c r="W170" s="439">
        <f t="shared" si="89"/>
        <v>12.722733728936561</v>
      </c>
      <c r="X170" s="439">
        <f t="shared" si="90"/>
        <v>12.722733728936561</v>
      </c>
      <c r="Y170" s="169"/>
      <c r="Z170" s="119" t="str">
        <f t="shared" si="91"/>
        <v/>
      </c>
      <c r="AA170" s="4" t="str">
        <f t="shared" si="92"/>
        <v/>
      </c>
      <c r="AB170" s="466"/>
      <c r="AC170" s="466"/>
      <c r="AD170" s="466"/>
      <c r="AE170" s="466"/>
      <c r="AF170" s="466"/>
      <c r="AG170" s="466"/>
      <c r="AH170" s="466"/>
      <c r="AI170" s="466"/>
      <c r="AJ170" s="466"/>
      <c r="AK170" s="466"/>
      <c r="AL170" s="466"/>
      <c r="AM170" s="462">
        <f t="shared" si="93"/>
        <v>166</v>
      </c>
      <c r="AN170" s="32">
        <f t="shared" si="110"/>
        <v>0.96832222124122846</v>
      </c>
      <c r="AO170" s="32">
        <f t="shared" si="111"/>
        <v>0.40682235358018926</v>
      </c>
      <c r="AP170" s="32">
        <f t="shared" si="112"/>
        <v>2.0022285876141384</v>
      </c>
      <c r="AQ170" s="32">
        <f t="shared" si="113"/>
        <v>15.29589969209732</v>
      </c>
      <c r="AR170" s="32">
        <f t="shared" si="114"/>
        <v>41.870062705398837</v>
      </c>
      <c r="AS170" s="32">
        <f t="shared" si="94"/>
        <v>31.432693474197016</v>
      </c>
      <c r="AT170" s="32">
        <f t="shared" si="95"/>
        <v>22.020768</v>
      </c>
      <c r="AU170" s="32">
        <f t="shared" si="96"/>
        <v>0.90982976127948834</v>
      </c>
      <c r="AV170" s="32">
        <f t="shared" si="97"/>
        <v>0.87827017772730931</v>
      </c>
      <c r="AW170" s="32">
        <f t="shared" si="98"/>
        <v>2.3469801606721163</v>
      </c>
      <c r="AX170" s="32">
        <f t="shared" si="99"/>
        <v>1.3040137525909687</v>
      </c>
      <c r="AY170" s="32">
        <f t="shared" si="100"/>
        <v>1.4708211145362549</v>
      </c>
      <c r="AZ170" s="32">
        <f t="shared" si="115"/>
        <v>0.17021162040672339</v>
      </c>
      <c r="BA170" s="32">
        <f t="shared" si="101"/>
        <v>-5.091373441070723</v>
      </c>
      <c r="BB170" s="32">
        <f t="shared" si="116"/>
        <v>16.929394558929278</v>
      </c>
      <c r="BC170" s="32">
        <f t="shared" si="102"/>
        <v>15.48</v>
      </c>
      <c r="BD170" s="32">
        <v>0</v>
      </c>
      <c r="BE170" s="32">
        <f t="shared" si="117"/>
        <v>1.8254969566315427</v>
      </c>
      <c r="BF170" s="32">
        <f t="shared" si="118"/>
        <v>0.3546758420952878</v>
      </c>
      <c r="BG170" s="32">
        <f t="shared" si="119"/>
        <v>0.11282373286107246</v>
      </c>
      <c r="BH170" s="32">
        <f t="shared" si="103"/>
        <v>3.7220551149012167</v>
      </c>
      <c r="BI170" s="32">
        <f t="shared" si="104"/>
        <v>0.45754594212179445</v>
      </c>
      <c r="BJ170" s="32">
        <f t="shared" si="105"/>
        <v>4.1796010570230111</v>
      </c>
      <c r="BK170" s="457">
        <f t="shared" si="106"/>
        <v>3.9590995076254245</v>
      </c>
      <c r="BL170" s="2"/>
    </row>
    <row r="171" spans="1:64" ht="15">
      <c r="A171" s="119"/>
      <c r="B171" s="480">
        <f>Input!B188</f>
        <v>38153</v>
      </c>
      <c r="C171" s="481">
        <v>1</v>
      </c>
      <c r="D171" s="481">
        <f t="shared" si="107"/>
        <v>6</v>
      </c>
      <c r="E171" s="481">
        <f t="shared" si="108"/>
        <v>15</v>
      </c>
      <c r="F171" s="481">
        <f t="shared" si="82"/>
        <v>167</v>
      </c>
      <c r="G171" s="431">
        <v>17.4528</v>
      </c>
      <c r="H171" s="455">
        <v>22.32</v>
      </c>
      <c r="I171" s="455">
        <v>13.5</v>
      </c>
      <c r="J171" s="455">
        <v>1.63</v>
      </c>
      <c r="K171" s="485"/>
      <c r="L171" s="433">
        <v>79</v>
      </c>
      <c r="M171" s="455">
        <v>84</v>
      </c>
      <c r="N171" s="484">
        <f>Weather!M172</f>
        <v>0</v>
      </c>
      <c r="O171" s="481" t="str">
        <f t="shared" si="109"/>
        <v/>
      </c>
      <c r="P171" s="4">
        <f t="shared" si="120"/>
        <v>3.089182056521572</v>
      </c>
      <c r="Q171" s="169">
        <f t="shared" si="83"/>
        <v>2.6959411543070533</v>
      </c>
      <c r="R171" s="169">
        <f t="shared" si="84"/>
        <v>1.5474672427794578</v>
      </c>
      <c r="S171" s="169">
        <f t="shared" si="85"/>
        <v>2.2645905696179245</v>
      </c>
      <c r="T171" s="169">
        <f t="shared" si="86"/>
        <v>1.2224991217957717</v>
      </c>
      <c r="U171" s="169">
        <f t="shared" si="87"/>
        <v>1.7435448457068481</v>
      </c>
      <c r="V171" s="169">
        <f t="shared" si="88"/>
        <v>6.0735727509913719E-2</v>
      </c>
      <c r="W171" s="439">
        <f t="shared" si="89"/>
        <v>15.344550580949141</v>
      </c>
      <c r="X171" s="439">
        <f t="shared" si="90"/>
        <v>15.344550580949141</v>
      </c>
      <c r="Y171" s="169"/>
      <c r="Z171" s="119" t="str">
        <f t="shared" si="91"/>
        <v/>
      </c>
      <c r="AA171" s="4" t="str">
        <f t="shared" si="92"/>
        <v/>
      </c>
      <c r="AB171" s="466"/>
      <c r="AC171" s="466"/>
      <c r="AD171" s="466"/>
      <c r="AE171" s="466"/>
      <c r="AF171" s="466"/>
      <c r="AG171" s="466"/>
      <c r="AH171" s="466"/>
      <c r="AI171" s="466"/>
      <c r="AJ171" s="466"/>
      <c r="AK171" s="466"/>
      <c r="AL171" s="466"/>
      <c r="AM171" s="462">
        <f t="shared" si="93"/>
        <v>167</v>
      </c>
      <c r="AN171" s="32">
        <f t="shared" si="110"/>
        <v>0.96816773220218899</v>
      </c>
      <c r="AO171" s="32">
        <f t="shared" si="111"/>
        <v>0.40748761123687749</v>
      </c>
      <c r="AP171" s="32">
        <f t="shared" si="112"/>
        <v>2.0030717478844777</v>
      </c>
      <c r="AQ171" s="32">
        <f t="shared" si="113"/>
        <v>15.302340962089794</v>
      </c>
      <c r="AR171" s="32">
        <f t="shared" si="114"/>
        <v>41.888140002007773</v>
      </c>
      <c r="AS171" s="32">
        <f t="shared" si="94"/>
        <v>31.446264462307276</v>
      </c>
      <c r="AT171" s="32">
        <f t="shared" si="95"/>
        <v>13.438656</v>
      </c>
      <c r="AU171" s="32">
        <f t="shared" si="96"/>
        <v>0.55500391853918318</v>
      </c>
      <c r="AV171" s="32">
        <f t="shared" si="97"/>
        <v>0.39925529002789739</v>
      </c>
      <c r="AW171" s="32">
        <f t="shared" si="98"/>
        <v>2.6959411543070533</v>
      </c>
      <c r="AX171" s="32">
        <f t="shared" si="99"/>
        <v>1.5474672427794578</v>
      </c>
      <c r="AY171" s="32">
        <f t="shared" si="100"/>
        <v>1.7435448457068481</v>
      </c>
      <c r="AZ171" s="32">
        <f t="shared" si="115"/>
        <v>0.15513929845460872</v>
      </c>
      <c r="BA171" s="32">
        <f t="shared" si="101"/>
        <v>-2.1812050546598636</v>
      </c>
      <c r="BB171" s="32">
        <f t="shared" si="116"/>
        <v>11.257450945340135</v>
      </c>
      <c r="BC171" s="32">
        <f t="shared" si="102"/>
        <v>17.91</v>
      </c>
      <c r="BD171" s="32">
        <v>0</v>
      </c>
      <c r="BE171" s="32">
        <f t="shared" si="117"/>
        <v>2.1217041985432554</v>
      </c>
      <c r="BF171" s="32">
        <f t="shared" si="118"/>
        <v>0.37815935283640734</v>
      </c>
      <c r="BG171" s="32">
        <f t="shared" si="119"/>
        <v>0.12916102254731679</v>
      </c>
      <c r="BH171" s="32">
        <f t="shared" si="103"/>
        <v>2.5409996865675972</v>
      </c>
      <c r="BI171" s="32">
        <f t="shared" si="104"/>
        <v>0.54818236995397485</v>
      </c>
      <c r="BJ171" s="32">
        <f t="shared" si="105"/>
        <v>3.089182056521572</v>
      </c>
      <c r="BK171" s="457">
        <f t="shared" si="106"/>
        <v>4.1703928834524495</v>
      </c>
      <c r="BL171" s="2"/>
    </row>
    <row r="172" spans="1:64" ht="15">
      <c r="A172" s="119"/>
      <c r="B172" s="480">
        <f>Input!B189</f>
        <v>38154</v>
      </c>
      <c r="C172" s="481">
        <v>1</v>
      </c>
      <c r="D172" s="481">
        <f t="shared" si="107"/>
        <v>6</v>
      </c>
      <c r="E172" s="481">
        <f t="shared" si="108"/>
        <v>16</v>
      </c>
      <c r="F172" s="481">
        <f t="shared" si="82"/>
        <v>168</v>
      </c>
      <c r="G172" s="431">
        <v>22.204799999999999</v>
      </c>
      <c r="H172" s="455">
        <v>23.68</v>
      </c>
      <c r="I172" s="455">
        <v>13.2</v>
      </c>
      <c r="J172" s="455">
        <v>1.5</v>
      </c>
      <c r="K172" s="485"/>
      <c r="L172" s="433">
        <v>89</v>
      </c>
      <c r="M172" s="455">
        <v>87</v>
      </c>
      <c r="N172" s="484">
        <f>Weather!M173</f>
        <v>0</v>
      </c>
      <c r="O172" s="481" t="str">
        <f t="shared" si="109"/>
        <v/>
      </c>
      <c r="P172" s="4">
        <f t="shared" si="120"/>
        <v>3.6056847789219049</v>
      </c>
      <c r="Q172" s="169">
        <f t="shared" si="83"/>
        <v>2.9270831084492519</v>
      </c>
      <c r="R172" s="169">
        <f t="shared" si="84"/>
        <v>1.5174787226056794</v>
      </c>
      <c r="S172" s="169">
        <f t="shared" si="85"/>
        <v>2.5465623043508492</v>
      </c>
      <c r="T172" s="169">
        <f t="shared" si="86"/>
        <v>1.3505560631190547</v>
      </c>
      <c r="U172" s="169">
        <f t="shared" si="87"/>
        <v>1.9485591837349521</v>
      </c>
      <c r="V172" s="169">
        <f t="shared" si="88"/>
        <v>6.7172896639891649E-2</v>
      </c>
      <c r="W172" s="439">
        <f t="shared" si="89"/>
        <v>17.087977306007549</v>
      </c>
      <c r="X172" s="439">
        <f t="shared" si="90"/>
        <v>17.087977306007549</v>
      </c>
      <c r="Y172" s="169"/>
      <c r="Z172" s="119" t="str">
        <f t="shared" si="91"/>
        <v/>
      </c>
      <c r="AA172" s="4" t="str">
        <f t="shared" si="92"/>
        <v/>
      </c>
      <c r="AB172" s="466"/>
      <c r="AC172" s="466"/>
      <c r="AD172" s="466"/>
      <c r="AE172" s="466"/>
      <c r="AF172" s="466"/>
      <c r="AG172" s="466"/>
      <c r="AH172" s="466"/>
      <c r="AI172" s="466"/>
      <c r="AJ172" s="466"/>
      <c r="AK172" s="466"/>
      <c r="AL172" s="466"/>
      <c r="AM172" s="462">
        <f t="shared" si="93"/>
        <v>168</v>
      </c>
      <c r="AN172" s="32">
        <f t="shared" si="110"/>
        <v>0.96802267575109457</v>
      </c>
      <c r="AO172" s="32">
        <f t="shared" si="111"/>
        <v>0.40803212152005325</v>
      </c>
      <c r="AP172" s="32">
        <f t="shared" si="112"/>
        <v>2.0037624753943417</v>
      </c>
      <c r="AQ172" s="32">
        <f t="shared" si="113"/>
        <v>15.307617731570966</v>
      </c>
      <c r="AR172" s="32">
        <f t="shared" si="114"/>
        <v>41.90212257001086</v>
      </c>
      <c r="AS172" s="32">
        <f t="shared" si="94"/>
        <v>31.456761455758556</v>
      </c>
      <c r="AT172" s="32">
        <f t="shared" si="95"/>
        <v>17.097695999999999</v>
      </c>
      <c r="AU172" s="32">
        <f t="shared" si="96"/>
        <v>0.70588321786491881</v>
      </c>
      <c r="AV172" s="32">
        <f t="shared" si="97"/>
        <v>0.60294234411764047</v>
      </c>
      <c r="AW172" s="32">
        <f t="shared" si="98"/>
        <v>2.9270831084492519</v>
      </c>
      <c r="AX172" s="32">
        <f t="shared" si="99"/>
        <v>1.5174787226056794</v>
      </c>
      <c r="AY172" s="32">
        <f t="shared" si="100"/>
        <v>1.9485591837349525</v>
      </c>
      <c r="AZ172" s="32">
        <f t="shared" si="115"/>
        <v>0.14457287803069641</v>
      </c>
      <c r="BA172" s="32">
        <f t="shared" si="101"/>
        <v>-3.0937835356492065</v>
      </c>
      <c r="BB172" s="32">
        <f t="shared" si="116"/>
        <v>14.003912464350792</v>
      </c>
      <c r="BC172" s="32">
        <f t="shared" si="102"/>
        <v>18.439999999999998</v>
      </c>
      <c r="BD172" s="32">
        <v>0</v>
      </c>
      <c r="BE172" s="32">
        <f t="shared" si="117"/>
        <v>2.2222809155274659</v>
      </c>
      <c r="BF172" s="32">
        <f t="shared" si="118"/>
        <v>0.27372173179251336</v>
      </c>
      <c r="BG172" s="32">
        <f t="shared" si="119"/>
        <v>0.1329787945339006</v>
      </c>
      <c r="BH172" s="32">
        <f t="shared" si="103"/>
        <v>3.2425299772187905</v>
      </c>
      <c r="BI172" s="32">
        <f t="shared" si="104"/>
        <v>0.36315480170311432</v>
      </c>
      <c r="BJ172" s="32">
        <f t="shared" si="105"/>
        <v>3.6056847789219049</v>
      </c>
      <c r="BK172" s="457">
        <f t="shared" si="106"/>
        <v>4.6149458003887549</v>
      </c>
      <c r="BL172" s="2"/>
    </row>
    <row r="173" spans="1:64" ht="15">
      <c r="A173" s="119"/>
      <c r="B173" s="480">
        <f>Input!B190</f>
        <v>38155</v>
      </c>
      <c r="C173" s="481">
        <v>1</v>
      </c>
      <c r="D173" s="481">
        <f t="shared" si="107"/>
        <v>6</v>
      </c>
      <c r="E173" s="481">
        <f t="shared" si="108"/>
        <v>17</v>
      </c>
      <c r="F173" s="481">
        <f t="shared" si="82"/>
        <v>169</v>
      </c>
      <c r="G173" s="431">
        <v>21.167999999999999</v>
      </c>
      <c r="H173" s="455">
        <v>25.58</v>
      </c>
      <c r="I173" s="455">
        <v>14.3</v>
      </c>
      <c r="J173" s="455">
        <v>1.26</v>
      </c>
      <c r="K173" s="485"/>
      <c r="L173" s="433">
        <v>82</v>
      </c>
      <c r="M173" s="455">
        <v>86</v>
      </c>
      <c r="N173" s="484">
        <f>Weather!M174</f>
        <v>0</v>
      </c>
      <c r="O173" s="481" t="str">
        <f t="shared" si="109"/>
        <v/>
      </c>
      <c r="P173" s="4">
        <f t="shared" si="120"/>
        <v>3.7174724563255186</v>
      </c>
      <c r="Q173" s="169">
        <f t="shared" si="83"/>
        <v>3.2788802251856577</v>
      </c>
      <c r="R173" s="169">
        <f t="shared" si="84"/>
        <v>1.6299939408502728</v>
      </c>
      <c r="S173" s="169">
        <f t="shared" si="85"/>
        <v>2.8198369936596657</v>
      </c>
      <c r="T173" s="169">
        <f t="shared" si="86"/>
        <v>1.3365950314972237</v>
      </c>
      <c r="U173" s="169">
        <f t="shared" si="87"/>
        <v>2.0782160125784448</v>
      </c>
      <c r="V173" s="169">
        <f t="shared" si="88"/>
        <v>7.0903042563243507E-2</v>
      </c>
      <c r="W173" s="439">
        <f t="shared" si="89"/>
        <v>18.109296199479786</v>
      </c>
      <c r="X173" s="439">
        <f t="shared" si="90"/>
        <v>18.109296199479786</v>
      </c>
      <c r="Y173" s="169"/>
      <c r="Z173" s="119" t="str">
        <f t="shared" si="91"/>
        <v/>
      </c>
      <c r="AA173" s="4" t="str">
        <f t="shared" si="92"/>
        <v/>
      </c>
      <c r="AB173" s="466"/>
      <c r="AC173" s="466"/>
      <c r="AD173" s="466"/>
      <c r="AE173" s="466"/>
      <c r="AF173" s="466"/>
      <c r="AG173" s="466"/>
      <c r="AH173" s="466"/>
      <c r="AI173" s="466"/>
      <c r="AJ173" s="466"/>
      <c r="AK173" s="466"/>
      <c r="AL173" s="466"/>
      <c r="AM173" s="462">
        <f t="shared" si="93"/>
        <v>169</v>
      </c>
      <c r="AN173" s="32">
        <f t="shared" si="110"/>
        <v>0.96788709487130231</v>
      </c>
      <c r="AO173" s="32">
        <f t="shared" si="111"/>
        <v>0.40845572307956829</v>
      </c>
      <c r="AP173" s="32">
        <f t="shared" si="112"/>
        <v>2.004300204117071</v>
      </c>
      <c r="AQ173" s="32">
        <f t="shared" si="113"/>
        <v>15.31172567641568</v>
      </c>
      <c r="AR173" s="32">
        <f t="shared" si="114"/>
        <v>41.912010243355468</v>
      </c>
      <c r="AS173" s="32">
        <f t="shared" si="94"/>
        <v>31.464184329891818</v>
      </c>
      <c r="AT173" s="32">
        <f t="shared" si="95"/>
        <v>16.29936</v>
      </c>
      <c r="AU173" s="32">
        <f t="shared" si="96"/>
        <v>0.67276493736689158</v>
      </c>
      <c r="AV173" s="32">
        <f t="shared" si="97"/>
        <v>0.5582326654453037</v>
      </c>
      <c r="AW173" s="32">
        <f t="shared" si="98"/>
        <v>3.2788802251856577</v>
      </c>
      <c r="AX173" s="32">
        <f t="shared" si="99"/>
        <v>1.6299939408502728</v>
      </c>
      <c r="AY173" s="32">
        <f t="shared" si="100"/>
        <v>2.0782160125784452</v>
      </c>
      <c r="AZ173" s="32">
        <f t="shared" si="115"/>
        <v>0.13817573523845672</v>
      </c>
      <c r="BA173" s="32">
        <f t="shared" si="101"/>
        <v>-2.7951880046182764</v>
      </c>
      <c r="BB173" s="32">
        <f t="shared" si="116"/>
        <v>13.504171995381723</v>
      </c>
      <c r="BC173" s="32">
        <f t="shared" si="102"/>
        <v>19.939999999999998</v>
      </c>
      <c r="BD173" s="32">
        <v>0</v>
      </c>
      <c r="BE173" s="32">
        <f t="shared" si="117"/>
        <v>2.4544370830179654</v>
      </c>
      <c r="BF173" s="32">
        <f t="shared" si="118"/>
        <v>0.37622107043952013</v>
      </c>
      <c r="BG173" s="32">
        <f t="shared" si="119"/>
        <v>0.14430595321290088</v>
      </c>
      <c r="BH173" s="32">
        <f t="shared" si="103"/>
        <v>3.3105003845594059</v>
      </c>
      <c r="BI173" s="32">
        <f t="shared" si="104"/>
        <v>0.40697207176611266</v>
      </c>
      <c r="BJ173" s="32">
        <f t="shared" si="105"/>
        <v>3.7174724563255186</v>
      </c>
      <c r="BK173" s="457">
        <f t="shared" si="106"/>
        <v>4.9871988970715657</v>
      </c>
      <c r="BL173" s="2"/>
    </row>
    <row r="174" spans="1:64" ht="15">
      <c r="A174" s="119"/>
      <c r="B174" s="480">
        <f>Input!B191</f>
        <v>38156</v>
      </c>
      <c r="C174" s="481">
        <v>1</v>
      </c>
      <c r="D174" s="481">
        <f t="shared" si="107"/>
        <v>6</v>
      </c>
      <c r="E174" s="481">
        <f t="shared" si="108"/>
        <v>18</v>
      </c>
      <c r="F174" s="481">
        <f t="shared" si="82"/>
        <v>170</v>
      </c>
      <c r="G174" s="431">
        <v>24.019200000000001</v>
      </c>
      <c r="H174" s="455">
        <v>26.78</v>
      </c>
      <c r="I174" s="455">
        <v>16.399999999999999</v>
      </c>
      <c r="J174" s="455">
        <v>0.97</v>
      </c>
      <c r="K174" s="485"/>
      <c r="L174" s="433">
        <v>95</v>
      </c>
      <c r="M174" s="455">
        <v>84</v>
      </c>
      <c r="N174" s="484">
        <f>Weather!M175</f>
        <v>0</v>
      </c>
      <c r="O174" s="481" t="str">
        <f t="shared" si="109"/>
        <v/>
      </c>
      <c r="P174" s="4">
        <f t="shared" si="120"/>
        <v>4.2638464795477748</v>
      </c>
      <c r="Q174" s="169">
        <f t="shared" si="83"/>
        <v>3.5195809082089093</v>
      </c>
      <c r="R174" s="169">
        <f t="shared" si="84"/>
        <v>1.8652661127239329</v>
      </c>
      <c r="S174" s="169">
        <f t="shared" si="85"/>
        <v>2.9564479628954836</v>
      </c>
      <c r="T174" s="169">
        <f t="shared" si="86"/>
        <v>1.7720028070877363</v>
      </c>
      <c r="U174" s="169">
        <f t="shared" si="87"/>
        <v>2.3642253849916099</v>
      </c>
      <c r="V174" s="169">
        <f t="shared" si="88"/>
        <v>7.8369203309662905E-2</v>
      </c>
      <c r="W174" s="439">
        <f t="shared" si="89"/>
        <v>20.178375128268964</v>
      </c>
      <c r="X174" s="439">
        <f t="shared" si="90"/>
        <v>20.178375128268964</v>
      </c>
      <c r="Y174" s="169"/>
      <c r="Z174" s="119" t="str">
        <f t="shared" si="91"/>
        <v/>
      </c>
      <c r="AA174" s="4" t="str">
        <f t="shared" si="92"/>
        <v/>
      </c>
      <c r="AB174" s="466"/>
      <c r="AC174" s="466"/>
      <c r="AD174" s="466"/>
      <c r="AE174" s="466"/>
      <c r="AF174" s="466"/>
      <c r="AG174" s="466"/>
      <c r="AH174" s="466"/>
      <c r="AI174" s="466"/>
      <c r="AJ174" s="466"/>
      <c r="AK174" s="466"/>
      <c r="AL174" s="466"/>
      <c r="AM174" s="462">
        <f t="shared" si="93"/>
        <v>170</v>
      </c>
      <c r="AN174" s="32">
        <f t="shared" si="110"/>
        <v>0.96776102973835298</v>
      </c>
      <c r="AO174" s="32">
        <f t="shared" si="111"/>
        <v>0.40875829039313832</v>
      </c>
      <c r="AP174" s="32">
        <f t="shared" si="112"/>
        <v>2.0046844921228621</v>
      </c>
      <c r="AQ174" s="32">
        <f t="shared" si="113"/>
        <v>15.314661420528923</v>
      </c>
      <c r="AR174" s="32">
        <f t="shared" si="114"/>
        <v>41.917803504358282</v>
      </c>
      <c r="AS174" s="32">
        <f t="shared" si="94"/>
        <v>31.468533446791852</v>
      </c>
      <c r="AT174" s="32">
        <f t="shared" si="95"/>
        <v>18.494784000000003</v>
      </c>
      <c r="AU174" s="32">
        <f t="shared" si="96"/>
        <v>0.76327675201682166</v>
      </c>
      <c r="AV174" s="32">
        <f t="shared" si="97"/>
        <v>0.68042361522270933</v>
      </c>
      <c r="AW174" s="32">
        <f t="shared" si="98"/>
        <v>3.5195809082089093</v>
      </c>
      <c r="AX174" s="32">
        <f t="shared" si="99"/>
        <v>1.8652661127239329</v>
      </c>
      <c r="AY174" s="32">
        <f t="shared" si="100"/>
        <v>2.3642253849916104</v>
      </c>
      <c r="AZ174" s="32">
        <f t="shared" si="115"/>
        <v>0.12473547076716154</v>
      </c>
      <c r="BA174" s="32">
        <f t="shared" si="101"/>
        <v>-3.1443363803463793</v>
      </c>
      <c r="BB174" s="32">
        <f t="shared" si="116"/>
        <v>15.350447619653623</v>
      </c>
      <c r="BC174" s="32">
        <f t="shared" si="102"/>
        <v>21.59</v>
      </c>
      <c r="BD174" s="32">
        <v>0</v>
      </c>
      <c r="BE174" s="32">
        <f t="shared" si="117"/>
        <v>2.6924235104664209</v>
      </c>
      <c r="BF174" s="32">
        <f t="shared" si="118"/>
        <v>0.32819812547481053</v>
      </c>
      <c r="BG174" s="32">
        <f t="shared" si="119"/>
        <v>0.15769838395232022</v>
      </c>
      <c r="BH174" s="32">
        <f t="shared" si="103"/>
        <v>3.9995217500791367</v>
      </c>
      <c r="BI174" s="32">
        <f t="shared" si="104"/>
        <v>0.26432472946863789</v>
      </c>
      <c r="BJ174" s="32">
        <f t="shared" si="105"/>
        <v>4.2638464795477748</v>
      </c>
      <c r="BK174" s="457">
        <f t="shared" si="106"/>
        <v>4.9939584736180747</v>
      </c>
      <c r="BL174" s="2"/>
    </row>
    <row r="175" spans="1:64" ht="15">
      <c r="A175" s="119"/>
      <c r="B175" s="480">
        <f>Input!B192</f>
        <v>38157</v>
      </c>
      <c r="C175" s="481">
        <v>1</v>
      </c>
      <c r="D175" s="481">
        <f t="shared" si="107"/>
        <v>6</v>
      </c>
      <c r="E175" s="481">
        <f t="shared" si="108"/>
        <v>19</v>
      </c>
      <c r="F175" s="481">
        <f t="shared" si="82"/>
        <v>171</v>
      </c>
      <c r="G175" s="431">
        <v>19.958400000000001</v>
      </c>
      <c r="H175" s="455">
        <v>28.93</v>
      </c>
      <c r="I175" s="455">
        <v>21.8</v>
      </c>
      <c r="J175" s="455">
        <v>1.66</v>
      </c>
      <c r="K175" s="485"/>
      <c r="L175" s="433">
        <v>89</v>
      </c>
      <c r="M175" s="455">
        <v>67</v>
      </c>
      <c r="N175" s="484">
        <f>Weather!M176</f>
        <v>0</v>
      </c>
      <c r="O175" s="481" t="str">
        <f t="shared" si="109"/>
        <v/>
      </c>
      <c r="P175" s="4">
        <f t="shared" si="120"/>
        <v>4.3448768618195519</v>
      </c>
      <c r="Q175" s="169">
        <f t="shared" si="83"/>
        <v>3.9895021043824697</v>
      </c>
      <c r="R175" s="169">
        <f t="shared" si="84"/>
        <v>2.6118719061836697</v>
      </c>
      <c r="S175" s="169">
        <f t="shared" si="85"/>
        <v>2.6729664099362549</v>
      </c>
      <c r="T175" s="169">
        <f t="shared" si="86"/>
        <v>2.3245659965034662</v>
      </c>
      <c r="U175" s="169">
        <f t="shared" si="87"/>
        <v>2.4987662032198603</v>
      </c>
      <c r="V175" s="169">
        <f t="shared" si="88"/>
        <v>8.1573989402392424E-2</v>
      </c>
      <c r="W175" s="439">
        <f t="shared" si="89"/>
        <v>21.076828684971645</v>
      </c>
      <c r="X175" s="439">
        <f t="shared" si="90"/>
        <v>21.076828684971645</v>
      </c>
      <c r="Y175" s="169"/>
      <c r="Z175" s="119" t="str">
        <f t="shared" si="91"/>
        <v/>
      </c>
      <c r="AA175" s="4" t="str">
        <f t="shared" si="92"/>
        <v/>
      </c>
      <c r="AB175" s="466"/>
      <c r="AC175" s="466"/>
      <c r="AD175" s="466"/>
      <c r="AE175" s="466"/>
      <c r="AF175" s="466"/>
      <c r="AG175" s="466"/>
      <c r="AH175" s="466"/>
      <c r="AI175" s="466"/>
      <c r="AJ175" s="466"/>
      <c r="AK175" s="466"/>
      <c r="AL175" s="466"/>
      <c r="AM175" s="462">
        <f t="shared" si="93"/>
        <v>171</v>
      </c>
      <c r="AN175" s="32">
        <f t="shared" si="110"/>
        <v>0.96764451770806614</v>
      </c>
      <c r="AO175" s="32">
        <f t="shared" si="111"/>
        <v>0.40893973380353849</v>
      </c>
      <c r="AP175" s="32">
        <f t="shared" si="112"/>
        <v>2.0049150228980976</v>
      </c>
      <c r="AQ175" s="32">
        <f t="shared" si="113"/>
        <v>15.316422545924771</v>
      </c>
      <c r="AR175" s="32">
        <f t="shared" si="114"/>
        <v>41.919503482475214</v>
      </c>
      <c r="AS175" s="32">
        <f t="shared" si="94"/>
        <v>31.469809654363797</v>
      </c>
      <c r="AT175" s="32">
        <f t="shared" si="95"/>
        <v>15.367968000000001</v>
      </c>
      <c r="AU175" s="32">
        <f t="shared" si="96"/>
        <v>0.63420783980599793</v>
      </c>
      <c r="AV175" s="32">
        <f t="shared" si="97"/>
        <v>0.50618058373809727</v>
      </c>
      <c r="AW175" s="32">
        <f t="shared" si="98"/>
        <v>3.9895021043824697</v>
      </c>
      <c r="AX175" s="32">
        <f t="shared" si="99"/>
        <v>2.6118719061836697</v>
      </c>
      <c r="AY175" s="32">
        <f t="shared" si="100"/>
        <v>2.4987662032198608</v>
      </c>
      <c r="AZ175" s="32">
        <f t="shared" si="115"/>
        <v>0.11869519304111517</v>
      </c>
      <c r="BA175" s="32">
        <f t="shared" si="101"/>
        <v>-2.339757339497611</v>
      </c>
      <c r="BB175" s="32">
        <f t="shared" si="116"/>
        <v>13.02821066050239</v>
      </c>
      <c r="BC175" s="32">
        <f t="shared" si="102"/>
        <v>25.365000000000002</v>
      </c>
      <c r="BD175" s="32">
        <v>0</v>
      </c>
      <c r="BE175" s="32">
        <f t="shared" si="117"/>
        <v>3.3006870052830699</v>
      </c>
      <c r="BF175" s="32">
        <f t="shared" si="118"/>
        <v>0.80192080206320915</v>
      </c>
      <c r="BG175" s="32">
        <f t="shared" si="119"/>
        <v>0.19233451560296638</v>
      </c>
      <c r="BH175" s="32">
        <f t="shared" si="103"/>
        <v>3.4385031392002556</v>
      </c>
      <c r="BI175" s="32">
        <f t="shared" si="104"/>
        <v>0.90637372261929616</v>
      </c>
      <c r="BJ175" s="32">
        <f t="shared" si="105"/>
        <v>4.3448768618195519</v>
      </c>
      <c r="BK175" s="457">
        <f t="shared" si="106"/>
        <v>4.5358051712246823</v>
      </c>
      <c r="BL175" s="2"/>
    </row>
    <row r="176" spans="1:64" ht="15">
      <c r="A176" s="119"/>
      <c r="B176" s="480">
        <f>Input!B193</f>
        <v>38158</v>
      </c>
      <c r="C176" s="481">
        <v>1</v>
      </c>
      <c r="D176" s="481">
        <f t="shared" si="107"/>
        <v>6</v>
      </c>
      <c r="E176" s="481">
        <f t="shared" si="108"/>
        <v>20</v>
      </c>
      <c r="F176" s="481">
        <f t="shared" si="82"/>
        <v>172</v>
      </c>
      <c r="G176" s="431">
        <v>22.377600000000001</v>
      </c>
      <c r="H176" s="455">
        <v>27.7</v>
      </c>
      <c r="I176" s="455">
        <v>18.899999999999999</v>
      </c>
      <c r="J176" s="455">
        <v>1.38</v>
      </c>
      <c r="K176" s="485"/>
      <c r="L176" s="433">
        <v>94</v>
      </c>
      <c r="M176" s="455">
        <v>80</v>
      </c>
      <c r="N176" s="484">
        <f>Weather!M177</f>
        <v>0</v>
      </c>
      <c r="O176" s="481" t="str">
        <f t="shared" si="109"/>
        <v/>
      </c>
      <c r="P176" s="4">
        <f t="shared" si="120"/>
        <v>4.2189462561948528</v>
      </c>
      <c r="Q176" s="169">
        <f t="shared" si="83"/>
        <v>3.7144033809363424</v>
      </c>
      <c r="R176" s="169">
        <f t="shared" si="84"/>
        <v>2.1837218414652266</v>
      </c>
      <c r="S176" s="169">
        <f t="shared" si="85"/>
        <v>2.971522704749074</v>
      </c>
      <c r="T176" s="169">
        <f t="shared" si="86"/>
        <v>2.0526985309773127</v>
      </c>
      <c r="U176" s="169">
        <f t="shared" si="87"/>
        <v>2.5121106178631933</v>
      </c>
      <c r="V176" s="169">
        <f t="shared" si="88"/>
        <v>8.1882396586429068E-2</v>
      </c>
      <c r="W176" s="439">
        <f t="shared" si="89"/>
        <v>21.16362069272618</v>
      </c>
      <c r="X176" s="439">
        <f t="shared" si="90"/>
        <v>21.16362069272618</v>
      </c>
      <c r="Y176" s="169"/>
      <c r="Z176" s="119" t="str">
        <f t="shared" si="91"/>
        <v/>
      </c>
      <c r="AA176" s="4" t="str">
        <f t="shared" si="92"/>
        <v/>
      </c>
      <c r="AB176" s="466"/>
      <c r="AC176" s="466"/>
      <c r="AD176" s="466"/>
      <c r="AE176" s="466"/>
      <c r="AF176" s="466"/>
      <c r="AG176" s="466"/>
      <c r="AH176" s="466"/>
      <c r="AI176" s="466"/>
      <c r="AJ176" s="466"/>
      <c r="AK176" s="466"/>
      <c r="AL176" s="466"/>
      <c r="AM176" s="462">
        <f t="shared" si="93"/>
        <v>172</v>
      </c>
      <c r="AN176" s="32">
        <f t="shared" si="110"/>
        <v>0.96753759330547084</v>
      </c>
      <c r="AO176" s="32">
        <f t="shared" si="111"/>
        <v>0.40899999954517041</v>
      </c>
      <c r="AP176" s="32">
        <f t="shared" si="112"/>
        <v>2.0049916062933972</v>
      </c>
      <c r="AQ176" s="32">
        <f t="shared" si="113"/>
        <v>15.317007599968967</v>
      </c>
      <c r="AR176" s="32">
        <f t="shared" si="114"/>
        <v>41.917111952775116</v>
      </c>
      <c r="AS176" s="32">
        <f t="shared" si="94"/>
        <v>31.468014285187337</v>
      </c>
      <c r="AT176" s="32">
        <f t="shared" si="95"/>
        <v>17.230752000000003</v>
      </c>
      <c r="AU176" s="32">
        <f t="shared" si="96"/>
        <v>0.71112208724697357</v>
      </c>
      <c r="AV176" s="32">
        <f t="shared" si="97"/>
        <v>0.61001481778341438</v>
      </c>
      <c r="AW176" s="32">
        <f t="shared" si="98"/>
        <v>3.7144033809363424</v>
      </c>
      <c r="AX176" s="32">
        <f t="shared" si="99"/>
        <v>2.1837218414652266</v>
      </c>
      <c r="AY176" s="32">
        <f t="shared" si="100"/>
        <v>2.5121106178631938</v>
      </c>
      <c r="AZ176" s="32">
        <f t="shared" si="115"/>
        <v>0.11810505163452101</v>
      </c>
      <c r="BA176" s="32">
        <f t="shared" si="101"/>
        <v>-2.7301369551528882</v>
      </c>
      <c r="BB176" s="32">
        <f t="shared" si="116"/>
        <v>14.500615044847114</v>
      </c>
      <c r="BC176" s="32">
        <f t="shared" si="102"/>
        <v>23.299999999999997</v>
      </c>
      <c r="BD176" s="32">
        <v>0</v>
      </c>
      <c r="BE176" s="32">
        <f t="shared" si="117"/>
        <v>2.9490626112007847</v>
      </c>
      <c r="BF176" s="32">
        <f t="shared" si="118"/>
        <v>0.43695199333759094</v>
      </c>
      <c r="BG176" s="32">
        <f t="shared" si="119"/>
        <v>0.17267115751226686</v>
      </c>
      <c r="BH176" s="32">
        <f t="shared" si="103"/>
        <v>3.7658167812054351</v>
      </c>
      <c r="BI176" s="32">
        <f t="shared" si="104"/>
        <v>0.45312947498941791</v>
      </c>
      <c r="BJ176" s="32">
        <f t="shared" si="105"/>
        <v>4.2189462561948528</v>
      </c>
      <c r="BK176" s="457">
        <f t="shared" si="106"/>
        <v>4.7977350646636268</v>
      </c>
      <c r="BL176" s="2"/>
    </row>
    <row r="177" spans="1:64" ht="15">
      <c r="A177" s="119"/>
      <c r="B177" s="480">
        <f>Input!B194</f>
        <v>38159</v>
      </c>
      <c r="C177" s="481">
        <v>1</v>
      </c>
      <c r="D177" s="481">
        <f t="shared" si="107"/>
        <v>6</v>
      </c>
      <c r="E177" s="481">
        <f t="shared" si="108"/>
        <v>21</v>
      </c>
      <c r="F177" s="481">
        <f t="shared" si="82"/>
        <v>173</v>
      </c>
      <c r="G177" s="431">
        <v>25.401599999999998</v>
      </c>
      <c r="H177" s="455">
        <v>27.94</v>
      </c>
      <c r="I177" s="455">
        <v>19.600000000000001</v>
      </c>
      <c r="J177" s="455">
        <v>2.0299999999999998</v>
      </c>
      <c r="K177" s="485"/>
      <c r="L177" s="433">
        <v>84</v>
      </c>
      <c r="M177" s="455">
        <v>80</v>
      </c>
      <c r="N177" s="484">
        <f>Weather!M178</f>
        <v>0</v>
      </c>
      <c r="O177" s="481" t="str">
        <f t="shared" si="109"/>
        <v/>
      </c>
      <c r="P177" s="4">
        <f t="shared" si="120"/>
        <v>4.815483037784154</v>
      </c>
      <c r="Q177" s="169">
        <f t="shared" si="83"/>
        <v>3.7667450556368158</v>
      </c>
      <c r="R177" s="169">
        <f t="shared" si="84"/>
        <v>2.2810057729824531</v>
      </c>
      <c r="S177" s="169">
        <f t="shared" si="85"/>
        <v>3.0133960445094528</v>
      </c>
      <c r="T177" s="169">
        <f t="shared" si="86"/>
        <v>1.9160448493052606</v>
      </c>
      <c r="U177" s="169">
        <f t="shared" si="87"/>
        <v>2.4647204469073567</v>
      </c>
      <c r="V177" s="169">
        <f t="shared" si="88"/>
        <v>8.0779623493833108E-2</v>
      </c>
      <c r="W177" s="439">
        <f t="shared" si="89"/>
        <v>20.853546271401651</v>
      </c>
      <c r="X177" s="439">
        <f t="shared" si="90"/>
        <v>20.853546271401651</v>
      </c>
      <c r="Y177" s="169"/>
      <c r="Z177" s="119" t="str">
        <f t="shared" si="91"/>
        <v/>
      </c>
      <c r="AA177" s="4" t="str">
        <f t="shared" si="92"/>
        <v/>
      </c>
      <c r="AB177" s="466"/>
      <c r="AC177" s="466"/>
      <c r="AD177" s="466"/>
      <c r="AE177" s="466"/>
      <c r="AF177" s="466"/>
      <c r="AG177" s="466"/>
      <c r="AH177" s="466"/>
      <c r="AI177" s="466"/>
      <c r="AJ177" s="466"/>
      <c r="AK177" s="466"/>
      <c r="AL177" s="466"/>
      <c r="AM177" s="462">
        <f t="shared" si="93"/>
        <v>173</v>
      </c>
      <c r="AN177" s="32">
        <f t="shared" si="110"/>
        <v>0.96744028821457528</v>
      </c>
      <c r="AO177" s="32">
        <f t="shared" si="111"/>
        <v>0.40893906975999411</v>
      </c>
      <c r="AP177" s="32">
        <f t="shared" si="112"/>
        <v>2.0049141790944338</v>
      </c>
      <c r="AQ177" s="32">
        <f t="shared" si="113"/>
        <v>15.316416099739616</v>
      </c>
      <c r="AR177" s="32">
        <f t="shared" si="114"/>
        <v>41.910631334094511</v>
      </c>
      <c r="AS177" s="32">
        <f t="shared" si="94"/>
        <v>31.463149155131433</v>
      </c>
      <c r="AT177" s="32">
        <f t="shared" si="95"/>
        <v>19.559231999999998</v>
      </c>
      <c r="AU177" s="32">
        <f t="shared" si="96"/>
        <v>0.80734448655331648</v>
      </c>
      <c r="AV177" s="32">
        <f t="shared" si="97"/>
        <v>0.73991505684697734</v>
      </c>
      <c r="AW177" s="32">
        <f t="shared" si="98"/>
        <v>3.7667450556368158</v>
      </c>
      <c r="AX177" s="32">
        <f t="shared" si="99"/>
        <v>2.2810057729824531</v>
      </c>
      <c r="AY177" s="32">
        <f t="shared" si="100"/>
        <v>2.4647204469073576</v>
      </c>
      <c r="AZ177" s="32">
        <f t="shared" si="115"/>
        <v>0.12020800569769563</v>
      </c>
      <c r="BA177" s="32">
        <f t="shared" si="101"/>
        <v>-3.3914296836343572</v>
      </c>
      <c r="BB177" s="32">
        <f t="shared" si="116"/>
        <v>16.167802316365641</v>
      </c>
      <c r="BC177" s="32">
        <f t="shared" si="102"/>
        <v>23.770000000000003</v>
      </c>
      <c r="BD177" s="32">
        <v>0</v>
      </c>
      <c r="BE177" s="32">
        <f t="shared" si="117"/>
        <v>3.0238754143096345</v>
      </c>
      <c r="BF177" s="32">
        <f t="shared" si="118"/>
        <v>0.55915496740227688</v>
      </c>
      <c r="BG177" s="32">
        <f t="shared" si="119"/>
        <v>0.1769905316734908</v>
      </c>
      <c r="BH177" s="32">
        <f t="shared" si="103"/>
        <v>4.020014489276166</v>
      </c>
      <c r="BI177" s="32">
        <f t="shared" si="104"/>
        <v>0.7954685485079882</v>
      </c>
      <c r="BJ177" s="32">
        <f t="shared" si="105"/>
        <v>4.815483037784154</v>
      </c>
      <c r="BK177" s="457">
        <f t="shared" si="106"/>
        <v>4.7233377812015718</v>
      </c>
      <c r="BL177" s="2"/>
    </row>
    <row r="178" spans="1:64" ht="15">
      <c r="A178" s="119"/>
      <c r="B178" s="480">
        <f>Input!B195</f>
        <v>38160</v>
      </c>
      <c r="C178" s="481">
        <v>1</v>
      </c>
      <c r="D178" s="481">
        <f t="shared" si="107"/>
        <v>6</v>
      </c>
      <c r="E178" s="481">
        <f t="shared" si="108"/>
        <v>22</v>
      </c>
      <c r="F178" s="481">
        <f t="shared" si="82"/>
        <v>174</v>
      </c>
      <c r="G178" s="431">
        <v>27.043199999999999</v>
      </c>
      <c r="H178" s="455">
        <v>27.81</v>
      </c>
      <c r="I178" s="455">
        <v>20.399999999999999</v>
      </c>
      <c r="J178" s="455">
        <v>1.98</v>
      </c>
      <c r="K178" s="485"/>
      <c r="L178" s="433">
        <v>85</v>
      </c>
      <c r="M178" s="455">
        <v>73</v>
      </c>
      <c r="N178" s="484">
        <f>Weather!M179</f>
        <v>0</v>
      </c>
      <c r="O178" s="481" t="str">
        <f t="shared" si="109"/>
        <v/>
      </c>
      <c r="P178" s="4">
        <f t="shared" si="120"/>
        <v>5.2090818304770883</v>
      </c>
      <c r="Q178" s="169">
        <f t="shared" si="83"/>
        <v>3.7383141725183471</v>
      </c>
      <c r="R178" s="169">
        <f t="shared" si="84"/>
        <v>2.3968104104453793</v>
      </c>
      <c r="S178" s="169">
        <f t="shared" si="85"/>
        <v>2.7289693459383932</v>
      </c>
      <c r="T178" s="169">
        <f t="shared" si="86"/>
        <v>2.0372888488785725</v>
      </c>
      <c r="U178" s="169">
        <f t="shared" si="87"/>
        <v>2.3831290974084829</v>
      </c>
      <c r="V178" s="169">
        <f t="shared" si="88"/>
        <v>7.883034606882082E-2</v>
      </c>
      <c r="W178" s="439">
        <f t="shared" si="89"/>
        <v>20.307270264820016</v>
      </c>
      <c r="X178" s="439">
        <f t="shared" si="90"/>
        <v>20.307270264820016</v>
      </c>
      <c r="Y178" s="169"/>
      <c r="Z178" s="119" t="str">
        <f t="shared" si="91"/>
        <v/>
      </c>
      <c r="AA178" s="4" t="str">
        <f t="shared" si="92"/>
        <v/>
      </c>
      <c r="AB178" s="466"/>
      <c r="AC178" s="466"/>
      <c r="AD178" s="466"/>
      <c r="AE178" s="466"/>
      <c r="AF178" s="466"/>
      <c r="AG178" s="466"/>
      <c r="AH178" s="466"/>
      <c r="AI178" s="466"/>
      <c r="AJ178" s="466"/>
      <c r="AK178" s="466"/>
      <c r="AL178" s="466"/>
      <c r="AM178" s="462">
        <f t="shared" si="93"/>
        <v>174</v>
      </c>
      <c r="AN178" s="32">
        <f t="shared" si="110"/>
        <v>0.96735263126897797</v>
      </c>
      <c r="AO178" s="32">
        <f t="shared" si="111"/>
        <v>0.40875696250282001</v>
      </c>
      <c r="AP178" s="32">
        <f t="shared" si="112"/>
        <v>2.0046828052119094</v>
      </c>
      <c r="AQ178" s="32">
        <f t="shared" si="113"/>
        <v>15.314648533478524</v>
      </c>
      <c r="AR178" s="32">
        <f t="shared" si="114"/>
        <v>41.900064686860624</v>
      </c>
      <c r="AS178" s="32">
        <f t="shared" si="94"/>
        <v>31.455216561720011</v>
      </c>
      <c r="AT178" s="32">
        <f t="shared" si="95"/>
        <v>20.823263999999998</v>
      </c>
      <c r="AU178" s="32">
        <f t="shared" si="96"/>
        <v>0.85973657014686411</v>
      </c>
      <c r="AV178" s="32">
        <f t="shared" si="97"/>
        <v>0.8106443696982667</v>
      </c>
      <c r="AW178" s="32">
        <f t="shared" si="98"/>
        <v>3.7383141725183471</v>
      </c>
      <c r="AX178" s="32">
        <f t="shared" si="99"/>
        <v>2.3968104104453793</v>
      </c>
      <c r="AY178" s="32">
        <f t="shared" si="100"/>
        <v>2.3831290974084829</v>
      </c>
      <c r="AZ178" s="32">
        <f t="shared" si="115"/>
        <v>0.12387658546745503</v>
      </c>
      <c r="BA178" s="32">
        <f t="shared" si="101"/>
        <v>-3.8453598245279244</v>
      </c>
      <c r="BB178" s="32">
        <f t="shared" si="116"/>
        <v>16.977904175472073</v>
      </c>
      <c r="BC178" s="32">
        <f t="shared" si="102"/>
        <v>24.104999999999997</v>
      </c>
      <c r="BD178" s="32">
        <v>0</v>
      </c>
      <c r="BE178" s="32">
        <f t="shared" si="117"/>
        <v>3.0675622914818632</v>
      </c>
      <c r="BF178" s="32">
        <f t="shared" si="118"/>
        <v>0.68443319407338032</v>
      </c>
      <c r="BG178" s="32">
        <f t="shared" si="119"/>
        <v>0.1801245504968618</v>
      </c>
      <c r="BH178" s="32">
        <f t="shared" si="103"/>
        <v>4.266908466198557</v>
      </c>
      <c r="BI178" s="32">
        <f t="shared" si="104"/>
        <v>0.9421733642785316</v>
      </c>
      <c r="BJ178" s="32">
        <f t="shared" si="105"/>
        <v>5.2090818304770883</v>
      </c>
      <c r="BK178" s="457">
        <f t="shared" si="106"/>
        <v>4.4869516948935013</v>
      </c>
      <c r="BL178" s="2"/>
    </row>
    <row r="179" spans="1:64" ht="15">
      <c r="A179" s="119"/>
      <c r="B179" s="480">
        <f>Input!B196</f>
        <v>38161</v>
      </c>
      <c r="C179" s="481">
        <v>1</v>
      </c>
      <c r="D179" s="481">
        <f t="shared" si="107"/>
        <v>6</v>
      </c>
      <c r="E179" s="481">
        <f t="shared" si="108"/>
        <v>23</v>
      </c>
      <c r="F179" s="481">
        <f t="shared" si="82"/>
        <v>175</v>
      </c>
      <c r="G179" s="431">
        <v>25.315200000000001</v>
      </c>
      <c r="H179" s="455">
        <v>25.75</v>
      </c>
      <c r="I179" s="455">
        <v>18.8</v>
      </c>
      <c r="J179" s="455">
        <v>3.1</v>
      </c>
      <c r="K179" s="485"/>
      <c r="L179" s="433">
        <v>99</v>
      </c>
      <c r="M179" s="455">
        <v>82</v>
      </c>
      <c r="N179" s="484">
        <f>Weather!M180</f>
        <v>0</v>
      </c>
      <c r="O179" s="481" t="str">
        <f t="shared" si="109"/>
        <v/>
      </c>
      <c r="P179" s="4">
        <f t="shared" si="120"/>
        <v>4.2242359034504471</v>
      </c>
      <c r="Q179" s="169">
        <f t="shared" si="83"/>
        <v>3.3120817693806806</v>
      </c>
      <c r="R179" s="169">
        <f t="shared" si="84"/>
        <v>2.1701248415136294</v>
      </c>
      <c r="S179" s="169">
        <f t="shared" si="85"/>
        <v>2.7159070508921577</v>
      </c>
      <c r="T179" s="169">
        <f t="shared" si="86"/>
        <v>2.1484235930984932</v>
      </c>
      <c r="U179" s="169">
        <f t="shared" si="87"/>
        <v>2.4321653219953254</v>
      </c>
      <c r="V179" s="169">
        <f t="shared" si="88"/>
        <v>8.0009707308936029E-2</v>
      </c>
      <c r="W179" s="439">
        <f t="shared" si="89"/>
        <v>20.637504216347413</v>
      </c>
      <c r="X179" s="439">
        <f t="shared" si="90"/>
        <v>20.637504216347413</v>
      </c>
      <c r="Y179" s="169"/>
      <c r="Z179" s="119" t="str">
        <f t="shared" si="91"/>
        <v/>
      </c>
      <c r="AA179" s="4" t="str">
        <f t="shared" si="92"/>
        <v/>
      </c>
      <c r="AB179" s="466"/>
      <c r="AC179" s="466"/>
      <c r="AD179" s="466"/>
      <c r="AE179" s="466"/>
      <c r="AF179" s="466"/>
      <c r="AG179" s="466"/>
      <c r="AH179" s="466"/>
      <c r="AI179" s="466"/>
      <c r="AJ179" s="466"/>
      <c r="AK179" s="466"/>
      <c r="AL179" s="466"/>
      <c r="AM179" s="462">
        <f t="shared" si="93"/>
        <v>175</v>
      </c>
      <c r="AN179" s="32">
        <f t="shared" si="110"/>
        <v>0.96727464844332345</v>
      </c>
      <c r="AO179" s="32">
        <f t="shared" si="111"/>
        <v>0.40845373173595856</v>
      </c>
      <c r="AP179" s="32">
        <f t="shared" si="112"/>
        <v>2.0042976754894859</v>
      </c>
      <c r="AQ179" s="32">
        <f t="shared" si="113"/>
        <v>15.311706359123868</v>
      </c>
      <c r="AR179" s="32">
        <f t="shared" si="114"/>
        <v>41.88541571058019</v>
      </c>
      <c r="AS179" s="32">
        <f t="shared" si="94"/>
        <v>31.444219282246763</v>
      </c>
      <c r="AT179" s="32">
        <f t="shared" si="95"/>
        <v>19.492704</v>
      </c>
      <c r="AU179" s="32">
        <f t="shared" si="96"/>
        <v>0.80508279670638305</v>
      </c>
      <c r="AV179" s="32">
        <f t="shared" si="97"/>
        <v>0.7368617755536172</v>
      </c>
      <c r="AW179" s="32">
        <f t="shared" si="98"/>
        <v>3.3120817693806806</v>
      </c>
      <c r="AX179" s="32">
        <f t="shared" si="99"/>
        <v>2.1701248415136294</v>
      </c>
      <c r="AY179" s="32">
        <f t="shared" si="100"/>
        <v>2.4321653219953259</v>
      </c>
      <c r="AZ179" s="32">
        <f t="shared" si="115"/>
        <v>0.12166438606789687</v>
      </c>
      <c r="BA179" s="32">
        <f t="shared" si="101"/>
        <v>-3.348844256802884</v>
      </c>
      <c r="BB179" s="32">
        <f t="shared" si="116"/>
        <v>16.143859743197115</v>
      </c>
      <c r="BC179" s="32">
        <f t="shared" si="102"/>
        <v>22.274999999999999</v>
      </c>
      <c r="BD179" s="32">
        <v>0</v>
      </c>
      <c r="BE179" s="32">
        <f t="shared" si="117"/>
        <v>2.741103305447155</v>
      </c>
      <c r="BF179" s="32">
        <f t="shared" si="118"/>
        <v>0.3089379834518291</v>
      </c>
      <c r="BG179" s="32">
        <f t="shared" si="119"/>
        <v>0.16355888366875382</v>
      </c>
      <c r="BH179" s="32">
        <f t="shared" si="103"/>
        <v>3.5742576136728115</v>
      </c>
      <c r="BI179" s="32">
        <f t="shared" si="104"/>
        <v>0.64997828977763539</v>
      </c>
      <c r="BJ179" s="32">
        <f t="shared" si="105"/>
        <v>4.2242359034504471</v>
      </c>
      <c r="BK179" s="457">
        <f t="shared" si="106"/>
        <v>4.1542297841572431</v>
      </c>
      <c r="BL179" s="2"/>
    </row>
    <row r="180" spans="1:64" ht="15">
      <c r="A180" s="119"/>
      <c r="B180" s="480">
        <f>Input!B197</f>
        <v>38162</v>
      </c>
      <c r="C180" s="481">
        <v>1</v>
      </c>
      <c r="D180" s="481">
        <f t="shared" si="107"/>
        <v>6</v>
      </c>
      <c r="E180" s="481">
        <f t="shared" si="108"/>
        <v>24</v>
      </c>
      <c r="F180" s="481">
        <f t="shared" si="82"/>
        <v>176</v>
      </c>
      <c r="G180" s="431">
        <v>20.3904</v>
      </c>
      <c r="H180" s="455">
        <v>26.34</v>
      </c>
      <c r="I180" s="455">
        <v>17.399999999999999</v>
      </c>
      <c r="J180" s="455">
        <v>1.4</v>
      </c>
      <c r="K180" s="485"/>
      <c r="L180" s="433">
        <v>100</v>
      </c>
      <c r="M180" s="455">
        <v>83</v>
      </c>
      <c r="N180" s="484">
        <f>Weather!M181</f>
        <v>0</v>
      </c>
      <c r="O180" s="481" t="str">
        <f t="shared" si="109"/>
        <v/>
      </c>
      <c r="P180" s="4">
        <f t="shared" si="120"/>
        <v>3.6770090379365259</v>
      </c>
      <c r="Q180" s="169">
        <f t="shared" si="83"/>
        <v>3.4295949044008585</v>
      </c>
      <c r="R180" s="169">
        <f t="shared" si="84"/>
        <v>1.9873971889021356</v>
      </c>
      <c r="S180" s="169">
        <f t="shared" si="85"/>
        <v>2.8465637706527125</v>
      </c>
      <c r="T180" s="169">
        <f t="shared" si="86"/>
        <v>1.9873971889021356</v>
      </c>
      <c r="U180" s="169">
        <f t="shared" si="87"/>
        <v>2.4169804797774241</v>
      </c>
      <c r="V180" s="169">
        <f t="shared" si="88"/>
        <v>7.9647060284127075E-2</v>
      </c>
      <c r="W180" s="439">
        <f t="shared" si="89"/>
        <v>20.535869001796367</v>
      </c>
      <c r="X180" s="439">
        <f t="shared" si="90"/>
        <v>20.535869001796367</v>
      </c>
      <c r="Y180" s="169"/>
      <c r="Z180" s="119" t="str">
        <f t="shared" si="91"/>
        <v/>
      </c>
      <c r="AA180" s="4" t="str">
        <f t="shared" si="92"/>
        <v/>
      </c>
      <c r="AB180" s="466"/>
      <c r="AC180" s="466"/>
      <c r="AD180" s="466"/>
      <c r="AE180" s="466"/>
      <c r="AF180" s="466"/>
      <c r="AG180" s="466"/>
      <c r="AH180" s="466"/>
      <c r="AI180" s="466"/>
      <c r="AJ180" s="466"/>
      <c r="AK180" s="466"/>
      <c r="AL180" s="466"/>
      <c r="AM180" s="462">
        <f t="shared" si="93"/>
        <v>176</v>
      </c>
      <c r="AN180" s="32">
        <f t="shared" si="110"/>
        <v>0.96720636284560613</v>
      </c>
      <c r="AO180" s="32">
        <f t="shared" si="111"/>
        <v>0.40802946731323025</v>
      </c>
      <c r="AP180" s="32">
        <f t="shared" si="112"/>
        <v>2.0037591071308927</v>
      </c>
      <c r="AQ180" s="32">
        <f t="shared" si="113"/>
        <v>15.307591999933642</v>
      </c>
      <c r="AR180" s="32">
        <f t="shared" si="114"/>
        <v>41.866688741002164</v>
      </c>
      <c r="AS180" s="32">
        <f t="shared" si="94"/>
        <v>31.430160571645146</v>
      </c>
      <c r="AT180" s="32">
        <f t="shared" si="95"/>
        <v>15.700608000000001</v>
      </c>
      <c r="AU180" s="32">
        <f t="shared" si="96"/>
        <v>0.64875265124783632</v>
      </c>
      <c r="AV180" s="32">
        <f t="shared" si="97"/>
        <v>0.52581607918457907</v>
      </c>
      <c r="AW180" s="32">
        <f t="shared" si="98"/>
        <v>3.4295949044008585</v>
      </c>
      <c r="AX180" s="32">
        <f t="shared" si="99"/>
        <v>1.9873971889021356</v>
      </c>
      <c r="AY180" s="32">
        <f t="shared" si="100"/>
        <v>2.4169804797774241</v>
      </c>
      <c r="AZ180" s="32">
        <f t="shared" si="115"/>
        <v>0.12234702528190083</v>
      </c>
      <c r="BA180" s="32">
        <f t="shared" si="101"/>
        <v>-2.3912611313797818</v>
      </c>
      <c r="BB180" s="32">
        <f t="shared" si="116"/>
        <v>13.309346868620219</v>
      </c>
      <c r="BC180" s="32">
        <f t="shared" si="102"/>
        <v>21.869999999999997</v>
      </c>
      <c r="BD180" s="32">
        <v>0</v>
      </c>
      <c r="BE180" s="32">
        <f t="shared" si="117"/>
        <v>2.7084960466514971</v>
      </c>
      <c r="BF180" s="32">
        <f t="shared" si="118"/>
        <v>0.29151556687407298</v>
      </c>
      <c r="BG180" s="32">
        <f t="shared" si="119"/>
        <v>0.16007210686774845</v>
      </c>
      <c r="BH180" s="32">
        <f t="shared" si="103"/>
        <v>3.3543909859655088</v>
      </c>
      <c r="BI180" s="32">
        <f t="shared" si="104"/>
        <v>0.32261805197101695</v>
      </c>
      <c r="BJ180" s="32">
        <f t="shared" si="105"/>
        <v>3.6770090379365259</v>
      </c>
      <c r="BK180" s="457">
        <f t="shared" si="106"/>
        <v>4.6618825215081845</v>
      </c>
      <c r="BL180" s="2"/>
    </row>
    <row r="181" spans="1:64" ht="15">
      <c r="A181" s="119"/>
      <c r="B181" s="480">
        <f>Input!B198</f>
        <v>38163</v>
      </c>
      <c r="C181" s="481">
        <v>1</v>
      </c>
      <c r="D181" s="481">
        <f t="shared" si="107"/>
        <v>6</v>
      </c>
      <c r="E181" s="481">
        <f t="shared" si="108"/>
        <v>25</v>
      </c>
      <c r="F181" s="481">
        <f t="shared" si="82"/>
        <v>177</v>
      </c>
      <c r="G181" s="431">
        <v>26.697600000000001</v>
      </c>
      <c r="H181" s="455">
        <v>27.05</v>
      </c>
      <c r="I181" s="455">
        <v>21.2</v>
      </c>
      <c r="J181" s="455">
        <v>2.2400000000000002</v>
      </c>
      <c r="K181" s="485"/>
      <c r="L181" s="433">
        <v>100</v>
      </c>
      <c r="M181" s="455">
        <v>73</v>
      </c>
      <c r="N181" s="484">
        <f>Weather!M182</f>
        <v>0</v>
      </c>
      <c r="O181" s="481" t="str">
        <f t="shared" si="109"/>
        <v/>
      </c>
      <c r="P181" s="4">
        <f t="shared" si="120"/>
        <v>4.9307354305868794</v>
      </c>
      <c r="Q181" s="169">
        <f t="shared" si="83"/>
        <v>3.5758119816692693</v>
      </c>
      <c r="R181" s="169">
        <f t="shared" si="84"/>
        <v>2.5177224920902961</v>
      </c>
      <c r="S181" s="169">
        <f t="shared" si="85"/>
        <v>2.6103427466185667</v>
      </c>
      <c r="T181" s="169">
        <f t="shared" si="86"/>
        <v>2.5177224920902961</v>
      </c>
      <c r="U181" s="169">
        <f t="shared" si="87"/>
        <v>2.5640326193544314</v>
      </c>
      <c r="V181" s="169">
        <f t="shared" si="88"/>
        <v>8.3066992858845931E-2</v>
      </c>
      <c r="W181" s="439">
        <f t="shared" si="89"/>
        <v>21.497532809798479</v>
      </c>
      <c r="X181" s="439">
        <f t="shared" si="90"/>
        <v>21.497532809798479</v>
      </c>
      <c r="Y181" s="169"/>
      <c r="Z181" s="119" t="str">
        <f t="shared" si="91"/>
        <v/>
      </c>
      <c r="AA181" s="4" t="str">
        <f t="shared" si="92"/>
        <v/>
      </c>
      <c r="AB181" s="466"/>
      <c r="AC181" s="466"/>
      <c r="AD181" s="466"/>
      <c r="AE181" s="466"/>
      <c r="AF181" s="466"/>
      <c r="AG181" s="466"/>
      <c r="AH181" s="466"/>
      <c r="AI181" s="466"/>
      <c r="AJ181" s="466"/>
      <c r="AK181" s="466"/>
      <c r="AL181" s="466"/>
      <c r="AM181" s="462">
        <f t="shared" si="93"/>
        <v>177</v>
      </c>
      <c r="AN181" s="32">
        <f t="shared" si="110"/>
        <v>0.96714779471032231</v>
      </c>
      <c r="AO181" s="32">
        <f t="shared" si="111"/>
        <v>0.40748429495333988</v>
      </c>
      <c r="AP181" s="32">
        <f t="shared" si="112"/>
        <v>2.0030675427498199</v>
      </c>
      <c r="AQ181" s="32">
        <f t="shared" si="113"/>
        <v>15.30230883722737</v>
      </c>
      <c r="AR181" s="32">
        <f t="shared" si="114"/>
        <v>41.843888746971885</v>
      </c>
      <c r="AS181" s="32">
        <f t="shared" si="94"/>
        <v>31.413044160126734</v>
      </c>
      <c r="AT181" s="32">
        <f t="shared" si="95"/>
        <v>20.557152000000002</v>
      </c>
      <c r="AU181" s="32">
        <f t="shared" si="96"/>
        <v>0.84988897809171426</v>
      </c>
      <c r="AV181" s="32">
        <f t="shared" si="97"/>
        <v>0.79735012042381437</v>
      </c>
      <c r="AW181" s="32">
        <f t="shared" si="98"/>
        <v>3.5758119816692693</v>
      </c>
      <c r="AX181" s="32">
        <f t="shared" si="99"/>
        <v>2.5177224920902961</v>
      </c>
      <c r="AY181" s="32">
        <f t="shared" si="100"/>
        <v>2.5640326193544318</v>
      </c>
      <c r="AZ181" s="32">
        <f t="shared" si="115"/>
        <v>0.11582364232741477</v>
      </c>
      <c r="BA181" s="32">
        <f t="shared" si="101"/>
        <v>-3.5361291401513686</v>
      </c>
      <c r="BB181" s="32">
        <f t="shared" si="116"/>
        <v>17.021022859848635</v>
      </c>
      <c r="BC181" s="32">
        <f t="shared" si="102"/>
        <v>24.125</v>
      </c>
      <c r="BD181" s="32">
        <v>0</v>
      </c>
      <c r="BE181" s="32">
        <f t="shared" si="117"/>
        <v>3.0467672368797825</v>
      </c>
      <c r="BF181" s="32">
        <f t="shared" si="118"/>
        <v>0.48273461752535063</v>
      </c>
      <c r="BG181" s="32">
        <f t="shared" si="119"/>
        <v>0.18031312657735002</v>
      </c>
      <c r="BH181" s="32">
        <f t="shared" si="103"/>
        <v>4.1944193187673013</v>
      </c>
      <c r="BI181" s="32">
        <f t="shared" si="104"/>
        <v>0.7363161118195779</v>
      </c>
      <c r="BJ181" s="32">
        <f t="shared" si="105"/>
        <v>4.9307354305868794</v>
      </c>
      <c r="BK181" s="457">
        <f t="shared" si="106"/>
        <v>3.9833163115469241</v>
      </c>
      <c r="BL181" s="2"/>
    </row>
    <row r="182" spans="1:64" ht="15">
      <c r="A182" s="119"/>
      <c r="B182" s="480">
        <f>Input!B199</f>
        <v>38164</v>
      </c>
      <c r="C182" s="481">
        <v>1</v>
      </c>
      <c r="D182" s="481">
        <f t="shared" si="107"/>
        <v>6</v>
      </c>
      <c r="E182" s="481">
        <f t="shared" si="108"/>
        <v>26</v>
      </c>
      <c r="F182" s="481">
        <f t="shared" si="82"/>
        <v>178</v>
      </c>
      <c r="G182" s="431">
        <v>26.006399999999999</v>
      </c>
      <c r="H182" s="455">
        <v>25.31</v>
      </c>
      <c r="I182" s="455">
        <v>20.5</v>
      </c>
      <c r="J182" s="455">
        <v>2.85</v>
      </c>
      <c r="K182" s="485"/>
      <c r="L182" s="433">
        <v>99</v>
      </c>
      <c r="M182" s="455">
        <v>80</v>
      </c>
      <c r="N182" s="484">
        <f>Weather!M183</f>
        <v>0</v>
      </c>
      <c r="O182" s="481" t="str">
        <f t="shared" si="109"/>
        <v/>
      </c>
      <c r="P182" s="4">
        <f t="shared" si="120"/>
        <v>4.4419396786312708</v>
      </c>
      <c r="Q182" s="169">
        <f t="shared" si="83"/>
        <v>3.2267445798211871</v>
      </c>
      <c r="R182" s="169">
        <f t="shared" si="84"/>
        <v>2.4116412804606884</v>
      </c>
      <c r="S182" s="169">
        <f t="shared" si="85"/>
        <v>2.58139566385695</v>
      </c>
      <c r="T182" s="169">
        <f t="shared" si="86"/>
        <v>2.3875248676560816</v>
      </c>
      <c r="U182" s="169">
        <f t="shared" si="87"/>
        <v>2.4844602657565158</v>
      </c>
      <c r="V182" s="169">
        <f t="shared" si="88"/>
        <v>8.1241525461316036E-2</v>
      </c>
      <c r="W182" s="439">
        <f t="shared" si="89"/>
        <v>20.983331883442212</v>
      </c>
      <c r="X182" s="439">
        <f t="shared" si="90"/>
        <v>20.983331883442212</v>
      </c>
      <c r="Y182" s="169"/>
      <c r="Z182" s="119" t="str">
        <f t="shared" si="91"/>
        <v/>
      </c>
      <c r="AA182" s="4" t="str">
        <f t="shared" si="92"/>
        <v/>
      </c>
      <c r="AB182" s="466"/>
      <c r="AC182" s="466"/>
      <c r="AD182" s="466"/>
      <c r="AE182" s="466"/>
      <c r="AF182" s="466"/>
      <c r="AG182" s="466"/>
      <c r="AH182" s="466"/>
      <c r="AI182" s="466"/>
      <c r="AJ182" s="466"/>
      <c r="AK182" s="466"/>
      <c r="AL182" s="466"/>
      <c r="AM182" s="462">
        <f t="shared" si="93"/>
        <v>178</v>
      </c>
      <c r="AN182" s="32">
        <f t="shared" si="110"/>
        <v>0.96709896139247453</v>
      </c>
      <c r="AO182" s="32">
        <f t="shared" si="111"/>
        <v>0.40681837620262351</v>
      </c>
      <c r="AP182" s="32">
        <f t="shared" si="112"/>
        <v>2.0022235490485776</v>
      </c>
      <c r="AQ182" s="32">
        <f t="shared" si="113"/>
        <v>15.295861200291794</v>
      </c>
      <c r="AR182" s="32">
        <f t="shared" si="114"/>
        <v>41.817021327005115</v>
      </c>
      <c r="AS182" s="32">
        <f t="shared" si="94"/>
        <v>31.392874250609282</v>
      </c>
      <c r="AT182" s="32">
        <f t="shared" si="95"/>
        <v>20.024927999999999</v>
      </c>
      <c r="AU182" s="32">
        <f t="shared" si="96"/>
        <v>0.82841729598860347</v>
      </c>
      <c r="AV182" s="32">
        <f t="shared" si="97"/>
        <v>0.76836334958461483</v>
      </c>
      <c r="AW182" s="32">
        <f t="shared" si="98"/>
        <v>3.2267445798211871</v>
      </c>
      <c r="AX182" s="32">
        <f t="shared" si="99"/>
        <v>2.4116412804606884</v>
      </c>
      <c r="AY182" s="32">
        <f t="shared" si="100"/>
        <v>2.4844602657565158</v>
      </c>
      <c r="AZ182" s="32">
        <f t="shared" si="115"/>
        <v>0.11932960957838565</v>
      </c>
      <c r="BA182" s="32">
        <f t="shared" si="101"/>
        <v>-3.452808298819078</v>
      </c>
      <c r="BB182" s="32">
        <f t="shared" si="116"/>
        <v>16.57211970118092</v>
      </c>
      <c r="BC182" s="32">
        <f t="shared" si="102"/>
        <v>22.905000000000001</v>
      </c>
      <c r="BD182" s="32">
        <v>0</v>
      </c>
      <c r="BE182" s="32">
        <f t="shared" si="117"/>
        <v>2.8191929301409377</v>
      </c>
      <c r="BF182" s="32">
        <f t="shared" si="118"/>
        <v>0.33473266438442195</v>
      </c>
      <c r="BG182" s="32">
        <f t="shared" si="119"/>
        <v>0.1691101487690764</v>
      </c>
      <c r="BH182" s="32">
        <f t="shared" si="103"/>
        <v>3.7955354867218563</v>
      </c>
      <c r="BI182" s="32">
        <f t="shared" si="104"/>
        <v>0.64640419190941423</v>
      </c>
      <c r="BJ182" s="32">
        <f t="shared" si="105"/>
        <v>4.4419396786312708</v>
      </c>
      <c r="BK182" s="457">
        <f t="shared" si="106"/>
        <v>3.5045732621511538</v>
      </c>
      <c r="BL182" s="2"/>
    </row>
    <row r="183" spans="1:64" ht="15">
      <c r="A183" s="119"/>
      <c r="B183" s="480">
        <f>Input!B200</f>
        <v>38165</v>
      </c>
      <c r="C183" s="481">
        <v>1</v>
      </c>
      <c r="D183" s="481">
        <f t="shared" si="107"/>
        <v>6</v>
      </c>
      <c r="E183" s="481">
        <f t="shared" si="108"/>
        <v>27</v>
      </c>
      <c r="F183" s="481">
        <f t="shared" si="82"/>
        <v>179</v>
      </c>
      <c r="G183" s="431">
        <v>22.204799999999999</v>
      </c>
      <c r="H183" s="455">
        <v>25.77</v>
      </c>
      <c r="I183" s="455">
        <v>17.399999999999999</v>
      </c>
      <c r="J183" s="455">
        <v>2.31</v>
      </c>
      <c r="K183" s="485"/>
      <c r="L183" s="433">
        <v>88</v>
      </c>
      <c r="M183" s="455">
        <v>82</v>
      </c>
      <c r="N183" s="484">
        <f>Weather!M184</f>
        <v>0</v>
      </c>
      <c r="O183" s="481" t="str">
        <f t="shared" si="109"/>
        <v/>
      </c>
      <c r="P183" s="4">
        <f t="shared" si="120"/>
        <v>3.9969408725133637</v>
      </c>
      <c r="Q183" s="169">
        <f t="shared" si="83"/>
        <v>3.3160070319452655</v>
      </c>
      <c r="R183" s="169">
        <f t="shared" si="84"/>
        <v>1.9873971889021356</v>
      </c>
      <c r="S183" s="169">
        <f t="shared" si="85"/>
        <v>2.7191257661951176</v>
      </c>
      <c r="T183" s="169">
        <f t="shared" si="86"/>
        <v>1.7489095262338794</v>
      </c>
      <c r="U183" s="169">
        <f t="shared" si="87"/>
        <v>2.2340176462144985</v>
      </c>
      <c r="V183" s="169">
        <f t="shared" si="88"/>
        <v>7.5089015934317077E-2</v>
      </c>
      <c r="W183" s="439">
        <f t="shared" si="89"/>
        <v>19.265230695917488</v>
      </c>
      <c r="X183" s="439">
        <f t="shared" si="90"/>
        <v>19.265230695917488</v>
      </c>
      <c r="Y183" s="169"/>
      <c r="Z183" s="119" t="str">
        <f t="shared" si="91"/>
        <v/>
      </c>
      <c r="AA183" s="4" t="str">
        <f t="shared" si="92"/>
        <v/>
      </c>
      <c r="AB183" s="466"/>
      <c r="AC183" s="466"/>
      <c r="AD183" s="466"/>
      <c r="AE183" s="466"/>
      <c r="AF183" s="466"/>
      <c r="AG183" s="466"/>
      <c r="AH183" s="466"/>
      <c r="AI183" s="466"/>
      <c r="AJ183" s="466"/>
      <c r="AK183" s="466"/>
      <c r="AL183" s="466"/>
      <c r="AM183" s="462">
        <f t="shared" si="93"/>
        <v>179</v>
      </c>
      <c r="AN183" s="32">
        <f t="shared" si="110"/>
        <v>0.96705987736242871</v>
      </c>
      <c r="AO183" s="32">
        <f t="shared" si="111"/>
        <v>0.40603190838717862</v>
      </c>
      <c r="AP183" s="32">
        <f t="shared" si="112"/>
        <v>2.001227815133797</v>
      </c>
      <c r="AQ183" s="32">
        <f t="shared" si="113"/>
        <v>15.2882543535138</v>
      </c>
      <c r="AR183" s="32">
        <f t="shared" si="114"/>
        <v>41.786092705619424</v>
      </c>
      <c r="AS183" s="32">
        <f t="shared" si="94"/>
        <v>31.369655515962616</v>
      </c>
      <c r="AT183" s="32">
        <f t="shared" si="95"/>
        <v>17.097695999999999</v>
      </c>
      <c r="AU183" s="32">
        <f t="shared" si="96"/>
        <v>0.70784328468959334</v>
      </c>
      <c r="AV183" s="32">
        <f t="shared" si="97"/>
        <v>0.60558843433095111</v>
      </c>
      <c r="AW183" s="32">
        <f t="shared" si="98"/>
        <v>3.3160070319452655</v>
      </c>
      <c r="AX183" s="32">
        <f t="shared" si="99"/>
        <v>1.9873971889021356</v>
      </c>
      <c r="AY183" s="32">
        <f t="shared" si="100"/>
        <v>2.2340176462144985</v>
      </c>
      <c r="AZ183" s="32">
        <f t="shared" si="115"/>
        <v>0.13074717238277478</v>
      </c>
      <c r="BA183" s="32">
        <f t="shared" si="101"/>
        <v>-2.9312838276207929</v>
      </c>
      <c r="BB183" s="32">
        <f t="shared" si="116"/>
        <v>14.166412172379207</v>
      </c>
      <c r="BC183" s="32">
        <f t="shared" si="102"/>
        <v>21.585000000000001</v>
      </c>
      <c r="BD183" s="32">
        <v>0</v>
      </c>
      <c r="BE183" s="32">
        <f t="shared" si="117"/>
        <v>2.6517021104237006</v>
      </c>
      <c r="BF183" s="32">
        <f t="shared" si="118"/>
        <v>0.41768446420920213</v>
      </c>
      <c r="BG183" s="32">
        <f t="shared" si="119"/>
        <v>0.15765626785236711</v>
      </c>
      <c r="BH183" s="32">
        <f t="shared" si="103"/>
        <v>3.2839779021996662</v>
      </c>
      <c r="BI183" s="32">
        <f t="shared" si="104"/>
        <v>0.71296297031369749</v>
      </c>
      <c r="BJ183" s="32">
        <f t="shared" si="105"/>
        <v>3.9969408725133637</v>
      </c>
      <c r="BK183" s="457">
        <f t="shared" si="106"/>
        <v>4.4697897359455654</v>
      </c>
      <c r="BL183" s="2"/>
    </row>
    <row r="184" spans="1:64" ht="15">
      <c r="A184" s="119"/>
      <c r="B184" s="480">
        <f>Input!B201</f>
        <v>38166</v>
      </c>
      <c r="C184" s="481">
        <v>1</v>
      </c>
      <c r="D184" s="481">
        <f t="shared" si="107"/>
        <v>6</v>
      </c>
      <c r="E184" s="481">
        <f t="shared" si="108"/>
        <v>28</v>
      </c>
      <c r="F184" s="481">
        <f t="shared" si="82"/>
        <v>180</v>
      </c>
      <c r="G184" s="431">
        <v>20.217600000000001</v>
      </c>
      <c r="H184" s="455">
        <v>26.47</v>
      </c>
      <c r="I184" s="455">
        <v>17.3</v>
      </c>
      <c r="J184" s="455">
        <v>1.99</v>
      </c>
      <c r="K184" s="485"/>
      <c r="L184" s="433">
        <v>98</v>
      </c>
      <c r="M184" s="455">
        <v>82</v>
      </c>
      <c r="N184" s="484">
        <f>Weather!M185</f>
        <v>0</v>
      </c>
      <c r="O184" s="481" t="str">
        <f t="shared" si="109"/>
        <v/>
      </c>
      <c r="P184" s="4">
        <f t="shared" si="120"/>
        <v>3.6508180022650345</v>
      </c>
      <c r="Q184" s="169">
        <f t="shared" si="83"/>
        <v>3.4559706181768819</v>
      </c>
      <c r="R184" s="169">
        <f t="shared" si="84"/>
        <v>1.974876858198171</v>
      </c>
      <c r="S184" s="169">
        <f t="shared" si="85"/>
        <v>2.8338959069050431</v>
      </c>
      <c r="T184" s="169">
        <f t="shared" si="86"/>
        <v>1.9353793210342076</v>
      </c>
      <c r="U184" s="169">
        <f t="shared" si="87"/>
        <v>2.3846376139696255</v>
      </c>
      <c r="V184" s="169">
        <f t="shared" si="88"/>
        <v>7.886698752779861E-2</v>
      </c>
      <c r="W184" s="439">
        <f t="shared" si="89"/>
        <v>20.317517543006755</v>
      </c>
      <c r="X184" s="439">
        <f t="shared" si="90"/>
        <v>20.317517543006755</v>
      </c>
      <c r="Y184" s="169"/>
      <c r="Z184" s="119" t="str">
        <f t="shared" si="91"/>
        <v/>
      </c>
      <c r="AA184" s="4" t="str">
        <f t="shared" si="92"/>
        <v/>
      </c>
      <c r="AB184" s="466"/>
      <c r="AC184" s="466"/>
      <c r="AD184" s="466"/>
      <c r="AE184" s="466"/>
      <c r="AF184" s="466"/>
      <c r="AG184" s="466"/>
      <c r="AH184" s="466"/>
      <c r="AI184" s="466"/>
      <c r="AJ184" s="466"/>
      <c r="AK184" s="466"/>
      <c r="AL184" s="466"/>
      <c r="AM184" s="462">
        <f t="shared" si="93"/>
        <v>180</v>
      </c>
      <c r="AN184" s="32">
        <f t="shared" si="110"/>
        <v>0.96703055420162642</v>
      </c>
      <c r="AO184" s="32">
        <f t="shared" si="111"/>
        <v>0.40512512455439242</v>
      </c>
      <c r="AP184" s="32">
        <f t="shared" si="112"/>
        <v>2.0000811504796596</v>
      </c>
      <c r="AQ184" s="32">
        <f t="shared" si="113"/>
        <v>15.279494480820613</v>
      </c>
      <c r="AR184" s="32">
        <f t="shared" si="114"/>
        <v>41.751109729469839</v>
      </c>
      <c r="AS184" s="32">
        <f t="shared" si="94"/>
        <v>31.343393096107601</v>
      </c>
      <c r="AT184" s="32">
        <f t="shared" si="95"/>
        <v>15.567552000000001</v>
      </c>
      <c r="AU184" s="32">
        <f t="shared" si="96"/>
        <v>0.64503546051977179</v>
      </c>
      <c r="AV184" s="32">
        <f t="shared" si="97"/>
        <v>0.52079787170169201</v>
      </c>
      <c r="AW184" s="32">
        <f t="shared" si="98"/>
        <v>3.4559706181768819</v>
      </c>
      <c r="AX184" s="32">
        <f t="shared" si="99"/>
        <v>1.974876858198171</v>
      </c>
      <c r="AY184" s="32">
        <f t="shared" si="100"/>
        <v>2.384637613969625</v>
      </c>
      <c r="AZ184" s="32">
        <f t="shared" si="115"/>
        <v>0.1238081934165759</v>
      </c>
      <c r="BA184" s="32">
        <f t="shared" si="101"/>
        <v>-2.3973845837709056</v>
      </c>
      <c r="BB184" s="32">
        <f t="shared" si="116"/>
        <v>13.170167416229095</v>
      </c>
      <c r="BC184" s="32">
        <f t="shared" si="102"/>
        <v>21.884999999999998</v>
      </c>
      <c r="BD184" s="32">
        <v>0</v>
      </c>
      <c r="BE184" s="32">
        <f t="shared" si="117"/>
        <v>2.7154237381875266</v>
      </c>
      <c r="BF184" s="32">
        <f t="shared" si="118"/>
        <v>0.33078612421790154</v>
      </c>
      <c r="BG184" s="32">
        <f t="shared" si="119"/>
        <v>0.16020011767284417</v>
      </c>
      <c r="BH184" s="32">
        <f t="shared" si="103"/>
        <v>3.1564201757751627</v>
      </c>
      <c r="BI184" s="32">
        <f t="shared" si="104"/>
        <v>0.49439782648987168</v>
      </c>
      <c r="BJ184" s="32">
        <f t="shared" si="105"/>
        <v>3.6508180022650345</v>
      </c>
      <c r="BK184" s="457">
        <f t="shared" si="106"/>
        <v>4.7102160448136878</v>
      </c>
      <c r="BL184" s="2"/>
    </row>
    <row r="185" spans="1:64" ht="15">
      <c r="A185" s="119"/>
      <c r="B185" s="480">
        <f>Input!B202</f>
        <v>38167</v>
      </c>
      <c r="C185" s="481">
        <v>1</v>
      </c>
      <c r="D185" s="481">
        <f t="shared" si="107"/>
        <v>6</v>
      </c>
      <c r="E185" s="481">
        <f t="shared" si="108"/>
        <v>29</v>
      </c>
      <c r="F185" s="481">
        <f t="shared" si="82"/>
        <v>181</v>
      </c>
      <c r="G185" s="431">
        <v>28.512</v>
      </c>
      <c r="H185" s="455">
        <v>28.28</v>
      </c>
      <c r="I185" s="455">
        <v>19.2</v>
      </c>
      <c r="J185" s="455">
        <v>1.46</v>
      </c>
      <c r="K185" s="485"/>
      <c r="L185" s="433">
        <v>100</v>
      </c>
      <c r="M185" s="455">
        <v>85</v>
      </c>
      <c r="N185" s="484">
        <f>Weather!M186</f>
        <v>0</v>
      </c>
      <c r="O185" s="481" t="str">
        <f t="shared" si="109"/>
        <v/>
      </c>
      <c r="P185" s="4">
        <f t="shared" si="120"/>
        <v>5.0784150259928538</v>
      </c>
      <c r="Q185" s="169">
        <f t="shared" si="83"/>
        <v>3.8419944776916073</v>
      </c>
      <c r="R185" s="169">
        <f t="shared" si="84"/>
        <v>2.2249611183378328</v>
      </c>
      <c r="S185" s="169">
        <f t="shared" si="85"/>
        <v>3.2656953060378662</v>
      </c>
      <c r="T185" s="169">
        <f t="shared" si="86"/>
        <v>2.2249611183378328</v>
      </c>
      <c r="U185" s="169">
        <f t="shared" si="87"/>
        <v>2.7453282121878493</v>
      </c>
      <c r="V185" s="169">
        <f t="shared" si="88"/>
        <v>8.7022949666074365E-2</v>
      </c>
      <c r="W185" s="439">
        <f t="shared" si="89"/>
        <v>22.618910243369658</v>
      </c>
      <c r="X185" s="439">
        <f t="shared" si="90"/>
        <v>22.618910243369658</v>
      </c>
      <c r="Y185" s="169"/>
      <c r="Z185" s="119">
        <f t="shared" si="91"/>
        <v>3</v>
      </c>
      <c r="AA185" s="4">
        <f t="shared" si="92"/>
        <v>1.0261342273931477</v>
      </c>
      <c r="AB185" s="466"/>
      <c r="AC185" s="466"/>
      <c r="AD185" s="466"/>
      <c r="AE185" s="466"/>
      <c r="AF185" s="466"/>
      <c r="AG185" s="466"/>
      <c r="AH185" s="466"/>
      <c r="AI185" s="466"/>
      <c r="AJ185" s="466"/>
      <c r="AK185" s="466"/>
      <c r="AL185" s="466"/>
      <c r="AM185" s="462">
        <f t="shared" si="93"/>
        <v>181</v>
      </c>
      <c r="AN185" s="32">
        <f t="shared" si="110"/>
        <v>0.96701100059915313</v>
      </c>
      <c r="AO185" s="32">
        <f t="shared" si="111"/>
        <v>0.40409829340388442</v>
      </c>
      <c r="AP185" s="32">
        <f t="shared" si="112"/>
        <v>1.9987844825512331</v>
      </c>
      <c r="AQ185" s="32">
        <f t="shared" si="113"/>
        <v>15.269588667523438</v>
      </c>
      <c r="AR185" s="32">
        <f t="shared" si="114"/>
        <v>41.712079863344378</v>
      </c>
      <c r="AS185" s="32">
        <f t="shared" si="94"/>
        <v>31.314092595009893</v>
      </c>
      <c r="AT185" s="32">
        <f t="shared" si="95"/>
        <v>21.954240000000002</v>
      </c>
      <c r="AU185" s="32">
        <f t="shared" si="96"/>
        <v>0.91051656417927229</v>
      </c>
      <c r="AV185" s="32">
        <f t="shared" si="97"/>
        <v>0.87919736164201778</v>
      </c>
      <c r="AW185" s="32">
        <f t="shared" si="98"/>
        <v>3.8419944776916073</v>
      </c>
      <c r="AX185" s="32">
        <f t="shared" si="99"/>
        <v>2.2249611183378328</v>
      </c>
      <c r="AY185" s="32">
        <f t="shared" si="100"/>
        <v>2.7453282121878493</v>
      </c>
      <c r="AZ185" s="32">
        <f t="shared" si="115"/>
        <v>0.10803355208375101</v>
      </c>
      <c r="BA185" s="32">
        <f t="shared" si="101"/>
        <v>-3.6210316630031731</v>
      </c>
      <c r="BB185" s="32">
        <f t="shared" si="116"/>
        <v>18.33320833699683</v>
      </c>
      <c r="BC185" s="32">
        <f t="shared" si="102"/>
        <v>23.740000000000002</v>
      </c>
      <c r="BD185" s="32">
        <v>0</v>
      </c>
      <c r="BE185" s="32">
        <f t="shared" si="117"/>
        <v>3.0334777980147201</v>
      </c>
      <c r="BF185" s="32">
        <f t="shared" si="118"/>
        <v>0.28814958582687078</v>
      </c>
      <c r="BG185" s="32">
        <f t="shared" si="119"/>
        <v>0.17671213093240795</v>
      </c>
      <c r="BH185" s="32">
        <f t="shared" si="103"/>
        <v>4.7694252147481944</v>
      </c>
      <c r="BI185" s="32">
        <f t="shared" si="104"/>
        <v>0.30898981124465985</v>
      </c>
      <c r="BJ185" s="32">
        <f t="shared" si="105"/>
        <v>5.0784150259928538</v>
      </c>
      <c r="BK185" s="457">
        <f t="shared" si="106"/>
        <v>4.9015452178092271</v>
      </c>
      <c r="BL185" s="2"/>
    </row>
    <row r="186" spans="1:64" ht="15">
      <c r="A186" s="119"/>
      <c r="B186" s="480">
        <f>Input!B203</f>
        <v>38168</v>
      </c>
      <c r="C186" s="481">
        <v>1</v>
      </c>
      <c r="D186" s="481">
        <f t="shared" si="107"/>
        <v>6</v>
      </c>
      <c r="E186" s="481">
        <f t="shared" si="108"/>
        <v>30</v>
      </c>
      <c r="F186" s="481">
        <f t="shared" si="82"/>
        <v>182</v>
      </c>
      <c r="G186" s="431">
        <v>27.820799999999998</v>
      </c>
      <c r="H186" s="455">
        <v>28.6</v>
      </c>
      <c r="I186" s="455">
        <v>20.8</v>
      </c>
      <c r="J186" s="455">
        <v>1.23</v>
      </c>
      <c r="K186" s="485"/>
      <c r="L186" s="433">
        <v>98</v>
      </c>
      <c r="M186" s="455">
        <v>84</v>
      </c>
      <c r="N186" s="484">
        <f>Weather!M187</f>
        <v>0</v>
      </c>
      <c r="O186" s="481" t="str">
        <f t="shared" si="109"/>
        <v/>
      </c>
      <c r="P186" s="4">
        <f t="shared" si="120"/>
        <v>5.1603088288052135</v>
      </c>
      <c r="Q186" s="169">
        <f t="shared" si="83"/>
        <v>3.9140092986798436</v>
      </c>
      <c r="R186" s="169">
        <f t="shared" si="84"/>
        <v>2.4566163260716172</v>
      </c>
      <c r="S186" s="169">
        <f t="shared" si="85"/>
        <v>3.2877678108910686</v>
      </c>
      <c r="T186" s="169">
        <f t="shared" si="86"/>
        <v>2.4074839995501849</v>
      </c>
      <c r="U186" s="169">
        <f t="shared" si="87"/>
        <v>2.8476259052206268</v>
      </c>
      <c r="V186" s="169">
        <f t="shared" si="88"/>
        <v>8.9141362886842407E-2</v>
      </c>
      <c r="W186" s="439">
        <f t="shared" si="89"/>
        <v>23.223412010550874</v>
      </c>
      <c r="X186" s="439">
        <f t="shared" si="90"/>
        <v>23.223412010550874</v>
      </c>
      <c r="Y186" s="169"/>
      <c r="Z186" s="119">
        <f t="shared" si="91"/>
        <v>3</v>
      </c>
      <c r="AA186" s="4">
        <f t="shared" si="92"/>
        <v>1.0261342273931477</v>
      </c>
      <c r="AB186" s="466"/>
      <c r="AC186" s="466"/>
      <c r="AD186" s="466"/>
      <c r="AE186" s="466"/>
      <c r="AF186" s="466"/>
      <c r="AG186" s="466"/>
      <c r="AH186" s="466"/>
      <c r="AI186" s="466"/>
      <c r="AJ186" s="466"/>
      <c r="AK186" s="466"/>
      <c r="AL186" s="466"/>
      <c r="AM186" s="462">
        <f t="shared" si="93"/>
        <v>182</v>
      </c>
      <c r="AN186" s="32">
        <f t="shared" si="110"/>
        <v>0.96700122234916319</v>
      </c>
      <c r="AO186" s="32">
        <f t="shared" si="111"/>
        <v>0.40295171920788542</v>
      </c>
      <c r="AP186" s="32">
        <f t="shared" si="112"/>
        <v>1.997338854102455</v>
      </c>
      <c r="AQ186" s="32">
        <f t="shared" si="113"/>
        <v>15.258544879675568</v>
      </c>
      <c r="AR186" s="32">
        <f t="shared" si="114"/>
        <v>41.669011186082955</v>
      </c>
      <c r="AS186" s="32">
        <f t="shared" si="94"/>
        <v>31.281760077616198</v>
      </c>
      <c r="AT186" s="32">
        <f t="shared" si="95"/>
        <v>21.422015999999999</v>
      </c>
      <c r="AU186" s="32">
        <f t="shared" si="96"/>
        <v>0.88936172168609195</v>
      </c>
      <c r="AV186" s="32">
        <f t="shared" si="97"/>
        <v>0.85063832427622421</v>
      </c>
      <c r="AW186" s="32">
        <f t="shared" si="98"/>
        <v>3.9140092986798436</v>
      </c>
      <c r="AX186" s="32">
        <f t="shared" si="99"/>
        <v>2.4566163260716172</v>
      </c>
      <c r="AY186" s="32">
        <f t="shared" si="100"/>
        <v>2.8476259052206268</v>
      </c>
      <c r="AZ186" s="32">
        <f t="shared" si="115"/>
        <v>0.10375125874975696</v>
      </c>
      <c r="BA186" s="32">
        <f t="shared" si="101"/>
        <v>-3.4069938985653905</v>
      </c>
      <c r="BB186" s="32">
        <f t="shared" si="116"/>
        <v>18.01502210143461</v>
      </c>
      <c r="BC186" s="32">
        <f t="shared" si="102"/>
        <v>24.700000000000003</v>
      </c>
      <c r="BD186" s="32">
        <v>0</v>
      </c>
      <c r="BE186" s="32">
        <f t="shared" si="117"/>
        <v>3.1853128123757304</v>
      </c>
      <c r="BF186" s="32">
        <f t="shared" si="118"/>
        <v>0.33768690715510363</v>
      </c>
      <c r="BG186" s="32">
        <f t="shared" si="119"/>
        <v>0.18580631993569019</v>
      </c>
      <c r="BH186" s="32">
        <f t="shared" si="103"/>
        <v>4.8603894824920451</v>
      </c>
      <c r="BI186" s="32">
        <f t="shared" si="104"/>
        <v>0.29991934631316841</v>
      </c>
      <c r="BJ186" s="32">
        <f t="shared" si="105"/>
        <v>5.1603088288052135</v>
      </c>
      <c r="BK186" s="457">
        <f t="shared" si="106"/>
        <v>4.643133574781257</v>
      </c>
      <c r="BL186" s="2"/>
    </row>
    <row r="187" spans="1:64" ht="15">
      <c r="A187" s="119"/>
      <c r="B187" s="480">
        <f>Input!B204</f>
        <v>38169</v>
      </c>
      <c r="C187" s="481">
        <v>1</v>
      </c>
      <c r="D187" s="481">
        <f t="shared" si="107"/>
        <v>7</v>
      </c>
      <c r="E187" s="481">
        <f t="shared" si="108"/>
        <v>1</v>
      </c>
      <c r="F187" s="481">
        <f t="shared" si="82"/>
        <v>183</v>
      </c>
      <c r="G187" s="431">
        <v>27.475200000000001</v>
      </c>
      <c r="H187" s="455">
        <v>29.88</v>
      </c>
      <c r="I187" s="455">
        <v>20.399999999999999</v>
      </c>
      <c r="J187" s="455">
        <v>1.54</v>
      </c>
      <c r="K187" s="485"/>
      <c r="L187" s="433">
        <v>73</v>
      </c>
      <c r="M187" s="455">
        <v>83</v>
      </c>
      <c r="N187" s="484">
        <f>Weather!M188</f>
        <v>0</v>
      </c>
      <c r="O187" s="481" t="str">
        <f t="shared" si="109"/>
        <v/>
      </c>
      <c r="P187" s="4">
        <f t="shared" si="120"/>
        <v>5.3632519936455187</v>
      </c>
      <c r="Q187" s="169">
        <f t="shared" si="83"/>
        <v>4.2139475854711241</v>
      </c>
      <c r="R187" s="169">
        <f t="shared" si="84"/>
        <v>2.3968104104453793</v>
      </c>
      <c r="S187" s="169">
        <f t="shared" si="85"/>
        <v>3.4975764959410327</v>
      </c>
      <c r="T187" s="169">
        <f t="shared" si="86"/>
        <v>1.7496715996251269</v>
      </c>
      <c r="U187" s="169">
        <f t="shared" si="87"/>
        <v>2.6236240477830797</v>
      </c>
      <c r="V187" s="169">
        <f t="shared" si="88"/>
        <v>8.4397353328420549E-2</v>
      </c>
      <c r="W187" s="439">
        <f t="shared" si="89"/>
        <v>21.873562748686467</v>
      </c>
      <c r="X187" s="439">
        <f t="shared" si="90"/>
        <v>21.873562748686467</v>
      </c>
      <c r="Y187" s="169"/>
      <c r="Z187" s="119">
        <f t="shared" si="91"/>
        <v>3</v>
      </c>
      <c r="AA187" s="4">
        <f t="shared" si="92"/>
        <v>1.0261342273931477</v>
      </c>
      <c r="AB187" s="466"/>
      <c r="AC187" s="466"/>
      <c r="AD187" s="466"/>
      <c r="AE187" s="466"/>
      <c r="AF187" s="466"/>
      <c r="AG187" s="466"/>
      <c r="AH187" s="466"/>
      <c r="AI187" s="466"/>
      <c r="AJ187" s="466"/>
      <c r="AK187" s="466"/>
      <c r="AL187" s="466"/>
      <c r="AM187" s="462">
        <f t="shared" si="93"/>
        <v>183</v>
      </c>
      <c r="AN187" s="32">
        <f t="shared" si="110"/>
        <v>0.96700122234916319</v>
      </c>
      <c r="AO187" s="32">
        <f t="shared" si="111"/>
        <v>0.4016857417210748</v>
      </c>
      <c r="AP187" s="32">
        <f t="shared" si="112"/>
        <v>1.9957454201651323</v>
      </c>
      <c r="AQ187" s="32">
        <f t="shared" si="113"/>
        <v>15.246371941070034</v>
      </c>
      <c r="AR187" s="32">
        <f t="shared" si="114"/>
        <v>41.6219123864905</v>
      </c>
      <c r="AS187" s="32">
        <f t="shared" si="94"/>
        <v>31.24640206678615</v>
      </c>
      <c r="AT187" s="32">
        <f t="shared" si="95"/>
        <v>21.155904</v>
      </c>
      <c r="AU187" s="32">
        <f t="shared" si="96"/>
        <v>0.87930763808500034</v>
      </c>
      <c r="AV187" s="32">
        <f t="shared" si="97"/>
        <v>0.83706531141475049</v>
      </c>
      <c r="AW187" s="32">
        <f t="shared" si="98"/>
        <v>4.2139475854711241</v>
      </c>
      <c r="AX187" s="32">
        <f t="shared" si="99"/>
        <v>2.3968104104453793</v>
      </c>
      <c r="AY187" s="32">
        <f t="shared" si="100"/>
        <v>2.6236240477830801</v>
      </c>
      <c r="AZ187" s="32">
        <f t="shared" si="115"/>
        <v>0.11323353127821481</v>
      </c>
      <c r="BA187" s="32">
        <f t="shared" si="101"/>
        <v>-3.6825000865998643</v>
      </c>
      <c r="BB187" s="32">
        <f t="shared" si="116"/>
        <v>17.473403913400134</v>
      </c>
      <c r="BC187" s="32">
        <f t="shared" si="102"/>
        <v>25.14</v>
      </c>
      <c r="BD187" s="32">
        <v>0</v>
      </c>
      <c r="BE187" s="32">
        <f t="shared" si="117"/>
        <v>3.3053789979582517</v>
      </c>
      <c r="BF187" s="32">
        <f t="shared" si="118"/>
        <v>0.68175495017517163</v>
      </c>
      <c r="BG187" s="32">
        <f t="shared" si="119"/>
        <v>0.1901044453759444</v>
      </c>
      <c r="BH187" s="32">
        <f t="shared" si="103"/>
        <v>4.635702225471741</v>
      </c>
      <c r="BI187" s="32">
        <f t="shared" si="104"/>
        <v>0.72754976817377737</v>
      </c>
      <c r="BJ187" s="32">
        <f t="shared" si="105"/>
        <v>5.3632519936455187</v>
      </c>
      <c r="BK187" s="457">
        <f t="shared" si="106"/>
        <v>5.1659475341380512</v>
      </c>
      <c r="BL187" s="2"/>
    </row>
    <row r="188" spans="1:64" ht="15">
      <c r="A188" s="119"/>
      <c r="B188" s="480">
        <f>Input!B205</f>
        <v>38170</v>
      </c>
      <c r="C188" s="481">
        <v>1</v>
      </c>
      <c r="D188" s="481">
        <f t="shared" si="107"/>
        <v>7</v>
      </c>
      <c r="E188" s="481">
        <f t="shared" si="108"/>
        <v>2</v>
      </c>
      <c r="F188" s="481">
        <f t="shared" si="82"/>
        <v>184</v>
      </c>
      <c r="G188" s="431">
        <v>27.043199999999999</v>
      </c>
      <c r="H188" s="455">
        <v>29.93</v>
      </c>
      <c r="I188" s="455">
        <v>23.5</v>
      </c>
      <c r="J188" s="455">
        <v>2.5099999999999998</v>
      </c>
      <c r="K188" s="485"/>
      <c r="L188" s="433">
        <v>81</v>
      </c>
      <c r="M188" s="455">
        <v>79</v>
      </c>
      <c r="N188" s="484">
        <f>Weather!M189</f>
        <v>0</v>
      </c>
      <c r="O188" s="481" t="str">
        <f t="shared" si="109"/>
        <v/>
      </c>
      <c r="P188" s="4">
        <f t="shared" si="120"/>
        <v>5.5388845439925944</v>
      </c>
      <c r="Q188" s="169">
        <f t="shared" si="83"/>
        <v>4.226058680120917</v>
      </c>
      <c r="R188" s="169">
        <f t="shared" si="84"/>
        <v>2.8955307729089892</v>
      </c>
      <c r="S188" s="169">
        <f t="shared" si="85"/>
        <v>3.3385863572955246</v>
      </c>
      <c r="T188" s="169">
        <f t="shared" si="86"/>
        <v>2.3453799260562813</v>
      </c>
      <c r="U188" s="169">
        <f t="shared" si="87"/>
        <v>2.8419831416759029</v>
      </c>
      <c r="V188" s="169">
        <f t="shared" si="88"/>
        <v>8.9026508595409629E-2</v>
      </c>
      <c r="W188" s="439">
        <f t="shared" si="89"/>
        <v>23.190565575204015</v>
      </c>
      <c r="X188" s="439">
        <f t="shared" si="90"/>
        <v>23.190565575204015</v>
      </c>
      <c r="Y188" s="169"/>
      <c r="Z188" s="119">
        <f t="shared" si="91"/>
        <v>3</v>
      </c>
      <c r="AA188" s="4">
        <f t="shared" si="92"/>
        <v>1.0261342273931477</v>
      </c>
      <c r="AB188" s="466"/>
      <c r="AC188" s="466"/>
      <c r="AD188" s="466"/>
      <c r="AE188" s="466"/>
      <c r="AF188" s="466"/>
      <c r="AG188" s="466"/>
      <c r="AH188" s="466"/>
      <c r="AI188" s="466"/>
      <c r="AJ188" s="466"/>
      <c r="AK188" s="466"/>
      <c r="AL188" s="466"/>
      <c r="AM188" s="462">
        <f t="shared" si="93"/>
        <v>184</v>
      </c>
      <c r="AN188" s="32">
        <f t="shared" si="110"/>
        <v>0.96701100059915313</v>
      </c>
      <c r="AO188" s="32">
        <f t="shared" si="111"/>
        <v>0.40030073607990391</v>
      </c>
      <c r="AP188" s="32">
        <f t="shared" si="112"/>
        <v>1.9940054447469426</v>
      </c>
      <c r="AQ188" s="32">
        <f t="shared" si="113"/>
        <v>15.233079508014198</v>
      </c>
      <c r="AR188" s="32">
        <f t="shared" si="114"/>
        <v>41.570792759321499</v>
      </c>
      <c r="AS188" s="32">
        <f t="shared" si="94"/>
        <v>31.208025540277838</v>
      </c>
      <c r="AT188" s="32">
        <f t="shared" si="95"/>
        <v>20.823263999999998</v>
      </c>
      <c r="AU188" s="32">
        <f t="shared" si="96"/>
        <v>0.86654633004889681</v>
      </c>
      <c r="AV188" s="32">
        <f t="shared" si="97"/>
        <v>0.81983754556601085</v>
      </c>
      <c r="AW188" s="32">
        <f t="shared" si="98"/>
        <v>4.226058680120917</v>
      </c>
      <c r="AX188" s="32">
        <f t="shared" si="99"/>
        <v>2.8955307729089892</v>
      </c>
      <c r="AY188" s="32">
        <f t="shared" si="100"/>
        <v>2.8419831416759029</v>
      </c>
      <c r="AZ188" s="32">
        <f t="shared" si="115"/>
        <v>0.1039854462605162</v>
      </c>
      <c r="BA188" s="32">
        <f t="shared" si="101"/>
        <v>-3.3798621899211123</v>
      </c>
      <c r="BB188" s="32">
        <f t="shared" si="116"/>
        <v>17.443401810078885</v>
      </c>
      <c r="BC188" s="32">
        <f t="shared" si="102"/>
        <v>26.715</v>
      </c>
      <c r="BD188" s="32">
        <v>0</v>
      </c>
      <c r="BE188" s="32">
        <f t="shared" si="117"/>
        <v>3.5607947265149531</v>
      </c>
      <c r="BF188" s="32">
        <f t="shared" si="118"/>
        <v>0.71881158483905017</v>
      </c>
      <c r="BG188" s="32">
        <f t="shared" si="119"/>
        <v>0.20618277119829806</v>
      </c>
      <c r="BH188" s="32">
        <f t="shared" si="103"/>
        <v>4.4389533387162512</v>
      </c>
      <c r="BI188" s="32">
        <f t="shared" si="104"/>
        <v>1.0999312052763432</v>
      </c>
      <c r="BJ188" s="32">
        <f t="shared" si="105"/>
        <v>5.5388845439925944</v>
      </c>
      <c r="BK188" s="457">
        <f t="shared" si="106"/>
        <v>4.4051623876290016</v>
      </c>
      <c r="BL188" s="2"/>
    </row>
    <row r="189" spans="1:64" ht="15">
      <c r="A189" s="119"/>
      <c r="B189" s="480">
        <f>Input!B206</f>
        <v>38171</v>
      </c>
      <c r="C189" s="481">
        <v>1</v>
      </c>
      <c r="D189" s="481">
        <f t="shared" si="107"/>
        <v>7</v>
      </c>
      <c r="E189" s="481">
        <f t="shared" si="108"/>
        <v>3</v>
      </c>
      <c r="F189" s="481">
        <f t="shared" si="82"/>
        <v>185</v>
      </c>
      <c r="G189" s="431">
        <v>25.574400000000001</v>
      </c>
      <c r="H189" s="455">
        <v>26.42</v>
      </c>
      <c r="I189" s="455">
        <v>21</v>
      </c>
      <c r="J189" s="455">
        <v>2.5299999999999998</v>
      </c>
      <c r="K189" s="485"/>
      <c r="L189" s="433">
        <v>90</v>
      </c>
      <c r="M189" s="455">
        <v>65</v>
      </c>
      <c r="N189" s="484">
        <f>Weather!M190</f>
        <v>0</v>
      </c>
      <c r="O189" s="481" t="str">
        <f t="shared" si="109"/>
        <v/>
      </c>
      <c r="P189" s="4">
        <f t="shared" si="120"/>
        <v>5.0489004426417008</v>
      </c>
      <c r="Q189" s="169">
        <f t="shared" si="83"/>
        <v>3.4458052723712425</v>
      </c>
      <c r="R189" s="169">
        <f t="shared" si="84"/>
        <v>2.4870053972720654</v>
      </c>
      <c r="S189" s="169">
        <f t="shared" si="85"/>
        <v>2.2397734270413077</v>
      </c>
      <c r="T189" s="169">
        <f t="shared" si="86"/>
        <v>2.238304857544859</v>
      </c>
      <c r="U189" s="169">
        <f t="shared" si="87"/>
        <v>2.2390391422930831</v>
      </c>
      <c r="V189" s="169">
        <f t="shared" si="88"/>
        <v>7.5219022880366818E-2</v>
      </c>
      <c r="W189" s="439">
        <f t="shared" si="89"/>
        <v>19.301298979035952</v>
      </c>
      <c r="X189" s="439">
        <f t="shared" si="90"/>
        <v>19.301298979035952</v>
      </c>
      <c r="Y189" s="169"/>
      <c r="Z189" s="119">
        <f t="shared" si="91"/>
        <v>3</v>
      </c>
      <c r="AA189" s="4">
        <f t="shared" si="92"/>
        <v>1.0261342273931477</v>
      </c>
      <c r="AB189" s="466"/>
      <c r="AC189" s="466"/>
      <c r="AD189" s="466"/>
      <c r="AE189" s="466"/>
      <c r="AF189" s="466"/>
      <c r="AG189" s="466"/>
      <c r="AH189" s="466"/>
      <c r="AI189" s="466"/>
      <c r="AJ189" s="466"/>
      <c r="AK189" s="466"/>
      <c r="AL189" s="466"/>
      <c r="AM189" s="462">
        <f t="shared" si="93"/>
        <v>185</v>
      </c>
      <c r="AN189" s="32">
        <f t="shared" si="110"/>
        <v>0.96703055420162642</v>
      </c>
      <c r="AO189" s="32">
        <f t="shared" si="111"/>
        <v>0.39879711269143509</v>
      </c>
      <c r="AP189" s="32">
        <f t="shared" si="112"/>
        <v>1.9921202972579126</v>
      </c>
      <c r="AQ189" s="32">
        <f t="shared" si="113"/>
        <v>15.218678042030051</v>
      </c>
      <c r="AR189" s="32">
        <f t="shared" si="114"/>
        <v>41.515662201418714</v>
      </c>
      <c r="AS189" s="32">
        <f t="shared" si="94"/>
        <v>31.16663792784906</v>
      </c>
      <c r="AT189" s="32">
        <f t="shared" si="95"/>
        <v>19.692288000000001</v>
      </c>
      <c r="AU189" s="32">
        <f t="shared" si="96"/>
        <v>0.82056974060547949</v>
      </c>
      <c r="AV189" s="32">
        <f t="shared" si="97"/>
        <v>0.7577691498173974</v>
      </c>
      <c r="AW189" s="32">
        <f t="shared" si="98"/>
        <v>3.4458052723712425</v>
      </c>
      <c r="AX189" s="32">
        <f t="shared" si="99"/>
        <v>2.4870053972720654</v>
      </c>
      <c r="AY189" s="32">
        <f t="shared" si="100"/>
        <v>2.2390391422930822</v>
      </c>
      <c r="AZ189" s="32">
        <f t="shared" si="115"/>
        <v>0.13051213116520469</v>
      </c>
      <c r="BA189" s="32">
        <f t="shared" si="101"/>
        <v>-3.7653705235764119</v>
      </c>
      <c r="BB189" s="32">
        <f t="shared" si="116"/>
        <v>15.92691747642359</v>
      </c>
      <c r="BC189" s="32">
        <f t="shared" si="102"/>
        <v>23.71</v>
      </c>
      <c r="BD189" s="32">
        <v>0</v>
      </c>
      <c r="BE189" s="32">
        <f t="shared" si="117"/>
        <v>2.9664053348216539</v>
      </c>
      <c r="BF189" s="32">
        <f t="shared" si="118"/>
        <v>0.72736619252857171</v>
      </c>
      <c r="BG189" s="32">
        <f t="shared" si="119"/>
        <v>0.17643409959936593</v>
      </c>
      <c r="BH189" s="32">
        <f t="shared" si="103"/>
        <v>3.8054652722863151</v>
      </c>
      <c r="BI189" s="32">
        <f t="shared" si="104"/>
        <v>1.2434351703553856</v>
      </c>
      <c r="BJ189" s="32">
        <f t="shared" si="105"/>
        <v>5.0489004426417008</v>
      </c>
      <c r="BK189" s="457">
        <f t="shared" si="106"/>
        <v>3.7663970229833392</v>
      </c>
      <c r="BL189" s="2"/>
    </row>
    <row r="190" spans="1:64" ht="15">
      <c r="A190" s="119"/>
      <c r="B190" s="480">
        <f>Input!B207</f>
        <v>38172</v>
      </c>
      <c r="C190" s="481">
        <v>1</v>
      </c>
      <c r="D190" s="481">
        <f t="shared" si="107"/>
        <v>7</v>
      </c>
      <c r="E190" s="481">
        <f t="shared" si="108"/>
        <v>4</v>
      </c>
      <c r="F190" s="481">
        <f t="shared" si="82"/>
        <v>186</v>
      </c>
      <c r="G190" s="431">
        <v>25.2288</v>
      </c>
      <c r="H190" s="455">
        <v>27.32</v>
      </c>
      <c r="I190" s="455">
        <v>20.399999999999999</v>
      </c>
      <c r="J190" s="455">
        <v>2.1800000000000002</v>
      </c>
      <c r="K190" s="485"/>
      <c r="L190" s="433">
        <v>72</v>
      </c>
      <c r="M190" s="455">
        <v>69</v>
      </c>
      <c r="N190" s="484">
        <f>Weather!M191</f>
        <v>0</v>
      </c>
      <c r="O190" s="481" t="str">
        <f t="shared" si="109"/>
        <v/>
      </c>
      <c r="P190" s="4">
        <f t="shared" si="120"/>
        <v>5.1819685613911384</v>
      </c>
      <c r="Q190" s="169">
        <f t="shared" si="83"/>
        <v>3.6328239322991576</v>
      </c>
      <c r="R190" s="169">
        <f t="shared" si="84"/>
        <v>2.3968104104453793</v>
      </c>
      <c r="S190" s="169">
        <f t="shared" si="85"/>
        <v>2.5066485132864185</v>
      </c>
      <c r="T190" s="169">
        <f t="shared" si="86"/>
        <v>1.7257034955206731</v>
      </c>
      <c r="U190" s="169">
        <f t="shared" si="87"/>
        <v>2.1161760044035458</v>
      </c>
      <c r="V190" s="169">
        <f t="shared" si="88"/>
        <v>7.1951151943201952E-2</v>
      </c>
      <c r="W190" s="439">
        <f t="shared" si="89"/>
        <v>18.397747480504243</v>
      </c>
      <c r="X190" s="439">
        <f t="shared" si="90"/>
        <v>18.397747480504243</v>
      </c>
      <c r="Y190" s="169"/>
      <c r="Z190" s="119">
        <f t="shared" si="91"/>
        <v>3</v>
      </c>
      <c r="AA190" s="4">
        <f t="shared" si="92"/>
        <v>1.0261342273931477</v>
      </c>
      <c r="AB190" s="466"/>
      <c r="AC190" s="466"/>
      <c r="AD190" s="466"/>
      <c r="AE190" s="466"/>
      <c r="AF190" s="466"/>
      <c r="AG190" s="466"/>
      <c r="AH190" s="466"/>
      <c r="AI190" s="466"/>
      <c r="AJ190" s="466"/>
      <c r="AK190" s="466"/>
      <c r="AL190" s="466"/>
      <c r="AM190" s="462">
        <f t="shared" si="93"/>
        <v>186</v>
      </c>
      <c r="AN190" s="32">
        <f t="shared" si="110"/>
        <v>0.96705987736242871</v>
      </c>
      <c r="AO190" s="32">
        <f t="shared" si="111"/>
        <v>0.39717531711172921</v>
      </c>
      <c r="AP190" s="32">
        <f t="shared" si="112"/>
        <v>1.9900914486861019</v>
      </c>
      <c r="AQ190" s="32">
        <f t="shared" si="113"/>
        <v>15.203178780638597</v>
      </c>
      <c r="AR190" s="32">
        <f t="shared" si="114"/>
        <v>41.456531208093089</v>
      </c>
      <c r="AS190" s="32">
        <f t="shared" si="94"/>
        <v>31.122247108539646</v>
      </c>
      <c r="AT190" s="32">
        <f t="shared" si="95"/>
        <v>19.426176000000002</v>
      </c>
      <c r="AU190" s="32">
        <f t="shared" si="96"/>
        <v>0.81063555314672175</v>
      </c>
      <c r="AV190" s="32">
        <f t="shared" si="97"/>
        <v>0.74435799674807457</v>
      </c>
      <c r="AW190" s="32">
        <f t="shared" si="98"/>
        <v>3.6328239322991576</v>
      </c>
      <c r="AX190" s="32">
        <f t="shared" si="99"/>
        <v>2.3968104104453793</v>
      </c>
      <c r="AY190" s="32">
        <f t="shared" si="100"/>
        <v>2.1161760044035458</v>
      </c>
      <c r="AZ190" s="32">
        <f t="shared" si="115"/>
        <v>0.13634084924484857</v>
      </c>
      <c r="BA190" s="32">
        <f t="shared" si="101"/>
        <v>-3.8729484072485914</v>
      </c>
      <c r="BB190" s="32">
        <f t="shared" si="116"/>
        <v>15.55322759275141</v>
      </c>
      <c r="BC190" s="32">
        <f t="shared" si="102"/>
        <v>23.86</v>
      </c>
      <c r="BD190" s="32">
        <v>0</v>
      </c>
      <c r="BE190" s="32">
        <f t="shared" si="117"/>
        <v>3.0148171713722682</v>
      </c>
      <c r="BF190" s="32">
        <f t="shared" si="118"/>
        <v>0.89864116696872243</v>
      </c>
      <c r="BG190" s="32">
        <f t="shared" si="119"/>
        <v>0.17782795424517081</v>
      </c>
      <c r="BH190" s="32">
        <f t="shared" si="103"/>
        <v>3.8293305039730359</v>
      </c>
      <c r="BI190" s="32">
        <f t="shared" si="104"/>
        <v>1.3526380574181025</v>
      </c>
      <c r="BJ190" s="32">
        <f t="shared" si="105"/>
        <v>5.1819685613911384</v>
      </c>
      <c r="BK190" s="457">
        <f t="shared" si="106"/>
        <v>4.2650784623003535</v>
      </c>
      <c r="BL190" s="2"/>
    </row>
    <row r="191" spans="1:64" ht="15">
      <c r="A191" s="119"/>
      <c r="B191" s="480">
        <f>Input!B208</f>
        <v>38173</v>
      </c>
      <c r="C191" s="481">
        <v>1</v>
      </c>
      <c r="D191" s="481">
        <f t="shared" si="107"/>
        <v>7</v>
      </c>
      <c r="E191" s="481">
        <f t="shared" si="108"/>
        <v>5</v>
      </c>
      <c r="F191" s="481">
        <f t="shared" si="82"/>
        <v>187</v>
      </c>
      <c r="G191" s="431">
        <v>18.316800000000001</v>
      </c>
      <c r="H191" s="455">
        <v>26.28</v>
      </c>
      <c r="I191" s="455">
        <v>19.399999999999999</v>
      </c>
      <c r="J191" s="455">
        <v>2.04</v>
      </c>
      <c r="K191" s="485"/>
      <c r="L191" s="433">
        <v>100</v>
      </c>
      <c r="M191" s="455">
        <v>79</v>
      </c>
      <c r="N191" s="484">
        <f>Weather!M192</f>
        <v>0</v>
      </c>
      <c r="O191" s="481" t="str">
        <f t="shared" si="109"/>
        <v/>
      </c>
      <c r="P191" s="4">
        <f t="shared" si="120"/>
        <v>3.4769314126585869</v>
      </c>
      <c r="Q191" s="169">
        <f t="shared" si="83"/>
        <v>3.4174807738749688</v>
      </c>
      <c r="R191" s="169">
        <f t="shared" si="84"/>
        <v>2.2528310020993629</v>
      </c>
      <c r="S191" s="169">
        <f t="shared" si="85"/>
        <v>2.6998098113612254</v>
      </c>
      <c r="T191" s="169">
        <f t="shared" si="86"/>
        <v>2.2528310020993629</v>
      </c>
      <c r="U191" s="169">
        <f t="shared" si="87"/>
        <v>2.4763204067302942</v>
      </c>
      <c r="V191" s="169">
        <f t="shared" si="88"/>
        <v>8.1051503014929485E-2</v>
      </c>
      <c r="W191" s="439">
        <f t="shared" si="89"/>
        <v>20.929923416323124</v>
      </c>
      <c r="X191" s="439">
        <f t="shared" si="90"/>
        <v>20.929923416323124</v>
      </c>
      <c r="Y191" s="169"/>
      <c r="Z191" s="119">
        <f t="shared" si="91"/>
        <v>3</v>
      </c>
      <c r="AA191" s="4">
        <f t="shared" si="92"/>
        <v>1.0261342273931477</v>
      </c>
      <c r="AB191" s="466"/>
      <c r="AC191" s="466"/>
      <c r="AD191" s="466"/>
      <c r="AE191" s="466"/>
      <c r="AF191" s="466"/>
      <c r="AG191" s="466"/>
      <c r="AH191" s="466"/>
      <c r="AI191" s="466"/>
      <c r="AJ191" s="466"/>
      <c r="AK191" s="466"/>
      <c r="AL191" s="466"/>
      <c r="AM191" s="462">
        <f t="shared" si="93"/>
        <v>187</v>
      </c>
      <c r="AN191" s="32">
        <f t="shared" si="110"/>
        <v>0.96709896139247453</v>
      </c>
      <c r="AO191" s="32">
        <f t="shared" si="111"/>
        <v>0.39543582991381776</v>
      </c>
      <c r="AP191" s="32">
        <f t="shared" si="112"/>
        <v>1.9879204675442912</v>
      </c>
      <c r="AQ191" s="32">
        <f t="shared" si="113"/>
        <v>15.186593706394831</v>
      </c>
      <c r="AR191" s="32">
        <f t="shared" si="114"/>
        <v>41.393410869835861</v>
      </c>
      <c r="AS191" s="32">
        <f t="shared" si="94"/>
        <v>31.07486140820318</v>
      </c>
      <c r="AT191" s="32">
        <f t="shared" si="95"/>
        <v>14.103936000000001</v>
      </c>
      <c r="AU191" s="32">
        <f t="shared" si="96"/>
        <v>0.58944108420592056</v>
      </c>
      <c r="AV191" s="32">
        <f t="shared" si="97"/>
        <v>0.44574546367799284</v>
      </c>
      <c r="AW191" s="32">
        <f t="shared" si="98"/>
        <v>3.4174807738749688</v>
      </c>
      <c r="AX191" s="32">
        <f t="shared" si="99"/>
        <v>2.2528310020993629</v>
      </c>
      <c r="AY191" s="32">
        <f t="shared" si="100"/>
        <v>2.4763204067302946</v>
      </c>
      <c r="AZ191" s="32">
        <f t="shared" si="115"/>
        <v>0.11969139832518164</v>
      </c>
      <c r="BA191" s="32">
        <f t="shared" si="101"/>
        <v>-2.0081952576274174</v>
      </c>
      <c r="BB191" s="32">
        <f t="shared" si="116"/>
        <v>12.095740742372584</v>
      </c>
      <c r="BC191" s="32">
        <f t="shared" si="102"/>
        <v>22.84</v>
      </c>
      <c r="BD191" s="32">
        <v>0</v>
      </c>
      <c r="BE191" s="32">
        <f t="shared" si="117"/>
        <v>2.8351558879871659</v>
      </c>
      <c r="BF191" s="32">
        <f t="shared" si="118"/>
        <v>0.35883548125687126</v>
      </c>
      <c r="BG191" s="32">
        <f t="shared" si="119"/>
        <v>0.16853014122640708</v>
      </c>
      <c r="BH191" s="32">
        <f t="shared" si="103"/>
        <v>2.9473026905722484</v>
      </c>
      <c r="BI191" s="32">
        <f t="shared" si="104"/>
        <v>0.5296287220863386</v>
      </c>
      <c r="BJ191" s="32">
        <f t="shared" si="105"/>
        <v>3.4769314126585869</v>
      </c>
      <c r="BK191" s="457">
        <f t="shared" si="106"/>
        <v>4.1422936620421167</v>
      </c>
      <c r="BL191" s="2"/>
    </row>
    <row r="192" spans="1:64" ht="15">
      <c r="A192" s="119"/>
      <c r="B192" s="480">
        <f>Input!B209</f>
        <v>38174</v>
      </c>
      <c r="C192" s="481">
        <v>1</v>
      </c>
      <c r="D192" s="481">
        <f t="shared" si="107"/>
        <v>7</v>
      </c>
      <c r="E192" s="481">
        <f t="shared" si="108"/>
        <v>6</v>
      </c>
      <c r="F192" s="481">
        <f t="shared" si="82"/>
        <v>188</v>
      </c>
      <c r="G192" s="431">
        <v>19.958400000000001</v>
      </c>
      <c r="H192" s="455">
        <v>23.36</v>
      </c>
      <c r="I192" s="455">
        <v>18.3</v>
      </c>
      <c r="J192" s="455">
        <v>1.85</v>
      </c>
      <c r="K192" s="485"/>
      <c r="L192" s="433">
        <v>100</v>
      </c>
      <c r="M192" s="455">
        <v>87</v>
      </c>
      <c r="N192" s="484">
        <f>Weather!M193</f>
        <v>36.4</v>
      </c>
      <c r="O192" s="481">
        <f t="shared" si="109"/>
        <v>1</v>
      </c>
      <c r="P192" s="4">
        <f t="shared" si="120"/>
        <v>3.3390863812371721</v>
      </c>
      <c r="Q192" s="169">
        <f t="shared" si="83"/>
        <v>2.8711956854595937</v>
      </c>
      <c r="R192" s="169">
        <f t="shared" si="84"/>
        <v>2.1032450848446573</v>
      </c>
      <c r="S192" s="169">
        <f t="shared" si="85"/>
        <v>2.4979402463498466</v>
      </c>
      <c r="T192" s="169">
        <f t="shared" si="86"/>
        <v>2.1032450848446573</v>
      </c>
      <c r="U192" s="169">
        <f t="shared" si="87"/>
        <v>2.300592665597252</v>
      </c>
      <c r="V192" s="169">
        <f t="shared" si="88"/>
        <v>7.6789373252649284E-2</v>
      </c>
      <c r="W192" s="439">
        <f t="shared" si="89"/>
        <v>19.737769199054515</v>
      </c>
      <c r="X192" s="439">
        <f t="shared" si="90"/>
        <v>19.737769199054515</v>
      </c>
      <c r="Y192" s="169"/>
      <c r="Z192" s="119">
        <f t="shared" si="91"/>
        <v>3</v>
      </c>
      <c r="AA192" s="4">
        <f t="shared" si="92"/>
        <v>1.0261342273931477</v>
      </c>
      <c r="AB192" s="466"/>
      <c r="AC192" s="466"/>
      <c r="AD192" s="466"/>
      <c r="AE192" s="466"/>
      <c r="AF192" s="466"/>
      <c r="AG192" s="466"/>
      <c r="AH192" s="466"/>
      <c r="AI192" s="466"/>
      <c r="AJ192" s="466"/>
      <c r="AK192" s="466"/>
      <c r="AL192" s="466"/>
      <c r="AM192" s="462">
        <f t="shared" si="93"/>
        <v>188</v>
      </c>
      <c r="AN192" s="32">
        <f t="shared" si="110"/>
        <v>0.96714779471032231</v>
      </c>
      <c r="AO192" s="32">
        <f t="shared" si="111"/>
        <v>0.39357916654529868</v>
      </c>
      <c r="AP192" s="32">
        <f t="shared" si="112"/>
        <v>1.9856090156103507</v>
      </c>
      <c r="AQ192" s="32">
        <f t="shared" si="113"/>
        <v>15.168935514346547</v>
      </c>
      <c r="AR192" s="32">
        <f t="shared" si="114"/>
        <v>41.32631286945567</v>
      </c>
      <c r="AS192" s="32">
        <f t="shared" si="94"/>
        <v>31.024489597357764</v>
      </c>
      <c r="AT192" s="32">
        <f t="shared" si="95"/>
        <v>15.367968000000001</v>
      </c>
      <c r="AU192" s="32">
        <f t="shared" si="96"/>
        <v>0.64331114738789386</v>
      </c>
      <c r="AV192" s="32">
        <f t="shared" si="97"/>
        <v>0.51847004897365678</v>
      </c>
      <c r="AW192" s="32">
        <f t="shared" si="98"/>
        <v>2.8711956854595937</v>
      </c>
      <c r="AX192" s="32">
        <f t="shared" si="99"/>
        <v>2.1032450848446573</v>
      </c>
      <c r="AY192" s="32">
        <f t="shared" si="100"/>
        <v>2.300592665597252</v>
      </c>
      <c r="AZ192" s="32">
        <f t="shared" si="115"/>
        <v>0.12765213388002661</v>
      </c>
      <c r="BA192" s="32">
        <f t="shared" si="101"/>
        <v>-2.4233264730471942</v>
      </c>
      <c r="BB192" s="32">
        <f t="shared" si="116"/>
        <v>12.944641526952807</v>
      </c>
      <c r="BC192" s="32">
        <f t="shared" si="102"/>
        <v>20.83</v>
      </c>
      <c r="BD192" s="32">
        <v>0</v>
      </c>
      <c r="BE192" s="32">
        <f t="shared" si="117"/>
        <v>2.4872203851521255</v>
      </c>
      <c r="BF192" s="32">
        <f t="shared" si="118"/>
        <v>0.18662771955487356</v>
      </c>
      <c r="BG192" s="32">
        <f t="shared" si="119"/>
        <v>0.15140482857244272</v>
      </c>
      <c r="BH192" s="32">
        <f t="shared" si="103"/>
        <v>3.066875014340499</v>
      </c>
      <c r="BI192" s="32">
        <f t="shared" si="104"/>
        <v>0.27221136689667319</v>
      </c>
      <c r="BJ192" s="32">
        <f t="shared" si="105"/>
        <v>3.3390863812371721</v>
      </c>
      <c r="BK192" s="457">
        <f t="shared" si="106"/>
        <v>3.3712299574074924</v>
      </c>
      <c r="BL192" s="2"/>
    </row>
    <row r="193" spans="1:64" ht="15">
      <c r="A193" s="119"/>
      <c r="B193" s="480">
        <f>Input!B210</f>
        <v>38175</v>
      </c>
      <c r="C193" s="481">
        <v>1</v>
      </c>
      <c r="D193" s="481">
        <f t="shared" si="107"/>
        <v>7</v>
      </c>
      <c r="E193" s="481">
        <f t="shared" si="108"/>
        <v>7</v>
      </c>
      <c r="F193" s="481">
        <f t="shared" si="82"/>
        <v>189</v>
      </c>
      <c r="G193" s="431">
        <v>26.697600000000001</v>
      </c>
      <c r="H193" s="455">
        <v>25.13</v>
      </c>
      <c r="I193" s="455">
        <v>18.5</v>
      </c>
      <c r="J193" s="455">
        <v>1.56</v>
      </c>
      <c r="K193" s="485"/>
      <c r="L193" s="433">
        <v>100</v>
      </c>
      <c r="M193" s="455">
        <v>87</v>
      </c>
      <c r="N193" s="484">
        <f>Weather!M194</f>
        <v>0</v>
      </c>
      <c r="O193" s="481" t="str">
        <f t="shared" si="109"/>
        <v/>
      </c>
      <c r="P193" s="4">
        <f t="shared" si="120"/>
        <v>4.4509781454770909</v>
      </c>
      <c r="Q193" s="169">
        <f t="shared" si="83"/>
        <v>3.1923903510519973</v>
      </c>
      <c r="R193" s="169">
        <f t="shared" si="84"/>
        <v>2.1297773032821605</v>
      </c>
      <c r="S193" s="169">
        <f t="shared" si="85"/>
        <v>2.7773796054152378</v>
      </c>
      <c r="T193" s="169">
        <f t="shared" si="86"/>
        <v>2.1297773032821605</v>
      </c>
      <c r="U193" s="169">
        <f t="shared" si="87"/>
        <v>2.4535784543486994</v>
      </c>
      <c r="V193" s="169">
        <f t="shared" si="88"/>
        <v>8.0517270305539554E-2</v>
      </c>
      <c r="W193" s="439">
        <f t="shared" si="89"/>
        <v>20.779888111496792</v>
      </c>
      <c r="X193" s="439">
        <f t="shared" si="90"/>
        <v>20.779888111496792</v>
      </c>
      <c r="Y193" s="169"/>
      <c r="Z193" s="119">
        <f t="shared" si="91"/>
        <v>3</v>
      </c>
      <c r="AA193" s="4">
        <f t="shared" si="92"/>
        <v>1.0261342273931477</v>
      </c>
      <c r="AB193" s="466"/>
      <c r="AC193" s="466"/>
      <c r="AD193" s="466"/>
      <c r="AE193" s="466"/>
      <c r="AF193" s="466"/>
      <c r="AG193" s="466"/>
      <c r="AH193" s="466"/>
      <c r="AI193" s="466"/>
      <c r="AJ193" s="466"/>
      <c r="AK193" s="466"/>
      <c r="AL193" s="466"/>
      <c r="AM193" s="462">
        <f t="shared" si="93"/>
        <v>189</v>
      </c>
      <c r="AN193" s="32">
        <f t="shared" si="110"/>
        <v>0.96720636284560613</v>
      </c>
      <c r="AO193" s="32">
        <f t="shared" si="111"/>
        <v>0.39160587717559808</v>
      </c>
      <c r="AP193" s="32">
        <f t="shared" si="112"/>
        <v>1.9831588434846004</v>
      </c>
      <c r="AQ193" s="32">
        <f t="shared" si="113"/>
        <v>15.150217578095065</v>
      </c>
      <c r="AR193" s="32">
        <f t="shared" si="114"/>
        <v>41.255249479735504</v>
      </c>
      <c r="AS193" s="32">
        <f t="shared" si="94"/>
        <v>30.971140889427041</v>
      </c>
      <c r="AT193" s="32">
        <f t="shared" si="95"/>
        <v>20.557152000000002</v>
      </c>
      <c r="AU193" s="32">
        <f t="shared" si="96"/>
        <v>0.86201538701191516</v>
      </c>
      <c r="AV193" s="32">
        <f t="shared" si="97"/>
        <v>0.81372077246608565</v>
      </c>
      <c r="AW193" s="32">
        <f t="shared" si="98"/>
        <v>3.1923903510519973</v>
      </c>
      <c r="AX193" s="32">
        <f t="shared" si="99"/>
        <v>2.1297773032821605</v>
      </c>
      <c r="AY193" s="32">
        <f t="shared" si="100"/>
        <v>2.4535784543486994</v>
      </c>
      <c r="AZ193" s="32">
        <f t="shared" si="115"/>
        <v>0.12070536325474235</v>
      </c>
      <c r="BA193" s="32">
        <f t="shared" si="101"/>
        <v>-3.6459356887047645</v>
      </c>
      <c r="BB193" s="32">
        <f t="shared" si="116"/>
        <v>16.911216311295238</v>
      </c>
      <c r="BC193" s="32">
        <f t="shared" si="102"/>
        <v>21.814999999999998</v>
      </c>
      <c r="BD193" s="32">
        <v>0</v>
      </c>
      <c r="BE193" s="32">
        <f t="shared" si="117"/>
        <v>2.6610838271670789</v>
      </c>
      <c r="BF193" s="32">
        <f t="shared" si="118"/>
        <v>0.20750537281837955</v>
      </c>
      <c r="BG193" s="32">
        <f t="shared" si="119"/>
        <v>0.15960347290644833</v>
      </c>
      <c r="BH193" s="32">
        <f t="shared" si="103"/>
        <v>4.1981456570042903</v>
      </c>
      <c r="BI193" s="32">
        <f t="shared" si="104"/>
        <v>0.25283248847280071</v>
      </c>
      <c r="BJ193" s="32">
        <f t="shared" si="105"/>
        <v>4.4509781454770909</v>
      </c>
      <c r="BK193" s="457">
        <f t="shared" si="106"/>
        <v>3.9505484631760259</v>
      </c>
      <c r="BL193" s="2"/>
    </row>
    <row r="194" spans="1:64" ht="15">
      <c r="A194" s="119"/>
      <c r="B194" s="480">
        <f>Input!B211</f>
        <v>38176</v>
      </c>
      <c r="C194" s="481">
        <v>1</v>
      </c>
      <c r="D194" s="481">
        <f t="shared" si="107"/>
        <v>7</v>
      </c>
      <c r="E194" s="481">
        <f t="shared" si="108"/>
        <v>8</v>
      </c>
      <c r="F194" s="481">
        <f t="shared" si="82"/>
        <v>190</v>
      </c>
      <c r="G194" s="431">
        <v>25.142399999999999</v>
      </c>
      <c r="H194" s="455">
        <v>26.97</v>
      </c>
      <c r="I194" s="455">
        <v>17.5</v>
      </c>
      <c r="J194" s="455">
        <v>1.26</v>
      </c>
      <c r="K194" s="485"/>
      <c r="L194" s="433">
        <v>100</v>
      </c>
      <c r="M194" s="455">
        <v>83</v>
      </c>
      <c r="N194" s="484">
        <f>Weather!M195</f>
        <v>0</v>
      </c>
      <c r="O194" s="481" t="str">
        <f t="shared" si="109"/>
        <v/>
      </c>
      <c r="P194" s="4">
        <f t="shared" si="120"/>
        <v>4.4175903643995147</v>
      </c>
      <c r="Q194" s="169">
        <f t="shared" si="83"/>
        <v>3.5590699222222817</v>
      </c>
      <c r="R194" s="169">
        <f t="shared" si="84"/>
        <v>1.9999869748999506</v>
      </c>
      <c r="S194" s="169">
        <f t="shared" si="85"/>
        <v>2.9540280354444937</v>
      </c>
      <c r="T194" s="169">
        <f t="shared" si="86"/>
        <v>1.9999869748999506</v>
      </c>
      <c r="U194" s="169">
        <f t="shared" si="87"/>
        <v>2.4770075051722222</v>
      </c>
      <c r="V194" s="169">
        <f t="shared" si="88"/>
        <v>8.1067567231306842E-2</v>
      </c>
      <c r="W194" s="439">
        <f t="shared" si="89"/>
        <v>20.934437634362389</v>
      </c>
      <c r="X194" s="439">
        <f t="shared" si="90"/>
        <v>20.934437634362389</v>
      </c>
      <c r="Y194" s="169"/>
      <c r="Z194" s="119">
        <f t="shared" si="91"/>
        <v>3</v>
      </c>
      <c r="AA194" s="4">
        <f t="shared" si="92"/>
        <v>1.0261342273931477</v>
      </c>
      <c r="AB194" s="466"/>
      <c r="AC194" s="466"/>
      <c r="AD194" s="466"/>
      <c r="AE194" s="466"/>
      <c r="AF194" s="466"/>
      <c r="AG194" s="466"/>
      <c r="AH194" s="466"/>
      <c r="AI194" s="466"/>
      <c r="AJ194" s="466"/>
      <c r="AK194" s="466"/>
      <c r="AL194" s="466"/>
      <c r="AM194" s="462">
        <f t="shared" si="93"/>
        <v>190</v>
      </c>
      <c r="AN194" s="32">
        <f t="shared" si="110"/>
        <v>0.96727464844332345</v>
      </c>
      <c r="AO194" s="32">
        <f t="shared" si="111"/>
        <v>0.38951654653294338</v>
      </c>
      <c r="AP194" s="32">
        <f t="shared" si="112"/>
        <v>1.9805717859879413</v>
      </c>
      <c r="AQ194" s="32">
        <f t="shared" si="113"/>
        <v>15.130453914639569</v>
      </c>
      <c r="AR194" s="32">
        <f t="shared" si="114"/>
        <v>41.180233561703837</v>
      </c>
      <c r="AS194" s="32">
        <f t="shared" si="94"/>
        <v>30.914824939442305</v>
      </c>
      <c r="AT194" s="32">
        <f t="shared" si="95"/>
        <v>19.359648</v>
      </c>
      <c r="AU194" s="32">
        <f t="shared" si="96"/>
        <v>0.81327971448165548</v>
      </c>
      <c r="AV194" s="32">
        <f t="shared" si="97"/>
        <v>0.74792761455023504</v>
      </c>
      <c r="AW194" s="32">
        <f t="shared" si="98"/>
        <v>3.5590699222222817</v>
      </c>
      <c r="AX194" s="32">
        <f t="shared" si="99"/>
        <v>1.9999869748999506</v>
      </c>
      <c r="AY194" s="32">
        <f t="shared" si="100"/>
        <v>2.4770075051722227</v>
      </c>
      <c r="AZ194" s="32">
        <f t="shared" si="115"/>
        <v>0.11966083620614432</v>
      </c>
      <c r="BA194" s="32">
        <f t="shared" si="101"/>
        <v>-3.3437247440509124</v>
      </c>
      <c r="BB194" s="32">
        <f t="shared" si="116"/>
        <v>16.015923255949087</v>
      </c>
      <c r="BC194" s="32">
        <f t="shared" si="102"/>
        <v>22.234999999999999</v>
      </c>
      <c r="BD194" s="32">
        <v>0</v>
      </c>
      <c r="BE194" s="32">
        <f t="shared" si="117"/>
        <v>2.7795284485611162</v>
      </c>
      <c r="BF194" s="32">
        <f t="shared" si="118"/>
        <v>0.30252094338889357</v>
      </c>
      <c r="BG194" s="32">
        <f t="shared" si="119"/>
        <v>0.16321168099163744</v>
      </c>
      <c r="BH194" s="32">
        <f t="shared" si="103"/>
        <v>4.1165811411825119</v>
      </c>
      <c r="BI194" s="32">
        <f t="shared" si="104"/>
        <v>0.30100922321700258</v>
      </c>
      <c r="BJ194" s="32">
        <f t="shared" si="105"/>
        <v>4.4175903643995147</v>
      </c>
      <c r="BK194" s="457">
        <f t="shared" si="106"/>
        <v>4.7628332789203478</v>
      </c>
      <c r="BL194" s="2"/>
    </row>
    <row r="195" spans="1:64" ht="15">
      <c r="A195" s="119"/>
      <c r="B195" s="480">
        <f>Input!B212</f>
        <v>38177</v>
      </c>
      <c r="C195" s="481">
        <v>1</v>
      </c>
      <c r="D195" s="481">
        <f t="shared" si="107"/>
        <v>7</v>
      </c>
      <c r="E195" s="481">
        <f t="shared" si="108"/>
        <v>9</v>
      </c>
      <c r="F195" s="481">
        <f t="shared" si="82"/>
        <v>191</v>
      </c>
      <c r="G195" s="431">
        <v>26.8704</v>
      </c>
      <c r="H195" s="455">
        <v>27.05</v>
      </c>
      <c r="I195" s="455">
        <v>20.100000000000001</v>
      </c>
      <c r="J195" s="455">
        <v>1.8</v>
      </c>
      <c r="K195" s="485"/>
      <c r="L195" s="433">
        <v>100</v>
      </c>
      <c r="M195" s="455">
        <v>81</v>
      </c>
      <c r="N195" s="484">
        <f>Weather!M196</f>
        <v>0</v>
      </c>
      <c r="O195" s="481" t="str">
        <f t="shared" si="109"/>
        <v/>
      </c>
      <c r="P195" s="4">
        <f t="shared" si="120"/>
        <v>4.7621015055229519</v>
      </c>
      <c r="Q195" s="169">
        <f t="shared" si="83"/>
        <v>3.5758119816692693</v>
      </c>
      <c r="R195" s="169">
        <f t="shared" si="84"/>
        <v>2.3527951289901101</v>
      </c>
      <c r="S195" s="169">
        <f t="shared" si="85"/>
        <v>2.8964077051521082</v>
      </c>
      <c r="T195" s="169">
        <f t="shared" si="86"/>
        <v>2.3527951289901101</v>
      </c>
      <c r="U195" s="169">
        <f t="shared" si="87"/>
        <v>2.6246014170711094</v>
      </c>
      <c r="V195" s="169">
        <f t="shared" si="88"/>
        <v>8.4418920036852904E-2</v>
      </c>
      <c r="W195" s="439">
        <f t="shared" si="89"/>
        <v>21.879667637465296</v>
      </c>
      <c r="X195" s="439">
        <f t="shared" si="90"/>
        <v>21.879667637465296</v>
      </c>
      <c r="Y195" s="169"/>
      <c r="Z195" s="119">
        <f t="shared" si="91"/>
        <v>3</v>
      </c>
      <c r="AA195" s="4">
        <f t="shared" si="92"/>
        <v>1.0261342273931477</v>
      </c>
      <c r="AB195" s="466"/>
      <c r="AC195" s="466"/>
      <c r="AD195" s="466"/>
      <c r="AE195" s="466"/>
      <c r="AF195" s="466"/>
      <c r="AG195" s="466"/>
      <c r="AH195" s="466"/>
      <c r="AI195" s="466"/>
      <c r="AJ195" s="466"/>
      <c r="AK195" s="466"/>
      <c r="AL195" s="466"/>
      <c r="AM195" s="462">
        <f t="shared" si="93"/>
        <v>191</v>
      </c>
      <c r="AN195" s="32">
        <f t="shared" si="110"/>
        <v>0.96735263126897786</v>
      </c>
      <c r="AO195" s="32">
        <f t="shared" si="111"/>
        <v>0.38731179373109537</v>
      </c>
      <c r="AP195" s="32">
        <f t="shared" si="112"/>
        <v>1.9778497574247746</v>
      </c>
      <c r="AQ195" s="32">
        <f t="shared" si="113"/>
        <v>15.109659148188433</v>
      </c>
      <c r="AR195" s="32">
        <f t="shared" si="114"/>
        <v>41.101278563614244</v>
      </c>
      <c r="AS195" s="32">
        <f t="shared" si="94"/>
        <v>30.855551843276487</v>
      </c>
      <c r="AT195" s="32">
        <f t="shared" si="95"/>
        <v>20.690208000000002</v>
      </c>
      <c r="AU195" s="32">
        <f t="shared" si="96"/>
        <v>0.87084490131571368</v>
      </c>
      <c r="AV195" s="32">
        <f t="shared" si="97"/>
        <v>0.82564061677621348</v>
      </c>
      <c r="AW195" s="32">
        <f t="shared" si="98"/>
        <v>3.5758119816692693</v>
      </c>
      <c r="AX195" s="32">
        <f t="shared" si="99"/>
        <v>2.3527951289901101</v>
      </c>
      <c r="AY195" s="32">
        <f t="shared" si="100"/>
        <v>2.6246014170711094</v>
      </c>
      <c r="AZ195" s="32">
        <f t="shared" si="115"/>
        <v>0.11319129696020538</v>
      </c>
      <c r="BA195" s="32">
        <f t="shared" si="101"/>
        <v>-3.5528262299817737</v>
      </c>
      <c r="BB195" s="32">
        <f t="shared" si="116"/>
        <v>17.13738177001823</v>
      </c>
      <c r="BC195" s="32">
        <f t="shared" si="102"/>
        <v>23.575000000000003</v>
      </c>
      <c r="BD195" s="32">
        <v>0</v>
      </c>
      <c r="BE195" s="32">
        <f t="shared" si="117"/>
        <v>2.9643035553296899</v>
      </c>
      <c r="BF195" s="32">
        <f t="shared" si="118"/>
        <v>0.33970213825858053</v>
      </c>
      <c r="BG195" s="32">
        <f t="shared" si="119"/>
        <v>0.1751875195860296</v>
      </c>
      <c r="BH195" s="32">
        <f t="shared" si="103"/>
        <v>4.3226353795532031</v>
      </c>
      <c r="BI195" s="32">
        <f t="shared" si="104"/>
        <v>0.4394661259697486</v>
      </c>
      <c r="BJ195" s="32">
        <f t="shared" si="105"/>
        <v>4.7621015055229519</v>
      </c>
      <c r="BK195" s="457">
        <f t="shared" si="106"/>
        <v>4.208695375033864</v>
      </c>
      <c r="BL195" s="2"/>
    </row>
    <row r="196" spans="1:64" ht="15">
      <c r="A196" s="119"/>
      <c r="B196" s="480">
        <f>Input!B213</f>
        <v>38178</v>
      </c>
      <c r="C196" s="481">
        <v>1</v>
      </c>
      <c r="D196" s="481">
        <f t="shared" si="107"/>
        <v>7</v>
      </c>
      <c r="E196" s="481">
        <f t="shared" si="108"/>
        <v>10</v>
      </c>
      <c r="F196" s="481">
        <f t="shared" si="82"/>
        <v>192</v>
      </c>
      <c r="G196" s="431">
        <v>27.043199999999999</v>
      </c>
      <c r="H196" s="455">
        <v>27.27</v>
      </c>
      <c r="I196" s="455">
        <v>18</v>
      </c>
      <c r="J196" s="455">
        <v>1.47</v>
      </c>
      <c r="K196" s="485"/>
      <c r="L196" s="433">
        <v>93</v>
      </c>
      <c r="M196" s="455">
        <v>78</v>
      </c>
      <c r="N196" s="484">
        <f>Weather!M197</f>
        <v>0</v>
      </c>
      <c r="O196" s="481" t="str">
        <f t="shared" si="109"/>
        <v/>
      </c>
      <c r="P196" s="4">
        <f t="shared" si="120"/>
        <v>4.8331833809099534</v>
      </c>
      <c r="Q196" s="169">
        <f t="shared" si="83"/>
        <v>3.6222068356558368</v>
      </c>
      <c r="R196" s="169">
        <f t="shared" si="84"/>
        <v>2.0639892026604851</v>
      </c>
      <c r="S196" s="169">
        <f t="shared" si="85"/>
        <v>2.8253213318115526</v>
      </c>
      <c r="T196" s="169">
        <f t="shared" si="86"/>
        <v>1.9195099584742512</v>
      </c>
      <c r="U196" s="169">
        <f t="shared" si="87"/>
        <v>2.3724156451429019</v>
      </c>
      <c r="V196" s="169">
        <f t="shared" si="88"/>
        <v>7.8569449985312331E-2</v>
      </c>
      <c r="W196" s="439">
        <f t="shared" si="89"/>
        <v>20.234330716750623</v>
      </c>
      <c r="X196" s="439">
        <f t="shared" si="90"/>
        <v>20.234330716750623</v>
      </c>
      <c r="Y196" s="169"/>
      <c r="Z196" s="119">
        <f t="shared" si="91"/>
        <v>3</v>
      </c>
      <c r="AA196" s="4">
        <f t="shared" si="92"/>
        <v>1.0261342273931477</v>
      </c>
      <c r="AB196" s="466"/>
      <c r="AC196" s="466"/>
      <c r="AD196" s="466"/>
      <c r="AE196" s="466"/>
      <c r="AF196" s="466"/>
      <c r="AG196" s="466"/>
      <c r="AH196" s="466"/>
      <c r="AI196" s="466"/>
      <c r="AJ196" s="466"/>
      <c r="AK196" s="466"/>
      <c r="AL196" s="466"/>
      <c r="AM196" s="462">
        <f t="shared" si="93"/>
        <v>192</v>
      </c>
      <c r="AN196" s="32">
        <f t="shared" si="110"/>
        <v>0.96744028821457528</v>
      </c>
      <c r="AO196" s="32">
        <f t="shared" si="111"/>
        <v>0.38499227208589176</v>
      </c>
      <c r="AP196" s="32">
        <f t="shared" si="112"/>
        <v>1.9749947467347682</v>
      </c>
      <c r="AQ196" s="32">
        <f t="shared" si="113"/>
        <v>15.087848473121486</v>
      </c>
      <c r="AR196" s="32">
        <f t="shared" si="114"/>
        <v>41.018398520725256</v>
      </c>
      <c r="AS196" s="32">
        <f t="shared" si="94"/>
        <v>30.793332137478867</v>
      </c>
      <c r="AT196" s="32">
        <f t="shared" si="95"/>
        <v>20.823263999999998</v>
      </c>
      <c r="AU196" s="32">
        <f t="shared" si="96"/>
        <v>0.87821609818852486</v>
      </c>
      <c r="AV196" s="32">
        <f t="shared" si="97"/>
        <v>0.83559173255450869</v>
      </c>
      <c r="AW196" s="32">
        <f t="shared" si="98"/>
        <v>3.6222068356558368</v>
      </c>
      <c r="AX196" s="32">
        <f t="shared" si="99"/>
        <v>2.0639892026604851</v>
      </c>
      <c r="AY196" s="32">
        <f t="shared" si="100"/>
        <v>2.3724156451429019</v>
      </c>
      <c r="AZ196" s="32">
        <f t="shared" si="115"/>
        <v>0.12436292840793614</v>
      </c>
      <c r="BA196" s="32">
        <f t="shared" si="101"/>
        <v>-3.9032390546733882</v>
      </c>
      <c r="BB196" s="32">
        <f t="shared" si="116"/>
        <v>16.92002494532661</v>
      </c>
      <c r="BC196" s="32">
        <f t="shared" si="102"/>
        <v>22.634999999999998</v>
      </c>
      <c r="BD196" s="32">
        <v>0</v>
      </c>
      <c r="BE196" s="32">
        <f t="shared" si="117"/>
        <v>2.8430980191581607</v>
      </c>
      <c r="BF196" s="32">
        <f t="shared" si="118"/>
        <v>0.47068237401525881</v>
      </c>
      <c r="BG196" s="32">
        <f t="shared" si="119"/>
        <v>0.16671187218048628</v>
      </c>
      <c r="BH196" s="32">
        <f t="shared" si="103"/>
        <v>4.3044597348560707</v>
      </c>
      <c r="BI196" s="32">
        <f t="shared" si="104"/>
        <v>0.52872364605388289</v>
      </c>
      <c r="BJ196" s="32">
        <f t="shared" si="105"/>
        <v>4.8331833809099534</v>
      </c>
      <c r="BK196" s="457">
        <f t="shared" si="106"/>
        <v>4.7406486208620358</v>
      </c>
      <c r="BL196" s="2"/>
    </row>
    <row r="197" spans="1:64" ht="15">
      <c r="A197" s="119"/>
      <c r="B197" s="480">
        <f>Input!B214</f>
        <v>38179</v>
      </c>
      <c r="C197" s="481">
        <v>1</v>
      </c>
      <c r="D197" s="481">
        <f t="shared" si="107"/>
        <v>7</v>
      </c>
      <c r="E197" s="481">
        <f t="shared" si="108"/>
        <v>11</v>
      </c>
      <c r="F197" s="481">
        <f t="shared" ref="F197:F260" si="121">B197-DATE(YEAR(B197)-1,12,31)</f>
        <v>193</v>
      </c>
      <c r="G197" s="431">
        <v>26.6112</v>
      </c>
      <c r="H197" s="455">
        <v>27.33</v>
      </c>
      <c r="I197" s="455">
        <v>20.7</v>
      </c>
      <c r="J197" s="455">
        <v>2.4700000000000002</v>
      </c>
      <c r="K197" s="485"/>
      <c r="L197" s="433">
        <v>94</v>
      </c>
      <c r="M197" s="455">
        <v>66</v>
      </c>
      <c r="N197" s="484">
        <f>Weather!M198</f>
        <v>0</v>
      </c>
      <c r="O197" s="481" t="str">
        <f t="shared" si="109"/>
        <v/>
      </c>
      <c r="P197" s="4">
        <f t="shared" si="120"/>
        <v>5.1474550835259034</v>
      </c>
      <c r="Q197" s="169">
        <f t="shared" ref="Q197:Q260" si="122">IF(H197="","",0.6108*EXP((17.27*H197)/(H197+237.3)))</f>
        <v>3.6349506006680565</v>
      </c>
      <c r="R197" s="169">
        <f t="shared" ref="R197:R260" si="123">IF(I197="","",0.6108*EXP((17.27*I197)/(I197+237.3)))</f>
        <v>2.4415438714941016</v>
      </c>
      <c r="S197" s="169">
        <f t="shared" ref="S197:S260" si="124">IF(OR(M197="",Q197=""),"",M197/100*Q197)</f>
        <v>2.3990673964409175</v>
      </c>
      <c r="T197" s="169">
        <f t="shared" ref="T197:T260" si="125">IF(OR(L197="",R197=""),"",L197/100*R197)</f>
        <v>2.2950512392044553</v>
      </c>
      <c r="U197" s="169">
        <f t="shared" ref="U197:U260" si="126">IF(OR(S197="",T197=""),"",(S197+T197)/2)</f>
        <v>2.3470593178226862</v>
      </c>
      <c r="V197" s="169">
        <f t="shared" ref="V197:V260" si="127">IF(U197="","",LN(U197/0.6108)/17.27)</f>
        <v>7.7947243548256148E-2</v>
      </c>
      <c r="W197" s="439">
        <f t="shared" ref="W197:W260" si="128">IF(ISNUMBER(V197),237.3*(V197/(1-V197)),"")</f>
        <v>20.060545087659772</v>
      </c>
      <c r="X197" s="439">
        <f t="shared" ref="X197:X260" si="129">IF(AND(K197="",W197=""),"",IF(K197="",W197,K197))</f>
        <v>20.060545087659772</v>
      </c>
      <c r="Y197" s="169"/>
      <c r="Z197" s="119">
        <f t="shared" ref="Z197:Z260" si="130">IF(AND(B197&gt;=H$1,B197&lt;=J$1),3,"")</f>
        <v>3</v>
      </c>
      <c r="AA197" s="4">
        <f t="shared" ref="AA197:AA260" si="131">IF(Z197=3,$P$1+0.1654*($AA$1-7.3)*($P$1-1),"")</f>
        <v>1.0261342273931477</v>
      </c>
      <c r="AB197" s="466"/>
      <c r="AC197" s="466"/>
      <c r="AD197" s="466"/>
      <c r="AE197" s="466"/>
      <c r="AF197" s="466"/>
      <c r="AG197" s="466"/>
      <c r="AH197" s="466"/>
      <c r="AI197" s="466"/>
      <c r="AJ197" s="466"/>
      <c r="AK197" s="466"/>
      <c r="AL197" s="466"/>
      <c r="AM197" s="462">
        <f t="shared" ref="AM197:AM260" si="132">F197</f>
        <v>193</v>
      </c>
      <c r="AN197" s="32">
        <f t="shared" si="110"/>
        <v>0.96753759330547084</v>
      </c>
      <c r="AO197" s="32">
        <f t="shared" si="111"/>
        <v>0.38255866892165535</v>
      </c>
      <c r="AP197" s="32">
        <f t="shared" si="112"/>
        <v>1.972008812557402</v>
      </c>
      <c r="AQ197" s="32">
        <f t="shared" si="113"/>
        <v>15.065037616285894</v>
      </c>
      <c r="AR197" s="32">
        <f t="shared" si="114"/>
        <v>40.931608055969761</v>
      </c>
      <c r="AS197" s="32">
        <f t="shared" ref="AS197:AS260" si="133">AR197*(0.75+2*10^-5*E$2)</f>
        <v>30.728176799777621</v>
      </c>
      <c r="AT197" s="32">
        <f t="shared" ref="AT197:AT260" si="134">IF(G197="","",(1-AO$1)*G197)</f>
        <v>20.490624</v>
      </c>
      <c r="AU197" s="32">
        <f t="shared" ref="AU197:AU260" si="135">IF(G197="","",IF(G197/AS197&lt;0.3,0.3,IF(G197/AS197&gt;1,1,G197/AS197)))</f>
        <v>0.86601948997483591</v>
      </c>
      <c r="AV197" s="32">
        <f t="shared" ref="AV197:AV260" si="136">IF(G197="","",1.35*AU197-0.35)</f>
        <v>0.81912631146602866</v>
      </c>
      <c r="AW197" s="32">
        <f t="shared" ref="AW197:AW260" si="137">IF(H197="","",0.6108*EXP((17.27*H197)/(H197+237.3)))</f>
        <v>3.6349506006680565</v>
      </c>
      <c r="AX197" s="32">
        <f t="shared" ref="AX197:AX260" si="138">IF(I197="","",0.6108*EXP((17.27*I197)/(I197+237.3)))</f>
        <v>2.4415438714941016</v>
      </c>
      <c r="AY197" s="32">
        <f t="shared" ref="AY197:AY260" si="139">IF(X197="","",0.6108*EXP((17.27*X197)/(X197+237.3)))</f>
        <v>2.3470593178226862</v>
      </c>
      <c r="AZ197" s="32">
        <f t="shared" si="115"/>
        <v>0.12551838626743633</v>
      </c>
      <c r="BA197" s="32">
        <f t="shared" ref="BA197:BA260" si="140">IF(AV197="","",IF(AZ197="","",IF(H197="","",IF(I197="","",-AV197*AZ197*BA$1*(((H197+273.15)^4+(I197+273.15)^4)/2)))))</f>
        <v>-3.9315978388576394</v>
      </c>
      <c r="BB197" s="32">
        <f t="shared" si="116"/>
        <v>16.559026161142363</v>
      </c>
      <c r="BC197" s="32">
        <f t="shared" ref="BC197:BC260" si="141">IF(H197="","",IF(I197="","",(H197+I197)/2))</f>
        <v>24.015000000000001</v>
      </c>
      <c r="BD197" s="32">
        <v>0</v>
      </c>
      <c r="BE197" s="32">
        <f t="shared" si="117"/>
        <v>3.0382472360810793</v>
      </c>
      <c r="BF197" s="32">
        <f t="shared" si="118"/>
        <v>0.6911879182583931</v>
      </c>
      <c r="BG197" s="32">
        <f t="shared" si="119"/>
        <v>0.17927801439390528</v>
      </c>
      <c r="BH197" s="32">
        <f t="shared" ref="BH197:BH260" si="142">IF($AY197="","",IF($G197="","",0.408*$BG197*($BB197-$BD197)/($BG197+$BA$2*(1+0.34*$J197))))</f>
        <v>4.0006868956207517</v>
      </c>
      <c r="BI197" s="32">
        <f t="shared" ref="BI197:BI260" si="143">IF($BC197="","",IF($BF197="","",IF($BG197="","",IF($J197="","",($BA$2*900/($BC197+273)*$J197*$BF197)/($BG197+$BA$2*(1+0.34*$J197))))))</f>
        <v>1.1467681879051512</v>
      </c>
      <c r="BJ197" s="32">
        <f t="shared" ref="BJ197:BJ260" si="144">IF(BH197="","",IF(BI197="","",BH197+BI197))</f>
        <v>5.1474550835259034</v>
      </c>
      <c r="BK197" s="457">
        <f t="shared" ref="BK197:BK260" si="145">IF(OR(H197="",I197=""),"",0.0023*AR197*(H197-I197)^0.5*((H197+I197)/2+17.8)/2.45)</f>
        <v>4.1372277006907634</v>
      </c>
      <c r="BL197" s="2"/>
    </row>
    <row r="198" spans="1:64" ht="15">
      <c r="A198" s="119"/>
      <c r="B198" s="480">
        <f>Input!B215</f>
        <v>38180</v>
      </c>
      <c r="C198" s="481">
        <v>1</v>
      </c>
      <c r="D198" s="481">
        <f t="shared" ref="D198:D261" si="146">MONTH(B198)</f>
        <v>7</v>
      </c>
      <c r="E198" s="481">
        <f t="shared" ref="E198:E261" si="147">DAY(B198)</f>
        <v>12</v>
      </c>
      <c r="F198" s="481">
        <f t="shared" si="121"/>
        <v>194</v>
      </c>
      <c r="G198" s="431">
        <v>25.315200000000001</v>
      </c>
      <c r="H198" s="455">
        <v>26.48</v>
      </c>
      <c r="I198" s="455">
        <v>18.8</v>
      </c>
      <c r="J198" s="455">
        <v>1.7</v>
      </c>
      <c r="K198" s="485"/>
      <c r="L198" s="433">
        <v>100</v>
      </c>
      <c r="M198" s="455">
        <v>80</v>
      </c>
      <c r="N198" s="484">
        <f>Weather!M199</f>
        <v>0</v>
      </c>
      <c r="O198" s="481" t="str">
        <f t="shared" ref="O198:O261" si="148">IF(AND(N198&lt;&gt;"",P198&lt;&gt;"",N198&gt;(P198*2)),1,"")</f>
        <v/>
      </c>
      <c r="P198" s="4">
        <f t="shared" si="120"/>
        <v>4.4444365747997825</v>
      </c>
      <c r="Q198" s="169">
        <f t="shared" si="122"/>
        <v>3.458006819720282</v>
      </c>
      <c r="R198" s="169">
        <f t="shared" si="123"/>
        <v>2.1701248415136294</v>
      </c>
      <c r="S198" s="169">
        <f t="shared" si="124"/>
        <v>2.7664054557762259</v>
      </c>
      <c r="T198" s="169">
        <f t="shared" si="125"/>
        <v>2.1701248415136294</v>
      </c>
      <c r="U198" s="169">
        <f t="shared" si="126"/>
        <v>2.4682651486449276</v>
      </c>
      <c r="V198" s="169">
        <f t="shared" si="127"/>
        <v>8.0862839637014294E-2</v>
      </c>
      <c r="W198" s="439">
        <f t="shared" si="128"/>
        <v>20.876918781398707</v>
      </c>
      <c r="X198" s="439">
        <f t="shared" si="129"/>
        <v>20.876918781398707</v>
      </c>
      <c r="Y198" s="169"/>
      <c r="Z198" s="119">
        <f t="shared" si="130"/>
        <v>3</v>
      </c>
      <c r="AA198" s="4">
        <f t="shared" si="131"/>
        <v>1.0261342273931477</v>
      </c>
      <c r="AB198" s="466"/>
      <c r="AC198" s="466"/>
      <c r="AD198" s="466"/>
      <c r="AE198" s="466"/>
      <c r="AF198" s="466"/>
      <c r="AG198" s="466"/>
      <c r="AH198" s="466"/>
      <c r="AI198" s="466"/>
      <c r="AJ198" s="466"/>
      <c r="AK198" s="466"/>
      <c r="AL198" s="466"/>
      <c r="AM198" s="462">
        <f t="shared" si="132"/>
        <v>194</v>
      </c>
      <c r="AN198" s="32">
        <f t="shared" ref="AN198:AN261" si="149">1+0.033*COS(2*PI()/365*AM198)</f>
        <v>0.96764451770806614</v>
      </c>
      <c r="AO198" s="32">
        <f t="shared" ref="AO198:AO261" si="150">0.409*SIN(2*PI()/365*AM198-1.39)</f>
        <v>0.38001170536752521</v>
      </c>
      <c r="AP198" s="32">
        <f t="shared" ref="AP198:AP261" si="151">ACOS(-TAN(AS$2)*TAN(AO198))</f>
        <v>1.9688940782328888</v>
      </c>
      <c r="AQ198" s="32">
        <f t="shared" ref="AQ198:AQ261" si="152">AP198*24/PI()</f>
        <v>15.041242798806007</v>
      </c>
      <c r="AR198" s="32">
        <f t="shared" ref="AR198:AR261" si="153">(24*60/PI())*AS$1*AN198*(AP198*SIN(AS$2)*SIN(AO198)+COS(AS$2)*COS(AO198)*SIN(AP198))</f>
        <v>40.840922381598958</v>
      </c>
      <c r="AS198" s="32">
        <f t="shared" si="133"/>
        <v>30.660097250313971</v>
      </c>
      <c r="AT198" s="32">
        <f t="shared" si="134"/>
        <v>19.492704</v>
      </c>
      <c r="AU198" s="32">
        <f t="shared" si="135"/>
        <v>0.82567252782411715</v>
      </c>
      <c r="AV198" s="32">
        <f t="shared" si="136"/>
        <v>0.76465791256255822</v>
      </c>
      <c r="AW198" s="32">
        <f t="shared" si="137"/>
        <v>3.458006819720282</v>
      </c>
      <c r="AX198" s="32">
        <f t="shared" si="138"/>
        <v>2.1701248415136294</v>
      </c>
      <c r="AY198" s="32">
        <f t="shared" si="139"/>
        <v>2.4682651486449272</v>
      </c>
      <c r="AZ198" s="32">
        <f t="shared" ref="AZ198:AZ261" si="154">IF(AY198="","",0.34-0.14*SQRT(AY198))</f>
        <v>0.1200500126996126</v>
      </c>
      <c r="BA198" s="32">
        <f t="shared" si="140"/>
        <v>-3.4466595361854515</v>
      </c>
      <c r="BB198" s="32">
        <f t="shared" ref="BB198:BB261" si="155">IF(AT198="","",IF(BA198="","",AT198+BA198))</f>
        <v>16.04604446381455</v>
      </c>
      <c r="BC198" s="32">
        <f t="shared" si="141"/>
        <v>22.64</v>
      </c>
      <c r="BD198" s="32">
        <v>0</v>
      </c>
      <c r="BE198" s="32">
        <f t="shared" ref="BE198:BE261" si="156">IF(AW198="","",IF(AX198="","",(AW198+AX198)/2))</f>
        <v>2.8140658306169559</v>
      </c>
      <c r="BF198" s="32">
        <f t="shared" ref="BF198:BF261" si="157">IF(BE198="","",IF(AY198="","",BE198-AY198))</f>
        <v>0.34580068197202873</v>
      </c>
      <c r="BG198" s="32">
        <f t="shared" ref="BG198:BG261" si="158">IF(BE198="","",IF(BC198="","",4099*0.6108*EXP((17.27*BC198)/(BC198+237.3))/(BC198+237.3)^2))</f>
        <v>0.16675602235465686</v>
      </c>
      <c r="BH198" s="32">
        <f t="shared" si="142"/>
        <v>4.0039443220921553</v>
      </c>
      <c r="BI198" s="32">
        <f t="shared" si="143"/>
        <v>0.4404922527076276</v>
      </c>
      <c r="BJ198" s="32">
        <f t="shared" si="144"/>
        <v>4.4444365747997825</v>
      </c>
      <c r="BK198" s="457">
        <f t="shared" si="145"/>
        <v>4.2968386963405072</v>
      </c>
      <c r="BL198" s="2"/>
    </row>
    <row r="199" spans="1:64" ht="15">
      <c r="A199" s="119"/>
      <c r="B199" s="480">
        <f>Input!B216</f>
        <v>38181</v>
      </c>
      <c r="C199" s="481">
        <v>1</v>
      </c>
      <c r="D199" s="481">
        <f t="shared" si="146"/>
        <v>7</v>
      </c>
      <c r="E199" s="481">
        <f t="shared" si="147"/>
        <v>13</v>
      </c>
      <c r="F199" s="481">
        <f t="shared" si="121"/>
        <v>195</v>
      </c>
      <c r="G199" s="431">
        <v>24.796800000000001</v>
      </c>
      <c r="H199" s="455">
        <v>24.96</v>
      </c>
      <c r="I199" s="455">
        <v>18.2</v>
      </c>
      <c r="J199" s="455">
        <v>1.83</v>
      </c>
      <c r="K199" s="485"/>
      <c r="L199" s="433">
        <v>100</v>
      </c>
      <c r="M199" s="455">
        <v>83</v>
      </c>
      <c r="N199" s="484">
        <f>Weather!M200</f>
        <v>0</v>
      </c>
      <c r="O199" s="481" t="str">
        <f t="shared" si="148"/>
        <v/>
      </c>
      <c r="P199" s="4">
        <f t="shared" si="120"/>
        <v>4.154374970844211</v>
      </c>
      <c r="Q199" s="169">
        <f t="shared" si="122"/>
        <v>3.1602379654349582</v>
      </c>
      <c r="R199" s="169">
        <f t="shared" si="123"/>
        <v>2.0900878010879693</v>
      </c>
      <c r="S199" s="169">
        <f t="shared" si="124"/>
        <v>2.6229975113110151</v>
      </c>
      <c r="T199" s="169">
        <f t="shared" si="125"/>
        <v>2.0900878010879693</v>
      </c>
      <c r="U199" s="169">
        <f t="shared" si="126"/>
        <v>2.3565426561994922</v>
      </c>
      <c r="V199" s="169">
        <f t="shared" si="127"/>
        <v>7.8180733894715332E-2</v>
      </c>
      <c r="W199" s="439">
        <f t="shared" si="128"/>
        <v>20.125732706368733</v>
      </c>
      <c r="X199" s="439">
        <f t="shared" si="129"/>
        <v>20.125732706368733</v>
      </c>
      <c r="Y199" s="169"/>
      <c r="Z199" s="119">
        <f t="shared" si="130"/>
        <v>3</v>
      </c>
      <c r="AA199" s="4">
        <f t="shared" si="131"/>
        <v>1.0261342273931477</v>
      </c>
      <c r="AB199" s="466"/>
      <c r="AC199" s="466"/>
      <c r="AD199" s="466"/>
      <c r="AE199" s="466"/>
      <c r="AF199" s="466"/>
      <c r="AG199" s="466"/>
      <c r="AH199" s="466"/>
      <c r="AI199" s="466"/>
      <c r="AJ199" s="466"/>
      <c r="AK199" s="466"/>
      <c r="AL199" s="466"/>
      <c r="AM199" s="462">
        <f t="shared" si="132"/>
        <v>195</v>
      </c>
      <c r="AN199" s="32">
        <f t="shared" si="149"/>
        <v>0.96776102973835298</v>
      </c>
      <c r="AO199" s="32">
        <f t="shared" si="150"/>
        <v>0.37735213614377028</v>
      </c>
      <c r="AP199" s="32">
        <f t="shared" si="151"/>
        <v>1.9656527267625852</v>
      </c>
      <c r="AQ199" s="32">
        <f t="shared" si="152"/>
        <v>15.016480697583752</v>
      </c>
      <c r="AR199" s="32">
        <f t="shared" si="153"/>
        <v>40.746357301881098</v>
      </c>
      <c r="AS199" s="32">
        <f t="shared" si="133"/>
        <v>30.589105353668181</v>
      </c>
      <c r="AT199" s="32">
        <f t="shared" si="134"/>
        <v>19.093536</v>
      </c>
      <c r="AU199" s="32">
        <f t="shared" si="135"/>
        <v>0.8106415572898219</v>
      </c>
      <c r="AV199" s="32">
        <f t="shared" si="136"/>
        <v>0.74436610234125966</v>
      </c>
      <c r="AW199" s="32">
        <f t="shared" si="137"/>
        <v>3.1602379654349582</v>
      </c>
      <c r="AX199" s="32">
        <f t="shared" si="138"/>
        <v>2.0900878010879693</v>
      </c>
      <c r="AY199" s="32">
        <f t="shared" si="139"/>
        <v>2.3565426561994922</v>
      </c>
      <c r="AZ199" s="32">
        <f t="shared" si="154"/>
        <v>0.12508551453773514</v>
      </c>
      <c r="BA199" s="32">
        <f t="shared" si="140"/>
        <v>-3.4453205980650456</v>
      </c>
      <c r="BB199" s="32">
        <f t="shared" si="155"/>
        <v>15.648215401934955</v>
      </c>
      <c r="BC199" s="32">
        <f t="shared" si="141"/>
        <v>21.58</v>
      </c>
      <c r="BD199" s="32">
        <v>0</v>
      </c>
      <c r="BE199" s="32">
        <f t="shared" si="156"/>
        <v>2.6251628832614635</v>
      </c>
      <c r="BF199" s="32">
        <f t="shared" si="157"/>
        <v>0.26862022706197131</v>
      </c>
      <c r="BG199" s="32">
        <f t="shared" si="158"/>
        <v>0.15761416125645844</v>
      </c>
      <c r="BH199" s="32">
        <f t="shared" si="142"/>
        <v>3.7761391370088511</v>
      </c>
      <c r="BI199" s="32">
        <f t="shared" si="143"/>
        <v>0.3782358338353598</v>
      </c>
      <c r="BJ199" s="32">
        <f t="shared" si="144"/>
        <v>4.154374970844211</v>
      </c>
      <c r="BK199" s="457">
        <f t="shared" si="145"/>
        <v>3.916513253990817</v>
      </c>
      <c r="BL199" s="2"/>
    </row>
    <row r="200" spans="1:64" ht="15">
      <c r="A200" s="119"/>
      <c r="B200" s="480">
        <f>Input!B217</f>
        <v>38182</v>
      </c>
      <c r="C200" s="481">
        <v>1</v>
      </c>
      <c r="D200" s="481">
        <f t="shared" si="146"/>
        <v>7</v>
      </c>
      <c r="E200" s="481">
        <f t="shared" si="147"/>
        <v>14</v>
      </c>
      <c r="F200" s="481">
        <f t="shared" si="121"/>
        <v>196</v>
      </c>
      <c r="G200" s="431">
        <v>25.315200000000001</v>
      </c>
      <c r="H200" s="455">
        <v>26.34</v>
      </c>
      <c r="I200" s="455">
        <v>18.600000000000001</v>
      </c>
      <c r="J200" s="455">
        <v>2.39</v>
      </c>
      <c r="K200" s="485"/>
      <c r="L200" s="433">
        <v>94</v>
      </c>
      <c r="M200" s="455">
        <v>82</v>
      </c>
      <c r="N200" s="484">
        <f>Weather!M201</f>
        <v>0</v>
      </c>
      <c r="O200" s="481" t="str">
        <f t="shared" si="148"/>
        <v/>
      </c>
      <c r="P200" s="4">
        <f t="shared" si="120"/>
        <v>4.3856695518355373</v>
      </c>
      <c r="Q200" s="169">
        <f t="shared" si="122"/>
        <v>3.4295949044008585</v>
      </c>
      <c r="R200" s="169">
        <f t="shared" si="123"/>
        <v>2.143152914469288</v>
      </c>
      <c r="S200" s="169">
        <f t="shared" si="124"/>
        <v>2.8122678216087036</v>
      </c>
      <c r="T200" s="169">
        <f t="shared" si="125"/>
        <v>2.0145637396011304</v>
      </c>
      <c r="U200" s="169">
        <f t="shared" si="126"/>
        <v>2.4134157806049172</v>
      </c>
      <c r="V200" s="169">
        <f t="shared" si="127"/>
        <v>7.9561597337446832E-2</v>
      </c>
      <c r="W200" s="439">
        <f t="shared" si="128"/>
        <v>20.511928873851886</v>
      </c>
      <c r="X200" s="439">
        <f t="shared" si="129"/>
        <v>20.511928873851886</v>
      </c>
      <c r="Y200" s="169"/>
      <c r="Z200" s="119">
        <f t="shared" si="130"/>
        <v>3</v>
      </c>
      <c r="AA200" s="4">
        <f t="shared" si="131"/>
        <v>1.0261342273931477</v>
      </c>
      <c r="AB200" s="466"/>
      <c r="AC200" s="466"/>
      <c r="AD200" s="466"/>
      <c r="AE200" s="466"/>
      <c r="AF200" s="466"/>
      <c r="AG200" s="466"/>
      <c r="AH200" s="466"/>
      <c r="AI200" s="466"/>
      <c r="AJ200" s="466"/>
      <c r="AK200" s="466"/>
      <c r="AL200" s="466"/>
      <c r="AM200" s="462">
        <f t="shared" si="132"/>
        <v>196</v>
      </c>
      <c r="AN200" s="32">
        <f t="shared" si="149"/>
        <v>0.96788709487130231</v>
      </c>
      <c r="AO200" s="32">
        <f t="shared" si="150"/>
        <v>0.37458074933814994</v>
      </c>
      <c r="AP200" s="32">
        <f t="shared" si="151"/>
        <v>1.9622869957513667</v>
      </c>
      <c r="AQ200" s="32">
        <f t="shared" si="152"/>
        <v>14.990768406661202</v>
      </c>
      <c r="AR200" s="32">
        <f t="shared" si="153"/>
        <v>40.647929216929853</v>
      </c>
      <c r="AS200" s="32">
        <f t="shared" si="133"/>
        <v>30.515213421733581</v>
      </c>
      <c r="AT200" s="32">
        <f t="shared" si="134"/>
        <v>19.492704</v>
      </c>
      <c r="AU200" s="32">
        <f t="shared" si="135"/>
        <v>0.82959275591924841</v>
      </c>
      <c r="AV200" s="32">
        <f t="shared" si="136"/>
        <v>0.76995022049098549</v>
      </c>
      <c r="AW200" s="32">
        <f t="shared" si="137"/>
        <v>3.4295949044008585</v>
      </c>
      <c r="AX200" s="32">
        <f t="shared" si="138"/>
        <v>2.143152914469288</v>
      </c>
      <c r="AY200" s="32">
        <f t="shared" si="139"/>
        <v>2.4134157806049172</v>
      </c>
      <c r="AZ200" s="32">
        <f t="shared" si="154"/>
        <v>0.12250758794878297</v>
      </c>
      <c r="BA200" s="32">
        <f t="shared" si="140"/>
        <v>-3.5334855620328027</v>
      </c>
      <c r="BB200" s="32">
        <f t="shared" si="155"/>
        <v>15.959218437967197</v>
      </c>
      <c r="BC200" s="32">
        <f t="shared" si="141"/>
        <v>22.47</v>
      </c>
      <c r="BD200" s="32">
        <v>0</v>
      </c>
      <c r="BE200" s="32">
        <f t="shared" si="156"/>
        <v>2.7863739094350732</v>
      </c>
      <c r="BF200" s="32">
        <f t="shared" si="157"/>
        <v>0.372958128830156</v>
      </c>
      <c r="BG200" s="32">
        <f t="shared" si="158"/>
        <v>0.16526044185987457</v>
      </c>
      <c r="BH200" s="32">
        <f t="shared" si="142"/>
        <v>3.7505603492066952</v>
      </c>
      <c r="BI200" s="32">
        <f t="shared" si="143"/>
        <v>0.6351092026288423</v>
      </c>
      <c r="BJ200" s="32">
        <f t="shared" si="144"/>
        <v>4.3856695518355373</v>
      </c>
      <c r="BK200" s="457">
        <f t="shared" si="145"/>
        <v>4.2751591552065467</v>
      </c>
      <c r="BL200" s="2"/>
    </row>
    <row r="201" spans="1:64" ht="15">
      <c r="A201" s="119"/>
      <c r="B201" s="480">
        <f>Input!B218</f>
        <v>38183</v>
      </c>
      <c r="C201" s="481">
        <v>1</v>
      </c>
      <c r="D201" s="481">
        <f t="shared" si="146"/>
        <v>7</v>
      </c>
      <c r="E201" s="481">
        <f t="shared" si="147"/>
        <v>15</v>
      </c>
      <c r="F201" s="481">
        <f t="shared" si="121"/>
        <v>197</v>
      </c>
      <c r="G201" s="431">
        <v>22.896000000000001</v>
      </c>
      <c r="H201" s="455">
        <v>25.08</v>
      </c>
      <c r="I201" s="455">
        <v>18.2</v>
      </c>
      <c r="J201" s="455">
        <v>2.75</v>
      </c>
      <c r="K201" s="485"/>
      <c r="L201" s="433">
        <v>76</v>
      </c>
      <c r="M201" s="455">
        <v>77</v>
      </c>
      <c r="N201" s="484">
        <f>Weather!M202</f>
        <v>0</v>
      </c>
      <c r="O201" s="481" t="str">
        <f t="shared" si="148"/>
        <v/>
      </c>
      <c r="P201" s="4">
        <f t="shared" ref="P201:P264" si="159">BJ201</f>
        <v>4.3782405218811054</v>
      </c>
      <c r="Q201" s="169">
        <f t="shared" si="122"/>
        <v>3.1829042921524269</v>
      </c>
      <c r="R201" s="169">
        <f t="shared" si="123"/>
        <v>2.0900878010879693</v>
      </c>
      <c r="S201" s="169">
        <f t="shared" si="124"/>
        <v>2.4508363049573689</v>
      </c>
      <c r="T201" s="169">
        <f t="shared" si="125"/>
        <v>1.5884667288268568</v>
      </c>
      <c r="U201" s="169">
        <f t="shared" si="126"/>
        <v>2.0196515168921128</v>
      </c>
      <c r="V201" s="169">
        <f t="shared" si="127"/>
        <v>6.9247868313727021E-2</v>
      </c>
      <c r="W201" s="439">
        <f t="shared" si="128"/>
        <v>17.655096981702432</v>
      </c>
      <c r="X201" s="439">
        <f t="shared" si="129"/>
        <v>17.655096981702432</v>
      </c>
      <c r="Y201" s="169"/>
      <c r="Z201" s="119">
        <f t="shared" si="130"/>
        <v>3</v>
      </c>
      <c r="AA201" s="4">
        <f t="shared" si="131"/>
        <v>1.0261342273931477</v>
      </c>
      <c r="AB201" s="466"/>
      <c r="AC201" s="466"/>
      <c r="AD201" s="466"/>
      <c r="AE201" s="466"/>
      <c r="AF201" s="466"/>
      <c r="AG201" s="466"/>
      <c r="AH201" s="466"/>
      <c r="AI201" s="466"/>
      <c r="AJ201" s="466"/>
      <c r="AK201" s="466"/>
      <c r="AL201" s="466"/>
      <c r="AM201" s="462">
        <f t="shared" si="132"/>
        <v>197</v>
      </c>
      <c r="AN201" s="32">
        <f t="shared" si="149"/>
        <v>0.96802267575109457</v>
      </c>
      <c r="AO201" s="32">
        <f t="shared" si="150"/>
        <v>0.37169836617238611</v>
      </c>
      <c r="AP201" s="32">
        <f t="shared" si="151"/>
        <v>1.9587991723536484</v>
      </c>
      <c r="AQ201" s="32">
        <f t="shared" si="152"/>
        <v>14.964123398611036</v>
      </c>
      <c r="AR201" s="32">
        <f t="shared" si="153"/>
        <v>40.545655127729688</v>
      </c>
      <c r="AS201" s="32">
        <f t="shared" si="133"/>
        <v>30.438434217489235</v>
      </c>
      <c r="AT201" s="32">
        <f t="shared" si="134"/>
        <v>17.629920000000002</v>
      </c>
      <c r="AU201" s="32">
        <f t="shared" si="135"/>
        <v>0.75220689199723945</v>
      </c>
      <c r="AV201" s="32">
        <f t="shared" si="136"/>
        <v>0.66547930419627332</v>
      </c>
      <c r="AW201" s="32">
        <f t="shared" si="137"/>
        <v>3.1829042921524269</v>
      </c>
      <c r="AX201" s="32">
        <f t="shared" si="138"/>
        <v>2.0900878010879693</v>
      </c>
      <c r="AY201" s="32">
        <f t="shared" si="139"/>
        <v>2.0196515168921128</v>
      </c>
      <c r="AZ201" s="32">
        <f t="shared" si="154"/>
        <v>0.14103977852071686</v>
      </c>
      <c r="BA201" s="32">
        <f t="shared" si="140"/>
        <v>-3.4759853563161895</v>
      </c>
      <c r="BB201" s="32">
        <f t="shared" si="155"/>
        <v>14.153934643683812</v>
      </c>
      <c r="BC201" s="32">
        <f t="shared" si="141"/>
        <v>21.64</v>
      </c>
      <c r="BD201" s="32">
        <v>0</v>
      </c>
      <c r="BE201" s="32">
        <f t="shared" si="156"/>
        <v>2.6364960466201981</v>
      </c>
      <c r="BF201" s="32">
        <f t="shared" si="157"/>
        <v>0.61684452972808534</v>
      </c>
      <c r="BG201" s="32">
        <f t="shared" si="158"/>
        <v>0.15812006805066162</v>
      </c>
      <c r="BH201" s="32">
        <f t="shared" si="142"/>
        <v>3.1707117661069049</v>
      </c>
      <c r="BI201" s="32">
        <f t="shared" si="143"/>
        <v>1.2075287557742</v>
      </c>
      <c r="BJ201" s="32">
        <f t="shared" si="144"/>
        <v>4.3782405218811054</v>
      </c>
      <c r="BK201" s="457">
        <f t="shared" si="145"/>
        <v>3.9376507983392424</v>
      </c>
      <c r="BL201" s="2"/>
    </row>
    <row r="202" spans="1:64" ht="15">
      <c r="A202" s="119"/>
      <c r="B202" s="480">
        <f>Input!B219</f>
        <v>38184</v>
      </c>
      <c r="C202" s="481">
        <v>1</v>
      </c>
      <c r="D202" s="481">
        <f t="shared" si="146"/>
        <v>7</v>
      </c>
      <c r="E202" s="481">
        <f t="shared" si="147"/>
        <v>16</v>
      </c>
      <c r="F202" s="481">
        <f t="shared" si="121"/>
        <v>198</v>
      </c>
      <c r="G202" s="431">
        <v>26.352</v>
      </c>
      <c r="H202" s="455">
        <v>23.95</v>
      </c>
      <c r="I202" s="455">
        <v>17.5</v>
      </c>
      <c r="J202" s="455">
        <v>2.0299999999999998</v>
      </c>
      <c r="K202" s="485"/>
      <c r="L202" s="433">
        <v>85</v>
      </c>
      <c r="M202" s="455">
        <v>71</v>
      </c>
      <c r="N202" s="484">
        <f>Weather!M203</f>
        <v>0</v>
      </c>
      <c r="O202" s="481" t="str">
        <f t="shared" si="148"/>
        <v/>
      </c>
      <c r="P202" s="4">
        <f t="shared" si="159"/>
        <v>4.6146636278569044</v>
      </c>
      <c r="Q202" s="169">
        <f t="shared" si="122"/>
        <v>2.9749741414014519</v>
      </c>
      <c r="R202" s="169">
        <f t="shared" si="123"/>
        <v>1.9999869748999506</v>
      </c>
      <c r="S202" s="169">
        <f t="shared" si="124"/>
        <v>2.1122316403950308</v>
      </c>
      <c r="T202" s="169">
        <f t="shared" si="125"/>
        <v>1.6999889286649579</v>
      </c>
      <c r="U202" s="169">
        <f t="shared" si="126"/>
        <v>1.9061102845299942</v>
      </c>
      <c r="V202" s="169">
        <f t="shared" si="127"/>
        <v>6.5897531613424445E-2</v>
      </c>
      <c r="W202" s="439">
        <f t="shared" si="128"/>
        <v>16.740651888946829</v>
      </c>
      <c r="X202" s="439">
        <f t="shared" si="129"/>
        <v>16.740651888946829</v>
      </c>
      <c r="Y202" s="169"/>
      <c r="Z202" s="119">
        <f t="shared" si="130"/>
        <v>3</v>
      </c>
      <c r="AA202" s="4">
        <f t="shared" si="131"/>
        <v>1.0261342273931477</v>
      </c>
      <c r="AB202" s="466"/>
      <c r="AC202" s="466"/>
      <c r="AD202" s="466"/>
      <c r="AE202" s="466"/>
      <c r="AF202" s="466"/>
      <c r="AG202" s="466"/>
      <c r="AH202" s="466"/>
      <c r="AI202" s="466"/>
      <c r="AJ202" s="466"/>
      <c r="AK202" s="466"/>
      <c r="AL202" s="466"/>
      <c r="AM202" s="462">
        <f t="shared" si="132"/>
        <v>198</v>
      </c>
      <c r="AN202" s="32">
        <f t="shared" si="149"/>
        <v>0.96816773220218899</v>
      </c>
      <c r="AO202" s="32">
        <f t="shared" si="150"/>
        <v>0.36870584075881746</v>
      </c>
      <c r="AP202" s="32">
        <f t="shared" si="151"/>
        <v>1.9551915882438362</v>
      </c>
      <c r="AQ202" s="32">
        <f t="shared" si="152"/>
        <v>14.936563486113611</v>
      </c>
      <c r="AR202" s="32">
        <f t="shared" si="153"/>
        <v>40.439552642419173</v>
      </c>
      <c r="AS202" s="32">
        <f t="shared" si="133"/>
        <v>30.358780959716924</v>
      </c>
      <c r="AT202" s="32">
        <f t="shared" si="134"/>
        <v>20.291040000000002</v>
      </c>
      <c r="AU202" s="32">
        <f t="shared" si="135"/>
        <v>0.86801904315481171</v>
      </c>
      <c r="AV202" s="32">
        <f t="shared" si="136"/>
        <v>0.82182570825899581</v>
      </c>
      <c r="AW202" s="32">
        <f t="shared" si="137"/>
        <v>2.9749741414014519</v>
      </c>
      <c r="AX202" s="32">
        <f t="shared" si="138"/>
        <v>1.9999869748999506</v>
      </c>
      <c r="AY202" s="32">
        <f t="shared" si="139"/>
        <v>1.906110284529994</v>
      </c>
      <c r="AZ202" s="32">
        <f t="shared" si="154"/>
        <v>0.14671326590583647</v>
      </c>
      <c r="BA202" s="32">
        <f t="shared" si="140"/>
        <v>-4.4097042292441628</v>
      </c>
      <c r="BB202" s="32">
        <f t="shared" si="155"/>
        <v>15.88133577075584</v>
      </c>
      <c r="BC202" s="32">
        <f t="shared" si="141"/>
        <v>20.725000000000001</v>
      </c>
      <c r="BD202" s="32">
        <v>0</v>
      </c>
      <c r="BE202" s="32">
        <f t="shared" si="156"/>
        <v>2.4874805581507013</v>
      </c>
      <c r="BF202" s="32">
        <f t="shared" si="157"/>
        <v>0.58137027362070737</v>
      </c>
      <c r="BG202" s="32">
        <f t="shared" si="158"/>
        <v>0.15055225742754733</v>
      </c>
      <c r="BH202" s="32">
        <f t="shared" si="142"/>
        <v>3.6953267464561086</v>
      </c>
      <c r="BI202" s="32">
        <f t="shared" si="143"/>
        <v>0.91933688140079595</v>
      </c>
      <c r="BJ202" s="32">
        <f t="shared" si="144"/>
        <v>4.6146636278569044</v>
      </c>
      <c r="BK202" s="457">
        <f t="shared" si="145"/>
        <v>3.7144164924151521</v>
      </c>
      <c r="BL202" s="2"/>
    </row>
    <row r="203" spans="1:64" ht="15">
      <c r="A203" s="119"/>
      <c r="B203" s="480">
        <f>Input!B220</f>
        <v>38185</v>
      </c>
      <c r="C203" s="481">
        <v>1</v>
      </c>
      <c r="D203" s="481">
        <f t="shared" si="146"/>
        <v>7</v>
      </c>
      <c r="E203" s="481">
        <f t="shared" si="147"/>
        <v>17</v>
      </c>
      <c r="F203" s="481">
        <f t="shared" si="121"/>
        <v>199</v>
      </c>
      <c r="G203" s="431">
        <v>27.475200000000001</v>
      </c>
      <c r="H203" s="455">
        <v>24.09</v>
      </c>
      <c r="I203" s="455">
        <v>14.5</v>
      </c>
      <c r="J203" s="455">
        <v>1.31</v>
      </c>
      <c r="K203" s="485"/>
      <c r="L203" s="433">
        <v>88</v>
      </c>
      <c r="M203" s="455">
        <v>79</v>
      </c>
      <c r="N203" s="484">
        <f>Weather!M204</f>
        <v>0</v>
      </c>
      <c r="O203" s="481" t="str">
        <f t="shared" si="148"/>
        <v/>
      </c>
      <c r="P203" s="4">
        <f t="shared" si="159"/>
        <v>4.4565907017106809</v>
      </c>
      <c r="Q203" s="169">
        <f t="shared" si="122"/>
        <v>3.0000746051789302</v>
      </c>
      <c r="R203" s="169">
        <f t="shared" si="123"/>
        <v>1.6512191555446767</v>
      </c>
      <c r="S203" s="169">
        <f t="shared" si="124"/>
        <v>2.370058938091355</v>
      </c>
      <c r="T203" s="169">
        <f t="shared" si="125"/>
        <v>1.4530728568793154</v>
      </c>
      <c r="U203" s="169">
        <f t="shared" si="126"/>
        <v>1.9115658974853353</v>
      </c>
      <c r="V203" s="169">
        <f t="shared" si="127"/>
        <v>6.6063025676027204E-2</v>
      </c>
      <c r="W203" s="439">
        <f t="shared" si="128"/>
        <v>16.785668009630761</v>
      </c>
      <c r="X203" s="439">
        <f t="shared" si="129"/>
        <v>16.785668009630761</v>
      </c>
      <c r="Y203" s="169"/>
      <c r="Z203" s="119">
        <f t="shared" si="130"/>
        <v>3</v>
      </c>
      <c r="AA203" s="4">
        <f t="shared" si="131"/>
        <v>1.0261342273931477</v>
      </c>
      <c r="AB203" s="466"/>
      <c r="AC203" s="466"/>
      <c r="AD203" s="466"/>
      <c r="AE203" s="466"/>
      <c r="AF203" s="466"/>
      <c r="AG203" s="466"/>
      <c r="AH203" s="466"/>
      <c r="AI203" s="466"/>
      <c r="AJ203" s="466"/>
      <c r="AK203" s="466"/>
      <c r="AL203" s="466"/>
      <c r="AM203" s="462">
        <f t="shared" si="132"/>
        <v>199</v>
      </c>
      <c r="AN203" s="32">
        <f t="shared" si="149"/>
        <v>0.96832222124122846</v>
      </c>
      <c r="AO203" s="32">
        <f t="shared" si="150"/>
        <v>0.36560405984730848</v>
      </c>
      <c r="AP203" s="32">
        <f t="shared" si="151"/>
        <v>1.9514666146309736</v>
      </c>
      <c r="AQ203" s="32">
        <f t="shared" si="152"/>
        <v>14.908106783871661</v>
      </c>
      <c r="AR203" s="32">
        <f t="shared" si="153"/>
        <v>40.329639983884618</v>
      </c>
      <c r="AS203" s="32">
        <f t="shared" si="133"/>
        <v>30.276267328701863</v>
      </c>
      <c r="AT203" s="32">
        <f t="shared" si="134"/>
        <v>21.155904</v>
      </c>
      <c r="AU203" s="32">
        <f t="shared" si="135"/>
        <v>0.90748306922080668</v>
      </c>
      <c r="AV203" s="32">
        <f t="shared" si="136"/>
        <v>0.87510214344808912</v>
      </c>
      <c r="AW203" s="32">
        <f t="shared" si="137"/>
        <v>3.0000746051789302</v>
      </c>
      <c r="AX203" s="32">
        <f t="shared" si="138"/>
        <v>1.6512191555446767</v>
      </c>
      <c r="AY203" s="32">
        <f t="shared" si="139"/>
        <v>1.9115658974853349</v>
      </c>
      <c r="AZ203" s="32">
        <f t="shared" si="154"/>
        <v>0.14643685373834059</v>
      </c>
      <c r="BA203" s="32">
        <f t="shared" si="140"/>
        <v>-4.6002561245265303</v>
      </c>
      <c r="BB203" s="32">
        <f t="shared" si="155"/>
        <v>16.555647875473468</v>
      </c>
      <c r="BC203" s="32">
        <f t="shared" si="141"/>
        <v>19.295000000000002</v>
      </c>
      <c r="BD203" s="32">
        <v>0</v>
      </c>
      <c r="BE203" s="32">
        <f t="shared" si="156"/>
        <v>2.3256468803618033</v>
      </c>
      <c r="BF203" s="32">
        <f t="shared" si="157"/>
        <v>0.41408098287646844</v>
      </c>
      <c r="BG203" s="32">
        <f t="shared" si="158"/>
        <v>0.13933908537107531</v>
      </c>
      <c r="BH203" s="32">
        <f t="shared" si="142"/>
        <v>3.9823062337437189</v>
      </c>
      <c r="BI203" s="32">
        <f t="shared" si="143"/>
        <v>0.47428446796696211</v>
      </c>
      <c r="BJ203" s="32">
        <f t="shared" si="144"/>
        <v>4.4565907017106809</v>
      </c>
      <c r="BK203" s="457">
        <f t="shared" si="145"/>
        <v>4.3492139845807785</v>
      </c>
      <c r="BL203" s="2"/>
    </row>
    <row r="204" spans="1:64" ht="15">
      <c r="A204" s="119"/>
      <c r="B204" s="480">
        <f>Input!B221</f>
        <v>38186</v>
      </c>
      <c r="C204" s="481">
        <v>1</v>
      </c>
      <c r="D204" s="481">
        <f t="shared" si="146"/>
        <v>7</v>
      </c>
      <c r="E204" s="481">
        <f t="shared" si="147"/>
        <v>18</v>
      </c>
      <c r="F204" s="481">
        <f t="shared" si="121"/>
        <v>200</v>
      </c>
      <c r="G204" s="431">
        <v>26.783999999999999</v>
      </c>
      <c r="H204" s="455">
        <v>25.56</v>
      </c>
      <c r="I204" s="455">
        <v>15.5</v>
      </c>
      <c r="J204" s="455">
        <v>1.62</v>
      </c>
      <c r="K204" s="485"/>
      <c r="L204" s="433">
        <v>94</v>
      </c>
      <c r="M204" s="455">
        <v>84</v>
      </c>
      <c r="N204" s="484">
        <f>Weather!M205</f>
        <v>0</v>
      </c>
      <c r="O204" s="481" t="str">
        <f t="shared" si="148"/>
        <v/>
      </c>
      <c r="P204" s="4">
        <f t="shared" si="159"/>
        <v>4.3856661721297474</v>
      </c>
      <c r="Q204" s="169">
        <f t="shared" si="122"/>
        <v>3.2749933013425738</v>
      </c>
      <c r="R204" s="169">
        <f t="shared" si="123"/>
        <v>1.761022898120093</v>
      </c>
      <c r="S204" s="169">
        <f t="shared" si="124"/>
        <v>2.750994373127762</v>
      </c>
      <c r="T204" s="169">
        <f t="shared" si="125"/>
        <v>1.6553615242328874</v>
      </c>
      <c r="U204" s="169">
        <f t="shared" si="126"/>
        <v>2.2031779486803247</v>
      </c>
      <c r="V204" s="169">
        <f t="shared" si="127"/>
        <v>7.4284108037690158E-2</v>
      </c>
      <c r="W204" s="439">
        <f t="shared" si="128"/>
        <v>19.042147801932277</v>
      </c>
      <c r="X204" s="439">
        <f t="shared" si="129"/>
        <v>19.042147801932277</v>
      </c>
      <c r="Y204" s="169"/>
      <c r="Z204" s="119">
        <f t="shared" si="130"/>
        <v>3</v>
      </c>
      <c r="AA204" s="4">
        <f t="shared" si="131"/>
        <v>1.0261342273931477</v>
      </c>
      <c r="AB204" s="466"/>
      <c r="AC204" s="466"/>
      <c r="AD204" s="466"/>
      <c r="AE204" s="466"/>
      <c r="AF204" s="466"/>
      <c r="AG204" s="466"/>
      <c r="AH204" s="466"/>
      <c r="AI204" s="466"/>
      <c r="AJ204" s="466"/>
      <c r="AK204" s="466"/>
      <c r="AL204" s="466"/>
      <c r="AM204" s="462">
        <f t="shared" si="132"/>
        <v>200</v>
      </c>
      <c r="AN204" s="32">
        <f t="shared" si="149"/>
        <v>0.96848609708977662</v>
      </c>
      <c r="AO204" s="32">
        <f t="shared" si="150"/>
        <v>0.36239394256248464</v>
      </c>
      <c r="AP204" s="32">
        <f t="shared" si="151"/>
        <v>1.9476266573362362</v>
      </c>
      <c r="AQ204" s="32">
        <f t="shared" si="152"/>
        <v>14.878771671005136</v>
      </c>
      <c r="AR204" s="32">
        <f t="shared" si="153"/>
        <v>40.21593599870765</v>
      </c>
      <c r="AS204" s="32">
        <f t="shared" si="133"/>
        <v>30.19090747294981</v>
      </c>
      <c r="AT204" s="32">
        <f t="shared" si="134"/>
        <v>20.62368</v>
      </c>
      <c r="AU204" s="32">
        <f t="shared" si="135"/>
        <v>0.88715451908816245</v>
      </c>
      <c r="AV204" s="32">
        <f t="shared" si="136"/>
        <v>0.84765860076901933</v>
      </c>
      <c r="AW204" s="32">
        <f t="shared" si="137"/>
        <v>3.2749933013425738</v>
      </c>
      <c r="AX204" s="32">
        <f t="shared" si="138"/>
        <v>1.761022898120093</v>
      </c>
      <c r="AY204" s="32">
        <f t="shared" si="139"/>
        <v>2.2031779486803247</v>
      </c>
      <c r="AZ204" s="32">
        <f t="shared" si="154"/>
        <v>0.13219651640519989</v>
      </c>
      <c r="BA204" s="32">
        <f t="shared" si="140"/>
        <v>-4.0916485107686507</v>
      </c>
      <c r="BB204" s="32">
        <f t="shared" si="155"/>
        <v>16.53203148923135</v>
      </c>
      <c r="BC204" s="32">
        <f t="shared" si="141"/>
        <v>20.53</v>
      </c>
      <c r="BD204" s="32">
        <v>0</v>
      </c>
      <c r="BE204" s="32">
        <f t="shared" si="156"/>
        <v>2.5180080997313334</v>
      </c>
      <c r="BF204" s="32">
        <f t="shared" si="157"/>
        <v>0.31483015105100876</v>
      </c>
      <c r="BG204" s="32">
        <f t="shared" si="158"/>
        <v>0.14897967860670122</v>
      </c>
      <c r="BH204" s="32">
        <f t="shared" si="142"/>
        <v>3.9709351122566705</v>
      </c>
      <c r="BI204" s="32">
        <f t="shared" si="143"/>
        <v>0.41473105987307735</v>
      </c>
      <c r="BJ204" s="32">
        <f t="shared" si="144"/>
        <v>4.3856661721297474</v>
      </c>
      <c r="BK204" s="457">
        <f t="shared" si="145"/>
        <v>4.5898420700089995</v>
      </c>
      <c r="BL204" s="2"/>
    </row>
    <row r="205" spans="1:64" ht="15">
      <c r="A205" s="119"/>
      <c r="B205" s="480">
        <f>Input!B222</f>
        <v>38187</v>
      </c>
      <c r="C205" s="481">
        <v>1</v>
      </c>
      <c r="D205" s="481">
        <f t="shared" si="146"/>
        <v>7</v>
      </c>
      <c r="E205" s="481">
        <f t="shared" si="147"/>
        <v>19</v>
      </c>
      <c r="F205" s="481">
        <f t="shared" si="121"/>
        <v>201</v>
      </c>
      <c r="G205" s="431">
        <v>27.216000000000001</v>
      </c>
      <c r="H205" s="455">
        <v>27.1</v>
      </c>
      <c r="I205" s="455">
        <v>16.899999999999999</v>
      </c>
      <c r="J205" s="455">
        <v>1.7</v>
      </c>
      <c r="K205" s="485"/>
      <c r="L205" s="433">
        <v>100</v>
      </c>
      <c r="M205" s="455">
        <v>85</v>
      </c>
      <c r="N205" s="484">
        <f>Weather!M206</f>
        <v>0</v>
      </c>
      <c r="O205" s="481" t="str">
        <f t="shared" si="148"/>
        <v/>
      </c>
      <c r="P205" s="4">
        <f t="shared" si="159"/>
        <v>4.5585086386905456</v>
      </c>
      <c r="Q205" s="169">
        <f t="shared" si="122"/>
        <v>3.5863105663510559</v>
      </c>
      <c r="R205" s="169">
        <f t="shared" si="123"/>
        <v>1.9254836024660269</v>
      </c>
      <c r="S205" s="169">
        <f t="shared" si="124"/>
        <v>3.0483639813983974</v>
      </c>
      <c r="T205" s="169">
        <f t="shared" si="125"/>
        <v>1.9254836024660269</v>
      </c>
      <c r="U205" s="169">
        <f t="shared" si="126"/>
        <v>2.4869237919322122</v>
      </c>
      <c r="V205" s="169">
        <f t="shared" si="127"/>
        <v>8.1298912994844416E-2</v>
      </c>
      <c r="W205" s="439">
        <f t="shared" si="128"/>
        <v>20.999465796395988</v>
      </c>
      <c r="X205" s="439">
        <f t="shared" si="129"/>
        <v>20.999465796395988</v>
      </c>
      <c r="Y205" s="169"/>
      <c r="Z205" s="119">
        <f t="shared" si="130"/>
        <v>3</v>
      </c>
      <c r="AA205" s="4">
        <f t="shared" si="131"/>
        <v>1.0261342273931477</v>
      </c>
      <c r="AB205" s="466"/>
      <c r="AC205" s="466"/>
      <c r="AD205" s="466"/>
      <c r="AE205" s="466"/>
      <c r="AF205" s="466"/>
      <c r="AG205" s="466"/>
      <c r="AH205" s="466"/>
      <c r="AI205" s="466"/>
      <c r="AJ205" s="466"/>
      <c r="AK205" s="466"/>
      <c r="AL205" s="466"/>
      <c r="AM205" s="462">
        <f t="shared" si="132"/>
        <v>201</v>
      </c>
      <c r="AN205" s="32">
        <f t="shared" si="149"/>
        <v>0.96865931118788273</v>
      </c>
      <c r="AO205" s="32">
        <f t="shared" si="150"/>
        <v>0.35907644013137774</v>
      </c>
      <c r="AP205" s="32">
        <f t="shared" si="151"/>
        <v>1.9436741519507554</v>
      </c>
      <c r="AQ205" s="32">
        <f t="shared" si="152"/>
        <v>14.8485767540597</v>
      </c>
      <c r="AR205" s="32">
        <f t="shared" si="153"/>
        <v>40.098460167501798</v>
      </c>
      <c r="AS205" s="32">
        <f t="shared" si="133"/>
        <v>30.102716016946953</v>
      </c>
      <c r="AT205" s="32">
        <f t="shared" si="134"/>
        <v>20.956320000000002</v>
      </c>
      <c r="AU205" s="32">
        <f t="shared" si="135"/>
        <v>0.90410446634377395</v>
      </c>
      <c r="AV205" s="32">
        <f t="shared" si="136"/>
        <v>0.87054102956409485</v>
      </c>
      <c r="AW205" s="32">
        <f t="shared" si="137"/>
        <v>3.5863105663510559</v>
      </c>
      <c r="AX205" s="32">
        <f t="shared" si="138"/>
        <v>1.9254836024660269</v>
      </c>
      <c r="AY205" s="32">
        <f t="shared" si="139"/>
        <v>2.4869237919322118</v>
      </c>
      <c r="AZ205" s="32">
        <f t="shared" si="154"/>
        <v>0.11922023117624353</v>
      </c>
      <c r="BA205" s="32">
        <f t="shared" si="140"/>
        <v>-3.8661953702077532</v>
      </c>
      <c r="BB205" s="32">
        <f t="shared" si="155"/>
        <v>17.09012462979225</v>
      </c>
      <c r="BC205" s="32">
        <f t="shared" si="141"/>
        <v>22</v>
      </c>
      <c r="BD205" s="32">
        <v>0</v>
      </c>
      <c r="BE205" s="32">
        <f t="shared" si="156"/>
        <v>2.7558970844085415</v>
      </c>
      <c r="BF205" s="32">
        <f t="shared" si="157"/>
        <v>0.26897329247632973</v>
      </c>
      <c r="BG205" s="32">
        <f t="shared" si="158"/>
        <v>0.1611844097880652</v>
      </c>
      <c r="BH205" s="32">
        <f t="shared" si="142"/>
        <v>4.2079754160128404</v>
      </c>
      <c r="BI205" s="32">
        <f t="shared" si="143"/>
        <v>0.35053322267770542</v>
      </c>
      <c r="BJ205" s="32">
        <f t="shared" si="144"/>
        <v>4.5585086386905456</v>
      </c>
      <c r="BK205" s="457">
        <f t="shared" si="145"/>
        <v>4.7848971269038083</v>
      </c>
      <c r="BL205" s="2"/>
    </row>
    <row r="206" spans="1:64" ht="15">
      <c r="A206" s="119"/>
      <c r="B206" s="480">
        <f>Input!B223</f>
        <v>38188</v>
      </c>
      <c r="C206" s="481">
        <v>1</v>
      </c>
      <c r="D206" s="481">
        <f t="shared" si="146"/>
        <v>7</v>
      </c>
      <c r="E206" s="481">
        <f t="shared" si="147"/>
        <v>20</v>
      </c>
      <c r="F206" s="481">
        <f t="shared" si="121"/>
        <v>202</v>
      </c>
      <c r="G206" s="431">
        <v>26.352</v>
      </c>
      <c r="H206" s="455">
        <v>27.61</v>
      </c>
      <c r="I206" s="455">
        <v>19.3</v>
      </c>
      <c r="J206" s="455">
        <v>1.63</v>
      </c>
      <c r="K206" s="485"/>
      <c r="L206" s="433">
        <v>100</v>
      </c>
      <c r="M206" s="455">
        <v>59</v>
      </c>
      <c r="N206" s="484">
        <f>Weather!M207</f>
        <v>0</v>
      </c>
      <c r="O206" s="481" t="str">
        <f t="shared" si="148"/>
        <v/>
      </c>
      <c r="P206" s="4">
        <f t="shared" si="159"/>
        <v>5.0131309788816969</v>
      </c>
      <c r="Q206" s="169">
        <f t="shared" si="122"/>
        <v>3.6949391594878636</v>
      </c>
      <c r="R206" s="169">
        <f t="shared" si="123"/>
        <v>2.238858124675362</v>
      </c>
      <c r="S206" s="169">
        <f t="shared" si="124"/>
        <v>2.1800141040978396</v>
      </c>
      <c r="T206" s="169">
        <f t="shared" si="125"/>
        <v>2.238858124675362</v>
      </c>
      <c r="U206" s="169">
        <f t="shared" si="126"/>
        <v>2.2094361143866008</v>
      </c>
      <c r="V206" s="169">
        <f t="shared" si="127"/>
        <v>7.4448351867358445E-2</v>
      </c>
      <c r="W206" s="439">
        <f t="shared" si="128"/>
        <v>19.087637014927928</v>
      </c>
      <c r="X206" s="439">
        <f t="shared" si="129"/>
        <v>19.087637014927928</v>
      </c>
      <c r="Y206" s="169"/>
      <c r="Z206" s="119">
        <f t="shared" si="130"/>
        <v>3</v>
      </c>
      <c r="AA206" s="4">
        <f t="shared" si="131"/>
        <v>1.0261342273931477</v>
      </c>
      <c r="AB206" s="466"/>
      <c r="AC206" s="466"/>
      <c r="AD206" s="466"/>
      <c r="AE206" s="466"/>
      <c r="AF206" s="466"/>
      <c r="AG206" s="466"/>
      <c r="AH206" s="466"/>
      <c r="AI206" s="466"/>
      <c r="AJ206" s="466"/>
      <c r="AK206" s="466"/>
      <c r="AL206" s="466"/>
      <c r="AM206" s="462">
        <f t="shared" si="132"/>
        <v>202</v>
      </c>
      <c r="AN206" s="32">
        <f t="shared" si="149"/>
        <v>0.96884181220847143</v>
      </c>
      <c r="AO206" s="32">
        <f t="shared" si="150"/>
        <v>0.35565253560155585</v>
      </c>
      <c r="AP206" s="32">
        <f t="shared" si="151"/>
        <v>1.9396115590899914</v>
      </c>
      <c r="AQ206" s="32">
        <f t="shared" si="152"/>
        <v>14.817540830752799</v>
      </c>
      <c r="AR206" s="32">
        <f t="shared" si="153"/>
        <v>39.97723261666296</v>
      </c>
      <c r="AS206" s="32">
        <f t="shared" si="133"/>
        <v>30.011708069981218</v>
      </c>
      <c r="AT206" s="32">
        <f t="shared" si="134"/>
        <v>20.291040000000002</v>
      </c>
      <c r="AU206" s="32">
        <f t="shared" si="135"/>
        <v>0.8780573214477656</v>
      </c>
      <c r="AV206" s="32">
        <f t="shared" si="136"/>
        <v>0.83537738395448369</v>
      </c>
      <c r="AW206" s="32">
        <f t="shared" si="137"/>
        <v>3.6949391594878636</v>
      </c>
      <c r="AX206" s="32">
        <f t="shared" si="138"/>
        <v>2.238858124675362</v>
      </c>
      <c r="AY206" s="32">
        <f t="shared" si="139"/>
        <v>2.2094361143866004</v>
      </c>
      <c r="AZ206" s="32">
        <f t="shared" si="154"/>
        <v>0.13190159096721243</v>
      </c>
      <c r="BA206" s="32">
        <f t="shared" si="140"/>
        <v>-4.1836348071786214</v>
      </c>
      <c r="BB206" s="32">
        <f t="shared" si="155"/>
        <v>16.107405192821382</v>
      </c>
      <c r="BC206" s="32">
        <f t="shared" si="141"/>
        <v>23.454999999999998</v>
      </c>
      <c r="BD206" s="32">
        <v>0</v>
      </c>
      <c r="BE206" s="32">
        <f t="shared" si="156"/>
        <v>2.9668986420816128</v>
      </c>
      <c r="BF206" s="32">
        <f t="shared" si="157"/>
        <v>0.75746252769501243</v>
      </c>
      <c r="BG206" s="32">
        <f t="shared" si="158"/>
        <v>0.17408569314011674</v>
      </c>
      <c r="BH206" s="32">
        <f t="shared" si="142"/>
        <v>4.1095215306808921</v>
      </c>
      <c r="BI206" s="32">
        <f t="shared" si="143"/>
        <v>0.90360944820080447</v>
      </c>
      <c r="BJ206" s="32">
        <f t="shared" si="144"/>
        <v>5.0131309788816969</v>
      </c>
      <c r="BK206" s="457">
        <f t="shared" si="145"/>
        <v>4.4632537877782399</v>
      </c>
      <c r="BL206" s="2"/>
    </row>
    <row r="207" spans="1:64" ht="15">
      <c r="A207" s="119"/>
      <c r="B207" s="480">
        <f>Input!B224</f>
        <v>38189</v>
      </c>
      <c r="C207" s="481">
        <v>1</v>
      </c>
      <c r="D207" s="481">
        <f t="shared" si="146"/>
        <v>7</v>
      </c>
      <c r="E207" s="481">
        <f t="shared" si="147"/>
        <v>21</v>
      </c>
      <c r="F207" s="481">
        <f t="shared" si="121"/>
        <v>203</v>
      </c>
      <c r="G207" s="431">
        <v>25.315200000000001</v>
      </c>
      <c r="H207" s="455">
        <v>24.07</v>
      </c>
      <c r="I207" s="455">
        <v>18.399999999999999</v>
      </c>
      <c r="J207" s="455">
        <v>2.95</v>
      </c>
      <c r="K207" s="485"/>
      <c r="L207" s="433">
        <v>91</v>
      </c>
      <c r="M207" s="455">
        <v>77</v>
      </c>
      <c r="N207" s="484">
        <f>Weather!M208</f>
        <v>0.4</v>
      </c>
      <c r="O207" s="481" t="str">
        <f t="shared" si="148"/>
        <v/>
      </c>
      <c r="P207" s="4">
        <f t="shared" si="159"/>
        <v>4.3086235392401058</v>
      </c>
      <c r="Q207" s="169">
        <f t="shared" si="122"/>
        <v>2.996477551387005</v>
      </c>
      <c r="R207" s="169">
        <f t="shared" si="123"/>
        <v>2.1164748063682803</v>
      </c>
      <c r="S207" s="169">
        <f t="shared" si="124"/>
        <v>2.3072877145679938</v>
      </c>
      <c r="T207" s="169">
        <f t="shared" si="125"/>
        <v>1.9259920737951353</v>
      </c>
      <c r="U207" s="169">
        <f t="shared" si="126"/>
        <v>2.1166398941815645</v>
      </c>
      <c r="V207" s="169">
        <f t="shared" si="127"/>
        <v>7.1963843739200922E-2</v>
      </c>
      <c r="W207" s="439">
        <f t="shared" si="128"/>
        <v>18.401244395604508</v>
      </c>
      <c r="X207" s="439">
        <f t="shared" si="129"/>
        <v>18.401244395604508</v>
      </c>
      <c r="Y207" s="169"/>
      <c r="Z207" s="119">
        <f t="shared" si="130"/>
        <v>3</v>
      </c>
      <c r="AA207" s="4">
        <f t="shared" si="131"/>
        <v>1.0261342273931477</v>
      </c>
      <c r="AB207" s="466"/>
      <c r="AC207" s="466"/>
      <c r="AD207" s="466"/>
      <c r="AE207" s="466"/>
      <c r="AF207" s="466"/>
      <c r="AG207" s="466"/>
      <c r="AH207" s="466"/>
      <c r="AI207" s="466"/>
      <c r="AJ207" s="466"/>
      <c r="AK207" s="466"/>
      <c r="AL207" s="466"/>
      <c r="AM207" s="462">
        <f t="shared" si="132"/>
        <v>203</v>
      </c>
      <c r="AN207" s="32">
        <f t="shared" si="149"/>
        <v>0.96903354607255143</v>
      </c>
      <c r="AO207" s="32">
        <f t="shared" si="150"/>
        <v>0.3521232435498246</v>
      </c>
      <c r="AP207" s="32">
        <f t="shared" si="151"/>
        <v>1.9354413597596005</v>
      </c>
      <c r="AQ207" s="32">
        <f t="shared" si="152"/>
        <v>14.785682854571508</v>
      </c>
      <c r="AR207" s="32">
        <f t="shared" si="153"/>
        <v>39.852274131548953</v>
      </c>
      <c r="AS207" s="32">
        <f t="shared" si="133"/>
        <v>29.917899236036433</v>
      </c>
      <c r="AT207" s="32">
        <f t="shared" si="134"/>
        <v>19.492704</v>
      </c>
      <c r="AU207" s="32">
        <f t="shared" si="135"/>
        <v>0.84615566755795368</v>
      </c>
      <c r="AV207" s="32">
        <f t="shared" si="136"/>
        <v>0.79231015120323767</v>
      </c>
      <c r="AW207" s="32">
        <f t="shared" si="137"/>
        <v>2.996477551387005</v>
      </c>
      <c r="AX207" s="32">
        <f t="shared" si="138"/>
        <v>2.1164748063682803</v>
      </c>
      <c r="AY207" s="32">
        <f t="shared" si="139"/>
        <v>2.1166398941815645</v>
      </c>
      <c r="AZ207" s="32">
        <f t="shared" si="154"/>
        <v>0.13631852827034399</v>
      </c>
      <c r="BA207" s="32">
        <f t="shared" si="140"/>
        <v>-3.9769533605254481</v>
      </c>
      <c r="BB207" s="32">
        <f t="shared" si="155"/>
        <v>15.515750639474552</v>
      </c>
      <c r="BC207" s="32">
        <f t="shared" si="141"/>
        <v>21.234999999999999</v>
      </c>
      <c r="BD207" s="32">
        <v>0</v>
      </c>
      <c r="BE207" s="32">
        <f t="shared" si="156"/>
        <v>2.5564761788776424</v>
      </c>
      <c r="BF207" s="32">
        <f t="shared" si="157"/>
        <v>0.43983628469607794</v>
      </c>
      <c r="BG207" s="32">
        <f t="shared" si="158"/>
        <v>0.15473166087957296</v>
      </c>
      <c r="BH207" s="32">
        <f t="shared" si="142"/>
        <v>3.3874726972369853</v>
      </c>
      <c r="BI207" s="32">
        <f t="shared" si="143"/>
        <v>0.92115084200312025</v>
      </c>
      <c r="BJ207" s="32">
        <f t="shared" si="144"/>
        <v>4.3086235392401058</v>
      </c>
      <c r="BK207" s="457">
        <f t="shared" si="145"/>
        <v>3.4774474342359403</v>
      </c>
      <c r="BL207" s="2"/>
    </row>
    <row r="208" spans="1:64" ht="15">
      <c r="A208" s="119"/>
      <c r="B208" s="480">
        <f>Input!B225</f>
        <v>38190</v>
      </c>
      <c r="C208" s="481">
        <v>1</v>
      </c>
      <c r="D208" s="481">
        <f t="shared" si="146"/>
        <v>7</v>
      </c>
      <c r="E208" s="481">
        <f t="shared" si="147"/>
        <v>22</v>
      </c>
      <c r="F208" s="481">
        <f t="shared" si="121"/>
        <v>204</v>
      </c>
      <c r="G208" s="431">
        <v>24.883199999999999</v>
      </c>
      <c r="H208" s="455">
        <v>21.76</v>
      </c>
      <c r="I208" s="455">
        <v>15.3</v>
      </c>
      <c r="J208" s="455">
        <v>4.1100000000000003</v>
      </c>
      <c r="K208" s="485"/>
      <c r="L208" s="433">
        <v>92</v>
      </c>
      <c r="M208" s="455">
        <v>73</v>
      </c>
      <c r="N208" s="484">
        <f>Weather!M209</f>
        <v>0</v>
      </c>
      <c r="O208" s="481" t="str">
        <f t="shared" si="148"/>
        <v/>
      </c>
      <c r="P208" s="4">
        <f t="shared" si="159"/>
        <v>3.9753833592271319</v>
      </c>
      <c r="Q208" s="169">
        <f t="shared" si="122"/>
        <v>2.6055009597054024</v>
      </c>
      <c r="R208" s="169">
        <f t="shared" si="123"/>
        <v>1.7385638954612772</v>
      </c>
      <c r="S208" s="169">
        <f t="shared" si="124"/>
        <v>1.9020157005849436</v>
      </c>
      <c r="T208" s="169">
        <f t="shared" si="125"/>
        <v>1.5994787838243751</v>
      </c>
      <c r="U208" s="169">
        <f t="shared" si="126"/>
        <v>1.7507472422046595</v>
      </c>
      <c r="V208" s="169">
        <f t="shared" si="127"/>
        <v>6.0974429529933212E-2</v>
      </c>
      <c r="W208" s="439">
        <f t="shared" si="128"/>
        <v>15.408773288473922</v>
      </c>
      <c r="X208" s="439">
        <f t="shared" si="129"/>
        <v>15.408773288473922</v>
      </c>
      <c r="Y208" s="169"/>
      <c r="Z208" s="119">
        <f t="shared" si="130"/>
        <v>3</v>
      </c>
      <c r="AA208" s="4">
        <f t="shared" si="131"/>
        <v>1.0261342273931477</v>
      </c>
      <c r="AB208" s="466"/>
      <c r="AC208" s="466"/>
      <c r="AD208" s="466"/>
      <c r="AE208" s="466"/>
      <c r="AF208" s="466"/>
      <c r="AG208" s="466"/>
      <c r="AH208" s="466"/>
      <c r="AI208" s="466"/>
      <c r="AJ208" s="466"/>
      <c r="AK208" s="466"/>
      <c r="AL208" s="466"/>
      <c r="AM208" s="462">
        <f t="shared" si="132"/>
        <v>204</v>
      </c>
      <c r="AN208" s="32">
        <f t="shared" si="149"/>
        <v>0.96923445596524105</v>
      </c>
      <c r="AO208" s="32">
        <f t="shared" si="150"/>
        <v>0.34848960978158783</v>
      </c>
      <c r="AP208" s="32">
        <f t="shared" si="151"/>
        <v>1.9311660508464228</v>
      </c>
      <c r="AQ208" s="32">
        <f t="shared" si="152"/>
        <v>14.753021900326209</v>
      </c>
      <c r="AR208" s="32">
        <f t="shared" si="153"/>
        <v>39.723606171093557</v>
      </c>
      <c r="AS208" s="32">
        <f t="shared" si="133"/>
        <v>29.821305624763358</v>
      </c>
      <c r="AT208" s="32">
        <f t="shared" si="134"/>
        <v>19.160063999999998</v>
      </c>
      <c r="AU208" s="32">
        <f t="shared" si="135"/>
        <v>0.83441014666162705</v>
      </c>
      <c r="AV208" s="32">
        <f t="shared" si="136"/>
        <v>0.77645369799319652</v>
      </c>
      <c r="AW208" s="32">
        <f t="shared" si="137"/>
        <v>2.6055009597054024</v>
      </c>
      <c r="AX208" s="32">
        <f t="shared" si="138"/>
        <v>1.7385638954612772</v>
      </c>
      <c r="AY208" s="32">
        <f t="shared" si="139"/>
        <v>1.7507472422046597</v>
      </c>
      <c r="AZ208" s="32">
        <f t="shared" si="154"/>
        <v>0.15475787210461187</v>
      </c>
      <c r="BA208" s="32">
        <f t="shared" si="140"/>
        <v>-4.2649154719641524</v>
      </c>
      <c r="BB208" s="32">
        <f t="shared" si="155"/>
        <v>14.895148528035847</v>
      </c>
      <c r="BC208" s="32">
        <f t="shared" si="141"/>
        <v>18.53</v>
      </c>
      <c r="BD208" s="32">
        <v>0</v>
      </c>
      <c r="BE208" s="32">
        <f t="shared" si="156"/>
        <v>2.17203242758334</v>
      </c>
      <c r="BF208" s="32">
        <f t="shared" si="157"/>
        <v>0.42128518537868032</v>
      </c>
      <c r="BG208" s="32">
        <f t="shared" si="158"/>
        <v>0.13363649723050533</v>
      </c>
      <c r="BH208" s="32">
        <f t="shared" si="142"/>
        <v>2.7573777433592652</v>
      </c>
      <c r="BI208" s="32">
        <f t="shared" si="143"/>
        <v>1.2180056158678667</v>
      </c>
      <c r="BJ208" s="32">
        <f t="shared" si="144"/>
        <v>3.9753833592271319</v>
      </c>
      <c r="BK208" s="457">
        <f t="shared" si="145"/>
        <v>3.4434364796701775</v>
      </c>
      <c r="BL208" s="2"/>
    </row>
    <row r="209" spans="1:64" ht="15">
      <c r="A209" s="119"/>
      <c r="B209" s="480">
        <f>Input!B226</f>
        <v>38191</v>
      </c>
      <c r="C209" s="481">
        <v>1</v>
      </c>
      <c r="D209" s="481">
        <f t="shared" si="146"/>
        <v>7</v>
      </c>
      <c r="E209" s="481">
        <f t="shared" si="147"/>
        <v>23</v>
      </c>
      <c r="F209" s="481">
        <f t="shared" si="121"/>
        <v>205</v>
      </c>
      <c r="G209" s="431">
        <v>25.401599999999998</v>
      </c>
      <c r="H209" s="455">
        <v>21.95</v>
      </c>
      <c r="I209" s="455">
        <v>16.7</v>
      </c>
      <c r="J209" s="455">
        <v>3.6</v>
      </c>
      <c r="K209" s="485"/>
      <c r="L209" s="433">
        <v>91</v>
      </c>
      <c r="M209" s="455">
        <v>76</v>
      </c>
      <c r="N209" s="484">
        <f>Weather!M210</f>
        <v>0.2</v>
      </c>
      <c r="O209" s="481" t="str">
        <f t="shared" si="148"/>
        <v/>
      </c>
      <c r="P209" s="4">
        <f t="shared" si="159"/>
        <v>4.0457230402672915</v>
      </c>
      <c r="Q209" s="169">
        <f t="shared" si="122"/>
        <v>2.6358843179743165</v>
      </c>
      <c r="R209" s="169">
        <f t="shared" si="123"/>
        <v>1.9011953088739362</v>
      </c>
      <c r="S209" s="169">
        <f t="shared" si="124"/>
        <v>2.0032720816604805</v>
      </c>
      <c r="T209" s="169">
        <f t="shared" si="125"/>
        <v>1.730087731075282</v>
      </c>
      <c r="U209" s="169">
        <f t="shared" si="126"/>
        <v>1.8666799063678812</v>
      </c>
      <c r="V209" s="169">
        <f t="shared" si="127"/>
        <v>6.4687151556605649E-2</v>
      </c>
      <c r="W209" s="439">
        <f t="shared" si="128"/>
        <v>16.411900135798817</v>
      </c>
      <c r="X209" s="439">
        <f t="shared" si="129"/>
        <v>16.411900135798817</v>
      </c>
      <c r="Y209" s="169"/>
      <c r="Z209" s="119">
        <f t="shared" si="130"/>
        <v>3</v>
      </c>
      <c r="AA209" s="4">
        <f t="shared" si="131"/>
        <v>1.0261342273931477</v>
      </c>
      <c r="AB209" s="466"/>
      <c r="AC209" s="466"/>
      <c r="AD209" s="466"/>
      <c r="AE209" s="466"/>
      <c r="AF209" s="466"/>
      <c r="AG209" s="466"/>
      <c r="AH209" s="466"/>
      <c r="AI209" s="466"/>
      <c r="AJ209" s="466"/>
      <c r="AK209" s="466"/>
      <c r="AL209" s="466"/>
      <c r="AM209" s="462">
        <f t="shared" si="132"/>
        <v>205</v>
      </c>
      <c r="AN209" s="32">
        <f t="shared" si="149"/>
        <v>0.96944448235260294</v>
      </c>
      <c r="AO209" s="32">
        <f t="shared" si="150"/>
        <v>0.34475271102095079</v>
      </c>
      <c r="AP209" s="32">
        <f t="shared" si="151"/>
        <v>1.9267881407468717</v>
      </c>
      <c r="AQ209" s="32">
        <f t="shared" si="152"/>
        <v>14.719577130753944</v>
      </c>
      <c r="AR209" s="32">
        <f t="shared" si="153"/>
        <v>39.591250883849312</v>
      </c>
      <c r="AS209" s="32">
        <f t="shared" si="133"/>
        <v>29.721943863523357</v>
      </c>
      <c r="AT209" s="32">
        <f t="shared" si="134"/>
        <v>19.559231999999998</v>
      </c>
      <c r="AU209" s="32">
        <f t="shared" si="135"/>
        <v>0.85464127503364418</v>
      </c>
      <c r="AV209" s="32">
        <f t="shared" si="136"/>
        <v>0.80376572129541979</v>
      </c>
      <c r="AW209" s="32">
        <f t="shared" si="137"/>
        <v>2.6358843179743165</v>
      </c>
      <c r="AX209" s="32">
        <f t="shared" si="138"/>
        <v>1.9011953088739362</v>
      </c>
      <c r="AY209" s="32">
        <f t="shared" si="139"/>
        <v>1.8666799063678809</v>
      </c>
      <c r="AZ209" s="32">
        <f t="shared" si="154"/>
        <v>0.14872290737045782</v>
      </c>
      <c r="BA209" s="32">
        <f t="shared" si="140"/>
        <v>-4.2881333289913091</v>
      </c>
      <c r="BB209" s="32">
        <f t="shared" si="155"/>
        <v>15.271098671008689</v>
      </c>
      <c r="BC209" s="32">
        <f t="shared" si="141"/>
        <v>19.324999999999999</v>
      </c>
      <c r="BD209" s="32">
        <v>0</v>
      </c>
      <c r="BE209" s="32">
        <f t="shared" si="156"/>
        <v>2.2685398134241264</v>
      </c>
      <c r="BF209" s="32">
        <f t="shared" si="157"/>
        <v>0.40185990705624541</v>
      </c>
      <c r="BG209" s="32">
        <f t="shared" si="158"/>
        <v>0.13956684932334479</v>
      </c>
      <c r="BH209" s="32">
        <f t="shared" si="142"/>
        <v>3.010763279217981</v>
      </c>
      <c r="BI209" s="32">
        <f t="shared" si="143"/>
        <v>1.0349597610493102</v>
      </c>
      <c r="BJ209" s="32">
        <f t="shared" si="144"/>
        <v>4.0457230402672915</v>
      </c>
      <c r="BK209" s="457">
        <f t="shared" si="145"/>
        <v>3.161601210334112</v>
      </c>
      <c r="BL209" s="2"/>
    </row>
    <row r="210" spans="1:64" ht="15">
      <c r="A210" s="119"/>
      <c r="B210" s="480">
        <f>Input!B227</f>
        <v>38192</v>
      </c>
      <c r="C210" s="481">
        <v>1</v>
      </c>
      <c r="D210" s="481">
        <f t="shared" si="146"/>
        <v>7</v>
      </c>
      <c r="E210" s="481">
        <f t="shared" si="147"/>
        <v>24</v>
      </c>
      <c r="F210" s="481">
        <f t="shared" si="121"/>
        <v>206</v>
      </c>
      <c r="G210" s="431">
        <v>24.278400000000001</v>
      </c>
      <c r="H210" s="455">
        <v>23.57</v>
      </c>
      <c r="I210" s="455">
        <v>16.100000000000001</v>
      </c>
      <c r="J210" s="455">
        <v>2.27</v>
      </c>
      <c r="K210" s="485"/>
      <c r="L210" s="433">
        <v>87</v>
      </c>
      <c r="M210" s="455">
        <v>77</v>
      </c>
      <c r="N210" s="484">
        <f>Weather!M211</f>
        <v>0</v>
      </c>
      <c r="O210" s="481" t="str">
        <f t="shared" si="148"/>
        <v/>
      </c>
      <c r="P210" s="4">
        <f t="shared" si="159"/>
        <v>4.087687667829055</v>
      </c>
      <c r="Q210" s="169">
        <f t="shared" si="122"/>
        <v>2.9077656752597565</v>
      </c>
      <c r="R210" s="169">
        <f t="shared" si="123"/>
        <v>1.8299332444264929</v>
      </c>
      <c r="S210" s="169">
        <f t="shared" si="124"/>
        <v>2.2389795699500126</v>
      </c>
      <c r="T210" s="169">
        <f t="shared" si="125"/>
        <v>1.5920419226510487</v>
      </c>
      <c r="U210" s="169">
        <f t="shared" si="126"/>
        <v>1.9155107463005305</v>
      </c>
      <c r="V210" s="169">
        <f t="shared" si="127"/>
        <v>6.6182397276252219E-2</v>
      </c>
      <c r="W210" s="439">
        <f t="shared" si="128"/>
        <v>16.818148242061682</v>
      </c>
      <c r="X210" s="439">
        <f t="shared" si="129"/>
        <v>16.818148242061682</v>
      </c>
      <c r="Y210" s="169"/>
      <c r="Z210" s="119">
        <f t="shared" si="130"/>
        <v>3</v>
      </c>
      <c r="AA210" s="4">
        <f t="shared" si="131"/>
        <v>1.0261342273931477</v>
      </c>
      <c r="AB210" s="466"/>
      <c r="AC210" s="466"/>
      <c r="AD210" s="466"/>
      <c r="AE210" s="466"/>
      <c r="AF210" s="466"/>
      <c r="AG210" s="466"/>
      <c r="AH210" s="466"/>
      <c r="AI210" s="466"/>
      <c r="AJ210" s="466"/>
      <c r="AK210" s="466"/>
      <c r="AL210" s="466"/>
      <c r="AM210" s="462">
        <f t="shared" si="132"/>
        <v>206</v>
      </c>
      <c r="AN210" s="32">
        <f t="shared" si="149"/>
        <v>0.9696635629992858</v>
      </c>
      <c r="AO210" s="32">
        <f t="shared" si="150"/>
        <v>0.34091365459166534</v>
      </c>
      <c r="AP210" s="32">
        <f t="shared" si="151"/>
        <v>1.9223101451436895</v>
      </c>
      <c r="AQ210" s="32">
        <f t="shared" si="152"/>
        <v>14.685367764255215</v>
      </c>
      <c r="AR210" s="32">
        <f t="shared" si="153"/>
        <v>39.455231125443909</v>
      </c>
      <c r="AS210" s="32">
        <f t="shared" si="133"/>
        <v>29.619831110493255</v>
      </c>
      <c r="AT210" s="32">
        <f t="shared" si="134"/>
        <v>18.694368000000001</v>
      </c>
      <c r="AU210" s="32">
        <f t="shared" si="135"/>
        <v>0.819667063915129</v>
      </c>
      <c r="AV210" s="32">
        <f t="shared" si="136"/>
        <v>0.75655053628542424</v>
      </c>
      <c r="AW210" s="32">
        <f t="shared" si="137"/>
        <v>2.9077656752597565</v>
      </c>
      <c r="AX210" s="32">
        <f t="shared" si="138"/>
        <v>1.8299332444264929</v>
      </c>
      <c r="AY210" s="32">
        <f t="shared" si="139"/>
        <v>1.9155107463005301</v>
      </c>
      <c r="AZ210" s="32">
        <f t="shared" si="154"/>
        <v>0.14623723105949793</v>
      </c>
      <c r="BA210" s="32">
        <f t="shared" si="140"/>
        <v>-3.9984972557556713</v>
      </c>
      <c r="BB210" s="32">
        <f t="shared" si="155"/>
        <v>14.695870744244329</v>
      </c>
      <c r="BC210" s="32">
        <f t="shared" si="141"/>
        <v>19.835000000000001</v>
      </c>
      <c r="BD210" s="32">
        <v>0</v>
      </c>
      <c r="BE210" s="32">
        <f t="shared" si="156"/>
        <v>2.3688494598431244</v>
      </c>
      <c r="BF210" s="32">
        <f t="shared" si="157"/>
        <v>0.45333871354259436</v>
      </c>
      <c r="BG210" s="32">
        <f t="shared" si="158"/>
        <v>0.14348733316345799</v>
      </c>
      <c r="BH210" s="32">
        <f t="shared" si="142"/>
        <v>3.2787526444753006</v>
      </c>
      <c r="BI210" s="32">
        <f t="shared" si="143"/>
        <v>0.80893502335375445</v>
      </c>
      <c r="BJ210" s="32">
        <f t="shared" si="144"/>
        <v>4.087687667829055</v>
      </c>
      <c r="BK210" s="457">
        <f t="shared" si="145"/>
        <v>3.8099437580451134</v>
      </c>
      <c r="BL210" s="2"/>
    </row>
    <row r="211" spans="1:64" ht="15">
      <c r="A211" s="119"/>
      <c r="B211" s="480">
        <f>Input!B228</f>
        <v>38193</v>
      </c>
      <c r="C211" s="481">
        <v>1</v>
      </c>
      <c r="D211" s="481">
        <f t="shared" si="146"/>
        <v>7</v>
      </c>
      <c r="E211" s="481">
        <f t="shared" si="147"/>
        <v>25</v>
      </c>
      <c r="F211" s="481">
        <f t="shared" si="121"/>
        <v>207</v>
      </c>
      <c r="G211" s="431">
        <v>21.427199999999999</v>
      </c>
      <c r="H211" s="455">
        <v>25.6</v>
      </c>
      <c r="I211" s="455">
        <v>17.7</v>
      </c>
      <c r="J211" s="455">
        <v>1.51</v>
      </c>
      <c r="K211" s="485"/>
      <c r="L211" s="433">
        <v>98</v>
      </c>
      <c r="M211" s="455">
        <v>82</v>
      </c>
      <c r="N211" s="484">
        <f>Weather!M212</f>
        <v>0</v>
      </c>
      <c r="O211" s="481" t="str">
        <f t="shared" si="148"/>
        <v/>
      </c>
      <c r="P211" s="4">
        <f t="shared" si="159"/>
        <v>3.7454392842547892</v>
      </c>
      <c r="Q211" s="169">
        <f t="shared" si="122"/>
        <v>3.2827711697769288</v>
      </c>
      <c r="R211" s="169">
        <f t="shared" si="123"/>
        <v>2.0253762197498539</v>
      </c>
      <c r="S211" s="169">
        <f t="shared" si="124"/>
        <v>2.6918723592170815</v>
      </c>
      <c r="T211" s="169">
        <f t="shared" si="125"/>
        <v>1.9848686953548569</v>
      </c>
      <c r="U211" s="169">
        <f t="shared" si="126"/>
        <v>2.3383705272859689</v>
      </c>
      <c r="V211" s="169">
        <f t="shared" si="127"/>
        <v>7.7732486194453651E-2</v>
      </c>
      <c r="W211" s="439">
        <f t="shared" si="128"/>
        <v>20.000616630017223</v>
      </c>
      <c r="X211" s="439">
        <f t="shared" si="129"/>
        <v>20.000616630017223</v>
      </c>
      <c r="Y211" s="169"/>
      <c r="Z211" s="119">
        <f t="shared" si="130"/>
        <v>3</v>
      </c>
      <c r="AA211" s="4">
        <f t="shared" si="131"/>
        <v>1.0261342273931477</v>
      </c>
      <c r="AB211" s="466"/>
      <c r="AC211" s="466"/>
      <c r="AD211" s="466"/>
      <c r="AE211" s="466"/>
      <c r="AF211" s="466"/>
      <c r="AG211" s="466"/>
      <c r="AH211" s="466"/>
      <c r="AI211" s="466"/>
      <c r="AJ211" s="466"/>
      <c r="AK211" s="466"/>
      <c r="AL211" s="466"/>
      <c r="AM211" s="462">
        <f t="shared" si="132"/>
        <v>207</v>
      </c>
      <c r="AN211" s="32">
        <f t="shared" si="149"/>
        <v>0.96989163298696601</v>
      </c>
      <c r="AO211" s="32">
        <f t="shared" si="150"/>
        <v>0.3369735780890053</v>
      </c>
      <c r="AP211" s="32">
        <f t="shared" si="151"/>
        <v>1.917734582940688</v>
      </c>
      <c r="AQ211" s="32">
        <f t="shared" si="152"/>
        <v>14.650413043837673</v>
      </c>
      <c r="AR211" s="32">
        <f t="shared" si="153"/>
        <v>39.315570477423982</v>
      </c>
      <c r="AS211" s="32">
        <f t="shared" si="133"/>
        <v>29.514985068811733</v>
      </c>
      <c r="AT211" s="32">
        <f t="shared" si="134"/>
        <v>16.498943999999998</v>
      </c>
      <c r="AU211" s="32">
        <f t="shared" si="135"/>
        <v>0.72597698931726595</v>
      </c>
      <c r="AV211" s="32">
        <f t="shared" si="136"/>
        <v>0.63006893557830912</v>
      </c>
      <c r="AW211" s="32">
        <f t="shared" si="137"/>
        <v>3.2827711697769288</v>
      </c>
      <c r="AX211" s="32">
        <f t="shared" si="138"/>
        <v>2.0253762197498539</v>
      </c>
      <c r="AY211" s="32">
        <f t="shared" si="139"/>
        <v>2.3383705272859676</v>
      </c>
      <c r="AZ211" s="32">
        <f t="shared" si="154"/>
        <v>0.12591575878919772</v>
      </c>
      <c r="BA211" s="32">
        <f t="shared" si="140"/>
        <v>-2.9392852120642869</v>
      </c>
      <c r="BB211" s="32">
        <f t="shared" si="155"/>
        <v>13.55965878793571</v>
      </c>
      <c r="BC211" s="32">
        <f t="shared" si="141"/>
        <v>21.65</v>
      </c>
      <c r="BD211" s="32">
        <v>0</v>
      </c>
      <c r="BE211" s="32">
        <f t="shared" si="156"/>
        <v>2.6540736947633912</v>
      </c>
      <c r="BF211" s="32">
        <f t="shared" si="157"/>
        <v>0.31570316747742355</v>
      </c>
      <c r="BG211" s="32">
        <f t="shared" si="158"/>
        <v>0.15820451908997654</v>
      </c>
      <c r="BH211" s="32">
        <f t="shared" si="142"/>
        <v>3.369252492038878</v>
      </c>
      <c r="BI211" s="32">
        <f t="shared" si="143"/>
        <v>0.37618679221591123</v>
      </c>
      <c r="BJ211" s="32">
        <f t="shared" si="144"/>
        <v>3.7454392842547892</v>
      </c>
      <c r="BK211" s="457">
        <f t="shared" si="145"/>
        <v>4.0924830240440411</v>
      </c>
      <c r="BL211" s="2"/>
    </row>
    <row r="212" spans="1:64" ht="15">
      <c r="A212" s="119"/>
      <c r="B212" s="480">
        <f>Input!B229</f>
        <v>38194</v>
      </c>
      <c r="C212" s="481">
        <v>1</v>
      </c>
      <c r="D212" s="481">
        <f t="shared" si="146"/>
        <v>7</v>
      </c>
      <c r="E212" s="481">
        <f t="shared" si="147"/>
        <v>26</v>
      </c>
      <c r="F212" s="481">
        <f t="shared" si="121"/>
        <v>208</v>
      </c>
      <c r="G212" s="431">
        <v>26.179200000000002</v>
      </c>
      <c r="H212" s="455">
        <v>26.46</v>
      </c>
      <c r="I212" s="455">
        <v>18</v>
      </c>
      <c r="J212" s="455">
        <v>1.22</v>
      </c>
      <c r="K212" s="485"/>
      <c r="L212" s="433">
        <v>100</v>
      </c>
      <c r="M212" s="455">
        <v>84</v>
      </c>
      <c r="N212" s="484">
        <f>Weather!M213</f>
        <v>0</v>
      </c>
      <c r="O212" s="481" t="str">
        <f t="shared" si="148"/>
        <v/>
      </c>
      <c r="P212" s="4">
        <f t="shared" si="159"/>
        <v>4.4864865244293437</v>
      </c>
      <c r="Q212" s="169">
        <f t="shared" si="122"/>
        <v>3.453935461362112</v>
      </c>
      <c r="R212" s="169">
        <f t="shared" si="123"/>
        <v>2.0639892026604851</v>
      </c>
      <c r="S212" s="169">
        <f t="shared" si="124"/>
        <v>2.9013057875441741</v>
      </c>
      <c r="T212" s="169">
        <f t="shared" si="125"/>
        <v>2.0639892026604851</v>
      </c>
      <c r="U212" s="169">
        <f t="shared" si="126"/>
        <v>2.4826474951023298</v>
      </c>
      <c r="V212" s="169">
        <f t="shared" si="127"/>
        <v>8.1199260842409582E-2</v>
      </c>
      <c r="W212" s="439">
        <f t="shared" si="128"/>
        <v>20.971450910640694</v>
      </c>
      <c r="X212" s="439">
        <f t="shared" si="129"/>
        <v>20.971450910640694</v>
      </c>
      <c r="Y212" s="169"/>
      <c r="Z212" s="119">
        <f t="shared" si="130"/>
        <v>3</v>
      </c>
      <c r="AA212" s="4">
        <f t="shared" si="131"/>
        <v>1.0261342273931477</v>
      </c>
      <c r="AB212" s="466"/>
      <c r="AC212" s="466"/>
      <c r="AD212" s="466"/>
      <c r="AE212" s="466"/>
      <c r="AF212" s="466"/>
      <c r="AG212" s="466"/>
      <c r="AH212" s="466"/>
      <c r="AI212" s="466"/>
      <c r="AJ212" s="466"/>
      <c r="AK212" s="466"/>
      <c r="AL212" s="466"/>
      <c r="AM212" s="462">
        <f t="shared" si="132"/>
        <v>208</v>
      </c>
      <c r="AN212" s="32">
        <f t="shared" si="149"/>
        <v>0.97012862473358386</v>
      </c>
      <c r="AO212" s="32">
        <f t="shared" si="150"/>
        <v>0.33293364904267192</v>
      </c>
      <c r="AP212" s="32">
        <f t="shared" si="151"/>
        <v>1.9130639723638061</v>
      </c>
      <c r="AQ212" s="32">
        <f t="shared" si="152"/>
        <v>14.614732207330405</v>
      </c>
      <c r="AR212" s="32">
        <f t="shared" si="153"/>
        <v>39.172293267449916</v>
      </c>
      <c r="AS212" s="32">
        <f t="shared" si="133"/>
        <v>29.407424001740004</v>
      </c>
      <c r="AT212" s="32">
        <f t="shared" si="134"/>
        <v>20.157984000000003</v>
      </c>
      <c r="AU212" s="32">
        <f t="shared" si="135"/>
        <v>0.89022418279312765</v>
      </c>
      <c r="AV212" s="32">
        <f t="shared" si="136"/>
        <v>0.85180264677072237</v>
      </c>
      <c r="AW212" s="32">
        <f t="shared" si="137"/>
        <v>3.453935461362112</v>
      </c>
      <c r="AX212" s="32">
        <f t="shared" si="138"/>
        <v>2.0639892026604851</v>
      </c>
      <c r="AY212" s="32">
        <f t="shared" si="139"/>
        <v>2.4826474951023298</v>
      </c>
      <c r="AZ212" s="32">
        <f t="shared" si="154"/>
        <v>0.11941012964325476</v>
      </c>
      <c r="BA212" s="32">
        <f t="shared" si="140"/>
        <v>-3.7986970043844264</v>
      </c>
      <c r="BB212" s="32">
        <f t="shared" si="155"/>
        <v>16.359286995615577</v>
      </c>
      <c r="BC212" s="32">
        <f t="shared" si="141"/>
        <v>22.23</v>
      </c>
      <c r="BD212" s="32">
        <v>0</v>
      </c>
      <c r="BE212" s="32">
        <f t="shared" si="156"/>
        <v>2.7589623320112988</v>
      </c>
      <c r="BF212" s="32">
        <f t="shared" si="157"/>
        <v>0.27631483690896896</v>
      </c>
      <c r="BG212" s="32">
        <f t="shared" si="158"/>
        <v>0.16316832445211901</v>
      </c>
      <c r="BH212" s="32">
        <f t="shared" si="142"/>
        <v>4.219289950239677</v>
      </c>
      <c r="BI212" s="32">
        <f t="shared" si="143"/>
        <v>0.26719657418966664</v>
      </c>
      <c r="BJ212" s="32">
        <f t="shared" si="144"/>
        <v>4.4864865244293437</v>
      </c>
      <c r="BK212" s="457">
        <f t="shared" si="145"/>
        <v>4.281653521142867</v>
      </c>
      <c r="BL212" s="2"/>
    </row>
    <row r="213" spans="1:64" ht="15">
      <c r="A213" s="119"/>
      <c r="B213" s="480">
        <f>Input!B230</f>
        <v>38195</v>
      </c>
      <c r="C213" s="481">
        <v>1</v>
      </c>
      <c r="D213" s="481">
        <f t="shared" si="146"/>
        <v>7</v>
      </c>
      <c r="E213" s="481">
        <f t="shared" si="147"/>
        <v>27</v>
      </c>
      <c r="F213" s="481">
        <f t="shared" si="121"/>
        <v>209</v>
      </c>
      <c r="G213" s="431">
        <v>19.3536</v>
      </c>
      <c r="H213" s="455">
        <v>28.68</v>
      </c>
      <c r="I213" s="455">
        <v>18.899999999999999</v>
      </c>
      <c r="J213" s="455">
        <v>1.36</v>
      </c>
      <c r="K213" s="485"/>
      <c r="L213" s="433">
        <v>97</v>
      </c>
      <c r="M213" s="455">
        <v>83</v>
      </c>
      <c r="N213" s="484">
        <f>Weather!M214</f>
        <v>0</v>
      </c>
      <c r="O213" s="481" t="str">
        <f t="shared" si="148"/>
        <v/>
      </c>
      <c r="P213" s="4">
        <f t="shared" si="159"/>
        <v>3.6827022385919621</v>
      </c>
      <c r="Q213" s="169">
        <f t="shared" si="122"/>
        <v>3.9321954838703852</v>
      </c>
      <c r="R213" s="169">
        <f t="shared" si="123"/>
        <v>2.1837218414652266</v>
      </c>
      <c r="S213" s="169">
        <f t="shared" si="124"/>
        <v>3.2637222516124194</v>
      </c>
      <c r="T213" s="169">
        <f t="shared" si="125"/>
        <v>2.1182101862212699</v>
      </c>
      <c r="U213" s="169">
        <f t="shared" si="126"/>
        <v>2.6909662189168446</v>
      </c>
      <c r="V213" s="169">
        <f t="shared" si="127"/>
        <v>8.5864853731721605E-2</v>
      </c>
      <c r="W213" s="439">
        <f t="shared" si="128"/>
        <v>22.28962519788919</v>
      </c>
      <c r="X213" s="439">
        <f t="shared" si="129"/>
        <v>22.28962519788919</v>
      </c>
      <c r="Y213" s="169"/>
      <c r="Z213" s="119">
        <f t="shared" si="130"/>
        <v>3</v>
      </c>
      <c r="AA213" s="4">
        <f t="shared" si="131"/>
        <v>1.0261342273931477</v>
      </c>
      <c r="AB213" s="466"/>
      <c r="AC213" s="466"/>
      <c r="AD213" s="466"/>
      <c r="AE213" s="466"/>
      <c r="AF213" s="466"/>
      <c r="AG213" s="466"/>
      <c r="AH213" s="466"/>
      <c r="AI213" s="466"/>
      <c r="AJ213" s="466"/>
      <c r="AK213" s="466"/>
      <c r="AL213" s="466"/>
      <c r="AM213" s="462">
        <f t="shared" si="132"/>
        <v>209</v>
      </c>
      <c r="AN213" s="32">
        <f t="shared" si="149"/>
        <v>0.97037446801337024</v>
      </c>
      <c r="AO213" s="32">
        <f t="shared" si="150"/>
        <v>0.32879506457083074</v>
      </c>
      <c r="AP213" s="32">
        <f t="shared" si="151"/>
        <v>1.9083008272355335</v>
      </c>
      <c r="AQ213" s="32">
        <f t="shared" si="152"/>
        <v>14.578344458922629</v>
      </c>
      <c r="AR213" s="32">
        <f t="shared" si="153"/>
        <v>39.025424590795616</v>
      </c>
      <c r="AS213" s="32">
        <f t="shared" si="133"/>
        <v>29.297166748802088</v>
      </c>
      <c r="AT213" s="32">
        <f t="shared" si="134"/>
        <v>14.902272</v>
      </c>
      <c r="AU213" s="32">
        <f t="shared" si="135"/>
        <v>0.66059630154480165</v>
      </c>
      <c r="AV213" s="32">
        <f t="shared" si="136"/>
        <v>0.54180500708548229</v>
      </c>
      <c r="AW213" s="32">
        <f t="shared" si="137"/>
        <v>3.9321954838703852</v>
      </c>
      <c r="AX213" s="32">
        <f t="shared" si="138"/>
        <v>2.1837218414652266</v>
      </c>
      <c r="AY213" s="32">
        <f t="shared" si="139"/>
        <v>2.6909662189168455</v>
      </c>
      <c r="AZ213" s="32">
        <f t="shared" si="154"/>
        <v>0.11034169318143494</v>
      </c>
      <c r="BA213" s="32">
        <f t="shared" si="140"/>
        <v>-2.2811806614662395</v>
      </c>
      <c r="BB213" s="32">
        <f t="shared" si="155"/>
        <v>12.621091338533761</v>
      </c>
      <c r="BC213" s="32">
        <f t="shared" si="141"/>
        <v>23.79</v>
      </c>
      <c r="BD213" s="32">
        <v>0</v>
      </c>
      <c r="BE213" s="32">
        <f t="shared" si="156"/>
        <v>3.0579586626678061</v>
      </c>
      <c r="BF213" s="32">
        <f t="shared" si="157"/>
        <v>0.36699244375096063</v>
      </c>
      <c r="BG213" s="32">
        <f t="shared" si="158"/>
        <v>0.17717633758675444</v>
      </c>
      <c r="BH213" s="32">
        <f t="shared" si="142"/>
        <v>3.3137638219515826</v>
      </c>
      <c r="BI213" s="32">
        <f t="shared" si="143"/>
        <v>0.36893841664037974</v>
      </c>
      <c r="BJ213" s="32">
        <f t="shared" si="144"/>
        <v>3.6827022385919621</v>
      </c>
      <c r="BK213" s="457">
        <f t="shared" si="145"/>
        <v>4.7650530079645712</v>
      </c>
      <c r="BL213" s="2"/>
    </row>
    <row r="214" spans="1:64" ht="15">
      <c r="A214" s="119"/>
      <c r="B214" s="480">
        <f>Input!B231</f>
        <v>38196</v>
      </c>
      <c r="C214" s="481">
        <v>1</v>
      </c>
      <c r="D214" s="481">
        <f t="shared" si="146"/>
        <v>7</v>
      </c>
      <c r="E214" s="481">
        <f t="shared" si="147"/>
        <v>28</v>
      </c>
      <c r="F214" s="481">
        <f t="shared" si="121"/>
        <v>210</v>
      </c>
      <c r="G214" s="431">
        <v>24.364799999999999</v>
      </c>
      <c r="H214" s="455">
        <v>28.79</v>
      </c>
      <c r="I214" s="455">
        <v>21.1</v>
      </c>
      <c r="J214" s="455">
        <v>1.88</v>
      </c>
      <c r="K214" s="485"/>
      <c r="L214" s="433">
        <v>100</v>
      </c>
      <c r="M214" s="455">
        <v>79</v>
      </c>
      <c r="N214" s="484">
        <f>Weather!M215</f>
        <v>0</v>
      </c>
      <c r="O214" s="481" t="str">
        <f t="shared" si="148"/>
        <v/>
      </c>
      <c r="P214" s="4">
        <f t="shared" si="159"/>
        <v>4.5469371783869423</v>
      </c>
      <c r="Q214" s="169">
        <f t="shared" si="122"/>
        <v>3.9573215315138843</v>
      </c>
      <c r="R214" s="169">
        <f t="shared" si="123"/>
        <v>2.5023227554890153</v>
      </c>
      <c r="S214" s="169">
        <f t="shared" si="124"/>
        <v>3.1262840098959686</v>
      </c>
      <c r="T214" s="169">
        <f t="shared" si="125"/>
        <v>2.5023227554890153</v>
      </c>
      <c r="U214" s="169">
        <f t="shared" si="126"/>
        <v>2.8143033826924917</v>
      </c>
      <c r="V214" s="169">
        <f t="shared" si="127"/>
        <v>8.8459784042887402E-2</v>
      </c>
      <c r="W214" s="439">
        <f t="shared" si="128"/>
        <v>23.028612875117314</v>
      </c>
      <c r="X214" s="439">
        <f t="shared" si="129"/>
        <v>23.028612875117314</v>
      </c>
      <c r="Y214" s="169"/>
      <c r="Z214" s="119">
        <f t="shared" si="130"/>
        <v>3</v>
      </c>
      <c r="AA214" s="4">
        <f t="shared" si="131"/>
        <v>1.0261342273931477</v>
      </c>
      <c r="AB214" s="466"/>
      <c r="AC214" s="466"/>
      <c r="AD214" s="466"/>
      <c r="AE214" s="466"/>
      <c r="AF214" s="466"/>
      <c r="AG214" s="466"/>
      <c r="AH214" s="466"/>
      <c r="AI214" s="466"/>
      <c r="AJ214" s="466"/>
      <c r="AK214" s="466"/>
      <c r="AL214" s="466"/>
      <c r="AM214" s="462">
        <f t="shared" si="132"/>
        <v>210</v>
      </c>
      <c r="AN214" s="32">
        <f t="shared" si="149"/>
        <v>0.97062908997765562</v>
      </c>
      <c r="AO214" s="32">
        <f t="shared" si="150"/>
        <v>0.3245590510253783</v>
      </c>
      <c r="AP214" s="32">
        <f t="shared" si="151"/>
        <v>1.9034476534285161</v>
      </c>
      <c r="AQ214" s="32">
        <f t="shared" si="152"/>
        <v>14.541268942071225</v>
      </c>
      <c r="AR214" s="32">
        <f t="shared" si="153"/>
        <v>38.874990333096584</v>
      </c>
      <c r="AS214" s="32">
        <f t="shared" si="133"/>
        <v>29.184232742862271</v>
      </c>
      <c r="AT214" s="32">
        <f t="shared" si="134"/>
        <v>18.760895999999999</v>
      </c>
      <c r="AU214" s="32">
        <f t="shared" si="135"/>
        <v>0.83486176301684734</v>
      </c>
      <c r="AV214" s="32">
        <f t="shared" si="136"/>
        <v>0.77706338007274389</v>
      </c>
      <c r="AW214" s="32">
        <f t="shared" si="137"/>
        <v>3.9573215315138843</v>
      </c>
      <c r="AX214" s="32">
        <f t="shared" si="138"/>
        <v>2.5023227554890153</v>
      </c>
      <c r="AY214" s="32">
        <f t="shared" si="139"/>
        <v>2.8143033826924926</v>
      </c>
      <c r="AZ214" s="32">
        <f t="shared" si="154"/>
        <v>0.10513760134757022</v>
      </c>
      <c r="BA214" s="32">
        <f t="shared" si="140"/>
        <v>-3.1641909158406074</v>
      </c>
      <c r="BB214" s="32">
        <f t="shared" si="155"/>
        <v>15.596705084159392</v>
      </c>
      <c r="BC214" s="32">
        <f t="shared" si="141"/>
        <v>24.945</v>
      </c>
      <c r="BD214" s="32">
        <v>0</v>
      </c>
      <c r="BE214" s="32">
        <f t="shared" si="156"/>
        <v>3.2298221435014498</v>
      </c>
      <c r="BF214" s="32">
        <f t="shared" si="157"/>
        <v>0.41551876080895722</v>
      </c>
      <c r="BG214" s="32">
        <f t="shared" si="158"/>
        <v>0.18818937386163354</v>
      </c>
      <c r="BH214" s="32">
        <f t="shared" si="142"/>
        <v>4.0158669742792918</v>
      </c>
      <c r="BI214" s="32">
        <f t="shared" si="143"/>
        <v>0.53107020410765071</v>
      </c>
      <c r="BJ214" s="32">
        <f t="shared" si="144"/>
        <v>4.5469371783869423</v>
      </c>
      <c r="BK214" s="457">
        <f t="shared" si="145"/>
        <v>4.3259404527407197</v>
      </c>
      <c r="BL214" s="2"/>
    </row>
    <row r="215" spans="1:64" ht="15">
      <c r="A215" s="119"/>
      <c r="B215" s="480">
        <f>Input!B232</f>
        <v>38197</v>
      </c>
      <c r="C215" s="481">
        <v>1</v>
      </c>
      <c r="D215" s="481">
        <f t="shared" si="146"/>
        <v>7</v>
      </c>
      <c r="E215" s="481">
        <f t="shared" si="147"/>
        <v>29</v>
      </c>
      <c r="F215" s="481">
        <f t="shared" si="121"/>
        <v>211</v>
      </c>
      <c r="G215" s="431">
        <v>25.401599999999998</v>
      </c>
      <c r="H215" s="455">
        <v>27.51</v>
      </c>
      <c r="I215" s="455">
        <v>19.3</v>
      </c>
      <c r="J215" s="455">
        <v>2.13</v>
      </c>
      <c r="K215" s="485"/>
      <c r="L215" s="433">
        <v>100</v>
      </c>
      <c r="M215" s="455">
        <v>80</v>
      </c>
      <c r="N215" s="484">
        <f>Weather!M216</f>
        <v>0</v>
      </c>
      <c r="O215" s="481" t="str">
        <f t="shared" si="148"/>
        <v/>
      </c>
      <c r="P215" s="4">
        <f t="shared" si="159"/>
        <v>4.4553960861591095</v>
      </c>
      <c r="Q215" s="169">
        <f t="shared" si="122"/>
        <v>3.6734164626068044</v>
      </c>
      <c r="R215" s="169">
        <f t="shared" si="123"/>
        <v>2.238858124675362</v>
      </c>
      <c r="S215" s="169">
        <f t="shared" si="124"/>
        <v>2.9387331700854435</v>
      </c>
      <c r="T215" s="169">
        <f t="shared" si="125"/>
        <v>2.238858124675362</v>
      </c>
      <c r="U215" s="169">
        <f t="shared" si="126"/>
        <v>2.5887956473804028</v>
      </c>
      <c r="V215" s="169">
        <f t="shared" si="127"/>
        <v>8.3623536316802638E-2</v>
      </c>
      <c r="W215" s="439">
        <f t="shared" si="128"/>
        <v>21.654708467979091</v>
      </c>
      <c r="X215" s="439">
        <f t="shared" si="129"/>
        <v>21.654708467979091</v>
      </c>
      <c r="Y215" s="169"/>
      <c r="Z215" s="119">
        <f t="shared" si="130"/>
        <v>3</v>
      </c>
      <c r="AA215" s="4">
        <f t="shared" si="131"/>
        <v>1.0261342273931477</v>
      </c>
      <c r="AB215" s="466"/>
      <c r="AC215" s="466"/>
      <c r="AD215" s="466"/>
      <c r="AE215" s="466"/>
      <c r="AF215" s="466"/>
      <c r="AG215" s="466"/>
      <c r="AH215" s="466"/>
      <c r="AI215" s="466"/>
      <c r="AJ215" s="466"/>
      <c r="AK215" s="466"/>
      <c r="AL215" s="466"/>
      <c r="AM215" s="462">
        <f t="shared" si="132"/>
        <v>211</v>
      </c>
      <c r="AN215" s="32">
        <f t="shared" si="149"/>
        <v>0.97089241517645686</v>
      </c>
      <c r="AO215" s="32">
        <f t="shared" si="150"/>
        <v>0.32022686362854907</v>
      </c>
      <c r="AP215" s="32">
        <f t="shared" si="151"/>
        <v>1.8985069455029808</v>
      </c>
      <c r="AQ215" s="32">
        <f t="shared" si="152"/>
        <v>14.503524713812558</v>
      </c>
      <c r="AR215" s="32">
        <f t="shared" si="153"/>
        <v>38.721017194280599</v>
      </c>
      <c r="AS215" s="32">
        <f t="shared" si="133"/>
        <v>29.068642028090334</v>
      </c>
      <c r="AT215" s="32">
        <f t="shared" si="134"/>
        <v>19.559231999999998</v>
      </c>
      <c r="AU215" s="32">
        <f t="shared" si="135"/>
        <v>0.87384887038938008</v>
      </c>
      <c r="AV215" s="32">
        <f t="shared" si="136"/>
        <v>0.82969597502566328</v>
      </c>
      <c r="AW215" s="32">
        <f t="shared" si="137"/>
        <v>3.6734164626068044</v>
      </c>
      <c r="AX215" s="32">
        <f t="shared" si="138"/>
        <v>2.238858124675362</v>
      </c>
      <c r="AY215" s="32">
        <f t="shared" si="139"/>
        <v>2.5887956473804028</v>
      </c>
      <c r="AZ215" s="32">
        <f t="shared" si="154"/>
        <v>0.11474371332045827</v>
      </c>
      <c r="BA215" s="32">
        <f t="shared" si="140"/>
        <v>-3.6121350901720573</v>
      </c>
      <c r="BB215" s="32">
        <f t="shared" si="155"/>
        <v>15.947096909827941</v>
      </c>
      <c r="BC215" s="32">
        <f t="shared" si="141"/>
        <v>23.405000000000001</v>
      </c>
      <c r="BD215" s="32">
        <v>0</v>
      </c>
      <c r="BE215" s="32">
        <f t="shared" si="156"/>
        <v>2.956137293641083</v>
      </c>
      <c r="BF215" s="32">
        <f t="shared" si="157"/>
        <v>0.36734164626068022</v>
      </c>
      <c r="BG215" s="32">
        <f t="shared" si="158"/>
        <v>0.17362832721433041</v>
      </c>
      <c r="BH215" s="32">
        <f t="shared" si="142"/>
        <v>3.9043377222082092</v>
      </c>
      <c r="BI215" s="32">
        <f t="shared" si="143"/>
        <v>0.55105836395090058</v>
      </c>
      <c r="BJ215" s="32">
        <f t="shared" si="144"/>
        <v>4.4553960861591095</v>
      </c>
      <c r="BK215" s="457">
        <f t="shared" si="145"/>
        <v>4.2917064250178338</v>
      </c>
      <c r="BL215" s="2"/>
    </row>
    <row r="216" spans="1:64" ht="15">
      <c r="A216" s="119"/>
      <c r="B216" s="480">
        <f>Input!B233</f>
        <v>38198</v>
      </c>
      <c r="C216" s="481">
        <v>1</v>
      </c>
      <c r="D216" s="481">
        <f t="shared" si="146"/>
        <v>7</v>
      </c>
      <c r="E216" s="481">
        <f t="shared" si="147"/>
        <v>30</v>
      </c>
      <c r="F216" s="481">
        <f t="shared" si="121"/>
        <v>212</v>
      </c>
      <c r="G216" s="431">
        <v>22.982399999999998</v>
      </c>
      <c r="H216" s="455">
        <v>26.56</v>
      </c>
      <c r="I216" s="455">
        <v>16.7</v>
      </c>
      <c r="J216" s="455">
        <v>2.16</v>
      </c>
      <c r="K216" s="485"/>
      <c r="L216" s="433">
        <v>100</v>
      </c>
      <c r="M216" s="455">
        <v>83</v>
      </c>
      <c r="N216" s="484">
        <f>Weather!M217</f>
        <v>0</v>
      </c>
      <c r="O216" s="481" t="str">
        <f t="shared" si="148"/>
        <v/>
      </c>
      <c r="P216" s="4">
        <f t="shared" si="159"/>
        <v>3.8584668114409286</v>
      </c>
      <c r="Q216" s="169">
        <f t="shared" si="122"/>
        <v>3.4743340964714533</v>
      </c>
      <c r="R216" s="169">
        <f t="shared" si="123"/>
        <v>1.9011953088739362</v>
      </c>
      <c r="S216" s="169">
        <f t="shared" si="124"/>
        <v>2.8836973000713062</v>
      </c>
      <c r="T216" s="169">
        <f t="shared" si="125"/>
        <v>1.9011953088739362</v>
      </c>
      <c r="U216" s="169">
        <f t="shared" si="126"/>
        <v>2.392446304472621</v>
      </c>
      <c r="V216" s="169">
        <f t="shared" si="127"/>
        <v>7.9056288735329827E-2</v>
      </c>
      <c r="W216" s="439">
        <f t="shared" si="128"/>
        <v>20.370471167159437</v>
      </c>
      <c r="X216" s="439">
        <f t="shared" si="129"/>
        <v>20.370471167159437</v>
      </c>
      <c r="Y216" s="169"/>
      <c r="Z216" s="119">
        <f t="shared" si="130"/>
        <v>3</v>
      </c>
      <c r="AA216" s="4">
        <f t="shared" si="131"/>
        <v>1.0261342273931477</v>
      </c>
      <c r="AB216" s="466"/>
      <c r="AC216" s="466"/>
      <c r="AD216" s="466"/>
      <c r="AE216" s="466"/>
      <c r="AF216" s="466"/>
      <c r="AG216" s="466"/>
      <c r="AH216" s="466"/>
      <c r="AI216" s="466"/>
      <c r="AJ216" s="466"/>
      <c r="AK216" s="466"/>
      <c r="AL216" s="466"/>
      <c r="AM216" s="462">
        <f t="shared" si="132"/>
        <v>212</v>
      </c>
      <c r="AN216" s="32">
        <f t="shared" si="149"/>
        <v>0.9711643655808343</v>
      </c>
      <c r="AO216" s="32">
        <f t="shared" si="150"/>
        <v>0.31579978610096521</v>
      </c>
      <c r="AP216" s="32">
        <f t="shared" si="151"/>
        <v>1.893481183531474</v>
      </c>
      <c r="AQ216" s="32">
        <f t="shared" si="152"/>
        <v>14.465130720505266</v>
      </c>
      <c r="AR216" s="32">
        <f t="shared" si="153"/>
        <v>38.563532713605952</v>
      </c>
      <c r="AS216" s="32">
        <f t="shared" si="133"/>
        <v>28.95041527875826</v>
      </c>
      <c r="AT216" s="32">
        <f t="shared" si="134"/>
        <v>17.696448</v>
      </c>
      <c r="AU216" s="32">
        <f t="shared" si="135"/>
        <v>0.79385389738650269</v>
      </c>
      <c r="AV216" s="32">
        <f t="shared" si="136"/>
        <v>0.7217027614717787</v>
      </c>
      <c r="AW216" s="32">
        <f t="shared" si="137"/>
        <v>3.4743340964714533</v>
      </c>
      <c r="AX216" s="32">
        <f t="shared" si="138"/>
        <v>1.9011953088739362</v>
      </c>
      <c r="AY216" s="32">
        <f t="shared" si="139"/>
        <v>2.3924463044726205</v>
      </c>
      <c r="AZ216" s="32">
        <f t="shared" si="154"/>
        <v>0.12345451385987433</v>
      </c>
      <c r="BA216" s="32">
        <f t="shared" si="140"/>
        <v>-3.3020355437990512</v>
      </c>
      <c r="BB216" s="32">
        <f t="shared" si="155"/>
        <v>14.39441245620095</v>
      </c>
      <c r="BC216" s="32">
        <f t="shared" si="141"/>
        <v>21.63</v>
      </c>
      <c r="BD216" s="32">
        <v>0</v>
      </c>
      <c r="BE216" s="32">
        <f t="shared" si="156"/>
        <v>2.6877647026726947</v>
      </c>
      <c r="BF216" s="32">
        <f t="shared" si="157"/>
        <v>0.29531839820007422</v>
      </c>
      <c r="BG216" s="32">
        <f t="shared" si="158"/>
        <v>0.15803565510282325</v>
      </c>
      <c r="BH216" s="32">
        <f t="shared" si="142"/>
        <v>3.3819544128444283</v>
      </c>
      <c r="BI216" s="32">
        <f t="shared" si="143"/>
        <v>0.47651239859650019</v>
      </c>
      <c r="BJ216" s="32">
        <f t="shared" si="144"/>
        <v>3.8584668114409286</v>
      </c>
      <c r="BK216" s="457">
        <f t="shared" si="145"/>
        <v>4.4823296980823377</v>
      </c>
      <c r="BL216" s="2"/>
    </row>
    <row r="217" spans="1:64" ht="15">
      <c r="A217" s="119"/>
      <c r="B217" s="480">
        <f>Input!B234</f>
        <v>38199</v>
      </c>
      <c r="C217" s="481">
        <v>1</v>
      </c>
      <c r="D217" s="481">
        <f t="shared" si="146"/>
        <v>7</v>
      </c>
      <c r="E217" s="481">
        <f t="shared" si="147"/>
        <v>31</v>
      </c>
      <c r="F217" s="481">
        <f t="shared" si="121"/>
        <v>213</v>
      </c>
      <c r="G217" s="431">
        <v>19.007999999999999</v>
      </c>
      <c r="H217" s="455">
        <v>27.05</v>
      </c>
      <c r="I217" s="455">
        <v>20.2</v>
      </c>
      <c r="J217" s="455">
        <v>2.16</v>
      </c>
      <c r="K217" s="485"/>
      <c r="L217" s="433">
        <v>100</v>
      </c>
      <c r="M217" s="455">
        <v>74</v>
      </c>
      <c r="N217" s="484">
        <f>Weather!M218</f>
        <v>0</v>
      </c>
      <c r="O217" s="481" t="str">
        <f t="shared" si="148"/>
        <v/>
      </c>
      <c r="P217" s="4">
        <f t="shared" si="159"/>
        <v>3.6949662527290243</v>
      </c>
      <c r="Q217" s="169">
        <f t="shared" si="122"/>
        <v>3.5758119816692693</v>
      </c>
      <c r="R217" s="169">
        <f t="shared" si="123"/>
        <v>2.3673876975032684</v>
      </c>
      <c r="S217" s="169">
        <f t="shared" si="124"/>
        <v>2.6461008664352592</v>
      </c>
      <c r="T217" s="169">
        <f t="shared" si="125"/>
        <v>2.3673876975032684</v>
      </c>
      <c r="U217" s="169">
        <f t="shared" si="126"/>
        <v>2.5067442819692638</v>
      </c>
      <c r="V217" s="169">
        <f t="shared" si="127"/>
        <v>8.1758570816647697E-2</v>
      </c>
      <c r="W217" s="439">
        <f t="shared" si="128"/>
        <v>21.128766616471726</v>
      </c>
      <c r="X217" s="439">
        <f t="shared" si="129"/>
        <v>21.128766616471726</v>
      </c>
      <c r="Y217" s="169"/>
      <c r="Z217" s="119">
        <f t="shared" si="130"/>
        <v>3</v>
      </c>
      <c r="AA217" s="4">
        <f t="shared" si="131"/>
        <v>1.0261342273931477</v>
      </c>
      <c r="AB217" s="466"/>
      <c r="AC217" s="466"/>
      <c r="AD217" s="466"/>
      <c r="AE217" s="466"/>
      <c r="AF217" s="466"/>
      <c r="AG217" s="466"/>
      <c r="AH217" s="466"/>
      <c r="AI217" s="466"/>
      <c r="AJ217" s="466"/>
      <c r="AK217" s="466"/>
      <c r="AL217" s="466"/>
      <c r="AM217" s="462">
        <f t="shared" si="132"/>
        <v>213</v>
      </c>
      <c r="AN217" s="32">
        <f t="shared" si="149"/>
        <v>0.9714448606060142</v>
      </c>
      <c r="AO217" s="32">
        <f t="shared" si="150"/>
        <v>0.31127913028124182</v>
      </c>
      <c r="AP217" s="32">
        <f t="shared" si="151"/>
        <v>1.888372830113342</v>
      </c>
      <c r="AQ217" s="32">
        <f t="shared" si="152"/>
        <v>14.426105775022574</v>
      </c>
      <c r="AR217" s="32">
        <f t="shared" si="153"/>
        <v>38.402565295723079</v>
      </c>
      <c r="AS217" s="32">
        <f t="shared" si="133"/>
        <v>28.829573818805233</v>
      </c>
      <c r="AT217" s="32">
        <f t="shared" si="134"/>
        <v>14.63616</v>
      </c>
      <c r="AU217" s="32">
        <f t="shared" si="135"/>
        <v>0.6593229618816383</v>
      </c>
      <c r="AV217" s="32">
        <f t="shared" si="136"/>
        <v>0.54008599854021178</v>
      </c>
      <c r="AW217" s="32">
        <f t="shared" si="137"/>
        <v>3.5758119816692693</v>
      </c>
      <c r="AX217" s="32">
        <f t="shared" si="138"/>
        <v>2.3673876975032684</v>
      </c>
      <c r="AY217" s="32">
        <f t="shared" si="139"/>
        <v>2.5067442819692638</v>
      </c>
      <c r="AZ217" s="32">
        <f t="shared" si="154"/>
        <v>0.11834218279835568</v>
      </c>
      <c r="BA217" s="32">
        <f t="shared" si="140"/>
        <v>-2.4313907259220797</v>
      </c>
      <c r="BB217" s="32">
        <f t="shared" si="155"/>
        <v>12.20476927407792</v>
      </c>
      <c r="BC217" s="32">
        <f t="shared" si="141"/>
        <v>23.625</v>
      </c>
      <c r="BD217" s="32">
        <v>0</v>
      </c>
      <c r="BE217" s="32">
        <f t="shared" si="156"/>
        <v>2.9715998395862688</v>
      </c>
      <c r="BF217" s="32">
        <f t="shared" si="157"/>
        <v>0.46485555761700503</v>
      </c>
      <c r="BG217" s="32">
        <f t="shared" si="158"/>
        <v>0.17564834683917555</v>
      </c>
      <c r="BH217" s="32">
        <f t="shared" si="142"/>
        <v>2.9948715681613449</v>
      </c>
      <c r="BI217" s="32">
        <f t="shared" si="143"/>
        <v>0.70009468456767954</v>
      </c>
      <c r="BJ217" s="32">
        <f t="shared" si="144"/>
        <v>3.6949662527290243</v>
      </c>
      <c r="BK217" s="457">
        <f t="shared" si="145"/>
        <v>3.9086770672930218</v>
      </c>
      <c r="BL217" s="2"/>
    </row>
    <row r="218" spans="1:64" ht="15">
      <c r="A218" s="119"/>
      <c r="B218" s="480">
        <f>Input!B235</f>
        <v>38200</v>
      </c>
      <c r="C218" s="481">
        <v>1</v>
      </c>
      <c r="D218" s="481">
        <f t="shared" si="146"/>
        <v>8</v>
      </c>
      <c r="E218" s="481">
        <f t="shared" si="147"/>
        <v>1</v>
      </c>
      <c r="F218" s="481">
        <f t="shared" si="121"/>
        <v>214</v>
      </c>
      <c r="G218" s="431">
        <v>24.537600000000001</v>
      </c>
      <c r="H218" s="455">
        <v>27.66</v>
      </c>
      <c r="I218" s="455">
        <v>18.7</v>
      </c>
      <c r="J218" s="455">
        <v>1.69</v>
      </c>
      <c r="K218" s="485"/>
      <c r="L218" s="433">
        <v>100</v>
      </c>
      <c r="M218" s="455">
        <v>75</v>
      </c>
      <c r="N218" s="484">
        <f>Weather!M219</f>
        <v>0</v>
      </c>
      <c r="O218" s="481" t="str">
        <f t="shared" si="148"/>
        <v/>
      </c>
      <c r="P218" s="4">
        <f t="shared" si="159"/>
        <v>4.4242680611832448</v>
      </c>
      <c r="Q218" s="169">
        <f t="shared" si="122"/>
        <v>3.7057416223068582</v>
      </c>
      <c r="R218" s="169">
        <f t="shared" si="123"/>
        <v>2.1566019800756622</v>
      </c>
      <c r="S218" s="169">
        <f t="shared" si="124"/>
        <v>2.7793062167301437</v>
      </c>
      <c r="T218" s="169">
        <f t="shared" si="125"/>
        <v>2.1566019800756622</v>
      </c>
      <c r="U218" s="169">
        <f t="shared" si="126"/>
        <v>2.4679540984029029</v>
      </c>
      <c r="V218" s="169">
        <f t="shared" si="127"/>
        <v>8.0855542142768716E-2</v>
      </c>
      <c r="W218" s="439">
        <f t="shared" si="128"/>
        <v>20.874869000689003</v>
      </c>
      <c r="X218" s="439">
        <f t="shared" si="129"/>
        <v>20.874869000689003</v>
      </c>
      <c r="Y218" s="169"/>
      <c r="Z218" s="119">
        <f t="shared" si="130"/>
        <v>3</v>
      </c>
      <c r="AA218" s="4">
        <f t="shared" si="131"/>
        <v>1.0261342273931477</v>
      </c>
      <c r="AB218" s="466"/>
      <c r="AC218" s="466"/>
      <c r="AD218" s="466"/>
      <c r="AE218" s="466"/>
      <c r="AF218" s="466"/>
      <c r="AG218" s="466"/>
      <c r="AH218" s="466"/>
      <c r="AI218" s="466"/>
      <c r="AJ218" s="466"/>
      <c r="AK218" s="466"/>
      <c r="AL218" s="466"/>
      <c r="AM218" s="462">
        <f t="shared" si="132"/>
        <v>214</v>
      </c>
      <c r="AN218" s="32">
        <f t="shared" si="149"/>
        <v>0.97173381713526685</v>
      </c>
      <c r="AO218" s="32">
        <f t="shared" si="150"/>
        <v>0.30666623573726248</v>
      </c>
      <c r="AP218" s="32">
        <f t="shared" si="151"/>
        <v>1.8831843275803739</v>
      </c>
      <c r="AQ218" s="32">
        <f t="shared" si="152"/>
        <v>14.386468535404974</v>
      </c>
      <c r="AR218" s="32">
        <f t="shared" si="153"/>
        <v>38.238144237667598</v>
      </c>
      <c r="AS218" s="32">
        <f t="shared" si="133"/>
        <v>28.706139642101821</v>
      </c>
      <c r="AT218" s="32">
        <f t="shared" si="134"/>
        <v>18.893952000000002</v>
      </c>
      <c r="AU218" s="32">
        <f t="shared" si="135"/>
        <v>0.85478578122751003</v>
      </c>
      <c r="AV218" s="32">
        <f t="shared" si="136"/>
        <v>0.80396080465713859</v>
      </c>
      <c r="AW218" s="32">
        <f t="shared" si="137"/>
        <v>3.7057416223068582</v>
      </c>
      <c r="AX218" s="32">
        <f t="shared" si="138"/>
        <v>2.1566019800756622</v>
      </c>
      <c r="AY218" s="32">
        <f t="shared" si="139"/>
        <v>2.4679540984029029</v>
      </c>
      <c r="AZ218" s="32">
        <f t="shared" si="154"/>
        <v>0.12006387216126382</v>
      </c>
      <c r="BA218" s="32">
        <f t="shared" si="140"/>
        <v>-3.6520858743886322</v>
      </c>
      <c r="BB218" s="32">
        <f t="shared" si="155"/>
        <v>15.24186612561137</v>
      </c>
      <c r="BC218" s="32">
        <f t="shared" si="141"/>
        <v>23.18</v>
      </c>
      <c r="BD218" s="32">
        <v>0</v>
      </c>
      <c r="BE218" s="32">
        <f t="shared" si="156"/>
        <v>2.93117180119126</v>
      </c>
      <c r="BF218" s="32">
        <f t="shared" si="157"/>
        <v>0.46321770278835706</v>
      </c>
      <c r="BG218" s="32">
        <f t="shared" si="158"/>
        <v>0.17158270416291194</v>
      </c>
      <c r="BH218" s="32">
        <f t="shared" si="142"/>
        <v>3.8484578086203052</v>
      </c>
      <c r="BI218" s="32">
        <f t="shared" si="143"/>
        <v>0.5758102525629395</v>
      </c>
      <c r="BJ218" s="32">
        <f t="shared" si="144"/>
        <v>4.4242680611832448</v>
      </c>
      <c r="BK218" s="457">
        <f t="shared" si="145"/>
        <v>4.4033632914708525</v>
      </c>
      <c r="BL218" s="2"/>
    </row>
    <row r="219" spans="1:64" ht="15">
      <c r="A219" s="119"/>
      <c r="B219" s="480">
        <f>Input!B236</f>
        <v>38201</v>
      </c>
      <c r="C219" s="481">
        <v>1</v>
      </c>
      <c r="D219" s="481">
        <f t="shared" si="146"/>
        <v>8</v>
      </c>
      <c r="E219" s="481">
        <f t="shared" si="147"/>
        <v>2</v>
      </c>
      <c r="F219" s="481">
        <f t="shared" si="121"/>
        <v>215</v>
      </c>
      <c r="G219" s="431">
        <v>14.169600000000001</v>
      </c>
      <c r="H219" s="455">
        <v>27.99</v>
      </c>
      <c r="I219" s="455">
        <v>17.8</v>
      </c>
      <c r="J219" s="455">
        <v>1.84</v>
      </c>
      <c r="K219" s="485"/>
      <c r="L219" s="433">
        <v>100</v>
      </c>
      <c r="M219" s="455">
        <v>69</v>
      </c>
      <c r="N219" s="484">
        <f>Weather!M220</f>
        <v>0</v>
      </c>
      <c r="O219" s="481" t="str">
        <f t="shared" si="148"/>
        <v/>
      </c>
      <c r="P219" s="4">
        <f t="shared" si="159"/>
        <v>3.118024395994059</v>
      </c>
      <c r="Q219" s="169">
        <f t="shared" si="122"/>
        <v>3.7777300264428453</v>
      </c>
      <c r="R219" s="169">
        <f t="shared" si="123"/>
        <v>2.038176335166181</v>
      </c>
      <c r="S219" s="169">
        <f t="shared" si="124"/>
        <v>2.606633718245563</v>
      </c>
      <c r="T219" s="169">
        <f t="shared" si="125"/>
        <v>2.038176335166181</v>
      </c>
      <c r="U219" s="169">
        <f t="shared" si="126"/>
        <v>2.322405026705872</v>
      </c>
      <c r="V219" s="169">
        <f t="shared" si="127"/>
        <v>7.7335784818070949E-2</v>
      </c>
      <c r="W219" s="439">
        <f t="shared" si="128"/>
        <v>19.889989700868231</v>
      </c>
      <c r="X219" s="439">
        <f t="shared" si="129"/>
        <v>19.889989700868231</v>
      </c>
      <c r="Y219" s="169"/>
      <c r="Z219" s="119">
        <f t="shared" si="130"/>
        <v>3</v>
      </c>
      <c r="AA219" s="4">
        <f t="shared" si="131"/>
        <v>1.0261342273931477</v>
      </c>
      <c r="AB219" s="466"/>
      <c r="AC219" s="466"/>
      <c r="AD219" s="466"/>
      <c r="AE219" s="466"/>
      <c r="AF219" s="466"/>
      <c r="AG219" s="466"/>
      <c r="AH219" s="466"/>
      <c r="AI219" s="466"/>
      <c r="AJ219" s="466"/>
      <c r="AK219" s="466"/>
      <c r="AL219" s="466"/>
      <c r="AM219" s="462">
        <f t="shared" si="132"/>
        <v>215</v>
      </c>
      <c r="AN219" s="32">
        <f t="shared" si="149"/>
        <v>0.97203114954453662</v>
      </c>
      <c r="AO219" s="32">
        <f t="shared" si="150"/>
        <v>0.30196246936923454</v>
      </c>
      <c r="AP219" s="32">
        <f t="shared" si="151"/>
        <v>1.8779180953940706</v>
      </c>
      <c r="AQ219" s="32">
        <f t="shared" si="152"/>
        <v>14.346237484976822</v>
      </c>
      <c r="AR219" s="32">
        <f t="shared" si="153"/>
        <v>38.070299756684342</v>
      </c>
      <c r="AS219" s="32">
        <f t="shared" si="133"/>
        <v>28.580135433338071</v>
      </c>
      <c r="AT219" s="32">
        <f t="shared" si="134"/>
        <v>10.910592000000001</v>
      </c>
      <c r="AU219" s="32">
        <f t="shared" si="135"/>
        <v>0.49578491442246592</v>
      </c>
      <c r="AV219" s="32">
        <f t="shared" si="136"/>
        <v>0.31930963447032901</v>
      </c>
      <c r="AW219" s="32">
        <f t="shared" si="137"/>
        <v>3.7777300264428453</v>
      </c>
      <c r="AX219" s="32">
        <f t="shared" si="138"/>
        <v>2.038176335166181</v>
      </c>
      <c r="AY219" s="32">
        <f t="shared" si="139"/>
        <v>2.322405026705872</v>
      </c>
      <c r="AZ219" s="32">
        <f t="shared" si="154"/>
        <v>0.12664785324859024</v>
      </c>
      <c r="BA219" s="32">
        <f t="shared" si="140"/>
        <v>-1.5247829149217158</v>
      </c>
      <c r="BB219" s="32">
        <f t="shared" si="155"/>
        <v>9.3858090850782858</v>
      </c>
      <c r="BC219" s="32">
        <f t="shared" si="141"/>
        <v>22.895</v>
      </c>
      <c r="BD219" s="32">
        <v>0</v>
      </c>
      <c r="BE219" s="32">
        <f t="shared" si="156"/>
        <v>2.9079531808045131</v>
      </c>
      <c r="BF219" s="32">
        <f t="shared" si="157"/>
        <v>0.58554815409864114</v>
      </c>
      <c r="BG219" s="32">
        <f t="shared" si="158"/>
        <v>0.16902080734267735</v>
      </c>
      <c r="BH219" s="32">
        <f t="shared" si="142"/>
        <v>2.3272370143913048</v>
      </c>
      <c r="BI219" s="32">
        <f t="shared" si="143"/>
        <v>0.7907873816027543</v>
      </c>
      <c r="BJ219" s="32">
        <f t="shared" si="144"/>
        <v>3.118024395994059</v>
      </c>
      <c r="BK219" s="457">
        <f t="shared" si="145"/>
        <v>4.6427595589418669</v>
      </c>
      <c r="BL219" s="2"/>
    </row>
    <row r="220" spans="1:64" ht="15">
      <c r="A220" s="119"/>
      <c r="B220" s="480">
        <f>Input!B237</f>
        <v>38202</v>
      </c>
      <c r="C220" s="481">
        <v>1</v>
      </c>
      <c r="D220" s="481">
        <f t="shared" si="146"/>
        <v>8</v>
      </c>
      <c r="E220" s="481">
        <f t="shared" si="147"/>
        <v>3</v>
      </c>
      <c r="F220" s="481">
        <f t="shared" si="121"/>
        <v>216</v>
      </c>
      <c r="G220" s="431">
        <v>25.574400000000001</v>
      </c>
      <c r="H220" s="455">
        <v>27.57</v>
      </c>
      <c r="I220" s="455">
        <v>19.7</v>
      </c>
      <c r="J220" s="455">
        <v>1.53</v>
      </c>
      <c r="K220" s="485"/>
      <c r="L220" s="433">
        <v>100</v>
      </c>
      <c r="M220" s="455">
        <v>80</v>
      </c>
      <c r="N220" s="484">
        <f>Weather!M221</f>
        <v>0</v>
      </c>
      <c r="O220" s="481" t="str">
        <f t="shared" si="148"/>
        <v/>
      </c>
      <c r="P220" s="4">
        <f t="shared" si="159"/>
        <v>4.5357482562597031</v>
      </c>
      <c r="Q220" s="169">
        <f t="shared" si="122"/>
        <v>3.6863169410019108</v>
      </c>
      <c r="R220" s="169">
        <f t="shared" si="123"/>
        <v>2.2952083710657747</v>
      </c>
      <c r="S220" s="169">
        <f t="shared" si="124"/>
        <v>2.9490535528015287</v>
      </c>
      <c r="T220" s="169">
        <f t="shared" si="125"/>
        <v>2.2952083710657747</v>
      </c>
      <c r="U220" s="169">
        <f t="shared" si="126"/>
        <v>2.6221309619336517</v>
      </c>
      <c r="V220" s="169">
        <f t="shared" si="127"/>
        <v>8.4364391260854515E-2</v>
      </c>
      <c r="W220" s="439">
        <f t="shared" si="128"/>
        <v>21.864232730931462</v>
      </c>
      <c r="X220" s="439">
        <f t="shared" si="129"/>
        <v>21.864232730931462</v>
      </c>
      <c r="Y220" s="169"/>
      <c r="Z220" s="119">
        <f t="shared" si="130"/>
        <v>3</v>
      </c>
      <c r="AA220" s="4">
        <f t="shared" si="131"/>
        <v>1.0261342273931477</v>
      </c>
      <c r="AB220" s="466"/>
      <c r="AC220" s="466"/>
      <c r="AD220" s="466"/>
      <c r="AE220" s="466"/>
      <c r="AF220" s="466"/>
      <c r="AG220" s="466"/>
      <c r="AH220" s="466"/>
      <c r="AI220" s="466"/>
      <c r="AJ220" s="466"/>
      <c r="AK220" s="466"/>
      <c r="AL220" s="466"/>
      <c r="AM220" s="462">
        <f t="shared" si="132"/>
        <v>216</v>
      </c>
      <c r="AN220" s="32">
        <f t="shared" si="149"/>
        <v>0.97233676972781347</v>
      </c>
      <c r="AO220" s="32">
        <f t="shared" si="150"/>
        <v>0.29716922500464871</v>
      </c>
      <c r="AP220" s="32">
        <f t="shared" si="151"/>
        <v>1.8725765277341435</v>
      </c>
      <c r="AQ220" s="32">
        <f t="shared" si="152"/>
        <v>14.305430913923837</v>
      </c>
      <c r="AR220" s="32">
        <f t="shared" si="153"/>
        <v>37.899063018775131</v>
      </c>
      <c r="AS220" s="32">
        <f t="shared" si="133"/>
        <v>28.451584589454868</v>
      </c>
      <c r="AT220" s="32">
        <f t="shared" si="134"/>
        <v>19.692288000000001</v>
      </c>
      <c r="AU220" s="32">
        <f t="shared" si="135"/>
        <v>0.89887436390726549</v>
      </c>
      <c r="AV220" s="32">
        <f t="shared" si="136"/>
        <v>0.86348039127480847</v>
      </c>
      <c r="AW220" s="32">
        <f t="shared" si="137"/>
        <v>3.6863169410019108</v>
      </c>
      <c r="AX220" s="32">
        <f t="shared" si="138"/>
        <v>2.2952083710657747</v>
      </c>
      <c r="AY220" s="32">
        <f t="shared" si="139"/>
        <v>2.6221309619336526</v>
      </c>
      <c r="AZ220" s="32">
        <f t="shared" si="154"/>
        <v>0.11329806605611059</v>
      </c>
      <c r="BA220" s="32">
        <f t="shared" si="140"/>
        <v>-3.723031382485666</v>
      </c>
      <c r="BB220" s="32">
        <f t="shared" si="155"/>
        <v>15.969256617514336</v>
      </c>
      <c r="BC220" s="32">
        <f t="shared" si="141"/>
        <v>23.634999999999998</v>
      </c>
      <c r="BD220" s="32">
        <v>0</v>
      </c>
      <c r="BE220" s="32">
        <f t="shared" si="156"/>
        <v>2.9907626560338425</v>
      </c>
      <c r="BF220" s="32">
        <f t="shared" si="157"/>
        <v>0.36863169410018992</v>
      </c>
      <c r="BG220" s="32">
        <f t="shared" si="158"/>
        <v>0.1757406348709627</v>
      </c>
      <c r="BH220" s="32">
        <f t="shared" si="142"/>
        <v>4.1222901017789138</v>
      </c>
      <c r="BI220" s="32">
        <f t="shared" si="143"/>
        <v>0.41345815448078932</v>
      </c>
      <c r="BJ220" s="32">
        <f t="shared" si="144"/>
        <v>4.5357482562597031</v>
      </c>
      <c r="BK220" s="457">
        <f t="shared" si="145"/>
        <v>4.1356610150437509</v>
      </c>
      <c r="BL220" s="2"/>
    </row>
    <row r="221" spans="1:64" ht="15">
      <c r="A221" s="119"/>
      <c r="B221" s="480">
        <f>Input!B238</f>
        <v>38203</v>
      </c>
      <c r="C221" s="481">
        <v>1</v>
      </c>
      <c r="D221" s="481">
        <f t="shared" si="146"/>
        <v>8</v>
      </c>
      <c r="E221" s="481">
        <f t="shared" si="147"/>
        <v>4</v>
      </c>
      <c r="F221" s="481">
        <f t="shared" si="121"/>
        <v>217</v>
      </c>
      <c r="G221" s="431">
        <v>23.241599999999998</v>
      </c>
      <c r="H221" s="455">
        <v>27.83</v>
      </c>
      <c r="I221" s="455">
        <v>19.600000000000001</v>
      </c>
      <c r="J221" s="455">
        <v>2.13</v>
      </c>
      <c r="K221" s="485"/>
      <c r="L221" s="433">
        <v>97</v>
      </c>
      <c r="M221" s="455">
        <v>80</v>
      </c>
      <c r="N221" s="484">
        <f>Weather!M222</f>
        <v>0</v>
      </c>
      <c r="O221" s="481" t="str">
        <f t="shared" si="148"/>
        <v/>
      </c>
      <c r="P221" s="4">
        <f t="shared" si="159"/>
        <v>4.20416831576504</v>
      </c>
      <c r="Q221" s="169">
        <f t="shared" si="122"/>
        <v>3.742675956233704</v>
      </c>
      <c r="R221" s="169">
        <f t="shared" si="123"/>
        <v>2.2810057729824531</v>
      </c>
      <c r="S221" s="169">
        <f t="shared" si="124"/>
        <v>2.9941407649869634</v>
      </c>
      <c r="T221" s="169">
        <f t="shared" si="125"/>
        <v>2.2125755997929795</v>
      </c>
      <c r="U221" s="169">
        <f t="shared" si="126"/>
        <v>2.6033581823899716</v>
      </c>
      <c r="V221" s="169">
        <f t="shared" si="127"/>
        <v>8.394834544688877E-2</v>
      </c>
      <c r="W221" s="439">
        <f t="shared" si="128"/>
        <v>21.746527366150531</v>
      </c>
      <c r="X221" s="439">
        <f t="shared" si="129"/>
        <v>21.746527366150531</v>
      </c>
      <c r="Y221" s="169"/>
      <c r="Z221" s="119">
        <f t="shared" si="130"/>
        <v>3</v>
      </c>
      <c r="AA221" s="4">
        <f t="shared" si="131"/>
        <v>1.0261342273931477</v>
      </c>
      <c r="AB221" s="466"/>
      <c r="AC221" s="466"/>
      <c r="AD221" s="466"/>
      <c r="AE221" s="466"/>
      <c r="AF221" s="466"/>
      <c r="AG221" s="466"/>
      <c r="AH221" s="466"/>
      <c r="AI221" s="466"/>
      <c r="AJ221" s="466"/>
      <c r="AK221" s="466"/>
      <c r="AL221" s="466"/>
      <c r="AM221" s="462">
        <f t="shared" si="132"/>
        <v>217</v>
      </c>
      <c r="AN221" s="32">
        <f t="shared" si="149"/>
        <v>0.97265058712324137</v>
      </c>
      <c r="AO221" s="32">
        <f t="shared" si="150"/>
        <v>0.29228792298525702</v>
      </c>
      <c r="AP221" s="32">
        <f t="shared" si="151"/>
        <v>1.8671619912770312</v>
      </c>
      <c r="AQ221" s="32">
        <f t="shared" si="152"/>
        <v>14.264066902322202</v>
      </c>
      <c r="AR221" s="32">
        <f t="shared" si="153"/>
        <v>37.724466167856214</v>
      </c>
      <c r="AS221" s="32">
        <f t="shared" si="133"/>
        <v>28.320511241533019</v>
      </c>
      <c r="AT221" s="32">
        <f t="shared" si="134"/>
        <v>17.896031999999998</v>
      </c>
      <c r="AU221" s="32">
        <f t="shared" si="135"/>
        <v>0.82066315123278499</v>
      </c>
      <c r="AV221" s="32">
        <f t="shared" si="136"/>
        <v>0.75789525416425974</v>
      </c>
      <c r="AW221" s="32">
        <f t="shared" si="137"/>
        <v>3.742675956233704</v>
      </c>
      <c r="AX221" s="32">
        <f t="shared" si="138"/>
        <v>2.2810057729824531</v>
      </c>
      <c r="AY221" s="32">
        <f t="shared" si="139"/>
        <v>2.6033581823899716</v>
      </c>
      <c r="AZ221" s="32">
        <f t="shared" si="154"/>
        <v>0.11411104415035375</v>
      </c>
      <c r="BA221" s="32">
        <f t="shared" si="140"/>
        <v>-3.295105640246605</v>
      </c>
      <c r="BB221" s="32">
        <f t="shared" si="155"/>
        <v>14.600926359753393</v>
      </c>
      <c r="BC221" s="32">
        <f t="shared" si="141"/>
        <v>23.715</v>
      </c>
      <c r="BD221" s="32">
        <v>0</v>
      </c>
      <c r="BE221" s="32">
        <f t="shared" si="156"/>
        <v>3.0118408646080788</v>
      </c>
      <c r="BF221" s="32">
        <f t="shared" si="157"/>
        <v>0.40848268221810713</v>
      </c>
      <c r="BG221" s="32">
        <f t="shared" si="158"/>
        <v>0.17648041251807381</v>
      </c>
      <c r="BH221" s="32">
        <f t="shared" si="142"/>
        <v>3.5980084249701232</v>
      </c>
      <c r="BI221" s="32">
        <f t="shared" si="143"/>
        <v>0.60615989079491706</v>
      </c>
      <c r="BJ221" s="32">
        <f t="shared" si="144"/>
        <v>4.20416831576504</v>
      </c>
      <c r="BK221" s="457">
        <f t="shared" si="145"/>
        <v>4.217837215049248</v>
      </c>
      <c r="BL221" s="2"/>
    </row>
    <row r="222" spans="1:64" ht="15">
      <c r="A222" s="119"/>
      <c r="B222" s="480">
        <f>Input!B239</f>
        <v>38204</v>
      </c>
      <c r="C222" s="481">
        <v>1</v>
      </c>
      <c r="D222" s="481">
        <f t="shared" si="146"/>
        <v>8</v>
      </c>
      <c r="E222" s="481">
        <f t="shared" si="147"/>
        <v>5</v>
      </c>
      <c r="F222" s="481">
        <f t="shared" si="121"/>
        <v>218</v>
      </c>
      <c r="G222" s="431">
        <v>21.6</v>
      </c>
      <c r="H222" s="455">
        <v>28.32</v>
      </c>
      <c r="I222" s="455">
        <v>21.7</v>
      </c>
      <c r="J222" s="455">
        <v>1.9</v>
      </c>
      <c r="K222" s="485"/>
      <c r="L222" s="433">
        <v>100</v>
      </c>
      <c r="M222" s="455">
        <v>84</v>
      </c>
      <c r="N222" s="484">
        <f>Weather!M223</f>
        <v>0</v>
      </c>
      <c r="O222" s="481" t="str">
        <f t="shared" si="148"/>
        <v/>
      </c>
      <c r="P222" s="4">
        <f t="shared" si="159"/>
        <v>3.9882386942261037</v>
      </c>
      <c r="Q222" s="169">
        <f t="shared" si="122"/>
        <v>3.8509327866725735</v>
      </c>
      <c r="R222" s="169">
        <f t="shared" si="123"/>
        <v>2.5959699942202965</v>
      </c>
      <c r="S222" s="169">
        <f t="shared" si="124"/>
        <v>3.2347835408049614</v>
      </c>
      <c r="T222" s="169">
        <f t="shared" si="125"/>
        <v>2.5959699942202965</v>
      </c>
      <c r="U222" s="169">
        <f t="shared" si="126"/>
        <v>2.9153767675126288</v>
      </c>
      <c r="V222" s="169">
        <f t="shared" si="127"/>
        <v>9.0502881782204322E-2</v>
      </c>
      <c r="W222" s="439">
        <f t="shared" si="128"/>
        <v>23.61341604798157</v>
      </c>
      <c r="X222" s="439">
        <f t="shared" si="129"/>
        <v>23.61341604798157</v>
      </c>
      <c r="Y222" s="169"/>
      <c r="Z222" s="119">
        <f t="shared" si="130"/>
        <v>3</v>
      </c>
      <c r="AA222" s="4">
        <f t="shared" si="131"/>
        <v>1.0261342273931477</v>
      </c>
      <c r="AB222" s="466"/>
      <c r="AC222" s="466"/>
      <c r="AD222" s="466"/>
      <c r="AE222" s="466"/>
      <c r="AF222" s="466"/>
      <c r="AG222" s="466"/>
      <c r="AH222" s="466"/>
      <c r="AI222" s="466"/>
      <c r="AJ222" s="466"/>
      <c r="AK222" s="466"/>
      <c r="AL222" s="466"/>
      <c r="AM222" s="462">
        <f t="shared" si="132"/>
        <v>218</v>
      </c>
      <c r="AN222" s="32">
        <f t="shared" si="149"/>
        <v>0.97297250873995333</v>
      </c>
      <c r="AO222" s="32">
        <f t="shared" si="150"/>
        <v>0.28732000974619459</v>
      </c>
      <c r="AP222" s="32">
        <f t="shared" si="151"/>
        <v>1.861676823162485</v>
      </c>
      <c r="AQ222" s="32">
        <f t="shared" si="152"/>
        <v>14.222163304604438</v>
      </c>
      <c r="AR222" s="32">
        <f t="shared" si="153"/>
        <v>37.546542355404796</v>
      </c>
      <c r="AS222" s="32">
        <f t="shared" si="133"/>
        <v>28.186940277049491</v>
      </c>
      <c r="AT222" s="32">
        <f t="shared" si="134"/>
        <v>16.632000000000001</v>
      </c>
      <c r="AU222" s="32">
        <f t="shared" si="135"/>
        <v>0.76631233428295376</v>
      </c>
      <c r="AV222" s="32">
        <f t="shared" si="136"/>
        <v>0.68452165128198772</v>
      </c>
      <c r="AW222" s="32">
        <f t="shared" si="137"/>
        <v>3.8509327866725735</v>
      </c>
      <c r="AX222" s="32">
        <f t="shared" si="138"/>
        <v>2.5959699942202965</v>
      </c>
      <c r="AY222" s="32">
        <f t="shared" si="139"/>
        <v>2.9153767675126288</v>
      </c>
      <c r="AZ222" s="32">
        <f t="shared" si="154"/>
        <v>0.10095735810686932</v>
      </c>
      <c r="BA222" s="32">
        <f t="shared" si="140"/>
        <v>-2.6781801838476404</v>
      </c>
      <c r="BB222" s="32">
        <f t="shared" si="155"/>
        <v>13.953819816152361</v>
      </c>
      <c r="BC222" s="32">
        <f t="shared" si="141"/>
        <v>25.009999999999998</v>
      </c>
      <c r="BD222" s="32">
        <v>0</v>
      </c>
      <c r="BE222" s="32">
        <f t="shared" si="156"/>
        <v>3.223451390446435</v>
      </c>
      <c r="BF222" s="32">
        <f t="shared" si="157"/>
        <v>0.30807462293380627</v>
      </c>
      <c r="BG222" s="32">
        <f t="shared" si="158"/>
        <v>0.1888259168419289</v>
      </c>
      <c r="BH222" s="32">
        <f t="shared" si="142"/>
        <v>3.5918425203281359</v>
      </c>
      <c r="BI222" s="32">
        <f t="shared" si="143"/>
        <v>0.39639617389796789</v>
      </c>
      <c r="BJ222" s="32">
        <f t="shared" si="144"/>
        <v>3.9882386942261037</v>
      </c>
      <c r="BK222" s="457">
        <f t="shared" si="145"/>
        <v>3.8824504649593408</v>
      </c>
      <c r="BL222" s="2"/>
    </row>
    <row r="223" spans="1:64" ht="15">
      <c r="A223" s="119"/>
      <c r="B223" s="480">
        <f>Input!B240</f>
        <v>38205</v>
      </c>
      <c r="C223" s="481">
        <v>1</v>
      </c>
      <c r="D223" s="481">
        <f t="shared" si="146"/>
        <v>8</v>
      </c>
      <c r="E223" s="481">
        <f t="shared" si="147"/>
        <v>6</v>
      </c>
      <c r="F223" s="481">
        <f t="shared" si="121"/>
        <v>219</v>
      </c>
      <c r="G223" s="431">
        <v>24.278400000000001</v>
      </c>
      <c r="H223" s="455">
        <v>28.17</v>
      </c>
      <c r="I223" s="455">
        <v>22.5</v>
      </c>
      <c r="J223" s="455">
        <v>2.04</v>
      </c>
      <c r="K223" s="485"/>
      <c r="L223" s="433">
        <v>89</v>
      </c>
      <c r="M223" s="455">
        <v>87</v>
      </c>
      <c r="N223" s="484">
        <f>Weather!M224</f>
        <v>0</v>
      </c>
      <c r="O223" s="481" t="str">
        <f t="shared" si="148"/>
        <v/>
      </c>
      <c r="P223" s="4">
        <f t="shared" si="159"/>
        <v>4.4909729125824436</v>
      </c>
      <c r="Q223" s="169">
        <f t="shared" si="122"/>
        <v>3.8175071730979542</v>
      </c>
      <c r="R223" s="169">
        <f t="shared" si="123"/>
        <v>2.7255876066054592</v>
      </c>
      <c r="S223" s="169">
        <f t="shared" si="124"/>
        <v>3.3212312405952202</v>
      </c>
      <c r="T223" s="169">
        <f t="shared" si="125"/>
        <v>2.4257729698788588</v>
      </c>
      <c r="U223" s="169">
        <f t="shared" si="126"/>
        <v>2.8735021052370397</v>
      </c>
      <c r="V223" s="169">
        <f t="shared" si="127"/>
        <v>8.9665155601717325E-2</v>
      </c>
      <c r="W223" s="439">
        <f t="shared" si="128"/>
        <v>23.373313188238608</v>
      </c>
      <c r="X223" s="439">
        <f t="shared" si="129"/>
        <v>23.373313188238608</v>
      </c>
      <c r="Y223" s="169"/>
      <c r="Z223" s="119">
        <f t="shared" si="130"/>
        <v>3</v>
      </c>
      <c r="AA223" s="4">
        <f t="shared" si="131"/>
        <v>1.0261342273931477</v>
      </c>
      <c r="AB223" s="466"/>
      <c r="AC223" s="466"/>
      <c r="AD223" s="466"/>
      <c r="AE223" s="466"/>
      <c r="AF223" s="466"/>
      <c r="AG223" s="466"/>
      <c r="AH223" s="466"/>
      <c r="AI223" s="466"/>
      <c r="AJ223" s="466"/>
      <c r="AK223" s="466"/>
      <c r="AL223" s="466"/>
      <c r="AM223" s="462">
        <f t="shared" si="132"/>
        <v>219</v>
      </c>
      <c r="AN223" s="32">
        <f t="shared" si="149"/>
        <v>0.97330243918562676</v>
      </c>
      <c r="AO223" s="32">
        <f t="shared" si="150"/>
        <v>0.28226695738737095</v>
      </c>
      <c r="AP223" s="32">
        <f t="shared" si="151"/>
        <v>1.8561233291456152</v>
      </c>
      <c r="AQ223" s="32">
        <f t="shared" si="152"/>
        <v>14.179737735442068</v>
      </c>
      <c r="AR223" s="32">
        <f t="shared" si="153"/>
        <v>37.365325770469383</v>
      </c>
      <c r="AS223" s="32">
        <f t="shared" si="133"/>
        <v>28.050897362406776</v>
      </c>
      <c r="AT223" s="32">
        <f t="shared" si="134"/>
        <v>18.694368000000001</v>
      </c>
      <c r="AU223" s="32">
        <f t="shared" si="135"/>
        <v>0.86551241788568956</v>
      </c>
      <c r="AV223" s="32">
        <f t="shared" si="136"/>
        <v>0.81844176414568104</v>
      </c>
      <c r="AW223" s="32">
        <f t="shared" si="137"/>
        <v>3.8175071730979542</v>
      </c>
      <c r="AX223" s="32">
        <f t="shared" si="138"/>
        <v>2.7255876066054592</v>
      </c>
      <c r="AY223" s="32">
        <f t="shared" si="139"/>
        <v>2.8735021052370389</v>
      </c>
      <c r="AZ223" s="32">
        <f t="shared" si="154"/>
        <v>0.10268029735682299</v>
      </c>
      <c r="BA223" s="32">
        <f t="shared" si="140"/>
        <v>-3.2703635559350306</v>
      </c>
      <c r="BB223" s="32">
        <f t="shared" si="155"/>
        <v>15.42400444406497</v>
      </c>
      <c r="BC223" s="32">
        <f t="shared" si="141"/>
        <v>25.335000000000001</v>
      </c>
      <c r="BD223" s="32">
        <v>0</v>
      </c>
      <c r="BE223" s="32">
        <f t="shared" si="156"/>
        <v>3.2715473898517065</v>
      </c>
      <c r="BF223" s="32">
        <f t="shared" si="157"/>
        <v>0.39804528461466759</v>
      </c>
      <c r="BG223" s="32">
        <f t="shared" si="158"/>
        <v>0.19203590607620052</v>
      </c>
      <c r="BH223" s="32">
        <f t="shared" si="142"/>
        <v>3.9531815600016222</v>
      </c>
      <c r="BI223" s="32">
        <f t="shared" si="143"/>
        <v>0.53779135258082145</v>
      </c>
      <c r="BJ223" s="32">
        <f t="shared" si="144"/>
        <v>4.4909729125824436</v>
      </c>
      <c r="BK223" s="457">
        <f t="shared" si="145"/>
        <v>3.6028970816757471</v>
      </c>
      <c r="BL223" s="2"/>
    </row>
    <row r="224" spans="1:64" ht="15">
      <c r="A224" s="119"/>
      <c r="B224" s="480">
        <f>Input!B241</f>
        <v>38206</v>
      </c>
      <c r="C224" s="481">
        <v>1</v>
      </c>
      <c r="D224" s="481">
        <f t="shared" si="146"/>
        <v>8</v>
      </c>
      <c r="E224" s="481">
        <f t="shared" si="147"/>
        <v>7</v>
      </c>
      <c r="F224" s="481">
        <f t="shared" si="121"/>
        <v>220</v>
      </c>
      <c r="G224" s="431">
        <v>25.056000000000001</v>
      </c>
      <c r="H224" s="455">
        <v>27.74</v>
      </c>
      <c r="I224" s="455">
        <v>21</v>
      </c>
      <c r="J224" s="455">
        <v>1.85</v>
      </c>
      <c r="K224" s="485"/>
      <c r="L224" s="433">
        <v>94</v>
      </c>
      <c r="M224" s="455">
        <v>68</v>
      </c>
      <c r="N224" s="484">
        <f>Weather!M225</f>
        <v>0</v>
      </c>
      <c r="O224" s="481" t="str">
        <f t="shared" si="148"/>
        <v/>
      </c>
      <c r="P224" s="4">
        <f t="shared" si="159"/>
        <v>4.7594598896694214</v>
      </c>
      <c r="Q224" s="169">
        <f t="shared" si="122"/>
        <v>3.7230827618163569</v>
      </c>
      <c r="R224" s="169">
        <f t="shared" si="123"/>
        <v>2.4870053972720654</v>
      </c>
      <c r="S224" s="169">
        <f t="shared" si="124"/>
        <v>2.5316962780351226</v>
      </c>
      <c r="T224" s="169">
        <f t="shared" si="125"/>
        <v>2.3377850734357413</v>
      </c>
      <c r="U224" s="169">
        <f t="shared" si="126"/>
        <v>2.4347406757354317</v>
      </c>
      <c r="V224" s="169">
        <f t="shared" si="127"/>
        <v>8.0070987714507588E-2</v>
      </c>
      <c r="W224" s="439">
        <f t="shared" si="128"/>
        <v>20.654686536569297</v>
      </c>
      <c r="X224" s="439">
        <f t="shared" si="129"/>
        <v>20.654686536569297</v>
      </c>
      <c r="Y224" s="169"/>
      <c r="Z224" s="119">
        <f t="shared" si="130"/>
        <v>3</v>
      </c>
      <c r="AA224" s="4">
        <f t="shared" si="131"/>
        <v>1.0261342273931477</v>
      </c>
      <c r="AB224" s="466"/>
      <c r="AC224" s="466"/>
      <c r="AD224" s="466"/>
      <c r="AE224" s="466"/>
      <c r="AF224" s="466"/>
      <c r="AG224" s="466"/>
      <c r="AH224" s="466"/>
      <c r="AI224" s="466"/>
      <c r="AJ224" s="466"/>
      <c r="AK224" s="466"/>
      <c r="AL224" s="466"/>
      <c r="AM224" s="462">
        <f t="shared" si="132"/>
        <v>220</v>
      </c>
      <c r="AN224" s="32">
        <f t="shared" si="149"/>
        <v>0.97364028069474995</v>
      </c>
      <c r="AO224" s="32">
        <f t="shared" si="150"/>
        <v>0.27713026323725326</v>
      </c>
      <c r="AP224" s="32">
        <f t="shared" si="151"/>
        <v>1.8505037819311834</v>
      </c>
      <c r="AQ224" s="32">
        <f t="shared" si="152"/>
        <v>14.136807557020541</v>
      </c>
      <c r="AR224" s="32">
        <f t="shared" si="153"/>
        <v>37.180851669913018</v>
      </c>
      <c r="AS224" s="32">
        <f t="shared" si="133"/>
        <v>27.912408965637102</v>
      </c>
      <c r="AT224" s="32">
        <f t="shared" si="134"/>
        <v>19.293120000000002</v>
      </c>
      <c r="AU224" s="32">
        <f t="shared" si="135"/>
        <v>0.89766526532505242</v>
      </c>
      <c r="AV224" s="32">
        <f t="shared" si="136"/>
        <v>0.86184810818882085</v>
      </c>
      <c r="AW224" s="32">
        <f t="shared" si="137"/>
        <v>3.7230827618163569</v>
      </c>
      <c r="AX224" s="32">
        <f t="shared" si="138"/>
        <v>2.4870053972720654</v>
      </c>
      <c r="AY224" s="32">
        <f t="shared" si="139"/>
        <v>2.4347406757354317</v>
      </c>
      <c r="AZ224" s="32">
        <f t="shared" si="154"/>
        <v>0.12154882182873342</v>
      </c>
      <c r="BA224" s="32">
        <f t="shared" si="140"/>
        <v>-4.0250977036752049</v>
      </c>
      <c r="BB224" s="32">
        <f t="shared" si="155"/>
        <v>15.268022296324798</v>
      </c>
      <c r="BC224" s="32">
        <f t="shared" si="141"/>
        <v>24.369999999999997</v>
      </c>
      <c r="BD224" s="32">
        <v>0</v>
      </c>
      <c r="BE224" s="32">
        <f t="shared" si="156"/>
        <v>3.1050440795442111</v>
      </c>
      <c r="BF224" s="32">
        <f t="shared" si="157"/>
        <v>0.6703034038087794</v>
      </c>
      <c r="BG224" s="32">
        <f t="shared" si="158"/>
        <v>0.18263672468930234</v>
      </c>
      <c r="BH224" s="32">
        <f t="shared" si="142"/>
        <v>3.8967482720531761</v>
      </c>
      <c r="BI224" s="32">
        <f t="shared" si="143"/>
        <v>0.86271161761624537</v>
      </c>
      <c r="BJ224" s="32">
        <f t="shared" si="144"/>
        <v>4.7594598896694214</v>
      </c>
      <c r="BK224" s="457">
        <f t="shared" si="145"/>
        <v>3.821330797719027</v>
      </c>
      <c r="BL224" s="2"/>
    </row>
    <row r="225" spans="1:64" ht="15">
      <c r="A225" s="119"/>
      <c r="B225" s="480">
        <f>Input!B242</f>
        <v>38207</v>
      </c>
      <c r="C225" s="481">
        <v>1</v>
      </c>
      <c r="D225" s="481">
        <f t="shared" si="146"/>
        <v>8</v>
      </c>
      <c r="E225" s="481">
        <f t="shared" si="147"/>
        <v>8</v>
      </c>
      <c r="F225" s="481">
        <f t="shared" si="121"/>
        <v>221</v>
      </c>
      <c r="G225" s="431">
        <v>20.303999999999998</v>
      </c>
      <c r="H225" s="455">
        <v>26.96</v>
      </c>
      <c r="I225" s="455">
        <v>18.100000000000001</v>
      </c>
      <c r="J225" s="455">
        <v>1.66</v>
      </c>
      <c r="K225" s="485"/>
      <c r="L225" s="433">
        <v>96</v>
      </c>
      <c r="M225" s="455">
        <v>85</v>
      </c>
      <c r="N225" s="484">
        <f>Weather!M226</f>
        <v>0</v>
      </c>
      <c r="O225" s="481" t="str">
        <f t="shared" si="148"/>
        <v/>
      </c>
      <c r="P225" s="4">
        <f t="shared" si="159"/>
        <v>3.5860255885033321</v>
      </c>
      <c r="Q225" s="169">
        <f t="shared" si="122"/>
        <v>3.5569819732584205</v>
      </c>
      <c r="R225" s="169">
        <f t="shared" si="123"/>
        <v>2.0770026187312354</v>
      </c>
      <c r="S225" s="169">
        <f t="shared" si="124"/>
        <v>3.0234346772696572</v>
      </c>
      <c r="T225" s="169">
        <f t="shared" si="125"/>
        <v>1.9939225139819858</v>
      </c>
      <c r="U225" s="169">
        <f t="shared" si="126"/>
        <v>2.5086785956258213</v>
      </c>
      <c r="V225" s="169">
        <f t="shared" si="127"/>
        <v>8.180323475557659E-2</v>
      </c>
      <c r="W225" s="439">
        <f t="shared" si="128"/>
        <v>21.141337393331906</v>
      </c>
      <c r="X225" s="439">
        <f t="shared" si="129"/>
        <v>21.141337393331906</v>
      </c>
      <c r="Y225" s="169"/>
      <c r="Z225" s="119">
        <f t="shared" si="130"/>
        <v>3</v>
      </c>
      <c r="AA225" s="4">
        <f t="shared" si="131"/>
        <v>1.0261342273931477</v>
      </c>
      <c r="AB225" s="466"/>
      <c r="AC225" s="466"/>
      <c r="AD225" s="466"/>
      <c r="AE225" s="466"/>
      <c r="AF225" s="466"/>
      <c r="AG225" s="466"/>
      <c r="AH225" s="466"/>
      <c r="AI225" s="466"/>
      <c r="AJ225" s="466"/>
      <c r="AK225" s="466"/>
      <c r="AL225" s="466"/>
      <c r="AM225" s="462">
        <f t="shared" si="132"/>
        <v>221</v>
      </c>
      <c r="AN225" s="32">
        <f t="shared" si="149"/>
        <v>0.97398593315759263</v>
      </c>
      <c r="AO225" s="32">
        <f t="shared" si="150"/>
        <v>0.2719114494091775</v>
      </c>
      <c r="AP225" s="32">
        <f t="shared" si="151"/>
        <v>1.8448204196864018</v>
      </c>
      <c r="AQ225" s="32">
        <f t="shared" si="152"/>
        <v>14.093389867677876</v>
      </c>
      <c r="AR225" s="32">
        <f t="shared" si="153"/>
        <v>36.99315640875497</v>
      </c>
      <c r="AS225" s="32">
        <f t="shared" si="133"/>
        <v>27.771502379180532</v>
      </c>
      <c r="AT225" s="32">
        <f t="shared" si="134"/>
        <v>15.634079999999999</v>
      </c>
      <c r="AU225" s="32">
        <f t="shared" si="135"/>
        <v>0.73110916805211457</v>
      </c>
      <c r="AV225" s="32">
        <f t="shared" si="136"/>
        <v>0.63699737687035474</v>
      </c>
      <c r="AW225" s="32">
        <f t="shared" si="137"/>
        <v>3.5569819732584205</v>
      </c>
      <c r="AX225" s="32">
        <f t="shared" si="138"/>
        <v>2.0770026187312354</v>
      </c>
      <c r="AY225" s="32">
        <f t="shared" si="139"/>
        <v>2.5086785956258213</v>
      </c>
      <c r="AZ225" s="32">
        <f t="shared" si="154"/>
        <v>0.11825667885082514</v>
      </c>
      <c r="BA225" s="32">
        <f t="shared" si="140"/>
        <v>-2.8250865141466805</v>
      </c>
      <c r="BB225" s="32">
        <f t="shared" si="155"/>
        <v>12.808993485853318</v>
      </c>
      <c r="BC225" s="32">
        <f t="shared" si="141"/>
        <v>22.53</v>
      </c>
      <c r="BD225" s="32">
        <v>0</v>
      </c>
      <c r="BE225" s="32">
        <f t="shared" si="156"/>
        <v>2.8169922959948277</v>
      </c>
      <c r="BF225" s="32">
        <f t="shared" si="157"/>
        <v>0.3083137003690064</v>
      </c>
      <c r="BG225" s="32">
        <f t="shared" si="158"/>
        <v>0.16578699531838623</v>
      </c>
      <c r="BH225" s="32">
        <f t="shared" si="142"/>
        <v>3.1997175810119098</v>
      </c>
      <c r="BI225" s="32">
        <f t="shared" si="143"/>
        <v>0.3863080074914223</v>
      </c>
      <c r="BJ225" s="32">
        <f t="shared" si="144"/>
        <v>3.5860255885033321</v>
      </c>
      <c r="BK225" s="457">
        <f t="shared" si="145"/>
        <v>4.1689647525153744</v>
      </c>
      <c r="BL225" s="2"/>
    </row>
    <row r="226" spans="1:64" ht="15">
      <c r="A226" s="119"/>
      <c r="B226" s="480">
        <f>Input!B243</f>
        <v>38208</v>
      </c>
      <c r="C226" s="481">
        <v>1</v>
      </c>
      <c r="D226" s="481">
        <f t="shared" si="146"/>
        <v>8</v>
      </c>
      <c r="E226" s="481">
        <f t="shared" si="147"/>
        <v>9</v>
      </c>
      <c r="F226" s="481">
        <f t="shared" si="121"/>
        <v>222</v>
      </c>
      <c r="G226" s="431">
        <v>23.414400000000001</v>
      </c>
      <c r="H226" s="455">
        <v>26.83</v>
      </c>
      <c r="I226" s="455">
        <v>18</v>
      </c>
      <c r="J226" s="455">
        <v>2.29</v>
      </c>
      <c r="K226" s="485"/>
      <c r="L226" s="433">
        <v>100</v>
      </c>
      <c r="M226" s="455">
        <v>74</v>
      </c>
      <c r="N226" s="484">
        <f>Weather!M227</f>
        <v>0</v>
      </c>
      <c r="O226" s="481" t="str">
        <f t="shared" si="148"/>
        <v/>
      </c>
      <c r="P226" s="4">
        <f t="shared" si="159"/>
        <v>4.1359534061889187</v>
      </c>
      <c r="Q226" s="169">
        <f t="shared" si="122"/>
        <v>3.5299355685946971</v>
      </c>
      <c r="R226" s="169">
        <f t="shared" si="123"/>
        <v>2.0639892026604851</v>
      </c>
      <c r="S226" s="169">
        <f t="shared" si="124"/>
        <v>2.6121523207600759</v>
      </c>
      <c r="T226" s="169">
        <f t="shared" si="125"/>
        <v>2.0639892026604851</v>
      </c>
      <c r="U226" s="169">
        <f t="shared" si="126"/>
        <v>2.3380707617102807</v>
      </c>
      <c r="V226" s="169">
        <f t="shared" si="127"/>
        <v>7.7725062776199491E-2</v>
      </c>
      <c r="W226" s="439">
        <f t="shared" si="128"/>
        <v>19.998545609742028</v>
      </c>
      <c r="X226" s="439">
        <f t="shared" si="129"/>
        <v>19.998545609742028</v>
      </c>
      <c r="Y226" s="169"/>
      <c r="Z226" s="119">
        <f t="shared" si="130"/>
        <v>3</v>
      </c>
      <c r="AA226" s="4">
        <f t="shared" si="131"/>
        <v>1.0261342273931477</v>
      </c>
      <c r="AB226" s="466"/>
      <c r="AC226" s="466"/>
      <c r="AD226" s="466"/>
      <c r="AE226" s="466"/>
      <c r="AF226" s="466"/>
      <c r="AG226" s="466"/>
      <c r="AH226" s="466"/>
      <c r="AI226" s="466"/>
      <c r="AJ226" s="466"/>
      <c r="AK226" s="466"/>
      <c r="AL226" s="466"/>
      <c r="AM226" s="462">
        <f t="shared" si="132"/>
        <v>222</v>
      </c>
      <c r="AN226" s="32">
        <f t="shared" si="149"/>
        <v>0.97433929414987031</v>
      </c>
      <c r="AO226" s="32">
        <f t="shared" si="150"/>
        <v>0.26661206235031232</v>
      </c>
      <c r="AP226" s="32">
        <f t="shared" si="151"/>
        <v>1.8390754447280315</v>
      </c>
      <c r="AQ226" s="32">
        <f t="shared" si="152"/>
        <v>14.049501491874814</v>
      </c>
      <c r="AR226" s="32">
        <f t="shared" si="153"/>
        <v>36.802277470472568</v>
      </c>
      <c r="AS226" s="32">
        <f t="shared" si="133"/>
        <v>27.628205742633167</v>
      </c>
      <c r="AT226" s="32">
        <f t="shared" si="134"/>
        <v>18.029088000000002</v>
      </c>
      <c r="AU226" s="32">
        <f t="shared" si="135"/>
        <v>0.84748174449378633</v>
      </c>
      <c r="AV226" s="32">
        <f t="shared" si="136"/>
        <v>0.79410035506661159</v>
      </c>
      <c r="AW226" s="32">
        <f t="shared" si="137"/>
        <v>3.5299355685946971</v>
      </c>
      <c r="AX226" s="32">
        <f t="shared" si="138"/>
        <v>2.0639892026604851</v>
      </c>
      <c r="AY226" s="32">
        <f t="shared" si="139"/>
        <v>2.3380707617102807</v>
      </c>
      <c r="AZ226" s="32">
        <f t="shared" si="154"/>
        <v>0.12592948140969643</v>
      </c>
      <c r="BA226" s="32">
        <f t="shared" si="140"/>
        <v>-3.7444838207808511</v>
      </c>
      <c r="BB226" s="32">
        <f t="shared" si="155"/>
        <v>14.284604179219151</v>
      </c>
      <c r="BC226" s="32">
        <f t="shared" si="141"/>
        <v>22.414999999999999</v>
      </c>
      <c r="BD226" s="32">
        <v>0</v>
      </c>
      <c r="BE226" s="32">
        <f t="shared" si="156"/>
        <v>2.7969623856275909</v>
      </c>
      <c r="BF226" s="32">
        <f t="shared" si="157"/>
        <v>0.4588916239173102</v>
      </c>
      <c r="BG226" s="32">
        <f t="shared" si="158"/>
        <v>0.16477900891217984</v>
      </c>
      <c r="BH226" s="32">
        <f t="shared" si="142"/>
        <v>3.3797825683450871</v>
      </c>
      <c r="BI226" s="32">
        <f t="shared" si="143"/>
        <v>0.75617083784383143</v>
      </c>
      <c r="BJ226" s="32">
        <f t="shared" si="144"/>
        <v>4.1359534061889187</v>
      </c>
      <c r="BK226" s="457">
        <f t="shared" si="145"/>
        <v>4.1286196177106209</v>
      </c>
      <c r="BL226" s="2"/>
    </row>
    <row r="227" spans="1:64" ht="15">
      <c r="A227" s="119"/>
      <c r="B227" s="480">
        <f>Input!B244</f>
        <v>38209</v>
      </c>
      <c r="C227" s="481">
        <v>1</v>
      </c>
      <c r="D227" s="481">
        <f t="shared" si="146"/>
        <v>8</v>
      </c>
      <c r="E227" s="481">
        <f t="shared" si="147"/>
        <v>10</v>
      </c>
      <c r="F227" s="481">
        <f t="shared" si="121"/>
        <v>223</v>
      </c>
      <c r="G227" s="431">
        <v>20.303999999999998</v>
      </c>
      <c r="H227" s="455">
        <v>25.95</v>
      </c>
      <c r="I227" s="455">
        <v>19.8</v>
      </c>
      <c r="J227" s="455">
        <v>2.63</v>
      </c>
      <c r="K227" s="485"/>
      <c r="L227" s="433">
        <v>99</v>
      </c>
      <c r="M227" s="455">
        <v>69</v>
      </c>
      <c r="N227" s="484">
        <f>Weather!M228</f>
        <v>0</v>
      </c>
      <c r="O227" s="481" t="str">
        <f t="shared" si="148"/>
        <v/>
      </c>
      <c r="P227" s="4">
        <f t="shared" si="159"/>
        <v>3.8777053791530784</v>
      </c>
      <c r="Q227" s="169">
        <f t="shared" si="122"/>
        <v>3.3515172533831681</v>
      </c>
      <c r="R227" s="169">
        <f t="shared" si="123"/>
        <v>2.3094882494907831</v>
      </c>
      <c r="S227" s="169">
        <f t="shared" si="124"/>
        <v>2.3125469048343859</v>
      </c>
      <c r="T227" s="169">
        <f t="shared" si="125"/>
        <v>2.2863933669958754</v>
      </c>
      <c r="U227" s="169">
        <f t="shared" si="126"/>
        <v>2.2994701359151306</v>
      </c>
      <c r="V227" s="169">
        <f t="shared" si="127"/>
        <v>7.6761113279857254E-2</v>
      </c>
      <c r="W227" s="439">
        <f t="shared" si="128"/>
        <v>19.729901375819846</v>
      </c>
      <c r="X227" s="439">
        <f t="shared" si="129"/>
        <v>19.729901375819846</v>
      </c>
      <c r="Y227" s="169"/>
      <c r="Z227" s="119">
        <f t="shared" si="130"/>
        <v>3</v>
      </c>
      <c r="AA227" s="4">
        <f t="shared" si="131"/>
        <v>1.0261342273931477</v>
      </c>
      <c r="AB227" s="466"/>
      <c r="AC227" s="466"/>
      <c r="AD227" s="466"/>
      <c r="AE227" s="466"/>
      <c r="AF227" s="466"/>
      <c r="AG227" s="466"/>
      <c r="AH227" s="466"/>
      <c r="AI227" s="466"/>
      <c r="AJ227" s="466"/>
      <c r="AK227" s="466"/>
      <c r="AL227" s="466"/>
      <c r="AM227" s="462">
        <f t="shared" si="132"/>
        <v>223</v>
      </c>
      <c r="AN227" s="32">
        <f t="shared" si="149"/>
        <v>0.97470025896309476</v>
      </c>
      <c r="AO227" s="32">
        <f t="shared" si="150"/>
        <v>0.26123367238341294</v>
      </c>
      <c r="AP227" s="32">
        <f t="shared" si="151"/>
        <v>1.8332710223791675</v>
      </c>
      <c r="AQ227" s="32">
        <f t="shared" si="152"/>
        <v>14.005158971461304</v>
      </c>
      <c r="AR227" s="32">
        <f t="shared" si="153"/>
        <v>36.608253497122064</v>
      </c>
      <c r="AS227" s="32">
        <f t="shared" si="133"/>
        <v>27.482548065359477</v>
      </c>
      <c r="AT227" s="32">
        <f t="shared" si="134"/>
        <v>15.634079999999999</v>
      </c>
      <c r="AU227" s="32">
        <f t="shared" si="135"/>
        <v>0.73879612442458642</v>
      </c>
      <c r="AV227" s="32">
        <f t="shared" si="136"/>
        <v>0.64737476797319171</v>
      </c>
      <c r="AW227" s="32">
        <f t="shared" si="137"/>
        <v>3.3515172533831681</v>
      </c>
      <c r="AX227" s="32">
        <f t="shared" si="138"/>
        <v>2.3094882494907831</v>
      </c>
      <c r="AY227" s="32">
        <f t="shared" si="139"/>
        <v>2.2994701359151306</v>
      </c>
      <c r="AZ227" s="32">
        <f t="shared" si="154"/>
        <v>0.12770394571745675</v>
      </c>
      <c r="BA227" s="32">
        <f t="shared" si="140"/>
        <v>-3.112797060516149</v>
      </c>
      <c r="BB227" s="32">
        <f t="shared" si="155"/>
        <v>12.52128293948385</v>
      </c>
      <c r="BC227" s="32">
        <f t="shared" si="141"/>
        <v>22.875</v>
      </c>
      <c r="BD227" s="32">
        <v>0</v>
      </c>
      <c r="BE227" s="32">
        <f t="shared" si="156"/>
        <v>2.8305027514369758</v>
      </c>
      <c r="BF227" s="32">
        <f t="shared" si="157"/>
        <v>0.53103261552184522</v>
      </c>
      <c r="BG227" s="32">
        <f t="shared" si="158"/>
        <v>0.16884224399034742</v>
      </c>
      <c r="BH227" s="32">
        <f t="shared" si="142"/>
        <v>2.9143798420574445</v>
      </c>
      <c r="BI227" s="32">
        <f t="shared" si="143"/>
        <v>0.96332553709563373</v>
      </c>
      <c r="BJ227" s="32">
        <f t="shared" si="144"/>
        <v>3.8777053791530784</v>
      </c>
      <c r="BK227" s="457">
        <f t="shared" si="145"/>
        <v>3.4666171502008511</v>
      </c>
      <c r="BL227" s="2"/>
    </row>
    <row r="228" spans="1:64" ht="15">
      <c r="A228" s="119"/>
      <c r="B228" s="480">
        <f>Input!B245</f>
        <v>38210</v>
      </c>
      <c r="C228" s="481">
        <v>1</v>
      </c>
      <c r="D228" s="481">
        <f t="shared" si="146"/>
        <v>8</v>
      </c>
      <c r="E228" s="481">
        <f t="shared" si="147"/>
        <v>11</v>
      </c>
      <c r="F228" s="481">
        <f t="shared" si="121"/>
        <v>224</v>
      </c>
      <c r="G228" s="431">
        <v>18.316800000000001</v>
      </c>
      <c r="H228" s="455">
        <v>25.48</v>
      </c>
      <c r="I228" s="455">
        <v>17</v>
      </c>
      <c r="J228" s="455">
        <v>1.94</v>
      </c>
      <c r="K228" s="485"/>
      <c r="L228" s="433">
        <v>100</v>
      </c>
      <c r="M228" s="455">
        <v>72</v>
      </c>
      <c r="N228" s="484">
        <f>Weather!M229</f>
        <v>0</v>
      </c>
      <c r="O228" s="481" t="str">
        <f t="shared" si="148"/>
        <v/>
      </c>
      <c r="P228" s="4">
        <f t="shared" si="159"/>
        <v>3.3740396451178154</v>
      </c>
      <c r="Q228" s="169">
        <f t="shared" si="122"/>
        <v>3.2594857435082427</v>
      </c>
      <c r="R228" s="169">
        <f t="shared" si="123"/>
        <v>1.9377293518704448</v>
      </c>
      <c r="S228" s="169">
        <f t="shared" si="124"/>
        <v>2.3468297353259349</v>
      </c>
      <c r="T228" s="169">
        <f t="shared" si="125"/>
        <v>1.9377293518704448</v>
      </c>
      <c r="U228" s="169">
        <f t="shared" si="126"/>
        <v>2.1422795435981898</v>
      </c>
      <c r="V228" s="169">
        <f t="shared" si="127"/>
        <v>7.2661040823947476E-2</v>
      </c>
      <c r="W228" s="439">
        <f t="shared" si="128"/>
        <v>18.593487113754815</v>
      </c>
      <c r="X228" s="439">
        <f t="shared" si="129"/>
        <v>18.593487113754815</v>
      </c>
      <c r="Y228" s="169"/>
      <c r="Z228" s="119">
        <f t="shared" si="130"/>
        <v>3</v>
      </c>
      <c r="AA228" s="4">
        <f t="shared" si="131"/>
        <v>1.0261342273931477</v>
      </c>
      <c r="AB228" s="466"/>
      <c r="AC228" s="466"/>
      <c r="AD228" s="466"/>
      <c r="AE228" s="466"/>
      <c r="AF228" s="466"/>
      <c r="AG228" s="466"/>
      <c r="AH228" s="466"/>
      <c r="AI228" s="466"/>
      <c r="AJ228" s="466"/>
      <c r="AK228" s="466"/>
      <c r="AL228" s="466"/>
      <c r="AM228" s="462">
        <f t="shared" si="132"/>
        <v>224</v>
      </c>
      <c r="AN228" s="32">
        <f t="shared" si="149"/>
        <v>0.97506872063560157</v>
      </c>
      <c r="AO228" s="32">
        <f t="shared" si="150"/>
        <v>0.25577787324150192</v>
      </c>
      <c r="AP228" s="32">
        <f t="shared" si="151"/>
        <v>1.8274092799907622</v>
      </c>
      <c r="AQ228" s="32">
        <f t="shared" si="152"/>
        <v>13.960378558201496</v>
      </c>
      <c r="AR228" s="32">
        <f t="shared" si="153"/>
        <v>36.411124319135752</v>
      </c>
      <c r="AS228" s="32">
        <f t="shared" si="133"/>
        <v>27.334559248861595</v>
      </c>
      <c r="AT228" s="32">
        <f t="shared" si="134"/>
        <v>14.103936000000001</v>
      </c>
      <c r="AU228" s="32">
        <f t="shared" si="135"/>
        <v>0.67009677504724507</v>
      </c>
      <c r="AV228" s="32">
        <f t="shared" si="136"/>
        <v>0.5546306463137809</v>
      </c>
      <c r="AW228" s="32">
        <f t="shared" si="137"/>
        <v>3.2594857435082427</v>
      </c>
      <c r="AX228" s="32">
        <f t="shared" si="138"/>
        <v>1.9377293518704448</v>
      </c>
      <c r="AY228" s="32">
        <f t="shared" si="139"/>
        <v>2.1422795435981898</v>
      </c>
      <c r="AZ228" s="32">
        <f t="shared" si="154"/>
        <v>0.13508860682108345</v>
      </c>
      <c r="BA228" s="32">
        <f t="shared" si="140"/>
        <v>-2.7609026547618454</v>
      </c>
      <c r="BB228" s="32">
        <f t="shared" si="155"/>
        <v>11.343033345238155</v>
      </c>
      <c r="BC228" s="32">
        <f t="shared" si="141"/>
        <v>21.240000000000002</v>
      </c>
      <c r="BD228" s="32">
        <v>0</v>
      </c>
      <c r="BE228" s="32">
        <f t="shared" si="156"/>
        <v>2.598607547689344</v>
      </c>
      <c r="BF228" s="32">
        <f t="shared" si="157"/>
        <v>0.45632800409115415</v>
      </c>
      <c r="BG228" s="32">
        <f t="shared" si="158"/>
        <v>0.15477311581430458</v>
      </c>
      <c r="BH228" s="32">
        <f t="shared" si="142"/>
        <v>2.6912403288536302</v>
      </c>
      <c r="BI228" s="32">
        <f t="shared" si="143"/>
        <v>0.68279931626418522</v>
      </c>
      <c r="BJ228" s="32">
        <f t="shared" si="144"/>
        <v>3.3740396451178154</v>
      </c>
      <c r="BK228" s="457">
        <f t="shared" si="145"/>
        <v>3.8860069792756957</v>
      </c>
      <c r="BL228" s="2"/>
    </row>
    <row r="229" spans="1:64" ht="15">
      <c r="A229" s="119"/>
      <c r="B229" s="480">
        <f>Input!B246</f>
        <v>38211</v>
      </c>
      <c r="C229" s="481">
        <v>1</v>
      </c>
      <c r="D229" s="481">
        <f t="shared" si="146"/>
        <v>8</v>
      </c>
      <c r="E229" s="481">
        <f t="shared" si="147"/>
        <v>12</v>
      </c>
      <c r="F229" s="481">
        <f t="shared" si="121"/>
        <v>225</v>
      </c>
      <c r="G229" s="431">
        <v>17.884799999999998</v>
      </c>
      <c r="H229" s="455">
        <v>24.11</v>
      </c>
      <c r="I229" s="455">
        <v>18.5</v>
      </c>
      <c r="J229" s="455">
        <v>3.24</v>
      </c>
      <c r="K229" s="485"/>
      <c r="L229" s="433">
        <v>100</v>
      </c>
      <c r="M229" s="455">
        <v>72</v>
      </c>
      <c r="N229" s="484">
        <f>Weather!M230</f>
        <v>0</v>
      </c>
      <c r="O229" s="481" t="str">
        <f t="shared" si="148"/>
        <v/>
      </c>
      <c r="P229" s="4">
        <f t="shared" si="159"/>
        <v>3.3160077738536158</v>
      </c>
      <c r="Q229" s="169">
        <f t="shared" si="122"/>
        <v>3.0036754255735421</v>
      </c>
      <c r="R229" s="169">
        <f t="shared" si="123"/>
        <v>2.1297773032821605</v>
      </c>
      <c r="S229" s="169">
        <f t="shared" si="124"/>
        <v>2.1626463064129502</v>
      </c>
      <c r="T229" s="169">
        <f t="shared" si="125"/>
        <v>2.1297773032821605</v>
      </c>
      <c r="U229" s="169">
        <f t="shared" si="126"/>
        <v>2.1462118048475554</v>
      </c>
      <c r="V229" s="169">
        <f t="shared" si="127"/>
        <v>7.2767228864026562E-2</v>
      </c>
      <c r="W229" s="439">
        <f t="shared" si="128"/>
        <v>18.622792406569609</v>
      </c>
      <c r="X229" s="439">
        <f t="shared" si="129"/>
        <v>18.622792406569609</v>
      </c>
      <c r="Y229" s="169"/>
      <c r="Z229" s="119">
        <f t="shared" si="130"/>
        <v>3</v>
      </c>
      <c r="AA229" s="4">
        <f t="shared" si="131"/>
        <v>1.0261342273931477</v>
      </c>
      <c r="AB229" s="466"/>
      <c r="AC229" s="466"/>
      <c r="AD229" s="466"/>
      <c r="AE229" s="466"/>
      <c r="AF229" s="466"/>
      <c r="AG229" s="466"/>
      <c r="AH229" s="466"/>
      <c r="AI229" s="466"/>
      <c r="AJ229" s="466"/>
      <c r="AK229" s="466"/>
      <c r="AL229" s="466"/>
      <c r="AM229" s="462">
        <f t="shared" si="132"/>
        <v>225</v>
      </c>
      <c r="AN229" s="32">
        <f t="shared" si="149"/>
        <v>0.97544456998424511</v>
      </c>
      <c r="AO229" s="32">
        <f t="shared" si="150"/>
        <v>0.25024628159561113</v>
      </c>
      <c r="AP229" s="32">
        <f t="shared" si="151"/>
        <v>1.8214923061226422</v>
      </c>
      <c r="AQ229" s="32">
        <f t="shared" si="152"/>
        <v>13.915176207517169</v>
      </c>
      <c r="AR229" s="32">
        <f t="shared" si="153"/>
        <v>36.210930984650311</v>
      </c>
      <c r="AS229" s="32">
        <f t="shared" si="133"/>
        <v>27.184270108796682</v>
      </c>
      <c r="AT229" s="32">
        <f t="shared" si="134"/>
        <v>13.771296</v>
      </c>
      <c r="AU229" s="32">
        <f t="shared" si="135"/>
        <v>0.65790988422428065</v>
      </c>
      <c r="AV229" s="32">
        <f t="shared" si="136"/>
        <v>0.53817834370277895</v>
      </c>
      <c r="AW229" s="32">
        <f t="shared" si="137"/>
        <v>3.0036754255735421</v>
      </c>
      <c r="AX229" s="32">
        <f t="shared" si="138"/>
        <v>2.1297773032821605</v>
      </c>
      <c r="AY229" s="32">
        <f t="shared" si="139"/>
        <v>2.1462118048475554</v>
      </c>
      <c r="AZ229" s="32">
        <f t="shared" si="154"/>
        <v>0.13490063048606882</v>
      </c>
      <c r="BA229" s="32">
        <f t="shared" si="140"/>
        <v>-2.6757677352363194</v>
      </c>
      <c r="BB229" s="32">
        <f t="shared" si="155"/>
        <v>11.095528264763679</v>
      </c>
      <c r="BC229" s="32">
        <f t="shared" si="141"/>
        <v>21.305</v>
      </c>
      <c r="BD229" s="32">
        <v>0</v>
      </c>
      <c r="BE229" s="32">
        <f t="shared" si="156"/>
        <v>2.5667263644278515</v>
      </c>
      <c r="BF229" s="32">
        <f t="shared" si="157"/>
        <v>0.42051455958029615</v>
      </c>
      <c r="BG229" s="32">
        <f t="shared" si="158"/>
        <v>0.15531288476001287</v>
      </c>
      <c r="BH229" s="32">
        <f t="shared" si="142"/>
        <v>2.3724660134988116</v>
      </c>
      <c r="BI229" s="32">
        <f t="shared" si="143"/>
        <v>0.94354176035480419</v>
      </c>
      <c r="BJ229" s="32">
        <f t="shared" si="144"/>
        <v>3.3160077738536158</v>
      </c>
      <c r="BK229" s="457">
        <f t="shared" si="145"/>
        <v>3.1485831228296739</v>
      </c>
      <c r="BL229" s="2"/>
    </row>
    <row r="230" spans="1:64" ht="15">
      <c r="A230" s="119"/>
      <c r="B230" s="480">
        <f>Input!B247</f>
        <v>38212</v>
      </c>
      <c r="C230" s="481">
        <v>1</v>
      </c>
      <c r="D230" s="481">
        <f t="shared" si="146"/>
        <v>8</v>
      </c>
      <c r="E230" s="481">
        <f t="shared" si="147"/>
        <v>13</v>
      </c>
      <c r="F230" s="481">
        <f t="shared" si="121"/>
        <v>226</v>
      </c>
      <c r="G230" s="431">
        <v>23.155200000000001</v>
      </c>
      <c r="H230" s="455">
        <v>24.83</v>
      </c>
      <c r="I230" s="455">
        <v>17.7</v>
      </c>
      <c r="J230" s="455">
        <v>2.1</v>
      </c>
      <c r="K230" s="485"/>
      <c r="L230" s="433">
        <v>100</v>
      </c>
      <c r="M230" s="455">
        <v>70</v>
      </c>
      <c r="N230" s="484">
        <f>Weather!M231</f>
        <v>0</v>
      </c>
      <c r="O230" s="481" t="str">
        <f t="shared" si="148"/>
        <v/>
      </c>
      <c r="P230" s="4">
        <f t="shared" si="159"/>
        <v>3.9755356514785003</v>
      </c>
      <c r="Q230" s="169">
        <f t="shared" si="122"/>
        <v>3.1358417369775222</v>
      </c>
      <c r="R230" s="169">
        <f t="shared" si="123"/>
        <v>2.0253762197498539</v>
      </c>
      <c r="S230" s="169">
        <f t="shared" si="124"/>
        <v>2.1950892158842654</v>
      </c>
      <c r="T230" s="169">
        <f t="shared" si="125"/>
        <v>2.0253762197498539</v>
      </c>
      <c r="U230" s="169">
        <f t="shared" si="126"/>
        <v>2.1102327178170599</v>
      </c>
      <c r="V230" s="169">
        <f t="shared" si="127"/>
        <v>7.1788299933301936E-2</v>
      </c>
      <c r="W230" s="439">
        <f t="shared" si="128"/>
        <v>18.352886063543963</v>
      </c>
      <c r="X230" s="439">
        <f t="shared" si="129"/>
        <v>18.352886063543963</v>
      </c>
      <c r="Y230" s="169"/>
      <c r="Z230" s="119">
        <f t="shared" si="130"/>
        <v>3</v>
      </c>
      <c r="AA230" s="4">
        <f t="shared" si="131"/>
        <v>1.0261342273931477</v>
      </c>
      <c r="AB230" s="466"/>
      <c r="AC230" s="466"/>
      <c r="AD230" s="466"/>
      <c r="AE230" s="466"/>
      <c r="AF230" s="466"/>
      <c r="AG230" s="466"/>
      <c r="AH230" s="466"/>
      <c r="AI230" s="466"/>
      <c r="AJ230" s="466"/>
      <c r="AK230" s="466"/>
      <c r="AL230" s="466"/>
      <c r="AM230" s="462">
        <f t="shared" si="132"/>
        <v>226</v>
      </c>
      <c r="AN230" s="32">
        <f t="shared" si="149"/>
        <v>0.97582769563675187</v>
      </c>
      <c r="AO230" s="32">
        <f t="shared" si="150"/>
        <v>0.24464053657572624</v>
      </c>
      <c r="AP230" s="32">
        <f t="shared" si="151"/>
        <v>1.8155221498785465</v>
      </c>
      <c r="AQ230" s="32">
        <f t="shared" si="152"/>
        <v>13.869567573407787</v>
      </c>
      <c r="AR230" s="32">
        <f t="shared" si="153"/>
        <v>36.007715788221319</v>
      </c>
      <c r="AS230" s="32">
        <f t="shared" si="133"/>
        <v>27.031712396533511</v>
      </c>
      <c r="AT230" s="32">
        <f t="shared" si="134"/>
        <v>17.829504</v>
      </c>
      <c r="AU230" s="32">
        <f t="shared" si="135"/>
        <v>0.85659390201892549</v>
      </c>
      <c r="AV230" s="32">
        <f t="shared" si="136"/>
        <v>0.80640176772554961</v>
      </c>
      <c r="AW230" s="32">
        <f t="shared" si="137"/>
        <v>3.1358417369775222</v>
      </c>
      <c r="AX230" s="32">
        <f t="shared" si="138"/>
        <v>2.0253762197498539</v>
      </c>
      <c r="AY230" s="32">
        <f t="shared" si="139"/>
        <v>2.1102327178170599</v>
      </c>
      <c r="AZ230" s="32">
        <f t="shared" si="154"/>
        <v>0.13662703899186998</v>
      </c>
      <c r="BA230" s="32">
        <f t="shared" si="140"/>
        <v>-4.0598112544186247</v>
      </c>
      <c r="BB230" s="32">
        <f t="shared" si="155"/>
        <v>13.769692745581375</v>
      </c>
      <c r="BC230" s="32">
        <f t="shared" si="141"/>
        <v>21.265000000000001</v>
      </c>
      <c r="BD230" s="32">
        <v>0</v>
      </c>
      <c r="BE230" s="32">
        <f t="shared" si="156"/>
        <v>2.5806089783636881</v>
      </c>
      <c r="BF230" s="32">
        <f t="shared" si="157"/>
        <v>0.47037626054662818</v>
      </c>
      <c r="BG230" s="32">
        <f t="shared" si="158"/>
        <v>0.15498053132025838</v>
      </c>
      <c r="BH230" s="32">
        <f t="shared" si="142"/>
        <v>3.2246196326739907</v>
      </c>
      <c r="BI230" s="32">
        <f t="shared" si="143"/>
        <v>0.75091601880450976</v>
      </c>
      <c r="BJ230" s="32">
        <f t="shared" si="144"/>
        <v>3.9755356514785003</v>
      </c>
      <c r="BK230" s="457">
        <f t="shared" si="145"/>
        <v>3.5260617796729647</v>
      </c>
      <c r="BL230" s="2"/>
    </row>
    <row r="231" spans="1:64" ht="15">
      <c r="A231" s="119"/>
      <c r="B231" s="480">
        <f>Input!B248</f>
        <v>38213</v>
      </c>
      <c r="C231" s="481">
        <v>1</v>
      </c>
      <c r="D231" s="481">
        <f t="shared" si="146"/>
        <v>8</v>
      </c>
      <c r="E231" s="481">
        <f t="shared" si="147"/>
        <v>14</v>
      </c>
      <c r="F231" s="481">
        <f t="shared" si="121"/>
        <v>227</v>
      </c>
      <c r="G231" s="431">
        <v>21.081600000000002</v>
      </c>
      <c r="H231" s="455">
        <v>26.18</v>
      </c>
      <c r="I231" s="455">
        <v>20.5</v>
      </c>
      <c r="J231" s="455">
        <v>2.2999999999999998</v>
      </c>
      <c r="K231" s="485"/>
      <c r="L231" s="433">
        <v>100</v>
      </c>
      <c r="M231" s="455">
        <v>76</v>
      </c>
      <c r="N231" s="484">
        <f>Weather!M232</f>
        <v>0</v>
      </c>
      <c r="O231" s="481" t="str">
        <f t="shared" si="148"/>
        <v/>
      </c>
      <c r="P231" s="4">
        <f t="shared" si="159"/>
        <v>3.7997193760539565</v>
      </c>
      <c r="Q231" s="169">
        <f t="shared" si="122"/>
        <v>3.3973734034476188</v>
      </c>
      <c r="R231" s="169">
        <f t="shared" si="123"/>
        <v>2.4116412804606884</v>
      </c>
      <c r="S231" s="169">
        <f t="shared" si="124"/>
        <v>2.5820037866201901</v>
      </c>
      <c r="T231" s="169">
        <f t="shared" si="125"/>
        <v>2.4116412804606884</v>
      </c>
      <c r="U231" s="169">
        <f t="shared" si="126"/>
        <v>2.4968225335404393</v>
      </c>
      <c r="V231" s="169">
        <f t="shared" si="127"/>
        <v>8.1528931241430375E-2</v>
      </c>
      <c r="W231" s="439">
        <f t="shared" si="128"/>
        <v>21.064153288726999</v>
      </c>
      <c r="X231" s="439">
        <f t="shared" si="129"/>
        <v>21.064153288726999</v>
      </c>
      <c r="Y231" s="169"/>
      <c r="Z231" s="119">
        <f t="shared" si="130"/>
        <v>3</v>
      </c>
      <c r="AA231" s="4">
        <f t="shared" si="131"/>
        <v>1.0261342273931477</v>
      </c>
      <c r="AB231" s="466"/>
      <c r="AC231" s="466"/>
      <c r="AD231" s="466"/>
      <c r="AE231" s="466"/>
      <c r="AF231" s="466"/>
      <c r="AG231" s="466"/>
      <c r="AH231" s="466"/>
      <c r="AI231" s="466"/>
      <c r="AJ231" s="466"/>
      <c r="AK231" s="466"/>
      <c r="AL231" s="466"/>
      <c r="AM231" s="462">
        <f t="shared" si="132"/>
        <v>227</v>
      </c>
      <c r="AN231" s="32">
        <f t="shared" si="149"/>
        <v>0.9762179840647226</v>
      </c>
      <c r="AO231" s="32">
        <f t="shared" si="150"/>
        <v>0.23896229928507901</v>
      </c>
      <c r="AP231" s="32">
        <f t="shared" si="151"/>
        <v>1.8095008203895395</v>
      </c>
      <c r="AQ231" s="32">
        <f t="shared" si="152"/>
        <v>13.823568004504086</v>
      </c>
      <c r="AR231" s="32">
        <f t="shared" si="153"/>
        <v>35.801522298778259</v>
      </c>
      <c r="AS231" s="32">
        <f t="shared" si="133"/>
        <v>26.876918820138815</v>
      </c>
      <c r="AT231" s="32">
        <f t="shared" si="134"/>
        <v>16.232832000000002</v>
      </c>
      <c r="AU231" s="32">
        <f t="shared" si="135"/>
        <v>0.78437562508852787</v>
      </c>
      <c r="AV231" s="32">
        <f t="shared" si="136"/>
        <v>0.70890709386951267</v>
      </c>
      <c r="AW231" s="32">
        <f t="shared" si="137"/>
        <v>3.3973734034476188</v>
      </c>
      <c r="AX231" s="32">
        <f t="shared" si="138"/>
        <v>2.4116412804606884</v>
      </c>
      <c r="AY231" s="32">
        <f t="shared" si="139"/>
        <v>2.4968225335404388</v>
      </c>
      <c r="AZ231" s="32">
        <f t="shared" si="154"/>
        <v>0.11878128095165047</v>
      </c>
      <c r="BA231" s="32">
        <f t="shared" si="140"/>
        <v>-3.1901612086047164</v>
      </c>
      <c r="BB231" s="32">
        <f t="shared" si="155"/>
        <v>13.042670791395285</v>
      </c>
      <c r="BC231" s="32">
        <f t="shared" si="141"/>
        <v>23.34</v>
      </c>
      <c r="BD231" s="32">
        <v>0</v>
      </c>
      <c r="BE231" s="32">
        <f t="shared" si="156"/>
        <v>2.9045073419541536</v>
      </c>
      <c r="BF231" s="32">
        <f t="shared" si="157"/>
        <v>0.40768480841371479</v>
      </c>
      <c r="BG231" s="32">
        <f t="shared" si="158"/>
        <v>0.17303526731416369</v>
      </c>
      <c r="BH231" s="32">
        <f t="shared" si="142"/>
        <v>3.1466023812568475</v>
      </c>
      <c r="BI231" s="32">
        <f t="shared" si="143"/>
        <v>0.65311699479710905</v>
      </c>
      <c r="BJ231" s="32">
        <f t="shared" si="144"/>
        <v>3.7997193760539565</v>
      </c>
      <c r="BK231" s="457">
        <f t="shared" si="145"/>
        <v>3.2953511564748124</v>
      </c>
      <c r="BL231" s="2"/>
    </row>
    <row r="232" spans="1:64" ht="15">
      <c r="A232" s="119"/>
      <c r="B232" s="480">
        <f>Input!B249</f>
        <v>38214</v>
      </c>
      <c r="C232" s="481">
        <v>1</v>
      </c>
      <c r="D232" s="481">
        <f t="shared" si="146"/>
        <v>8</v>
      </c>
      <c r="E232" s="481">
        <f t="shared" si="147"/>
        <v>15</v>
      </c>
      <c r="F232" s="481">
        <f t="shared" si="121"/>
        <v>228</v>
      </c>
      <c r="G232" s="431">
        <v>5.6159999999999997</v>
      </c>
      <c r="H232" s="455">
        <v>27.7</v>
      </c>
      <c r="I232" s="455">
        <v>20.3</v>
      </c>
      <c r="J232" s="455">
        <v>1.57</v>
      </c>
      <c r="K232" s="485"/>
      <c r="L232" s="433">
        <v>100</v>
      </c>
      <c r="M232" s="455">
        <v>80</v>
      </c>
      <c r="N232" s="484">
        <f>Weather!M233</f>
        <v>0</v>
      </c>
      <c r="O232" s="481" t="str">
        <f t="shared" si="148"/>
        <v/>
      </c>
      <c r="P232" s="4">
        <f t="shared" si="159"/>
        <v>1.4804598800034643</v>
      </c>
      <c r="Q232" s="169">
        <f t="shared" si="122"/>
        <v>3.7144033809363424</v>
      </c>
      <c r="R232" s="169">
        <f t="shared" si="123"/>
        <v>2.3820593372779197</v>
      </c>
      <c r="S232" s="169">
        <f t="shared" si="124"/>
        <v>2.971522704749074</v>
      </c>
      <c r="T232" s="169">
        <f t="shared" si="125"/>
        <v>2.3820593372779197</v>
      </c>
      <c r="U232" s="169">
        <f t="shared" si="126"/>
        <v>2.6767910210134969</v>
      </c>
      <c r="V232" s="169">
        <f t="shared" si="127"/>
        <v>8.5559027360112117E-2</v>
      </c>
      <c r="W232" s="439">
        <f t="shared" si="128"/>
        <v>22.202807835635014</v>
      </c>
      <c r="X232" s="439">
        <f t="shared" si="129"/>
        <v>22.202807835635014</v>
      </c>
      <c r="Y232" s="169"/>
      <c r="Z232" s="119">
        <f t="shared" si="130"/>
        <v>3</v>
      </c>
      <c r="AA232" s="4">
        <f t="shared" si="131"/>
        <v>1.0261342273931477</v>
      </c>
      <c r="AB232" s="466"/>
      <c r="AC232" s="466"/>
      <c r="AD232" s="466"/>
      <c r="AE232" s="466"/>
      <c r="AF232" s="466"/>
      <c r="AG232" s="466"/>
      <c r="AH232" s="466"/>
      <c r="AI232" s="466"/>
      <c r="AJ232" s="466"/>
      <c r="AK232" s="466"/>
      <c r="AL232" s="466"/>
      <c r="AM232" s="462">
        <f t="shared" si="132"/>
        <v>228</v>
      </c>
      <c r="AN232" s="32">
        <f t="shared" si="149"/>
        <v>0.97661531961727277</v>
      </c>
      <c r="AO232" s="32">
        <f t="shared" si="150"/>
        <v>0.23321325230792456</v>
      </c>
      <c r="AP232" s="32">
        <f t="shared" si="151"/>
        <v>1.8034302864399954</v>
      </c>
      <c r="AQ232" s="32">
        <f t="shared" si="152"/>
        <v>13.777192541210782</v>
      </c>
      <c r="AR232" s="32">
        <f t="shared" si="153"/>
        <v>35.592395386675065</v>
      </c>
      <c r="AS232" s="32">
        <f t="shared" si="133"/>
        <v>26.719923064684707</v>
      </c>
      <c r="AT232" s="32">
        <f t="shared" si="134"/>
        <v>4.3243200000000002</v>
      </c>
      <c r="AU232" s="32">
        <f t="shared" si="135"/>
        <v>0.3</v>
      </c>
      <c r="AV232" s="32">
        <f t="shared" si="136"/>
        <v>5.5000000000000049E-2</v>
      </c>
      <c r="AW232" s="32">
        <f t="shared" si="137"/>
        <v>3.7144033809363424</v>
      </c>
      <c r="AX232" s="32">
        <f t="shared" si="138"/>
        <v>2.3820593372779197</v>
      </c>
      <c r="AY232" s="32">
        <f t="shared" si="139"/>
        <v>2.6767910210134969</v>
      </c>
      <c r="AZ232" s="32">
        <f t="shared" si="154"/>
        <v>0.11094737719933323</v>
      </c>
      <c r="BA232" s="32">
        <f t="shared" si="140"/>
        <v>-0.23333644464682096</v>
      </c>
      <c r="BB232" s="32">
        <f t="shared" si="155"/>
        <v>4.090983555353179</v>
      </c>
      <c r="BC232" s="32">
        <f t="shared" si="141"/>
        <v>24</v>
      </c>
      <c r="BD232" s="32">
        <v>0</v>
      </c>
      <c r="BE232" s="32">
        <f t="shared" si="156"/>
        <v>3.0482313591071311</v>
      </c>
      <c r="BF232" s="32">
        <f t="shared" si="157"/>
        <v>0.37144033809363419</v>
      </c>
      <c r="BG232" s="32">
        <f t="shared" si="158"/>
        <v>0.17913725169819933</v>
      </c>
      <c r="BH232" s="32">
        <f t="shared" si="142"/>
        <v>1.0600082337537367</v>
      </c>
      <c r="BI232" s="32">
        <f t="shared" si="143"/>
        <v>0.4204516462497277</v>
      </c>
      <c r="BJ232" s="32">
        <f t="shared" si="144"/>
        <v>1.4804598800034643</v>
      </c>
      <c r="BK232" s="457">
        <f t="shared" si="145"/>
        <v>3.7993658124268546</v>
      </c>
      <c r="BL232" s="2"/>
    </row>
    <row r="233" spans="1:64" ht="15">
      <c r="A233" s="119"/>
      <c r="B233" s="480">
        <f>Input!B250</f>
        <v>38215</v>
      </c>
      <c r="C233" s="481">
        <v>1</v>
      </c>
      <c r="D233" s="481">
        <f t="shared" si="146"/>
        <v>8</v>
      </c>
      <c r="E233" s="481">
        <f t="shared" si="147"/>
        <v>16</v>
      </c>
      <c r="F233" s="481">
        <f t="shared" si="121"/>
        <v>229</v>
      </c>
      <c r="G233" s="431">
        <v>11.664</v>
      </c>
      <c r="H233" s="455">
        <v>27.5</v>
      </c>
      <c r="I233" s="455">
        <v>20.2</v>
      </c>
      <c r="J233" s="455">
        <v>2.25</v>
      </c>
      <c r="K233" s="485"/>
      <c r="L233" s="433">
        <v>100</v>
      </c>
      <c r="M233" s="455">
        <v>86</v>
      </c>
      <c r="N233" s="484">
        <f>Weather!M234</f>
        <v>0</v>
      </c>
      <c r="O233" s="481" t="str">
        <f t="shared" si="148"/>
        <v/>
      </c>
      <c r="P233" s="4">
        <f t="shared" si="159"/>
        <v>2.3526245965089925</v>
      </c>
      <c r="Q233" s="169">
        <f t="shared" si="122"/>
        <v>3.671270209291702</v>
      </c>
      <c r="R233" s="169">
        <f t="shared" si="123"/>
        <v>2.3673876975032684</v>
      </c>
      <c r="S233" s="169">
        <f t="shared" si="124"/>
        <v>3.1572923799908637</v>
      </c>
      <c r="T233" s="169">
        <f t="shared" si="125"/>
        <v>2.3673876975032684</v>
      </c>
      <c r="U233" s="169">
        <f t="shared" si="126"/>
        <v>2.762340038747066</v>
      </c>
      <c r="V233" s="169">
        <f t="shared" si="127"/>
        <v>8.7380652361265201E-2</v>
      </c>
      <c r="W233" s="439">
        <f t="shared" si="128"/>
        <v>22.720785899376377</v>
      </c>
      <c r="X233" s="439">
        <f t="shared" si="129"/>
        <v>22.720785899376377</v>
      </c>
      <c r="Y233" s="169"/>
      <c r="Z233" s="119">
        <f t="shared" si="130"/>
        <v>3</v>
      </c>
      <c r="AA233" s="4">
        <f t="shared" si="131"/>
        <v>1.0261342273931477</v>
      </c>
      <c r="AB233" s="466"/>
      <c r="AC233" s="466"/>
      <c r="AD233" s="466"/>
      <c r="AE233" s="466"/>
      <c r="AF233" s="466"/>
      <c r="AG233" s="466"/>
      <c r="AH233" s="466"/>
      <c r="AI233" s="466"/>
      <c r="AJ233" s="466"/>
      <c r="AK233" s="466"/>
      <c r="AL233" s="466"/>
      <c r="AM233" s="462">
        <f t="shared" si="132"/>
        <v>229</v>
      </c>
      <c r="AN233" s="32">
        <f t="shared" si="149"/>
        <v>0.97701958455530324</v>
      </c>
      <c r="AO233" s="32">
        <f t="shared" si="150"/>
        <v>0.22739509921095702</v>
      </c>
      <c r="AP233" s="32">
        <f t="shared" si="151"/>
        <v>1.7973124762302852</v>
      </c>
      <c r="AQ233" s="32">
        <f t="shared" si="152"/>
        <v>13.730455913893659</v>
      </c>
      <c r="AR233" s="32">
        <f t="shared" si="153"/>
        <v>35.380381249692363</v>
      </c>
      <c r="AS233" s="32">
        <f t="shared" si="133"/>
        <v>26.560759811769053</v>
      </c>
      <c r="AT233" s="32">
        <f t="shared" si="134"/>
        <v>8.9812799999999999</v>
      </c>
      <c r="AU233" s="32">
        <f t="shared" si="135"/>
        <v>0.43914406374894782</v>
      </c>
      <c r="AV233" s="32">
        <f t="shared" si="136"/>
        <v>0.24284448606107967</v>
      </c>
      <c r="AW233" s="32">
        <f t="shared" si="137"/>
        <v>3.671270209291702</v>
      </c>
      <c r="AX233" s="32">
        <f t="shared" si="138"/>
        <v>2.3673876975032684</v>
      </c>
      <c r="AY233" s="32">
        <f t="shared" si="139"/>
        <v>2.7623400387470656</v>
      </c>
      <c r="AZ233" s="32">
        <f t="shared" si="154"/>
        <v>0.10731595508191269</v>
      </c>
      <c r="BA233" s="32">
        <f t="shared" si="140"/>
        <v>-0.9945069183589258</v>
      </c>
      <c r="BB233" s="32">
        <f t="shared" si="155"/>
        <v>7.9867730816410738</v>
      </c>
      <c r="BC233" s="32">
        <f t="shared" si="141"/>
        <v>23.85</v>
      </c>
      <c r="BD233" s="32">
        <v>0</v>
      </c>
      <c r="BE233" s="32">
        <f t="shared" si="156"/>
        <v>3.0193289533974852</v>
      </c>
      <c r="BF233" s="32">
        <f t="shared" si="157"/>
        <v>0.25698891465041962</v>
      </c>
      <c r="BG233" s="32">
        <f t="shared" si="158"/>
        <v>0.1777347426104641</v>
      </c>
      <c r="BH233" s="32">
        <f t="shared" si="142"/>
        <v>1.9553970743109705</v>
      </c>
      <c r="BI233" s="32">
        <f t="shared" si="143"/>
        <v>0.39722752219802199</v>
      </c>
      <c r="BJ233" s="32">
        <f t="shared" si="144"/>
        <v>2.3526245965089925</v>
      </c>
      <c r="BK233" s="457">
        <f t="shared" si="145"/>
        <v>3.7376677722786313</v>
      </c>
      <c r="BL233" s="2"/>
    </row>
    <row r="234" spans="1:64" ht="15">
      <c r="A234" s="119"/>
      <c r="B234" s="480">
        <f>Input!B251</f>
        <v>38216</v>
      </c>
      <c r="C234" s="481">
        <v>1</v>
      </c>
      <c r="D234" s="481">
        <f t="shared" si="146"/>
        <v>8</v>
      </c>
      <c r="E234" s="481">
        <f t="shared" si="147"/>
        <v>17</v>
      </c>
      <c r="F234" s="481">
        <f t="shared" si="121"/>
        <v>230</v>
      </c>
      <c r="G234" s="431">
        <v>22.723199999999999</v>
      </c>
      <c r="H234" s="455">
        <v>27.94</v>
      </c>
      <c r="I234" s="455">
        <v>20.2</v>
      </c>
      <c r="J234" s="455">
        <v>1.47</v>
      </c>
      <c r="K234" s="485"/>
      <c r="L234" s="433">
        <v>100</v>
      </c>
      <c r="M234" s="455">
        <v>73</v>
      </c>
      <c r="N234" s="484">
        <f>Weather!M235</f>
        <v>0</v>
      </c>
      <c r="O234" s="481" t="str">
        <f t="shared" si="148"/>
        <v/>
      </c>
      <c r="P234" s="4">
        <f t="shared" si="159"/>
        <v>4.1749276666966058</v>
      </c>
      <c r="Q234" s="169">
        <f t="shared" si="122"/>
        <v>3.7667450556368158</v>
      </c>
      <c r="R234" s="169">
        <f t="shared" si="123"/>
        <v>2.3673876975032684</v>
      </c>
      <c r="S234" s="169">
        <f t="shared" si="124"/>
        <v>2.7497238906148755</v>
      </c>
      <c r="T234" s="169">
        <f t="shared" si="125"/>
        <v>2.3673876975032684</v>
      </c>
      <c r="U234" s="169">
        <f t="shared" si="126"/>
        <v>2.558555794059072</v>
      </c>
      <c r="V234" s="169">
        <f t="shared" si="127"/>
        <v>8.2943176722348078E-2</v>
      </c>
      <c r="W234" s="439">
        <f t="shared" si="128"/>
        <v>21.462591342885709</v>
      </c>
      <c r="X234" s="439">
        <f t="shared" si="129"/>
        <v>21.462591342885709</v>
      </c>
      <c r="Y234" s="169"/>
      <c r="Z234" s="119">
        <f t="shared" si="130"/>
        <v>3</v>
      </c>
      <c r="AA234" s="4">
        <f t="shared" si="131"/>
        <v>1.0261342273931477</v>
      </c>
      <c r="AB234" s="466"/>
      <c r="AC234" s="466"/>
      <c r="AD234" s="466"/>
      <c r="AE234" s="466"/>
      <c r="AF234" s="466"/>
      <c r="AG234" s="466"/>
      <c r="AH234" s="466"/>
      <c r="AI234" s="466"/>
      <c r="AJ234" s="466"/>
      <c r="AK234" s="466"/>
      <c r="AL234" s="466"/>
      <c r="AM234" s="462">
        <f t="shared" si="132"/>
        <v>230</v>
      </c>
      <c r="AN234" s="32">
        <f t="shared" si="149"/>
        <v>0.97743065908638782</v>
      </c>
      <c r="AO234" s="32">
        <f t="shared" si="150"/>
        <v>0.22150956403850539</v>
      </c>
      <c r="AP234" s="32">
        <f t="shared" si="151"/>
        <v>1.7911492772702216</v>
      </c>
      <c r="AQ234" s="32">
        <f t="shared" si="152"/>
        <v>13.683372542065515</v>
      </c>
      <c r="AR234" s="32">
        <f t="shared" si="153"/>
        <v>35.165527437849313</v>
      </c>
      <c r="AS234" s="32">
        <f t="shared" si="133"/>
        <v>26.399464758142237</v>
      </c>
      <c r="AT234" s="32">
        <f t="shared" si="134"/>
        <v>17.496863999999999</v>
      </c>
      <c r="AU234" s="32">
        <f t="shared" si="135"/>
        <v>0.86074472373503752</v>
      </c>
      <c r="AV234" s="32">
        <f t="shared" si="136"/>
        <v>0.81200537704230069</v>
      </c>
      <c r="AW234" s="32">
        <f t="shared" si="137"/>
        <v>3.7667450556368158</v>
      </c>
      <c r="AX234" s="32">
        <f t="shared" si="138"/>
        <v>2.3673876975032684</v>
      </c>
      <c r="AY234" s="32">
        <f t="shared" si="139"/>
        <v>2.5585557940590711</v>
      </c>
      <c r="AZ234" s="32">
        <f t="shared" si="154"/>
        <v>0.11606319292363351</v>
      </c>
      <c r="BA234" s="32">
        <f t="shared" si="140"/>
        <v>-3.6074737672477419</v>
      </c>
      <c r="BB234" s="32">
        <f t="shared" si="155"/>
        <v>13.889390232752257</v>
      </c>
      <c r="BC234" s="32">
        <f t="shared" si="141"/>
        <v>24.07</v>
      </c>
      <c r="BD234" s="32">
        <v>0</v>
      </c>
      <c r="BE234" s="32">
        <f t="shared" si="156"/>
        <v>3.0670663765700423</v>
      </c>
      <c r="BF234" s="32">
        <f t="shared" si="157"/>
        <v>0.50851058251097125</v>
      </c>
      <c r="BG234" s="32">
        <f t="shared" si="158"/>
        <v>0.17979494244101898</v>
      </c>
      <c r="BH234" s="32">
        <f t="shared" si="142"/>
        <v>3.6329889808809841</v>
      </c>
      <c r="BI234" s="32">
        <f t="shared" si="143"/>
        <v>0.54193868581562177</v>
      </c>
      <c r="BJ234" s="32">
        <f t="shared" si="144"/>
        <v>4.1749276666966058</v>
      </c>
      <c r="BK234" s="457">
        <f t="shared" si="145"/>
        <v>3.8454956865214536</v>
      </c>
      <c r="BL234" s="2"/>
    </row>
    <row r="235" spans="1:64" ht="15">
      <c r="A235" s="119"/>
      <c r="B235" s="480">
        <f>Input!B252</f>
        <v>38217</v>
      </c>
      <c r="C235" s="481">
        <v>1</v>
      </c>
      <c r="D235" s="481">
        <f t="shared" si="146"/>
        <v>8</v>
      </c>
      <c r="E235" s="481">
        <f t="shared" si="147"/>
        <v>18</v>
      </c>
      <c r="F235" s="481">
        <f t="shared" si="121"/>
        <v>231</v>
      </c>
      <c r="G235" s="431">
        <v>15.2064</v>
      </c>
      <c r="H235" s="455">
        <v>28.11</v>
      </c>
      <c r="I235" s="455">
        <v>18.7</v>
      </c>
      <c r="J235" s="455">
        <v>1.53</v>
      </c>
      <c r="K235" s="485"/>
      <c r="L235" s="433">
        <v>100</v>
      </c>
      <c r="M235" s="455">
        <v>76</v>
      </c>
      <c r="N235" s="484">
        <f>Weather!M236</f>
        <v>0</v>
      </c>
      <c r="O235" s="481" t="str">
        <f t="shared" si="148"/>
        <v/>
      </c>
      <c r="P235" s="4">
        <f t="shared" si="159"/>
        <v>3.0294218913691475</v>
      </c>
      <c r="Q235" s="169">
        <f t="shared" si="122"/>
        <v>3.8042078094253027</v>
      </c>
      <c r="R235" s="169">
        <f t="shared" si="123"/>
        <v>2.1566019800756622</v>
      </c>
      <c r="S235" s="169">
        <f t="shared" si="124"/>
        <v>2.89119793516323</v>
      </c>
      <c r="T235" s="169">
        <f t="shared" si="125"/>
        <v>2.1566019800756622</v>
      </c>
      <c r="U235" s="169">
        <f t="shared" si="126"/>
        <v>2.5238999576194461</v>
      </c>
      <c r="V235" s="169">
        <f t="shared" si="127"/>
        <v>8.2153503942600306E-2</v>
      </c>
      <c r="W235" s="439">
        <f t="shared" si="128"/>
        <v>21.239963947478955</v>
      </c>
      <c r="X235" s="439">
        <f t="shared" si="129"/>
        <v>21.239963947478955</v>
      </c>
      <c r="Y235" s="169"/>
      <c r="Z235" s="119">
        <f t="shared" si="130"/>
        <v>3</v>
      </c>
      <c r="AA235" s="4">
        <f t="shared" si="131"/>
        <v>1.0261342273931477</v>
      </c>
      <c r="AB235" s="466"/>
      <c r="AC235" s="466"/>
      <c r="AD235" s="466"/>
      <c r="AE235" s="466"/>
      <c r="AF235" s="466"/>
      <c r="AG235" s="466"/>
      <c r="AH235" s="466"/>
      <c r="AI235" s="466"/>
      <c r="AJ235" s="466"/>
      <c r="AK235" s="466"/>
      <c r="AL235" s="466"/>
      <c r="AM235" s="462">
        <f t="shared" si="132"/>
        <v>231</v>
      </c>
      <c r="AN235" s="32">
        <f t="shared" si="149"/>
        <v>0.97784842140027139</v>
      </c>
      <c r="AO235" s="32">
        <f t="shared" si="150"/>
        <v>0.21555839080166095</v>
      </c>
      <c r="AP235" s="32">
        <f t="shared" si="151"/>
        <v>1.7849425363973124</v>
      </c>
      <c r="AQ235" s="32">
        <f t="shared" si="152"/>
        <v>13.635956534525643</v>
      </c>
      <c r="AR235" s="32">
        <f t="shared" si="153"/>
        <v>34.947882876885281</v>
      </c>
      <c r="AS235" s="32">
        <f t="shared" si="133"/>
        <v>26.236074633335321</v>
      </c>
      <c r="AT235" s="32">
        <f t="shared" si="134"/>
        <v>11.708928</v>
      </c>
      <c r="AU235" s="32">
        <f t="shared" si="135"/>
        <v>0.57959890008389003</v>
      </c>
      <c r="AV235" s="32">
        <f t="shared" si="136"/>
        <v>0.43245851511325162</v>
      </c>
      <c r="AW235" s="32">
        <f t="shared" si="137"/>
        <v>3.8042078094253027</v>
      </c>
      <c r="AX235" s="32">
        <f t="shared" si="138"/>
        <v>2.1566019800756622</v>
      </c>
      <c r="AY235" s="32">
        <f t="shared" si="139"/>
        <v>2.5238999576194465</v>
      </c>
      <c r="AZ235" s="32">
        <f t="shared" si="154"/>
        <v>0.11758498438877568</v>
      </c>
      <c r="BA235" s="32">
        <f t="shared" si="140"/>
        <v>-1.9300512640831409</v>
      </c>
      <c r="BB235" s="32">
        <f t="shared" si="155"/>
        <v>9.7788767359168602</v>
      </c>
      <c r="BC235" s="32">
        <f t="shared" si="141"/>
        <v>23.405000000000001</v>
      </c>
      <c r="BD235" s="32">
        <v>0</v>
      </c>
      <c r="BE235" s="32">
        <f t="shared" si="156"/>
        <v>2.9804048947504826</v>
      </c>
      <c r="BF235" s="32">
        <f t="shared" si="157"/>
        <v>0.45650493713103613</v>
      </c>
      <c r="BG235" s="32">
        <f t="shared" si="158"/>
        <v>0.17362832721433041</v>
      </c>
      <c r="BH235" s="32">
        <f t="shared" si="142"/>
        <v>2.513081011715864</v>
      </c>
      <c r="BI235" s="32">
        <f t="shared" si="143"/>
        <v>0.51634087965328335</v>
      </c>
      <c r="BJ235" s="32">
        <f t="shared" si="144"/>
        <v>3.0294218913691475</v>
      </c>
      <c r="BK235" s="457">
        <f t="shared" si="145"/>
        <v>4.1469361956713398</v>
      </c>
      <c r="BL235" s="2"/>
    </row>
    <row r="236" spans="1:64" ht="15">
      <c r="A236" s="119"/>
      <c r="B236" s="480">
        <f>Input!B253</f>
        <v>38218</v>
      </c>
      <c r="C236" s="481">
        <v>1</v>
      </c>
      <c r="D236" s="481">
        <f t="shared" si="146"/>
        <v>8</v>
      </c>
      <c r="E236" s="481">
        <f t="shared" si="147"/>
        <v>19</v>
      </c>
      <c r="F236" s="481">
        <f t="shared" si="121"/>
        <v>232</v>
      </c>
      <c r="G236" s="431">
        <v>22.377600000000001</v>
      </c>
      <c r="H236" s="455">
        <v>28.33</v>
      </c>
      <c r="I236" s="455">
        <v>18.5</v>
      </c>
      <c r="J236" s="455">
        <v>1.61</v>
      </c>
      <c r="K236" s="485"/>
      <c r="L236" s="433">
        <v>100</v>
      </c>
      <c r="M236" s="455">
        <v>73</v>
      </c>
      <c r="N236" s="484">
        <f>Weather!M237</f>
        <v>0</v>
      </c>
      <c r="O236" s="481" t="str">
        <f t="shared" si="148"/>
        <v/>
      </c>
      <c r="P236" s="4">
        <f t="shared" si="159"/>
        <v>4.0744982807337342</v>
      </c>
      <c r="Q236" s="169">
        <f t="shared" si="122"/>
        <v>3.8531701898598083</v>
      </c>
      <c r="R236" s="169">
        <f t="shared" si="123"/>
        <v>2.1297773032821605</v>
      </c>
      <c r="S236" s="169">
        <f t="shared" si="124"/>
        <v>2.8128142385976598</v>
      </c>
      <c r="T236" s="169">
        <f t="shared" si="125"/>
        <v>2.1297773032821605</v>
      </c>
      <c r="U236" s="169">
        <f t="shared" si="126"/>
        <v>2.4712957709399102</v>
      </c>
      <c r="V236" s="169">
        <f t="shared" si="127"/>
        <v>8.0933892434312094E-2</v>
      </c>
      <c r="W236" s="439">
        <f t="shared" si="128"/>
        <v>20.896878381830209</v>
      </c>
      <c r="X236" s="439">
        <f t="shared" si="129"/>
        <v>20.896878381830209</v>
      </c>
      <c r="Y236" s="169"/>
      <c r="Z236" s="119">
        <f t="shared" si="130"/>
        <v>3</v>
      </c>
      <c r="AA236" s="4">
        <f t="shared" si="131"/>
        <v>1.0261342273931477</v>
      </c>
      <c r="AB236" s="466"/>
      <c r="AC236" s="466"/>
      <c r="AD236" s="466"/>
      <c r="AE236" s="466"/>
      <c r="AF236" s="466"/>
      <c r="AG236" s="466"/>
      <c r="AH236" s="466"/>
      <c r="AI236" s="466"/>
      <c r="AJ236" s="466"/>
      <c r="AK236" s="466"/>
      <c r="AL236" s="466"/>
      <c r="AM236" s="462">
        <f t="shared" si="132"/>
        <v>232</v>
      </c>
      <c r="AN236" s="32">
        <f t="shared" si="149"/>
        <v>0.97827274770496442</v>
      </c>
      <c r="AO236" s="32">
        <f t="shared" si="150"/>
        <v>0.20954334296149119</v>
      </c>
      <c r="AP236" s="32">
        <f t="shared" si="151"/>
        <v>1.7786940599138943</v>
      </c>
      <c r="AQ236" s="32">
        <f t="shared" si="152"/>
        <v>13.588221690407432</v>
      </c>
      <c r="AR236" s="32">
        <f t="shared" si="153"/>
        <v>34.727497890274577</v>
      </c>
      <c r="AS236" s="32">
        <f t="shared" si="133"/>
        <v>26.070627216186931</v>
      </c>
      <c r="AT236" s="32">
        <f t="shared" si="134"/>
        <v>17.230752000000003</v>
      </c>
      <c r="AU236" s="32">
        <f t="shared" si="135"/>
        <v>0.85834528699432378</v>
      </c>
      <c r="AV236" s="32">
        <f t="shared" si="136"/>
        <v>0.80876613744233727</v>
      </c>
      <c r="AW236" s="32">
        <f t="shared" si="137"/>
        <v>3.8531701898598083</v>
      </c>
      <c r="AX236" s="32">
        <f t="shared" si="138"/>
        <v>2.1297773032821605</v>
      </c>
      <c r="AY236" s="32">
        <f t="shared" si="139"/>
        <v>2.4712957709399097</v>
      </c>
      <c r="AZ236" s="32">
        <f t="shared" si="154"/>
        <v>0.11991502297879977</v>
      </c>
      <c r="BA236" s="32">
        <f t="shared" si="140"/>
        <v>-3.6820304694473247</v>
      </c>
      <c r="BB236" s="32">
        <f t="shared" si="155"/>
        <v>13.548721530552678</v>
      </c>
      <c r="BC236" s="32">
        <f t="shared" si="141"/>
        <v>23.414999999999999</v>
      </c>
      <c r="BD236" s="32">
        <v>0</v>
      </c>
      <c r="BE236" s="32">
        <f t="shared" si="156"/>
        <v>2.9914737465709846</v>
      </c>
      <c r="BF236" s="32">
        <f t="shared" si="157"/>
        <v>0.52017797563107493</v>
      </c>
      <c r="BG236" s="32">
        <f t="shared" si="158"/>
        <v>0.17371971921468526</v>
      </c>
      <c r="BH236" s="32">
        <f t="shared" si="142"/>
        <v>3.4596708971861254</v>
      </c>
      <c r="BI236" s="32">
        <f t="shared" si="143"/>
        <v>0.61482738354760891</v>
      </c>
      <c r="BJ236" s="32">
        <f t="shared" si="144"/>
        <v>4.0744982807337342</v>
      </c>
      <c r="BK236" s="457">
        <f t="shared" si="145"/>
        <v>4.2127657248816197</v>
      </c>
      <c r="BL236" s="2"/>
    </row>
    <row r="237" spans="1:64" ht="15">
      <c r="A237" s="119"/>
      <c r="B237" s="480">
        <f>Input!B254</f>
        <v>38219</v>
      </c>
      <c r="C237" s="481">
        <v>1</v>
      </c>
      <c r="D237" s="481">
        <f t="shared" si="146"/>
        <v>8</v>
      </c>
      <c r="E237" s="481">
        <f t="shared" si="147"/>
        <v>20</v>
      </c>
      <c r="F237" s="481">
        <f t="shared" si="121"/>
        <v>233</v>
      </c>
      <c r="G237" s="431">
        <v>22.8096</v>
      </c>
      <c r="H237" s="455">
        <v>29.4</v>
      </c>
      <c r="I237" s="455">
        <v>19.3</v>
      </c>
      <c r="J237" s="455">
        <v>1.25</v>
      </c>
      <c r="K237" s="485"/>
      <c r="L237" s="433">
        <v>100</v>
      </c>
      <c r="M237" s="455">
        <v>70</v>
      </c>
      <c r="N237" s="484">
        <f>Weather!M238</f>
        <v>0</v>
      </c>
      <c r="O237" s="481" t="str">
        <f t="shared" si="148"/>
        <v/>
      </c>
      <c r="P237" s="4">
        <f t="shared" si="159"/>
        <v>4.259246672317726</v>
      </c>
      <c r="Q237" s="169">
        <f t="shared" si="122"/>
        <v>4.0992081541413299</v>
      </c>
      <c r="R237" s="169">
        <f t="shared" si="123"/>
        <v>2.238858124675362</v>
      </c>
      <c r="S237" s="169">
        <f t="shared" si="124"/>
        <v>2.8694457078989308</v>
      </c>
      <c r="T237" s="169">
        <f t="shared" si="125"/>
        <v>2.238858124675362</v>
      </c>
      <c r="U237" s="169">
        <f t="shared" si="126"/>
        <v>2.5541519162871467</v>
      </c>
      <c r="V237" s="169">
        <f t="shared" si="127"/>
        <v>8.2843424620090617E-2</v>
      </c>
      <c r="W237" s="439">
        <f t="shared" si="128"/>
        <v>21.434447715979527</v>
      </c>
      <c r="X237" s="439">
        <f t="shared" si="129"/>
        <v>21.434447715979527</v>
      </c>
      <c r="Y237" s="169"/>
      <c r="Z237" s="119" t="str">
        <f t="shared" si="130"/>
        <v/>
      </c>
      <c r="AA237" s="4" t="str">
        <f t="shared" si="131"/>
        <v/>
      </c>
      <c r="AB237" s="466"/>
      <c r="AC237" s="466"/>
      <c r="AD237" s="466"/>
      <c r="AE237" s="466"/>
      <c r="AF237" s="466"/>
      <c r="AG237" s="466"/>
      <c r="AH237" s="466"/>
      <c r="AI237" s="466"/>
      <c r="AJ237" s="466"/>
      <c r="AK237" s="466"/>
      <c r="AL237" s="466"/>
      <c r="AM237" s="462">
        <f t="shared" si="132"/>
        <v>233</v>
      </c>
      <c r="AN237" s="32">
        <f t="shared" si="149"/>
        <v>0.97870351226342478</v>
      </c>
      <c r="AO237" s="32">
        <f t="shared" si="150"/>
        <v>0.2034662029064859</v>
      </c>
      <c r="AP237" s="32">
        <f t="shared" si="151"/>
        <v>1.7724056138372464</v>
      </c>
      <c r="AQ237" s="32">
        <f t="shared" si="152"/>
        <v>13.540181501089092</v>
      </c>
      <c r="AR237" s="32">
        <f t="shared" si="153"/>
        <v>34.504424219640832</v>
      </c>
      <c r="AS237" s="32">
        <f t="shared" si="133"/>
        <v>25.903161350168766</v>
      </c>
      <c r="AT237" s="32">
        <f t="shared" si="134"/>
        <v>17.563392</v>
      </c>
      <c r="AU237" s="32">
        <f t="shared" si="135"/>
        <v>0.88057205418486073</v>
      </c>
      <c r="AV237" s="32">
        <f t="shared" si="136"/>
        <v>0.83877227314956204</v>
      </c>
      <c r="AW237" s="32">
        <f t="shared" si="137"/>
        <v>4.0992081541413299</v>
      </c>
      <c r="AX237" s="32">
        <f t="shared" si="138"/>
        <v>2.238858124675362</v>
      </c>
      <c r="AY237" s="32">
        <f t="shared" si="139"/>
        <v>2.5541519162871471</v>
      </c>
      <c r="AZ237" s="32">
        <f t="shared" si="154"/>
        <v>0.1162559999480923</v>
      </c>
      <c r="BA237" s="32">
        <f t="shared" si="140"/>
        <v>-3.7493296347100253</v>
      </c>
      <c r="BB237" s="32">
        <f t="shared" si="155"/>
        <v>13.814062365289974</v>
      </c>
      <c r="BC237" s="32">
        <f t="shared" si="141"/>
        <v>24.35</v>
      </c>
      <c r="BD237" s="32">
        <v>0</v>
      </c>
      <c r="BE237" s="32">
        <f t="shared" si="156"/>
        <v>3.169033139408346</v>
      </c>
      <c r="BF237" s="32">
        <f t="shared" si="157"/>
        <v>0.61488122312119886</v>
      </c>
      <c r="BG237" s="32">
        <f t="shared" si="158"/>
        <v>0.18244610198053329</v>
      </c>
      <c r="BH237" s="32">
        <f t="shared" si="142"/>
        <v>3.6977995553603229</v>
      </c>
      <c r="BI237" s="32">
        <f t="shared" si="143"/>
        <v>0.56144711695740335</v>
      </c>
      <c r="BJ237" s="32">
        <f t="shared" si="144"/>
        <v>4.259246672317726</v>
      </c>
      <c r="BK237" s="457">
        <f t="shared" si="145"/>
        <v>4.3390514739384249</v>
      </c>
      <c r="BL237" s="2"/>
    </row>
    <row r="238" spans="1:64" ht="15">
      <c r="A238" s="119"/>
      <c r="B238" s="480">
        <f>Input!B255</f>
        <v>38220</v>
      </c>
      <c r="C238" s="481">
        <v>1</v>
      </c>
      <c r="D238" s="481">
        <f t="shared" si="146"/>
        <v>8</v>
      </c>
      <c r="E238" s="481">
        <f t="shared" si="147"/>
        <v>21</v>
      </c>
      <c r="F238" s="481">
        <f t="shared" si="121"/>
        <v>234</v>
      </c>
      <c r="G238" s="431">
        <v>22.5504</v>
      </c>
      <c r="H238" s="455">
        <v>29.81</v>
      </c>
      <c r="I238" s="455">
        <v>19.7</v>
      </c>
      <c r="J238" s="455">
        <v>1.48</v>
      </c>
      <c r="K238" s="485"/>
      <c r="L238" s="433">
        <v>100</v>
      </c>
      <c r="M238" s="455">
        <v>68</v>
      </c>
      <c r="N238" s="484">
        <f>Weather!M239</f>
        <v>0</v>
      </c>
      <c r="O238" s="481" t="str">
        <f t="shared" si="148"/>
        <v/>
      </c>
      <c r="P238" s="4">
        <f t="shared" si="159"/>
        <v>4.3146765128124835</v>
      </c>
      <c r="Q238" s="169">
        <f t="shared" si="122"/>
        <v>4.1970427644441859</v>
      </c>
      <c r="R238" s="169">
        <f t="shared" si="123"/>
        <v>2.2952083710657747</v>
      </c>
      <c r="S238" s="169">
        <f t="shared" si="124"/>
        <v>2.8539890798220466</v>
      </c>
      <c r="T238" s="169">
        <f t="shared" si="125"/>
        <v>2.2952083710657747</v>
      </c>
      <c r="U238" s="169">
        <f t="shared" si="126"/>
        <v>2.5745987254439107</v>
      </c>
      <c r="V238" s="169">
        <f t="shared" si="127"/>
        <v>8.33051182878283E-2</v>
      </c>
      <c r="W238" s="439">
        <f t="shared" si="128"/>
        <v>21.564759402582332</v>
      </c>
      <c r="X238" s="439">
        <f t="shared" si="129"/>
        <v>21.564759402582332</v>
      </c>
      <c r="Y238" s="169"/>
      <c r="Z238" s="119" t="str">
        <f t="shared" si="130"/>
        <v/>
      </c>
      <c r="AA238" s="4" t="str">
        <f t="shared" si="131"/>
        <v/>
      </c>
      <c r="AB238" s="466"/>
      <c r="AC238" s="466"/>
      <c r="AD238" s="466"/>
      <c r="AE238" s="466"/>
      <c r="AF238" s="466"/>
      <c r="AG238" s="466"/>
      <c r="AH238" s="466"/>
      <c r="AI238" s="466"/>
      <c r="AJ238" s="466"/>
      <c r="AK238" s="466"/>
      <c r="AL238" s="466"/>
      <c r="AM238" s="462">
        <f t="shared" si="132"/>
        <v>234</v>
      </c>
      <c r="AN238" s="32">
        <f t="shared" si="149"/>
        <v>0.97914058743081744</v>
      </c>
      <c r="AO238" s="32">
        <f t="shared" si="150"/>
        <v>0.19732877142439911</v>
      </c>
      <c r="AP238" s="32">
        <f t="shared" si="151"/>
        <v>1.7660789242568775</v>
      </c>
      <c r="AQ238" s="32">
        <f t="shared" si="152"/>
        <v>13.491849152923155</v>
      </c>
      <c r="AR238" s="32">
        <f t="shared" si="153"/>
        <v>34.278715043441906</v>
      </c>
      <c r="AS238" s="32">
        <f t="shared" si="133"/>
        <v>25.73371695741271</v>
      </c>
      <c r="AT238" s="32">
        <f t="shared" si="134"/>
        <v>17.363807999999999</v>
      </c>
      <c r="AU238" s="32">
        <f t="shared" si="135"/>
        <v>0.87629781726903844</v>
      </c>
      <c r="AV238" s="32">
        <f t="shared" si="136"/>
        <v>0.83300205331320198</v>
      </c>
      <c r="AW238" s="32">
        <f t="shared" si="137"/>
        <v>4.1970427644441859</v>
      </c>
      <c r="AX238" s="32">
        <f t="shared" si="138"/>
        <v>2.2952083710657747</v>
      </c>
      <c r="AY238" s="32">
        <f t="shared" si="139"/>
        <v>2.5745987254439102</v>
      </c>
      <c r="AZ238" s="32">
        <f t="shared" si="154"/>
        <v>0.11536221373352915</v>
      </c>
      <c r="BA238" s="32">
        <f t="shared" si="140"/>
        <v>-3.715066308595528</v>
      </c>
      <c r="BB238" s="32">
        <f t="shared" si="155"/>
        <v>13.648741691404471</v>
      </c>
      <c r="BC238" s="32">
        <f t="shared" si="141"/>
        <v>24.754999999999999</v>
      </c>
      <c r="BD238" s="32">
        <v>0</v>
      </c>
      <c r="BE238" s="32">
        <f t="shared" si="156"/>
        <v>3.2461255677549801</v>
      </c>
      <c r="BF238" s="32">
        <f t="shared" si="157"/>
        <v>0.67152684231106985</v>
      </c>
      <c r="BG238" s="32">
        <f t="shared" si="158"/>
        <v>0.18633906561703625</v>
      </c>
      <c r="BH238" s="32">
        <f t="shared" si="142"/>
        <v>3.6127446481392855</v>
      </c>
      <c r="BI238" s="32">
        <f t="shared" si="143"/>
        <v>0.70193186467319779</v>
      </c>
      <c r="BJ238" s="32">
        <f t="shared" si="144"/>
        <v>4.3146765128124835</v>
      </c>
      <c r="BK238" s="457">
        <f t="shared" si="145"/>
        <v>4.3542409522774035</v>
      </c>
      <c r="BL238" s="2"/>
    </row>
    <row r="239" spans="1:64" ht="15">
      <c r="A239" s="119"/>
      <c r="B239" s="480">
        <f>Input!B256</f>
        <v>38221</v>
      </c>
      <c r="C239" s="481">
        <v>1</v>
      </c>
      <c r="D239" s="481">
        <f t="shared" si="146"/>
        <v>8</v>
      </c>
      <c r="E239" s="481">
        <f t="shared" si="147"/>
        <v>22</v>
      </c>
      <c r="F239" s="481">
        <f t="shared" si="121"/>
        <v>235</v>
      </c>
      <c r="G239" s="431">
        <v>20.908799999999999</v>
      </c>
      <c r="H239" s="455">
        <v>29.73</v>
      </c>
      <c r="I239" s="455">
        <v>20.2</v>
      </c>
      <c r="J239" s="455">
        <v>1.67</v>
      </c>
      <c r="K239" s="485"/>
      <c r="L239" s="433">
        <v>100</v>
      </c>
      <c r="M239" s="455">
        <v>80</v>
      </c>
      <c r="N239" s="484">
        <f>Weather!M240</f>
        <v>0</v>
      </c>
      <c r="O239" s="481" t="str">
        <f t="shared" si="148"/>
        <v/>
      </c>
      <c r="P239" s="4">
        <f t="shared" si="159"/>
        <v>3.9046189691941287</v>
      </c>
      <c r="Q239" s="169">
        <f t="shared" si="122"/>
        <v>4.1777952119354156</v>
      </c>
      <c r="R239" s="169">
        <f t="shared" si="123"/>
        <v>2.3673876975032684</v>
      </c>
      <c r="S239" s="169">
        <f t="shared" si="124"/>
        <v>3.3422361695483325</v>
      </c>
      <c r="T239" s="169">
        <f t="shared" si="125"/>
        <v>2.3673876975032684</v>
      </c>
      <c r="U239" s="169">
        <f t="shared" si="126"/>
        <v>2.8548119335258004</v>
      </c>
      <c r="V239" s="169">
        <f t="shared" si="127"/>
        <v>8.9287300168237466E-2</v>
      </c>
      <c r="W239" s="439">
        <f t="shared" si="128"/>
        <v>23.265159620412479</v>
      </c>
      <c r="X239" s="439">
        <f t="shared" si="129"/>
        <v>23.265159620412479</v>
      </c>
      <c r="Y239" s="169"/>
      <c r="Z239" s="119" t="str">
        <f t="shared" si="130"/>
        <v/>
      </c>
      <c r="AA239" s="4" t="str">
        <f t="shared" si="131"/>
        <v/>
      </c>
      <c r="AB239" s="466"/>
      <c r="AC239" s="466"/>
      <c r="AD239" s="466"/>
      <c r="AE239" s="466"/>
      <c r="AF239" s="466"/>
      <c r="AG239" s="466"/>
      <c r="AH239" s="466"/>
      <c r="AI239" s="466"/>
      <c r="AJ239" s="466"/>
      <c r="AK239" s="466"/>
      <c r="AL239" s="466"/>
      <c r="AM239" s="462">
        <f t="shared" si="132"/>
        <v>235</v>
      </c>
      <c r="AN239" s="32">
        <f t="shared" si="149"/>
        <v>0.97958384369233742</v>
      </c>
      <c r="AO239" s="32">
        <f t="shared" si="150"/>
        <v>0.19113286716863595</v>
      </c>
      <c r="AP239" s="32">
        <f t="shared" si="151"/>
        <v>1.7597156777932568</v>
      </c>
      <c r="AQ239" s="32">
        <f t="shared" si="152"/>
        <v>13.443237530740888</v>
      </c>
      <c r="AR239" s="32">
        <f t="shared" si="153"/>
        <v>34.050424993800263</v>
      </c>
      <c r="AS239" s="32">
        <f t="shared" si="133"/>
        <v>25.562335051345734</v>
      </c>
      <c r="AT239" s="32">
        <f t="shared" si="134"/>
        <v>16.099775999999999</v>
      </c>
      <c r="AU239" s="32">
        <f t="shared" si="135"/>
        <v>0.81795344431569261</v>
      </c>
      <c r="AV239" s="32">
        <f t="shared" si="136"/>
        <v>0.75423714982618517</v>
      </c>
      <c r="AW239" s="32">
        <f t="shared" si="137"/>
        <v>4.1777952119354156</v>
      </c>
      <c r="AX239" s="32">
        <f t="shared" si="138"/>
        <v>2.3673876975032684</v>
      </c>
      <c r="AY239" s="32">
        <f t="shared" si="139"/>
        <v>2.8548119335258013</v>
      </c>
      <c r="AZ239" s="32">
        <f t="shared" si="154"/>
        <v>0.10345335788241319</v>
      </c>
      <c r="BA239" s="32">
        <f t="shared" si="140"/>
        <v>-3.0244690700391503</v>
      </c>
      <c r="BB239" s="32">
        <f t="shared" si="155"/>
        <v>13.075306929960849</v>
      </c>
      <c r="BC239" s="32">
        <f t="shared" si="141"/>
        <v>24.965</v>
      </c>
      <c r="BD239" s="32">
        <v>0</v>
      </c>
      <c r="BE239" s="32">
        <f t="shared" si="156"/>
        <v>3.272591454719342</v>
      </c>
      <c r="BF239" s="32">
        <f t="shared" si="157"/>
        <v>0.41777952119354067</v>
      </c>
      <c r="BG239" s="32">
        <f t="shared" si="158"/>
        <v>0.1883850404035371</v>
      </c>
      <c r="BH239" s="32">
        <f t="shared" si="142"/>
        <v>3.4229109738504873</v>
      </c>
      <c r="BI239" s="32">
        <f t="shared" si="143"/>
        <v>0.48170799534364134</v>
      </c>
      <c r="BJ239" s="32">
        <f t="shared" si="144"/>
        <v>3.9046189691941287</v>
      </c>
      <c r="BK239" s="457">
        <f t="shared" si="145"/>
        <v>4.2200657278322398</v>
      </c>
      <c r="BL239" s="2"/>
    </row>
    <row r="240" spans="1:64" ht="15">
      <c r="A240" s="119"/>
      <c r="B240" s="480">
        <f>Input!B257</f>
        <v>38222</v>
      </c>
      <c r="C240" s="481">
        <v>1</v>
      </c>
      <c r="D240" s="481">
        <f t="shared" si="146"/>
        <v>8</v>
      </c>
      <c r="E240" s="481">
        <f t="shared" si="147"/>
        <v>23</v>
      </c>
      <c r="F240" s="481">
        <f t="shared" si="121"/>
        <v>236</v>
      </c>
      <c r="G240" s="431">
        <v>15.811199999999999</v>
      </c>
      <c r="H240" s="455">
        <v>29.33</v>
      </c>
      <c r="I240" s="455">
        <v>22.5</v>
      </c>
      <c r="J240" s="455">
        <v>1.73</v>
      </c>
      <c r="K240" s="485"/>
      <c r="L240" s="433">
        <v>100</v>
      </c>
      <c r="M240" s="455">
        <v>82</v>
      </c>
      <c r="N240" s="484">
        <f>Weather!M241</f>
        <v>0</v>
      </c>
      <c r="O240" s="481" t="str">
        <f t="shared" si="148"/>
        <v/>
      </c>
      <c r="P240" s="4">
        <f t="shared" si="159"/>
        <v>3.1599844462605367</v>
      </c>
      <c r="Q240" s="169">
        <f t="shared" si="122"/>
        <v>4.0827044913576467</v>
      </c>
      <c r="R240" s="169">
        <f t="shared" si="123"/>
        <v>2.7255876066054592</v>
      </c>
      <c r="S240" s="169">
        <f t="shared" si="124"/>
        <v>3.34781768291327</v>
      </c>
      <c r="T240" s="169">
        <f t="shared" si="125"/>
        <v>2.7255876066054592</v>
      </c>
      <c r="U240" s="169">
        <f t="shared" si="126"/>
        <v>3.0367026447593646</v>
      </c>
      <c r="V240" s="169">
        <f t="shared" si="127"/>
        <v>9.2863808689128691E-2</v>
      </c>
      <c r="W240" s="439">
        <f t="shared" si="128"/>
        <v>24.292473404777219</v>
      </c>
      <c r="X240" s="439">
        <f t="shared" si="129"/>
        <v>24.292473404777219</v>
      </c>
      <c r="Y240" s="169"/>
      <c r="Z240" s="119" t="str">
        <f t="shared" si="130"/>
        <v/>
      </c>
      <c r="AA240" s="4" t="str">
        <f t="shared" si="131"/>
        <v/>
      </c>
      <c r="AB240" s="466"/>
      <c r="AC240" s="466"/>
      <c r="AD240" s="466"/>
      <c r="AE240" s="466"/>
      <c r="AF240" s="466"/>
      <c r="AG240" s="466"/>
      <c r="AH240" s="466"/>
      <c r="AI240" s="466"/>
      <c r="AJ240" s="466"/>
      <c r="AK240" s="466"/>
      <c r="AL240" s="466"/>
      <c r="AM240" s="462">
        <f t="shared" si="132"/>
        <v>236</v>
      </c>
      <c r="AN240" s="32">
        <f t="shared" si="149"/>
        <v>0.98003314970158795</v>
      </c>
      <c r="AO240" s="32">
        <f t="shared" si="150"/>
        <v>0.18488032611934527</v>
      </c>
      <c r="AP240" s="32">
        <f t="shared" si="151"/>
        <v>1.7533175221523851</v>
      </c>
      <c r="AQ240" s="32">
        <f t="shared" si="152"/>
        <v>13.394359222088918</v>
      </c>
      <c r="AR240" s="32">
        <f t="shared" si="153"/>
        <v>33.819610171359045</v>
      </c>
      <c r="AS240" s="32">
        <f t="shared" si="133"/>
        <v>25.389057747842664</v>
      </c>
      <c r="AT240" s="32">
        <f t="shared" si="134"/>
        <v>12.174624</v>
      </c>
      <c r="AU240" s="32">
        <f t="shared" si="135"/>
        <v>0.62275647080063434</v>
      </c>
      <c r="AV240" s="32">
        <f t="shared" si="136"/>
        <v>0.49072123558085645</v>
      </c>
      <c r="AW240" s="32">
        <f t="shared" si="137"/>
        <v>4.0827044913576467</v>
      </c>
      <c r="AX240" s="32">
        <f t="shared" si="138"/>
        <v>2.7255876066054592</v>
      </c>
      <c r="AY240" s="32">
        <f t="shared" si="139"/>
        <v>3.0367026447593646</v>
      </c>
      <c r="AZ240" s="32">
        <f t="shared" si="154"/>
        <v>9.6034076483449138E-2</v>
      </c>
      <c r="BA240" s="32">
        <f t="shared" si="140"/>
        <v>-1.8486653502267167</v>
      </c>
      <c r="BB240" s="32">
        <f t="shared" si="155"/>
        <v>10.325958649773282</v>
      </c>
      <c r="BC240" s="32">
        <f t="shared" si="141"/>
        <v>25.914999999999999</v>
      </c>
      <c r="BD240" s="32">
        <v>0</v>
      </c>
      <c r="BE240" s="32">
        <f t="shared" si="156"/>
        <v>3.4041460489815529</v>
      </c>
      <c r="BF240" s="32">
        <f t="shared" si="157"/>
        <v>0.36744340422218835</v>
      </c>
      <c r="BG240" s="32">
        <f t="shared" si="158"/>
        <v>0.19787872342448609</v>
      </c>
      <c r="BH240" s="32">
        <f t="shared" si="142"/>
        <v>2.7380971805256076</v>
      </c>
      <c r="BI240" s="32">
        <f t="shared" si="143"/>
        <v>0.42188726573492918</v>
      </c>
      <c r="BJ240" s="32">
        <f t="shared" si="144"/>
        <v>3.1599844462605367</v>
      </c>
      <c r="BK240" s="457">
        <f t="shared" si="145"/>
        <v>3.6271973335814138</v>
      </c>
      <c r="BL240" s="2"/>
    </row>
    <row r="241" spans="1:64" ht="15">
      <c r="A241" s="119"/>
      <c r="B241" s="480">
        <f>Input!B258</f>
        <v>38223</v>
      </c>
      <c r="C241" s="481">
        <v>1</v>
      </c>
      <c r="D241" s="481">
        <f t="shared" si="146"/>
        <v>8</v>
      </c>
      <c r="E241" s="481">
        <f t="shared" si="147"/>
        <v>24</v>
      </c>
      <c r="F241" s="481">
        <f t="shared" si="121"/>
        <v>237</v>
      </c>
      <c r="G241" s="431">
        <v>20.736000000000001</v>
      </c>
      <c r="H241" s="455">
        <v>29.5</v>
      </c>
      <c r="I241" s="455">
        <v>21.1</v>
      </c>
      <c r="J241" s="455">
        <v>1.36</v>
      </c>
      <c r="K241" s="485"/>
      <c r="L241" s="433">
        <v>100</v>
      </c>
      <c r="M241" s="455">
        <v>85</v>
      </c>
      <c r="N241" s="484">
        <f>Weather!M242</f>
        <v>0</v>
      </c>
      <c r="O241" s="481" t="str">
        <f t="shared" si="148"/>
        <v/>
      </c>
      <c r="P241" s="4">
        <f t="shared" si="159"/>
        <v>3.8247380758573639</v>
      </c>
      <c r="Q241" s="169">
        <f t="shared" si="122"/>
        <v>4.1228854693811812</v>
      </c>
      <c r="R241" s="169">
        <f t="shared" si="123"/>
        <v>2.5023227554890153</v>
      </c>
      <c r="S241" s="169">
        <f t="shared" si="124"/>
        <v>3.504452648974004</v>
      </c>
      <c r="T241" s="169">
        <f t="shared" si="125"/>
        <v>2.5023227554890153</v>
      </c>
      <c r="U241" s="169">
        <f t="shared" si="126"/>
        <v>3.0033877022315094</v>
      </c>
      <c r="V241" s="169">
        <f t="shared" si="127"/>
        <v>9.2225048713243829E-2</v>
      </c>
      <c r="W241" s="439">
        <f t="shared" si="128"/>
        <v>24.108402670321677</v>
      </c>
      <c r="X241" s="439">
        <f t="shared" si="129"/>
        <v>24.108402670321677</v>
      </c>
      <c r="Y241" s="169"/>
      <c r="Z241" s="119" t="str">
        <f t="shared" si="130"/>
        <v/>
      </c>
      <c r="AA241" s="4" t="str">
        <f t="shared" si="131"/>
        <v/>
      </c>
      <c r="AB241" s="466"/>
      <c r="AC241" s="466"/>
      <c r="AD241" s="466"/>
      <c r="AE241" s="466"/>
      <c r="AF241" s="466"/>
      <c r="AG241" s="466"/>
      <c r="AH241" s="466"/>
      <c r="AI241" s="466"/>
      <c r="AJ241" s="466"/>
      <c r="AK241" s="466"/>
      <c r="AL241" s="466"/>
      <c r="AM241" s="462">
        <f t="shared" si="132"/>
        <v>237</v>
      </c>
      <c r="AN241" s="32">
        <f t="shared" si="149"/>
        <v>0.98048837231950192</v>
      </c>
      <c r="AO241" s="32">
        <f t="shared" si="150"/>
        <v>0.17857300103938117</v>
      </c>
      <c r="AP241" s="32">
        <f t="shared" si="151"/>
        <v>1.7468860667707344</v>
      </c>
      <c r="AQ241" s="32">
        <f t="shared" si="152"/>
        <v>13.345226522156214</v>
      </c>
      <c r="AR241" s="32">
        <f t="shared" si="153"/>
        <v>33.586328158049717</v>
      </c>
      <c r="AS241" s="32">
        <f t="shared" si="133"/>
        <v>25.213928274811085</v>
      </c>
      <c r="AT241" s="32">
        <f t="shared" si="134"/>
        <v>15.96672</v>
      </c>
      <c r="AU241" s="32">
        <f t="shared" si="135"/>
        <v>0.82240259328077125</v>
      </c>
      <c r="AV241" s="32">
        <f t="shared" si="136"/>
        <v>0.76024350092904125</v>
      </c>
      <c r="AW241" s="32">
        <f t="shared" si="137"/>
        <v>4.1228854693811812</v>
      </c>
      <c r="AX241" s="32">
        <f t="shared" si="138"/>
        <v>2.5023227554890153</v>
      </c>
      <c r="AY241" s="32">
        <f t="shared" si="139"/>
        <v>3.0033877022315103</v>
      </c>
      <c r="AZ241" s="32">
        <f t="shared" si="154"/>
        <v>9.7376013214402896E-2</v>
      </c>
      <c r="BA241" s="32">
        <f t="shared" si="140"/>
        <v>-2.8813955322798379</v>
      </c>
      <c r="BB241" s="32">
        <f t="shared" si="155"/>
        <v>13.085324467720163</v>
      </c>
      <c r="BC241" s="32">
        <f t="shared" si="141"/>
        <v>25.3</v>
      </c>
      <c r="BD241" s="32">
        <v>0</v>
      </c>
      <c r="BE241" s="32">
        <f t="shared" si="156"/>
        <v>3.312604112435098</v>
      </c>
      <c r="BF241" s="32">
        <f t="shared" si="157"/>
        <v>0.3092164102035877</v>
      </c>
      <c r="BG241" s="32">
        <f t="shared" si="158"/>
        <v>0.19168802186009198</v>
      </c>
      <c r="BH241" s="32">
        <f t="shared" si="142"/>
        <v>3.53094106279725</v>
      </c>
      <c r="BI241" s="32">
        <f t="shared" si="143"/>
        <v>0.29379701306011419</v>
      </c>
      <c r="BJ241" s="32">
        <f t="shared" si="144"/>
        <v>3.8247380758573639</v>
      </c>
      <c r="BK241" s="457">
        <f t="shared" si="145"/>
        <v>3.9385937900912</v>
      </c>
      <c r="BL241" s="2"/>
    </row>
    <row r="242" spans="1:64" ht="15">
      <c r="A242" s="119"/>
      <c r="B242" s="480">
        <f>Input!B259</f>
        <v>38224</v>
      </c>
      <c r="C242" s="481">
        <v>1</v>
      </c>
      <c r="D242" s="481">
        <f t="shared" si="146"/>
        <v>8</v>
      </c>
      <c r="E242" s="481">
        <f t="shared" si="147"/>
        <v>25</v>
      </c>
      <c r="F242" s="481">
        <f t="shared" si="121"/>
        <v>238</v>
      </c>
      <c r="G242" s="431">
        <v>19.007999999999999</v>
      </c>
      <c r="H242" s="455">
        <v>29</v>
      </c>
      <c r="I242" s="455">
        <v>19.399999999999999</v>
      </c>
      <c r="J242" s="455">
        <v>1.33</v>
      </c>
      <c r="K242" s="485"/>
      <c r="L242" s="433">
        <v>100</v>
      </c>
      <c r="M242" s="455">
        <v>60</v>
      </c>
      <c r="N242" s="484">
        <f>Weather!M243</f>
        <v>0</v>
      </c>
      <c r="O242" s="481" t="str">
        <f t="shared" si="148"/>
        <v/>
      </c>
      <c r="P242" s="4">
        <f t="shared" si="159"/>
        <v>3.7913485075397029</v>
      </c>
      <c r="Q242" s="169">
        <f t="shared" si="122"/>
        <v>4.0056776000859209</v>
      </c>
      <c r="R242" s="169">
        <f t="shared" si="123"/>
        <v>2.2528310020993629</v>
      </c>
      <c r="S242" s="169">
        <f t="shared" si="124"/>
        <v>2.4034065600515526</v>
      </c>
      <c r="T242" s="169">
        <f t="shared" si="125"/>
        <v>2.2528310020993629</v>
      </c>
      <c r="U242" s="169">
        <f t="shared" si="126"/>
        <v>2.3281187810754576</v>
      </c>
      <c r="V242" s="169">
        <f t="shared" si="127"/>
        <v>7.7478069311173625E-2</v>
      </c>
      <c r="W242" s="439">
        <f t="shared" si="128"/>
        <v>19.929657210223098</v>
      </c>
      <c r="X242" s="439">
        <f t="shared" si="129"/>
        <v>19.929657210223098</v>
      </c>
      <c r="Y242" s="169"/>
      <c r="Z242" s="119" t="str">
        <f t="shared" si="130"/>
        <v/>
      </c>
      <c r="AA242" s="4" t="str">
        <f t="shared" si="131"/>
        <v/>
      </c>
      <c r="AB242" s="466"/>
      <c r="AC242" s="466"/>
      <c r="AD242" s="466"/>
      <c r="AE242" s="466"/>
      <c r="AF242" s="466"/>
      <c r="AG242" s="466"/>
      <c r="AH242" s="466"/>
      <c r="AI242" s="466"/>
      <c r="AJ242" s="466"/>
      <c r="AK242" s="466"/>
      <c r="AL242" s="466"/>
      <c r="AM242" s="462">
        <f t="shared" si="132"/>
        <v>238</v>
      </c>
      <c r="AN242" s="32">
        <f t="shared" si="149"/>
        <v>0.980949376653793</v>
      </c>
      <c r="AO242" s="32">
        <f t="shared" si="150"/>
        <v>0.17221276092528845</v>
      </c>
      <c r="AP242" s="32">
        <f t="shared" si="151"/>
        <v>1.7404228835452233</v>
      </c>
      <c r="AQ242" s="32">
        <f t="shared" si="152"/>
        <v>13.295851439350676</v>
      </c>
      <c r="AR242" s="32">
        <f t="shared" si="153"/>
        <v>33.350638027662299</v>
      </c>
      <c r="AS242" s="32">
        <f t="shared" si="133"/>
        <v>25.036990980126642</v>
      </c>
      <c r="AT242" s="32">
        <f t="shared" si="134"/>
        <v>14.63616</v>
      </c>
      <c r="AU242" s="32">
        <f t="shared" si="135"/>
        <v>0.75919666285328724</v>
      </c>
      <c r="AV242" s="32">
        <f t="shared" si="136"/>
        <v>0.67491549485193791</v>
      </c>
      <c r="AW242" s="32">
        <f t="shared" si="137"/>
        <v>4.0056776000859209</v>
      </c>
      <c r="AX242" s="32">
        <f t="shared" si="138"/>
        <v>2.2528310020993629</v>
      </c>
      <c r="AY242" s="32">
        <f t="shared" si="139"/>
        <v>2.328118781075458</v>
      </c>
      <c r="AZ242" s="32">
        <f t="shared" si="154"/>
        <v>0.12638556203037452</v>
      </c>
      <c r="BA242" s="32">
        <f t="shared" si="140"/>
        <v>-3.2726023118003345</v>
      </c>
      <c r="BB242" s="32">
        <f t="shared" si="155"/>
        <v>11.363557688199666</v>
      </c>
      <c r="BC242" s="32">
        <f t="shared" si="141"/>
        <v>24.2</v>
      </c>
      <c r="BD242" s="32">
        <v>0</v>
      </c>
      <c r="BE242" s="32">
        <f t="shared" si="156"/>
        <v>3.1292543010926419</v>
      </c>
      <c r="BF242" s="32">
        <f t="shared" si="157"/>
        <v>0.80113552001718391</v>
      </c>
      <c r="BG242" s="32">
        <f t="shared" si="158"/>
        <v>0.18102176996269229</v>
      </c>
      <c r="BH242" s="32">
        <f t="shared" si="142"/>
        <v>3.0137447471204228</v>
      </c>
      <c r="BI242" s="32">
        <f t="shared" si="143"/>
        <v>0.77760376041927992</v>
      </c>
      <c r="BJ242" s="32">
        <f t="shared" si="144"/>
        <v>3.7913485075397029</v>
      </c>
      <c r="BK242" s="457">
        <f t="shared" si="145"/>
        <v>4.07427937416705</v>
      </c>
      <c r="BL242" s="2"/>
    </row>
    <row r="243" spans="1:64" ht="15">
      <c r="A243" s="119"/>
      <c r="B243" s="480">
        <f>Input!B260</f>
        <v>38225</v>
      </c>
      <c r="C243" s="481">
        <v>1</v>
      </c>
      <c r="D243" s="481">
        <f t="shared" si="146"/>
        <v>8</v>
      </c>
      <c r="E243" s="481">
        <f t="shared" si="147"/>
        <v>26</v>
      </c>
      <c r="F243" s="481">
        <f t="shared" si="121"/>
        <v>239</v>
      </c>
      <c r="G243" s="431">
        <v>20.563199999999998</v>
      </c>
      <c r="H243" s="455">
        <v>24.65</v>
      </c>
      <c r="I243" s="455">
        <v>15.8</v>
      </c>
      <c r="J243" s="455">
        <v>2.78</v>
      </c>
      <c r="K243" s="485"/>
      <c r="L243" s="433">
        <v>100</v>
      </c>
      <c r="M243" s="455">
        <v>79</v>
      </c>
      <c r="N243" s="484">
        <f>Weather!M244</f>
        <v>0.2</v>
      </c>
      <c r="O243" s="481" t="str">
        <f t="shared" si="148"/>
        <v/>
      </c>
      <c r="P243" s="4">
        <f t="shared" si="159"/>
        <v>3.2718370581858034</v>
      </c>
      <c r="Q243" s="169">
        <f t="shared" si="122"/>
        <v>3.10233355600674</v>
      </c>
      <c r="R243" s="169">
        <f t="shared" si="123"/>
        <v>1.7951882816867184</v>
      </c>
      <c r="S243" s="169">
        <f t="shared" si="124"/>
        <v>2.4508435092453249</v>
      </c>
      <c r="T243" s="169">
        <f t="shared" si="125"/>
        <v>1.7951882816867184</v>
      </c>
      <c r="U243" s="169">
        <f t="shared" si="126"/>
        <v>2.1230158954660219</v>
      </c>
      <c r="V243" s="169">
        <f t="shared" si="127"/>
        <v>7.2138006693508533E-2</v>
      </c>
      <c r="W243" s="439">
        <f t="shared" si="128"/>
        <v>18.449240417066036</v>
      </c>
      <c r="X243" s="439">
        <f t="shared" si="129"/>
        <v>18.449240417066036</v>
      </c>
      <c r="Y243" s="169"/>
      <c r="Z243" s="119" t="str">
        <f t="shared" si="130"/>
        <v/>
      </c>
      <c r="AA243" s="4" t="str">
        <f t="shared" si="131"/>
        <v/>
      </c>
      <c r="AB243" s="466"/>
      <c r="AC243" s="466"/>
      <c r="AD243" s="466"/>
      <c r="AE243" s="466"/>
      <c r="AF243" s="466"/>
      <c r="AG243" s="466"/>
      <c r="AH243" s="466"/>
      <c r="AI243" s="466"/>
      <c r="AJ243" s="466"/>
      <c r="AK243" s="466"/>
      <c r="AL243" s="466"/>
      <c r="AM243" s="462">
        <f t="shared" si="132"/>
        <v>239</v>
      </c>
      <c r="AN243" s="32">
        <f t="shared" si="149"/>
        <v>0.98141602609892764</v>
      </c>
      <c r="AO243" s="32">
        <f t="shared" si="150"/>
        <v>0.16580149045347745</v>
      </c>
      <c r="AP243" s="32">
        <f t="shared" si="151"/>
        <v>1.7339295076430621</v>
      </c>
      <c r="AQ243" s="32">
        <f t="shared" si="152"/>
        <v>13.246245701485904</v>
      </c>
      <c r="AR243" s="32">
        <f t="shared" si="153"/>
        <v>33.112600354116196</v>
      </c>
      <c r="AS243" s="32">
        <f t="shared" si="133"/>
        <v>24.858291337842111</v>
      </c>
      <c r="AT243" s="32">
        <f t="shared" si="134"/>
        <v>15.833663999999999</v>
      </c>
      <c r="AU243" s="32">
        <f t="shared" si="135"/>
        <v>0.82721695230501879</v>
      </c>
      <c r="AV243" s="32">
        <f t="shared" si="136"/>
        <v>0.76674288561177539</v>
      </c>
      <c r="AW243" s="32">
        <f t="shared" si="137"/>
        <v>3.10233355600674</v>
      </c>
      <c r="AX243" s="32">
        <f t="shared" si="138"/>
        <v>1.7951882816867184</v>
      </c>
      <c r="AY243" s="32">
        <f t="shared" si="139"/>
        <v>2.1230158954660219</v>
      </c>
      <c r="AZ243" s="32">
        <f t="shared" si="154"/>
        <v>0.13601198184419255</v>
      </c>
      <c r="BA243" s="32">
        <f t="shared" si="140"/>
        <v>-3.7905989938209217</v>
      </c>
      <c r="BB243" s="32">
        <f t="shared" si="155"/>
        <v>12.043065006179077</v>
      </c>
      <c r="BC243" s="32">
        <f t="shared" si="141"/>
        <v>20.225000000000001</v>
      </c>
      <c r="BD243" s="32">
        <v>0</v>
      </c>
      <c r="BE243" s="32">
        <f t="shared" si="156"/>
        <v>2.4487609188467294</v>
      </c>
      <c r="BF243" s="32">
        <f t="shared" si="157"/>
        <v>0.32574502338070754</v>
      </c>
      <c r="BG243" s="32">
        <f t="shared" si="158"/>
        <v>0.14654786835378925</v>
      </c>
      <c r="BH243" s="32">
        <f t="shared" si="142"/>
        <v>2.5986435038132507</v>
      </c>
      <c r="BI243" s="32">
        <f t="shared" si="143"/>
        <v>0.67319355437255268</v>
      </c>
      <c r="BJ243" s="32">
        <f t="shared" si="144"/>
        <v>3.2718370581858034</v>
      </c>
      <c r="BK243" s="457">
        <f t="shared" si="145"/>
        <v>3.5163807771322246</v>
      </c>
      <c r="BL243" s="2"/>
    </row>
    <row r="244" spans="1:64" ht="15">
      <c r="A244" s="119"/>
      <c r="B244" s="480">
        <f>Input!B261</f>
        <v>38226</v>
      </c>
      <c r="C244" s="481">
        <v>1</v>
      </c>
      <c r="D244" s="481">
        <f t="shared" si="146"/>
        <v>8</v>
      </c>
      <c r="E244" s="481">
        <f t="shared" si="147"/>
        <v>27</v>
      </c>
      <c r="F244" s="481">
        <f t="shared" si="121"/>
        <v>240</v>
      </c>
      <c r="G244" s="431">
        <v>14.601599999999999</v>
      </c>
      <c r="H244" s="455">
        <v>22.28</v>
      </c>
      <c r="I244" s="455">
        <v>13.6</v>
      </c>
      <c r="J244" s="455">
        <v>1.47</v>
      </c>
      <c r="K244" s="485"/>
      <c r="L244" s="433">
        <v>100</v>
      </c>
      <c r="M244" s="455">
        <v>80</v>
      </c>
      <c r="N244" s="484">
        <f>Weather!M245</f>
        <v>0</v>
      </c>
      <c r="O244" s="481" t="str">
        <f t="shared" si="148"/>
        <v/>
      </c>
      <c r="P244" s="4">
        <f t="shared" si="159"/>
        <v>2.394984867373108</v>
      </c>
      <c r="Q244" s="169">
        <f t="shared" si="122"/>
        <v>2.6893914301041364</v>
      </c>
      <c r="R244" s="169">
        <f t="shared" si="123"/>
        <v>1.5575783410613051</v>
      </c>
      <c r="S244" s="169">
        <f t="shared" si="124"/>
        <v>2.1515131440833093</v>
      </c>
      <c r="T244" s="169">
        <f t="shared" si="125"/>
        <v>1.5575783410613051</v>
      </c>
      <c r="U244" s="169">
        <f t="shared" si="126"/>
        <v>1.8545457425723071</v>
      </c>
      <c r="V244" s="169">
        <f t="shared" si="127"/>
        <v>6.4309524551131717E-2</v>
      </c>
      <c r="W244" s="439">
        <f t="shared" si="128"/>
        <v>16.309506804226832</v>
      </c>
      <c r="X244" s="439">
        <f t="shared" si="129"/>
        <v>16.309506804226832</v>
      </c>
      <c r="Y244" s="169"/>
      <c r="Z244" s="119" t="str">
        <f t="shared" si="130"/>
        <v/>
      </c>
      <c r="AA244" s="4" t="str">
        <f t="shared" si="131"/>
        <v/>
      </c>
      <c r="AB244" s="466"/>
      <c r="AC244" s="466"/>
      <c r="AD244" s="466"/>
      <c r="AE244" s="466"/>
      <c r="AF244" s="466"/>
      <c r="AG244" s="466"/>
      <c r="AH244" s="466"/>
      <c r="AI244" s="466"/>
      <c r="AJ244" s="466"/>
      <c r="AK244" s="466"/>
      <c r="AL244" s="466"/>
      <c r="AM244" s="462">
        <f t="shared" si="132"/>
        <v>240</v>
      </c>
      <c r="AN244" s="32">
        <f t="shared" si="149"/>
        <v>0.98188818237660425</v>
      </c>
      <c r="AO244" s="32">
        <f t="shared" si="150"/>
        <v>0.1593410894217562</v>
      </c>
      <c r="AP244" s="32">
        <f t="shared" si="151"/>
        <v>1.7274074383864739</v>
      </c>
      <c r="AQ244" s="32">
        <f t="shared" si="152"/>
        <v>13.196420762539965</v>
      </c>
      <c r="AR244" s="32">
        <f t="shared" si="153"/>
        <v>32.872277217335913</v>
      </c>
      <c r="AS244" s="32">
        <f t="shared" si="133"/>
        <v>24.67787595259842</v>
      </c>
      <c r="AT244" s="32">
        <f t="shared" si="134"/>
        <v>11.243231999999999</v>
      </c>
      <c r="AU244" s="32">
        <f t="shared" si="135"/>
        <v>0.5916878757331846</v>
      </c>
      <c r="AV244" s="32">
        <f t="shared" si="136"/>
        <v>0.4487786322397993</v>
      </c>
      <c r="AW244" s="32">
        <f t="shared" si="137"/>
        <v>2.6893914301041364</v>
      </c>
      <c r="AX244" s="32">
        <f t="shared" si="138"/>
        <v>1.5575783410613051</v>
      </c>
      <c r="AY244" s="32">
        <f t="shared" si="139"/>
        <v>1.8545457425723069</v>
      </c>
      <c r="AZ244" s="32">
        <f t="shared" si="154"/>
        <v>0.14934560966393351</v>
      </c>
      <c r="BA244" s="32">
        <f t="shared" si="140"/>
        <v>-2.3610692939732205</v>
      </c>
      <c r="BB244" s="32">
        <f t="shared" si="155"/>
        <v>8.8821627060267794</v>
      </c>
      <c r="BC244" s="32">
        <f t="shared" si="141"/>
        <v>17.940000000000001</v>
      </c>
      <c r="BD244" s="32">
        <v>0</v>
      </c>
      <c r="BE244" s="32">
        <f t="shared" si="156"/>
        <v>2.1234848855827209</v>
      </c>
      <c r="BF244" s="32">
        <f t="shared" si="157"/>
        <v>0.26893914301041399</v>
      </c>
      <c r="BG244" s="32">
        <f t="shared" si="158"/>
        <v>0.12937461397282843</v>
      </c>
      <c r="BH244" s="32">
        <f t="shared" si="142"/>
        <v>2.0381799431824414</v>
      </c>
      <c r="BI244" s="32">
        <f t="shared" si="143"/>
        <v>0.35680492419066656</v>
      </c>
      <c r="BJ244" s="32">
        <f t="shared" si="144"/>
        <v>2.394984867373108</v>
      </c>
      <c r="BK244" s="457">
        <f t="shared" si="145"/>
        <v>3.2494207778083228</v>
      </c>
      <c r="BL244" s="2"/>
    </row>
    <row r="245" spans="1:64" ht="15">
      <c r="A245" s="119"/>
      <c r="B245" s="480">
        <f>Input!B262</f>
        <v>38227</v>
      </c>
      <c r="C245" s="481">
        <v>1</v>
      </c>
      <c r="D245" s="481">
        <f t="shared" si="146"/>
        <v>8</v>
      </c>
      <c r="E245" s="481">
        <f t="shared" si="147"/>
        <v>28</v>
      </c>
      <c r="F245" s="481">
        <f t="shared" si="121"/>
        <v>241</v>
      </c>
      <c r="G245" s="431">
        <v>19.872</v>
      </c>
      <c r="H245" s="455">
        <v>23.79</v>
      </c>
      <c r="I245" s="455">
        <v>14.8</v>
      </c>
      <c r="J245" s="455">
        <v>1.57</v>
      </c>
      <c r="K245" s="485"/>
      <c r="L245" s="433">
        <v>100</v>
      </c>
      <c r="M245" s="455">
        <v>68</v>
      </c>
      <c r="N245" s="484">
        <f>Weather!M246</f>
        <v>0</v>
      </c>
      <c r="O245" s="481" t="str">
        <f t="shared" si="148"/>
        <v/>
      </c>
      <c r="P245" s="4">
        <f t="shared" si="159"/>
        <v>3.2809923263348102</v>
      </c>
      <c r="Q245" s="169">
        <f t="shared" si="122"/>
        <v>2.9465124352806691</v>
      </c>
      <c r="R245" s="169">
        <f t="shared" si="123"/>
        <v>1.6835115280330897</v>
      </c>
      <c r="S245" s="169">
        <f t="shared" si="124"/>
        <v>2.0036284559908553</v>
      </c>
      <c r="T245" s="169">
        <f t="shared" si="125"/>
        <v>1.6835115280330897</v>
      </c>
      <c r="U245" s="169">
        <f t="shared" si="126"/>
        <v>1.8435699920119726</v>
      </c>
      <c r="V245" s="169">
        <f t="shared" si="127"/>
        <v>6.396581415901903E-2</v>
      </c>
      <c r="W245" s="439">
        <f t="shared" si="128"/>
        <v>16.216381762058774</v>
      </c>
      <c r="X245" s="439">
        <f t="shared" si="129"/>
        <v>16.216381762058774</v>
      </c>
      <c r="Y245" s="169"/>
      <c r="Z245" s="119" t="str">
        <f t="shared" si="130"/>
        <v/>
      </c>
      <c r="AA245" s="4" t="str">
        <f t="shared" si="131"/>
        <v/>
      </c>
      <c r="AB245" s="466"/>
      <c r="AC245" s="466"/>
      <c r="AD245" s="466"/>
      <c r="AE245" s="466"/>
      <c r="AF245" s="466"/>
      <c r="AG245" s="466"/>
      <c r="AH245" s="466"/>
      <c r="AI245" s="466"/>
      <c r="AJ245" s="466"/>
      <c r="AK245" s="466"/>
      <c r="AL245" s="466"/>
      <c r="AM245" s="462">
        <f t="shared" si="132"/>
        <v>241</v>
      </c>
      <c r="AN245" s="32">
        <f t="shared" si="149"/>
        <v>0.98236570557672764</v>
      </c>
      <c r="AO245" s="32">
        <f t="shared" si="150"/>
        <v>0.15283347218637661</v>
      </c>
      <c r="AP245" s="32">
        <f t="shared" si="151"/>
        <v>1.7208581402074596</v>
      </c>
      <c r="AQ245" s="32">
        <f t="shared" si="152"/>
        <v>13.146387809949269</v>
      </c>
      <c r="AR245" s="32">
        <f t="shared" si="153"/>
        <v>32.629732206642785</v>
      </c>
      <c r="AS245" s="32">
        <f t="shared" si="133"/>
        <v>24.495792562170873</v>
      </c>
      <c r="AT245" s="32">
        <f t="shared" si="134"/>
        <v>15.301439999999999</v>
      </c>
      <c r="AU245" s="32">
        <f t="shared" si="135"/>
        <v>0.81124135704384404</v>
      </c>
      <c r="AV245" s="32">
        <f t="shared" si="136"/>
        <v>0.74517583200918958</v>
      </c>
      <c r="AW245" s="32">
        <f t="shared" si="137"/>
        <v>2.9465124352806691</v>
      </c>
      <c r="AX245" s="32">
        <f t="shared" si="138"/>
        <v>1.6835115280330897</v>
      </c>
      <c r="AY245" s="32">
        <f t="shared" si="139"/>
        <v>1.8435699920119726</v>
      </c>
      <c r="AZ245" s="32">
        <f t="shared" si="154"/>
        <v>0.14991062143445608</v>
      </c>
      <c r="BA245" s="32">
        <f t="shared" si="140"/>
        <v>-4.0093987194751479</v>
      </c>
      <c r="BB245" s="32">
        <f t="shared" si="155"/>
        <v>11.292041280524852</v>
      </c>
      <c r="BC245" s="32">
        <f t="shared" si="141"/>
        <v>19.295000000000002</v>
      </c>
      <c r="BD245" s="32">
        <v>0</v>
      </c>
      <c r="BE245" s="32">
        <f t="shared" si="156"/>
        <v>2.3150119816568795</v>
      </c>
      <c r="BF245" s="32">
        <f t="shared" si="157"/>
        <v>0.47144198964490691</v>
      </c>
      <c r="BG245" s="32">
        <f t="shared" si="158"/>
        <v>0.13933908537107531</v>
      </c>
      <c r="BH245" s="32">
        <f t="shared" si="142"/>
        <v>2.6496818039436096</v>
      </c>
      <c r="BI245" s="32">
        <f t="shared" si="143"/>
        <v>0.63131052239120056</v>
      </c>
      <c r="BJ245" s="32">
        <f t="shared" si="144"/>
        <v>3.2809923263348102</v>
      </c>
      <c r="BK245" s="457">
        <f t="shared" si="145"/>
        <v>3.4069870473075974</v>
      </c>
      <c r="BL245" s="2"/>
    </row>
    <row r="246" spans="1:64" ht="15">
      <c r="A246" s="119"/>
      <c r="B246" s="480">
        <f>Input!B263</f>
        <v>38228</v>
      </c>
      <c r="C246" s="481">
        <v>1</v>
      </c>
      <c r="D246" s="481">
        <f t="shared" si="146"/>
        <v>8</v>
      </c>
      <c r="E246" s="481">
        <f t="shared" si="147"/>
        <v>29</v>
      </c>
      <c r="F246" s="481">
        <f t="shared" si="121"/>
        <v>242</v>
      </c>
      <c r="G246" s="431">
        <v>23.414400000000001</v>
      </c>
      <c r="H246" s="455">
        <v>24.65</v>
      </c>
      <c r="I246" s="455">
        <v>14.9</v>
      </c>
      <c r="J246" s="455">
        <v>1.1499999999999999</v>
      </c>
      <c r="K246" s="485"/>
      <c r="L246" s="433">
        <v>100</v>
      </c>
      <c r="M246" s="455">
        <v>73</v>
      </c>
      <c r="N246" s="484">
        <f>Weather!M247</f>
        <v>0</v>
      </c>
      <c r="O246" s="481" t="str">
        <f t="shared" si="148"/>
        <v/>
      </c>
      <c r="P246" s="4">
        <f t="shared" si="159"/>
        <v>3.6588226044606817</v>
      </c>
      <c r="Q246" s="169">
        <f t="shared" si="122"/>
        <v>3.10233355600674</v>
      </c>
      <c r="R246" s="169">
        <f t="shared" si="123"/>
        <v>1.6943980378095331</v>
      </c>
      <c r="S246" s="169">
        <f t="shared" si="124"/>
        <v>2.2647034958849201</v>
      </c>
      <c r="T246" s="169">
        <f t="shared" si="125"/>
        <v>1.6943980378095331</v>
      </c>
      <c r="U246" s="169">
        <f t="shared" si="126"/>
        <v>1.9795507668472268</v>
      </c>
      <c r="V246" s="169">
        <f t="shared" si="127"/>
        <v>6.8086603310423682E-2</v>
      </c>
      <c r="W246" s="439">
        <f t="shared" si="128"/>
        <v>17.337395323382694</v>
      </c>
      <c r="X246" s="439">
        <f t="shared" si="129"/>
        <v>17.337395323382694</v>
      </c>
      <c r="Y246" s="169"/>
      <c r="Z246" s="119" t="str">
        <f t="shared" si="130"/>
        <v/>
      </c>
      <c r="AA246" s="4" t="str">
        <f t="shared" si="131"/>
        <v/>
      </c>
      <c r="AB246" s="466"/>
      <c r="AC246" s="466"/>
      <c r="AD246" s="466"/>
      <c r="AE246" s="466"/>
      <c r="AF246" s="466"/>
      <c r="AG246" s="466"/>
      <c r="AH246" s="466"/>
      <c r="AI246" s="466"/>
      <c r="AJ246" s="466"/>
      <c r="AK246" s="466"/>
      <c r="AL246" s="466"/>
      <c r="AM246" s="462">
        <f t="shared" si="132"/>
        <v>242</v>
      </c>
      <c r="AN246" s="32">
        <f t="shared" si="149"/>
        <v>0.98284845419886802</v>
      </c>
      <c r="AO246" s="32">
        <f t="shared" si="150"/>
        <v>0.14628056709477169</v>
      </c>
      <c r="AP246" s="32">
        <f t="shared" si="151"/>
        <v>1.7142830436679746</v>
      </c>
      <c r="AQ246" s="32">
        <f t="shared" si="152"/>
        <v>13.096157772402128</v>
      </c>
      <c r="AR246" s="32">
        <f t="shared" si="153"/>
        <v>32.385030421581426</v>
      </c>
      <c r="AS246" s="32">
        <f t="shared" si="133"/>
        <v>24.312090038089611</v>
      </c>
      <c r="AT246" s="32">
        <f t="shared" si="134"/>
        <v>18.029088000000002</v>
      </c>
      <c r="AU246" s="32">
        <f t="shared" si="135"/>
        <v>0.9630763938154554</v>
      </c>
      <c r="AV246" s="32">
        <f t="shared" si="136"/>
        <v>0.95015313165086479</v>
      </c>
      <c r="AW246" s="32">
        <f t="shared" si="137"/>
        <v>3.10233355600674</v>
      </c>
      <c r="AX246" s="32">
        <f t="shared" si="138"/>
        <v>1.6943980378095331</v>
      </c>
      <c r="AY246" s="32">
        <f t="shared" si="139"/>
        <v>1.9795507668472272</v>
      </c>
      <c r="AZ246" s="32">
        <f t="shared" si="154"/>
        <v>0.14302488728216031</v>
      </c>
      <c r="BA246" s="32">
        <f t="shared" si="140"/>
        <v>-4.9107543746343056</v>
      </c>
      <c r="BB246" s="32">
        <f t="shared" si="155"/>
        <v>13.118333625365697</v>
      </c>
      <c r="BC246" s="32">
        <f t="shared" si="141"/>
        <v>19.774999999999999</v>
      </c>
      <c r="BD246" s="32">
        <v>0</v>
      </c>
      <c r="BE246" s="32">
        <f t="shared" si="156"/>
        <v>2.3983657969081364</v>
      </c>
      <c r="BF246" s="32">
        <f t="shared" si="157"/>
        <v>0.41881503006090925</v>
      </c>
      <c r="BG246" s="32">
        <f t="shared" si="158"/>
        <v>0.14302131714297633</v>
      </c>
      <c r="BH246" s="32">
        <f t="shared" si="142"/>
        <v>3.2384520171286506</v>
      </c>
      <c r="BI246" s="32">
        <f t="shared" si="143"/>
        <v>0.42037058733203098</v>
      </c>
      <c r="BJ246" s="32">
        <f t="shared" si="144"/>
        <v>3.6588226044606817</v>
      </c>
      <c r="BK246" s="457">
        <f t="shared" si="145"/>
        <v>3.5670348967399628</v>
      </c>
      <c r="BL246" s="2"/>
    </row>
    <row r="247" spans="1:64" ht="15">
      <c r="A247" s="119"/>
      <c r="B247" s="480">
        <f>Input!B264</f>
        <v>38229</v>
      </c>
      <c r="C247" s="481">
        <v>1</v>
      </c>
      <c r="D247" s="481">
        <f t="shared" si="146"/>
        <v>8</v>
      </c>
      <c r="E247" s="481">
        <f t="shared" si="147"/>
        <v>30</v>
      </c>
      <c r="F247" s="481">
        <f t="shared" si="121"/>
        <v>243</v>
      </c>
      <c r="G247" s="431">
        <v>22.896000000000001</v>
      </c>
      <c r="H247" s="455">
        <v>25.9</v>
      </c>
      <c r="I247" s="455">
        <v>17.2</v>
      </c>
      <c r="J247" s="455">
        <v>1.87</v>
      </c>
      <c r="K247" s="485"/>
      <c r="L247" s="433">
        <v>100</v>
      </c>
      <c r="M247" s="455">
        <v>75</v>
      </c>
      <c r="N247" s="484">
        <f>Weather!M248</f>
        <v>0</v>
      </c>
      <c r="O247" s="481" t="str">
        <f t="shared" si="148"/>
        <v/>
      </c>
      <c r="P247" s="4">
        <f t="shared" si="159"/>
        <v>3.7539661230494863</v>
      </c>
      <c r="Q247" s="169">
        <f t="shared" si="122"/>
        <v>3.3416202151479171</v>
      </c>
      <c r="R247" s="169">
        <f t="shared" si="123"/>
        <v>1.9624256575788694</v>
      </c>
      <c r="S247" s="169">
        <f t="shared" si="124"/>
        <v>2.506215161360938</v>
      </c>
      <c r="T247" s="169">
        <f t="shared" si="125"/>
        <v>1.9624256575788694</v>
      </c>
      <c r="U247" s="169">
        <f t="shared" si="126"/>
        <v>2.2343204094699036</v>
      </c>
      <c r="V247" s="169">
        <f t="shared" si="127"/>
        <v>7.5096862774410425E-2</v>
      </c>
      <c r="W247" s="439">
        <f t="shared" si="128"/>
        <v>19.267407384759544</v>
      </c>
      <c r="X247" s="439">
        <f t="shared" si="129"/>
        <v>19.267407384759544</v>
      </c>
      <c r="Y247" s="169"/>
      <c r="Z247" s="119" t="str">
        <f t="shared" si="130"/>
        <v/>
      </c>
      <c r="AA247" s="4" t="str">
        <f t="shared" si="131"/>
        <v/>
      </c>
      <c r="AB247" s="466"/>
      <c r="AC247" s="466"/>
      <c r="AD247" s="466"/>
      <c r="AE247" s="466"/>
      <c r="AF247" s="466"/>
      <c r="AG247" s="466"/>
      <c r="AH247" s="466"/>
      <c r="AI247" s="466"/>
      <c r="AJ247" s="466"/>
      <c r="AK247" s="466"/>
      <c r="AL247" s="466"/>
      <c r="AM247" s="462">
        <f t="shared" si="132"/>
        <v>243</v>
      </c>
      <c r="AN247" s="32">
        <f t="shared" si="149"/>
        <v>0.98333628519418981</v>
      </c>
      <c r="AO247" s="32">
        <f t="shared" si="150"/>
        <v>0.13968431591414374</v>
      </c>
      <c r="AP247" s="32">
        <f t="shared" si="151"/>
        <v>1.707683546541058</v>
      </c>
      <c r="AQ247" s="32">
        <f t="shared" si="152"/>
        <v>13.045741328097989</v>
      </c>
      <c r="AR247" s="32">
        <f t="shared" si="153"/>
        <v>32.13823847010665</v>
      </c>
      <c r="AS247" s="32">
        <f t="shared" si="133"/>
        <v>24.126818384278465</v>
      </c>
      <c r="AT247" s="32">
        <f t="shared" si="134"/>
        <v>17.629920000000002</v>
      </c>
      <c r="AU247" s="32">
        <f t="shared" si="135"/>
        <v>0.94898546651801829</v>
      </c>
      <c r="AV247" s="32">
        <f t="shared" si="136"/>
        <v>0.93113037979932478</v>
      </c>
      <c r="AW247" s="32">
        <f t="shared" si="137"/>
        <v>3.3416202151479171</v>
      </c>
      <c r="AX247" s="32">
        <f t="shared" si="138"/>
        <v>1.9624256575788694</v>
      </c>
      <c r="AY247" s="32">
        <f t="shared" si="139"/>
        <v>2.2343204094699032</v>
      </c>
      <c r="AZ247" s="32">
        <f t="shared" si="154"/>
        <v>0.13073299346143907</v>
      </c>
      <c r="BA247" s="32">
        <f t="shared" si="140"/>
        <v>-4.5048436341347511</v>
      </c>
      <c r="BB247" s="32">
        <f t="shared" si="155"/>
        <v>13.125076365865251</v>
      </c>
      <c r="BC247" s="32">
        <f t="shared" si="141"/>
        <v>21.549999999999997</v>
      </c>
      <c r="BD247" s="32">
        <v>0</v>
      </c>
      <c r="BE247" s="32">
        <f t="shared" si="156"/>
        <v>2.6520229363633931</v>
      </c>
      <c r="BF247" s="32">
        <f t="shared" si="157"/>
        <v>0.41770252689348997</v>
      </c>
      <c r="BG247" s="32">
        <f t="shared" si="158"/>
        <v>0.15736172117019581</v>
      </c>
      <c r="BH247" s="32">
        <f t="shared" si="142"/>
        <v>3.1543807264132959</v>
      </c>
      <c r="BI247" s="32">
        <f t="shared" si="143"/>
        <v>0.59958539663619059</v>
      </c>
      <c r="BJ247" s="32">
        <f t="shared" si="144"/>
        <v>3.7539661230494863</v>
      </c>
      <c r="BK247" s="457">
        <f t="shared" si="145"/>
        <v>3.5017745625382242</v>
      </c>
      <c r="BL247" s="2"/>
    </row>
    <row r="248" spans="1:64" ht="15">
      <c r="A248" s="119"/>
      <c r="B248" s="480">
        <f>Input!B265</f>
        <v>38230</v>
      </c>
      <c r="C248" s="481">
        <v>1</v>
      </c>
      <c r="D248" s="481">
        <f t="shared" si="146"/>
        <v>8</v>
      </c>
      <c r="E248" s="481">
        <f t="shared" si="147"/>
        <v>31</v>
      </c>
      <c r="F248" s="481">
        <f t="shared" si="121"/>
        <v>244</v>
      </c>
      <c r="G248" s="431">
        <v>21.5136</v>
      </c>
      <c r="H248" s="455">
        <v>21.91</v>
      </c>
      <c r="I248" s="455">
        <v>15.3</v>
      </c>
      <c r="J248" s="455">
        <v>2.35</v>
      </c>
      <c r="K248" s="485"/>
      <c r="L248" s="433">
        <v>100</v>
      </c>
      <c r="M248" s="455">
        <v>79</v>
      </c>
      <c r="N248" s="484">
        <f>Weather!M249</f>
        <v>0.2</v>
      </c>
      <c r="O248" s="481" t="str">
        <f t="shared" si="148"/>
        <v/>
      </c>
      <c r="P248" s="4">
        <f t="shared" si="159"/>
        <v>3.1191168130974036</v>
      </c>
      <c r="Q248" s="169">
        <f t="shared" si="122"/>
        <v>2.6294622292802576</v>
      </c>
      <c r="R248" s="169">
        <f t="shared" si="123"/>
        <v>1.7385638954612772</v>
      </c>
      <c r="S248" s="169">
        <f t="shared" si="124"/>
        <v>2.0772751611314035</v>
      </c>
      <c r="T248" s="169">
        <f t="shared" si="125"/>
        <v>1.7385638954612772</v>
      </c>
      <c r="U248" s="169">
        <f t="shared" si="126"/>
        <v>1.9079195282963404</v>
      </c>
      <c r="V248" s="169">
        <f t="shared" si="127"/>
        <v>6.595246681117603E-2</v>
      </c>
      <c r="W248" s="439">
        <f t="shared" si="128"/>
        <v>16.755593070152901</v>
      </c>
      <c r="X248" s="439">
        <f t="shared" si="129"/>
        <v>16.755593070152901</v>
      </c>
      <c r="Y248" s="169"/>
      <c r="Z248" s="119" t="str">
        <f t="shared" si="130"/>
        <v/>
      </c>
      <c r="AA248" s="4" t="str">
        <f t="shared" si="131"/>
        <v/>
      </c>
      <c r="AB248" s="466"/>
      <c r="AC248" s="466"/>
      <c r="AD248" s="466"/>
      <c r="AE248" s="466"/>
      <c r="AF248" s="466"/>
      <c r="AG248" s="466"/>
      <c r="AH248" s="466"/>
      <c r="AI248" s="466"/>
      <c r="AJ248" s="466"/>
      <c r="AK248" s="466"/>
      <c r="AL248" s="466"/>
      <c r="AM248" s="462">
        <f t="shared" si="132"/>
        <v>244</v>
      </c>
      <c r="AN248" s="32">
        <f t="shared" si="149"/>
        <v>0.98382905400784104</v>
      </c>
      <c r="AO248" s="32">
        <f t="shared" si="150"/>
        <v>0.13304667325607564</v>
      </c>
      <c r="AP248" s="32">
        <f t="shared" si="151"/>
        <v>1.7010610149486471</v>
      </c>
      <c r="AQ248" s="32">
        <f t="shared" si="152"/>
        <v>12.995148913439696</v>
      </c>
      <c r="AR248" s="32">
        <f t="shared" si="153"/>
        <v>31.889424464064923</v>
      </c>
      <c r="AS248" s="32">
        <f t="shared" si="133"/>
        <v>23.940028733662821</v>
      </c>
      <c r="AT248" s="32">
        <f t="shared" si="134"/>
        <v>16.565472</v>
      </c>
      <c r="AU248" s="32">
        <f t="shared" si="135"/>
        <v>0.89864553795414026</v>
      </c>
      <c r="AV248" s="32">
        <f t="shared" si="136"/>
        <v>0.86317147623808943</v>
      </c>
      <c r="AW248" s="32">
        <f t="shared" si="137"/>
        <v>2.6294622292802576</v>
      </c>
      <c r="AX248" s="32">
        <f t="shared" si="138"/>
        <v>1.7385638954612772</v>
      </c>
      <c r="AY248" s="32">
        <f t="shared" si="139"/>
        <v>1.9079195282963404</v>
      </c>
      <c r="AZ248" s="32">
        <f t="shared" si="154"/>
        <v>0.14662155561022766</v>
      </c>
      <c r="BA248" s="32">
        <f t="shared" si="140"/>
        <v>-4.4967472059247555</v>
      </c>
      <c r="BB248" s="32">
        <f t="shared" si="155"/>
        <v>12.068724794075244</v>
      </c>
      <c r="BC248" s="32">
        <f t="shared" si="141"/>
        <v>18.605</v>
      </c>
      <c r="BD248" s="32">
        <v>0</v>
      </c>
      <c r="BE248" s="32">
        <f t="shared" si="156"/>
        <v>2.1840130623707674</v>
      </c>
      <c r="BF248" s="32">
        <f t="shared" si="157"/>
        <v>0.27609353407442705</v>
      </c>
      <c r="BG248" s="32">
        <f t="shared" si="158"/>
        <v>0.13418668593266547</v>
      </c>
      <c r="BH248" s="32">
        <f t="shared" si="142"/>
        <v>2.5919247133052905</v>
      </c>
      <c r="BI248" s="32">
        <f t="shared" si="143"/>
        <v>0.5271920997921129</v>
      </c>
      <c r="BJ248" s="32">
        <f t="shared" si="144"/>
        <v>3.1191168130974036</v>
      </c>
      <c r="BK248" s="457">
        <f t="shared" si="145"/>
        <v>2.8020133363825135</v>
      </c>
      <c r="BL248" s="2"/>
    </row>
    <row r="249" spans="1:64" ht="15">
      <c r="A249" s="119"/>
      <c r="B249" s="480">
        <f>Input!B266</f>
        <v>38231</v>
      </c>
      <c r="C249" s="481">
        <v>1</v>
      </c>
      <c r="D249" s="481">
        <f t="shared" si="146"/>
        <v>9</v>
      </c>
      <c r="E249" s="481">
        <f t="shared" si="147"/>
        <v>1</v>
      </c>
      <c r="F249" s="481">
        <f t="shared" si="121"/>
        <v>245</v>
      </c>
      <c r="G249" s="431">
        <v>19.785599999999999</v>
      </c>
      <c r="H249" s="455">
        <v>17.510000000000002</v>
      </c>
      <c r="I249" s="455">
        <v>13.6</v>
      </c>
      <c r="J249" s="455">
        <v>1.78</v>
      </c>
      <c r="K249" s="485"/>
      <c r="L249" s="433">
        <v>100</v>
      </c>
      <c r="M249" s="455">
        <v>88</v>
      </c>
      <c r="N249" s="484">
        <f>Weather!M250</f>
        <v>50.8</v>
      </c>
      <c r="O249" s="481">
        <f t="shared" si="148"/>
        <v>1</v>
      </c>
      <c r="P249" s="4">
        <f t="shared" si="159"/>
        <v>2.5079702328575904</v>
      </c>
      <c r="Q249" s="169">
        <f t="shared" si="122"/>
        <v>2.0012497860980272</v>
      </c>
      <c r="R249" s="169">
        <f t="shared" si="123"/>
        <v>1.5575783410613051</v>
      </c>
      <c r="S249" s="169">
        <f t="shared" si="124"/>
        <v>1.761099811766264</v>
      </c>
      <c r="T249" s="169">
        <f t="shared" si="125"/>
        <v>1.5575783410613051</v>
      </c>
      <c r="U249" s="169">
        <f t="shared" si="126"/>
        <v>1.6593390764137845</v>
      </c>
      <c r="V249" s="169">
        <f t="shared" si="127"/>
        <v>5.7869431498898102E-2</v>
      </c>
      <c r="W249" s="439">
        <f t="shared" si="128"/>
        <v>14.575916071310937</v>
      </c>
      <c r="X249" s="439">
        <f t="shared" si="129"/>
        <v>14.575916071310937</v>
      </c>
      <c r="Y249" s="169"/>
      <c r="Z249" s="119" t="str">
        <f t="shared" si="130"/>
        <v/>
      </c>
      <c r="AA249" s="4" t="str">
        <f t="shared" si="131"/>
        <v/>
      </c>
      <c r="AB249" s="466"/>
      <c r="AC249" s="466"/>
      <c r="AD249" s="466"/>
      <c r="AE249" s="466"/>
      <c r="AF249" s="466"/>
      <c r="AG249" s="466"/>
      <c r="AH249" s="466"/>
      <c r="AI249" s="466"/>
      <c r="AJ249" s="466"/>
      <c r="AK249" s="466"/>
      <c r="AL249" s="466"/>
      <c r="AM249" s="462">
        <f t="shared" si="132"/>
        <v>245</v>
      </c>
      <c r="AN249" s="32">
        <f t="shared" si="149"/>
        <v>0.98432661462178728</v>
      </c>
      <c r="AO249" s="32">
        <f t="shared" si="150"/>
        <v>0.12636960599733976</v>
      </c>
      <c r="AP249" s="32">
        <f t="shared" si="151"/>
        <v>1.6944167845520028</v>
      </c>
      <c r="AQ249" s="32">
        <f t="shared" si="152"/>
        <v>12.944390732127664</v>
      </c>
      <c r="AR249" s="32">
        <f t="shared" si="153"/>
        <v>31.638658011912177</v>
      </c>
      <c r="AS249" s="32">
        <f t="shared" si="133"/>
        <v>23.751773342702712</v>
      </c>
      <c r="AT249" s="32">
        <f t="shared" si="134"/>
        <v>15.234912</v>
      </c>
      <c r="AU249" s="32">
        <f t="shared" si="135"/>
        <v>0.83301569590292313</v>
      </c>
      <c r="AV249" s="32">
        <f t="shared" si="136"/>
        <v>0.77457118946894632</v>
      </c>
      <c r="AW249" s="32">
        <f t="shared" si="137"/>
        <v>2.0012497860980272</v>
      </c>
      <c r="AX249" s="32">
        <f t="shared" si="138"/>
        <v>1.5575783410613051</v>
      </c>
      <c r="AY249" s="32">
        <f t="shared" si="139"/>
        <v>1.6593390764137843</v>
      </c>
      <c r="AZ249" s="32">
        <f t="shared" si="154"/>
        <v>0.1596585297339789</v>
      </c>
      <c r="BA249" s="32">
        <f t="shared" si="140"/>
        <v>-4.2110096602741711</v>
      </c>
      <c r="BB249" s="32">
        <f t="shared" si="155"/>
        <v>11.023902339725829</v>
      </c>
      <c r="BC249" s="32">
        <f t="shared" si="141"/>
        <v>15.555</v>
      </c>
      <c r="BD249" s="32">
        <v>0</v>
      </c>
      <c r="BE249" s="32">
        <f t="shared" si="156"/>
        <v>1.779414063579666</v>
      </c>
      <c r="BF249" s="32">
        <f t="shared" si="157"/>
        <v>0.12007498716588172</v>
      </c>
      <c r="BG249" s="32">
        <f t="shared" si="158"/>
        <v>0.11330034412947218</v>
      </c>
      <c r="BH249" s="32">
        <f t="shared" si="142"/>
        <v>2.305555922980207</v>
      </c>
      <c r="BI249" s="32">
        <f t="shared" si="143"/>
        <v>0.20241430987738324</v>
      </c>
      <c r="BJ249" s="32">
        <f t="shared" si="144"/>
        <v>2.5079702328575904</v>
      </c>
      <c r="BK249" s="457">
        <f t="shared" si="145"/>
        <v>1.9589760637237017</v>
      </c>
      <c r="BL249" s="2"/>
    </row>
    <row r="250" spans="1:64" ht="15">
      <c r="A250" s="119"/>
      <c r="B250" s="480">
        <f>Input!B267</f>
        <v>38232</v>
      </c>
      <c r="C250" s="481">
        <v>1</v>
      </c>
      <c r="D250" s="481">
        <f t="shared" si="146"/>
        <v>9</v>
      </c>
      <c r="E250" s="481">
        <f t="shared" si="147"/>
        <v>2</v>
      </c>
      <c r="F250" s="481">
        <f t="shared" si="121"/>
        <v>246</v>
      </c>
      <c r="G250" s="431">
        <v>19.699200000000001</v>
      </c>
      <c r="H250" s="455">
        <v>19.440000000000001</v>
      </c>
      <c r="I250" s="455">
        <v>15.7</v>
      </c>
      <c r="J250" s="455">
        <v>1.8</v>
      </c>
      <c r="K250" s="485"/>
      <c r="L250" s="433">
        <v>100</v>
      </c>
      <c r="M250" s="455">
        <v>87</v>
      </c>
      <c r="N250" s="484">
        <f>Weather!M251</f>
        <v>0</v>
      </c>
      <c r="O250" s="481" t="str">
        <f t="shared" si="148"/>
        <v/>
      </c>
      <c r="P250" s="4">
        <f t="shared" si="159"/>
        <v>2.6826089915955298</v>
      </c>
      <c r="Q250" s="169">
        <f t="shared" si="122"/>
        <v>2.2584414754127784</v>
      </c>
      <c r="R250" s="169">
        <f t="shared" si="123"/>
        <v>1.7837358312436735</v>
      </c>
      <c r="S250" s="169">
        <f t="shared" si="124"/>
        <v>1.9648440836091172</v>
      </c>
      <c r="T250" s="169">
        <f t="shared" si="125"/>
        <v>1.7837358312436735</v>
      </c>
      <c r="U250" s="169">
        <f t="shared" si="126"/>
        <v>1.8742899574263954</v>
      </c>
      <c r="V250" s="169">
        <f t="shared" si="127"/>
        <v>6.4922733292791954E-2</v>
      </c>
      <c r="W250" s="439">
        <f t="shared" si="128"/>
        <v>16.475819869550438</v>
      </c>
      <c r="X250" s="439">
        <f t="shared" si="129"/>
        <v>16.475819869550438</v>
      </c>
      <c r="Y250" s="169"/>
      <c r="Z250" s="119" t="str">
        <f t="shared" si="130"/>
        <v/>
      </c>
      <c r="AA250" s="4" t="str">
        <f t="shared" si="131"/>
        <v/>
      </c>
      <c r="AB250" s="466"/>
      <c r="AC250" s="466"/>
      <c r="AD250" s="466"/>
      <c r="AE250" s="466"/>
      <c r="AF250" s="466"/>
      <c r="AG250" s="466"/>
      <c r="AH250" s="466"/>
      <c r="AI250" s="466"/>
      <c r="AJ250" s="466"/>
      <c r="AK250" s="466"/>
      <c r="AL250" s="466"/>
      <c r="AM250" s="462">
        <f t="shared" si="132"/>
        <v>246</v>
      </c>
      <c r="AN250" s="32">
        <f t="shared" si="149"/>
        <v>0.98482881959808055</v>
      </c>
      <c r="AO250" s="32">
        <f t="shared" si="150"/>
        <v>0.11965509269706703</v>
      </c>
      <c r="AP250" s="32">
        <f t="shared" si="151"/>
        <v>1.6877521617908462</v>
      </c>
      <c r="AQ250" s="32">
        <f t="shared" si="152"/>
        <v>12.893476764626183</v>
      </c>
      <c r="AR250" s="32">
        <f t="shared" si="153"/>
        <v>31.386010208617492</v>
      </c>
      <c r="AS250" s="32">
        <f t="shared" si="133"/>
        <v>23.562105583813324</v>
      </c>
      <c r="AT250" s="32">
        <f t="shared" si="134"/>
        <v>15.168384000000001</v>
      </c>
      <c r="AU250" s="32">
        <f t="shared" si="135"/>
        <v>0.83605431313969414</v>
      </c>
      <c r="AV250" s="32">
        <f t="shared" si="136"/>
        <v>0.77867332273858725</v>
      </c>
      <c r="AW250" s="32">
        <f t="shared" si="137"/>
        <v>2.2584414754127784</v>
      </c>
      <c r="AX250" s="32">
        <f t="shared" si="138"/>
        <v>1.7837358312436735</v>
      </c>
      <c r="AY250" s="32">
        <f t="shared" si="139"/>
        <v>1.874289957426396</v>
      </c>
      <c r="AZ250" s="32">
        <f t="shared" si="154"/>
        <v>0.14833340623479177</v>
      </c>
      <c r="BA250" s="32">
        <f t="shared" si="140"/>
        <v>-4.0438755848351056</v>
      </c>
      <c r="BB250" s="32">
        <f t="shared" si="155"/>
        <v>11.124508415164897</v>
      </c>
      <c r="BC250" s="32">
        <f t="shared" si="141"/>
        <v>17.57</v>
      </c>
      <c r="BD250" s="32">
        <v>0</v>
      </c>
      <c r="BE250" s="32">
        <f t="shared" si="156"/>
        <v>2.021088653328226</v>
      </c>
      <c r="BF250" s="32">
        <f t="shared" si="157"/>
        <v>0.14679869590182992</v>
      </c>
      <c r="BG250" s="32">
        <f t="shared" si="158"/>
        <v>0.12676113364349256</v>
      </c>
      <c r="BH250" s="32">
        <f t="shared" si="142"/>
        <v>2.4488209916604897</v>
      </c>
      <c r="BI250" s="32">
        <f t="shared" si="143"/>
        <v>0.23378799993504015</v>
      </c>
      <c r="BJ250" s="32">
        <f t="shared" si="144"/>
        <v>2.6826089915955298</v>
      </c>
      <c r="BK250" s="457">
        <f t="shared" si="145"/>
        <v>2.0154346658623181</v>
      </c>
      <c r="BL250" s="2"/>
    </row>
    <row r="251" spans="1:64" ht="15">
      <c r="A251" s="119"/>
      <c r="B251" s="480">
        <f>Input!B268</f>
        <v>38233</v>
      </c>
      <c r="C251" s="481">
        <v>1</v>
      </c>
      <c r="D251" s="481">
        <f t="shared" si="146"/>
        <v>9</v>
      </c>
      <c r="E251" s="481">
        <f t="shared" si="147"/>
        <v>3</v>
      </c>
      <c r="F251" s="481">
        <f t="shared" si="121"/>
        <v>247</v>
      </c>
      <c r="G251" s="431">
        <v>20.908799999999999</v>
      </c>
      <c r="H251" s="455">
        <v>18.989999999999998</v>
      </c>
      <c r="I251" s="455">
        <v>17.100000000000001</v>
      </c>
      <c r="J251" s="455">
        <v>1.74</v>
      </c>
      <c r="K251" s="485"/>
      <c r="L251" s="433">
        <v>100</v>
      </c>
      <c r="M251" s="455">
        <v>87</v>
      </c>
      <c r="N251" s="484">
        <f>Weather!M252</f>
        <v>36</v>
      </c>
      <c r="O251" s="481">
        <f t="shared" si="148"/>
        <v>1</v>
      </c>
      <c r="P251" s="4">
        <f t="shared" si="159"/>
        <v>2.8397308044820977</v>
      </c>
      <c r="Q251" s="169">
        <f t="shared" si="122"/>
        <v>2.1960228141033262</v>
      </c>
      <c r="R251" s="169">
        <f t="shared" si="123"/>
        <v>1.9500432630582893</v>
      </c>
      <c r="S251" s="169">
        <f t="shared" si="124"/>
        <v>1.9105398482698939</v>
      </c>
      <c r="T251" s="169">
        <f t="shared" si="125"/>
        <v>1.9500432630582893</v>
      </c>
      <c r="U251" s="169">
        <f t="shared" si="126"/>
        <v>1.9302915556640916</v>
      </c>
      <c r="V251" s="169">
        <f t="shared" si="127"/>
        <v>6.6627490576502454E-2</v>
      </c>
      <c r="W251" s="439">
        <f t="shared" si="128"/>
        <v>16.939328461226694</v>
      </c>
      <c r="X251" s="439">
        <f t="shared" si="129"/>
        <v>16.939328461226694</v>
      </c>
      <c r="Y251" s="169"/>
      <c r="Z251" s="119" t="str">
        <f t="shared" si="130"/>
        <v/>
      </c>
      <c r="AA251" s="4" t="str">
        <f t="shared" si="131"/>
        <v/>
      </c>
      <c r="AB251" s="466"/>
      <c r="AC251" s="466"/>
      <c r="AD251" s="466"/>
      <c r="AE251" s="466"/>
      <c r="AF251" s="466"/>
      <c r="AG251" s="466"/>
      <c r="AH251" s="466"/>
      <c r="AI251" s="466"/>
      <c r="AJ251" s="466"/>
      <c r="AK251" s="466"/>
      <c r="AL251" s="466"/>
      <c r="AM251" s="462">
        <f t="shared" si="132"/>
        <v>247</v>
      </c>
      <c r="AN251" s="32">
        <f t="shared" si="149"/>
        <v>0.98533552012254777</v>
      </c>
      <c r="AO251" s="32">
        <f t="shared" si="150"/>
        <v>0.11290512301045975</v>
      </c>
      <c r="AP251" s="32">
        <f t="shared" si="151"/>
        <v>1.6810684251675074</v>
      </c>
      <c r="AQ251" s="32">
        <f t="shared" si="152"/>
        <v>12.842416777973606</v>
      </c>
      <c r="AR251" s="32">
        <f t="shared" si="153"/>
        <v>31.1315536227116</v>
      </c>
      <c r="AS251" s="32">
        <f t="shared" si="133"/>
        <v>23.371079935642054</v>
      </c>
      <c r="AT251" s="32">
        <f t="shared" si="134"/>
        <v>16.099775999999999</v>
      </c>
      <c r="AU251" s="32">
        <f t="shared" si="135"/>
        <v>0.89464415241304462</v>
      </c>
      <c r="AV251" s="32">
        <f t="shared" si="136"/>
        <v>0.85776960575761041</v>
      </c>
      <c r="AW251" s="32">
        <f t="shared" si="137"/>
        <v>2.1960228141033262</v>
      </c>
      <c r="AX251" s="32">
        <f t="shared" si="138"/>
        <v>1.9500432630582893</v>
      </c>
      <c r="AY251" s="32">
        <f t="shared" si="139"/>
        <v>1.9302915556640918</v>
      </c>
      <c r="AZ251" s="32">
        <f t="shared" si="154"/>
        <v>0.14549109405732549</v>
      </c>
      <c r="BA251" s="32">
        <f t="shared" si="140"/>
        <v>-4.397098957766552</v>
      </c>
      <c r="BB251" s="32">
        <f t="shared" si="155"/>
        <v>11.702677042233447</v>
      </c>
      <c r="BC251" s="32">
        <f t="shared" si="141"/>
        <v>18.045000000000002</v>
      </c>
      <c r="BD251" s="32">
        <v>0</v>
      </c>
      <c r="BE251" s="32">
        <f t="shared" si="156"/>
        <v>2.0730330385808076</v>
      </c>
      <c r="BF251" s="32">
        <f t="shared" si="157"/>
        <v>0.14274148291671573</v>
      </c>
      <c r="BG251" s="32">
        <f t="shared" si="158"/>
        <v>0.13012454319031019</v>
      </c>
      <c r="BH251" s="32">
        <f t="shared" si="142"/>
        <v>2.6221869987139068</v>
      </c>
      <c r="BI251" s="32">
        <f t="shared" si="143"/>
        <v>0.21754380576819093</v>
      </c>
      <c r="BJ251" s="32">
        <f t="shared" si="144"/>
        <v>2.8397308044820977</v>
      </c>
      <c r="BK251" s="457">
        <f t="shared" si="145"/>
        <v>1.4401974352715625</v>
      </c>
      <c r="BL251" s="2"/>
    </row>
    <row r="252" spans="1:64" ht="15">
      <c r="A252" s="119"/>
      <c r="B252" s="480">
        <f>Input!B269</f>
        <v>38234</v>
      </c>
      <c r="C252" s="481">
        <v>1</v>
      </c>
      <c r="D252" s="481">
        <f t="shared" si="146"/>
        <v>9</v>
      </c>
      <c r="E252" s="481">
        <f t="shared" si="147"/>
        <v>4</v>
      </c>
      <c r="F252" s="481">
        <f t="shared" si="121"/>
        <v>248</v>
      </c>
      <c r="G252" s="431">
        <v>20.476800000000001</v>
      </c>
      <c r="H252" s="455">
        <v>19.78</v>
      </c>
      <c r="I252" s="455">
        <v>17.3</v>
      </c>
      <c r="J252" s="455">
        <v>1.93</v>
      </c>
      <c r="K252" s="485"/>
      <c r="L252" s="433">
        <v>100</v>
      </c>
      <c r="M252" s="455">
        <v>88</v>
      </c>
      <c r="N252" s="484">
        <f>Weather!M253</f>
        <v>11</v>
      </c>
      <c r="O252" s="481">
        <f t="shared" si="148"/>
        <v>1</v>
      </c>
      <c r="P252" s="4">
        <f t="shared" si="159"/>
        <v>2.7938136612243123</v>
      </c>
      <c r="Q252" s="169">
        <f t="shared" si="122"/>
        <v>2.3066260743301834</v>
      </c>
      <c r="R252" s="169">
        <f t="shared" si="123"/>
        <v>1.974876858198171</v>
      </c>
      <c r="S252" s="169">
        <f t="shared" si="124"/>
        <v>2.0298309454105614</v>
      </c>
      <c r="T252" s="169">
        <f t="shared" si="125"/>
        <v>1.974876858198171</v>
      </c>
      <c r="U252" s="169">
        <f t="shared" si="126"/>
        <v>2.0023539018043661</v>
      </c>
      <c r="V252" s="169">
        <f t="shared" si="127"/>
        <v>6.8749805734570846E-2</v>
      </c>
      <c r="W252" s="439">
        <f t="shared" si="128"/>
        <v>17.51873878929219</v>
      </c>
      <c r="X252" s="439">
        <f t="shared" si="129"/>
        <v>17.51873878929219</v>
      </c>
      <c r="Y252" s="169"/>
      <c r="Z252" s="119" t="str">
        <f t="shared" si="130"/>
        <v/>
      </c>
      <c r="AA252" s="4" t="str">
        <f t="shared" si="131"/>
        <v/>
      </c>
      <c r="AB252" s="466"/>
      <c r="AC252" s="466"/>
      <c r="AD252" s="466"/>
      <c r="AE252" s="466"/>
      <c r="AF252" s="466"/>
      <c r="AG252" s="466"/>
      <c r="AH252" s="466"/>
      <c r="AI252" s="466"/>
      <c r="AJ252" s="466"/>
      <c r="AK252" s="466"/>
      <c r="AL252" s="466"/>
      <c r="AM252" s="462">
        <f t="shared" si="132"/>
        <v>248</v>
      </c>
      <c r="AN252" s="32">
        <f t="shared" si="149"/>
        <v>0.98584656604888798</v>
      </c>
      <c r="AO252" s="32">
        <f t="shared" si="150"/>
        <v>0.10612169709921272</v>
      </c>
      <c r="AP252" s="32">
        <f t="shared" si="151"/>
        <v>1.6743668265725533</v>
      </c>
      <c r="AQ252" s="32">
        <f t="shared" si="152"/>
        <v>12.791220335909381</v>
      </c>
      <c r="AR252" s="32">
        <f t="shared" si="153"/>
        <v>30.875362280446492</v>
      </c>
      <c r="AS252" s="32">
        <f t="shared" si="133"/>
        <v>23.178751971176791</v>
      </c>
      <c r="AT252" s="32">
        <f t="shared" si="134"/>
        <v>15.767136000000001</v>
      </c>
      <c r="AU252" s="32">
        <f t="shared" si="135"/>
        <v>0.88342979058852189</v>
      </c>
      <c r="AV252" s="32">
        <f t="shared" si="136"/>
        <v>0.84263021729450471</v>
      </c>
      <c r="AW252" s="32">
        <f t="shared" si="137"/>
        <v>2.3066260743301834</v>
      </c>
      <c r="AX252" s="32">
        <f t="shared" si="138"/>
        <v>1.974876858198171</v>
      </c>
      <c r="AY252" s="32">
        <f t="shared" si="139"/>
        <v>2.0023539018043657</v>
      </c>
      <c r="AZ252" s="32">
        <f t="shared" si="154"/>
        <v>0.1418936233349225</v>
      </c>
      <c r="BA252" s="32">
        <f t="shared" si="140"/>
        <v>-4.2415953888245115</v>
      </c>
      <c r="BB252" s="32">
        <f t="shared" si="155"/>
        <v>11.52554061117549</v>
      </c>
      <c r="BC252" s="32">
        <f t="shared" si="141"/>
        <v>18.54</v>
      </c>
      <c r="BD252" s="32">
        <v>0</v>
      </c>
      <c r="BE252" s="32">
        <f t="shared" si="156"/>
        <v>2.1407514662641773</v>
      </c>
      <c r="BF252" s="32">
        <f t="shared" si="157"/>
        <v>0.13839756445981166</v>
      </c>
      <c r="BG252" s="32">
        <f t="shared" si="158"/>
        <v>0.13370974512017322</v>
      </c>
      <c r="BH252" s="32">
        <f t="shared" si="142"/>
        <v>2.5678105538188252</v>
      </c>
      <c r="BI252" s="32">
        <f t="shared" si="143"/>
        <v>0.22600310740548721</v>
      </c>
      <c r="BJ252" s="32">
        <f t="shared" si="144"/>
        <v>2.7938136612243123</v>
      </c>
      <c r="BK252" s="457">
        <f t="shared" si="145"/>
        <v>1.6587639077605389</v>
      </c>
      <c r="BL252" s="2"/>
    </row>
    <row r="253" spans="1:64" ht="15">
      <c r="A253" s="119"/>
      <c r="B253" s="480">
        <f>Input!B270</f>
        <v>38235</v>
      </c>
      <c r="C253" s="481">
        <v>1</v>
      </c>
      <c r="D253" s="481">
        <f t="shared" si="146"/>
        <v>9</v>
      </c>
      <c r="E253" s="481">
        <f t="shared" si="147"/>
        <v>5</v>
      </c>
      <c r="F253" s="481">
        <f t="shared" si="121"/>
        <v>249</v>
      </c>
      <c r="G253" s="431">
        <v>17.9712</v>
      </c>
      <c r="H253" s="455">
        <v>20.11</v>
      </c>
      <c r="I253" s="455">
        <v>17.8</v>
      </c>
      <c r="J253" s="455">
        <v>1.38</v>
      </c>
      <c r="K253" s="485"/>
      <c r="L253" s="433">
        <v>100</v>
      </c>
      <c r="M253" s="455">
        <v>86</v>
      </c>
      <c r="N253" s="484">
        <f>Weather!M254</f>
        <v>2.2000000000000002</v>
      </c>
      <c r="O253" s="481" t="str">
        <f t="shared" si="148"/>
        <v/>
      </c>
      <c r="P253" s="4">
        <f t="shared" si="159"/>
        <v>2.6424369934627041</v>
      </c>
      <c r="Q253" s="169">
        <f t="shared" si="122"/>
        <v>2.3542508379281046</v>
      </c>
      <c r="R253" s="169">
        <f t="shared" si="123"/>
        <v>2.038176335166181</v>
      </c>
      <c r="S253" s="169">
        <f t="shared" si="124"/>
        <v>2.0246557206181701</v>
      </c>
      <c r="T253" s="169">
        <f t="shared" si="125"/>
        <v>2.038176335166181</v>
      </c>
      <c r="U253" s="169">
        <f t="shared" si="126"/>
        <v>2.0314160278921758</v>
      </c>
      <c r="V253" s="169">
        <f t="shared" si="127"/>
        <v>6.9584181019209906E-2</v>
      </c>
      <c r="W253" s="439">
        <f t="shared" si="128"/>
        <v>17.747254312535969</v>
      </c>
      <c r="X253" s="439">
        <f t="shared" si="129"/>
        <v>17.747254312535969</v>
      </c>
      <c r="Y253" s="169"/>
      <c r="Z253" s="119" t="str">
        <f t="shared" si="130"/>
        <v/>
      </c>
      <c r="AA253" s="4" t="str">
        <f t="shared" si="131"/>
        <v/>
      </c>
      <c r="AB253" s="466"/>
      <c r="AC253" s="466"/>
      <c r="AD253" s="466"/>
      <c r="AE253" s="466"/>
      <c r="AF253" s="466"/>
      <c r="AG253" s="466"/>
      <c r="AH253" s="466"/>
      <c r="AI253" s="466"/>
      <c r="AJ253" s="466"/>
      <c r="AK253" s="466"/>
      <c r="AL253" s="466"/>
      <c r="AM253" s="462">
        <f t="shared" si="132"/>
        <v>249</v>
      </c>
      <c r="AN253" s="32">
        <f t="shared" si="149"/>
        <v>0.98636180594316414</v>
      </c>
      <c r="AO253" s="32">
        <f t="shared" si="150"/>
        <v>9.9306825038821045E-2</v>
      </c>
      <c r="AP253" s="32">
        <f t="shared" si="151"/>
        <v>1.6676485926485467</v>
      </c>
      <c r="AQ253" s="32">
        <f t="shared" si="152"/>
        <v>12.739896809292421</v>
      </c>
      <c r="AR253" s="32">
        <f t="shared" si="153"/>
        <v>30.617511647041532</v>
      </c>
      <c r="AS253" s="32">
        <f t="shared" si="133"/>
        <v>22.98517834366702</v>
      </c>
      <c r="AT253" s="32">
        <f t="shared" si="134"/>
        <v>13.837823999999999</v>
      </c>
      <c r="AU253" s="32">
        <f t="shared" si="135"/>
        <v>0.78186036807286752</v>
      </c>
      <c r="AV253" s="32">
        <f t="shared" si="136"/>
        <v>0.70551149689837123</v>
      </c>
      <c r="AW253" s="32">
        <f t="shared" si="137"/>
        <v>2.3542508379281046</v>
      </c>
      <c r="AX253" s="32">
        <f t="shared" si="138"/>
        <v>2.038176335166181</v>
      </c>
      <c r="AY253" s="32">
        <f t="shared" si="139"/>
        <v>2.0314160278921753</v>
      </c>
      <c r="AZ253" s="32">
        <f t="shared" si="154"/>
        <v>0.14046114627299613</v>
      </c>
      <c r="BA253" s="32">
        <f t="shared" si="140"/>
        <v>-3.5355182676811441</v>
      </c>
      <c r="BB253" s="32">
        <f t="shared" si="155"/>
        <v>10.302305732318855</v>
      </c>
      <c r="BC253" s="32">
        <f t="shared" si="141"/>
        <v>18.954999999999998</v>
      </c>
      <c r="BD253" s="32">
        <v>0</v>
      </c>
      <c r="BE253" s="32">
        <f t="shared" si="156"/>
        <v>2.1962135865471426</v>
      </c>
      <c r="BF253" s="32">
        <f t="shared" si="157"/>
        <v>0.16479755865496726</v>
      </c>
      <c r="BG253" s="32">
        <f t="shared" si="158"/>
        <v>0.13677967501157229</v>
      </c>
      <c r="BH253" s="32">
        <f t="shared" si="142"/>
        <v>2.4425478478806735</v>
      </c>
      <c r="BI253" s="32">
        <f t="shared" si="143"/>
        <v>0.19988914558203064</v>
      </c>
      <c r="BJ253" s="32">
        <f t="shared" si="144"/>
        <v>2.6424369934627041</v>
      </c>
      <c r="BK253" s="457">
        <f t="shared" si="145"/>
        <v>1.6056617450284369</v>
      </c>
      <c r="BL253" s="2"/>
    </row>
    <row r="254" spans="1:64" ht="15">
      <c r="A254" s="119"/>
      <c r="B254" s="480">
        <f>Input!B271</f>
        <v>38236</v>
      </c>
      <c r="C254" s="481">
        <v>1</v>
      </c>
      <c r="D254" s="481">
        <f t="shared" si="146"/>
        <v>9</v>
      </c>
      <c r="E254" s="481">
        <f t="shared" si="147"/>
        <v>6</v>
      </c>
      <c r="F254" s="481">
        <f t="shared" si="121"/>
        <v>250</v>
      </c>
      <c r="G254" s="431">
        <v>16.416</v>
      </c>
      <c r="H254" s="455">
        <v>22.96</v>
      </c>
      <c r="I254" s="455">
        <v>17.2</v>
      </c>
      <c r="J254" s="455">
        <v>1.76</v>
      </c>
      <c r="K254" s="485"/>
      <c r="L254" s="433">
        <v>100</v>
      </c>
      <c r="M254" s="455">
        <v>84</v>
      </c>
      <c r="N254" s="484">
        <f>Weather!M255</f>
        <v>0</v>
      </c>
      <c r="O254" s="481" t="str">
        <f t="shared" si="148"/>
        <v/>
      </c>
      <c r="P254" s="4">
        <f t="shared" si="159"/>
        <v>2.578113702697407</v>
      </c>
      <c r="Q254" s="169">
        <f t="shared" si="122"/>
        <v>2.8026477355967141</v>
      </c>
      <c r="R254" s="169">
        <f t="shared" si="123"/>
        <v>1.9624256575788694</v>
      </c>
      <c r="S254" s="169">
        <f t="shared" si="124"/>
        <v>2.3542240979012399</v>
      </c>
      <c r="T254" s="169">
        <f t="shared" si="125"/>
        <v>1.9624256575788694</v>
      </c>
      <c r="U254" s="169">
        <f t="shared" si="126"/>
        <v>2.1583248777400548</v>
      </c>
      <c r="V254" s="169">
        <f t="shared" si="127"/>
        <v>7.3093115628146035E-2</v>
      </c>
      <c r="W254" s="439">
        <f t="shared" si="128"/>
        <v>18.71277107874046</v>
      </c>
      <c r="X254" s="439">
        <f t="shared" si="129"/>
        <v>18.71277107874046</v>
      </c>
      <c r="Y254" s="169"/>
      <c r="Z254" s="119" t="str">
        <f t="shared" si="130"/>
        <v/>
      </c>
      <c r="AA254" s="4" t="str">
        <f t="shared" si="131"/>
        <v/>
      </c>
      <c r="AB254" s="466"/>
      <c r="AC254" s="466"/>
      <c r="AD254" s="466"/>
      <c r="AE254" s="466"/>
      <c r="AF254" s="466"/>
      <c r="AG254" s="466"/>
      <c r="AH254" s="466"/>
      <c r="AI254" s="466"/>
      <c r="AJ254" s="466"/>
      <c r="AK254" s="466"/>
      <c r="AL254" s="466"/>
      <c r="AM254" s="462">
        <f t="shared" si="132"/>
        <v>250</v>
      </c>
      <c r="AN254" s="32">
        <f t="shared" si="149"/>
        <v>0.98688108712867562</v>
      </c>
      <c r="AO254" s="32">
        <f t="shared" si="150"/>
        <v>9.2462526222953909E-2</v>
      </c>
      <c r="AP254" s="32">
        <f t="shared" si="151"/>
        <v>1.6609149261887626</v>
      </c>
      <c r="AQ254" s="32">
        <f t="shared" si="152"/>
        <v>12.688455386786497</v>
      </c>
      <c r="AR254" s="32">
        <f t="shared" si="153"/>
        <v>30.358078605000255</v>
      </c>
      <c r="AS254" s="32">
        <f t="shared" si="133"/>
        <v>22.790416770345793</v>
      </c>
      <c r="AT254" s="32">
        <f t="shared" si="134"/>
        <v>12.640320000000001</v>
      </c>
      <c r="AU254" s="32">
        <f t="shared" si="135"/>
        <v>0.720302755558205</v>
      </c>
      <c r="AV254" s="32">
        <f t="shared" si="136"/>
        <v>0.62240872000357683</v>
      </c>
      <c r="AW254" s="32">
        <f t="shared" si="137"/>
        <v>2.8026477355967141</v>
      </c>
      <c r="AX254" s="32">
        <f t="shared" si="138"/>
        <v>1.9624256575788694</v>
      </c>
      <c r="AY254" s="32">
        <f t="shared" si="139"/>
        <v>2.1583248777400552</v>
      </c>
      <c r="AZ254" s="32">
        <f t="shared" si="154"/>
        <v>0.13432266142400356</v>
      </c>
      <c r="BA254" s="32">
        <f t="shared" si="140"/>
        <v>-3.0304417036809372</v>
      </c>
      <c r="BB254" s="32">
        <f t="shared" si="155"/>
        <v>9.6098782963190637</v>
      </c>
      <c r="BC254" s="32">
        <f t="shared" si="141"/>
        <v>20.079999999999998</v>
      </c>
      <c r="BD254" s="32">
        <v>0</v>
      </c>
      <c r="BE254" s="32">
        <f t="shared" si="156"/>
        <v>2.3825366965877919</v>
      </c>
      <c r="BF254" s="32">
        <f t="shared" si="157"/>
        <v>0.22421181884773667</v>
      </c>
      <c r="BG254" s="32">
        <f t="shared" si="158"/>
        <v>0.14540359102656625</v>
      </c>
      <c r="BH254" s="32">
        <f t="shared" si="142"/>
        <v>2.2562530009225257</v>
      </c>
      <c r="BI254" s="32">
        <f t="shared" si="143"/>
        <v>0.32186070177488157</v>
      </c>
      <c r="BJ254" s="32">
        <f t="shared" si="144"/>
        <v>2.578113702697407</v>
      </c>
      <c r="BK254" s="457">
        <f t="shared" si="145"/>
        <v>2.5909393375171024</v>
      </c>
      <c r="BL254" s="2"/>
    </row>
    <row r="255" spans="1:64" ht="15">
      <c r="A255" s="119"/>
      <c r="B255" s="480">
        <f>Input!B272</f>
        <v>38237</v>
      </c>
      <c r="C255" s="481">
        <v>1</v>
      </c>
      <c r="D255" s="481">
        <f t="shared" si="146"/>
        <v>9</v>
      </c>
      <c r="E255" s="481">
        <f t="shared" si="147"/>
        <v>7</v>
      </c>
      <c r="F255" s="481">
        <f t="shared" si="121"/>
        <v>251</v>
      </c>
      <c r="G255" s="431">
        <v>12.6144</v>
      </c>
      <c r="H255" s="455">
        <v>22.88</v>
      </c>
      <c r="I255" s="455">
        <v>16.399999999999999</v>
      </c>
      <c r="J255" s="455">
        <v>1.25</v>
      </c>
      <c r="K255" s="485"/>
      <c r="L255" s="433">
        <v>100</v>
      </c>
      <c r="M255" s="455">
        <v>87</v>
      </c>
      <c r="N255" s="484">
        <f>Weather!M256</f>
        <v>0</v>
      </c>
      <c r="O255" s="481" t="str">
        <f t="shared" si="148"/>
        <v/>
      </c>
      <c r="P255" s="4">
        <f t="shared" si="159"/>
        <v>2.0862799704609447</v>
      </c>
      <c r="Q255" s="169">
        <f t="shared" si="122"/>
        <v>2.7891109265377625</v>
      </c>
      <c r="R255" s="169">
        <f t="shared" si="123"/>
        <v>1.8652661127239329</v>
      </c>
      <c r="S255" s="169">
        <f t="shared" si="124"/>
        <v>2.4265265060878534</v>
      </c>
      <c r="T255" s="169">
        <f t="shared" si="125"/>
        <v>1.8652661127239329</v>
      </c>
      <c r="U255" s="169">
        <f t="shared" si="126"/>
        <v>2.1458963094058934</v>
      </c>
      <c r="V255" s="169">
        <f t="shared" si="127"/>
        <v>7.2758716305813986E-2</v>
      </c>
      <c r="W255" s="439">
        <f t="shared" si="128"/>
        <v>18.620442901962129</v>
      </c>
      <c r="X255" s="439">
        <f t="shared" si="129"/>
        <v>18.620442901962129</v>
      </c>
      <c r="Y255" s="169"/>
      <c r="Z255" s="119" t="str">
        <f t="shared" si="130"/>
        <v/>
      </c>
      <c r="AA255" s="4" t="str">
        <f t="shared" si="131"/>
        <v/>
      </c>
      <c r="AB255" s="466"/>
      <c r="AC255" s="466"/>
      <c r="AD255" s="466"/>
      <c r="AE255" s="466"/>
      <c r="AF255" s="466"/>
      <c r="AG255" s="466"/>
      <c r="AH255" s="466"/>
      <c r="AI255" s="466"/>
      <c r="AJ255" s="466"/>
      <c r="AK255" s="466"/>
      <c r="AL255" s="466"/>
      <c r="AM255" s="462">
        <f t="shared" si="132"/>
        <v>251</v>
      </c>
      <c r="AN255" s="32">
        <f t="shared" si="149"/>
        <v>0.98740425573120028</v>
      </c>
      <c r="AO255" s="32">
        <f t="shared" si="150"/>
        <v>8.5590828765061799E-2</v>
      </c>
      <c r="AP255" s="32">
        <f t="shared" si="151"/>
        <v>1.6541670075678381</v>
      </c>
      <c r="AQ255" s="32">
        <f t="shared" si="152"/>
        <v>12.636905085789603</v>
      </c>
      <c r="AR255" s="32">
        <f t="shared" si="153"/>
        <v>30.097141429490165</v>
      </c>
      <c r="AS255" s="32">
        <f t="shared" si="133"/>
        <v>22.594526013946858</v>
      </c>
      <c r="AT255" s="32">
        <f t="shared" si="134"/>
        <v>9.7130880000000008</v>
      </c>
      <c r="AU255" s="32">
        <f t="shared" si="135"/>
        <v>0.5582945175399362</v>
      </c>
      <c r="AV255" s="32">
        <f t="shared" si="136"/>
        <v>0.40369759867891397</v>
      </c>
      <c r="AW255" s="32">
        <f t="shared" si="137"/>
        <v>2.7891109265377625</v>
      </c>
      <c r="AX255" s="32">
        <f t="shared" si="138"/>
        <v>1.8652661127239329</v>
      </c>
      <c r="AY255" s="32">
        <f t="shared" si="139"/>
        <v>2.1458963094058934</v>
      </c>
      <c r="AZ255" s="32">
        <f t="shared" si="154"/>
        <v>0.13491570595397728</v>
      </c>
      <c r="BA255" s="32">
        <f t="shared" si="140"/>
        <v>-1.9627215651913399</v>
      </c>
      <c r="BB255" s="32">
        <f t="shared" si="155"/>
        <v>7.7503664348086607</v>
      </c>
      <c r="BC255" s="32">
        <f t="shared" si="141"/>
        <v>19.64</v>
      </c>
      <c r="BD255" s="32">
        <v>0</v>
      </c>
      <c r="BE255" s="32">
        <f t="shared" si="156"/>
        <v>2.3271885196308477</v>
      </c>
      <c r="BF255" s="32">
        <f t="shared" si="157"/>
        <v>0.18129221022495434</v>
      </c>
      <c r="BG255" s="32">
        <f t="shared" si="158"/>
        <v>0.14197746214911036</v>
      </c>
      <c r="BH255" s="32">
        <f t="shared" si="142"/>
        <v>1.889431040008807</v>
      </c>
      <c r="BI255" s="32">
        <f t="shared" si="143"/>
        <v>0.19684893045213792</v>
      </c>
      <c r="BJ255" s="32">
        <f t="shared" si="144"/>
        <v>2.0862799704609447</v>
      </c>
      <c r="BK255" s="457">
        <f t="shared" si="145"/>
        <v>2.6928387223612691</v>
      </c>
      <c r="BL255" s="2"/>
    </row>
    <row r="256" spans="1:64" ht="15">
      <c r="A256" s="119"/>
      <c r="B256" s="480">
        <f>Input!B273</f>
        <v>38238</v>
      </c>
      <c r="C256" s="481">
        <v>1</v>
      </c>
      <c r="D256" s="481">
        <f t="shared" si="146"/>
        <v>9</v>
      </c>
      <c r="E256" s="481">
        <f t="shared" si="147"/>
        <v>8</v>
      </c>
      <c r="F256" s="481">
        <f t="shared" si="121"/>
        <v>252</v>
      </c>
      <c r="G256" s="431">
        <v>19.440000000000001</v>
      </c>
      <c r="H256" s="455">
        <v>22.72</v>
      </c>
      <c r="I256" s="455">
        <v>15.9</v>
      </c>
      <c r="J256" s="455">
        <v>0.92</v>
      </c>
      <c r="K256" s="485"/>
      <c r="L256" s="433">
        <v>93</v>
      </c>
      <c r="M256" s="455">
        <v>87</v>
      </c>
      <c r="N256" s="484">
        <f>Weather!M257</f>
        <v>0</v>
      </c>
      <c r="O256" s="481" t="str">
        <f t="shared" si="148"/>
        <v/>
      </c>
      <c r="P256" s="4">
        <f t="shared" si="159"/>
        <v>2.9138217266599553</v>
      </c>
      <c r="Q256" s="169">
        <f t="shared" si="122"/>
        <v>2.7622084529566373</v>
      </c>
      <c r="R256" s="169">
        <f t="shared" si="123"/>
        <v>1.8067051290327525</v>
      </c>
      <c r="S256" s="169">
        <f t="shared" si="124"/>
        <v>2.4031213540722742</v>
      </c>
      <c r="T256" s="169">
        <f t="shared" si="125"/>
        <v>1.68023577000046</v>
      </c>
      <c r="U256" s="169">
        <f t="shared" si="126"/>
        <v>2.0416785620363669</v>
      </c>
      <c r="V256" s="169">
        <f t="shared" si="127"/>
        <v>6.98759698718526E-2</v>
      </c>
      <c r="W256" s="439">
        <f t="shared" si="128"/>
        <v>17.827265088835631</v>
      </c>
      <c r="X256" s="439">
        <f t="shared" si="129"/>
        <v>17.827265088835631</v>
      </c>
      <c r="Y256" s="169"/>
      <c r="Z256" s="119" t="str">
        <f t="shared" si="130"/>
        <v/>
      </c>
      <c r="AA256" s="4" t="str">
        <f t="shared" si="131"/>
        <v/>
      </c>
      <c r="AB256" s="466"/>
      <c r="AC256" s="466"/>
      <c r="AD256" s="466"/>
      <c r="AE256" s="466"/>
      <c r="AF256" s="466"/>
      <c r="AG256" s="466"/>
      <c r="AH256" s="466"/>
      <c r="AI256" s="466"/>
      <c r="AJ256" s="466"/>
      <c r="AK256" s="466"/>
      <c r="AL256" s="466"/>
      <c r="AM256" s="462">
        <f t="shared" si="132"/>
        <v>252</v>
      </c>
      <c r="AN256" s="32">
        <f t="shared" si="149"/>
        <v>0.98793115672459009</v>
      </c>
      <c r="AO256" s="32">
        <f t="shared" si="150"/>
        <v>7.8693768897405231E-2</v>
      </c>
      <c r="AP256" s="32">
        <f t="shared" si="151"/>
        <v>1.6474059962015088</v>
      </c>
      <c r="AQ256" s="32">
        <f t="shared" si="152"/>
        <v>12.585254763585517</v>
      </c>
      <c r="AR256" s="32">
        <f t="shared" si="153"/>
        <v>29.834779760787146</v>
      </c>
      <c r="AS256" s="32">
        <f t="shared" si="133"/>
        <v>22.397565862018126</v>
      </c>
      <c r="AT256" s="32">
        <f t="shared" si="134"/>
        <v>14.968800000000002</v>
      </c>
      <c r="AU256" s="32">
        <f t="shared" si="135"/>
        <v>0.86795146042929705</v>
      </c>
      <c r="AV256" s="32">
        <f t="shared" si="136"/>
        <v>0.82173447157955104</v>
      </c>
      <c r="AW256" s="32">
        <f t="shared" si="137"/>
        <v>2.7622084529566373</v>
      </c>
      <c r="AX256" s="32">
        <f t="shared" si="138"/>
        <v>1.8067051290327525</v>
      </c>
      <c r="AY256" s="32">
        <f t="shared" si="139"/>
        <v>2.0416785620363669</v>
      </c>
      <c r="AZ256" s="32">
        <f t="shared" si="154"/>
        <v>0.1399577549218346</v>
      </c>
      <c r="BA256" s="32">
        <f t="shared" si="140"/>
        <v>-4.1261458070696095</v>
      </c>
      <c r="BB256" s="32">
        <f t="shared" si="155"/>
        <v>10.842654192930393</v>
      </c>
      <c r="BC256" s="32">
        <f t="shared" si="141"/>
        <v>19.309999999999999</v>
      </c>
      <c r="BD256" s="32">
        <v>0</v>
      </c>
      <c r="BE256" s="32">
        <f t="shared" si="156"/>
        <v>2.2844567909946951</v>
      </c>
      <c r="BF256" s="32">
        <f t="shared" si="157"/>
        <v>0.24277822895832823</v>
      </c>
      <c r="BG256" s="32">
        <f t="shared" si="158"/>
        <v>0.13945292798068862</v>
      </c>
      <c r="BH256" s="32">
        <f t="shared" si="142"/>
        <v>2.7110026585418741</v>
      </c>
      <c r="BI256" s="32">
        <f t="shared" si="143"/>
        <v>0.20281906811808145</v>
      </c>
      <c r="BJ256" s="32">
        <f t="shared" si="144"/>
        <v>2.9138217266599553</v>
      </c>
      <c r="BK256" s="457">
        <f t="shared" si="145"/>
        <v>2.7143617678036995</v>
      </c>
      <c r="BL256" s="2"/>
    </row>
    <row r="257" spans="1:64" ht="15">
      <c r="A257" s="119"/>
      <c r="B257" s="480">
        <f>Input!B274</f>
        <v>38239</v>
      </c>
      <c r="C257" s="481">
        <v>1</v>
      </c>
      <c r="D257" s="481">
        <f t="shared" si="146"/>
        <v>9</v>
      </c>
      <c r="E257" s="481">
        <f t="shared" si="147"/>
        <v>9</v>
      </c>
      <c r="F257" s="481">
        <f t="shared" si="121"/>
        <v>253</v>
      </c>
      <c r="G257" s="431">
        <v>19.872</v>
      </c>
      <c r="H257" s="455">
        <v>22.6</v>
      </c>
      <c r="I257" s="455">
        <v>16.3</v>
      </c>
      <c r="J257" s="455">
        <v>1.1299999999999999</v>
      </c>
      <c r="K257" s="485"/>
      <c r="L257" s="433">
        <v>100</v>
      </c>
      <c r="M257" s="455">
        <v>85</v>
      </c>
      <c r="N257" s="484">
        <f>Weather!M258</f>
        <v>0</v>
      </c>
      <c r="O257" s="481" t="str">
        <f t="shared" si="148"/>
        <v/>
      </c>
      <c r="P257" s="4">
        <f t="shared" si="159"/>
        <v>2.9219428494973703</v>
      </c>
      <c r="Q257" s="169">
        <f t="shared" si="122"/>
        <v>2.7421805492514406</v>
      </c>
      <c r="R257" s="169">
        <f t="shared" si="123"/>
        <v>1.8534226492057391</v>
      </c>
      <c r="S257" s="169">
        <f t="shared" si="124"/>
        <v>2.3308534668637244</v>
      </c>
      <c r="T257" s="169">
        <f t="shared" si="125"/>
        <v>1.8534226492057391</v>
      </c>
      <c r="U257" s="169">
        <f t="shared" si="126"/>
        <v>2.092138058034732</v>
      </c>
      <c r="V257" s="169">
        <f t="shared" si="127"/>
        <v>7.1289649275466951E-2</v>
      </c>
      <c r="W257" s="439">
        <f t="shared" si="128"/>
        <v>18.215618852390836</v>
      </c>
      <c r="X257" s="439">
        <f t="shared" si="129"/>
        <v>18.215618852390836</v>
      </c>
      <c r="Y257" s="169"/>
      <c r="Z257" s="119" t="str">
        <f t="shared" si="130"/>
        <v/>
      </c>
      <c r="AA257" s="4" t="str">
        <f t="shared" si="131"/>
        <v/>
      </c>
      <c r="AB257" s="466"/>
      <c r="AC257" s="466"/>
      <c r="AD257" s="466"/>
      <c r="AE257" s="466"/>
      <c r="AF257" s="466"/>
      <c r="AG257" s="466"/>
      <c r="AH257" s="466"/>
      <c r="AI257" s="466"/>
      <c r="AJ257" s="466"/>
      <c r="AK257" s="466"/>
      <c r="AL257" s="466"/>
      <c r="AM257" s="462">
        <f t="shared" si="132"/>
        <v>253</v>
      </c>
      <c r="AN257" s="32">
        <f t="shared" si="149"/>
        <v>0.98846163397670939</v>
      </c>
      <c r="AO257" s="32">
        <f t="shared" si="150"/>
        <v>7.1773390367674078E-2</v>
      </c>
      <c r="AP257" s="32">
        <f t="shared" si="151"/>
        <v>1.6406330320327172</v>
      </c>
      <c r="AQ257" s="32">
        <f t="shared" si="152"/>
        <v>12.533513128696839</v>
      </c>
      <c r="AR257" s="32">
        <f t="shared" si="153"/>
        <v>29.57107457379437</v>
      </c>
      <c r="AS257" s="32">
        <f t="shared" si="133"/>
        <v>22.199597104038912</v>
      </c>
      <c r="AT257" s="32">
        <f t="shared" si="134"/>
        <v>15.301439999999999</v>
      </c>
      <c r="AU257" s="32">
        <f t="shared" si="135"/>
        <v>0.89515138076017442</v>
      </c>
      <c r="AV257" s="32">
        <f t="shared" si="136"/>
        <v>0.85845436402623554</v>
      </c>
      <c r="AW257" s="32">
        <f t="shared" si="137"/>
        <v>2.7421805492514406</v>
      </c>
      <c r="AX257" s="32">
        <f t="shared" si="138"/>
        <v>1.8534226492057391</v>
      </c>
      <c r="AY257" s="32">
        <f t="shared" si="139"/>
        <v>2.092138058034732</v>
      </c>
      <c r="AZ257" s="32">
        <f t="shared" si="154"/>
        <v>0.1375008495388666</v>
      </c>
      <c r="BA257" s="32">
        <f t="shared" si="140"/>
        <v>-4.2424610425133924</v>
      </c>
      <c r="BB257" s="32">
        <f t="shared" si="155"/>
        <v>11.058978957486607</v>
      </c>
      <c r="BC257" s="32">
        <f t="shared" si="141"/>
        <v>19.450000000000003</v>
      </c>
      <c r="BD257" s="32">
        <v>0</v>
      </c>
      <c r="BE257" s="32">
        <f t="shared" si="156"/>
        <v>2.2978015992285901</v>
      </c>
      <c r="BF257" s="32">
        <f t="shared" si="157"/>
        <v>0.2056635411938581</v>
      </c>
      <c r="BG257" s="32">
        <f t="shared" si="158"/>
        <v>0.14051926152519609</v>
      </c>
      <c r="BH257" s="32">
        <f t="shared" si="142"/>
        <v>2.716306361657288</v>
      </c>
      <c r="BI257" s="32">
        <f t="shared" si="143"/>
        <v>0.20563648784008232</v>
      </c>
      <c r="BJ257" s="32">
        <f t="shared" si="144"/>
        <v>2.9219428494973703</v>
      </c>
      <c r="BK257" s="457">
        <f t="shared" si="145"/>
        <v>2.5955261571639929</v>
      </c>
      <c r="BL257" s="2"/>
    </row>
    <row r="258" spans="1:64" ht="15">
      <c r="A258" s="119"/>
      <c r="B258" s="480">
        <f>Input!B275</f>
        <v>38240</v>
      </c>
      <c r="C258" s="481">
        <v>1</v>
      </c>
      <c r="D258" s="481">
        <f t="shared" si="146"/>
        <v>9</v>
      </c>
      <c r="E258" s="481">
        <f t="shared" si="147"/>
        <v>10</v>
      </c>
      <c r="F258" s="481">
        <f t="shared" si="121"/>
        <v>254</v>
      </c>
      <c r="G258" s="431">
        <v>18.057600000000001</v>
      </c>
      <c r="H258" s="455">
        <v>22.45</v>
      </c>
      <c r="I258" s="455">
        <v>15.2</v>
      </c>
      <c r="J258" s="455">
        <v>1.1599999999999999</v>
      </c>
      <c r="K258" s="485"/>
      <c r="L258" s="433">
        <v>100</v>
      </c>
      <c r="M258" s="455">
        <v>87</v>
      </c>
      <c r="N258" s="484">
        <f>Weather!M259</f>
        <v>0</v>
      </c>
      <c r="O258" s="481" t="str">
        <f t="shared" si="148"/>
        <v/>
      </c>
      <c r="P258" s="4">
        <f t="shared" si="159"/>
        <v>2.6313715600740846</v>
      </c>
      <c r="Q258" s="169">
        <f t="shared" si="122"/>
        <v>2.7173240627893946</v>
      </c>
      <c r="R258" s="169">
        <f t="shared" si="123"/>
        <v>1.727428862466867</v>
      </c>
      <c r="S258" s="169">
        <f t="shared" si="124"/>
        <v>2.3640719346267733</v>
      </c>
      <c r="T258" s="169">
        <f t="shared" si="125"/>
        <v>1.727428862466867</v>
      </c>
      <c r="U258" s="169">
        <f t="shared" si="126"/>
        <v>2.0457503985468204</v>
      </c>
      <c r="V258" s="169">
        <f t="shared" si="127"/>
        <v>6.9991335893454937E-2</v>
      </c>
      <c r="W258" s="439">
        <f t="shared" si="128"/>
        <v>17.85891319998937</v>
      </c>
      <c r="X258" s="439">
        <f t="shared" si="129"/>
        <v>17.85891319998937</v>
      </c>
      <c r="Y258" s="169"/>
      <c r="Z258" s="119" t="str">
        <f t="shared" si="130"/>
        <v/>
      </c>
      <c r="AA258" s="4" t="str">
        <f t="shared" si="131"/>
        <v/>
      </c>
      <c r="AB258" s="466"/>
      <c r="AC258" s="466"/>
      <c r="AD258" s="466"/>
      <c r="AE258" s="466"/>
      <c r="AF258" s="466"/>
      <c r="AG258" s="466"/>
      <c r="AH258" s="466"/>
      <c r="AI258" s="466"/>
      <c r="AJ258" s="466"/>
      <c r="AK258" s="466"/>
      <c r="AL258" s="466"/>
      <c r="AM258" s="462">
        <f t="shared" si="132"/>
        <v>254</v>
      </c>
      <c r="AN258" s="32">
        <f t="shared" si="149"/>
        <v>0.98899553029569987</v>
      </c>
      <c r="AO258" s="32">
        <f t="shared" si="150"/>
        <v>6.4831743833380015E-2</v>
      </c>
      <c r="AP258" s="32">
        <f t="shared" si="151"/>
        <v>1.6338492370415281</v>
      </c>
      <c r="AQ258" s="32">
        <f t="shared" si="152"/>
        <v>12.481688752419888</v>
      </c>
      <c r="AR258" s="32">
        <f t="shared" si="153"/>
        <v>29.306108144654274</v>
      </c>
      <c r="AS258" s="32">
        <f t="shared" si="133"/>
        <v>22.000681506354859</v>
      </c>
      <c r="AT258" s="32">
        <f t="shared" si="134"/>
        <v>13.904352000000001</v>
      </c>
      <c r="AU258" s="32">
        <f t="shared" si="135"/>
        <v>0.8207745744050744</v>
      </c>
      <c r="AV258" s="32">
        <f t="shared" si="136"/>
        <v>0.75804567544685064</v>
      </c>
      <c r="AW258" s="32">
        <f t="shared" si="137"/>
        <v>2.7173240627893946</v>
      </c>
      <c r="AX258" s="32">
        <f t="shared" si="138"/>
        <v>1.727428862466867</v>
      </c>
      <c r="AY258" s="32">
        <f t="shared" si="139"/>
        <v>2.0457503985468208</v>
      </c>
      <c r="AZ258" s="32">
        <f t="shared" si="154"/>
        <v>0.13975837642608446</v>
      </c>
      <c r="BA258" s="32">
        <f t="shared" si="140"/>
        <v>-3.7761866799893435</v>
      </c>
      <c r="BB258" s="32">
        <f t="shared" si="155"/>
        <v>10.128165320010657</v>
      </c>
      <c r="BC258" s="32">
        <f t="shared" si="141"/>
        <v>18.824999999999999</v>
      </c>
      <c r="BD258" s="32">
        <v>0</v>
      </c>
      <c r="BE258" s="32">
        <f t="shared" si="156"/>
        <v>2.222376462628131</v>
      </c>
      <c r="BF258" s="32">
        <f t="shared" si="157"/>
        <v>0.17662606408131021</v>
      </c>
      <c r="BG258" s="32">
        <f t="shared" si="158"/>
        <v>0.13581165524364522</v>
      </c>
      <c r="BH258" s="32">
        <f t="shared" si="142"/>
        <v>2.4465056331509913</v>
      </c>
      <c r="BI258" s="32">
        <f t="shared" si="143"/>
        <v>0.18486592692309337</v>
      </c>
      <c r="BJ258" s="32">
        <f t="shared" si="144"/>
        <v>2.6313715600740846</v>
      </c>
      <c r="BK258" s="457">
        <f t="shared" si="145"/>
        <v>2.7131045905731157</v>
      </c>
      <c r="BL258" s="2"/>
    </row>
    <row r="259" spans="1:64" ht="15">
      <c r="A259" s="119"/>
      <c r="B259" s="480">
        <f>Input!B276</f>
        <v>38241</v>
      </c>
      <c r="C259" s="481">
        <v>1</v>
      </c>
      <c r="D259" s="481">
        <f t="shared" si="146"/>
        <v>9</v>
      </c>
      <c r="E259" s="481">
        <f t="shared" si="147"/>
        <v>11</v>
      </c>
      <c r="F259" s="481">
        <f t="shared" si="121"/>
        <v>255</v>
      </c>
      <c r="G259" s="431">
        <v>18.403199999999998</v>
      </c>
      <c r="H259" s="455">
        <v>23.01</v>
      </c>
      <c r="I259" s="455">
        <v>17.7</v>
      </c>
      <c r="J259" s="455">
        <v>1.57</v>
      </c>
      <c r="K259" s="485"/>
      <c r="L259" s="433">
        <v>100</v>
      </c>
      <c r="M259" s="455">
        <v>72</v>
      </c>
      <c r="N259" s="484">
        <f>Weather!M260</f>
        <v>0</v>
      </c>
      <c r="O259" s="481" t="str">
        <f t="shared" si="148"/>
        <v/>
      </c>
      <c r="P259" s="4">
        <f t="shared" si="159"/>
        <v>2.9416653353000819</v>
      </c>
      <c r="Q259" s="169">
        <f t="shared" si="122"/>
        <v>2.811137336158986</v>
      </c>
      <c r="R259" s="169">
        <f t="shared" si="123"/>
        <v>2.0253762197498539</v>
      </c>
      <c r="S259" s="169">
        <f t="shared" si="124"/>
        <v>2.0240188820344698</v>
      </c>
      <c r="T259" s="169">
        <f t="shared" si="125"/>
        <v>2.0253762197498539</v>
      </c>
      <c r="U259" s="169">
        <f t="shared" si="126"/>
        <v>2.0246975508921619</v>
      </c>
      <c r="V259" s="169">
        <f t="shared" si="127"/>
        <v>6.9392358856808903E-2</v>
      </c>
      <c r="W259" s="439">
        <f t="shared" si="128"/>
        <v>17.694682515708074</v>
      </c>
      <c r="X259" s="439">
        <f t="shared" si="129"/>
        <v>17.694682515708074</v>
      </c>
      <c r="Y259" s="169"/>
      <c r="Z259" s="119" t="str">
        <f t="shared" si="130"/>
        <v/>
      </c>
      <c r="AA259" s="4" t="str">
        <f t="shared" si="131"/>
        <v/>
      </c>
      <c r="AB259" s="466"/>
      <c r="AC259" s="466"/>
      <c r="AD259" s="466"/>
      <c r="AE259" s="466"/>
      <c r="AF259" s="466"/>
      <c r="AG259" s="466"/>
      <c r="AH259" s="466"/>
      <c r="AI259" s="466"/>
      <c r="AJ259" s="466"/>
      <c r="AK259" s="466"/>
      <c r="AL259" s="466"/>
      <c r="AM259" s="462">
        <f t="shared" si="132"/>
        <v>255</v>
      </c>
      <c r="AN259" s="32">
        <f t="shared" si="149"/>
        <v>0.98953268747655942</v>
      </c>
      <c r="AO259" s="32">
        <f t="shared" si="150"/>
        <v>5.7870886254204834E-2</v>
      </c>
      <c r="AP259" s="32">
        <f t="shared" si="151"/>
        <v>1.6270557167764241</v>
      </c>
      <c r="AQ259" s="32">
        <f t="shared" si="152"/>
        <v>12.429790080522949</v>
      </c>
      <c r="AR259" s="32">
        <f t="shared" si="153"/>
        <v>29.039964014481246</v>
      </c>
      <c r="AS259" s="32">
        <f t="shared" si="133"/>
        <v>21.800881784951361</v>
      </c>
      <c r="AT259" s="32">
        <f t="shared" si="134"/>
        <v>14.170463999999999</v>
      </c>
      <c r="AU259" s="32">
        <f t="shared" si="135"/>
        <v>0.84414934136761832</v>
      </c>
      <c r="AV259" s="32">
        <f t="shared" si="136"/>
        <v>0.78960161084628477</v>
      </c>
      <c r="AW259" s="32">
        <f t="shared" si="137"/>
        <v>2.811137336158986</v>
      </c>
      <c r="AX259" s="32">
        <f t="shared" si="138"/>
        <v>2.0253762197498539</v>
      </c>
      <c r="AY259" s="32">
        <f t="shared" si="139"/>
        <v>2.0246975508921623</v>
      </c>
      <c r="AZ259" s="32">
        <f t="shared" si="154"/>
        <v>0.14079138573473693</v>
      </c>
      <c r="BA259" s="32">
        <f t="shared" si="140"/>
        <v>-4.0444118928100838</v>
      </c>
      <c r="BB259" s="32">
        <f t="shared" si="155"/>
        <v>10.126052107189915</v>
      </c>
      <c r="BC259" s="32">
        <f t="shared" si="141"/>
        <v>20.355</v>
      </c>
      <c r="BD259" s="32">
        <v>0</v>
      </c>
      <c r="BE259" s="32">
        <f t="shared" si="156"/>
        <v>2.41825677795442</v>
      </c>
      <c r="BF259" s="32">
        <f t="shared" si="157"/>
        <v>0.39355922706225765</v>
      </c>
      <c r="BG259" s="32">
        <f t="shared" si="158"/>
        <v>0.14758023948506088</v>
      </c>
      <c r="BH259" s="32">
        <f t="shared" si="142"/>
        <v>2.4338267083495317</v>
      </c>
      <c r="BI259" s="32">
        <f t="shared" si="143"/>
        <v>0.50783862695055015</v>
      </c>
      <c r="BJ259" s="32">
        <f t="shared" si="144"/>
        <v>2.9416653353000819</v>
      </c>
      <c r="BK259" s="457">
        <f t="shared" si="145"/>
        <v>2.3969365836440333</v>
      </c>
      <c r="BL259" s="2"/>
    </row>
    <row r="260" spans="1:64" ht="15">
      <c r="A260" s="119"/>
      <c r="B260" s="480">
        <f>Input!B277</f>
        <v>38242</v>
      </c>
      <c r="C260" s="481">
        <v>1</v>
      </c>
      <c r="D260" s="481">
        <f t="shared" si="146"/>
        <v>9</v>
      </c>
      <c r="E260" s="481">
        <f t="shared" si="147"/>
        <v>12</v>
      </c>
      <c r="F260" s="481">
        <f t="shared" si="121"/>
        <v>256</v>
      </c>
      <c r="G260" s="431">
        <v>17.712</v>
      </c>
      <c r="H260" s="455">
        <v>21.69</v>
      </c>
      <c r="I260" s="455">
        <v>15.9</v>
      </c>
      <c r="J260" s="455">
        <v>2.2000000000000002</v>
      </c>
      <c r="K260" s="485"/>
      <c r="L260" s="433">
        <v>100</v>
      </c>
      <c r="M260" s="455">
        <v>87</v>
      </c>
      <c r="N260" s="484">
        <f>Weather!M261</f>
        <v>9.4</v>
      </c>
      <c r="O260" s="481">
        <f t="shared" si="148"/>
        <v>1</v>
      </c>
      <c r="P260" s="4">
        <f t="shared" si="159"/>
        <v>2.4586716698177891</v>
      </c>
      <c r="Q260" s="169">
        <f t="shared" si="122"/>
        <v>2.5943844647286358</v>
      </c>
      <c r="R260" s="169">
        <f t="shared" si="123"/>
        <v>1.8067051290327525</v>
      </c>
      <c r="S260" s="169">
        <f t="shared" si="124"/>
        <v>2.257114484313913</v>
      </c>
      <c r="T260" s="169">
        <f t="shared" si="125"/>
        <v>1.8067051290327525</v>
      </c>
      <c r="U260" s="169">
        <f t="shared" si="126"/>
        <v>2.0319098066733328</v>
      </c>
      <c r="V260" s="169">
        <f t="shared" si="127"/>
        <v>6.9598254075803542E-2</v>
      </c>
      <c r="W260" s="439">
        <f t="shared" si="128"/>
        <v>17.751112102420514</v>
      </c>
      <c r="X260" s="439">
        <f t="shared" si="129"/>
        <v>17.751112102420514</v>
      </c>
      <c r="Y260" s="169"/>
      <c r="Z260" s="119" t="str">
        <f t="shared" si="130"/>
        <v/>
      </c>
      <c r="AA260" s="4" t="str">
        <f t="shared" si="131"/>
        <v/>
      </c>
      <c r="AB260" s="466"/>
      <c r="AC260" s="466"/>
      <c r="AD260" s="466"/>
      <c r="AE260" s="466"/>
      <c r="AF260" s="466"/>
      <c r="AG260" s="466"/>
      <c r="AH260" s="466"/>
      <c r="AI260" s="466"/>
      <c r="AJ260" s="466"/>
      <c r="AK260" s="466"/>
      <c r="AL260" s="466"/>
      <c r="AM260" s="462">
        <f t="shared" si="132"/>
        <v>256</v>
      </c>
      <c r="AN260" s="32">
        <f t="shared" si="149"/>
        <v>0.99007294634802301</v>
      </c>
      <c r="AO260" s="32">
        <f t="shared" si="150"/>
        <v>5.0892880282476169E-2</v>
      </c>
      <c r="AP260" s="32">
        <f t="shared" si="151"/>
        <v>1.6202535619046556</v>
      </c>
      <c r="AQ260" s="32">
        <f t="shared" si="152"/>
        <v>12.377825445090057</v>
      </c>
      <c r="AR260" s="32">
        <f t="shared" si="153"/>
        <v>28.772726950250334</v>
      </c>
      <c r="AS260" s="32">
        <f t="shared" si="133"/>
        <v>21.600261576091931</v>
      </c>
      <c r="AT260" s="32">
        <f t="shared" si="134"/>
        <v>13.63824</v>
      </c>
      <c r="AU260" s="32">
        <f t="shared" si="135"/>
        <v>0.81999006991676338</v>
      </c>
      <c r="AV260" s="32">
        <f t="shared" si="136"/>
        <v>0.75698659438763072</v>
      </c>
      <c r="AW260" s="32">
        <f t="shared" si="137"/>
        <v>2.5943844647286358</v>
      </c>
      <c r="AX260" s="32">
        <f t="shared" si="138"/>
        <v>1.8067051290327525</v>
      </c>
      <c r="AY260" s="32">
        <f t="shared" si="139"/>
        <v>2.0319098066733328</v>
      </c>
      <c r="AZ260" s="32">
        <f t="shared" si="154"/>
        <v>0.14043689666975681</v>
      </c>
      <c r="BA260" s="32">
        <f t="shared" si="140"/>
        <v>-3.7863941320362304</v>
      </c>
      <c r="BB260" s="32">
        <f t="shared" si="155"/>
        <v>9.8518458679637693</v>
      </c>
      <c r="BC260" s="32">
        <f t="shared" si="141"/>
        <v>18.795000000000002</v>
      </c>
      <c r="BD260" s="32">
        <v>0</v>
      </c>
      <c r="BE260" s="32">
        <f t="shared" si="156"/>
        <v>2.2005447968806942</v>
      </c>
      <c r="BF260" s="32">
        <f t="shared" si="157"/>
        <v>0.16863499020736139</v>
      </c>
      <c r="BG260" s="32">
        <f t="shared" si="158"/>
        <v>0.13558909198009519</v>
      </c>
      <c r="BH260" s="32">
        <f t="shared" si="142"/>
        <v>2.1550114279972825</v>
      </c>
      <c r="BI260" s="32">
        <f t="shared" si="143"/>
        <v>0.30366024182050672</v>
      </c>
      <c r="BJ260" s="32">
        <f t="shared" si="144"/>
        <v>2.4586716698177891</v>
      </c>
      <c r="BK260" s="457">
        <f t="shared" si="145"/>
        <v>2.3785035794784744</v>
      </c>
      <c r="BL260" s="2"/>
    </row>
    <row r="261" spans="1:64" ht="15">
      <c r="A261" s="119"/>
      <c r="B261" s="480">
        <f>Input!B278</f>
        <v>38243</v>
      </c>
      <c r="C261" s="481">
        <v>1</v>
      </c>
      <c r="D261" s="481">
        <f t="shared" si="146"/>
        <v>9</v>
      </c>
      <c r="E261" s="481">
        <f t="shared" si="147"/>
        <v>13</v>
      </c>
      <c r="F261" s="481">
        <f t="shared" ref="F261:F324" si="160">B261-DATE(YEAR(B261)-1,12,31)</f>
        <v>257</v>
      </c>
      <c r="G261" s="431">
        <v>2.5055999999999998</v>
      </c>
      <c r="H261" s="455">
        <v>16.75</v>
      </c>
      <c r="I261" s="455">
        <v>13.7</v>
      </c>
      <c r="J261" s="455">
        <v>2.15</v>
      </c>
      <c r="K261" s="485"/>
      <c r="L261" s="433">
        <v>100</v>
      </c>
      <c r="M261" s="455">
        <v>85</v>
      </c>
      <c r="N261" s="484">
        <f>Weather!M262</f>
        <v>1.2</v>
      </c>
      <c r="O261" s="481" t="str">
        <f t="shared" si="148"/>
        <v/>
      </c>
      <c r="P261" s="4">
        <f t="shared" si="159"/>
        <v>0.60772138538312692</v>
      </c>
      <c r="Q261" s="169">
        <f t="shared" ref="Q261:Q324" si="161">IF(H261="","",0.6108*EXP((17.27*H261)/(H261+237.3)))</f>
        <v>1.9072420812994948</v>
      </c>
      <c r="R261" s="169">
        <f t="shared" ref="R261:R324" si="162">IF(I261="","",0.6108*EXP((17.27*I261)/(I261+237.3)))</f>
        <v>1.5677473692068915</v>
      </c>
      <c r="S261" s="169">
        <f t="shared" ref="S261:S324" si="163">IF(OR(M261="",Q261=""),"",M261/100*Q261)</f>
        <v>1.6211557691045706</v>
      </c>
      <c r="T261" s="169">
        <f t="shared" ref="T261:T324" si="164">IF(OR(L261="",R261=""),"",L261/100*R261)</f>
        <v>1.5677473692068915</v>
      </c>
      <c r="U261" s="169">
        <f t="shared" ref="U261:U324" si="165">IF(OR(S261="",T261=""),"",(S261+T261)/2)</f>
        <v>1.5944515691557311</v>
      </c>
      <c r="V261" s="169">
        <f t="shared" ref="V261:V324" si="166">IF(U261="","",LN(U261/0.6108)/17.27)</f>
        <v>5.5559672203655305E-2</v>
      </c>
      <c r="W261" s="439">
        <f t="shared" ref="W261:W324" si="167">IF(ISNUMBER(V261),237.3*(V261/(1-V261)),"")</f>
        <v>13.959918722117948</v>
      </c>
      <c r="X261" s="439">
        <f t="shared" ref="X261:X324" si="168">IF(AND(K261="",W261=""),"",IF(K261="",W261,K261))</f>
        <v>13.959918722117948</v>
      </c>
      <c r="Y261" s="169"/>
      <c r="Z261" s="119" t="str">
        <f t="shared" ref="Z261:Z324" si="169">IF(AND(B261&gt;=H$1,B261&lt;=J$1),3,"")</f>
        <v/>
      </c>
      <c r="AA261" s="4" t="str">
        <f t="shared" ref="AA261:AA324" si="170">IF(Z261=3,$P$1+0.1654*($AA$1-7.3)*($P$1-1),"")</f>
        <v/>
      </c>
      <c r="AB261" s="466"/>
      <c r="AC261" s="466"/>
      <c r="AD261" s="466"/>
      <c r="AE261" s="466"/>
      <c r="AF261" s="466"/>
      <c r="AG261" s="466"/>
      <c r="AH261" s="466"/>
      <c r="AI261" s="466"/>
      <c r="AJ261" s="466"/>
      <c r="AK261" s="466"/>
      <c r="AL261" s="466"/>
      <c r="AM261" s="462">
        <f t="shared" ref="AM261:AM324" si="171">F261</f>
        <v>257</v>
      </c>
      <c r="AN261" s="32">
        <f t="shared" si="149"/>
        <v>0.99061614681972687</v>
      </c>
      <c r="AO261" s="32">
        <f t="shared" si="150"/>
        <v>4.3899793651961491E-2</v>
      </c>
      <c r="AP261" s="32">
        <f t="shared" si="151"/>
        <v>1.6134438497794636</v>
      </c>
      <c r="AQ261" s="32">
        <f t="shared" si="152"/>
        <v>12.325803076493715</v>
      </c>
      <c r="AR261" s="32">
        <f t="shared" si="153"/>
        <v>28.504482902886618</v>
      </c>
      <c r="AS261" s="32">
        <f t="shared" ref="AS261:AS324" si="172">AR261*(0.75+2*10^-5*E$2)</f>
        <v>21.398885404855044</v>
      </c>
      <c r="AT261" s="32">
        <f t="shared" ref="AT261:AT324" si="173">IF(G261="","",(1-AO$1)*G261)</f>
        <v>1.9293119999999999</v>
      </c>
      <c r="AU261" s="32">
        <f t="shared" ref="AU261:AU324" si="174">IF(G261="","",IF(G261/AS261&lt;0.3,0.3,IF(G261/AS261&gt;1,1,G261/AS261)))</f>
        <v>0.3</v>
      </c>
      <c r="AV261" s="32">
        <f t="shared" ref="AV261:AV324" si="175">IF(G261="","",1.35*AU261-0.35)</f>
        <v>5.5000000000000049E-2</v>
      </c>
      <c r="AW261" s="32">
        <f t="shared" ref="AW261:AW324" si="176">IF(H261="","",0.6108*EXP((17.27*H261)/(H261+237.3)))</f>
        <v>1.9072420812994948</v>
      </c>
      <c r="AX261" s="32">
        <f t="shared" ref="AX261:AX324" si="177">IF(I261="","",0.6108*EXP((17.27*I261)/(I261+237.3)))</f>
        <v>1.5677473692068915</v>
      </c>
      <c r="AY261" s="32">
        <f t="shared" ref="AY261:AY324" si="178">IF(X261="","",0.6108*EXP((17.27*X261)/(X261+237.3)))</f>
        <v>1.5944515691557308</v>
      </c>
      <c r="AZ261" s="32">
        <f t="shared" si="154"/>
        <v>0.16321976706811273</v>
      </c>
      <c r="BA261" s="32">
        <f t="shared" ref="BA261:BA324" si="179">IF(AV261="","",IF(AZ261="","",IF(H261="","",IF(I261="","",-AV261*AZ261*BA$1*(((H261+273.15)^4+(I261+273.15)^4)/2)))))</f>
        <v>-0.30425296520414086</v>
      </c>
      <c r="BB261" s="32">
        <f t="shared" si="155"/>
        <v>1.6250590347958591</v>
      </c>
      <c r="BC261" s="32">
        <f t="shared" ref="BC261:BC324" si="180">IF(H261="","",IF(I261="","",(H261+I261)/2))</f>
        <v>15.225</v>
      </c>
      <c r="BD261" s="32">
        <v>0</v>
      </c>
      <c r="BE261" s="32">
        <f t="shared" si="156"/>
        <v>1.7374947252531932</v>
      </c>
      <c r="BF261" s="32">
        <f t="shared" si="157"/>
        <v>0.14304315609746232</v>
      </c>
      <c r="BG261" s="32">
        <f t="shared" si="158"/>
        <v>0.11121597122695648</v>
      </c>
      <c r="BH261" s="32">
        <f t="shared" ref="BH261:BH324" si="181">IF($AY261="","",IF($G261="","",0.408*$BG261*($BB261-$BD261)/($BG261+$BA$2*(1+0.34*$J261))))</f>
        <v>0.32428602925861683</v>
      </c>
      <c r="BI261" s="32">
        <f t="shared" ref="BI261:BI324" si="182">IF($BC261="","",IF($BF261="","",IF($BG261="","",IF($J261="","",($BA$2*900/($BC261+273)*$J261*$BF261)/($BG261+$BA$2*(1+0.34*$J261))))))</f>
        <v>0.2834353561245101</v>
      </c>
      <c r="BJ261" s="32">
        <f t="shared" ref="BJ261:BJ324" si="183">IF(BH261="","",IF(BI261="","",BH261+BI261))</f>
        <v>0.60772138538312692</v>
      </c>
      <c r="BK261" s="457">
        <f t="shared" ref="BK261:BK324" si="184">IF(OR(H261="",I261=""),"",0.0023*AR261*(H261-I261)^0.5*((H261+I261)/2+17.8)/2.45)</f>
        <v>1.5433615078003431</v>
      </c>
      <c r="BL261" s="2"/>
    </row>
    <row r="262" spans="1:64" ht="15">
      <c r="A262" s="119"/>
      <c r="B262" s="480">
        <f>Input!B279</f>
        <v>38244</v>
      </c>
      <c r="C262" s="481">
        <v>1</v>
      </c>
      <c r="D262" s="481">
        <f t="shared" ref="D262:D325" si="185">MONTH(B262)</f>
        <v>9</v>
      </c>
      <c r="E262" s="481">
        <f t="shared" ref="E262:E325" si="186">DAY(B262)</f>
        <v>14</v>
      </c>
      <c r="F262" s="481">
        <f t="shared" si="160"/>
        <v>258</v>
      </c>
      <c r="G262" s="431">
        <v>10.4544</v>
      </c>
      <c r="H262" s="455">
        <v>18.46</v>
      </c>
      <c r="I262" s="455">
        <v>14</v>
      </c>
      <c r="J262" s="455">
        <v>1.76</v>
      </c>
      <c r="K262" s="485"/>
      <c r="L262" s="433">
        <v>100</v>
      </c>
      <c r="M262" s="455">
        <v>83</v>
      </c>
      <c r="N262" s="484">
        <f>Weather!M263</f>
        <v>0</v>
      </c>
      <c r="O262" s="481" t="str">
        <f t="shared" ref="O262:O325" si="187">IF(AND(N262&lt;&gt;"",P262&lt;&gt;"",N262&gt;(P262*2)),1,"")</f>
        <v/>
      </c>
      <c r="P262" s="4">
        <f t="shared" si="159"/>
        <v>1.6459072285947327</v>
      </c>
      <c r="Q262" s="169">
        <f t="shared" si="161"/>
        <v>2.1244475498095214</v>
      </c>
      <c r="R262" s="169">
        <f t="shared" si="162"/>
        <v>1.5986048594252917</v>
      </c>
      <c r="S262" s="169">
        <f t="shared" si="163"/>
        <v>1.7632914663419028</v>
      </c>
      <c r="T262" s="169">
        <f t="shared" si="164"/>
        <v>1.5986048594252917</v>
      </c>
      <c r="U262" s="169">
        <f t="shared" si="165"/>
        <v>1.6809481628835972</v>
      </c>
      <c r="V262" s="169">
        <f t="shared" si="166"/>
        <v>5.8618628981912856E-2</v>
      </c>
      <c r="W262" s="439">
        <f t="shared" si="167"/>
        <v>14.776371283366577</v>
      </c>
      <c r="X262" s="439">
        <f t="shared" si="168"/>
        <v>14.776371283366577</v>
      </c>
      <c r="Y262" s="169"/>
      <c r="Z262" s="119" t="str">
        <f t="shared" si="169"/>
        <v/>
      </c>
      <c r="AA262" s="4" t="str">
        <f t="shared" si="170"/>
        <v/>
      </c>
      <c r="AB262" s="466"/>
      <c r="AC262" s="466"/>
      <c r="AD262" s="466"/>
      <c r="AE262" s="466"/>
      <c r="AF262" s="466"/>
      <c r="AG262" s="466"/>
      <c r="AH262" s="466"/>
      <c r="AI262" s="466"/>
      <c r="AJ262" s="466"/>
      <c r="AK262" s="466"/>
      <c r="AL262" s="466"/>
      <c r="AM262" s="462">
        <f t="shared" si="171"/>
        <v>258</v>
      </c>
      <c r="AN262" s="32">
        <f t="shared" ref="AN262:AN325" si="188">1+0.033*COS(2*PI()/365*AM262)</f>
        <v>0.9911621279296482</v>
      </c>
      <c r="AO262" s="32">
        <f t="shared" ref="AO262:AO325" si="189">0.409*SIN(2*PI()/365*AM262-1.39)</f>
        <v>3.6893698565152948E-2</v>
      </c>
      <c r="AP262" s="32">
        <f t="shared" ref="AP262:AP325" si="190">ACOS(-TAN(AS$2)*TAN(AO262))</f>
        <v>1.6066276460220668</v>
      </c>
      <c r="AQ262" s="32">
        <f t="shared" ref="AQ262:AQ325" si="191">AP262*24/PI()</f>
        <v>12.273731115480375</v>
      </c>
      <c r="AR262" s="32">
        <f t="shared" ref="AR262:AR325" si="192">(24*60/PI())*AS$1*AN262*(AP262*SIN(AS$2)*SIN(AO262)+COS(AS$2)*COS(AO262)*SIN(AP262))</f>
        <v>28.235318962607352</v>
      </c>
      <c r="AS262" s="32">
        <f t="shared" si="172"/>
        <v>21.196818651608591</v>
      </c>
      <c r="AT262" s="32">
        <f t="shared" si="173"/>
        <v>8.0498879999999993</v>
      </c>
      <c r="AU262" s="32">
        <f t="shared" si="174"/>
        <v>0.4932060877544297</v>
      </c>
      <c r="AV262" s="32">
        <f t="shared" si="175"/>
        <v>0.31582821846848019</v>
      </c>
      <c r="AW262" s="32">
        <f t="shared" si="176"/>
        <v>2.1244475498095214</v>
      </c>
      <c r="AX262" s="32">
        <f t="shared" si="177"/>
        <v>1.5986048594252917</v>
      </c>
      <c r="AY262" s="32">
        <f t="shared" si="178"/>
        <v>1.6809481628835965</v>
      </c>
      <c r="AZ262" s="32">
        <f t="shared" ref="AZ262:AZ325" si="193">IF(AY262="","",0.34-0.14*SQRT(AY262))</f>
        <v>0.15848806101934096</v>
      </c>
      <c r="BA262" s="32">
        <f t="shared" si="179"/>
        <v>-1.7205699275901847</v>
      </c>
      <c r="BB262" s="32">
        <f t="shared" ref="BB262:BB325" si="194">IF(AT262="","",IF(BA262="","",AT262+BA262))</f>
        <v>6.3293180724098148</v>
      </c>
      <c r="BC262" s="32">
        <f t="shared" si="180"/>
        <v>16.23</v>
      </c>
      <c r="BD262" s="32">
        <v>0</v>
      </c>
      <c r="BE262" s="32">
        <f t="shared" ref="BE262:BE325" si="195">IF(AW262="","",IF(AX262="","",(AW262+AX262)/2))</f>
        <v>1.8615262046174066</v>
      </c>
      <c r="BF262" s="32">
        <f t="shared" ref="BF262:BF325" si="196">IF(BE262="","",IF(AY262="","",BE262-AY262))</f>
        <v>0.18057804173381009</v>
      </c>
      <c r="BG262" s="32">
        <f t="shared" ref="BG262:BG325" si="197">IF(BE262="","",IF(BC262="","",4099*0.6108*EXP((17.27*BC262)/(BC262+237.3))/(BC262+237.3)^2))</f>
        <v>0.11766734081317402</v>
      </c>
      <c r="BH262" s="32">
        <f t="shared" si="181"/>
        <v>1.3508441631125907</v>
      </c>
      <c r="BI262" s="32">
        <f t="shared" si="182"/>
        <v>0.29506306548214201</v>
      </c>
      <c r="BJ262" s="32">
        <f t="shared" si="183"/>
        <v>1.6459072285947327</v>
      </c>
      <c r="BK262" s="457">
        <f t="shared" si="184"/>
        <v>1.9049510842618249</v>
      </c>
      <c r="BL262" s="2"/>
    </row>
    <row r="263" spans="1:64" ht="15">
      <c r="A263" s="119"/>
      <c r="B263" s="480">
        <f>Input!B280</f>
        <v>38245</v>
      </c>
      <c r="C263" s="481">
        <v>1</v>
      </c>
      <c r="D263" s="481">
        <f t="shared" si="185"/>
        <v>9</v>
      </c>
      <c r="E263" s="481">
        <f t="shared" si="186"/>
        <v>15</v>
      </c>
      <c r="F263" s="481">
        <f t="shared" si="160"/>
        <v>259</v>
      </c>
      <c r="G263" s="431">
        <v>12.3552</v>
      </c>
      <c r="H263" s="455">
        <v>18.170000000000002</v>
      </c>
      <c r="I263" s="455">
        <v>12.4</v>
      </c>
      <c r="J263" s="455">
        <v>1.85</v>
      </c>
      <c r="K263" s="485"/>
      <c r="L263" s="433">
        <v>100</v>
      </c>
      <c r="M263" s="455">
        <v>84</v>
      </c>
      <c r="N263" s="484">
        <f>Weather!M264</f>
        <v>0</v>
      </c>
      <c r="O263" s="481" t="str">
        <f t="shared" si="187"/>
        <v/>
      </c>
      <c r="P263" s="4">
        <f t="shared" si="159"/>
        <v>1.7463882963650035</v>
      </c>
      <c r="Q263" s="169">
        <f t="shared" si="161"/>
        <v>2.0861546910058402</v>
      </c>
      <c r="R263" s="169">
        <f t="shared" si="162"/>
        <v>1.4399889496967868</v>
      </c>
      <c r="S263" s="169">
        <f t="shared" si="163"/>
        <v>1.7523699404449056</v>
      </c>
      <c r="T263" s="169">
        <f t="shared" si="164"/>
        <v>1.4399889496967868</v>
      </c>
      <c r="U263" s="169">
        <f t="shared" si="165"/>
        <v>1.5961794450708462</v>
      </c>
      <c r="V263" s="169">
        <f t="shared" si="166"/>
        <v>5.5622387527500622E-2</v>
      </c>
      <c r="W263" s="439">
        <f t="shared" si="167"/>
        <v>13.976604682229549</v>
      </c>
      <c r="X263" s="439">
        <f t="shared" si="168"/>
        <v>13.976604682229549</v>
      </c>
      <c r="Y263" s="169"/>
      <c r="Z263" s="119" t="str">
        <f t="shared" si="169"/>
        <v/>
      </c>
      <c r="AA263" s="4" t="str">
        <f t="shared" si="170"/>
        <v/>
      </c>
      <c r="AB263" s="466"/>
      <c r="AC263" s="466"/>
      <c r="AD263" s="466"/>
      <c r="AE263" s="466"/>
      <c r="AF263" s="466"/>
      <c r="AG263" s="466"/>
      <c r="AH263" s="466"/>
      <c r="AI263" s="466"/>
      <c r="AJ263" s="466"/>
      <c r="AK263" s="466"/>
      <c r="AL263" s="466"/>
      <c r="AM263" s="462">
        <f t="shared" si="171"/>
        <v>259</v>
      </c>
      <c r="AN263" s="32">
        <f t="shared" si="188"/>
        <v>0.99171072789180092</v>
      </c>
      <c r="AO263" s="32">
        <f t="shared" si="189"/>
        <v>2.9876671079227975E-2</v>
      </c>
      <c r="AP263" s="32">
        <f t="shared" si="190"/>
        <v>1.5998060061164145</v>
      </c>
      <c r="AQ263" s="32">
        <f t="shared" si="191"/>
        <v>12.221617625353455</v>
      </c>
      <c r="AR263" s="32">
        <f t="shared" si="192"/>
        <v>27.965323311577702</v>
      </c>
      <c r="AS263" s="32">
        <f t="shared" si="172"/>
        <v>20.994127516467614</v>
      </c>
      <c r="AT263" s="32">
        <f t="shared" si="173"/>
        <v>9.5135040000000011</v>
      </c>
      <c r="AU263" s="32">
        <f t="shared" si="174"/>
        <v>0.58850742858014393</v>
      </c>
      <c r="AV263" s="32">
        <f t="shared" si="175"/>
        <v>0.44448502858319439</v>
      </c>
      <c r="AW263" s="32">
        <f t="shared" si="176"/>
        <v>2.0861546910058402</v>
      </c>
      <c r="AX263" s="32">
        <f t="shared" si="177"/>
        <v>1.4399889496967868</v>
      </c>
      <c r="AY263" s="32">
        <f t="shared" si="178"/>
        <v>1.596179445070846</v>
      </c>
      <c r="AZ263" s="32">
        <f t="shared" si="193"/>
        <v>0.16312400636777025</v>
      </c>
      <c r="BA263" s="32">
        <f t="shared" si="179"/>
        <v>-2.4605010286570264</v>
      </c>
      <c r="BB263" s="32">
        <f t="shared" si="194"/>
        <v>7.0530029713429752</v>
      </c>
      <c r="BC263" s="32">
        <f t="shared" si="180"/>
        <v>15.285</v>
      </c>
      <c r="BD263" s="32">
        <v>0</v>
      </c>
      <c r="BE263" s="32">
        <f t="shared" si="195"/>
        <v>1.7630718203513136</v>
      </c>
      <c r="BF263" s="32">
        <f t="shared" si="196"/>
        <v>0.16689237528046763</v>
      </c>
      <c r="BG263" s="32">
        <f t="shared" si="197"/>
        <v>0.11159250610193293</v>
      </c>
      <c r="BH263" s="32">
        <f t="shared" si="181"/>
        <v>1.4535683094670075</v>
      </c>
      <c r="BI263" s="32">
        <f t="shared" si="182"/>
        <v>0.29281998689799593</v>
      </c>
      <c r="BJ263" s="32">
        <f t="shared" si="183"/>
        <v>1.7463882963650035</v>
      </c>
      <c r="BK263" s="457">
        <f t="shared" si="184"/>
        <v>2.0864147381115896</v>
      </c>
      <c r="BL263" s="2"/>
    </row>
    <row r="264" spans="1:64" ht="15">
      <c r="A264" s="119"/>
      <c r="B264" s="480">
        <f>Input!B281</f>
        <v>38246</v>
      </c>
      <c r="C264" s="481">
        <v>1</v>
      </c>
      <c r="D264" s="481">
        <f t="shared" si="185"/>
        <v>9</v>
      </c>
      <c r="E264" s="481">
        <f t="shared" si="186"/>
        <v>16</v>
      </c>
      <c r="F264" s="481">
        <f t="shared" si="160"/>
        <v>260</v>
      </c>
      <c r="G264" s="431">
        <v>12.6144</v>
      </c>
      <c r="H264" s="455">
        <v>18.760000000000002</v>
      </c>
      <c r="I264" s="455">
        <v>11.4</v>
      </c>
      <c r="J264" s="455">
        <v>1.2</v>
      </c>
      <c r="K264" s="485"/>
      <c r="L264" s="433">
        <v>100</v>
      </c>
      <c r="M264" s="455">
        <v>87</v>
      </c>
      <c r="N264" s="484">
        <f>Weather!M265</f>
        <v>0</v>
      </c>
      <c r="O264" s="481" t="str">
        <f t="shared" si="187"/>
        <v/>
      </c>
      <c r="P264" s="4">
        <f t="shared" si="159"/>
        <v>1.7418765144277353</v>
      </c>
      <c r="Q264" s="169">
        <f t="shared" si="161"/>
        <v>2.1647068195354815</v>
      </c>
      <c r="R264" s="169">
        <f t="shared" si="162"/>
        <v>1.3480279711634873</v>
      </c>
      <c r="S264" s="169">
        <f t="shared" si="163"/>
        <v>1.8832949329958688</v>
      </c>
      <c r="T264" s="169">
        <f t="shared" si="164"/>
        <v>1.3480279711634873</v>
      </c>
      <c r="U264" s="169">
        <f t="shared" si="165"/>
        <v>1.6156614520796779</v>
      </c>
      <c r="V264" s="169">
        <f t="shared" si="166"/>
        <v>5.6324849236447878E-2</v>
      </c>
      <c r="W264" s="439">
        <f t="shared" si="167"/>
        <v>14.163652304497365</v>
      </c>
      <c r="X264" s="439">
        <f t="shared" si="168"/>
        <v>14.163652304497365</v>
      </c>
      <c r="Y264" s="169"/>
      <c r="Z264" s="119" t="str">
        <f t="shared" si="169"/>
        <v/>
      </c>
      <c r="AA264" s="4" t="str">
        <f t="shared" si="170"/>
        <v/>
      </c>
      <c r="AB264" s="466"/>
      <c r="AC264" s="466"/>
      <c r="AD264" s="466"/>
      <c r="AE264" s="466"/>
      <c r="AF264" s="466"/>
      <c r="AG264" s="466"/>
      <c r="AH264" s="466"/>
      <c r="AI264" s="466"/>
      <c r="AJ264" s="466"/>
      <c r="AK264" s="466"/>
      <c r="AL264" s="466"/>
      <c r="AM264" s="462">
        <f t="shared" si="171"/>
        <v>260</v>
      </c>
      <c r="AN264" s="32">
        <f t="shared" si="188"/>
        <v>0.99226178414417643</v>
      </c>
      <c r="AO264" s="32">
        <f t="shared" si="189"/>
        <v>2.2850790490871208E-2</v>
      </c>
      <c r="AP264" s="32">
        <f t="shared" si="190"/>
        <v>1.5929799770147881</v>
      </c>
      <c r="AQ264" s="32">
        <f t="shared" si="191"/>
        <v>12.169470604239233</v>
      </c>
      <c r="AR264" s="32">
        <f t="shared" si="192"/>
        <v>27.694585173948578</v>
      </c>
      <c r="AS264" s="32">
        <f t="shared" si="172"/>
        <v>20.79087898178668</v>
      </c>
      <c r="AT264" s="32">
        <f t="shared" si="173"/>
        <v>9.7130880000000008</v>
      </c>
      <c r="AU264" s="32">
        <f t="shared" si="174"/>
        <v>0.60672759487708638</v>
      </c>
      <c r="AV264" s="32">
        <f t="shared" si="175"/>
        <v>0.4690822530840667</v>
      </c>
      <c r="AW264" s="32">
        <f t="shared" si="176"/>
        <v>2.1647068195354815</v>
      </c>
      <c r="AX264" s="32">
        <f t="shared" si="177"/>
        <v>1.3480279711634873</v>
      </c>
      <c r="AY264" s="32">
        <f t="shared" si="178"/>
        <v>1.6156614520796777</v>
      </c>
      <c r="AZ264" s="32">
        <f t="shared" si="193"/>
        <v>0.16204785907227282</v>
      </c>
      <c r="BA264" s="32">
        <f t="shared" si="179"/>
        <v>-2.5731771137505062</v>
      </c>
      <c r="BB264" s="32">
        <f t="shared" si="194"/>
        <v>7.1399108862494947</v>
      </c>
      <c r="BC264" s="32">
        <f t="shared" si="180"/>
        <v>15.080000000000002</v>
      </c>
      <c r="BD264" s="32">
        <v>0</v>
      </c>
      <c r="BE264" s="32">
        <f t="shared" si="195"/>
        <v>1.7563673953494843</v>
      </c>
      <c r="BF264" s="32">
        <f t="shared" si="196"/>
        <v>0.14070594326980657</v>
      </c>
      <c r="BG264" s="32">
        <f t="shared" si="197"/>
        <v>0.11031046549188851</v>
      </c>
      <c r="BH264" s="32">
        <f t="shared" si="181"/>
        <v>1.5690192867495376</v>
      </c>
      <c r="BI264" s="32">
        <f t="shared" si="182"/>
        <v>0.17285722767819772</v>
      </c>
      <c r="BJ264" s="32">
        <f t="shared" si="183"/>
        <v>1.7418765144277353</v>
      </c>
      <c r="BK264" s="457">
        <f t="shared" si="184"/>
        <v>2.3191419519132057</v>
      </c>
      <c r="BL264" s="2"/>
    </row>
    <row r="265" spans="1:64" ht="15">
      <c r="A265" s="119"/>
      <c r="B265" s="480">
        <f>Input!B282</f>
        <v>38247</v>
      </c>
      <c r="C265" s="481">
        <v>1</v>
      </c>
      <c r="D265" s="481">
        <f t="shared" si="185"/>
        <v>9</v>
      </c>
      <c r="E265" s="481">
        <f t="shared" si="186"/>
        <v>17</v>
      </c>
      <c r="F265" s="481">
        <f t="shared" si="160"/>
        <v>261</v>
      </c>
      <c r="G265" s="431">
        <v>9.7631999999999994</v>
      </c>
      <c r="H265" s="455">
        <v>18.82</v>
      </c>
      <c r="I265" s="455">
        <v>12.5</v>
      </c>
      <c r="J265" s="455">
        <v>0.95</v>
      </c>
      <c r="K265" s="485"/>
      <c r="L265" s="433">
        <v>100</v>
      </c>
      <c r="M265" s="455">
        <v>86</v>
      </c>
      <c r="N265" s="484">
        <f>Weather!M266</f>
        <v>0</v>
      </c>
      <c r="O265" s="481" t="str">
        <f t="shared" si="187"/>
        <v/>
      </c>
      <c r="P265" s="4">
        <f t="shared" ref="P265:P328" si="198">BJ265</f>
        <v>1.510606778004419</v>
      </c>
      <c r="Q265" s="169">
        <f t="shared" si="161"/>
        <v>2.1728382994346496</v>
      </c>
      <c r="R265" s="169">
        <f t="shared" si="162"/>
        <v>1.4494811248284514</v>
      </c>
      <c r="S265" s="169">
        <f t="shared" si="163"/>
        <v>1.8686409375137987</v>
      </c>
      <c r="T265" s="169">
        <f t="shared" si="164"/>
        <v>1.4494811248284514</v>
      </c>
      <c r="U265" s="169">
        <f t="shared" si="165"/>
        <v>1.6590610311711251</v>
      </c>
      <c r="V265" s="169">
        <f t="shared" si="166"/>
        <v>5.7859728088966292E-2</v>
      </c>
      <c r="W265" s="439">
        <f t="shared" si="167"/>
        <v>14.573321919104036</v>
      </c>
      <c r="X265" s="439">
        <f t="shared" si="168"/>
        <v>14.573321919104036</v>
      </c>
      <c r="Y265" s="169"/>
      <c r="Z265" s="119" t="str">
        <f t="shared" si="169"/>
        <v/>
      </c>
      <c r="AA265" s="4" t="str">
        <f t="shared" si="170"/>
        <v/>
      </c>
      <c r="AB265" s="466"/>
      <c r="AC265" s="466"/>
      <c r="AD265" s="466"/>
      <c r="AE265" s="466"/>
      <c r="AF265" s="466"/>
      <c r="AG265" s="466"/>
      <c r="AH265" s="466"/>
      <c r="AI265" s="466"/>
      <c r="AJ265" s="466"/>
      <c r="AK265" s="466"/>
      <c r="AL265" s="466"/>
      <c r="AM265" s="462">
        <f t="shared" si="171"/>
        <v>261</v>
      </c>
      <c r="AN265" s="32">
        <f t="shared" si="188"/>
        <v>0.99281513339691441</v>
      </c>
      <c r="AO265" s="32">
        <f t="shared" si="189"/>
        <v>1.5818138720131186E-2</v>
      </c>
      <c r="AP265" s="32">
        <f t="shared" si="190"/>
        <v>1.5861505987523907</v>
      </c>
      <c r="AQ265" s="32">
        <f t="shared" si="191"/>
        <v>12.117297997421398</v>
      </c>
      <c r="AR265" s="32">
        <f t="shared" si="192"/>
        <v>27.42319476335269</v>
      </c>
      <c r="AS265" s="32">
        <f t="shared" si="172"/>
        <v>20.587140772744132</v>
      </c>
      <c r="AT265" s="32">
        <f t="shared" si="173"/>
        <v>7.5176639999999999</v>
      </c>
      <c r="AU265" s="32">
        <f t="shared" si="174"/>
        <v>0.47423778307892867</v>
      </c>
      <c r="AV265" s="32">
        <f t="shared" si="175"/>
        <v>0.29022100715655375</v>
      </c>
      <c r="AW265" s="32">
        <f t="shared" si="176"/>
        <v>2.1728382994346496</v>
      </c>
      <c r="AX265" s="32">
        <f t="shared" si="177"/>
        <v>1.4494811248284514</v>
      </c>
      <c r="AY265" s="32">
        <f t="shared" si="178"/>
        <v>1.6590610311711254</v>
      </c>
      <c r="AZ265" s="32">
        <f t="shared" si="193"/>
        <v>0.15967363972243534</v>
      </c>
      <c r="BA265" s="32">
        <f t="shared" si="179"/>
        <v>-1.580952787180687</v>
      </c>
      <c r="BB265" s="32">
        <f t="shared" si="194"/>
        <v>5.9367112128193131</v>
      </c>
      <c r="BC265" s="32">
        <f t="shared" si="180"/>
        <v>15.66</v>
      </c>
      <c r="BD265" s="32">
        <v>0</v>
      </c>
      <c r="BE265" s="32">
        <f t="shared" si="195"/>
        <v>1.8111597121315506</v>
      </c>
      <c r="BF265" s="32">
        <f t="shared" si="196"/>
        <v>0.15209868096042523</v>
      </c>
      <c r="BG265" s="32">
        <f t="shared" si="197"/>
        <v>0.11397047201151969</v>
      </c>
      <c r="BH265" s="32">
        <f t="shared" si="181"/>
        <v>1.3614899039883768</v>
      </c>
      <c r="BI265" s="32">
        <f t="shared" si="182"/>
        <v>0.14911687401604226</v>
      </c>
      <c r="BJ265" s="32">
        <f t="shared" si="183"/>
        <v>1.510606778004419</v>
      </c>
      <c r="BK265" s="457">
        <f t="shared" si="184"/>
        <v>2.1655303537366715</v>
      </c>
      <c r="BL265" s="2"/>
    </row>
    <row r="266" spans="1:64" ht="15">
      <c r="A266" s="119"/>
      <c r="B266" s="480">
        <f>Input!B283</f>
        <v>38248</v>
      </c>
      <c r="C266" s="481">
        <v>1</v>
      </c>
      <c r="D266" s="481">
        <f t="shared" si="185"/>
        <v>9</v>
      </c>
      <c r="E266" s="481">
        <f t="shared" si="186"/>
        <v>18</v>
      </c>
      <c r="F266" s="481">
        <f t="shared" si="160"/>
        <v>262</v>
      </c>
      <c r="G266" s="431">
        <v>15.984</v>
      </c>
      <c r="H266" s="455">
        <v>20</v>
      </c>
      <c r="I266" s="455">
        <v>11.9</v>
      </c>
      <c r="J266" s="455">
        <v>1.17</v>
      </c>
      <c r="K266" s="485"/>
      <c r="L266" s="433">
        <v>100</v>
      </c>
      <c r="M266" s="455">
        <v>87</v>
      </c>
      <c r="N266" s="484">
        <f>Weather!M267</f>
        <v>0</v>
      </c>
      <c r="O266" s="481" t="str">
        <f t="shared" si="187"/>
        <v/>
      </c>
      <c r="P266" s="4">
        <f t="shared" si="198"/>
        <v>2.0939021302323595</v>
      </c>
      <c r="Q266" s="169">
        <f t="shared" si="161"/>
        <v>2.3382812709274461</v>
      </c>
      <c r="R266" s="169">
        <f t="shared" si="162"/>
        <v>1.3933421778648425</v>
      </c>
      <c r="S266" s="169">
        <f t="shared" si="163"/>
        <v>2.0343047057068779</v>
      </c>
      <c r="T266" s="169">
        <f t="shared" si="164"/>
        <v>1.3933421778648425</v>
      </c>
      <c r="U266" s="169">
        <f t="shared" si="165"/>
        <v>1.7138234417858602</v>
      </c>
      <c r="V266" s="169">
        <f t="shared" si="166"/>
        <v>5.9740156980172786E-2</v>
      </c>
      <c r="W266" s="439">
        <f t="shared" si="167"/>
        <v>15.077044241158841</v>
      </c>
      <c r="X266" s="439">
        <f t="shared" si="168"/>
        <v>15.077044241158841</v>
      </c>
      <c r="Y266" s="169"/>
      <c r="Z266" s="119" t="str">
        <f t="shared" si="169"/>
        <v/>
      </c>
      <c r="AA266" s="4" t="str">
        <f t="shared" si="170"/>
        <v/>
      </c>
      <c r="AB266" s="466"/>
      <c r="AC266" s="466"/>
      <c r="AD266" s="466"/>
      <c r="AE266" s="466"/>
      <c r="AF266" s="466"/>
      <c r="AG266" s="466"/>
      <c r="AH266" s="466"/>
      <c r="AI266" s="466"/>
      <c r="AJ266" s="466"/>
      <c r="AK266" s="466"/>
      <c r="AL266" s="466"/>
      <c r="AM266" s="462">
        <f t="shared" si="171"/>
        <v>262</v>
      </c>
      <c r="AN266" s="32">
        <f t="shared" si="188"/>
        <v>0.99337061168068908</v>
      </c>
      <c r="AO266" s="32">
        <f t="shared" si="189"/>
        <v>8.7807996935049988E-3</v>
      </c>
      <c r="AP266" s="32">
        <f t="shared" si="190"/>
        <v>1.5793189060691464</v>
      </c>
      <c r="AQ266" s="32">
        <f t="shared" si="191"/>
        <v>12.065107709730691</v>
      </c>
      <c r="AR266" s="32">
        <f t="shared" si="192"/>
        <v>27.151243227942945</v>
      </c>
      <c r="AS266" s="32">
        <f t="shared" si="172"/>
        <v>20.382981316081331</v>
      </c>
      <c r="AT266" s="32">
        <f t="shared" si="173"/>
        <v>12.30768</v>
      </c>
      <c r="AU266" s="32">
        <f t="shared" si="174"/>
        <v>0.78418361632845557</v>
      </c>
      <c r="AV266" s="32">
        <f t="shared" si="175"/>
        <v>0.70864788204341511</v>
      </c>
      <c r="AW266" s="32">
        <f t="shared" si="176"/>
        <v>2.3382812709274461</v>
      </c>
      <c r="AX266" s="32">
        <f t="shared" si="177"/>
        <v>1.3933421778648425</v>
      </c>
      <c r="AY266" s="32">
        <f t="shared" si="178"/>
        <v>1.71382344178586</v>
      </c>
      <c r="AZ266" s="32">
        <f t="shared" si="193"/>
        <v>0.15672168851988283</v>
      </c>
      <c r="BA266" s="32">
        <f t="shared" si="179"/>
        <v>-3.8059155272782257</v>
      </c>
      <c r="BB266" s="32">
        <f t="shared" si="194"/>
        <v>8.5017644727217743</v>
      </c>
      <c r="BC266" s="32">
        <f t="shared" si="180"/>
        <v>15.95</v>
      </c>
      <c r="BD266" s="32">
        <v>0</v>
      </c>
      <c r="BE266" s="32">
        <f t="shared" si="195"/>
        <v>1.8658117243961443</v>
      </c>
      <c r="BF266" s="32">
        <f t="shared" si="196"/>
        <v>0.1519882826102843</v>
      </c>
      <c r="BG266" s="32">
        <f t="shared" si="197"/>
        <v>0.11583881379306359</v>
      </c>
      <c r="BH266" s="32">
        <f t="shared" si="181"/>
        <v>1.9165940881547967</v>
      </c>
      <c r="BI266" s="32">
        <f t="shared" si="182"/>
        <v>0.17730804207756287</v>
      </c>
      <c r="BJ266" s="32">
        <f t="shared" si="183"/>
        <v>2.0939021302323595</v>
      </c>
      <c r="BK266" s="457">
        <f t="shared" si="184"/>
        <v>2.4483176224589913</v>
      </c>
      <c r="BL266" s="2"/>
    </row>
    <row r="267" spans="1:64" ht="15">
      <c r="A267" s="119"/>
      <c r="B267" s="480">
        <f>Input!B284</f>
        <v>38249</v>
      </c>
      <c r="C267" s="481">
        <v>1</v>
      </c>
      <c r="D267" s="481">
        <f t="shared" si="185"/>
        <v>9</v>
      </c>
      <c r="E267" s="481">
        <f t="shared" si="186"/>
        <v>19</v>
      </c>
      <c r="F267" s="481">
        <f t="shared" si="160"/>
        <v>263</v>
      </c>
      <c r="G267" s="431">
        <v>15.4656</v>
      </c>
      <c r="H267" s="455">
        <v>18.510000000000002</v>
      </c>
      <c r="I267" s="455">
        <v>14.7</v>
      </c>
      <c r="J267" s="455">
        <v>1.6</v>
      </c>
      <c r="K267" s="485"/>
      <c r="L267" s="433">
        <v>100</v>
      </c>
      <c r="M267" s="455">
        <v>84</v>
      </c>
      <c r="N267" s="484">
        <f>Weather!M268</f>
        <v>0.2</v>
      </c>
      <c r="O267" s="481" t="str">
        <f t="shared" si="187"/>
        <v/>
      </c>
      <c r="P267" s="4">
        <f t="shared" si="198"/>
        <v>2.0557482287284605</v>
      </c>
      <c r="Q267" s="169">
        <f t="shared" si="161"/>
        <v>2.131111568656078</v>
      </c>
      <c r="R267" s="169">
        <f t="shared" si="162"/>
        <v>1.6726864071818137</v>
      </c>
      <c r="S267" s="169">
        <f t="shared" si="163"/>
        <v>1.7901337176711054</v>
      </c>
      <c r="T267" s="169">
        <f t="shared" si="164"/>
        <v>1.6726864071818137</v>
      </c>
      <c r="U267" s="169">
        <f t="shared" si="165"/>
        <v>1.7314100624264595</v>
      </c>
      <c r="V267" s="169">
        <f t="shared" si="166"/>
        <v>6.0331317148156031E-2</v>
      </c>
      <c r="W267" s="439">
        <f t="shared" si="167"/>
        <v>15.235818560864717</v>
      </c>
      <c r="X267" s="439">
        <f t="shared" si="168"/>
        <v>15.235818560864717</v>
      </c>
      <c r="Y267" s="169"/>
      <c r="Z267" s="119" t="str">
        <f t="shared" si="169"/>
        <v/>
      </c>
      <c r="AA267" s="4" t="str">
        <f t="shared" si="170"/>
        <v/>
      </c>
      <c r="AB267" s="466"/>
      <c r="AC267" s="466"/>
      <c r="AD267" s="466"/>
      <c r="AE267" s="466"/>
      <c r="AF267" s="466"/>
      <c r="AG267" s="466"/>
      <c r="AH267" s="466"/>
      <c r="AI267" s="466"/>
      <c r="AJ267" s="466"/>
      <c r="AK267" s="466"/>
      <c r="AL267" s="466"/>
      <c r="AM267" s="462">
        <f t="shared" si="171"/>
        <v>263</v>
      </c>
      <c r="AN267" s="32">
        <f t="shared" si="188"/>
        <v>0.99392805439529652</v>
      </c>
      <c r="AO267" s="32">
        <f t="shared" si="189"/>
        <v>1.7408587264248088E-3</v>
      </c>
      <c r="AP267" s="32">
        <f t="shared" si="190"/>
        <v>1.572485930036954</v>
      </c>
      <c r="AQ267" s="32">
        <f t="shared" si="191"/>
        <v>12.0129076179762</v>
      </c>
      <c r="AR267" s="32">
        <f t="shared" si="192"/>
        <v>26.878822593064019</v>
      </c>
      <c r="AS267" s="32">
        <f t="shared" si="172"/>
        <v>20.178469697065022</v>
      </c>
      <c r="AT267" s="32">
        <f t="shared" si="173"/>
        <v>11.908512</v>
      </c>
      <c r="AU267" s="32">
        <f t="shared" si="174"/>
        <v>0.766440678217015</v>
      </c>
      <c r="AV267" s="32">
        <f t="shared" si="175"/>
        <v>0.68469491559297035</v>
      </c>
      <c r="AW267" s="32">
        <f t="shared" si="176"/>
        <v>2.131111568656078</v>
      </c>
      <c r="AX267" s="32">
        <f t="shared" si="177"/>
        <v>1.6726864071818137</v>
      </c>
      <c r="AY267" s="32">
        <f t="shared" si="178"/>
        <v>1.7314100624264595</v>
      </c>
      <c r="AZ267" s="32">
        <f t="shared" si="193"/>
        <v>0.15578372161082343</v>
      </c>
      <c r="BA267" s="32">
        <f t="shared" si="179"/>
        <v>-3.6851199771291565</v>
      </c>
      <c r="BB267" s="32">
        <f t="shared" si="194"/>
        <v>8.2233920228708435</v>
      </c>
      <c r="BC267" s="32">
        <f t="shared" si="180"/>
        <v>16.605</v>
      </c>
      <c r="BD267" s="32">
        <v>0</v>
      </c>
      <c r="BE267" s="32">
        <f t="shared" si="195"/>
        <v>1.9018989879189458</v>
      </c>
      <c r="BF267" s="32">
        <f t="shared" si="196"/>
        <v>0.1704889254924864</v>
      </c>
      <c r="BG267" s="32">
        <f t="shared" si="197"/>
        <v>0.12015459537482684</v>
      </c>
      <c r="BH267" s="32">
        <f t="shared" si="181"/>
        <v>1.8015085972313869</v>
      </c>
      <c r="BI267" s="32">
        <f t="shared" si="182"/>
        <v>0.25423963149707346</v>
      </c>
      <c r="BJ267" s="32">
        <f t="shared" si="183"/>
        <v>2.0557482287284605</v>
      </c>
      <c r="BK267" s="457">
        <f t="shared" si="184"/>
        <v>1.6945564564433495</v>
      </c>
      <c r="BL267" s="2"/>
    </row>
    <row r="268" spans="1:64" ht="15">
      <c r="A268" s="119"/>
      <c r="B268" s="480">
        <f>Input!B285</f>
        <v>38250</v>
      </c>
      <c r="C268" s="481">
        <v>1</v>
      </c>
      <c r="D268" s="481">
        <f t="shared" si="185"/>
        <v>9</v>
      </c>
      <c r="E268" s="481">
        <f t="shared" si="186"/>
        <v>20</v>
      </c>
      <c r="F268" s="481">
        <f t="shared" si="160"/>
        <v>264</v>
      </c>
      <c r="G268" s="431">
        <v>14.9472</v>
      </c>
      <c r="H268" s="455">
        <v>16.760000000000002</v>
      </c>
      <c r="I268" s="455">
        <v>11.2</v>
      </c>
      <c r="J268" s="455">
        <v>1.73</v>
      </c>
      <c r="K268" s="485"/>
      <c r="L268" s="433">
        <v>100</v>
      </c>
      <c r="M268" s="455">
        <v>88</v>
      </c>
      <c r="N268" s="484">
        <f>Weather!M269</f>
        <v>0</v>
      </c>
      <c r="O268" s="481" t="str">
        <f t="shared" si="187"/>
        <v/>
      </c>
      <c r="P268" s="4">
        <f t="shared" si="198"/>
        <v>1.7686822371330457</v>
      </c>
      <c r="Q268" s="169">
        <f t="shared" si="161"/>
        <v>1.9084534554069001</v>
      </c>
      <c r="R268" s="169">
        <f t="shared" si="162"/>
        <v>1.3302680876001909</v>
      </c>
      <c r="S268" s="169">
        <f t="shared" si="163"/>
        <v>1.6794390407580722</v>
      </c>
      <c r="T268" s="169">
        <f t="shared" si="164"/>
        <v>1.3302680876001909</v>
      </c>
      <c r="U268" s="169">
        <f t="shared" si="165"/>
        <v>1.5048535641791316</v>
      </c>
      <c r="V268" s="169">
        <f t="shared" si="166"/>
        <v>5.2210845370923041E-2</v>
      </c>
      <c r="W268" s="439">
        <f t="shared" si="167"/>
        <v>13.072141146591614</v>
      </c>
      <c r="X268" s="439">
        <f t="shared" si="168"/>
        <v>13.072141146591614</v>
      </c>
      <c r="Y268" s="169"/>
      <c r="Z268" s="119" t="str">
        <f t="shared" si="169"/>
        <v/>
      </c>
      <c r="AA268" s="4" t="str">
        <f t="shared" si="170"/>
        <v/>
      </c>
      <c r="AB268" s="466"/>
      <c r="AC268" s="466"/>
      <c r="AD268" s="466"/>
      <c r="AE268" s="466"/>
      <c r="AF268" s="466"/>
      <c r="AG268" s="466"/>
      <c r="AH268" s="466"/>
      <c r="AI268" s="466"/>
      <c r="AJ268" s="466"/>
      <c r="AK268" s="466"/>
      <c r="AL268" s="466"/>
      <c r="AM268" s="462">
        <f t="shared" si="171"/>
        <v>264</v>
      </c>
      <c r="AN268" s="32">
        <f t="shared" si="188"/>
        <v>0.99448729635843003</v>
      </c>
      <c r="AO268" s="32">
        <f t="shared" si="189"/>
        <v>-5.2995980946671916E-3</v>
      </c>
      <c r="AP268" s="32">
        <f t="shared" si="190"/>
        <v>1.5656526996906983</v>
      </c>
      <c r="AQ268" s="32">
        <f t="shared" si="191"/>
        <v>11.96070558340538</v>
      </c>
      <c r="AR268" s="32">
        <f t="shared" si="192"/>
        <v>26.606025701655494</v>
      </c>
      <c r="AS268" s="32">
        <f t="shared" si="172"/>
        <v>19.973675614746814</v>
      </c>
      <c r="AT268" s="32">
        <f t="shared" si="173"/>
        <v>11.509344</v>
      </c>
      <c r="AU268" s="32">
        <f t="shared" si="174"/>
        <v>0.74834498608580069</v>
      </c>
      <c r="AV268" s="32">
        <f t="shared" si="175"/>
        <v>0.66026573121583099</v>
      </c>
      <c r="AW268" s="32">
        <f t="shared" si="176"/>
        <v>1.9084534554069001</v>
      </c>
      <c r="AX268" s="32">
        <f t="shared" si="177"/>
        <v>1.3302680876001909</v>
      </c>
      <c r="AY268" s="32">
        <f t="shared" si="178"/>
        <v>1.5048535641791319</v>
      </c>
      <c r="AZ268" s="32">
        <f t="shared" si="193"/>
        <v>0.16825853774376151</v>
      </c>
      <c r="BA268" s="32">
        <f t="shared" si="179"/>
        <v>-3.7021195195608145</v>
      </c>
      <c r="BB268" s="32">
        <f t="shared" si="194"/>
        <v>7.8072244804391859</v>
      </c>
      <c r="BC268" s="32">
        <f t="shared" si="180"/>
        <v>13.98</v>
      </c>
      <c r="BD268" s="32">
        <v>0</v>
      </c>
      <c r="BE268" s="32">
        <f t="shared" si="195"/>
        <v>1.6193607715035454</v>
      </c>
      <c r="BF268" s="32">
        <f t="shared" si="196"/>
        <v>0.11450720732441355</v>
      </c>
      <c r="BG268" s="32">
        <f t="shared" si="197"/>
        <v>0.10364288479528008</v>
      </c>
      <c r="BH268" s="32">
        <f t="shared" si="181"/>
        <v>1.5703571061340322</v>
      </c>
      <c r="BI268" s="32">
        <f t="shared" si="182"/>
        <v>0.1983251309990135</v>
      </c>
      <c r="BJ268" s="32">
        <f t="shared" si="183"/>
        <v>1.7686822371330457</v>
      </c>
      <c r="BK268" s="457">
        <f t="shared" si="184"/>
        <v>1.8716862357642803</v>
      </c>
      <c r="BL268" s="2"/>
    </row>
    <row r="269" spans="1:64" ht="15">
      <c r="A269" s="119"/>
      <c r="B269" s="480">
        <f>Input!B286</f>
        <v>38251</v>
      </c>
      <c r="C269" s="481">
        <v>1</v>
      </c>
      <c r="D269" s="481">
        <f t="shared" si="185"/>
        <v>9</v>
      </c>
      <c r="E269" s="481">
        <f t="shared" si="186"/>
        <v>21</v>
      </c>
      <c r="F269" s="481">
        <f t="shared" si="160"/>
        <v>265</v>
      </c>
      <c r="G269" s="431">
        <v>15.811199999999999</v>
      </c>
      <c r="H269" s="455">
        <v>16.38</v>
      </c>
      <c r="I269" s="455">
        <v>7.2</v>
      </c>
      <c r="J269" s="455">
        <v>1.4</v>
      </c>
      <c r="K269" s="485"/>
      <c r="L269" s="433">
        <v>100</v>
      </c>
      <c r="M269" s="455">
        <v>86</v>
      </c>
      <c r="N269" s="484">
        <f>Weather!M270</f>
        <v>0</v>
      </c>
      <c r="O269" s="481" t="str">
        <f t="shared" si="187"/>
        <v/>
      </c>
      <c r="P269" s="4">
        <f t="shared" si="198"/>
        <v>1.7556894234257725</v>
      </c>
      <c r="Q269" s="169">
        <f t="shared" si="161"/>
        <v>1.862892129429085</v>
      </c>
      <c r="R269" s="169">
        <f t="shared" si="162"/>
        <v>1.0157006922779299</v>
      </c>
      <c r="S269" s="169">
        <f t="shared" si="163"/>
        <v>1.6020872313090131</v>
      </c>
      <c r="T269" s="169">
        <f t="shared" si="164"/>
        <v>1.0157006922779299</v>
      </c>
      <c r="U269" s="169">
        <f t="shared" si="165"/>
        <v>1.3088939617934714</v>
      </c>
      <c r="V269" s="169">
        <f t="shared" si="166"/>
        <v>4.4132494629468576E-2</v>
      </c>
      <c r="W269" s="439">
        <f t="shared" si="167"/>
        <v>10.956163816357886</v>
      </c>
      <c r="X269" s="439">
        <f t="shared" si="168"/>
        <v>10.956163816357886</v>
      </c>
      <c r="Y269" s="169"/>
      <c r="Z269" s="119" t="str">
        <f t="shared" si="169"/>
        <v/>
      </c>
      <c r="AA269" s="4" t="str">
        <f t="shared" si="170"/>
        <v/>
      </c>
      <c r="AB269" s="466"/>
      <c r="AC269" s="466"/>
      <c r="AD269" s="466"/>
      <c r="AE269" s="466"/>
      <c r="AF269" s="466"/>
      <c r="AG269" s="466"/>
      <c r="AH269" s="466"/>
      <c r="AI269" s="466"/>
      <c r="AJ269" s="466"/>
      <c r="AK269" s="466"/>
      <c r="AL269" s="466"/>
      <c r="AM269" s="462">
        <f t="shared" si="171"/>
        <v>265</v>
      </c>
      <c r="AN269" s="32">
        <f t="shared" si="188"/>
        <v>0.99504817185462646</v>
      </c>
      <c r="AO269" s="32">
        <f t="shared" si="189"/>
        <v>-1.2338484530468685E-2</v>
      </c>
      <c r="AP269" s="32">
        <f t="shared" si="190"/>
        <v>1.5588202436613403</v>
      </c>
      <c r="AQ269" s="32">
        <f t="shared" si="191"/>
        <v>11.908509464179922</v>
      </c>
      <c r="AR269" s="32">
        <f t="shared" si="192"/>
        <v>26.332946152491548</v>
      </c>
      <c r="AS269" s="32">
        <f t="shared" si="172"/>
        <v>19.768669335598457</v>
      </c>
      <c r="AT269" s="32">
        <f t="shared" si="173"/>
        <v>12.174624</v>
      </c>
      <c r="AU269" s="32">
        <f t="shared" si="174"/>
        <v>0.79981104097522437</v>
      </c>
      <c r="AV269" s="32">
        <f t="shared" si="175"/>
        <v>0.72974490531655289</v>
      </c>
      <c r="AW269" s="32">
        <f t="shared" si="176"/>
        <v>1.862892129429085</v>
      </c>
      <c r="AX269" s="32">
        <f t="shared" si="177"/>
        <v>1.0157006922779299</v>
      </c>
      <c r="AY269" s="32">
        <f t="shared" si="178"/>
        <v>1.3088939617934712</v>
      </c>
      <c r="AZ269" s="32">
        <f t="shared" si="193"/>
        <v>0.17983033479727809</v>
      </c>
      <c r="BA269" s="32">
        <f t="shared" si="179"/>
        <v>-4.24540820513438</v>
      </c>
      <c r="BB269" s="32">
        <f t="shared" si="194"/>
        <v>7.9292157948656197</v>
      </c>
      <c r="BC269" s="32">
        <f t="shared" si="180"/>
        <v>11.79</v>
      </c>
      <c r="BD269" s="32">
        <v>0</v>
      </c>
      <c r="BE269" s="32">
        <f t="shared" si="195"/>
        <v>1.4392964108535073</v>
      </c>
      <c r="BF269" s="32">
        <f t="shared" si="196"/>
        <v>0.13040244906003617</v>
      </c>
      <c r="BG269" s="32">
        <f t="shared" si="197"/>
        <v>9.1383778100140353E-2</v>
      </c>
      <c r="BH269" s="32">
        <f t="shared" si="181"/>
        <v>1.5523723746092637</v>
      </c>
      <c r="BI269" s="32">
        <f t="shared" si="182"/>
        <v>0.20331704881650878</v>
      </c>
      <c r="BJ269" s="32">
        <f t="shared" si="183"/>
        <v>1.7556894234257725</v>
      </c>
      <c r="BK269" s="457">
        <f t="shared" si="184"/>
        <v>2.216294702965194</v>
      </c>
      <c r="BL269" s="2"/>
    </row>
    <row r="270" spans="1:64" ht="15">
      <c r="A270" s="119"/>
      <c r="B270" s="480">
        <f>Input!B287</f>
        <v>38252</v>
      </c>
      <c r="C270" s="481">
        <v>1</v>
      </c>
      <c r="D270" s="481">
        <f t="shared" si="185"/>
        <v>9</v>
      </c>
      <c r="E270" s="481">
        <f t="shared" si="186"/>
        <v>22</v>
      </c>
      <c r="F270" s="481">
        <f t="shared" si="160"/>
        <v>266</v>
      </c>
      <c r="G270" s="431">
        <v>11.3184</v>
      </c>
      <c r="H270" s="455">
        <v>18.04</v>
      </c>
      <c r="I270" s="455">
        <v>9.1999999999999993</v>
      </c>
      <c r="J270" s="455">
        <v>1.07</v>
      </c>
      <c r="K270" s="485"/>
      <c r="L270" s="433">
        <v>100</v>
      </c>
      <c r="M270" s="455">
        <v>86</v>
      </c>
      <c r="N270" s="484">
        <f>Weather!M271</f>
        <v>0</v>
      </c>
      <c r="O270" s="481" t="str">
        <f t="shared" si="187"/>
        <v/>
      </c>
      <c r="P270" s="4">
        <f t="shared" si="198"/>
        <v>1.5169243163561759</v>
      </c>
      <c r="Q270" s="169">
        <f t="shared" si="161"/>
        <v>2.0691859785297351</v>
      </c>
      <c r="R270" s="169">
        <f t="shared" si="162"/>
        <v>1.1636645634990301</v>
      </c>
      <c r="S270" s="169">
        <f t="shared" si="163"/>
        <v>1.7794999415355721</v>
      </c>
      <c r="T270" s="169">
        <f t="shared" si="164"/>
        <v>1.1636645634990301</v>
      </c>
      <c r="U270" s="169">
        <f t="shared" si="165"/>
        <v>1.471582252517301</v>
      </c>
      <c r="V270" s="169">
        <f t="shared" si="166"/>
        <v>5.0916264610449229E-2</v>
      </c>
      <c r="W270" s="439">
        <f t="shared" si="167"/>
        <v>12.730625488066527</v>
      </c>
      <c r="X270" s="439">
        <f t="shared" si="168"/>
        <v>12.730625488066527</v>
      </c>
      <c r="Y270" s="169"/>
      <c r="Z270" s="119" t="str">
        <f t="shared" si="169"/>
        <v/>
      </c>
      <c r="AA270" s="4" t="str">
        <f t="shared" si="170"/>
        <v/>
      </c>
      <c r="AB270" s="466"/>
      <c r="AC270" s="466"/>
      <c r="AD270" s="466"/>
      <c r="AE270" s="466"/>
      <c r="AF270" s="466"/>
      <c r="AG270" s="466"/>
      <c r="AH270" s="466"/>
      <c r="AI270" s="466"/>
      <c r="AJ270" s="466"/>
      <c r="AK270" s="466"/>
      <c r="AL270" s="466"/>
      <c r="AM270" s="462">
        <f t="shared" si="171"/>
        <v>266</v>
      </c>
      <c r="AN270" s="32">
        <f t="shared" si="188"/>
        <v>0.99561051468437156</v>
      </c>
      <c r="AO270" s="32">
        <f t="shared" si="189"/>
        <v>-1.9373714807017859E-2</v>
      </c>
      <c r="AP270" s="32">
        <f t="shared" si="190"/>
        <v>1.5519895918094122</v>
      </c>
      <c r="AQ270" s="32">
        <f t="shared" si="191"/>
        <v>11.856327127854764</v>
      </c>
      <c r="AR270" s="32">
        <f t="shared" si="192"/>
        <v>26.059678236368441</v>
      </c>
      <c r="AS270" s="32">
        <f t="shared" si="172"/>
        <v>19.563521645606517</v>
      </c>
      <c r="AT270" s="32">
        <f t="shared" si="173"/>
        <v>8.7151680000000002</v>
      </c>
      <c r="AU270" s="32">
        <f t="shared" si="174"/>
        <v>0.57854614343127908</v>
      </c>
      <c r="AV270" s="32">
        <f t="shared" si="175"/>
        <v>0.43103729363222687</v>
      </c>
      <c r="AW270" s="32">
        <f t="shared" si="176"/>
        <v>2.0691859785297351</v>
      </c>
      <c r="AX270" s="32">
        <f t="shared" si="177"/>
        <v>1.1636645634990301</v>
      </c>
      <c r="AY270" s="32">
        <f t="shared" si="178"/>
        <v>1.471582252517301</v>
      </c>
      <c r="AZ270" s="32">
        <f t="shared" si="193"/>
        <v>0.17016769403514803</v>
      </c>
      <c r="BA270" s="32">
        <f t="shared" si="179"/>
        <v>-2.4341174028828649</v>
      </c>
      <c r="BB270" s="32">
        <f t="shared" si="194"/>
        <v>6.2810505971171349</v>
      </c>
      <c r="BC270" s="32">
        <f t="shared" si="180"/>
        <v>13.62</v>
      </c>
      <c r="BD270" s="32">
        <v>0</v>
      </c>
      <c r="BE270" s="32">
        <f t="shared" si="195"/>
        <v>1.6164252710143825</v>
      </c>
      <c r="BF270" s="32">
        <f t="shared" si="196"/>
        <v>0.14484301849708148</v>
      </c>
      <c r="BG270" s="32">
        <f t="shared" si="197"/>
        <v>0.10153661396752023</v>
      </c>
      <c r="BH270" s="32">
        <f t="shared" si="181"/>
        <v>1.3477558886803653</v>
      </c>
      <c r="BI270" s="32">
        <f t="shared" si="182"/>
        <v>0.16916842767581056</v>
      </c>
      <c r="BJ270" s="32">
        <f t="shared" si="183"/>
        <v>1.5169243163561759</v>
      </c>
      <c r="BK270" s="457">
        <f t="shared" si="184"/>
        <v>2.2854046882913681</v>
      </c>
      <c r="BL270" s="2"/>
    </row>
    <row r="271" spans="1:64" ht="15">
      <c r="A271" s="119"/>
      <c r="B271" s="480">
        <f>Input!B288</f>
        <v>38253</v>
      </c>
      <c r="C271" s="481">
        <v>1</v>
      </c>
      <c r="D271" s="481">
        <f t="shared" si="185"/>
        <v>9</v>
      </c>
      <c r="E271" s="481">
        <f t="shared" si="186"/>
        <v>23</v>
      </c>
      <c r="F271" s="481">
        <f t="shared" si="160"/>
        <v>267</v>
      </c>
      <c r="G271" s="431">
        <v>12.441599999999999</v>
      </c>
      <c r="H271" s="455">
        <v>20.63</v>
      </c>
      <c r="I271" s="455">
        <v>16.600000000000001</v>
      </c>
      <c r="J271" s="455">
        <v>1.98</v>
      </c>
      <c r="K271" s="485"/>
      <c r="L271" s="433">
        <v>100</v>
      </c>
      <c r="M271" s="455">
        <v>83</v>
      </c>
      <c r="N271" s="484">
        <f>Weather!M272</f>
        <v>0</v>
      </c>
      <c r="O271" s="481" t="str">
        <f t="shared" si="187"/>
        <v/>
      </c>
      <c r="P271" s="4">
        <f t="shared" si="198"/>
        <v>1.8826041136831777</v>
      </c>
      <c r="Q271" s="169">
        <f t="shared" si="161"/>
        <v>2.4310413078164586</v>
      </c>
      <c r="R271" s="169">
        <f t="shared" si="162"/>
        <v>1.889152127641528</v>
      </c>
      <c r="S271" s="169">
        <f t="shared" si="163"/>
        <v>2.0177642854876603</v>
      </c>
      <c r="T271" s="169">
        <f t="shared" si="164"/>
        <v>1.889152127641528</v>
      </c>
      <c r="U271" s="169">
        <f t="shared" si="165"/>
        <v>1.9534582065645942</v>
      </c>
      <c r="V271" s="169">
        <f t="shared" si="166"/>
        <v>6.7318294544906523E-2</v>
      </c>
      <c r="W271" s="439">
        <f t="shared" si="167"/>
        <v>17.127634435277837</v>
      </c>
      <c r="X271" s="439">
        <f t="shared" si="168"/>
        <v>17.127634435277837</v>
      </c>
      <c r="Y271" s="169"/>
      <c r="Z271" s="119" t="str">
        <f t="shared" si="169"/>
        <v/>
      </c>
      <c r="AA271" s="4" t="str">
        <f t="shared" si="170"/>
        <v/>
      </c>
      <c r="AB271" s="466"/>
      <c r="AC271" s="466"/>
      <c r="AD271" s="466"/>
      <c r="AE271" s="466"/>
      <c r="AF271" s="466"/>
      <c r="AG271" s="466"/>
      <c r="AH271" s="466"/>
      <c r="AI271" s="466"/>
      <c r="AJ271" s="466"/>
      <c r="AK271" s="466"/>
      <c r="AL271" s="466"/>
      <c r="AM271" s="462">
        <f t="shared" si="171"/>
        <v>267</v>
      </c>
      <c r="AN271" s="32">
        <f t="shared" si="188"/>
        <v>0.99617415821334843</v>
      </c>
      <c r="AO271" s="32">
        <f t="shared" si="189"/>
        <v>-2.6403204233750699E-2</v>
      </c>
      <c r="AP271" s="32">
        <f t="shared" si="190"/>
        <v>1.5451617768572676</v>
      </c>
      <c r="AQ271" s="32">
        <f t="shared" si="191"/>
        <v>11.804166463847535</v>
      </c>
      <c r="AR271" s="32">
        <f t="shared" si="192"/>
        <v>25.786316870357926</v>
      </c>
      <c r="AS271" s="32">
        <f t="shared" si="172"/>
        <v>19.358303800915102</v>
      </c>
      <c r="AT271" s="32">
        <f t="shared" si="173"/>
        <v>9.5800319999999992</v>
      </c>
      <c r="AU271" s="32">
        <f t="shared" si="174"/>
        <v>0.64270093743501755</v>
      </c>
      <c r="AV271" s="32">
        <f t="shared" si="175"/>
        <v>0.51764626553727378</v>
      </c>
      <c r="AW271" s="32">
        <f t="shared" si="176"/>
        <v>2.4310413078164586</v>
      </c>
      <c r="AX271" s="32">
        <f t="shared" si="177"/>
        <v>1.889152127641528</v>
      </c>
      <c r="AY271" s="32">
        <f t="shared" si="178"/>
        <v>1.9534582065645949</v>
      </c>
      <c r="AZ271" s="32">
        <f t="shared" si="193"/>
        <v>0.14432736305587832</v>
      </c>
      <c r="BA271" s="32">
        <f t="shared" si="179"/>
        <v>-2.6535964782693315</v>
      </c>
      <c r="BB271" s="32">
        <f t="shared" si="194"/>
        <v>6.9264355217306672</v>
      </c>
      <c r="BC271" s="32">
        <f t="shared" si="180"/>
        <v>18.615000000000002</v>
      </c>
      <c r="BD271" s="32">
        <v>0</v>
      </c>
      <c r="BE271" s="32">
        <f t="shared" si="195"/>
        <v>2.1600967177289934</v>
      </c>
      <c r="BF271" s="32">
        <f t="shared" si="196"/>
        <v>0.20663851116439846</v>
      </c>
      <c r="BG271" s="32">
        <f t="shared" si="197"/>
        <v>0.13426018919670479</v>
      </c>
      <c r="BH271" s="32">
        <f t="shared" si="181"/>
        <v>1.5388848589992332</v>
      </c>
      <c r="BI271" s="32">
        <f t="shared" si="182"/>
        <v>0.3437192546839446</v>
      </c>
      <c r="BJ271" s="32">
        <f t="shared" si="183"/>
        <v>1.8826041136831777</v>
      </c>
      <c r="BK271" s="457">
        <f t="shared" si="184"/>
        <v>1.7696358349004113</v>
      </c>
      <c r="BL271" s="2"/>
    </row>
    <row r="272" spans="1:64" ht="15">
      <c r="A272" s="119"/>
      <c r="B272" s="480">
        <f>Input!B289</f>
        <v>38254</v>
      </c>
      <c r="C272" s="481">
        <v>1</v>
      </c>
      <c r="D272" s="481">
        <f t="shared" si="185"/>
        <v>9</v>
      </c>
      <c r="E272" s="481">
        <f t="shared" si="186"/>
        <v>24</v>
      </c>
      <c r="F272" s="481">
        <f t="shared" si="160"/>
        <v>268</v>
      </c>
      <c r="G272" s="431">
        <v>1.3824000000000001</v>
      </c>
      <c r="H272" s="455">
        <v>20.73</v>
      </c>
      <c r="I272" s="455">
        <v>15.7</v>
      </c>
      <c r="J272" s="455">
        <v>2.36</v>
      </c>
      <c r="K272" s="485"/>
      <c r="L272" s="433">
        <v>100</v>
      </c>
      <c r="M272" s="455">
        <v>85</v>
      </c>
      <c r="N272" s="484">
        <f>Weather!M273</f>
        <v>0</v>
      </c>
      <c r="O272" s="481" t="str">
        <f t="shared" si="187"/>
        <v/>
      </c>
      <c r="P272" s="4">
        <f t="shared" si="198"/>
        <v>0.52196974349221081</v>
      </c>
      <c r="Q272" s="169">
        <f t="shared" si="161"/>
        <v>2.4460570971186821</v>
      </c>
      <c r="R272" s="169">
        <f t="shared" si="162"/>
        <v>1.7837358312436735</v>
      </c>
      <c r="S272" s="169">
        <f t="shared" si="163"/>
        <v>2.0791485325508798</v>
      </c>
      <c r="T272" s="169">
        <f t="shared" si="164"/>
        <v>1.7837358312436735</v>
      </c>
      <c r="U272" s="169">
        <f t="shared" si="165"/>
        <v>1.9314421818972767</v>
      </c>
      <c r="V272" s="169">
        <f t="shared" si="166"/>
        <v>6.6661996179075936E-2</v>
      </c>
      <c r="W272" s="439">
        <f t="shared" si="167"/>
        <v>16.948727715505978</v>
      </c>
      <c r="X272" s="439">
        <f t="shared" si="168"/>
        <v>16.948727715505978</v>
      </c>
      <c r="Y272" s="169"/>
      <c r="Z272" s="119" t="str">
        <f t="shared" si="169"/>
        <v/>
      </c>
      <c r="AA272" s="4" t="str">
        <f t="shared" si="170"/>
        <v/>
      </c>
      <c r="AB272" s="466"/>
      <c r="AC272" s="466"/>
      <c r="AD272" s="466"/>
      <c r="AE272" s="466"/>
      <c r="AF272" s="466"/>
      <c r="AG272" s="466"/>
      <c r="AH272" s="466"/>
      <c r="AI272" s="466"/>
      <c r="AJ272" s="466"/>
      <c r="AK272" s="466"/>
      <c r="AL272" s="466"/>
      <c r="AM272" s="462">
        <f t="shared" si="171"/>
        <v>268</v>
      </c>
      <c r="AN272" s="32">
        <f t="shared" si="188"/>
        <v>0.99673893542181524</v>
      </c>
      <c r="AO272" s="32">
        <f t="shared" si="189"/>
        <v>-3.3424869821240911E-2</v>
      </c>
      <c r="AP272" s="32">
        <f t="shared" si="190"/>
        <v>1.5383378360184039</v>
      </c>
      <c r="AQ272" s="32">
        <f t="shared" si="191"/>
        <v>11.752035395885688</v>
      </c>
      <c r="AR272" s="32">
        <f t="shared" si="192"/>
        <v>25.512957530249761</v>
      </c>
      <c r="AS272" s="32">
        <f t="shared" si="172"/>
        <v>19.1530874771091</v>
      </c>
      <c r="AT272" s="32">
        <f t="shared" si="173"/>
        <v>1.0644480000000001</v>
      </c>
      <c r="AU272" s="32">
        <f t="shared" si="174"/>
        <v>0.3</v>
      </c>
      <c r="AV272" s="32">
        <f t="shared" si="175"/>
        <v>5.5000000000000049E-2</v>
      </c>
      <c r="AW272" s="32">
        <f t="shared" si="176"/>
        <v>2.4460570971186821</v>
      </c>
      <c r="AX272" s="32">
        <f t="shared" si="177"/>
        <v>1.7837358312436735</v>
      </c>
      <c r="AY272" s="32">
        <f t="shared" si="178"/>
        <v>1.931442181897276</v>
      </c>
      <c r="AZ272" s="32">
        <f t="shared" si="193"/>
        <v>0.14543313035054861</v>
      </c>
      <c r="BA272" s="32">
        <f t="shared" si="179"/>
        <v>-0.2825958341577603</v>
      </c>
      <c r="BB272" s="32">
        <f t="shared" si="194"/>
        <v>0.78185216584223971</v>
      </c>
      <c r="BC272" s="32">
        <f t="shared" si="180"/>
        <v>18.215</v>
      </c>
      <c r="BD272" s="32">
        <v>0</v>
      </c>
      <c r="BE272" s="32">
        <f t="shared" si="195"/>
        <v>2.1148964641811778</v>
      </c>
      <c r="BF272" s="32">
        <f t="shared" si="196"/>
        <v>0.18345428228390182</v>
      </c>
      <c r="BG272" s="32">
        <f t="shared" si="197"/>
        <v>0.13134652482748049</v>
      </c>
      <c r="BH272" s="32">
        <f t="shared" si="181"/>
        <v>0.16606098245283102</v>
      </c>
      <c r="BI272" s="32">
        <f t="shared" si="182"/>
        <v>0.35590876103937985</v>
      </c>
      <c r="BJ272" s="32">
        <f t="shared" si="183"/>
        <v>0.52196974349221081</v>
      </c>
      <c r="BK272" s="457">
        <f t="shared" si="184"/>
        <v>1.9345945919766123</v>
      </c>
      <c r="BL272" s="2"/>
    </row>
    <row r="273" spans="1:64" ht="15">
      <c r="A273" s="119"/>
      <c r="B273" s="480">
        <f>Input!B290</f>
        <v>38255</v>
      </c>
      <c r="C273" s="481">
        <v>1</v>
      </c>
      <c r="D273" s="481">
        <f t="shared" si="185"/>
        <v>9</v>
      </c>
      <c r="E273" s="481">
        <f t="shared" si="186"/>
        <v>25</v>
      </c>
      <c r="F273" s="481">
        <f t="shared" si="160"/>
        <v>269</v>
      </c>
      <c r="G273" s="431">
        <v>10.1952</v>
      </c>
      <c r="H273" s="455">
        <v>19.84</v>
      </c>
      <c r="I273" s="455">
        <v>12</v>
      </c>
      <c r="J273" s="455">
        <v>1.96</v>
      </c>
      <c r="K273" s="485"/>
      <c r="L273" s="433">
        <v>100</v>
      </c>
      <c r="M273" s="455">
        <v>88</v>
      </c>
      <c r="N273" s="484">
        <f>Weather!M274</f>
        <v>2.2000000000000002</v>
      </c>
      <c r="O273" s="481" t="str">
        <f t="shared" si="187"/>
        <v/>
      </c>
      <c r="P273" s="4">
        <f t="shared" si="198"/>
        <v>1.4602956391032043</v>
      </c>
      <c r="Q273" s="169">
        <f t="shared" si="161"/>
        <v>2.3152219189588616</v>
      </c>
      <c r="R273" s="169">
        <f t="shared" si="162"/>
        <v>1.4025638730469563</v>
      </c>
      <c r="S273" s="169">
        <f t="shared" si="163"/>
        <v>2.0373952886837983</v>
      </c>
      <c r="T273" s="169">
        <f t="shared" si="164"/>
        <v>1.4025638730469563</v>
      </c>
      <c r="U273" s="169">
        <f t="shared" si="165"/>
        <v>1.7199795808653773</v>
      </c>
      <c r="V273" s="169">
        <f t="shared" si="166"/>
        <v>5.9947777927194933E-2</v>
      </c>
      <c r="W273" s="439">
        <f t="shared" si="167"/>
        <v>15.132784507179874</v>
      </c>
      <c r="X273" s="439">
        <f t="shared" si="168"/>
        <v>15.132784507179874</v>
      </c>
      <c r="Y273" s="169"/>
      <c r="Z273" s="119" t="str">
        <f t="shared" si="169"/>
        <v/>
      </c>
      <c r="AA273" s="4" t="str">
        <f t="shared" si="170"/>
        <v/>
      </c>
      <c r="AB273" s="466"/>
      <c r="AC273" s="466"/>
      <c r="AD273" s="466"/>
      <c r="AE273" s="466"/>
      <c r="AF273" s="466"/>
      <c r="AG273" s="466"/>
      <c r="AH273" s="466"/>
      <c r="AI273" s="466"/>
      <c r="AJ273" s="466"/>
      <c r="AK273" s="466"/>
      <c r="AL273" s="466"/>
      <c r="AM273" s="462">
        <f t="shared" si="171"/>
        <v>269</v>
      </c>
      <c r="AN273" s="32">
        <f t="shared" si="188"/>
        <v>0.99730467895409602</v>
      </c>
      <c r="AO273" s="32">
        <f t="shared" si="189"/>
        <v>-4.0436630898435667E-2</v>
      </c>
      <c r="AP273" s="32">
        <f t="shared" si="190"/>
        <v>1.5315188126221735</v>
      </c>
      <c r="AQ273" s="32">
        <f t="shared" si="191"/>
        <v>11.699941894418359</v>
      </c>
      <c r="AR273" s="32">
        <f t="shared" si="192"/>
        <v>25.239696181312599</v>
      </c>
      <c r="AS273" s="32">
        <f t="shared" si="172"/>
        <v>18.947944717234996</v>
      </c>
      <c r="AT273" s="32">
        <f t="shared" si="173"/>
        <v>7.8503040000000004</v>
      </c>
      <c r="AU273" s="32">
        <f t="shared" si="174"/>
        <v>0.53806363445458416</v>
      </c>
      <c r="AV273" s="32">
        <f t="shared" si="175"/>
        <v>0.37638590651368864</v>
      </c>
      <c r="AW273" s="32">
        <f t="shared" si="176"/>
        <v>2.3152219189588616</v>
      </c>
      <c r="AX273" s="32">
        <f t="shared" si="177"/>
        <v>1.4025638730469563</v>
      </c>
      <c r="AY273" s="32">
        <f t="shared" si="178"/>
        <v>1.7199795808653771</v>
      </c>
      <c r="AZ273" s="32">
        <f t="shared" si="193"/>
        <v>0.15639281118387172</v>
      </c>
      <c r="BA273" s="32">
        <f t="shared" si="179"/>
        <v>-2.0162168646679057</v>
      </c>
      <c r="BB273" s="32">
        <f t="shared" si="194"/>
        <v>5.8340871353320942</v>
      </c>
      <c r="BC273" s="32">
        <f t="shared" si="180"/>
        <v>15.92</v>
      </c>
      <c r="BD273" s="32">
        <v>0</v>
      </c>
      <c r="BE273" s="32">
        <f t="shared" si="195"/>
        <v>1.858892896002909</v>
      </c>
      <c r="BF273" s="32">
        <f t="shared" si="196"/>
        <v>0.13891331513753191</v>
      </c>
      <c r="BG273" s="32">
        <f t="shared" si="197"/>
        <v>0.11564433902465522</v>
      </c>
      <c r="BH273" s="32">
        <f t="shared" si="181"/>
        <v>1.2100738535393278</v>
      </c>
      <c r="BI273" s="32">
        <f t="shared" si="182"/>
        <v>0.25022178556387642</v>
      </c>
      <c r="BJ273" s="32">
        <f t="shared" si="183"/>
        <v>1.4602956391032043</v>
      </c>
      <c r="BK273" s="457">
        <f t="shared" si="184"/>
        <v>2.2371312880432908</v>
      </c>
      <c r="BL273" s="2"/>
    </row>
    <row r="274" spans="1:64" ht="15">
      <c r="A274" s="119"/>
      <c r="B274" s="480">
        <f>Input!B291</f>
        <v>38256</v>
      </c>
      <c r="C274" s="481">
        <v>1</v>
      </c>
      <c r="D274" s="481">
        <f t="shared" si="185"/>
        <v>9</v>
      </c>
      <c r="E274" s="481">
        <f t="shared" si="186"/>
        <v>26</v>
      </c>
      <c r="F274" s="481">
        <f t="shared" si="160"/>
        <v>270</v>
      </c>
      <c r="G274" s="431">
        <v>15.552</v>
      </c>
      <c r="H274" s="455">
        <v>21.73</v>
      </c>
      <c r="I274" s="455">
        <v>16.600000000000001</v>
      </c>
      <c r="J274" s="455">
        <v>1.87</v>
      </c>
      <c r="K274" s="485"/>
      <c r="L274" s="433">
        <v>100</v>
      </c>
      <c r="M274" s="455">
        <v>80</v>
      </c>
      <c r="N274" s="484">
        <f>Weather!M275</f>
        <v>0.2</v>
      </c>
      <c r="O274" s="481" t="str">
        <f t="shared" si="187"/>
        <v/>
      </c>
      <c r="P274" s="4">
        <f t="shared" si="198"/>
        <v>2.2341226653855277</v>
      </c>
      <c r="Q274" s="169">
        <f t="shared" si="161"/>
        <v>2.600731662842283</v>
      </c>
      <c r="R274" s="169">
        <f t="shared" si="162"/>
        <v>1.889152127641528</v>
      </c>
      <c r="S274" s="169">
        <f t="shared" si="163"/>
        <v>2.0805853302738266</v>
      </c>
      <c r="T274" s="169">
        <f t="shared" si="164"/>
        <v>1.889152127641528</v>
      </c>
      <c r="U274" s="169">
        <f t="shared" si="165"/>
        <v>1.9848687289576774</v>
      </c>
      <c r="V274" s="169">
        <f t="shared" si="166"/>
        <v>6.8241950554867495E-2</v>
      </c>
      <c r="W274" s="439">
        <f t="shared" si="167"/>
        <v>17.379849711321057</v>
      </c>
      <c r="X274" s="439">
        <f t="shared" si="168"/>
        <v>17.379849711321057</v>
      </c>
      <c r="Y274" s="169"/>
      <c r="Z274" s="119" t="str">
        <f t="shared" si="169"/>
        <v/>
      </c>
      <c r="AA274" s="4" t="str">
        <f t="shared" si="170"/>
        <v/>
      </c>
      <c r="AB274" s="466"/>
      <c r="AC274" s="466"/>
      <c r="AD274" s="466"/>
      <c r="AE274" s="466"/>
      <c r="AF274" s="466"/>
      <c r="AG274" s="466"/>
      <c r="AH274" s="466"/>
      <c r="AI274" s="466"/>
      <c r="AJ274" s="466"/>
      <c r="AK274" s="466"/>
      <c r="AL274" s="466"/>
      <c r="AM274" s="462">
        <f t="shared" si="171"/>
        <v>270</v>
      </c>
      <c r="AN274" s="32">
        <f t="shared" si="188"/>
        <v>0.99787122116817251</v>
      </c>
      <c r="AO274" s="32">
        <f t="shared" si="189"/>
        <v>-4.7436409729200886E-2</v>
      </c>
      <c r="AP274" s="32">
        <f t="shared" si="190"/>
        <v>1.5247057577321614</v>
      </c>
      <c r="AQ274" s="32">
        <f t="shared" si="191"/>
        <v>11.647893988979872</v>
      </c>
      <c r="AR274" s="32">
        <f t="shared" si="192"/>
        <v>24.966629207508003</v>
      </c>
      <c r="AS274" s="32">
        <f t="shared" si="172"/>
        <v>18.742947878660409</v>
      </c>
      <c r="AT274" s="32">
        <f t="shared" si="173"/>
        <v>11.97504</v>
      </c>
      <c r="AU274" s="32">
        <f t="shared" si="174"/>
        <v>0.82975208065891115</v>
      </c>
      <c r="AV274" s="32">
        <f t="shared" si="175"/>
        <v>0.77016530888953005</v>
      </c>
      <c r="AW274" s="32">
        <f t="shared" si="176"/>
        <v>2.600731662842283</v>
      </c>
      <c r="AX274" s="32">
        <f t="shared" si="177"/>
        <v>1.889152127641528</v>
      </c>
      <c r="AY274" s="32">
        <f t="shared" si="178"/>
        <v>1.9848687289576776</v>
      </c>
      <c r="AZ274" s="32">
        <f t="shared" si="193"/>
        <v>0.14276048294631605</v>
      </c>
      <c r="BA274" s="32">
        <f t="shared" si="179"/>
        <v>-3.9354376758678922</v>
      </c>
      <c r="BB274" s="32">
        <f t="shared" si="194"/>
        <v>8.0396023241321082</v>
      </c>
      <c r="BC274" s="32">
        <f t="shared" si="180"/>
        <v>19.164999999999999</v>
      </c>
      <c r="BD274" s="32">
        <v>0</v>
      </c>
      <c r="BE274" s="32">
        <f t="shared" si="195"/>
        <v>2.2449418952419053</v>
      </c>
      <c r="BF274" s="32">
        <f t="shared" si="196"/>
        <v>0.26007316628422772</v>
      </c>
      <c r="BG274" s="32">
        <f t="shared" si="197"/>
        <v>0.13835574098033432</v>
      </c>
      <c r="BH274" s="32">
        <f t="shared" si="181"/>
        <v>1.8289293047339985</v>
      </c>
      <c r="BI274" s="32">
        <f t="shared" si="182"/>
        <v>0.40519336065152906</v>
      </c>
      <c r="BJ274" s="32">
        <f t="shared" si="183"/>
        <v>2.2341226653855277</v>
      </c>
      <c r="BK274" s="457">
        <f t="shared" si="184"/>
        <v>1.9623255391684704</v>
      </c>
      <c r="BL274" s="2"/>
    </row>
    <row r="275" spans="1:64" ht="15">
      <c r="A275" s="119"/>
      <c r="B275" s="480">
        <f>Input!B292</f>
        <v>38257</v>
      </c>
      <c r="C275" s="481">
        <v>1</v>
      </c>
      <c r="D275" s="481">
        <f t="shared" si="185"/>
        <v>9</v>
      </c>
      <c r="E275" s="481">
        <f t="shared" si="186"/>
        <v>27</v>
      </c>
      <c r="F275" s="481">
        <f t="shared" si="160"/>
        <v>271</v>
      </c>
      <c r="G275" s="431">
        <v>14.169600000000001</v>
      </c>
      <c r="H275" s="455">
        <v>21.5</v>
      </c>
      <c r="I275" s="455">
        <v>15.1</v>
      </c>
      <c r="J275" s="455">
        <v>1.73</v>
      </c>
      <c r="K275" s="485"/>
      <c r="L275" s="433">
        <v>100</v>
      </c>
      <c r="M275" s="455">
        <v>77</v>
      </c>
      <c r="N275" s="484">
        <f>Weather!M276</f>
        <v>0</v>
      </c>
      <c r="O275" s="481" t="str">
        <f t="shared" si="187"/>
        <v/>
      </c>
      <c r="P275" s="4">
        <f t="shared" si="198"/>
        <v>2.090242492287</v>
      </c>
      <c r="Q275" s="169">
        <f t="shared" si="161"/>
        <v>2.5644197206554633</v>
      </c>
      <c r="R275" s="169">
        <f t="shared" si="162"/>
        <v>1.7163564077019398</v>
      </c>
      <c r="S275" s="169">
        <f t="shared" si="163"/>
        <v>1.9746031849047068</v>
      </c>
      <c r="T275" s="169">
        <f t="shared" si="164"/>
        <v>1.7163564077019398</v>
      </c>
      <c r="U275" s="169">
        <f t="shared" si="165"/>
        <v>1.8454797963033234</v>
      </c>
      <c r="V275" s="169">
        <f t="shared" si="166"/>
        <v>6.402576731438113E-2</v>
      </c>
      <c r="W275" s="439">
        <f t="shared" si="167"/>
        <v>16.23262057130356</v>
      </c>
      <c r="X275" s="439">
        <f t="shared" si="168"/>
        <v>16.23262057130356</v>
      </c>
      <c r="Y275" s="169"/>
      <c r="Z275" s="119" t="str">
        <f t="shared" si="169"/>
        <v/>
      </c>
      <c r="AA275" s="4" t="str">
        <f t="shared" si="170"/>
        <v/>
      </c>
      <c r="AB275" s="466"/>
      <c r="AC275" s="466"/>
      <c r="AD275" s="466"/>
      <c r="AE275" s="466"/>
      <c r="AF275" s="466"/>
      <c r="AG275" s="466"/>
      <c r="AH275" s="466"/>
      <c r="AI275" s="466"/>
      <c r="AJ275" s="466"/>
      <c r="AK275" s="466"/>
      <c r="AL275" s="466"/>
      <c r="AM275" s="462">
        <f t="shared" si="171"/>
        <v>271</v>
      </c>
      <c r="AN275" s="32">
        <f t="shared" si="188"/>
        <v>0.99843839418535973</v>
      </c>
      <c r="AO275" s="32">
        <f t="shared" si="189"/>
        <v>-5.4422132128002149E-2</v>
      </c>
      <c r="AP275" s="32">
        <f t="shared" si="190"/>
        <v>1.5178997317564558</v>
      </c>
      <c r="AQ275" s="32">
        <f t="shared" si="191"/>
        <v>11.59589978049129</v>
      </c>
      <c r="AR275" s="32">
        <f t="shared" si="192"/>
        <v>24.693853339296343</v>
      </c>
      <c r="AS275" s="32">
        <f t="shared" si="172"/>
        <v>18.538169578876552</v>
      </c>
      <c r="AT275" s="32">
        <f t="shared" si="173"/>
        <v>10.910592000000001</v>
      </c>
      <c r="AU275" s="32">
        <f t="shared" si="174"/>
        <v>0.76434730730619982</v>
      </c>
      <c r="AV275" s="32">
        <f t="shared" si="175"/>
        <v>0.68186886486336984</v>
      </c>
      <c r="AW275" s="32">
        <f t="shared" si="176"/>
        <v>2.5644197206554633</v>
      </c>
      <c r="AX275" s="32">
        <f t="shared" si="177"/>
        <v>1.7163564077019398</v>
      </c>
      <c r="AY275" s="32">
        <f t="shared" si="178"/>
        <v>1.8454797963033238</v>
      </c>
      <c r="AZ275" s="32">
        <f t="shared" si="193"/>
        <v>0.1498121875420374</v>
      </c>
      <c r="BA275" s="32">
        <f t="shared" si="179"/>
        <v>-3.6142180116950673</v>
      </c>
      <c r="BB275" s="32">
        <f t="shared" si="194"/>
        <v>7.2963739883049339</v>
      </c>
      <c r="BC275" s="32">
        <f t="shared" si="180"/>
        <v>18.3</v>
      </c>
      <c r="BD275" s="32">
        <v>0</v>
      </c>
      <c r="BE275" s="32">
        <f t="shared" si="195"/>
        <v>2.1403880641787016</v>
      </c>
      <c r="BF275" s="32">
        <f t="shared" si="196"/>
        <v>0.29490826787537783</v>
      </c>
      <c r="BG275" s="32">
        <f t="shared" si="197"/>
        <v>0.13196115315490523</v>
      </c>
      <c r="BH275" s="32">
        <f t="shared" si="181"/>
        <v>1.6467749646414656</v>
      </c>
      <c r="BI275" s="32">
        <f t="shared" si="182"/>
        <v>0.44346752764553443</v>
      </c>
      <c r="BJ275" s="32">
        <f t="shared" si="183"/>
        <v>2.090242492287</v>
      </c>
      <c r="BK275" s="457">
        <f t="shared" si="184"/>
        <v>2.1171313592046483</v>
      </c>
      <c r="BL275" s="2"/>
    </row>
    <row r="276" spans="1:64" ht="15">
      <c r="A276" s="119"/>
      <c r="B276" s="480">
        <f>Input!B293</f>
        <v>38258</v>
      </c>
      <c r="C276" s="481">
        <v>1</v>
      </c>
      <c r="D276" s="481">
        <f t="shared" si="185"/>
        <v>9</v>
      </c>
      <c r="E276" s="481">
        <f t="shared" si="186"/>
        <v>28</v>
      </c>
      <c r="F276" s="481">
        <f t="shared" si="160"/>
        <v>272</v>
      </c>
      <c r="G276" s="431">
        <v>13.219200000000001</v>
      </c>
      <c r="H276" s="455">
        <v>19.100000000000001</v>
      </c>
      <c r="I276" s="455">
        <v>13.2</v>
      </c>
      <c r="J276" s="455">
        <v>1.1299999999999999</v>
      </c>
      <c r="K276" s="485"/>
      <c r="L276" s="433">
        <v>100</v>
      </c>
      <c r="M276" s="455">
        <v>82</v>
      </c>
      <c r="N276" s="484">
        <f>Weather!M277</f>
        <v>0.2</v>
      </c>
      <c r="O276" s="481" t="str">
        <f t="shared" si="187"/>
        <v/>
      </c>
      <c r="P276" s="4">
        <f t="shared" si="198"/>
        <v>1.7635447241882989</v>
      </c>
      <c r="Q276" s="169">
        <f t="shared" si="161"/>
        <v>2.2111396340059919</v>
      </c>
      <c r="R276" s="169">
        <f t="shared" si="162"/>
        <v>1.5174787226056794</v>
      </c>
      <c r="S276" s="169">
        <f t="shared" si="163"/>
        <v>1.8131344998849133</v>
      </c>
      <c r="T276" s="169">
        <f t="shared" si="164"/>
        <v>1.5174787226056794</v>
      </c>
      <c r="U276" s="169">
        <f t="shared" si="165"/>
        <v>1.6653066112452963</v>
      </c>
      <c r="V276" s="169">
        <f t="shared" si="166"/>
        <v>5.8077299537605528E-2</v>
      </c>
      <c r="W276" s="439">
        <f t="shared" si="167"/>
        <v>14.631501261736519</v>
      </c>
      <c r="X276" s="439">
        <f t="shared" si="168"/>
        <v>14.631501261736519</v>
      </c>
      <c r="Y276" s="169"/>
      <c r="Z276" s="119" t="str">
        <f t="shared" si="169"/>
        <v/>
      </c>
      <c r="AA276" s="4" t="str">
        <f t="shared" si="170"/>
        <v/>
      </c>
      <c r="AB276" s="466"/>
      <c r="AC276" s="466"/>
      <c r="AD276" s="466"/>
      <c r="AE276" s="466"/>
      <c r="AF276" s="466"/>
      <c r="AG276" s="466"/>
      <c r="AH276" s="466"/>
      <c r="AI276" s="466"/>
      <c r="AJ276" s="466"/>
      <c r="AK276" s="466"/>
      <c r="AL276" s="466"/>
      <c r="AM276" s="462">
        <f t="shared" si="171"/>
        <v>272</v>
      </c>
      <c r="AN276" s="32">
        <f t="shared" si="188"/>
        <v>0.99900602994005205</v>
      </c>
      <c r="AO276" s="32">
        <f t="shared" si="189"/>
        <v>-6.1391728074528064E-2</v>
      </c>
      <c r="AP276" s="32">
        <f t="shared" si="190"/>
        <v>1.5111018060480033</v>
      </c>
      <c r="AQ276" s="32">
        <f t="shared" si="191"/>
        <v>11.54396745348625</v>
      </c>
      <c r="AR276" s="32">
        <f t="shared" si="192"/>
        <v>24.421465580178875</v>
      </c>
      <c r="AS276" s="32">
        <f t="shared" si="172"/>
        <v>18.333682640351885</v>
      </c>
      <c r="AT276" s="32">
        <f t="shared" si="173"/>
        <v>10.178784</v>
      </c>
      <c r="AU276" s="32">
        <f t="shared" si="174"/>
        <v>0.72103353479594645</v>
      </c>
      <c r="AV276" s="32">
        <f t="shared" si="175"/>
        <v>0.62339527197452782</v>
      </c>
      <c r="AW276" s="32">
        <f t="shared" si="176"/>
        <v>2.2111396340059919</v>
      </c>
      <c r="AX276" s="32">
        <f t="shared" si="177"/>
        <v>1.5174787226056794</v>
      </c>
      <c r="AY276" s="32">
        <f t="shared" si="178"/>
        <v>1.6653066112452966</v>
      </c>
      <c r="AZ276" s="32">
        <f t="shared" si="193"/>
        <v>0.15933453683559826</v>
      </c>
      <c r="BA276" s="32">
        <f t="shared" si="179"/>
        <v>-3.4114114847857264</v>
      </c>
      <c r="BB276" s="32">
        <f t="shared" si="194"/>
        <v>6.7673725152142739</v>
      </c>
      <c r="BC276" s="32">
        <f t="shared" si="180"/>
        <v>16.149999999999999</v>
      </c>
      <c r="BD276" s="32">
        <v>0</v>
      </c>
      <c r="BE276" s="32">
        <f t="shared" si="195"/>
        <v>1.8643091783058356</v>
      </c>
      <c r="BF276" s="32">
        <f t="shared" si="196"/>
        <v>0.19900256706053909</v>
      </c>
      <c r="BG276" s="32">
        <f t="shared" si="197"/>
        <v>0.11714242184019384</v>
      </c>
      <c r="BH276" s="32">
        <f t="shared" si="181"/>
        <v>1.5398992376084788</v>
      </c>
      <c r="BI276" s="32">
        <f t="shared" si="182"/>
        <v>0.22364548657982011</v>
      </c>
      <c r="BJ276" s="32">
        <f t="shared" si="183"/>
        <v>1.7635447241882989</v>
      </c>
      <c r="BK276" s="457">
        <f t="shared" si="184"/>
        <v>1.8905982838989304</v>
      </c>
      <c r="BL276" s="2"/>
    </row>
    <row r="277" spans="1:64" ht="15">
      <c r="A277" s="119"/>
      <c r="B277" s="480">
        <f>Input!B294</f>
        <v>38259</v>
      </c>
      <c r="C277" s="481">
        <v>1</v>
      </c>
      <c r="D277" s="481">
        <f t="shared" si="185"/>
        <v>9</v>
      </c>
      <c r="E277" s="481">
        <f t="shared" si="186"/>
        <v>29</v>
      </c>
      <c r="F277" s="481">
        <f t="shared" si="160"/>
        <v>273</v>
      </c>
      <c r="G277" s="431">
        <v>10.8864</v>
      </c>
      <c r="H277" s="455">
        <v>17.829999999999998</v>
      </c>
      <c r="I277" s="455">
        <v>16.3</v>
      </c>
      <c r="J277" s="455">
        <v>1.31</v>
      </c>
      <c r="K277" s="485"/>
      <c r="L277" s="433">
        <v>100</v>
      </c>
      <c r="M277" s="455">
        <v>86</v>
      </c>
      <c r="N277" s="484">
        <f>Weather!M278</f>
        <v>2.6</v>
      </c>
      <c r="O277" s="481" t="str">
        <f t="shared" si="187"/>
        <v/>
      </c>
      <c r="P277" s="4">
        <f t="shared" si="198"/>
        <v>1.5355098261541054</v>
      </c>
      <c r="Q277" s="169">
        <f t="shared" si="161"/>
        <v>2.042030154581167</v>
      </c>
      <c r="R277" s="169">
        <f t="shared" si="162"/>
        <v>1.8534226492057391</v>
      </c>
      <c r="S277" s="169">
        <f t="shared" si="163"/>
        <v>1.7561459329398035</v>
      </c>
      <c r="T277" s="169">
        <f t="shared" si="164"/>
        <v>1.8534226492057391</v>
      </c>
      <c r="U277" s="169">
        <f t="shared" si="165"/>
        <v>1.8047842910727714</v>
      </c>
      <c r="V277" s="169">
        <f t="shared" si="166"/>
        <v>6.2734614009854014E-2</v>
      </c>
      <c r="W277" s="439">
        <f t="shared" si="167"/>
        <v>15.883360387636117</v>
      </c>
      <c r="X277" s="439">
        <f t="shared" si="168"/>
        <v>15.883360387636117</v>
      </c>
      <c r="Y277" s="169"/>
      <c r="Z277" s="119" t="str">
        <f t="shared" si="169"/>
        <v/>
      </c>
      <c r="AA277" s="4" t="str">
        <f t="shared" si="170"/>
        <v/>
      </c>
      <c r="AB277" s="466"/>
      <c r="AC277" s="466"/>
      <c r="AD277" s="466"/>
      <c r="AE277" s="466"/>
      <c r="AF277" s="466"/>
      <c r="AG277" s="466"/>
      <c r="AH277" s="466"/>
      <c r="AI277" s="466"/>
      <c r="AJ277" s="466"/>
      <c r="AK277" s="466"/>
      <c r="AL277" s="466"/>
      <c r="AM277" s="462">
        <f t="shared" si="171"/>
        <v>273</v>
      </c>
      <c r="AN277" s="32">
        <f t="shared" si="188"/>
        <v>0.99957396022952472</v>
      </c>
      <c r="AO277" s="32">
        <f t="shared" si="189"/>
        <v>-6.8343132327083139E-2</v>
      </c>
      <c r="AP277" s="32">
        <f t="shared" si="190"/>
        <v>1.5043130644931546</v>
      </c>
      <c r="AQ277" s="32">
        <f t="shared" si="191"/>
        <v>11.492105288246529</v>
      </c>
      <c r="AR277" s="32">
        <f t="shared" si="192"/>
        <v>24.149563132123742</v>
      </c>
      <c r="AS277" s="32">
        <f t="shared" si="172"/>
        <v>18.129560034547936</v>
      </c>
      <c r="AT277" s="32">
        <f t="shared" si="173"/>
        <v>8.3825280000000006</v>
      </c>
      <c r="AU277" s="32">
        <f t="shared" si="174"/>
        <v>0.60047789241739613</v>
      </c>
      <c r="AV277" s="32">
        <f t="shared" si="175"/>
        <v>0.46064515476348489</v>
      </c>
      <c r="AW277" s="32">
        <f t="shared" si="176"/>
        <v>2.042030154581167</v>
      </c>
      <c r="AX277" s="32">
        <f t="shared" si="177"/>
        <v>1.8534226492057391</v>
      </c>
      <c r="AY277" s="32">
        <f t="shared" si="178"/>
        <v>1.8047842910727714</v>
      </c>
      <c r="AZ277" s="32">
        <f t="shared" si="193"/>
        <v>0.15192083553719643</v>
      </c>
      <c r="BA277" s="32">
        <f t="shared" si="179"/>
        <v>-2.4326378258194588</v>
      </c>
      <c r="BB277" s="32">
        <f t="shared" si="194"/>
        <v>5.9498901741805419</v>
      </c>
      <c r="BC277" s="32">
        <f t="shared" si="180"/>
        <v>17.064999999999998</v>
      </c>
      <c r="BD277" s="32">
        <v>0</v>
      </c>
      <c r="BE277" s="32">
        <f t="shared" si="195"/>
        <v>1.947726401893453</v>
      </c>
      <c r="BF277" s="32">
        <f t="shared" si="196"/>
        <v>0.14294211082068164</v>
      </c>
      <c r="BG277" s="32">
        <f t="shared" si="197"/>
        <v>0.12326642748904147</v>
      </c>
      <c r="BH277" s="32">
        <f t="shared" si="181"/>
        <v>1.3584881517577923</v>
      </c>
      <c r="BI277" s="32">
        <f t="shared" si="182"/>
        <v>0.177021674396313</v>
      </c>
      <c r="BJ277" s="32">
        <f t="shared" si="183"/>
        <v>1.5355098261541054</v>
      </c>
      <c r="BK277" s="457">
        <f t="shared" si="184"/>
        <v>0.97770180132573536</v>
      </c>
      <c r="BL277" s="2"/>
    </row>
    <row r="278" spans="1:64" ht="15">
      <c r="A278" s="119"/>
      <c r="B278" s="480">
        <f>Input!B295</f>
        <v>38260</v>
      </c>
      <c r="C278" s="481">
        <v>1</v>
      </c>
      <c r="D278" s="481">
        <f t="shared" si="185"/>
        <v>9</v>
      </c>
      <c r="E278" s="481">
        <f t="shared" si="186"/>
        <v>30</v>
      </c>
      <c r="F278" s="481">
        <f t="shared" si="160"/>
        <v>274</v>
      </c>
      <c r="G278" s="431">
        <v>3.6288</v>
      </c>
      <c r="H278" s="455">
        <v>19.03</v>
      </c>
      <c r="I278" s="455">
        <v>16</v>
      </c>
      <c r="J278" s="455">
        <v>1.51</v>
      </c>
      <c r="K278" s="485"/>
      <c r="L278" s="433">
        <v>100</v>
      </c>
      <c r="M278" s="455">
        <v>87</v>
      </c>
      <c r="N278" s="484">
        <f>Weather!M279</f>
        <v>0</v>
      </c>
      <c r="O278" s="481" t="str">
        <f t="shared" si="187"/>
        <v/>
      </c>
      <c r="P278" s="4">
        <f t="shared" si="198"/>
        <v>0.76441317371540662</v>
      </c>
      <c r="Q278" s="169">
        <f t="shared" si="161"/>
        <v>2.2015093442716647</v>
      </c>
      <c r="R278" s="169">
        <f t="shared" si="162"/>
        <v>1.8182866804855506</v>
      </c>
      <c r="S278" s="169">
        <f t="shared" si="163"/>
        <v>1.9153131295163484</v>
      </c>
      <c r="T278" s="169">
        <f t="shared" si="164"/>
        <v>1.8182866804855506</v>
      </c>
      <c r="U278" s="169">
        <f t="shared" si="165"/>
        <v>1.8667999050009496</v>
      </c>
      <c r="V278" s="169">
        <f t="shared" si="166"/>
        <v>6.4690873760420861E-2</v>
      </c>
      <c r="W278" s="439">
        <f t="shared" si="167"/>
        <v>16.412909820593026</v>
      </c>
      <c r="X278" s="439">
        <f t="shared" si="168"/>
        <v>16.412909820593026</v>
      </c>
      <c r="Y278" s="169"/>
      <c r="Z278" s="119" t="str">
        <f t="shared" si="169"/>
        <v/>
      </c>
      <c r="AA278" s="4" t="str">
        <f t="shared" si="170"/>
        <v/>
      </c>
      <c r="AB278" s="466"/>
      <c r="AC278" s="466"/>
      <c r="AD278" s="466"/>
      <c r="AE278" s="466"/>
      <c r="AF278" s="466"/>
      <c r="AG278" s="466"/>
      <c r="AH278" s="466"/>
      <c r="AI278" s="466"/>
      <c r="AJ278" s="466"/>
      <c r="AK278" s="466"/>
      <c r="AL278" s="466"/>
      <c r="AM278" s="462">
        <f t="shared" si="171"/>
        <v>274</v>
      </c>
      <c r="AN278" s="32">
        <f t="shared" si="188"/>
        <v>1.000142016763776</v>
      </c>
      <c r="AO278" s="32">
        <f t="shared" si="189"/>
        <v>-7.5274285034564459E-2</v>
      </c>
      <c r="AP278" s="32">
        <f t="shared" si="190"/>
        <v>1.4975346050864422</v>
      </c>
      <c r="AQ278" s="32">
        <f t="shared" si="191"/>
        <v>11.44032167283248</v>
      </c>
      <c r="AR278" s="32">
        <f t="shared" si="192"/>
        <v>23.87824332002786</v>
      </c>
      <c r="AS278" s="32">
        <f t="shared" si="172"/>
        <v>17.925874825211316</v>
      </c>
      <c r="AT278" s="32">
        <f t="shared" si="173"/>
        <v>2.7941760000000002</v>
      </c>
      <c r="AU278" s="32">
        <f t="shared" si="174"/>
        <v>0.3</v>
      </c>
      <c r="AV278" s="32">
        <f t="shared" si="175"/>
        <v>5.5000000000000049E-2</v>
      </c>
      <c r="AW278" s="32">
        <f t="shared" si="176"/>
        <v>2.2015093442716647</v>
      </c>
      <c r="AX278" s="32">
        <f t="shared" si="177"/>
        <v>1.8182866804855506</v>
      </c>
      <c r="AY278" s="32">
        <f t="shared" si="178"/>
        <v>1.8667999050009489</v>
      </c>
      <c r="AZ278" s="32">
        <f t="shared" si="193"/>
        <v>0.14871675939063925</v>
      </c>
      <c r="BA278" s="32">
        <f t="shared" si="179"/>
        <v>-0.28612804529617936</v>
      </c>
      <c r="BB278" s="32">
        <f t="shared" si="194"/>
        <v>2.5080479547038208</v>
      </c>
      <c r="BC278" s="32">
        <f t="shared" si="180"/>
        <v>17.515000000000001</v>
      </c>
      <c r="BD278" s="32">
        <v>0</v>
      </c>
      <c r="BE278" s="32">
        <f t="shared" si="195"/>
        <v>2.0098980123786077</v>
      </c>
      <c r="BF278" s="32">
        <f t="shared" si="196"/>
        <v>0.14309810737765871</v>
      </c>
      <c r="BG278" s="32">
        <f t="shared" si="197"/>
        <v>0.12637649172741502</v>
      </c>
      <c r="BH278" s="32">
        <f t="shared" si="181"/>
        <v>0.56732510376019663</v>
      </c>
      <c r="BI278" s="32">
        <f t="shared" si="182"/>
        <v>0.19708806995521</v>
      </c>
      <c r="BJ278" s="32">
        <f t="shared" si="183"/>
        <v>0.76441317371540662</v>
      </c>
      <c r="BK278" s="457">
        <f t="shared" si="184"/>
        <v>1.3779855068675266</v>
      </c>
      <c r="BL278" s="2"/>
    </row>
    <row r="279" spans="1:64" ht="15">
      <c r="A279" s="119"/>
      <c r="B279" s="480">
        <f>Input!B296</f>
        <v>38261</v>
      </c>
      <c r="C279" s="481">
        <v>1</v>
      </c>
      <c r="D279" s="481">
        <f t="shared" si="185"/>
        <v>10</v>
      </c>
      <c r="E279" s="481">
        <f t="shared" si="186"/>
        <v>1</v>
      </c>
      <c r="F279" s="481">
        <f t="shared" si="160"/>
        <v>275</v>
      </c>
      <c r="G279" s="431">
        <v>7.6896000000000004</v>
      </c>
      <c r="H279" s="455">
        <v>18.46</v>
      </c>
      <c r="I279" s="455">
        <v>15.7</v>
      </c>
      <c r="J279" s="455">
        <v>1.23</v>
      </c>
      <c r="K279" s="485"/>
      <c r="L279" s="433">
        <v>100</v>
      </c>
      <c r="M279" s="455">
        <v>88</v>
      </c>
      <c r="N279" s="484">
        <f>Weather!M280</f>
        <v>0</v>
      </c>
      <c r="O279" s="481" t="str">
        <f t="shared" si="187"/>
        <v/>
      </c>
      <c r="P279" s="4">
        <f t="shared" si="198"/>
        <v>1.2283871496208394</v>
      </c>
      <c r="Q279" s="169">
        <f t="shared" si="161"/>
        <v>2.1244475498095214</v>
      </c>
      <c r="R279" s="169">
        <f t="shared" si="162"/>
        <v>1.7837358312436735</v>
      </c>
      <c r="S279" s="169">
        <f t="shared" si="163"/>
        <v>1.8695138438323788</v>
      </c>
      <c r="T279" s="169">
        <f t="shared" si="164"/>
        <v>1.7837358312436735</v>
      </c>
      <c r="U279" s="169">
        <f t="shared" si="165"/>
        <v>1.8266248375380263</v>
      </c>
      <c r="V279" s="169">
        <f t="shared" si="166"/>
        <v>6.3431130197409938E-2</v>
      </c>
      <c r="W279" s="439">
        <f t="shared" si="167"/>
        <v>16.071650127574795</v>
      </c>
      <c r="X279" s="439">
        <f t="shared" si="168"/>
        <v>16.071650127574795</v>
      </c>
      <c r="Y279" s="169"/>
      <c r="Z279" s="119" t="str">
        <f t="shared" si="169"/>
        <v/>
      </c>
      <c r="AA279" s="4" t="str">
        <f t="shared" si="170"/>
        <v/>
      </c>
      <c r="AB279" s="466"/>
      <c r="AC279" s="466"/>
      <c r="AD279" s="466"/>
      <c r="AE279" s="466"/>
      <c r="AF279" s="466"/>
      <c r="AG279" s="466"/>
      <c r="AH279" s="466"/>
      <c r="AI279" s="466"/>
      <c r="AJ279" s="466"/>
      <c r="AK279" s="466"/>
      <c r="AL279" s="466"/>
      <c r="AM279" s="462">
        <f t="shared" si="171"/>
        <v>275</v>
      </c>
      <c r="AN279" s="32">
        <f t="shared" si="188"/>
        <v>1.0007100312153954</v>
      </c>
      <c r="AO279" s="32">
        <f t="shared" si="189"/>
        <v>-8.2183132346837551E-2</v>
      </c>
      <c r="AP279" s="32">
        <f t="shared" si="190"/>
        <v>1.4907675414895449</v>
      </c>
      <c r="AQ279" s="32">
        <f t="shared" si="191"/>
        <v>11.388625114992637</v>
      </c>
      <c r="AR279" s="32">
        <f t="shared" si="192"/>
        <v>23.607603515369998</v>
      </c>
      <c r="AS279" s="32">
        <f t="shared" si="172"/>
        <v>17.722700111058565</v>
      </c>
      <c r="AT279" s="32">
        <f t="shared" si="173"/>
        <v>5.920992</v>
      </c>
      <c r="AU279" s="32">
        <f t="shared" si="174"/>
        <v>0.43388422485363071</v>
      </c>
      <c r="AV279" s="32">
        <f t="shared" si="175"/>
        <v>0.23574370355240148</v>
      </c>
      <c r="AW279" s="32">
        <f t="shared" si="176"/>
        <v>2.1244475498095214</v>
      </c>
      <c r="AX279" s="32">
        <f t="shared" si="177"/>
        <v>1.7837358312436735</v>
      </c>
      <c r="AY279" s="32">
        <f t="shared" si="178"/>
        <v>1.8266248375380261</v>
      </c>
      <c r="AZ279" s="32">
        <f t="shared" si="193"/>
        <v>0.15078624041643982</v>
      </c>
      <c r="BA279" s="32">
        <f t="shared" si="179"/>
        <v>-1.2360214607227622</v>
      </c>
      <c r="BB279" s="32">
        <f t="shared" si="194"/>
        <v>4.6849705392772378</v>
      </c>
      <c r="BC279" s="32">
        <f t="shared" si="180"/>
        <v>17.079999999999998</v>
      </c>
      <c r="BD279" s="32">
        <v>0</v>
      </c>
      <c r="BE279" s="32">
        <f t="shared" si="195"/>
        <v>1.9540916905265975</v>
      </c>
      <c r="BF279" s="32">
        <f t="shared" si="196"/>
        <v>0.12746685298857141</v>
      </c>
      <c r="BG279" s="32">
        <f t="shared" si="197"/>
        <v>0.12336904026993686</v>
      </c>
      <c r="BH279" s="32">
        <f t="shared" si="181"/>
        <v>1.0790096888745382</v>
      </c>
      <c r="BI279" s="32">
        <f t="shared" si="182"/>
        <v>0.14937746074630126</v>
      </c>
      <c r="BJ279" s="32">
        <f t="shared" si="183"/>
        <v>1.2283871496208394</v>
      </c>
      <c r="BK279" s="457">
        <f t="shared" si="184"/>
        <v>1.2842355020973775</v>
      </c>
      <c r="BL279" s="2"/>
    </row>
    <row r="280" spans="1:64" ht="15">
      <c r="A280" s="119"/>
      <c r="B280" s="480">
        <f>Input!B297</f>
        <v>38262</v>
      </c>
      <c r="C280" s="481">
        <v>1</v>
      </c>
      <c r="D280" s="481">
        <f t="shared" si="185"/>
        <v>10</v>
      </c>
      <c r="E280" s="481">
        <f t="shared" si="186"/>
        <v>2</v>
      </c>
      <c r="F280" s="481">
        <f t="shared" si="160"/>
        <v>276</v>
      </c>
      <c r="G280" s="431">
        <v>5.1840000000000002</v>
      </c>
      <c r="H280" s="455">
        <v>19.010000000000002</v>
      </c>
      <c r="I280" s="455">
        <v>15.8</v>
      </c>
      <c r="J280" s="455">
        <v>1.64</v>
      </c>
      <c r="K280" s="485"/>
      <c r="L280" s="433">
        <v>100</v>
      </c>
      <c r="M280" s="455">
        <v>88</v>
      </c>
      <c r="N280" s="484">
        <f>Weather!M281</f>
        <v>0.2</v>
      </c>
      <c r="O280" s="481" t="str">
        <f t="shared" si="187"/>
        <v/>
      </c>
      <c r="P280" s="4">
        <f t="shared" si="198"/>
        <v>1.0207438910208613</v>
      </c>
      <c r="Q280" s="169">
        <f t="shared" si="161"/>
        <v>2.1987645819436712</v>
      </c>
      <c r="R280" s="169">
        <f t="shared" si="162"/>
        <v>1.7951882816867184</v>
      </c>
      <c r="S280" s="169">
        <f t="shared" si="163"/>
        <v>1.9349128321104307</v>
      </c>
      <c r="T280" s="169">
        <f t="shared" si="164"/>
        <v>1.7951882816867184</v>
      </c>
      <c r="U280" s="169">
        <f t="shared" si="165"/>
        <v>1.8650505568985745</v>
      </c>
      <c r="V280" s="169">
        <f t="shared" si="166"/>
        <v>6.4636587528814404E-2</v>
      </c>
      <c r="W280" s="439">
        <f t="shared" si="167"/>
        <v>16.398184936552841</v>
      </c>
      <c r="X280" s="439">
        <f t="shared" si="168"/>
        <v>16.398184936552841</v>
      </c>
      <c r="Y280" s="169"/>
      <c r="Z280" s="119" t="str">
        <f t="shared" si="169"/>
        <v/>
      </c>
      <c r="AA280" s="4" t="str">
        <f t="shared" si="170"/>
        <v/>
      </c>
      <c r="AB280" s="466"/>
      <c r="AC280" s="466"/>
      <c r="AD280" s="466"/>
      <c r="AE280" s="466"/>
      <c r="AF280" s="466"/>
      <c r="AG280" s="466"/>
      <c r="AH280" s="466"/>
      <c r="AI280" s="466"/>
      <c r="AJ280" s="466"/>
      <c r="AK280" s="466"/>
      <c r="AL280" s="466"/>
      <c r="AM280" s="462">
        <f t="shared" si="171"/>
        <v>276</v>
      </c>
      <c r="AN280" s="32">
        <f t="shared" si="188"/>
        <v>1.0012778352694418</v>
      </c>
      <c r="AO280" s="32">
        <f t="shared" si="189"/>
        <v>-8.9067627023339382E-2</v>
      </c>
      <c r="AP280" s="32">
        <f t="shared" si="190"/>
        <v>1.4840130045722852</v>
      </c>
      <c r="AQ280" s="32">
        <f t="shared" si="191"/>
        <v>11.337024253936066</v>
      </c>
      <c r="AR280" s="32">
        <f t="shared" si="192"/>
        <v>23.337741059213023</v>
      </c>
      <c r="AS280" s="32">
        <f t="shared" si="172"/>
        <v>17.520108967972401</v>
      </c>
      <c r="AT280" s="32">
        <f t="shared" si="173"/>
        <v>3.9916800000000001</v>
      </c>
      <c r="AU280" s="32">
        <f t="shared" si="174"/>
        <v>0.3</v>
      </c>
      <c r="AV280" s="32">
        <f t="shared" si="175"/>
        <v>5.5000000000000049E-2</v>
      </c>
      <c r="AW280" s="32">
        <f t="shared" si="176"/>
        <v>2.1987645819436712</v>
      </c>
      <c r="AX280" s="32">
        <f t="shared" si="177"/>
        <v>1.7951882816867184</v>
      </c>
      <c r="AY280" s="32">
        <f t="shared" si="178"/>
        <v>1.8650505568985742</v>
      </c>
      <c r="AZ280" s="32">
        <f t="shared" si="193"/>
        <v>0.14880640461769634</v>
      </c>
      <c r="BA280" s="32">
        <f t="shared" si="179"/>
        <v>-0.28587311309833768</v>
      </c>
      <c r="BB280" s="32">
        <f t="shared" si="194"/>
        <v>3.7058068869016623</v>
      </c>
      <c r="BC280" s="32">
        <f t="shared" si="180"/>
        <v>17.405000000000001</v>
      </c>
      <c r="BD280" s="32">
        <v>0</v>
      </c>
      <c r="BE280" s="32">
        <f t="shared" si="195"/>
        <v>1.9969764318151948</v>
      </c>
      <c r="BF280" s="32">
        <f t="shared" si="196"/>
        <v>0.13192587491662056</v>
      </c>
      <c r="BG280" s="32">
        <f t="shared" si="197"/>
        <v>0.12561017610237957</v>
      </c>
      <c r="BH280" s="32">
        <f t="shared" si="181"/>
        <v>0.82521263418681967</v>
      </c>
      <c r="BI280" s="32">
        <f t="shared" si="182"/>
        <v>0.1955312568340416</v>
      </c>
      <c r="BJ280" s="32">
        <f t="shared" si="183"/>
        <v>1.0207438910208613</v>
      </c>
      <c r="BK280" s="457">
        <f t="shared" si="184"/>
        <v>1.381902598237281</v>
      </c>
      <c r="BL280" s="2"/>
    </row>
    <row r="281" spans="1:64" ht="15">
      <c r="A281" s="119"/>
      <c r="B281" s="480">
        <f>Input!B298</f>
        <v>38263</v>
      </c>
      <c r="C281" s="481">
        <v>1</v>
      </c>
      <c r="D281" s="481">
        <f t="shared" si="185"/>
        <v>10</v>
      </c>
      <c r="E281" s="481">
        <f t="shared" si="186"/>
        <v>3</v>
      </c>
      <c r="F281" s="481">
        <f t="shared" si="160"/>
        <v>277</v>
      </c>
      <c r="G281" s="431">
        <v>12.96</v>
      </c>
      <c r="H281" s="455">
        <v>18.63</v>
      </c>
      <c r="I281" s="455">
        <v>14.3</v>
      </c>
      <c r="J281" s="455">
        <v>1.33</v>
      </c>
      <c r="K281" s="485"/>
      <c r="L281" s="433">
        <v>100</v>
      </c>
      <c r="M281" s="455">
        <v>85</v>
      </c>
      <c r="N281" s="484">
        <f>Weather!M282</f>
        <v>0</v>
      </c>
      <c r="O281" s="481" t="str">
        <f t="shared" si="187"/>
        <v/>
      </c>
      <c r="P281" s="4">
        <f t="shared" si="198"/>
        <v>1.6491328487668226</v>
      </c>
      <c r="Q281" s="169">
        <f t="shared" si="161"/>
        <v>2.1471799059274348</v>
      </c>
      <c r="R281" s="169">
        <f t="shared" si="162"/>
        <v>1.6299939408502728</v>
      </c>
      <c r="S281" s="169">
        <f t="shared" si="163"/>
        <v>1.8251029200383195</v>
      </c>
      <c r="T281" s="169">
        <f t="shared" si="164"/>
        <v>1.6299939408502728</v>
      </c>
      <c r="U281" s="169">
        <f t="shared" si="165"/>
        <v>1.7275484304442963</v>
      </c>
      <c r="V281" s="169">
        <f t="shared" si="166"/>
        <v>6.0202027614003291E-2</v>
      </c>
      <c r="W281" s="439">
        <f t="shared" si="167"/>
        <v>15.201076797956121</v>
      </c>
      <c r="X281" s="439">
        <f t="shared" si="168"/>
        <v>15.201076797956121</v>
      </c>
      <c r="Y281" s="169"/>
      <c r="Z281" s="119" t="str">
        <f t="shared" si="169"/>
        <v/>
      </c>
      <c r="AA281" s="4" t="str">
        <f t="shared" si="170"/>
        <v/>
      </c>
      <c r="AB281" s="466"/>
      <c r="AC281" s="466"/>
      <c r="AD281" s="466"/>
      <c r="AE281" s="466"/>
      <c r="AF281" s="466"/>
      <c r="AG281" s="466"/>
      <c r="AH281" s="466"/>
      <c r="AI281" s="466"/>
      <c r="AJ281" s="466"/>
      <c r="AK281" s="466"/>
      <c r="AL281" s="466"/>
      <c r="AM281" s="462">
        <f t="shared" si="171"/>
        <v>277</v>
      </c>
      <c r="AN281" s="32">
        <f t="shared" si="188"/>
        <v>1.0018452606733199</v>
      </c>
      <c r="AO281" s="32">
        <f t="shared" si="189"/>
        <v>-9.5925729039717356E-2</v>
      </c>
      <c r="AP281" s="32">
        <f t="shared" si="190"/>
        <v>1.4772721439334162</v>
      </c>
      <c r="AQ281" s="32">
        <f t="shared" si="191"/>
        <v>11.285527871950324</v>
      </c>
      <c r="AR281" s="32">
        <f t="shared" si="192"/>
        <v>23.068753184716723</v>
      </c>
      <c r="AS281" s="32">
        <f t="shared" si="172"/>
        <v>17.318174390830539</v>
      </c>
      <c r="AT281" s="32">
        <f t="shared" si="173"/>
        <v>9.9792000000000005</v>
      </c>
      <c r="AU281" s="32">
        <f t="shared" si="174"/>
        <v>0.74834677764083135</v>
      </c>
      <c r="AV281" s="32">
        <f t="shared" si="175"/>
        <v>0.6602681498151225</v>
      </c>
      <c r="AW281" s="32">
        <f t="shared" si="176"/>
        <v>2.1471799059274348</v>
      </c>
      <c r="AX281" s="32">
        <f t="shared" si="177"/>
        <v>1.6299939408502728</v>
      </c>
      <c r="AY281" s="32">
        <f t="shared" si="178"/>
        <v>1.7275484304442961</v>
      </c>
      <c r="AZ281" s="32">
        <f t="shared" si="193"/>
        <v>0.15598926869144777</v>
      </c>
      <c r="BA281" s="32">
        <f t="shared" si="179"/>
        <v>-3.5517382233687389</v>
      </c>
      <c r="BB281" s="32">
        <f t="shared" si="194"/>
        <v>6.4274617766312616</v>
      </c>
      <c r="BC281" s="32">
        <f t="shared" si="180"/>
        <v>16.465</v>
      </c>
      <c r="BD281" s="32">
        <v>0</v>
      </c>
      <c r="BE281" s="32">
        <f t="shared" si="195"/>
        <v>1.8885869233888539</v>
      </c>
      <c r="BF281" s="32">
        <f t="shared" si="196"/>
        <v>0.16103849294455785</v>
      </c>
      <c r="BG281" s="32">
        <f t="shared" si="197"/>
        <v>0.11922085202999073</v>
      </c>
      <c r="BH281" s="32">
        <f t="shared" si="181"/>
        <v>1.4428750123298701</v>
      </c>
      <c r="BI281" s="32">
        <f t="shared" si="182"/>
        <v>0.20625783643695259</v>
      </c>
      <c r="BJ281" s="32">
        <f t="shared" si="183"/>
        <v>1.6491328487668226</v>
      </c>
      <c r="BK281" s="457">
        <f t="shared" si="184"/>
        <v>1.5441182590072027</v>
      </c>
      <c r="BL281" s="2"/>
    </row>
    <row r="282" spans="1:64" ht="15">
      <c r="A282" s="119"/>
      <c r="B282" s="480">
        <f>Input!B299</f>
        <v>38264</v>
      </c>
      <c r="C282" s="481">
        <v>1</v>
      </c>
      <c r="D282" s="481">
        <f t="shared" si="185"/>
        <v>10</v>
      </c>
      <c r="E282" s="481">
        <f t="shared" si="186"/>
        <v>4</v>
      </c>
      <c r="F282" s="481">
        <f t="shared" si="160"/>
        <v>278</v>
      </c>
      <c r="G282" s="431">
        <v>14.9472</v>
      </c>
      <c r="H282" s="455">
        <v>18.86</v>
      </c>
      <c r="I282" s="455">
        <v>12.7</v>
      </c>
      <c r="J282" s="455">
        <v>1.66</v>
      </c>
      <c r="K282" s="485"/>
      <c r="L282" s="433">
        <v>100</v>
      </c>
      <c r="M282" s="455">
        <v>85</v>
      </c>
      <c r="N282" s="484">
        <f>Weather!M283</f>
        <v>0</v>
      </c>
      <c r="O282" s="481" t="str">
        <f t="shared" si="187"/>
        <v/>
      </c>
      <c r="P282" s="4">
        <f t="shared" si="198"/>
        <v>1.7470272988959599</v>
      </c>
      <c r="Q282" s="169">
        <f t="shared" si="161"/>
        <v>2.1782741228783826</v>
      </c>
      <c r="R282" s="169">
        <f t="shared" si="162"/>
        <v>1.4686304419364882</v>
      </c>
      <c r="S282" s="169">
        <f t="shared" si="163"/>
        <v>1.8515330044466252</v>
      </c>
      <c r="T282" s="169">
        <f t="shared" si="164"/>
        <v>1.4686304419364882</v>
      </c>
      <c r="U282" s="169">
        <f t="shared" si="165"/>
        <v>1.6600817231915568</v>
      </c>
      <c r="V282" s="169">
        <f t="shared" si="166"/>
        <v>5.7895340916769011E-2</v>
      </c>
      <c r="W282" s="439">
        <f t="shared" si="167"/>
        <v>14.582843070660946</v>
      </c>
      <c r="X282" s="439">
        <f t="shared" si="168"/>
        <v>14.582843070660946</v>
      </c>
      <c r="Y282" s="169"/>
      <c r="Z282" s="119" t="str">
        <f t="shared" si="169"/>
        <v/>
      </c>
      <c r="AA282" s="4" t="str">
        <f t="shared" si="170"/>
        <v/>
      </c>
      <c r="AB282" s="466"/>
      <c r="AC282" s="466"/>
      <c r="AD282" s="466"/>
      <c r="AE282" s="466"/>
      <c r="AF282" s="466"/>
      <c r="AG282" s="466"/>
      <c r="AH282" s="466"/>
      <c r="AI282" s="466"/>
      <c r="AJ282" s="466"/>
      <c r="AK282" s="466"/>
      <c r="AL282" s="466"/>
      <c r="AM282" s="462">
        <f t="shared" si="171"/>
        <v>278</v>
      </c>
      <c r="AN282" s="32">
        <f t="shared" si="188"/>
        <v>1.0024121392866365</v>
      </c>
      <c r="AO282" s="32">
        <f t="shared" si="189"/>
        <v>-0.10275540619233374</v>
      </c>
      <c r="AP282" s="32">
        <f t="shared" si="190"/>
        <v>1.4705461293988151</v>
      </c>
      <c r="AQ282" s="32">
        <f t="shared" si="191"/>
        <v>11.234144905846819</v>
      </c>
      <c r="AR282" s="32">
        <f t="shared" si="192"/>
        <v>22.800736939323958</v>
      </c>
      <c r="AS282" s="32">
        <f t="shared" si="172"/>
        <v>17.116969235089282</v>
      </c>
      <c r="AT282" s="32">
        <f t="shared" si="173"/>
        <v>11.509344</v>
      </c>
      <c r="AU282" s="32">
        <f t="shared" si="174"/>
        <v>0.87323870217390365</v>
      </c>
      <c r="AV282" s="32">
        <f t="shared" si="175"/>
        <v>0.82887224793476999</v>
      </c>
      <c r="AW282" s="32">
        <f t="shared" si="176"/>
        <v>2.1782741228783826</v>
      </c>
      <c r="AX282" s="32">
        <f t="shared" si="177"/>
        <v>1.4686304419364882</v>
      </c>
      <c r="AY282" s="32">
        <f t="shared" si="178"/>
        <v>1.6600817231915572</v>
      </c>
      <c r="AZ282" s="32">
        <f t="shared" si="193"/>
        <v>0.15961817781562768</v>
      </c>
      <c r="BA282" s="32">
        <f t="shared" si="179"/>
        <v>-4.5209800616880242</v>
      </c>
      <c r="BB282" s="32">
        <f t="shared" si="194"/>
        <v>6.9883639383119762</v>
      </c>
      <c r="BC282" s="32">
        <f t="shared" si="180"/>
        <v>15.78</v>
      </c>
      <c r="BD282" s="32">
        <v>0</v>
      </c>
      <c r="BE282" s="32">
        <f t="shared" si="195"/>
        <v>1.8234522824074353</v>
      </c>
      <c r="BF282" s="32">
        <f t="shared" si="196"/>
        <v>0.16337055921587806</v>
      </c>
      <c r="BG282" s="32">
        <f t="shared" si="197"/>
        <v>0.11474045123551091</v>
      </c>
      <c r="BH282" s="32">
        <f t="shared" si="181"/>
        <v>1.4888784775616337</v>
      </c>
      <c r="BI282" s="32">
        <f t="shared" si="182"/>
        <v>0.25814882133432615</v>
      </c>
      <c r="BJ282" s="32">
        <f t="shared" si="183"/>
        <v>1.7470272988959599</v>
      </c>
      <c r="BK282" s="457">
        <f t="shared" si="184"/>
        <v>1.7839459152897954</v>
      </c>
      <c r="BL282" s="2"/>
    </row>
    <row r="283" spans="1:64" ht="15">
      <c r="A283" s="119"/>
      <c r="B283" s="480">
        <f>Input!B300</f>
        <v>38265</v>
      </c>
      <c r="C283" s="481">
        <v>1</v>
      </c>
      <c r="D283" s="481">
        <f t="shared" si="185"/>
        <v>10</v>
      </c>
      <c r="E283" s="481">
        <f t="shared" si="186"/>
        <v>5</v>
      </c>
      <c r="F283" s="481">
        <f t="shared" si="160"/>
        <v>279</v>
      </c>
      <c r="G283" s="431">
        <v>13.651199999999999</v>
      </c>
      <c r="H283" s="455">
        <v>18.829999999999998</v>
      </c>
      <c r="I283" s="455">
        <v>14.7</v>
      </c>
      <c r="J283" s="455">
        <v>1.1200000000000001</v>
      </c>
      <c r="K283" s="485"/>
      <c r="L283" s="433">
        <v>100</v>
      </c>
      <c r="M283" s="455">
        <v>86</v>
      </c>
      <c r="N283" s="484">
        <f>Weather!M284</f>
        <v>0</v>
      </c>
      <c r="O283" s="481" t="str">
        <f t="shared" si="187"/>
        <v/>
      </c>
      <c r="P283" s="4">
        <f t="shared" si="198"/>
        <v>1.686918001811976</v>
      </c>
      <c r="Q283" s="169">
        <f t="shared" si="161"/>
        <v>2.1741961413298685</v>
      </c>
      <c r="R283" s="169">
        <f t="shared" si="162"/>
        <v>1.6726864071818137</v>
      </c>
      <c r="S283" s="169">
        <f t="shared" si="163"/>
        <v>1.869808681543687</v>
      </c>
      <c r="T283" s="169">
        <f t="shared" si="164"/>
        <v>1.6726864071818137</v>
      </c>
      <c r="U283" s="169">
        <f t="shared" si="165"/>
        <v>1.7712475443627502</v>
      </c>
      <c r="V283" s="169">
        <f t="shared" si="166"/>
        <v>6.1648513681115256E-2</v>
      </c>
      <c r="W283" s="439">
        <f t="shared" si="167"/>
        <v>15.59031184990007</v>
      </c>
      <c r="X283" s="439">
        <f t="shared" si="168"/>
        <v>15.59031184990007</v>
      </c>
      <c r="Y283" s="169"/>
      <c r="Z283" s="119" t="str">
        <f t="shared" si="169"/>
        <v/>
      </c>
      <c r="AA283" s="4" t="str">
        <f t="shared" si="170"/>
        <v/>
      </c>
      <c r="AB283" s="466"/>
      <c r="AC283" s="466"/>
      <c r="AD283" s="466"/>
      <c r="AE283" s="466"/>
      <c r="AF283" s="466"/>
      <c r="AG283" s="466"/>
      <c r="AH283" s="466"/>
      <c r="AI283" s="466"/>
      <c r="AJ283" s="466"/>
      <c r="AK283" s="466"/>
      <c r="AL283" s="466"/>
      <c r="AM283" s="462">
        <f t="shared" si="171"/>
        <v>279</v>
      </c>
      <c r="AN283" s="32">
        <f t="shared" si="188"/>
        <v>1.0029783031310244</v>
      </c>
      <c r="AO283" s="32">
        <f t="shared" si="189"/>
        <v>-0.10955463470045239</v>
      </c>
      <c r="AP283" s="32">
        <f t="shared" si="190"/>
        <v>1.4638361524945882</v>
      </c>
      <c r="AQ283" s="32">
        <f t="shared" si="191"/>
        <v>11.18288445821449</v>
      </c>
      <c r="AR283" s="32">
        <f t="shared" si="192"/>
        <v>22.533789106785473</v>
      </c>
      <c r="AS283" s="32">
        <f t="shared" si="172"/>
        <v>16.916566158245992</v>
      </c>
      <c r="AT283" s="32">
        <f t="shared" si="173"/>
        <v>10.511424</v>
      </c>
      <c r="AU283" s="32">
        <f t="shared" si="174"/>
        <v>0.80697228221731709</v>
      </c>
      <c r="AV283" s="32">
        <f t="shared" si="175"/>
        <v>0.73941258099337814</v>
      </c>
      <c r="AW283" s="32">
        <f t="shared" si="176"/>
        <v>2.1741961413298685</v>
      </c>
      <c r="AX283" s="32">
        <f t="shared" si="177"/>
        <v>1.6726864071818137</v>
      </c>
      <c r="AY283" s="32">
        <f t="shared" si="178"/>
        <v>1.7712475443627502</v>
      </c>
      <c r="AZ283" s="32">
        <f t="shared" si="193"/>
        <v>0.15367648599945871</v>
      </c>
      <c r="BA283" s="32">
        <f t="shared" si="179"/>
        <v>-3.9346423586159442</v>
      </c>
      <c r="BB283" s="32">
        <f t="shared" si="194"/>
        <v>6.5767816413840556</v>
      </c>
      <c r="BC283" s="32">
        <f t="shared" si="180"/>
        <v>16.765000000000001</v>
      </c>
      <c r="BD283" s="32">
        <v>0</v>
      </c>
      <c r="BE283" s="32">
        <f t="shared" si="195"/>
        <v>1.9234412742558411</v>
      </c>
      <c r="BF283" s="32">
        <f t="shared" si="196"/>
        <v>0.15219372989309088</v>
      </c>
      <c r="BG283" s="32">
        <f t="shared" si="197"/>
        <v>0.12122932228273414</v>
      </c>
      <c r="BH283" s="32">
        <f t="shared" si="181"/>
        <v>1.5208029821480065</v>
      </c>
      <c r="BI283" s="32">
        <f t="shared" si="182"/>
        <v>0.1661150196639696</v>
      </c>
      <c r="BJ283" s="32">
        <f t="shared" si="183"/>
        <v>1.686918001811976</v>
      </c>
      <c r="BK283" s="457">
        <f t="shared" si="184"/>
        <v>1.4859615231928522</v>
      </c>
      <c r="BL283" s="2"/>
    </row>
    <row r="284" spans="1:64" ht="15">
      <c r="A284" s="119"/>
      <c r="B284" s="480">
        <f>Input!B301</f>
        <v>38266</v>
      </c>
      <c r="C284" s="481">
        <v>1</v>
      </c>
      <c r="D284" s="481">
        <f t="shared" si="185"/>
        <v>10</v>
      </c>
      <c r="E284" s="481">
        <f t="shared" si="186"/>
        <v>6</v>
      </c>
      <c r="F284" s="481">
        <f t="shared" si="160"/>
        <v>280</v>
      </c>
      <c r="G284" s="431">
        <v>6.3071999999999999</v>
      </c>
      <c r="H284" s="455">
        <v>19.149999999999999</v>
      </c>
      <c r="I284" s="455">
        <v>14.4</v>
      </c>
      <c r="J284" s="455">
        <v>1.28</v>
      </c>
      <c r="K284" s="485"/>
      <c r="L284" s="433">
        <v>100</v>
      </c>
      <c r="M284" s="455">
        <v>85</v>
      </c>
      <c r="N284" s="484">
        <f>Weather!M285</f>
        <v>0</v>
      </c>
      <c r="O284" s="481" t="str">
        <f t="shared" si="187"/>
        <v/>
      </c>
      <c r="P284" s="4">
        <f t="shared" si="198"/>
        <v>1.1149775155232635</v>
      </c>
      <c r="Q284" s="169">
        <f t="shared" si="161"/>
        <v>2.2180409576884572</v>
      </c>
      <c r="R284" s="169">
        <f t="shared" si="162"/>
        <v>1.6405764392484408</v>
      </c>
      <c r="S284" s="169">
        <f t="shared" si="163"/>
        <v>1.8853348140351887</v>
      </c>
      <c r="T284" s="169">
        <f t="shared" si="164"/>
        <v>1.6405764392484408</v>
      </c>
      <c r="U284" s="169">
        <f t="shared" si="165"/>
        <v>1.7629556266418147</v>
      </c>
      <c r="V284" s="169">
        <f t="shared" si="166"/>
        <v>6.1376805993249094E-2</v>
      </c>
      <c r="W284" s="439">
        <f t="shared" si="167"/>
        <v>15.517106497256721</v>
      </c>
      <c r="X284" s="439">
        <f t="shared" si="168"/>
        <v>15.517106497256721</v>
      </c>
      <c r="Y284" s="169"/>
      <c r="Z284" s="119" t="str">
        <f t="shared" si="169"/>
        <v/>
      </c>
      <c r="AA284" s="4" t="str">
        <f t="shared" si="170"/>
        <v/>
      </c>
      <c r="AB284" s="466"/>
      <c r="AC284" s="466"/>
      <c r="AD284" s="466"/>
      <c r="AE284" s="466"/>
      <c r="AF284" s="466"/>
      <c r="AG284" s="466"/>
      <c r="AH284" s="466"/>
      <c r="AI284" s="466"/>
      <c r="AJ284" s="466"/>
      <c r="AK284" s="466"/>
      <c r="AL284" s="466"/>
      <c r="AM284" s="462">
        <f t="shared" si="171"/>
        <v>280</v>
      </c>
      <c r="AN284" s="32">
        <f t="shared" si="188"/>
        <v>1.0035435844399174</v>
      </c>
      <c r="AO284" s="32">
        <f t="shared" si="189"/>
        <v>-0.11632139980592628</v>
      </c>
      <c r="AP284" s="32">
        <f t="shared" si="190"/>
        <v>1.4571434278924555</v>
      </c>
      <c r="AQ284" s="32">
        <f t="shared" si="191"/>
        <v>11.131755808461746</v>
      </c>
      <c r="AR284" s="32">
        <f t="shared" si="192"/>
        <v>22.268006129189835</v>
      </c>
      <c r="AS284" s="32">
        <f t="shared" si="172"/>
        <v>16.717037561305393</v>
      </c>
      <c r="AT284" s="32">
        <f t="shared" si="173"/>
        <v>4.8565440000000004</v>
      </c>
      <c r="AU284" s="32">
        <f t="shared" si="174"/>
        <v>0.37729172868518013</v>
      </c>
      <c r="AV284" s="32">
        <f t="shared" si="175"/>
        <v>0.15934383372499328</v>
      </c>
      <c r="AW284" s="32">
        <f t="shared" si="176"/>
        <v>2.2180409576884572</v>
      </c>
      <c r="AX284" s="32">
        <f t="shared" si="177"/>
        <v>1.6405764392484408</v>
      </c>
      <c r="AY284" s="32">
        <f t="shared" si="178"/>
        <v>1.7629556266418147</v>
      </c>
      <c r="AZ284" s="32">
        <f t="shared" si="193"/>
        <v>0.15411312504057859</v>
      </c>
      <c r="BA284" s="32">
        <f t="shared" si="179"/>
        <v>-0.85052769422113916</v>
      </c>
      <c r="BB284" s="32">
        <f t="shared" si="194"/>
        <v>4.0060163057788616</v>
      </c>
      <c r="BC284" s="32">
        <f t="shared" si="180"/>
        <v>16.774999999999999</v>
      </c>
      <c r="BD284" s="32">
        <v>0</v>
      </c>
      <c r="BE284" s="32">
        <f t="shared" si="195"/>
        <v>1.9293086984684491</v>
      </c>
      <c r="BF284" s="32">
        <f t="shared" si="196"/>
        <v>0.16635307182663439</v>
      </c>
      <c r="BG284" s="32">
        <f t="shared" si="197"/>
        <v>0.12129676264165207</v>
      </c>
      <c r="BH284" s="32">
        <f t="shared" si="181"/>
        <v>0.91102216956274262</v>
      </c>
      <c r="BI284" s="32">
        <f t="shared" si="182"/>
        <v>0.20395534596052084</v>
      </c>
      <c r="BJ284" s="32">
        <f t="shared" si="183"/>
        <v>1.1149775155232635</v>
      </c>
      <c r="BK284" s="457">
        <f t="shared" si="184"/>
        <v>1.5752593911930177</v>
      </c>
      <c r="BL284" s="2"/>
    </row>
    <row r="285" spans="1:64" ht="15">
      <c r="A285" s="119"/>
      <c r="B285" s="480">
        <f>Input!B302</f>
        <v>38267</v>
      </c>
      <c r="C285" s="481">
        <v>1</v>
      </c>
      <c r="D285" s="481">
        <f t="shared" si="185"/>
        <v>10</v>
      </c>
      <c r="E285" s="481">
        <f t="shared" si="186"/>
        <v>7</v>
      </c>
      <c r="F285" s="481">
        <f t="shared" si="160"/>
        <v>281</v>
      </c>
      <c r="G285" s="431">
        <v>13.9968</v>
      </c>
      <c r="H285" s="455">
        <v>19.899999999999999</v>
      </c>
      <c r="I285" s="455">
        <v>15.4</v>
      </c>
      <c r="J285" s="455">
        <v>1.87</v>
      </c>
      <c r="K285" s="485"/>
      <c r="L285" s="433">
        <v>100</v>
      </c>
      <c r="M285" s="455">
        <v>78</v>
      </c>
      <c r="N285" s="484">
        <f>Weather!M286</f>
        <v>0</v>
      </c>
      <c r="O285" s="481" t="str">
        <f t="shared" si="187"/>
        <v/>
      </c>
      <c r="P285" s="4">
        <f t="shared" si="198"/>
        <v>1.8464129891664798</v>
      </c>
      <c r="Q285" s="169">
        <f t="shared" si="161"/>
        <v>2.3238457638211925</v>
      </c>
      <c r="R285" s="169">
        <f t="shared" si="162"/>
        <v>1.7497618068909833</v>
      </c>
      <c r="S285" s="169">
        <f t="shared" si="163"/>
        <v>1.8125996957805302</v>
      </c>
      <c r="T285" s="169">
        <f t="shared" si="164"/>
        <v>1.7497618068909833</v>
      </c>
      <c r="U285" s="169">
        <f t="shared" si="165"/>
        <v>1.7811807513357567</v>
      </c>
      <c r="V285" s="169">
        <f t="shared" si="166"/>
        <v>6.1972333148447648E-2</v>
      </c>
      <c r="W285" s="439">
        <f t="shared" si="167"/>
        <v>15.677612906116906</v>
      </c>
      <c r="X285" s="439">
        <f t="shared" si="168"/>
        <v>15.677612906116906</v>
      </c>
      <c r="Y285" s="169"/>
      <c r="Z285" s="119" t="str">
        <f t="shared" si="169"/>
        <v/>
      </c>
      <c r="AA285" s="4" t="str">
        <f t="shared" si="170"/>
        <v/>
      </c>
      <c r="AB285" s="466"/>
      <c r="AC285" s="466"/>
      <c r="AD285" s="466"/>
      <c r="AE285" s="466"/>
      <c r="AF285" s="466"/>
      <c r="AG285" s="466"/>
      <c r="AH285" s="466"/>
      <c r="AI285" s="466"/>
      <c r="AJ285" s="466"/>
      <c r="AK285" s="466"/>
      <c r="AL285" s="466"/>
      <c r="AM285" s="462">
        <f t="shared" si="171"/>
        <v>281</v>
      </c>
      <c r="AN285" s="32">
        <f t="shared" si="188"/>
        <v>1.0041078157082641</v>
      </c>
      <c r="AO285" s="32">
        <f t="shared" si="189"/>
        <v>-0.12305369637021663</v>
      </c>
      <c r="AP285" s="32">
        <f t="shared" si="190"/>
        <v>1.4504691948246233</v>
      </c>
      <c r="AQ285" s="32">
        <f t="shared" si="191"/>
        <v>11.080768423625289</v>
      </c>
      <c r="AR285" s="32">
        <f t="shared" si="192"/>
        <v>22.003484029165843</v>
      </c>
      <c r="AS285" s="32">
        <f t="shared" si="172"/>
        <v>16.518455530375384</v>
      </c>
      <c r="AT285" s="32">
        <f t="shared" si="173"/>
        <v>10.777536000000001</v>
      </c>
      <c r="AU285" s="32">
        <f t="shared" si="174"/>
        <v>0.84734314138883182</v>
      </c>
      <c r="AV285" s="32">
        <f t="shared" si="175"/>
        <v>0.7939132408749231</v>
      </c>
      <c r="AW285" s="32">
        <f t="shared" si="176"/>
        <v>2.3238457638211925</v>
      </c>
      <c r="AX285" s="32">
        <f t="shared" si="177"/>
        <v>1.7497618068909833</v>
      </c>
      <c r="AY285" s="32">
        <f t="shared" si="178"/>
        <v>1.7811807513357565</v>
      </c>
      <c r="AZ285" s="32">
        <f t="shared" si="193"/>
        <v>0.15315476263447114</v>
      </c>
      <c r="BA285" s="32">
        <f t="shared" si="179"/>
        <v>-4.2621939613573074</v>
      </c>
      <c r="BB285" s="32">
        <f t="shared" si="194"/>
        <v>6.5153420386426939</v>
      </c>
      <c r="BC285" s="32">
        <f t="shared" si="180"/>
        <v>17.649999999999999</v>
      </c>
      <c r="BD285" s="32">
        <v>0</v>
      </c>
      <c r="BE285" s="32">
        <f t="shared" si="195"/>
        <v>2.0368037853560876</v>
      </c>
      <c r="BF285" s="32">
        <f t="shared" si="196"/>
        <v>0.25562303402033115</v>
      </c>
      <c r="BG285" s="32">
        <f t="shared" si="197"/>
        <v>0.12732238442978269</v>
      </c>
      <c r="BH285" s="32">
        <f t="shared" si="181"/>
        <v>1.4274479736633481</v>
      </c>
      <c r="BI285" s="32">
        <f t="shared" si="182"/>
        <v>0.41896501550313181</v>
      </c>
      <c r="BJ285" s="32">
        <f t="shared" si="183"/>
        <v>1.8464129891664798</v>
      </c>
      <c r="BK285" s="457">
        <f t="shared" si="184"/>
        <v>1.5533728150251562</v>
      </c>
      <c r="BL285" s="2"/>
    </row>
    <row r="286" spans="1:64" ht="15">
      <c r="A286" s="119"/>
      <c r="B286" s="480">
        <f>Input!B303</f>
        <v>38268</v>
      </c>
      <c r="C286" s="481">
        <v>1</v>
      </c>
      <c r="D286" s="481">
        <f t="shared" si="185"/>
        <v>10</v>
      </c>
      <c r="E286" s="481">
        <f t="shared" si="186"/>
        <v>8</v>
      </c>
      <c r="F286" s="481">
        <f t="shared" si="160"/>
        <v>282</v>
      </c>
      <c r="G286" s="431">
        <v>13.391999999999999</v>
      </c>
      <c r="H286" s="455">
        <v>17.850000000000001</v>
      </c>
      <c r="I286" s="455">
        <v>14.6</v>
      </c>
      <c r="J286" s="455">
        <v>2.34</v>
      </c>
      <c r="K286" s="485"/>
      <c r="L286" s="433">
        <v>100</v>
      </c>
      <c r="M286" s="455">
        <v>87</v>
      </c>
      <c r="N286" s="484">
        <f>Weather!M287</f>
        <v>0</v>
      </c>
      <c r="O286" s="481" t="str">
        <f t="shared" si="187"/>
        <v/>
      </c>
      <c r="P286" s="4">
        <f t="shared" si="198"/>
        <v>1.5303036358472843</v>
      </c>
      <c r="Q286" s="169">
        <f t="shared" si="161"/>
        <v>2.0446029103533596</v>
      </c>
      <c r="R286" s="169">
        <f t="shared" si="162"/>
        <v>1.6619223807933985</v>
      </c>
      <c r="S286" s="169">
        <f t="shared" si="163"/>
        <v>1.7788045320074228</v>
      </c>
      <c r="T286" s="169">
        <f t="shared" si="164"/>
        <v>1.6619223807933985</v>
      </c>
      <c r="U286" s="169">
        <f t="shared" si="165"/>
        <v>1.7203634564004107</v>
      </c>
      <c r="V286" s="169">
        <f t="shared" si="166"/>
        <v>5.9960699826318402E-2</v>
      </c>
      <c r="W286" s="439">
        <f t="shared" si="167"/>
        <v>15.136254480165318</v>
      </c>
      <c r="X286" s="439">
        <f t="shared" si="168"/>
        <v>15.136254480165318</v>
      </c>
      <c r="Y286" s="169"/>
      <c r="Z286" s="119" t="str">
        <f t="shared" si="169"/>
        <v/>
      </c>
      <c r="AA286" s="4" t="str">
        <f t="shared" si="170"/>
        <v/>
      </c>
      <c r="AB286" s="466"/>
      <c r="AC286" s="466"/>
      <c r="AD286" s="466"/>
      <c r="AE286" s="466"/>
      <c r="AF286" s="466"/>
      <c r="AG286" s="466"/>
      <c r="AH286" s="466"/>
      <c r="AI286" s="466"/>
      <c r="AJ286" s="466"/>
      <c r="AK286" s="466"/>
      <c r="AL286" s="466"/>
      <c r="AM286" s="462">
        <f t="shared" si="171"/>
        <v>282</v>
      </c>
      <c r="AN286" s="32">
        <f t="shared" si="188"/>
        <v>1.0046708297421625</v>
      </c>
      <c r="AO286" s="32">
        <f t="shared" si="189"/>
        <v>-0.12974952946855617</v>
      </c>
      <c r="AP286" s="32">
        <f t="shared" si="190"/>
        <v>1.4438147184652177</v>
      </c>
      <c r="AQ286" s="32">
        <f t="shared" si="191"/>
        <v>11.029931968923485</v>
      </c>
      <c r="AR286" s="32">
        <f t="shared" si="192"/>
        <v>21.740318332426053</v>
      </c>
      <c r="AS286" s="32">
        <f t="shared" si="172"/>
        <v>16.320891778518888</v>
      </c>
      <c r="AT286" s="32">
        <f t="shared" si="173"/>
        <v>10.31184</v>
      </c>
      <c r="AU286" s="32">
        <f t="shared" si="174"/>
        <v>0.82054339810194588</v>
      </c>
      <c r="AV286" s="32">
        <f t="shared" si="175"/>
        <v>0.75773358743762709</v>
      </c>
      <c r="AW286" s="32">
        <f t="shared" si="176"/>
        <v>2.0446029103533596</v>
      </c>
      <c r="AX286" s="32">
        <f t="shared" si="177"/>
        <v>1.6619223807933985</v>
      </c>
      <c r="AY286" s="32">
        <f t="shared" si="178"/>
        <v>1.7203634564004107</v>
      </c>
      <c r="AZ286" s="32">
        <f t="shared" si="193"/>
        <v>0.15637232304075713</v>
      </c>
      <c r="BA286" s="32">
        <f t="shared" si="179"/>
        <v>-4.0719150010533385</v>
      </c>
      <c r="BB286" s="32">
        <f t="shared" si="194"/>
        <v>6.2399249989466616</v>
      </c>
      <c r="BC286" s="32">
        <f t="shared" si="180"/>
        <v>16.225000000000001</v>
      </c>
      <c r="BD286" s="32">
        <v>0</v>
      </c>
      <c r="BE286" s="32">
        <f t="shared" si="195"/>
        <v>1.8532626455733792</v>
      </c>
      <c r="BF286" s="32">
        <f t="shared" si="196"/>
        <v>0.1328991891729685</v>
      </c>
      <c r="BG286" s="32">
        <f t="shared" si="197"/>
        <v>0.11763447498574509</v>
      </c>
      <c r="BH286" s="32">
        <f t="shared" si="181"/>
        <v>1.2575854676478653</v>
      </c>
      <c r="BI286" s="32">
        <f t="shared" si="182"/>
        <v>0.27271816819941913</v>
      </c>
      <c r="BJ286" s="32">
        <f t="shared" si="183"/>
        <v>1.5303036358472843</v>
      </c>
      <c r="BK286" s="457">
        <f t="shared" si="184"/>
        <v>1.2518937318938004</v>
      </c>
      <c r="BL286" s="2"/>
    </row>
    <row r="287" spans="1:64" ht="15">
      <c r="A287" s="119"/>
      <c r="B287" s="480">
        <f>Input!B304</f>
        <v>38269</v>
      </c>
      <c r="C287" s="481">
        <v>1</v>
      </c>
      <c r="D287" s="481">
        <f t="shared" si="185"/>
        <v>10</v>
      </c>
      <c r="E287" s="481">
        <f t="shared" si="186"/>
        <v>9</v>
      </c>
      <c r="F287" s="481">
        <f t="shared" si="160"/>
        <v>283</v>
      </c>
      <c r="G287" s="431">
        <v>11.491199999999999</v>
      </c>
      <c r="H287" s="455">
        <v>17</v>
      </c>
      <c r="I287" s="455">
        <v>13.4</v>
      </c>
      <c r="J287" s="455">
        <v>1.02</v>
      </c>
      <c r="K287" s="485"/>
      <c r="L287" s="433">
        <v>100</v>
      </c>
      <c r="M287" s="455">
        <v>84</v>
      </c>
      <c r="N287" s="484">
        <f>Weather!M288</f>
        <v>3.4</v>
      </c>
      <c r="O287" s="481">
        <f t="shared" si="187"/>
        <v>1</v>
      </c>
      <c r="P287" s="4">
        <f t="shared" si="198"/>
        <v>1.3902745849596458</v>
      </c>
      <c r="Q287" s="169">
        <f t="shared" si="161"/>
        <v>1.9377293518704448</v>
      </c>
      <c r="R287" s="169">
        <f t="shared" si="162"/>
        <v>1.537413793359947</v>
      </c>
      <c r="S287" s="169">
        <f t="shared" si="163"/>
        <v>1.6276926555711735</v>
      </c>
      <c r="T287" s="169">
        <f t="shared" si="164"/>
        <v>1.537413793359947</v>
      </c>
      <c r="U287" s="169">
        <f t="shared" si="165"/>
        <v>1.5825532244655602</v>
      </c>
      <c r="V287" s="169">
        <f t="shared" si="166"/>
        <v>5.5125953286732171E-2</v>
      </c>
      <c r="W287" s="439">
        <f t="shared" si="167"/>
        <v>13.844584641143427</v>
      </c>
      <c r="X287" s="439">
        <f t="shared" si="168"/>
        <v>13.844584641143427</v>
      </c>
      <c r="Y287" s="169"/>
      <c r="Z287" s="119" t="str">
        <f t="shared" si="169"/>
        <v/>
      </c>
      <c r="AA287" s="4" t="str">
        <f t="shared" si="170"/>
        <v/>
      </c>
      <c r="AB287" s="466"/>
      <c r="AC287" s="466"/>
      <c r="AD287" s="466"/>
      <c r="AE287" s="466"/>
      <c r="AF287" s="466"/>
      <c r="AG287" s="466"/>
      <c r="AH287" s="466"/>
      <c r="AI287" s="466"/>
      <c r="AJ287" s="466"/>
      <c r="AK287" s="466"/>
      <c r="AL287" s="466"/>
      <c r="AM287" s="462">
        <f t="shared" si="171"/>
        <v>283</v>
      </c>
      <c r="AN287" s="32">
        <f t="shared" si="188"/>
        <v>1.0052324597084035</v>
      </c>
      <c r="AO287" s="32">
        <f t="shared" si="189"/>
        <v>-0.13640691498108967</v>
      </c>
      <c r="AP287" s="32">
        <f t="shared" si="190"/>
        <v>1.437181291275178</v>
      </c>
      <c r="AQ287" s="32">
        <f t="shared" si="191"/>
        <v>10.979256318030606</v>
      </c>
      <c r="AR287" s="32">
        <f t="shared" si="192"/>
        <v>21.478603990819423</v>
      </c>
      <c r="AS287" s="32">
        <f t="shared" si="172"/>
        <v>16.12441758798796</v>
      </c>
      <c r="AT287" s="32">
        <f t="shared" si="173"/>
        <v>8.8482240000000001</v>
      </c>
      <c r="AU287" s="32">
        <f t="shared" si="174"/>
        <v>0.71265829834129824</v>
      </c>
      <c r="AV287" s="32">
        <f t="shared" si="175"/>
        <v>0.61208870276075267</v>
      </c>
      <c r="AW287" s="32">
        <f t="shared" si="176"/>
        <v>1.9377293518704448</v>
      </c>
      <c r="AX287" s="32">
        <f t="shared" si="177"/>
        <v>1.537413793359947</v>
      </c>
      <c r="AY287" s="32">
        <f t="shared" si="178"/>
        <v>1.5825532244655602</v>
      </c>
      <c r="AZ287" s="32">
        <f t="shared" si="193"/>
        <v>0.16388059959355705</v>
      </c>
      <c r="BA287" s="32">
        <f t="shared" si="179"/>
        <v>-3.3987509401644536</v>
      </c>
      <c r="BB287" s="32">
        <f t="shared" si="194"/>
        <v>5.4494730598355465</v>
      </c>
      <c r="BC287" s="32">
        <f t="shared" si="180"/>
        <v>15.2</v>
      </c>
      <c r="BD287" s="32">
        <v>0</v>
      </c>
      <c r="BE287" s="32">
        <f t="shared" si="195"/>
        <v>1.7375715726151959</v>
      </c>
      <c r="BF287" s="32">
        <f t="shared" si="196"/>
        <v>0.15501834814963567</v>
      </c>
      <c r="BG287" s="32">
        <f t="shared" si="197"/>
        <v>0.11105940056467699</v>
      </c>
      <c r="BH287" s="32">
        <f t="shared" si="181"/>
        <v>1.2257704553263873</v>
      </c>
      <c r="BI287" s="32">
        <f t="shared" si="182"/>
        <v>0.16450412963325856</v>
      </c>
      <c r="BJ287" s="32">
        <f t="shared" si="183"/>
        <v>1.3902745849596458</v>
      </c>
      <c r="BK287" s="457">
        <f t="shared" si="184"/>
        <v>1.2625046685299921</v>
      </c>
      <c r="BL287" s="2"/>
    </row>
    <row r="288" spans="1:64" ht="15">
      <c r="A288" s="119"/>
      <c r="B288" s="480">
        <f>Input!B305</f>
        <v>38270</v>
      </c>
      <c r="C288" s="481">
        <v>1</v>
      </c>
      <c r="D288" s="481">
        <f t="shared" si="185"/>
        <v>10</v>
      </c>
      <c r="E288" s="481">
        <f t="shared" si="186"/>
        <v>10</v>
      </c>
      <c r="F288" s="481">
        <f t="shared" si="160"/>
        <v>284</v>
      </c>
      <c r="G288" s="431">
        <v>11.1456</v>
      </c>
      <c r="H288" s="455">
        <v>17.420000000000002</v>
      </c>
      <c r="I288" s="455">
        <v>13.1</v>
      </c>
      <c r="J288" s="455">
        <v>1.1000000000000001</v>
      </c>
      <c r="K288" s="485"/>
      <c r="L288" s="433">
        <v>100</v>
      </c>
      <c r="M288" s="455">
        <v>87</v>
      </c>
      <c r="N288" s="484">
        <f>Weather!M289</f>
        <v>0</v>
      </c>
      <c r="O288" s="481" t="str">
        <f t="shared" si="187"/>
        <v/>
      </c>
      <c r="P288" s="4">
        <f t="shared" si="198"/>
        <v>1.3337837455308192</v>
      </c>
      <c r="Q288" s="169">
        <f t="shared" si="161"/>
        <v>1.9899095792499308</v>
      </c>
      <c r="R288" s="169">
        <f t="shared" si="162"/>
        <v>1.5075965447621003</v>
      </c>
      <c r="S288" s="169">
        <f t="shared" si="163"/>
        <v>1.7312213339474398</v>
      </c>
      <c r="T288" s="169">
        <f t="shared" si="164"/>
        <v>1.5075965447621003</v>
      </c>
      <c r="U288" s="169">
        <f t="shared" si="165"/>
        <v>1.6194089393547699</v>
      </c>
      <c r="V288" s="169">
        <f t="shared" si="166"/>
        <v>5.6459000350725791E-2</v>
      </c>
      <c r="W288" s="439">
        <f t="shared" si="167"/>
        <v>14.199404994809266</v>
      </c>
      <c r="X288" s="439">
        <f t="shared" si="168"/>
        <v>14.199404994809266</v>
      </c>
      <c r="Y288" s="169"/>
      <c r="Z288" s="119" t="str">
        <f t="shared" si="169"/>
        <v/>
      </c>
      <c r="AA288" s="4" t="str">
        <f t="shared" si="170"/>
        <v/>
      </c>
      <c r="AB288" s="466"/>
      <c r="AC288" s="466"/>
      <c r="AD288" s="466"/>
      <c r="AE288" s="466"/>
      <c r="AF288" s="466"/>
      <c r="AG288" s="466"/>
      <c r="AH288" s="466"/>
      <c r="AI288" s="466"/>
      <c r="AJ288" s="466"/>
      <c r="AK288" s="466"/>
      <c r="AL288" s="466"/>
      <c r="AM288" s="462">
        <f t="shared" si="171"/>
        <v>284</v>
      </c>
      <c r="AN288" s="32">
        <f t="shared" si="188"/>
        <v>1.0057925391839071</v>
      </c>
      <c r="AO288" s="32">
        <f t="shared" si="189"/>
        <v>-0.14302388018081227</v>
      </c>
      <c r="AP288" s="32">
        <f t="shared" si="190"/>
        <v>1.4305702343073459</v>
      </c>
      <c r="AQ288" s="32">
        <f t="shared" si="191"/>
        <v>10.92875156304696</v>
      </c>
      <c r="AR288" s="32">
        <f t="shared" si="192"/>
        <v>21.218435306061586</v>
      </c>
      <c r="AS288" s="32">
        <f t="shared" si="172"/>
        <v>15.929103752966554</v>
      </c>
      <c r="AT288" s="32">
        <f t="shared" si="173"/>
        <v>8.5821120000000004</v>
      </c>
      <c r="AU288" s="32">
        <f t="shared" si="174"/>
        <v>0.6997003832010511</v>
      </c>
      <c r="AV288" s="32">
        <f t="shared" si="175"/>
        <v>0.59459551732141902</v>
      </c>
      <c r="AW288" s="32">
        <f t="shared" si="176"/>
        <v>1.9899095792499308</v>
      </c>
      <c r="AX288" s="32">
        <f t="shared" si="177"/>
        <v>1.5075965447621003</v>
      </c>
      <c r="AY288" s="32">
        <f t="shared" si="178"/>
        <v>1.6194089393547701</v>
      </c>
      <c r="AZ288" s="32">
        <f t="shared" si="193"/>
        <v>0.16184160078359064</v>
      </c>
      <c r="BA288" s="32">
        <f t="shared" si="179"/>
        <v>-3.2635875600917683</v>
      </c>
      <c r="BB288" s="32">
        <f t="shared" si="194"/>
        <v>5.3185244399082325</v>
      </c>
      <c r="BC288" s="32">
        <f t="shared" si="180"/>
        <v>15.260000000000002</v>
      </c>
      <c r="BD288" s="32">
        <v>0</v>
      </c>
      <c r="BE288" s="32">
        <f t="shared" si="195"/>
        <v>1.7487530620060157</v>
      </c>
      <c r="BF288" s="32">
        <f t="shared" si="196"/>
        <v>0.12934412265124551</v>
      </c>
      <c r="BG288" s="32">
        <f t="shared" si="197"/>
        <v>0.11143548517049903</v>
      </c>
      <c r="BH288" s="32">
        <f t="shared" si="181"/>
        <v>1.1873901831992473</v>
      </c>
      <c r="BI288" s="32">
        <f t="shared" si="182"/>
        <v>0.14639356233157205</v>
      </c>
      <c r="BJ288" s="32">
        <f t="shared" si="183"/>
        <v>1.3337837455308192</v>
      </c>
      <c r="BK288" s="457">
        <f t="shared" si="184"/>
        <v>1.3687364385562695</v>
      </c>
      <c r="BL288" s="2"/>
    </row>
    <row r="289" spans="1:64" ht="15">
      <c r="A289" s="119"/>
      <c r="B289" s="480">
        <f>Input!B306</f>
        <v>38271</v>
      </c>
      <c r="C289" s="481">
        <v>1</v>
      </c>
      <c r="D289" s="481">
        <f t="shared" si="185"/>
        <v>10</v>
      </c>
      <c r="E289" s="481">
        <f t="shared" si="186"/>
        <v>11</v>
      </c>
      <c r="F289" s="481">
        <f t="shared" si="160"/>
        <v>285</v>
      </c>
      <c r="G289" s="431">
        <v>11.231999999999999</v>
      </c>
      <c r="H289" s="455">
        <v>15.79</v>
      </c>
      <c r="I289" s="455">
        <v>11.4</v>
      </c>
      <c r="J289" s="455">
        <v>2.17</v>
      </c>
      <c r="K289" s="485"/>
      <c r="L289" s="433">
        <v>100</v>
      </c>
      <c r="M289" s="455">
        <v>88</v>
      </c>
      <c r="N289" s="484">
        <f>Weather!M290</f>
        <v>2</v>
      </c>
      <c r="O289" s="481" t="str">
        <f t="shared" si="187"/>
        <v/>
      </c>
      <c r="P289" s="4">
        <f t="shared" si="198"/>
        <v>1.2083903019037199</v>
      </c>
      <c r="Q289" s="169">
        <f t="shared" si="161"/>
        <v>1.7940401438404578</v>
      </c>
      <c r="R289" s="169">
        <f t="shared" si="162"/>
        <v>1.3480279711634873</v>
      </c>
      <c r="S289" s="169">
        <f t="shared" si="163"/>
        <v>1.5787553265796028</v>
      </c>
      <c r="T289" s="169">
        <f t="shared" si="164"/>
        <v>1.3480279711634873</v>
      </c>
      <c r="U289" s="169">
        <f t="shared" si="165"/>
        <v>1.463391648871545</v>
      </c>
      <c r="V289" s="169">
        <f t="shared" si="166"/>
        <v>5.0593080163732387E-2</v>
      </c>
      <c r="W289" s="439">
        <f t="shared" si="167"/>
        <v>12.645513395798902</v>
      </c>
      <c r="X289" s="439">
        <f t="shared" si="168"/>
        <v>12.645513395798902</v>
      </c>
      <c r="Y289" s="169"/>
      <c r="Z289" s="119" t="str">
        <f t="shared" si="169"/>
        <v/>
      </c>
      <c r="AA289" s="4" t="str">
        <f t="shared" si="170"/>
        <v/>
      </c>
      <c r="AB289" s="466"/>
      <c r="AC289" s="466"/>
      <c r="AD289" s="466"/>
      <c r="AE289" s="466"/>
      <c r="AF289" s="466"/>
      <c r="AG289" s="466"/>
      <c r="AH289" s="466"/>
      <c r="AI289" s="466"/>
      <c r="AJ289" s="466"/>
      <c r="AK289" s="466"/>
      <c r="AL289" s="466"/>
      <c r="AM289" s="462">
        <f t="shared" si="171"/>
        <v>285</v>
      </c>
      <c r="AN289" s="32">
        <f t="shared" si="188"/>
        <v>1.0063509022050374</v>
      </c>
      <c r="AO289" s="32">
        <f t="shared" si="189"/>
        <v>-0.14959846431812882</v>
      </c>
      <c r="AP289" s="32">
        <f t="shared" si="190"/>
        <v>1.4239828984683154</v>
      </c>
      <c r="AQ289" s="32">
        <f t="shared" si="191"/>
        <v>10.878428024138731</v>
      </c>
      <c r="AR289" s="32">
        <f t="shared" si="192"/>
        <v>20.959905854310623</v>
      </c>
      <c r="AS289" s="32">
        <f t="shared" si="172"/>
        <v>15.735020522948073</v>
      </c>
      <c r="AT289" s="32">
        <f t="shared" si="173"/>
        <v>8.6486400000000003</v>
      </c>
      <c r="AU289" s="32">
        <f t="shared" si="174"/>
        <v>0.71382175724646602</v>
      </c>
      <c r="AV289" s="32">
        <f t="shared" si="175"/>
        <v>0.61365937228272915</v>
      </c>
      <c r="AW289" s="32">
        <f t="shared" si="176"/>
        <v>1.7940401438404578</v>
      </c>
      <c r="AX289" s="32">
        <f t="shared" si="177"/>
        <v>1.3480279711634873</v>
      </c>
      <c r="AY289" s="32">
        <f t="shared" si="178"/>
        <v>1.463391648871545</v>
      </c>
      <c r="AZ289" s="32">
        <f t="shared" si="193"/>
        <v>0.17064098394864746</v>
      </c>
      <c r="BA289" s="32">
        <f t="shared" si="179"/>
        <v>-3.4701070998955235</v>
      </c>
      <c r="BB289" s="32">
        <f t="shared" si="194"/>
        <v>5.1785329001044769</v>
      </c>
      <c r="BC289" s="32">
        <f t="shared" si="180"/>
        <v>13.594999999999999</v>
      </c>
      <c r="BD289" s="32">
        <v>0</v>
      </c>
      <c r="BE289" s="32">
        <f t="shared" si="195"/>
        <v>1.5710340575019726</v>
      </c>
      <c r="BF289" s="32">
        <f t="shared" si="196"/>
        <v>0.10764240863042751</v>
      </c>
      <c r="BG289" s="32">
        <f t="shared" si="197"/>
        <v>0.10139170742560391</v>
      </c>
      <c r="BH289" s="32">
        <f t="shared" si="181"/>
        <v>0.98258942197876109</v>
      </c>
      <c r="BI289" s="32">
        <f t="shared" si="182"/>
        <v>0.22580087992495887</v>
      </c>
      <c r="BJ289" s="32">
        <f t="shared" si="183"/>
        <v>1.2083903019037199</v>
      </c>
      <c r="BK289" s="457">
        <f t="shared" si="184"/>
        <v>1.2943264516189643</v>
      </c>
      <c r="BL289" s="2"/>
    </row>
    <row r="290" spans="1:64" ht="15">
      <c r="A290" s="119"/>
      <c r="B290" s="480">
        <f>Input!B307</f>
        <v>38272</v>
      </c>
      <c r="C290" s="481">
        <v>1</v>
      </c>
      <c r="D290" s="481">
        <f t="shared" si="185"/>
        <v>10</v>
      </c>
      <c r="E290" s="481">
        <f t="shared" si="186"/>
        <v>12</v>
      </c>
      <c r="F290" s="481">
        <f t="shared" si="160"/>
        <v>286</v>
      </c>
      <c r="G290" s="431">
        <v>9.7631999999999994</v>
      </c>
      <c r="H290" s="455">
        <v>14.8</v>
      </c>
      <c r="I290" s="455">
        <v>12.4</v>
      </c>
      <c r="J290" s="455">
        <v>1.44</v>
      </c>
      <c r="K290" s="485"/>
      <c r="L290" s="433">
        <v>100</v>
      </c>
      <c r="M290" s="455">
        <v>87</v>
      </c>
      <c r="N290" s="484">
        <f>Weather!M291</f>
        <v>5.8</v>
      </c>
      <c r="O290" s="481">
        <f t="shared" si="187"/>
        <v>1</v>
      </c>
      <c r="P290" s="4">
        <f t="shared" si="198"/>
        <v>1.1288149993848837</v>
      </c>
      <c r="Q290" s="169">
        <f t="shared" si="161"/>
        <v>1.6835115280330897</v>
      </c>
      <c r="R290" s="169">
        <f t="shared" si="162"/>
        <v>1.4399889496967868</v>
      </c>
      <c r="S290" s="169">
        <f t="shared" si="163"/>
        <v>1.4646550293887881</v>
      </c>
      <c r="T290" s="169">
        <f t="shared" si="164"/>
        <v>1.4399889496967868</v>
      </c>
      <c r="U290" s="169">
        <f t="shared" si="165"/>
        <v>1.4523219895427875</v>
      </c>
      <c r="V290" s="169">
        <f t="shared" si="166"/>
        <v>5.015340783668356E-2</v>
      </c>
      <c r="W290" s="439">
        <f t="shared" si="167"/>
        <v>12.529816686017741</v>
      </c>
      <c r="X290" s="439">
        <f t="shared" si="168"/>
        <v>12.529816686017741</v>
      </c>
      <c r="Y290" s="169"/>
      <c r="Z290" s="119" t="str">
        <f t="shared" si="169"/>
        <v/>
      </c>
      <c r="AA290" s="4" t="str">
        <f t="shared" si="170"/>
        <v/>
      </c>
      <c r="AB290" s="466"/>
      <c r="AC290" s="466"/>
      <c r="AD290" s="466"/>
      <c r="AE290" s="466"/>
      <c r="AF290" s="466"/>
      <c r="AG290" s="466"/>
      <c r="AH290" s="466"/>
      <c r="AI290" s="466"/>
      <c r="AJ290" s="466"/>
      <c r="AK290" s="466"/>
      <c r="AL290" s="466"/>
      <c r="AM290" s="462">
        <f t="shared" si="171"/>
        <v>286</v>
      </c>
      <c r="AN290" s="32">
        <f t="shared" si="188"/>
        <v>1.0069073833167805</v>
      </c>
      <c r="AO290" s="32">
        <f t="shared" si="189"/>
        <v>-0.15612871920186897</v>
      </c>
      <c r="AP290" s="32">
        <f t="shared" si="190"/>
        <v>1.4174206657334194</v>
      </c>
      <c r="AQ290" s="32">
        <f t="shared" si="191"/>
        <v>10.828296258819782</v>
      </c>
      <c r="AR290" s="32">
        <f t="shared" si="192"/>
        <v>20.703108411754588</v>
      </c>
      <c r="AS290" s="32">
        <f t="shared" si="172"/>
        <v>15.542237546872405</v>
      </c>
      <c r="AT290" s="32">
        <f t="shared" si="173"/>
        <v>7.5176639999999999</v>
      </c>
      <c r="AU290" s="32">
        <f t="shared" si="174"/>
        <v>0.62817210009537316</v>
      </c>
      <c r="AV290" s="32">
        <f t="shared" si="175"/>
        <v>0.49803233512875389</v>
      </c>
      <c r="AW290" s="32">
        <f t="shared" si="176"/>
        <v>1.6835115280330897</v>
      </c>
      <c r="AX290" s="32">
        <f t="shared" si="177"/>
        <v>1.4399889496967868</v>
      </c>
      <c r="AY290" s="32">
        <f t="shared" si="178"/>
        <v>1.4523219895427879</v>
      </c>
      <c r="AZ290" s="32">
        <f t="shared" si="193"/>
        <v>0.17128274837753363</v>
      </c>
      <c r="BA290" s="32">
        <f t="shared" si="179"/>
        <v>-2.8263541672873216</v>
      </c>
      <c r="BB290" s="32">
        <f t="shared" si="194"/>
        <v>4.6913098327126779</v>
      </c>
      <c r="BC290" s="32">
        <f t="shared" si="180"/>
        <v>13.600000000000001</v>
      </c>
      <c r="BD290" s="32">
        <v>0</v>
      </c>
      <c r="BE290" s="32">
        <f t="shared" si="195"/>
        <v>1.5617502388649382</v>
      </c>
      <c r="BF290" s="32">
        <f t="shared" si="196"/>
        <v>0.10942824932215034</v>
      </c>
      <c r="BG290" s="32">
        <f t="shared" si="197"/>
        <v>0.10142067465073586</v>
      </c>
      <c r="BH290" s="32">
        <f t="shared" si="181"/>
        <v>0.96391453940099459</v>
      </c>
      <c r="BI290" s="32">
        <f t="shared" si="182"/>
        <v>0.16490045998388905</v>
      </c>
      <c r="BJ290" s="32">
        <f t="shared" si="183"/>
        <v>1.1288149993848837</v>
      </c>
      <c r="BK290" s="457">
        <f t="shared" si="184"/>
        <v>0.9454369615394479</v>
      </c>
      <c r="BL290" s="2"/>
    </row>
    <row r="291" spans="1:64" ht="15">
      <c r="A291" s="119"/>
      <c r="B291" s="480">
        <f>Input!B308</f>
        <v>38273</v>
      </c>
      <c r="C291" s="481">
        <v>1</v>
      </c>
      <c r="D291" s="481">
        <f t="shared" si="185"/>
        <v>10</v>
      </c>
      <c r="E291" s="481">
        <f t="shared" si="186"/>
        <v>13</v>
      </c>
      <c r="F291" s="481">
        <f t="shared" si="160"/>
        <v>287</v>
      </c>
      <c r="G291" s="431">
        <v>9.3312000000000008</v>
      </c>
      <c r="H291" s="455">
        <v>15.5</v>
      </c>
      <c r="I291" s="455">
        <v>12.6</v>
      </c>
      <c r="J291" s="455">
        <v>1.52</v>
      </c>
      <c r="K291" s="485"/>
      <c r="L291" s="433">
        <v>100</v>
      </c>
      <c r="M291" s="455">
        <v>87</v>
      </c>
      <c r="N291" s="484">
        <f>Weather!M292</f>
        <v>0.4</v>
      </c>
      <c r="O291" s="481" t="str">
        <f t="shared" si="187"/>
        <v/>
      </c>
      <c r="P291" s="4">
        <f t="shared" si="198"/>
        <v>1.1134455470638116</v>
      </c>
      <c r="Q291" s="169">
        <f t="shared" si="161"/>
        <v>1.761022898120093</v>
      </c>
      <c r="R291" s="169">
        <f t="shared" si="162"/>
        <v>1.4590281988655032</v>
      </c>
      <c r="S291" s="169">
        <f t="shared" si="163"/>
        <v>1.532089921364481</v>
      </c>
      <c r="T291" s="169">
        <f t="shared" si="164"/>
        <v>1.4590281988655032</v>
      </c>
      <c r="U291" s="169">
        <f t="shared" si="165"/>
        <v>1.4955590601149922</v>
      </c>
      <c r="V291" s="169">
        <f t="shared" si="166"/>
        <v>5.1852101669449514E-2</v>
      </c>
      <c r="W291" s="439">
        <f t="shared" si="167"/>
        <v>12.97740969296615</v>
      </c>
      <c r="X291" s="439">
        <f t="shared" si="168"/>
        <v>12.97740969296615</v>
      </c>
      <c r="Y291" s="169"/>
      <c r="Z291" s="119" t="str">
        <f t="shared" si="169"/>
        <v/>
      </c>
      <c r="AA291" s="4" t="str">
        <f t="shared" si="170"/>
        <v/>
      </c>
      <c r="AB291" s="466"/>
      <c r="AC291" s="466"/>
      <c r="AD291" s="466"/>
      <c r="AE291" s="466"/>
      <c r="AF291" s="466"/>
      <c r="AG291" s="466"/>
      <c r="AH291" s="466"/>
      <c r="AI291" s="466"/>
      <c r="AJ291" s="466"/>
      <c r="AK291" s="466"/>
      <c r="AL291" s="466"/>
      <c r="AM291" s="462">
        <f t="shared" si="171"/>
        <v>287</v>
      </c>
      <c r="AN291" s="32">
        <f t="shared" si="188"/>
        <v>1.0074618176217736</v>
      </c>
      <c r="AO291" s="32">
        <f t="shared" si="189"/>
        <v>-0.16261270977657588</v>
      </c>
      <c r="AP291" s="32">
        <f t="shared" si="190"/>
        <v>1.4108849503110612</v>
      </c>
      <c r="AQ291" s="32">
        <f t="shared" si="191"/>
        <v>10.778367070846489</v>
      </c>
      <c r="AR291" s="32">
        <f t="shared" si="192"/>
        <v>20.448134881376756</v>
      </c>
      <c r="AS291" s="32">
        <f t="shared" si="172"/>
        <v>15.350823818147159</v>
      </c>
      <c r="AT291" s="32">
        <f t="shared" si="173"/>
        <v>7.1850240000000012</v>
      </c>
      <c r="AU291" s="32">
        <f t="shared" si="174"/>
        <v>0.60786314210505188</v>
      </c>
      <c r="AV291" s="32">
        <f t="shared" si="175"/>
        <v>0.47061524184182013</v>
      </c>
      <c r="AW291" s="32">
        <f t="shared" si="176"/>
        <v>1.761022898120093</v>
      </c>
      <c r="AX291" s="32">
        <f t="shared" si="177"/>
        <v>1.4590281988655032</v>
      </c>
      <c r="AY291" s="32">
        <f t="shared" si="178"/>
        <v>1.4955590601149922</v>
      </c>
      <c r="AZ291" s="32">
        <f t="shared" si="193"/>
        <v>0.16878972700724457</v>
      </c>
      <c r="BA291" s="32">
        <f t="shared" si="179"/>
        <v>-2.6485747685408869</v>
      </c>
      <c r="BB291" s="32">
        <f t="shared" si="194"/>
        <v>4.5364492314591143</v>
      </c>
      <c r="BC291" s="32">
        <f t="shared" si="180"/>
        <v>14.05</v>
      </c>
      <c r="BD291" s="32">
        <v>0</v>
      </c>
      <c r="BE291" s="32">
        <f t="shared" si="195"/>
        <v>1.6100255484927981</v>
      </c>
      <c r="BF291" s="32">
        <f t="shared" si="196"/>
        <v>0.11446648837780593</v>
      </c>
      <c r="BG291" s="32">
        <f t="shared" si="197"/>
        <v>0.10405672299800464</v>
      </c>
      <c r="BH291" s="32">
        <f t="shared" si="181"/>
        <v>0.93559531872089585</v>
      </c>
      <c r="BI291" s="32">
        <f t="shared" si="182"/>
        <v>0.17785022834291564</v>
      </c>
      <c r="BJ291" s="32">
        <f t="shared" si="183"/>
        <v>1.1134455470638116</v>
      </c>
      <c r="BK291" s="457">
        <f t="shared" si="184"/>
        <v>1.0411753761790488</v>
      </c>
      <c r="BL291" s="2"/>
    </row>
    <row r="292" spans="1:64" ht="15">
      <c r="A292" s="119"/>
      <c r="B292" s="480">
        <f>Input!B309</f>
        <v>38274</v>
      </c>
      <c r="C292" s="481">
        <v>1</v>
      </c>
      <c r="D292" s="481">
        <f t="shared" si="185"/>
        <v>10</v>
      </c>
      <c r="E292" s="481">
        <f t="shared" si="186"/>
        <v>14</v>
      </c>
      <c r="F292" s="481">
        <f t="shared" si="160"/>
        <v>288</v>
      </c>
      <c r="G292" s="431">
        <v>11.1456</v>
      </c>
      <c r="H292" s="455">
        <v>14.56</v>
      </c>
      <c r="I292" s="455">
        <v>11.2</v>
      </c>
      <c r="J292" s="455">
        <v>1.4</v>
      </c>
      <c r="K292" s="485"/>
      <c r="L292" s="433">
        <v>100</v>
      </c>
      <c r="M292" s="455">
        <v>87</v>
      </c>
      <c r="N292" s="484">
        <f>Weather!M293</f>
        <v>0.2</v>
      </c>
      <c r="O292" s="481" t="str">
        <f t="shared" si="187"/>
        <v/>
      </c>
      <c r="P292" s="4">
        <f t="shared" si="198"/>
        <v>1.1510967075143896</v>
      </c>
      <c r="Q292" s="169">
        <f t="shared" si="161"/>
        <v>1.6576338109450417</v>
      </c>
      <c r="R292" s="169">
        <f t="shared" si="162"/>
        <v>1.3302680876001909</v>
      </c>
      <c r="S292" s="169">
        <f t="shared" si="163"/>
        <v>1.4421414155221863</v>
      </c>
      <c r="T292" s="169">
        <f t="shared" si="164"/>
        <v>1.3302680876001909</v>
      </c>
      <c r="U292" s="169">
        <f t="shared" si="165"/>
        <v>1.3862047515611886</v>
      </c>
      <c r="V292" s="169">
        <f t="shared" si="166"/>
        <v>4.745543276744249E-2</v>
      </c>
      <c r="W292" s="439">
        <f t="shared" si="167"/>
        <v>11.822201903299252</v>
      </c>
      <c r="X292" s="439">
        <f t="shared" si="168"/>
        <v>11.822201903299252</v>
      </c>
      <c r="Y292" s="169"/>
      <c r="Z292" s="119" t="str">
        <f t="shared" si="169"/>
        <v/>
      </c>
      <c r="AA292" s="4" t="str">
        <f t="shared" si="170"/>
        <v/>
      </c>
      <c r="AB292" s="466"/>
      <c r="AC292" s="466"/>
      <c r="AD292" s="466"/>
      <c r="AE292" s="466"/>
      <c r="AF292" s="466"/>
      <c r="AG292" s="466"/>
      <c r="AH292" s="466"/>
      <c r="AI292" s="466"/>
      <c r="AJ292" s="466"/>
      <c r="AK292" s="466"/>
      <c r="AL292" s="466"/>
      <c r="AM292" s="462">
        <f t="shared" si="171"/>
        <v>288</v>
      </c>
      <c r="AN292" s="32">
        <f t="shared" si="188"/>
        <v>1.0080140408291658</v>
      </c>
      <c r="AO292" s="32">
        <f t="shared" si="189"/>
        <v>-0.16904851469590593</v>
      </c>
      <c r="AP292" s="32">
        <f t="shared" si="190"/>
        <v>1.4043771997523979</v>
      </c>
      <c r="AQ292" s="32">
        <f t="shared" si="191"/>
        <v>10.728651518695115</v>
      </c>
      <c r="AR292" s="32">
        <f t="shared" si="192"/>
        <v>20.195076221061662</v>
      </c>
      <c r="AS292" s="32">
        <f t="shared" si="172"/>
        <v>15.160847620675412</v>
      </c>
      <c r="AT292" s="32">
        <f t="shared" si="173"/>
        <v>8.5821120000000004</v>
      </c>
      <c r="AU292" s="32">
        <f t="shared" si="174"/>
        <v>0.73515678535020235</v>
      </c>
      <c r="AV292" s="32">
        <f t="shared" si="175"/>
        <v>0.64246166022277329</v>
      </c>
      <c r="AW292" s="32">
        <f t="shared" si="176"/>
        <v>1.6576338109450417</v>
      </c>
      <c r="AX292" s="32">
        <f t="shared" si="177"/>
        <v>1.3302680876001909</v>
      </c>
      <c r="AY292" s="32">
        <f t="shared" si="178"/>
        <v>1.3862047515611886</v>
      </c>
      <c r="AZ292" s="32">
        <f t="shared" si="193"/>
        <v>0.17516792444854887</v>
      </c>
      <c r="BA292" s="32">
        <f t="shared" si="179"/>
        <v>-3.6917655212389504</v>
      </c>
      <c r="BB292" s="32">
        <f t="shared" si="194"/>
        <v>4.8903464787610496</v>
      </c>
      <c r="BC292" s="32">
        <f t="shared" si="180"/>
        <v>12.879999999999999</v>
      </c>
      <c r="BD292" s="32">
        <v>0</v>
      </c>
      <c r="BE292" s="32">
        <f t="shared" si="195"/>
        <v>1.4939509492726164</v>
      </c>
      <c r="BF292" s="32">
        <f t="shared" si="196"/>
        <v>0.10774619771142779</v>
      </c>
      <c r="BG292" s="32">
        <f t="shared" si="197"/>
        <v>9.7321196944780378E-2</v>
      </c>
      <c r="BH292" s="32">
        <f t="shared" si="181"/>
        <v>0.98880446762115837</v>
      </c>
      <c r="BI292" s="32">
        <f t="shared" si="182"/>
        <v>0.16229223989323127</v>
      </c>
      <c r="BJ292" s="32">
        <f t="shared" si="183"/>
        <v>1.1510967075143896</v>
      </c>
      <c r="BK292" s="457">
        <f t="shared" si="184"/>
        <v>1.06618419982076</v>
      </c>
      <c r="BL292" s="2"/>
    </row>
    <row r="293" spans="1:64" ht="15">
      <c r="A293" s="119"/>
      <c r="B293" s="480">
        <f>Input!B310</f>
        <v>38275</v>
      </c>
      <c r="C293" s="481">
        <v>1</v>
      </c>
      <c r="D293" s="481">
        <f t="shared" si="185"/>
        <v>10</v>
      </c>
      <c r="E293" s="481">
        <f t="shared" si="186"/>
        <v>15</v>
      </c>
      <c r="F293" s="481">
        <f t="shared" si="160"/>
        <v>289</v>
      </c>
      <c r="G293" s="431">
        <v>12.3552</v>
      </c>
      <c r="H293" s="455">
        <v>14.5</v>
      </c>
      <c r="I293" s="455">
        <v>10.5</v>
      </c>
      <c r="J293" s="455">
        <v>1.88</v>
      </c>
      <c r="K293" s="485"/>
      <c r="L293" s="433">
        <v>100</v>
      </c>
      <c r="M293" s="455">
        <v>87</v>
      </c>
      <c r="N293" s="484">
        <f>Weather!M294</f>
        <v>4.2</v>
      </c>
      <c r="O293" s="481">
        <f t="shared" si="187"/>
        <v>1</v>
      </c>
      <c r="P293" s="4">
        <f t="shared" si="198"/>
        <v>1.1727987746997555</v>
      </c>
      <c r="Q293" s="169">
        <f t="shared" si="161"/>
        <v>1.6512191555446767</v>
      </c>
      <c r="R293" s="169">
        <f t="shared" si="162"/>
        <v>1.2697168912941836</v>
      </c>
      <c r="S293" s="169">
        <f t="shared" si="163"/>
        <v>1.4365606653238687</v>
      </c>
      <c r="T293" s="169">
        <f t="shared" si="164"/>
        <v>1.2697168912941836</v>
      </c>
      <c r="U293" s="169">
        <f t="shared" si="165"/>
        <v>1.3531387783090261</v>
      </c>
      <c r="V293" s="169">
        <f t="shared" si="166"/>
        <v>4.6057476570849618E-2</v>
      </c>
      <c r="W293" s="439">
        <f t="shared" si="167"/>
        <v>11.457125478560709</v>
      </c>
      <c r="X293" s="439">
        <f t="shared" si="168"/>
        <v>11.457125478560709</v>
      </c>
      <c r="Y293" s="169"/>
      <c r="Z293" s="119" t="str">
        <f t="shared" si="169"/>
        <v/>
      </c>
      <c r="AA293" s="4" t="str">
        <f t="shared" si="170"/>
        <v/>
      </c>
      <c r="AB293" s="466"/>
      <c r="AC293" s="466"/>
      <c r="AD293" s="466"/>
      <c r="AE293" s="466"/>
      <c r="AF293" s="466"/>
      <c r="AG293" s="466"/>
      <c r="AH293" s="466"/>
      <c r="AI293" s="466"/>
      <c r="AJ293" s="466"/>
      <c r="AK293" s="466"/>
      <c r="AL293" s="466"/>
      <c r="AM293" s="462">
        <f t="shared" si="171"/>
        <v>289</v>
      </c>
      <c r="AN293" s="32">
        <f t="shared" si="188"/>
        <v>1.0085638893033033</v>
      </c>
      <c r="AO293" s="32">
        <f t="shared" si="189"/>
        <v>-0.17543422689196619</v>
      </c>
      <c r="AP293" s="32">
        <f t="shared" si="190"/>
        <v>1.3978988960022019</v>
      </c>
      <c r="AQ293" s="32">
        <f t="shared" si="191"/>
        <v>10.67916092358978</v>
      </c>
      <c r="AR293" s="32">
        <f t="shared" si="192"/>
        <v>19.944022373203349</v>
      </c>
      <c r="AS293" s="32">
        <f t="shared" si="172"/>
        <v>14.97237647601122</v>
      </c>
      <c r="AT293" s="32">
        <f t="shared" si="173"/>
        <v>9.5135040000000011</v>
      </c>
      <c r="AU293" s="32">
        <f t="shared" si="174"/>
        <v>0.82519966150968305</v>
      </c>
      <c r="AV293" s="32">
        <f t="shared" si="175"/>
        <v>0.76401954303807218</v>
      </c>
      <c r="AW293" s="32">
        <f t="shared" si="176"/>
        <v>1.6512191555446767</v>
      </c>
      <c r="AX293" s="32">
        <f t="shared" si="177"/>
        <v>1.2697168912941836</v>
      </c>
      <c r="AY293" s="32">
        <f t="shared" si="178"/>
        <v>1.3531387783090263</v>
      </c>
      <c r="AZ293" s="32">
        <f t="shared" si="193"/>
        <v>0.1771457091297349</v>
      </c>
      <c r="BA293" s="32">
        <f t="shared" si="179"/>
        <v>-4.4166788420844103</v>
      </c>
      <c r="BB293" s="32">
        <f t="shared" si="194"/>
        <v>5.0968251579155908</v>
      </c>
      <c r="BC293" s="32">
        <f t="shared" si="180"/>
        <v>12.5</v>
      </c>
      <c r="BD293" s="32">
        <v>0</v>
      </c>
      <c r="BE293" s="32">
        <f t="shared" si="195"/>
        <v>1.4604680234194301</v>
      </c>
      <c r="BF293" s="32">
        <f t="shared" si="196"/>
        <v>0.10732924511040376</v>
      </c>
      <c r="BG293" s="32">
        <f t="shared" si="197"/>
        <v>9.5215053238296335E-2</v>
      </c>
      <c r="BH293" s="32">
        <f t="shared" si="181"/>
        <v>0.96478850706503272</v>
      </c>
      <c r="BI293" s="32">
        <f t="shared" si="182"/>
        <v>0.20801026763472272</v>
      </c>
      <c r="BJ293" s="32">
        <f t="shared" si="183"/>
        <v>1.1727987746997555</v>
      </c>
      <c r="BK293" s="457">
        <f t="shared" si="184"/>
        <v>1.1346113626028909</v>
      </c>
      <c r="BL293" s="2"/>
    </row>
    <row r="294" spans="1:64" ht="15">
      <c r="A294" s="119"/>
      <c r="B294" s="480">
        <f>Input!B311</f>
        <v>38276</v>
      </c>
      <c r="C294" s="481">
        <v>1</v>
      </c>
      <c r="D294" s="481">
        <f t="shared" si="185"/>
        <v>10</v>
      </c>
      <c r="E294" s="481">
        <f t="shared" si="186"/>
        <v>16</v>
      </c>
      <c r="F294" s="481">
        <f t="shared" si="160"/>
        <v>290</v>
      </c>
      <c r="G294" s="431">
        <v>10.281599999999999</v>
      </c>
      <c r="H294" s="455">
        <v>12.38</v>
      </c>
      <c r="I294" s="455">
        <v>8</v>
      </c>
      <c r="J294" s="455">
        <v>2.41</v>
      </c>
      <c r="K294" s="485"/>
      <c r="L294" s="433">
        <v>100</v>
      </c>
      <c r="M294" s="455">
        <v>82</v>
      </c>
      <c r="N294" s="484">
        <f>Weather!M295</f>
        <v>0</v>
      </c>
      <c r="O294" s="481" t="str">
        <f t="shared" si="187"/>
        <v/>
      </c>
      <c r="P294" s="4">
        <f t="shared" si="198"/>
        <v>1.0443698197165927</v>
      </c>
      <c r="Q294" s="169">
        <f t="shared" si="161"/>
        <v>1.4380970788431684</v>
      </c>
      <c r="R294" s="169">
        <f t="shared" si="162"/>
        <v>1.0727688258811263</v>
      </c>
      <c r="S294" s="169">
        <f t="shared" si="163"/>
        <v>1.179239604651398</v>
      </c>
      <c r="T294" s="169">
        <f t="shared" si="164"/>
        <v>1.0727688258811263</v>
      </c>
      <c r="U294" s="169">
        <f t="shared" si="165"/>
        <v>1.1260042152662622</v>
      </c>
      <c r="V294" s="169">
        <f t="shared" si="166"/>
        <v>3.5417543655117102E-2</v>
      </c>
      <c r="W294" s="439">
        <f t="shared" si="167"/>
        <v>8.7131826357354587</v>
      </c>
      <c r="X294" s="439">
        <f t="shared" si="168"/>
        <v>8.7131826357354587</v>
      </c>
      <c r="Y294" s="169"/>
      <c r="Z294" s="119" t="str">
        <f t="shared" si="169"/>
        <v/>
      </c>
      <c r="AA294" s="4" t="str">
        <f t="shared" si="170"/>
        <v/>
      </c>
      <c r="AB294" s="466"/>
      <c r="AC294" s="466"/>
      <c r="AD294" s="466"/>
      <c r="AE294" s="466"/>
      <c r="AF294" s="466"/>
      <c r="AG294" s="466"/>
      <c r="AH294" s="466"/>
      <c r="AI294" s="466"/>
      <c r="AJ294" s="466"/>
      <c r="AK294" s="466"/>
      <c r="AL294" s="466"/>
      <c r="AM294" s="462">
        <f t="shared" si="171"/>
        <v>290</v>
      </c>
      <c r="AN294" s="32">
        <f t="shared" si="188"/>
        <v>1.0091112001122164</v>
      </c>
      <c r="AO294" s="32">
        <f t="shared" si="189"/>
        <v>-0.18176795414041733</v>
      </c>
      <c r="AP294" s="32">
        <f t="shared" si="190"/>
        <v>1.3914515563865453</v>
      </c>
      <c r="AQ294" s="32">
        <f t="shared" si="191"/>
        <v>10.62990687704783</v>
      </c>
      <c r="AR294" s="32">
        <f t="shared" si="192"/>
        <v>19.695062195974888</v>
      </c>
      <c r="AS294" s="32">
        <f t="shared" si="172"/>
        <v>14.785477091762269</v>
      </c>
      <c r="AT294" s="32">
        <f t="shared" si="173"/>
        <v>7.9168319999999994</v>
      </c>
      <c r="AU294" s="32">
        <f t="shared" si="174"/>
        <v>0.69538506848239579</v>
      </c>
      <c r="AV294" s="32">
        <f t="shared" si="175"/>
        <v>0.58876984245123443</v>
      </c>
      <c r="AW294" s="32">
        <f t="shared" si="176"/>
        <v>1.4380970788431684</v>
      </c>
      <c r="AX294" s="32">
        <f t="shared" si="177"/>
        <v>1.0727688258811263</v>
      </c>
      <c r="AY294" s="32">
        <f t="shared" si="178"/>
        <v>1.1260042152662622</v>
      </c>
      <c r="AZ294" s="32">
        <f t="shared" si="193"/>
        <v>0.1914413159077574</v>
      </c>
      <c r="BA294" s="32">
        <f t="shared" si="179"/>
        <v>-3.5609388075061865</v>
      </c>
      <c r="BB294" s="32">
        <f t="shared" si="194"/>
        <v>4.3558931924938129</v>
      </c>
      <c r="BC294" s="32">
        <f t="shared" si="180"/>
        <v>10.190000000000001</v>
      </c>
      <c r="BD294" s="32">
        <v>0</v>
      </c>
      <c r="BE294" s="32">
        <f t="shared" si="195"/>
        <v>1.2554329523621472</v>
      </c>
      <c r="BF294" s="32">
        <f t="shared" si="196"/>
        <v>0.12942873709588509</v>
      </c>
      <c r="BG294" s="32">
        <f t="shared" si="197"/>
        <v>8.3228665435322258E-2</v>
      </c>
      <c r="BH294" s="32">
        <f t="shared" si="181"/>
        <v>0.72036036186456831</v>
      </c>
      <c r="BI294" s="32">
        <f t="shared" si="182"/>
        <v>0.3240094578520244</v>
      </c>
      <c r="BJ294" s="32">
        <f t="shared" si="183"/>
        <v>1.0443698197165927</v>
      </c>
      <c r="BK294" s="457">
        <f t="shared" si="184"/>
        <v>1.0830763232961576</v>
      </c>
      <c r="BL294" s="2"/>
    </row>
    <row r="295" spans="1:64" ht="15">
      <c r="A295" s="119"/>
      <c r="B295" s="480">
        <f>Input!B312</f>
        <v>38277</v>
      </c>
      <c r="C295" s="481">
        <v>1</v>
      </c>
      <c r="D295" s="481">
        <f t="shared" si="185"/>
        <v>10</v>
      </c>
      <c r="E295" s="481">
        <f t="shared" si="186"/>
        <v>17</v>
      </c>
      <c r="F295" s="481">
        <f t="shared" si="160"/>
        <v>291</v>
      </c>
      <c r="G295" s="431">
        <v>8.5535999999999994</v>
      </c>
      <c r="H295" s="455">
        <v>13.61</v>
      </c>
      <c r="I295" s="455">
        <v>7.7</v>
      </c>
      <c r="J295" s="455">
        <v>1.5</v>
      </c>
      <c r="K295" s="485"/>
      <c r="L295" s="433">
        <v>100</v>
      </c>
      <c r="M295" s="455">
        <v>86</v>
      </c>
      <c r="N295" s="484">
        <f>Weather!M296</f>
        <v>0</v>
      </c>
      <c r="O295" s="481" t="str">
        <f t="shared" si="187"/>
        <v/>
      </c>
      <c r="P295" s="4">
        <f t="shared" si="198"/>
        <v>0.92688630504524805</v>
      </c>
      <c r="Q295" s="169">
        <f t="shared" si="161"/>
        <v>1.5585926323859154</v>
      </c>
      <c r="R295" s="169">
        <f t="shared" si="162"/>
        <v>1.0510458572223333</v>
      </c>
      <c r="S295" s="169">
        <f t="shared" si="163"/>
        <v>1.3403896638518873</v>
      </c>
      <c r="T295" s="169">
        <f t="shared" si="164"/>
        <v>1.0510458572223333</v>
      </c>
      <c r="U295" s="169">
        <f t="shared" si="165"/>
        <v>1.1957177605371103</v>
      </c>
      <c r="V295" s="169">
        <f t="shared" si="166"/>
        <v>3.8895908925535419E-2</v>
      </c>
      <c r="W295" s="439">
        <f t="shared" si="167"/>
        <v>9.6035375083159771</v>
      </c>
      <c r="X295" s="439">
        <f t="shared" si="168"/>
        <v>9.6035375083159771</v>
      </c>
      <c r="Y295" s="169"/>
      <c r="Z295" s="119" t="str">
        <f t="shared" si="169"/>
        <v/>
      </c>
      <c r="AA295" s="4" t="str">
        <f t="shared" si="170"/>
        <v/>
      </c>
      <c r="AB295" s="466"/>
      <c r="AC295" s="466"/>
      <c r="AD295" s="466"/>
      <c r="AE295" s="466"/>
      <c r="AF295" s="466"/>
      <c r="AG295" s="466"/>
      <c r="AH295" s="466"/>
      <c r="AI295" s="466"/>
      <c r="AJ295" s="466"/>
      <c r="AK295" s="466"/>
      <c r="AL295" s="466"/>
      <c r="AM295" s="462">
        <f t="shared" si="171"/>
        <v>291</v>
      </c>
      <c r="AN295" s="32">
        <f t="shared" si="188"/>
        <v>1.0096558110759004</v>
      </c>
      <c r="AO295" s="32">
        <f t="shared" si="189"/>
        <v>-0.18804781962118322</v>
      </c>
      <c r="AP295" s="32">
        <f t="shared" si="190"/>
        <v>1.3850367345327472</v>
      </c>
      <c r="AQ295" s="32">
        <f t="shared" si="191"/>
        <v>10.580901247907709</v>
      </c>
      <c r="AR295" s="32">
        <f t="shared" si="192"/>
        <v>19.448283396414311</v>
      </c>
      <c r="AS295" s="32">
        <f t="shared" si="172"/>
        <v>14.600215311356152</v>
      </c>
      <c r="AT295" s="32">
        <f t="shared" si="173"/>
        <v>6.5862720000000001</v>
      </c>
      <c r="AU295" s="32">
        <f t="shared" si="174"/>
        <v>0.58585437389727724</v>
      </c>
      <c r="AV295" s="32">
        <f t="shared" si="175"/>
        <v>0.44090340476132439</v>
      </c>
      <c r="AW295" s="32">
        <f t="shared" si="176"/>
        <v>1.5585926323859154</v>
      </c>
      <c r="AX295" s="32">
        <f t="shared" si="177"/>
        <v>1.0510458572223333</v>
      </c>
      <c r="AY295" s="32">
        <f t="shared" si="178"/>
        <v>1.1957177605371105</v>
      </c>
      <c r="AZ295" s="32">
        <f t="shared" si="193"/>
        <v>0.18691156769197953</v>
      </c>
      <c r="BA295" s="32">
        <f t="shared" si="179"/>
        <v>-2.6214301531476982</v>
      </c>
      <c r="BB295" s="32">
        <f t="shared" si="194"/>
        <v>3.9648418468523019</v>
      </c>
      <c r="BC295" s="32">
        <f t="shared" si="180"/>
        <v>10.654999999999999</v>
      </c>
      <c r="BD295" s="32">
        <v>0</v>
      </c>
      <c r="BE295" s="32">
        <f t="shared" si="195"/>
        <v>1.3048192448041243</v>
      </c>
      <c r="BF295" s="32">
        <f t="shared" si="196"/>
        <v>0.10910148426701372</v>
      </c>
      <c r="BG295" s="32">
        <f t="shared" si="197"/>
        <v>8.5532058792096202E-2</v>
      </c>
      <c r="BH295" s="32">
        <f t="shared" si="181"/>
        <v>0.74040537255927086</v>
      </c>
      <c r="BI295" s="32">
        <f t="shared" si="182"/>
        <v>0.18648093248597719</v>
      </c>
      <c r="BJ295" s="32">
        <f t="shared" si="183"/>
        <v>0.92688630504524805</v>
      </c>
      <c r="BK295" s="457">
        <f t="shared" si="184"/>
        <v>1.2629767518039954</v>
      </c>
      <c r="BL295" s="2"/>
    </row>
    <row r="296" spans="1:64" ht="15">
      <c r="A296" s="119"/>
      <c r="B296" s="480">
        <f>Input!B313</f>
        <v>38278</v>
      </c>
      <c r="C296" s="481">
        <v>1</v>
      </c>
      <c r="D296" s="481">
        <f t="shared" si="185"/>
        <v>10</v>
      </c>
      <c r="E296" s="481">
        <f t="shared" si="186"/>
        <v>18</v>
      </c>
      <c r="F296" s="481">
        <f t="shared" si="160"/>
        <v>292</v>
      </c>
      <c r="G296" s="431">
        <v>1.9872000000000001</v>
      </c>
      <c r="H296" s="455">
        <v>14.39</v>
      </c>
      <c r="I296" s="455">
        <v>11.3</v>
      </c>
      <c r="J296" s="455">
        <v>1.23</v>
      </c>
      <c r="K296" s="485"/>
      <c r="L296" s="433">
        <v>100</v>
      </c>
      <c r="M296" s="455">
        <v>86</v>
      </c>
      <c r="N296" s="484">
        <f>Weather!M297</f>
        <v>0</v>
      </c>
      <c r="O296" s="481" t="str">
        <f t="shared" si="187"/>
        <v/>
      </c>
      <c r="P296" s="4">
        <f t="shared" si="198"/>
        <v>0.40507062756410828</v>
      </c>
      <c r="Q296" s="169">
        <f t="shared" si="161"/>
        <v>1.6395154843958133</v>
      </c>
      <c r="R296" s="169">
        <f t="shared" si="162"/>
        <v>1.3391221593998479</v>
      </c>
      <c r="S296" s="169">
        <f t="shared" si="163"/>
        <v>1.4099833165803994</v>
      </c>
      <c r="T296" s="169">
        <f t="shared" si="164"/>
        <v>1.3391221593998479</v>
      </c>
      <c r="U296" s="169">
        <f t="shared" si="165"/>
        <v>1.3745527379901237</v>
      </c>
      <c r="V296" s="169">
        <f t="shared" si="166"/>
        <v>4.6966653293513384E-2</v>
      </c>
      <c r="W296" s="439">
        <f t="shared" si="167"/>
        <v>11.694435315476111</v>
      </c>
      <c r="X296" s="439">
        <f t="shared" si="168"/>
        <v>11.694435315476111</v>
      </c>
      <c r="Y296" s="169"/>
      <c r="Z296" s="119" t="str">
        <f t="shared" si="169"/>
        <v/>
      </c>
      <c r="AA296" s="4" t="str">
        <f t="shared" si="170"/>
        <v/>
      </c>
      <c r="AB296" s="466"/>
      <c r="AC296" s="466"/>
      <c r="AD296" s="466"/>
      <c r="AE296" s="466"/>
      <c r="AF296" s="466"/>
      <c r="AG296" s="466"/>
      <c r="AH296" s="466"/>
      <c r="AI296" s="466"/>
      <c r="AJ296" s="466"/>
      <c r="AK296" s="466"/>
      <c r="AL296" s="466"/>
      <c r="AM296" s="462">
        <f t="shared" si="171"/>
        <v>292</v>
      </c>
      <c r="AN296" s="32">
        <f t="shared" si="188"/>
        <v>1.0101975608143732</v>
      </c>
      <c r="AO296" s="32">
        <f t="shared" si="189"/>
        <v>-0.19427196247459103</v>
      </c>
      <c r="AP296" s="32">
        <f t="shared" si="190"/>
        <v>1.3786560212168633</v>
      </c>
      <c r="AQ296" s="32">
        <f t="shared" si="191"/>
        <v>10.532156188803299</v>
      </c>
      <c r="AR296" s="32">
        <f t="shared" si="192"/>
        <v>19.203772465479801</v>
      </c>
      <c r="AS296" s="32">
        <f t="shared" si="172"/>
        <v>14.416656065284997</v>
      </c>
      <c r="AT296" s="32">
        <f t="shared" si="173"/>
        <v>1.5301440000000002</v>
      </c>
      <c r="AU296" s="32">
        <f t="shared" si="174"/>
        <v>0.3</v>
      </c>
      <c r="AV296" s="32">
        <f t="shared" si="175"/>
        <v>5.5000000000000049E-2</v>
      </c>
      <c r="AW296" s="32">
        <f t="shared" si="176"/>
        <v>1.6395154843958133</v>
      </c>
      <c r="AX296" s="32">
        <f t="shared" si="177"/>
        <v>1.3391221593998479</v>
      </c>
      <c r="AY296" s="32">
        <f t="shared" si="178"/>
        <v>1.3745527379901237</v>
      </c>
      <c r="AZ296" s="32">
        <f t="shared" si="193"/>
        <v>0.17586215042042733</v>
      </c>
      <c r="BA296" s="32">
        <f t="shared" si="179"/>
        <v>-0.31713264553697412</v>
      </c>
      <c r="BB296" s="32">
        <f t="shared" si="194"/>
        <v>1.2130113544630261</v>
      </c>
      <c r="BC296" s="32">
        <f t="shared" si="180"/>
        <v>12.845000000000001</v>
      </c>
      <c r="BD296" s="32">
        <v>0</v>
      </c>
      <c r="BE296" s="32">
        <f t="shared" si="195"/>
        <v>1.4893188218978306</v>
      </c>
      <c r="BF296" s="32">
        <f t="shared" si="196"/>
        <v>0.11476608390770693</v>
      </c>
      <c r="BG296" s="32">
        <f t="shared" si="197"/>
        <v>9.7125566349584302E-2</v>
      </c>
      <c r="BH296" s="32">
        <f t="shared" si="181"/>
        <v>0.24995850238720316</v>
      </c>
      <c r="BI296" s="32">
        <f t="shared" si="182"/>
        <v>0.15511212517690509</v>
      </c>
      <c r="BJ296" s="32">
        <f t="shared" si="183"/>
        <v>0.40507062756410828</v>
      </c>
      <c r="BK296" s="457">
        <f t="shared" si="184"/>
        <v>0.97115191006308177</v>
      </c>
      <c r="BL296" s="2"/>
    </row>
    <row r="297" spans="1:64" ht="15">
      <c r="A297" s="119"/>
      <c r="B297" s="480">
        <f>Input!B314</f>
        <v>38279</v>
      </c>
      <c r="C297" s="481">
        <v>1</v>
      </c>
      <c r="D297" s="481">
        <f t="shared" si="185"/>
        <v>10</v>
      </c>
      <c r="E297" s="481">
        <f t="shared" si="186"/>
        <v>19</v>
      </c>
      <c r="F297" s="481">
        <f t="shared" si="160"/>
        <v>293</v>
      </c>
      <c r="G297" s="431">
        <v>2.8512</v>
      </c>
      <c r="H297" s="455">
        <v>14.22</v>
      </c>
      <c r="I297" s="455">
        <v>10.199999999999999</v>
      </c>
      <c r="J297" s="455">
        <v>1.1299999999999999</v>
      </c>
      <c r="K297" s="485"/>
      <c r="L297" s="433">
        <v>100</v>
      </c>
      <c r="M297" s="455">
        <v>87</v>
      </c>
      <c r="N297" s="484">
        <f>Weather!M298</f>
        <v>0</v>
      </c>
      <c r="O297" s="481" t="str">
        <f t="shared" si="187"/>
        <v/>
      </c>
      <c r="P297" s="4">
        <f t="shared" si="198"/>
        <v>0.51944233409834339</v>
      </c>
      <c r="Q297" s="169">
        <f t="shared" si="161"/>
        <v>1.621571104151007</v>
      </c>
      <c r="R297" s="169">
        <f t="shared" si="162"/>
        <v>1.2445171553891614</v>
      </c>
      <c r="S297" s="169">
        <f t="shared" si="163"/>
        <v>1.4107668606113761</v>
      </c>
      <c r="T297" s="169">
        <f t="shared" si="164"/>
        <v>1.2445171553891614</v>
      </c>
      <c r="U297" s="169">
        <f t="shared" si="165"/>
        <v>1.3276420080002689</v>
      </c>
      <c r="V297" s="169">
        <f t="shared" si="166"/>
        <v>4.4956001624887491E-2</v>
      </c>
      <c r="W297" s="439">
        <f t="shared" si="167"/>
        <v>11.170227972466362</v>
      </c>
      <c r="X297" s="439">
        <f t="shared" si="168"/>
        <v>11.170227972466362</v>
      </c>
      <c r="Y297" s="169"/>
      <c r="Z297" s="119" t="str">
        <f t="shared" si="169"/>
        <v/>
      </c>
      <c r="AA297" s="4" t="str">
        <f t="shared" si="170"/>
        <v/>
      </c>
      <c r="AB297" s="466"/>
      <c r="AC297" s="466"/>
      <c r="AD297" s="466"/>
      <c r="AE297" s="466"/>
      <c r="AF297" s="466"/>
      <c r="AG297" s="466"/>
      <c r="AH297" s="466"/>
      <c r="AI297" s="466"/>
      <c r="AJ297" s="466"/>
      <c r="AK297" s="466"/>
      <c r="AL297" s="466"/>
      <c r="AM297" s="462">
        <f t="shared" si="171"/>
        <v>293</v>
      </c>
      <c r="AN297" s="32">
        <f t="shared" si="188"/>
        <v>1.0107362887954954</v>
      </c>
      <c r="AO297" s="32">
        <f t="shared" si="189"/>
        <v>-0.20043853835278497</v>
      </c>
      <c r="AP297" s="32">
        <f t="shared" si="190"/>
        <v>1.372311045133793</v>
      </c>
      <c r="AQ297" s="32">
        <f t="shared" si="191"/>
        <v>10.483684142047114</v>
      </c>
      <c r="AR297" s="32">
        <f t="shared" si="192"/>
        <v>18.961614615222096</v>
      </c>
      <c r="AS297" s="32">
        <f t="shared" si="172"/>
        <v>14.234863323939534</v>
      </c>
      <c r="AT297" s="32">
        <f t="shared" si="173"/>
        <v>2.195424</v>
      </c>
      <c r="AU297" s="32">
        <f t="shared" si="174"/>
        <v>0.3</v>
      </c>
      <c r="AV297" s="32">
        <f t="shared" si="175"/>
        <v>5.5000000000000049E-2</v>
      </c>
      <c r="AW297" s="32">
        <f t="shared" si="176"/>
        <v>1.621571104151007</v>
      </c>
      <c r="AX297" s="32">
        <f t="shared" si="177"/>
        <v>1.2445171553891614</v>
      </c>
      <c r="AY297" s="32">
        <f t="shared" si="178"/>
        <v>1.3276420080002687</v>
      </c>
      <c r="AZ297" s="32">
        <f t="shared" si="193"/>
        <v>0.17868731185425846</v>
      </c>
      <c r="BA297" s="32">
        <f t="shared" si="179"/>
        <v>-0.3194141380125835</v>
      </c>
      <c r="BB297" s="32">
        <f t="shared" si="194"/>
        <v>1.8760098619874166</v>
      </c>
      <c r="BC297" s="32">
        <f t="shared" si="180"/>
        <v>12.21</v>
      </c>
      <c r="BD297" s="32">
        <v>0</v>
      </c>
      <c r="BE297" s="32">
        <f t="shared" si="195"/>
        <v>1.4330441297700842</v>
      </c>
      <c r="BF297" s="32">
        <f t="shared" si="196"/>
        <v>0.10540212176981556</v>
      </c>
      <c r="BG297" s="32">
        <f t="shared" si="197"/>
        <v>9.3633960759551854E-2</v>
      </c>
      <c r="BH297" s="32">
        <f t="shared" si="181"/>
        <v>0.38421671432484966</v>
      </c>
      <c r="BI297" s="32">
        <f t="shared" si="182"/>
        <v>0.13522561977349368</v>
      </c>
      <c r="BJ297" s="32">
        <f t="shared" si="183"/>
        <v>0.51944233409834339</v>
      </c>
      <c r="BK297" s="457">
        <f t="shared" si="184"/>
        <v>1.071065644597947</v>
      </c>
      <c r="BL297" s="2"/>
    </row>
    <row r="298" spans="1:64" ht="15">
      <c r="A298" s="119"/>
      <c r="B298" s="480">
        <f>Input!B315</f>
        <v>38280</v>
      </c>
      <c r="C298" s="481">
        <v>1</v>
      </c>
      <c r="D298" s="481">
        <f t="shared" si="185"/>
        <v>10</v>
      </c>
      <c r="E298" s="481">
        <f t="shared" si="186"/>
        <v>20</v>
      </c>
      <c r="F298" s="481">
        <f t="shared" si="160"/>
        <v>294</v>
      </c>
      <c r="G298" s="431">
        <v>3.2831999999999999</v>
      </c>
      <c r="H298" s="455">
        <v>15.28</v>
      </c>
      <c r="I298" s="455">
        <v>11</v>
      </c>
      <c r="J298" s="455">
        <v>1.19</v>
      </c>
      <c r="K298" s="485"/>
      <c r="L298" s="433">
        <v>100</v>
      </c>
      <c r="M298" s="455">
        <v>87</v>
      </c>
      <c r="N298" s="484">
        <f>Weather!M299</f>
        <v>0.2</v>
      </c>
      <c r="O298" s="481" t="str">
        <f t="shared" si="187"/>
        <v/>
      </c>
      <c r="P298" s="4">
        <f t="shared" si="198"/>
        <v>0.60898906706801759</v>
      </c>
      <c r="Q298" s="169">
        <f t="shared" si="161"/>
        <v>1.7363318682108169</v>
      </c>
      <c r="R298" s="169">
        <f t="shared" si="162"/>
        <v>1.3127141391058279</v>
      </c>
      <c r="S298" s="169">
        <f t="shared" si="163"/>
        <v>1.5106087253434106</v>
      </c>
      <c r="T298" s="169">
        <f t="shared" si="164"/>
        <v>1.3127141391058279</v>
      </c>
      <c r="U298" s="169">
        <f t="shared" si="165"/>
        <v>1.4116614322246193</v>
      </c>
      <c r="V298" s="169">
        <f t="shared" si="166"/>
        <v>4.8509150960012175E-2</v>
      </c>
      <c r="W298" s="439">
        <f t="shared" si="167"/>
        <v>12.098089576400239</v>
      </c>
      <c r="X298" s="439">
        <f t="shared" si="168"/>
        <v>12.098089576400239</v>
      </c>
      <c r="Y298" s="169"/>
      <c r="Z298" s="119" t="str">
        <f t="shared" si="169"/>
        <v/>
      </c>
      <c r="AA298" s="4" t="str">
        <f t="shared" si="170"/>
        <v/>
      </c>
      <c r="AB298" s="466"/>
      <c r="AC298" s="466"/>
      <c r="AD298" s="466"/>
      <c r="AE298" s="466"/>
      <c r="AF298" s="466"/>
      <c r="AG298" s="466"/>
      <c r="AH298" s="466"/>
      <c r="AI298" s="466"/>
      <c r="AJ298" s="466"/>
      <c r="AK298" s="466"/>
      <c r="AL298" s="466"/>
      <c r="AM298" s="462">
        <f t="shared" si="171"/>
        <v>294</v>
      </c>
      <c r="AN298" s="32">
        <f t="shared" si="188"/>
        <v>1.0112718353825392</v>
      </c>
      <c r="AO298" s="32">
        <f t="shared" si="189"/>
        <v>-0.20654571996624735</v>
      </c>
      <c r="AP298" s="32">
        <f t="shared" si="190"/>
        <v>1.3660034735849265</v>
      </c>
      <c r="AQ298" s="32">
        <f t="shared" si="191"/>
        <v>10.435497844883535</v>
      </c>
      <c r="AR298" s="32">
        <f t="shared" si="192"/>
        <v>18.721893718218546</v>
      </c>
      <c r="AS298" s="32">
        <f t="shared" si="172"/>
        <v>14.054900052141027</v>
      </c>
      <c r="AT298" s="32">
        <f t="shared" si="173"/>
        <v>2.5280640000000001</v>
      </c>
      <c r="AU298" s="32">
        <f t="shared" si="174"/>
        <v>0.3</v>
      </c>
      <c r="AV298" s="32">
        <f t="shared" si="175"/>
        <v>5.5000000000000049E-2</v>
      </c>
      <c r="AW298" s="32">
        <f t="shared" si="176"/>
        <v>1.7363318682108169</v>
      </c>
      <c r="AX298" s="32">
        <f t="shared" si="177"/>
        <v>1.3127141391058279</v>
      </c>
      <c r="AY298" s="32">
        <f t="shared" si="178"/>
        <v>1.411661432224619</v>
      </c>
      <c r="AZ298" s="32">
        <f t="shared" si="193"/>
        <v>0.17366129713261999</v>
      </c>
      <c r="BA298" s="32">
        <f t="shared" si="179"/>
        <v>-0.31450829026027843</v>
      </c>
      <c r="BB298" s="32">
        <f t="shared" si="194"/>
        <v>2.2135557097397216</v>
      </c>
      <c r="BC298" s="32">
        <f t="shared" si="180"/>
        <v>13.14</v>
      </c>
      <c r="BD298" s="32">
        <v>0</v>
      </c>
      <c r="BE298" s="32">
        <f t="shared" si="195"/>
        <v>1.5245230036583224</v>
      </c>
      <c r="BF298" s="32">
        <f t="shared" si="196"/>
        <v>0.11286157143370334</v>
      </c>
      <c r="BG298" s="32">
        <f t="shared" si="197"/>
        <v>9.8784981804150074E-2</v>
      </c>
      <c r="BH298" s="32">
        <f t="shared" si="181"/>
        <v>0.46213392904050077</v>
      </c>
      <c r="BI298" s="32">
        <f t="shared" si="182"/>
        <v>0.14685513802751682</v>
      </c>
      <c r="BJ298" s="32">
        <f t="shared" si="183"/>
        <v>0.60898906706801759</v>
      </c>
      <c r="BK298" s="457">
        <f t="shared" si="184"/>
        <v>1.1250031047523625</v>
      </c>
      <c r="BL298" s="2"/>
    </row>
    <row r="299" spans="1:64" ht="15">
      <c r="A299" s="119"/>
      <c r="B299" s="480">
        <f>Input!B316</f>
        <v>38281</v>
      </c>
      <c r="C299" s="481">
        <v>1</v>
      </c>
      <c r="D299" s="481">
        <f t="shared" si="185"/>
        <v>10</v>
      </c>
      <c r="E299" s="481">
        <f t="shared" si="186"/>
        <v>21</v>
      </c>
      <c r="F299" s="481">
        <f t="shared" si="160"/>
        <v>295</v>
      </c>
      <c r="G299" s="431">
        <v>3.9744000000000002</v>
      </c>
      <c r="H299" s="455">
        <v>13.32</v>
      </c>
      <c r="I299" s="455">
        <v>9.6999999999999993</v>
      </c>
      <c r="J299" s="455">
        <v>0.67</v>
      </c>
      <c r="K299" s="485"/>
      <c r="L299" s="433">
        <v>100</v>
      </c>
      <c r="M299" s="455">
        <v>88</v>
      </c>
      <c r="N299" s="484">
        <f>Weather!M300</f>
        <v>0.2</v>
      </c>
      <c r="O299" s="481" t="str">
        <f t="shared" si="187"/>
        <v/>
      </c>
      <c r="P299" s="4">
        <f t="shared" si="198"/>
        <v>0.65869711822841781</v>
      </c>
      <c r="Q299" s="169">
        <f t="shared" si="161"/>
        <v>1.5294123528754255</v>
      </c>
      <c r="R299" s="169">
        <f t="shared" si="162"/>
        <v>1.2034938513584403</v>
      </c>
      <c r="S299" s="169">
        <f t="shared" si="163"/>
        <v>1.3458828705303745</v>
      </c>
      <c r="T299" s="169">
        <f t="shared" si="164"/>
        <v>1.2034938513584403</v>
      </c>
      <c r="U299" s="169">
        <f t="shared" si="165"/>
        <v>1.2746883609444075</v>
      </c>
      <c r="V299" s="169">
        <f t="shared" si="166"/>
        <v>4.259915643215003E-2</v>
      </c>
      <c r="W299" s="439">
        <f t="shared" si="167"/>
        <v>10.558565818343991</v>
      </c>
      <c r="X299" s="439">
        <f t="shared" si="168"/>
        <v>10.558565818343991</v>
      </c>
      <c r="Y299" s="169"/>
      <c r="Z299" s="119" t="str">
        <f t="shared" si="169"/>
        <v/>
      </c>
      <c r="AA299" s="4" t="str">
        <f t="shared" si="170"/>
        <v/>
      </c>
      <c r="AB299" s="466"/>
      <c r="AC299" s="466"/>
      <c r="AD299" s="466"/>
      <c r="AE299" s="466"/>
      <c r="AF299" s="466"/>
      <c r="AG299" s="466"/>
      <c r="AH299" s="466"/>
      <c r="AI299" s="466"/>
      <c r="AJ299" s="466"/>
      <c r="AK299" s="466"/>
      <c r="AL299" s="466"/>
      <c r="AM299" s="462">
        <f t="shared" si="171"/>
        <v>295</v>
      </c>
      <c r="AN299" s="32">
        <f t="shared" si="188"/>
        <v>1.0118040418814931</v>
      </c>
      <c r="AO299" s="32">
        <f t="shared" si="189"/>
        <v>-0.21259169762526167</v>
      </c>
      <c r="AP299" s="32">
        <f t="shared" si="190"/>
        <v>1.3597350130780816</v>
      </c>
      <c r="AQ299" s="32">
        <f t="shared" si="191"/>
        <v>10.387610334071985</v>
      </c>
      <c r="AR299" s="32">
        <f t="shared" si="192"/>
        <v>18.484692249408411</v>
      </c>
      <c r="AS299" s="32">
        <f t="shared" si="172"/>
        <v>13.876828165475883</v>
      </c>
      <c r="AT299" s="32">
        <f t="shared" si="173"/>
        <v>3.0602880000000003</v>
      </c>
      <c r="AU299" s="32">
        <f t="shared" si="174"/>
        <v>0.3</v>
      </c>
      <c r="AV299" s="32">
        <f t="shared" si="175"/>
        <v>5.5000000000000049E-2</v>
      </c>
      <c r="AW299" s="32">
        <f t="shared" si="176"/>
        <v>1.5294123528754255</v>
      </c>
      <c r="AX299" s="32">
        <f t="shared" si="177"/>
        <v>1.2034938513584403</v>
      </c>
      <c r="AY299" s="32">
        <f t="shared" si="178"/>
        <v>1.2746883609444075</v>
      </c>
      <c r="AZ299" s="32">
        <f t="shared" si="193"/>
        <v>0.18193706356482434</v>
      </c>
      <c r="BA299" s="32">
        <f t="shared" si="179"/>
        <v>-0.32202609807423832</v>
      </c>
      <c r="BB299" s="32">
        <f t="shared" si="194"/>
        <v>2.7382619019257621</v>
      </c>
      <c r="BC299" s="32">
        <f t="shared" si="180"/>
        <v>11.51</v>
      </c>
      <c r="BD299" s="32">
        <v>0</v>
      </c>
      <c r="BE299" s="32">
        <f t="shared" si="195"/>
        <v>1.366453102116933</v>
      </c>
      <c r="BF299" s="32">
        <f t="shared" si="196"/>
        <v>9.1764741172525532E-2</v>
      </c>
      <c r="BG299" s="32">
        <f t="shared" si="197"/>
        <v>8.9909392818139339E-2</v>
      </c>
      <c r="BH299" s="32">
        <f t="shared" si="181"/>
        <v>0.58294591803604101</v>
      </c>
      <c r="BI299" s="32">
        <f t="shared" si="182"/>
        <v>7.57512001923768E-2</v>
      </c>
      <c r="BJ299" s="32">
        <f t="shared" si="183"/>
        <v>0.65869711822841781</v>
      </c>
      <c r="BK299" s="457">
        <f t="shared" si="184"/>
        <v>0.9677074394325168</v>
      </c>
      <c r="BL299" s="2"/>
    </row>
    <row r="300" spans="1:64" ht="15">
      <c r="A300" s="119"/>
      <c r="B300" s="480">
        <f>Input!B317</f>
        <v>38282</v>
      </c>
      <c r="C300" s="481">
        <v>1</v>
      </c>
      <c r="D300" s="481">
        <f t="shared" si="185"/>
        <v>10</v>
      </c>
      <c r="E300" s="481">
        <f t="shared" si="186"/>
        <v>22</v>
      </c>
      <c r="F300" s="481">
        <f t="shared" si="160"/>
        <v>296</v>
      </c>
      <c r="G300" s="431">
        <v>0.86399999999999999</v>
      </c>
      <c r="H300" s="455">
        <v>14.7</v>
      </c>
      <c r="I300" s="455">
        <v>9.3000000000000007</v>
      </c>
      <c r="J300" s="455">
        <v>0.83</v>
      </c>
      <c r="K300" s="485"/>
      <c r="L300" s="433">
        <v>100</v>
      </c>
      <c r="M300" s="455">
        <v>88</v>
      </c>
      <c r="N300" s="484">
        <f>Weather!M301</f>
        <v>0</v>
      </c>
      <c r="O300" s="481" t="str">
        <f t="shared" si="187"/>
        <v/>
      </c>
      <c r="P300" s="4">
        <f t="shared" si="198"/>
        <v>0.17202542745231658</v>
      </c>
      <c r="Q300" s="169">
        <f t="shared" si="161"/>
        <v>1.6726864071818137</v>
      </c>
      <c r="R300" s="169">
        <f t="shared" si="162"/>
        <v>1.1715363388062088</v>
      </c>
      <c r="S300" s="169">
        <f t="shared" si="163"/>
        <v>1.4719640383199961</v>
      </c>
      <c r="T300" s="169">
        <f t="shared" si="164"/>
        <v>1.1715363388062088</v>
      </c>
      <c r="U300" s="169">
        <f t="shared" si="165"/>
        <v>1.3217501885631024</v>
      </c>
      <c r="V300" s="169">
        <f t="shared" si="166"/>
        <v>4.4698463487711206E-2</v>
      </c>
      <c r="W300" s="439">
        <f t="shared" si="167"/>
        <v>11.103243300914993</v>
      </c>
      <c r="X300" s="439">
        <f t="shared" si="168"/>
        <v>11.103243300914993</v>
      </c>
      <c r="Y300" s="169"/>
      <c r="Z300" s="119" t="str">
        <f t="shared" si="169"/>
        <v/>
      </c>
      <c r="AA300" s="4" t="str">
        <f t="shared" si="170"/>
        <v/>
      </c>
      <c r="AB300" s="466"/>
      <c r="AC300" s="466"/>
      <c r="AD300" s="466"/>
      <c r="AE300" s="466"/>
      <c r="AF300" s="466"/>
      <c r="AG300" s="466"/>
      <c r="AH300" s="466"/>
      <c r="AI300" s="466"/>
      <c r="AJ300" s="466"/>
      <c r="AK300" s="466"/>
      <c r="AL300" s="466"/>
      <c r="AM300" s="462">
        <f t="shared" si="171"/>
        <v>296</v>
      </c>
      <c r="AN300" s="32">
        <f t="shared" si="188"/>
        <v>1.0123327505880855</v>
      </c>
      <c r="AO300" s="32">
        <f t="shared" si="189"/>
        <v>-0.21857467977616535</v>
      </c>
      <c r="AP300" s="32">
        <f t="shared" si="190"/>
        <v>1.3535074098343212</v>
      </c>
      <c r="AQ300" s="32">
        <f t="shared" si="191"/>
        <v>10.340034949758721</v>
      </c>
      <c r="AR300" s="32">
        <f t="shared" si="192"/>
        <v>18.250091230463486</v>
      </c>
      <c r="AS300" s="32">
        <f t="shared" si="172"/>
        <v>13.700708488533548</v>
      </c>
      <c r="AT300" s="32">
        <f t="shared" si="173"/>
        <v>0.66527999999999998</v>
      </c>
      <c r="AU300" s="32">
        <f t="shared" si="174"/>
        <v>0.3</v>
      </c>
      <c r="AV300" s="32">
        <f t="shared" si="175"/>
        <v>5.5000000000000049E-2</v>
      </c>
      <c r="AW300" s="32">
        <f t="shared" si="176"/>
        <v>1.6726864071818137</v>
      </c>
      <c r="AX300" s="32">
        <f t="shared" si="177"/>
        <v>1.1715363388062088</v>
      </c>
      <c r="AY300" s="32">
        <f t="shared" si="178"/>
        <v>1.3217501885631029</v>
      </c>
      <c r="AZ300" s="32">
        <f t="shared" si="193"/>
        <v>0.17904564716716478</v>
      </c>
      <c r="BA300" s="32">
        <f t="shared" si="179"/>
        <v>-0.31919024087920911</v>
      </c>
      <c r="BB300" s="32">
        <f t="shared" si="194"/>
        <v>0.34608975912079087</v>
      </c>
      <c r="BC300" s="32">
        <f t="shared" si="180"/>
        <v>12</v>
      </c>
      <c r="BD300" s="32">
        <v>0</v>
      </c>
      <c r="BE300" s="32">
        <f t="shared" si="195"/>
        <v>1.4221113729940114</v>
      </c>
      <c r="BF300" s="32">
        <f t="shared" si="196"/>
        <v>0.10036118443090847</v>
      </c>
      <c r="BG300" s="32">
        <f t="shared" si="197"/>
        <v>9.250304085485847E-2</v>
      </c>
      <c r="BH300" s="32">
        <f t="shared" si="181"/>
        <v>7.3153059346677679E-2</v>
      </c>
      <c r="BI300" s="32">
        <f t="shared" si="182"/>
        <v>9.8872368105638889E-2</v>
      </c>
      <c r="BJ300" s="32">
        <f t="shared" si="183"/>
        <v>0.17202542745231658</v>
      </c>
      <c r="BK300" s="457">
        <f t="shared" si="184"/>
        <v>1.1864240329070557</v>
      </c>
      <c r="BL300" s="2"/>
    </row>
    <row r="301" spans="1:64" ht="15">
      <c r="A301" s="119"/>
      <c r="B301" s="480">
        <f>Input!B318</f>
        <v>38283</v>
      </c>
      <c r="C301" s="481">
        <v>1</v>
      </c>
      <c r="D301" s="481">
        <f t="shared" si="185"/>
        <v>10</v>
      </c>
      <c r="E301" s="481">
        <f t="shared" si="186"/>
        <v>23</v>
      </c>
      <c r="F301" s="481">
        <f t="shared" si="160"/>
        <v>297</v>
      </c>
      <c r="G301" s="431">
        <v>4.5792000000000002</v>
      </c>
      <c r="H301" s="455">
        <v>13.46</v>
      </c>
      <c r="I301" s="455">
        <v>7.8</v>
      </c>
      <c r="J301" s="455">
        <v>0.84</v>
      </c>
      <c r="K301" s="485"/>
      <c r="L301" s="433">
        <v>100</v>
      </c>
      <c r="M301" s="455">
        <v>88</v>
      </c>
      <c r="N301" s="484">
        <f>Weather!M302</f>
        <v>0.2</v>
      </c>
      <c r="O301" s="481" t="str">
        <f t="shared" si="187"/>
        <v/>
      </c>
      <c r="P301" s="4">
        <f t="shared" si="198"/>
        <v>0.68359126446427765</v>
      </c>
      <c r="Q301" s="169">
        <f t="shared" si="161"/>
        <v>1.5434389608472148</v>
      </c>
      <c r="R301" s="169">
        <f t="shared" si="162"/>
        <v>1.0582434147156987</v>
      </c>
      <c r="S301" s="169">
        <f t="shared" si="163"/>
        <v>1.3582262855455489</v>
      </c>
      <c r="T301" s="169">
        <f t="shared" si="164"/>
        <v>1.0582434147156987</v>
      </c>
      <c r="U301" s="169">
        <f t="shared" si="165"/>
        <v>1.2082348501306237</v>
      </c>
      <c r="V301" s="169">
        <f t="shared" si="166"/>
        <v>3.94989113268348E-2</v>
      </c>
      <c r="W301" s="439">
        <f t="shared" si="167"/>
        <v>9.7585435023357174</v>
      </c>
      <c r="X301" s="439">
        <f t="shared" si="168"/>
        <v>9.7585435023357174</v>
      </c>
      <c r="Y301" s="169"/>
      <c r="Z301" s="119" t="str">
        <f t="shared" si="169"/>
        <v/>
      </c>
      <c r="AA301" s="4" t="str">
        <f t="shared" si="170"/>
        <v/>
      </c>
      <c r="AB301" s="466"/>
      <c r="AC301" s="466"/>
      <c r="AD301" s="466"/>
      <c r="AE301" s="466"/>
      <c r="AF301" s="466"/>
      <c r="AG301" s="466"/>
      <c r="AH301" s="466"/>
      <c r="AI301" s="466"/>
      <c r="AJ301" s="466"/>
      <c r="AK301" s="466"/>
      <c r="AL301" s="466"/>
      <c r="AM301" s="462">
        <f t="shared" si="171"/>
        <v>297</v>
      </c>
      <c r="AN301" s="32">
        <f t="shared" si="188"/>
        <v>1.012857804834516</v>
      </c>
      <c r="AO301" s="32">
        <f t="shared" si="189"/>
        <v>-0.22449289353222343</v>
      </c>
      <c r="AP301" s="32">
        <f t="shared" si="190"/>
        <v>1.3473224501961161</v>
      </c>
      <c r="AQ301" s="32">
        <f t="shared" si="191"/>
        <v>10.292785338595001</v>
      </c>
      <c r="AR301" s="32">
        <f t="shared" si="192"/>
        <v>18.018170176823556</v>
      </c>
      <c r="AS301" s="32">
        <f t="shared" si="172"/>
        <v>13.526600715144982</v>
      </c>
      <c r="AT301" s="32">
        <f t="shared" si="173"/>
        <v>3.5259840000000002</v>
      </c>
      <c r="AU301" s="32">
        <f t="shared" si="174"/>
        <v>0.33853294677892909</v>
      </c>
      <c r="AV301" s="32">
        <f t="shared" si="175"/>
        <v>0.10701947815155433</v>
      </c>
      <c r="AW301" s="32">
        <f t="shared" si="176"/>
        <v>1.5434389608472148</v>
      </c>
      <c r="AX301" s="32">
        <f t="shared" si="177"/>
        <v>1.0582434147156987</v>
      </c>
      <c r="AY301" s="32">
        <f t="shared" si="178"/>
        <v>1.2082348501306239</v>
      </c>
      <c r="AZ301" s="32">
        <f t="shared" si="193"/>
        <v>0.18611236871483067</v>
      </c>
      <c r="BA301" s="32">
        <f t="shared" si="179"/>
        <v>-0.63331584851816747</v>
      </c>
      <c r="BB301" s="32">
        <f t="shared" si="194"/>
        <v>2.8926681514818329</v>
      </c>
      <c r="BC301" s="32">
        <f t="shared" si="180"/>
        <v>10.63</v>
      </c>
      <c r="BD301" s="32">
        <v>0</v>
      </c>
      <c r="BE301" s="32">
        <f t="shared" si="195"/>
        <v>1.3008411877814567</v>
      </c>
      <c r="BF301" s="32">
        <f t="shared" si="196"/>
        <v>9.2606337650832815E-2</v>
      </c>
      <c r="BG301" s="32">
        <f t="shared" si="197"/>
        <v>8.5406852225087093E-2</v>
      </c>
      <c r="BH301" s="32">
        <f t="shared" si="181"/>
        <v>0.58710214215664835</v>
      </c>
      <c r="BI301" s="32">
        <f t="shared" si="182"/>
        <v>9.6489122307629266E-2</v>
      </c>
      <c r="BJ301" s="32">
        <f t="shared" si="183"/>
        <v>0.68359126446427765</v>
      </c>
      <c r="BK301" s="457">
        <f t="shared" si="184"/>
        <v>1.1440829443989713</v>
      </c>
      <c r="BL301" s="2"/>
    </row>
    <row r="302" spans="1:64" ht="15">
      <c r="A302" s="119"/>
      <c r="B302" s="480">
        <f>Input!B319</f>
        <v>38284</v>
      </c>
      <c r="C302" s="481">
        <v>1</v>
      </c>
      <c r="D302" s="481">
        <f t="shared" si="185"/>
        <v>10</v>
      </c>
      <c r="E302" s="481">
        <f t="shared" si="186"/>
        <v>24</v>
      </c>
      <c r="F302" s="481">
        <f t="shared" si="160"/>
        <v>298</v>
      </c>
      <c r="G302" s="431">
        <v>10.281599999999999</v>
      </c>
      <c r="H302" s="455">
        <v>12.51</v>
      </c>
      <c r="I302" s="455">
        <v>7.1</v>
      </c>
      <c r="J302" s="455">
        <v>0.96</v>
      </c>
      <c r="K302" s="485"/>
      <c r="L302" s="433">
        <v>100</v>
      </c>
      <c r="M302" s="455">
        <v>87</v>
      </c>
      <c r="N302" s="484">
        <f>Weather!M303</f>
        <v>0.2</v>
      </c>
      <c r="O302" s="481" t="str">
        <f t="shared" si="187"/>
        <v/>
      </c>
      <c r="P302" s="4">
        <f t="shared" si="198"/>
        <v>0.85043660947984545</v>
      </c>
      <c r="Q302" s="169">
        <f t="shared" si="161"/>
        <v>1.4504333573326911</v>
      </c>
      <c r="R302" s="169">
        <f t="shared" si="162"/>
        <v>1.0087586481243795</v>
      </c>
      <c r="S302" s="169">
        <f t="shared" si="163"/>
        <v>1.2618770208794412</v>
      </c>
      <c r="T302" s="169">
        <f t="shared" si="164"/>
        <v>1.0087586481243795</v>
      </c>
      <c r="U302" s="169">
        <f t="shared" si="165"/>
        <v>1.1353178345019104</v>
      </c>
      <c r="V302" s="169">
        <f t="shared" si="166"/>
        <v>3.5894519268557662E-2</v>
      </c>
      <c r="W302" s="439">
        <f t="shared" si="167"/>
        <v>8.834893684004907</v>
      </c>
      <c r="X302" s="439">
        <f t="shared" si="168"/>
        <v>8.834893684004907</v>
      </c>
      <c r="Y302" s="169"/>
      <c r="Z302" s="119" t="str">
        <f t="shared" si="169"/>
        <v/>
      </c>
      <c r="AA302" s="4" t="str">
        <f t="shared" si="170"/>
        <v/>
      </c>
      <c r="AB302" s="466"/>
      <c r="AC302" s="466"/>
      <c r="AD302" s="466"/>
      <c r="AE302" s="466"/>
      <c r="AF302" s="466"/>
      <c r="AG302" s="466"/>
      <c r="AH302" s="466"/>
      <c r="AI302" s="466"/>
      <c r="AJ302" s="466"/>
      <c r="AK302" s="466"/>
      <c r="AL302" s="466"/>
      <c r="AM302" s="462">
        <f t="shared" si="171"/>
        <v>298</v>
      </c>
      <c r="AN302" s="32">
        <f t="shared" si="188"/>
        <v>1.0133790490358798</v>
      </c>
      <c r="AO302" s="32">
        <f t="shared" si="189"/>
        <v>-0.23034458519897413</v>
      </c>
      <c r="AP302" s="32">
        <f t="shared" si="190"/>
        <v>1.3411819609311797</v>
      </c>
      <c r="AQ302" s="32">
        <f t="shared" si="191"/>
        <v>10.245875456058169</v>
      </c>
      <c r="AR302" s="32">
        <f t="shared" si="192"/>
        <v>17.789007047519366</v>
      </c>
      <c r="AS302" s="32">
        <f t="shared" si="172"/>
        <v>13.354563370713739</v>
      </c>
      <c r="AT302" s="32">
        <f t="shared" si="173"/>
        <v>7.9168319999999994</v>
      </c>
      <c r="AU302" s="32">
        <f t="shared" si="174"/>
        <v>0.76989413390686512</v>
      </c>
      <c r="AV302" s="32">
        <f t="shared" si="175"/>
        <v>0.68935708077426805</v>
      </c>
      <c r="AW302" s="32">
        <f t="shared" si="176"/>
        <v>1.4504333573326911</v>
      </c>
      <c r="AX302" s="32">
        <f t="shared" si="177"/>
        <v>1.0087586481243795</v>
      </c>
      <c r="AY302" s="32">
        <f t="shared" si="178"/>
        <v>1.1353178345019104</v>
      </c>
      <c r="AZ302" s="32">
        <f t="shared" si="193"/>
        <v>0.19082818779595978</v>
      </c>
      <c r="BA302" s="32">
        <f t="shared" si="179"/>
        <v>-4.1341898588476456</v>
      </c>
      <c r="BB302" s="32">
        <f t="shared" si="194"/>
        <v>3.7826421411523539</v>
      </c>
      <c r="BC302" s="32">
        <f t="shared" si="180"/>
        <v>9.8049999999999997</v>
      </c>
      <c r="BD302" s="32">
        <v>0</v>
      </c>
      <c r="BE302" s="32">
        <f t="shared" si="195"/>
        <v>1.2295960027285353</v>
      </c>
      <c r="BF302" s="32">
        <f t="shared" si="196"/>
        <v>9.4278168226624937E-2</v>
      </c>
      <c r="BG302" s="32">
        <f t="shared" si="197"/>
        <v>8.1361807275725742E-2</v>
      </c>
      <c r="BH302" s="32">
        <f t="shared" si="181"/>
        <v>0.73698146399078246</v>
      </c>
      <c r="BI302" s="32">
        <f t="shared" si="182"/>
        <v>0.11345514548906305</v>
      </c>
      <c r="BJ302" s="32">
        <f t="shared" si="183"/>
        <v>0.85043660947984545</v>
      </c>
      <c r="BK302" s="457">
        <f t="shared" si="184"/>
        <v>1.0722593522724255</v>
      </c>
      <c r="BL302" s="2"/>
    </row>
    <row r="303" spans="1:64" ht="15">
      <c r="A303" s="119"/>
      <c r="B303" s="480">
        <f>Input!B320</f>
        <v>38285</v>
      </c>
      <c r="C303" s="481">
        <v>1</v>
      </c>
      <c r="D303" s="481">
        <f t="shared" si="185"/>
        <v>10</v>
      </c>
      <c r="E303" s="481">
        <f t="shared" si="186"/>
        <v>25</v>
      </c>
      <c r="F303" s="481">
        <f t="shared" si="160"/>
        <v>299</v>
      </c>
      <c r="G303" s="431">
        <v>8.0351999999999997</v>
      </c>
      <c r="H303" s="455">
        <v>12.57</v>
      </c>
      <c r="I303" s="455">
        <v>7.9</v>
      </c>
      <c r="J303" s="455">
        <v>1.03</v>
      </c>
      <c r="K303" s="485"/>
      <c r="L303" s="433">
        <v>100</v>
      </c>
      <c r="M303" s="455">
        <v>86</v>
      </c>
      <c r="N303" s="484">
        <f>Weather!M304</f>
        <v>0.2</v>
      </c>
      <c r="O303" s="481" t="str">
        <f t="shared" si="187"/>
        <v/>
      </c>
      <c r="P303" s="4">
        <f t="shared" si="198"/>
        <v>0.78548823208261953</v>
      </c>
      <c r="Q303" s="169">
        <f t="shared" si="161"/>
        <v>1.4561582962174013</v>
      </c>
      <c r="R303" s="169">
        <f t="shared" si="162"/>
        <v>1.0654843299074719</v>
      </c>
      <c r="S303" s="169">
        <f t="shared" si="163"/>
        <v>1.2522961347469652</v>
      </c>
      <c r="T303" s="169">
        <f t="shared" si="164"/>
        <v>1.0654843299074719</v>
      </c>
      <c r="U303" s="169">
        <f t="shared" si="165"/>
        <v>1.1588902323272186</v>
      </c>
      <c r="V303" s="169">
        <f t="shared" si="166"/>
        <v>3.7084456083400712E-2</v>
      </c>
      <c r="W303" s="439">
        <f t="shared" si="167"/>
        <v>9.1390584399509844</v>
      </c>
      <c r="X303" s="439">
        <f t="shared" si="168"/>
        <v>9.1390584399509844</v>
      </c>
      <c r="Y303" s="169"/>
      <c r="Z303" s="119" t="str">
        <f t="shared" si="169"/>
        <v/>
      </c>
      <c r="AA303" s="4" t="str">
        <f t="shared" si="170"/>
        <v/>
      </c>
      <c r="AB303" s="466"/>
      <c r="AC303" s="466"/>
      <c r="AD303" s="466"/>
      <c r="AE303" s="466"/>
      <c r="AF303" s="466"/>
      <c r="AG303" s="466"/>
      <c r="AH303" s="466"/>
      <c r="AI303" s="466"/>
      <c r="AJ303" s="466"/>
      <c r="AK303" s="466"/>
      <c r="AL303" s="466"/>
      <c r="AM303" s="462">
        <f t="shared" si="171"/>
        <v>299</v>
      </c>
      <c r="AN303" s="32">
        <f t="shared" si="188"/>
        <v>1.013896328736271</v>
      </c>
      <c r="AO303" s="32">
        <f t="shared" si="189"/>
        <v>-0.23612802079388742</v>
      </c>
      <c r="AP303" s="32">
        <f t="shared" si="190"/>
        <v>1.3350878094262035</v>
      </c>
      <c r="AQ303" s="32">
        <f t="shared" si="191"/>
        <v>10.19931956793171</v>
      </c>
      <c r="AR303" s="32">
        <f t="shared" si="192"/>
        <v>17.562678197900063</v>
      </c>
      <c r="AS303" s="32">
        <f t="shared" si="172"/>
        <v>13.184653776727536</v>
      </c>
      <c r="AT303" s="32">
        <f t="shared" si="173"/>
        <v>6.1871039999999997</v>
      </c>
      <c r="AU303" s="32">
        <f t="shared" si="174"/>
        <v>0.60943579832054995</v>
      </c>
      <c r="AV303" s="32">
        <f t="shared" si="175"/>
        <v>0.47273832773274249</v>
      </c>
      <c r="AW303" s="32">
        <f t="shared" si="176"/>
        <v>1.4561582962174013</v>
      </c>
      <c r="AX303" s="32">
        <f t="shared" si="177"/>
        <v>1.0654843299074719</v>
      </c>
      <c r="AY303" s="32">
        <f t="shared" si="178"/>
        <v>1.1588902323272186</v>
      </c>
      <c r="AZ303" s="32">
        <f t="shared" si="193"/>
        <v>0.18928753019868103</v>
      </c>
      <c r="BA303" s="32">
        <f t="shared" si="179"/>
        <v>-2.8289365783454326</v>
      </c>
      <c r="BB303" s="32">
        <f t="shared" si="194"/>
        <v>3.3581674216545672</v>
      </c>
      <c r="BC303" s="32">
        <f t="shared" si="180"/>
        <v>10.234999999999999</v>
      </c>
      <c r="BD303" s="32">
        <v>0</v>
      </c>
      <c r="BE303" s="32">
        <f t="shared" si="195"/>
        <v>1.2608213130624366</v>
      </c>
      <c r="BF303" s="32">
        <f t="shared" si="196"/>
        <v>0.10193108073521806</v>
      </c>
      <c r="BG303" s="32">
        <f t="shared" si="197"/>
        <v>8.3449236164725576E-2</v>
      </c>
      <c r="BH303" s="32">
        <f t="shared" si="181"/>
        <v>0.65686076030057272</v>
      </c>
      <c r="BI303" s="32">
        <f t="shared" si="182"/>
        <v>0.12862747178204678</v>
      </c>
      <c r="BJ303" s="32">
        <f t="shared" si="183"/>
        <v>0.78548823208261953</v>
      </c>
      <c r="BK303" s="457">
        <f t="shared" si="184"/>
        <v>0.9988758107292488</v>
      </c>
      <c r="BL303" s="2"/>
    </row>
    <row r="304" spans="1:64" ht="15">
      <c r="A304" s="119"/>
      <c r="B304" s="480">
        <f>Input!B321</f>
        <v>38286</v>
      </c>
      <c r="C304" s="481">
        <v>1</v>
      </c>
      <c r="D304" s="481">
        <f t="shared" si="185"/>
        <v>10</v>
      </c>
      <c r="E304" s="481">
        <f t="shared" si="186"/>
        <v>26</v>
      </c>
      <c r="F304" s="481">
        <f t="shared" si="160"/>
        <v>300</v>
      </c>
      <c r="G304" s="431">
        <v>9.4176000000000002</v>
      </c>
      <c r="H304" s="455">
        <v>12.14</v>
      </c>
      <c r="I304" s="455">
        <v>7.4</v>
      </c>
      <c r="J304" s="455">
        <v>1.93</v>
      </c>
      <c r="K304" s="485"/>
      <c r="L304" s="433">
        <v>100</v>
      </c>
      <c r="M304" s="455">
        <v>88</v>
      </c>
      <c r="N304" s="484">
        <f>Weather!M305</f>
        <v>22</v>
      </c>
      <c r="O304" s="481">
        <f t="shared" si="187"/>
        <v>1</v>
      </c>
      <c r="P304" s="4">
        <f t="shared" si="198"/>
        <v>0.78457355239869742</v>
      </c>
      <c r="Q304" s="169">
        <f t="shared" si="161"/>
        <v>1.415564293531423</v>
      </c>
      <c r="R304" s="169">
        <f t="shared" si="162"/>
        <v>1.0297111140367921</v>
      </c>
      <c r="S304" s="169">
        <f t="shared" si="163"/>
        <v>1.2456965783076523</v>
      </c>
      <c r="T304" s="169">
        <f t="shared" si="164"/>
        <v>1.0297111140367921</v>
      </c>
      <c r="U304" s="169">
        <f t="shared" si="165"/>
        <v>1.1377038461722222</v>
      </c>
      <c r="V304" s="169">
        <f t="shared" si="166"/>
        <v>3.6016083778308235E-2</v>
      </c>
      <c r="W304" s="439">
        <f t="shared" si="167"/>
        <v>8.8659328612979067</v>
      </c>
      <c r="X304" s="439">
        <f t="shared" si="168"/>
        <v>8.8659328612979067</v>
      </c>
      <c r="Y304" s="169"/>
      <c r="Z304" s="119" t="str">
        <f t="shared" si="169"/>
        <v/>
      </c>
      <c r="AA304" s="4" t="str">
        <f t="shared" si="170"/>
        <v/>
      </c>
      <c r="AB304" s="466"/>
      <c r="AC304" s="466"/>
      <c r="AD304" s="466"/>
      <c r="AE304" s="466"/>
      <c r="AF304" s="466"/>
      <c r="AG304" s="466"/>
      <c r="AH304" s="466"/>
      <c r="AI304" s="466"/>
      <c r="AJ304" s="466"/>
      <c r="AK304" s="466"/>
      <c r="AL304" s="466"/>
      <c r="AM304" s="462">
        <f t="shared" si="171"/>
        <v>300</v>
      </c>
      <c r="AN304" s="32">
        <f t="shared" si="188"/>
        <v>1.01440949065455</v>
      </c>
      <c r="AO304" s="32">
        <f t="shared" si="189"/>
        <v>-0.24184148656017906</v>
      </c>
      <c r="AP304" s="32">
        <f t="shared" si="190"/>
        <v>1.3290419037646402</v>
      </c>
      <c r="AQ304" s="32">
        <f t="shared" si="191"/>
        <v>10.153132250899466</v>
      </c>
      <c r="AR304" s="32">
        <f t="shared" si="192"/>
        <v>17.339258335375341</v>
      </c>
      <c r="AS304" s="32">
        <f t="shared" si="172"/>
        <v>13.016928017532976</v>
      </c>
      <c r="AT304" s="32">
        <f t="shared" si="173"/>
        <v>7.2515520000000002</v>
      </c>
      <c r="AU304" s="32">
        <f t="shared" si="174"/>
        <v>0.72348867469460465</v>
      </c>
      <c r="AV304" s="32">
        <f t="shared" si="175"/>
        <v>0.62670971083771632</v>
      </c>
      <c r="AW304" s="32">
        <f t="shared" si="176"/>
        <v>1.415564293531423</v>
      </c>
      <c r="AX304" s="32">
        <f t="shared" si="177"/>
        <v>1.0297111140367921</v>
      </c>
      <c r="AY304" s="32">
        <f t="shared" si="178"/>
        <v>1.1377038461722224</v>
      </c>
      <c r="AZ304" s="32">
        <f t="shared" si="193"/>
        <v>0.1906715185070994</v>
      </c>
      <c r="BA304" s="32">
        <f t="shared" si="179"/>
        <v>-3.7530620519088371</v>
      </c>
      <c r="BB304" s="32">
        <f t="shared" si="194"/>
        <v>3.4984899480911631</v>
      </c>
      <c r="BC304" s="32">
        <f t="shared" si="180"/>
        <v>9.77</v>
      </c>
      <c r="BD304" s="32">
        <v>0</v>
      </c>
      <c r="BE304" s="32">
        <f t="shared" si="195"/>
        <v>1.2226377037841076</v>
      </c>
      <c r="BF304" s="32">
        <f t="shared" si="196"/>
        <v>8.4933857611885211E-2</v>
      </c>
      <c r="BG304" s="32">
        <f t="shared" si="197"/>
        <v>8.1193879392628399E-2</v>
      </c>
      <c r="BH304" s="32">
        <f t="shared" si="181"/>
        <v>0.60253242457240952</v>
      </c>
      <c r="BI304" s="32">
        <f t="shared" si="182"/>
        <v>0.1820411278262879</v>
      </c>
      <c r="BJ304" s="32">
        <f t="shared" si="183"/>
        <v>0.78457355239869742</v>
      </c>
      <c r="BK304" s="457">
        <f t="shared" si="184"/>
        <v>0.97705318714851597</v>
      </c>
      <c r="BL304" s="2"/>
    </row>
    <row r="305" spans="1:64" ht="15">
      <c r="A305" s="119"/>
      <c r="B305" s="480">
        <f>Input!B322</f>
        <v>38287</v>
      </c>
      <c r="C305" s="481">
        <v>1</v>
      </c>
      <c r="D305" s="481">
        <f t="shared" si="185"/>
        <v>10</v>
      </c>
      <c r="E305" s="481">
        <f t="shared" si="186"/>
        <v>27</v>
      </c>
      <c r="F305" s="481">
        <f t="shared" si="160"/>
        <v>301</v>
      </c>
      <c r="G305" s="431">
        <v>3.456</v>
      </c>
      <c r="H305" s="455">
        <v>13.33</v>
      </c>
      <c r="I305" s="455">
        <v>12.6</v>
      </c>
      <c r="J305" s="455">
        <v>1.1000000000000001</v>
      </c>
      <c r="K305" s="485"/>
      <c r="L305" s="433">
        <v>100</v>
      </c>
      <c r="M305" s="455">
        <v>88</v>
      </c>
      <c r="N305" s="484">
        <f>Weather!M306</f>
        <v>7.8</v>
      </c>
      <c r="O305" s="481">
        <f t="shared" si="187"/>
        <v>1</v>
      </c>
      <c r="P305" s="4">
        <f t="shared" si="198"/>
        <v>0.60504683058495901</v>
      </c>
      <c r="Q305" s="169">
        <f t="shared" si="161"/>
        <v>1.5304105299087349</v>
      </c>
      <c r="R305" s="169">
        <f t="shared" si="162"/>
        <v>1.4590281988655032</v>
      </c>
      <c r="S305" s="169">
        <f t="shared" si="163"/>
        <v>1.3467612663196868</v>
      </c>
      <c r="T305" s="169">
        <f t="shared" si="164"/>
        <v>1.4590281988655032</v>
      </c>
      <c r="U305" s="169">
        <f t="shared" si="165"/>
        <v>1.4028947325925949</v>
      </c>
      <c r="V305" s="169">
        <f t="shared" si="166"/>
        <v>4.8148435073355082E-2</v>
      </c>
      <c r="W305" s="439">
        <f t="shared" si="167"/>
        <v>12.003577095329653</v>
      </c>
      <c r="X305" s="439">
        <f t="shared" si="168"/>
        <v>12.003577095329653</v>
      </c>
      <c r="Y305" s="169"/>
      <c r="Z305" s="119" t="str">
        <f t="shared" si="169"/>
        <v/>
      </c>
      <c r="AA305" s="4" t="str">
        <f t="shared" si="170"/>
        <v/>
      </c>
      <c r="AB305" s="466"/>
      <c r="AC305" s="466"/>
      <c r="AD305" s="466"/>
      <c r="AE305" s="466"/>
      <c r="AF305" s="466"/>
      <c r="AG305" s="466"/>
      <c r="AH305" s="466"/>
      <c r="AI305" s="466"/>
      <c r="AJ305" s="466"/>
      <c r="AK305" s="466"/>
      <c r="AL305" s="466"/>
      <c r="AM305" s="462">
        <f t="shared" si="171"/>
        <v>301</v>
      </c>
      <c r="AN305" s="32">
        <f t="shared" si="188"/>
        <v>1.0149183827297661</v>
      </c>
      <c r="AO305" s="32">
        <f t="shared" si="189"/>
        <v>-0.24748328947463652</v>
      </c>
      <c r="AP305" s="32">
        <f t="shared" si="190"/>
        <v>1.3230461926826109</v>
      </c>
      <c r="AQ305" s="32">
        <f t="shared" si="191"/>
        <v>10.107328392208787</v>
      </c>
      <c r="AR305" s="32">
        <f t="shared" si="192"/>
        <v>17.118820478275047</v>
      </c>
      <c r="AS305" s="32">
        <f t="shared" si="172"/>
        <v>12.851440909450645</v>
      </c>
      <c r="AT305" s="32">
        <f t="shared" si="173"/>
        <v>2.6611199999999999</v>
      </c>
      <c r="AU305" s="32">
        <f t="shared" si="174"/>
        <v>0.3</v>
      </c>
      <c r="AV305" s="32">
        <f t="shared" si="175"/>
        <v>5.5000000000000049E-2</v>
      </c>
      <c r="AW305" s="32">
        <f t="shared" si="176"/>
        <v>1.5304105299087349</v>
      </c>
      <c r="AX305" s="32">
        <f t="shared" si="177"/>
        <v>1.4590281988655032</v>
      </c>
      <c r="AY305" s="32">
        <f t="shared" si="178"/>
        <v>1.4028947325925951</v>
      </c>
      <c r="AZ305" s="32">
        <f t="shared" si="193"/>
        <v>0.1741785998165048</v>
      </c>
      <c r="BA305" s="32">
        <f t="shared" si="179"/>
        <v>-0.3145721806818812</v>
      </c>
      <c r="BB305" s="32">
        <f t="shared" si="194"/>
        <v>2.3465478193181188</v>
      </c>
      <c r="BC305" s="32">
        <f t="shared" si="180"/>
        <v>12.965</v>
      </c>
      <c r="BD305" s="32">
        <v>0</v>
      </c>
      <c r="BE305" s="32">
        <f t="shared" si="195"/>
        <v>1.4947193643871191</v>
      </c>
      <c r="BF305" s="32">
        <f t="shared" si="196"/>
        <v>9.1824631794523937E-2</v>
      </c>
      <c r="BG305" s="32">
        <f t="shared" si="197"/>
        <v>9.7797696799340916E-2</v>
      </c>
      <c r="BH305" s="32">
        <f t="shared" si="181"/>
        <v>0.49276510067498891</v>
      </c>
      <c r="BI305" s="32">
        <f t="shared" si="182"/>
        <v>0.11228172990997012</v>
      </c>
      <c r="BJ305" s="32">
        <f t="shared" si="183"/>
        <v>0.60504683058495901</v>
      </c>
      <c r="BK305" s="457">
        <f t="shared" si="184"/>
        <v>0.42242920777416576</v>
      </c>
      <c r="BL305" s="2"/>
    </row>
    <row r="306" spans="1:64" ht="15">
      <c r="A306" s="119"/>
      <c r="B306" s="480">
        <f>Input!B323</f>
        <v>38288</v>
      </c>
      <c r="C306" s="481">
        <v>1</v>
      </c>
      <c r="D306" s="481">
        <f t="shared" si="185"/>
        <v>10</v>
      </c>
      <c r="E306" s="481">
        <f t="shared" si="186"/>
        <v>28</v>
      </c>
      <c r="F306" s="481">
        <f t="shared" si="160"/>
        <v>302</v>
      </c>
      <c r="G306" s="431">
        <v>7.7759999999999998</v>
      </c>
      <c r="H306" s="455">
        <v>8.52</v>
      </c>
      <c r="I306" s="455">
        <v>5.6</v>
      </c>
      <c r="J306" s="455">
        <v>2.95</v>
      </c>
      <c r="K306" s="485"/>
      <c r="L306" s="433">
        <v>100</v>
      </c>
      <c r="M306" s="455">
        <v>88</v>
      </c>
      <c r="N306" s="484">
        <f>Weather!M307</f>
        <v>2.4</v>
      </c>
      <c r="O306" s="481">
        <f t="shared" si="187"/>
        <v>1</v>
      </c>
      <c r="P306" s="4">
        <f t="shared" si="198"/>
        <v>0.63018231399244962</v>
      </c>
      <c r="Q306" s="169">
        <f t="shared" si="161"/>
        <v>1.1113594320109808</v>
      </c>
      <c r="R306" s="169">
        <f t="shared" si="162"/>
        <v>0.90952746275151153</v>
      </c>
      <c r="S306" s="169">
        <f t="shared" si="163"/>
        <v>0.9779963001696631</v>
      </c>
      <c r="T306" s="169">
        <f t="shared" si="164"/>
        <v>0.90952746275151153</v>
      </c>
      <c r="U306" s="169">
        <f t="shared" si="165"/>
        <v>0.94376188146058726</v>
      </c>
      <c r="V306" s="169">
        <f t="shared" si="166"/>
        <v>2.5194227954060257E-2</v>
      </c>
      <c r="W306" s="439">
        <f t="shared" si="167"/>
        <v>6.1331092459070353</v>
      </c>
      <c r="X306" s="439">
        <f t="shared" si="168"/>
        <v>6.1331092459070353</v>
      </c>
      <c r="Y306" s="169"/>
      <c r="Z306" s="119" t="str">
        <f t="shared" si="169"/>
        <v/>
      </c>
      <c r="AA306" s="4" t="str">
        <f t="shared" si="170"/>
        <v/>
      </c>
      <c r="AB306" s="466"/>
      <c r="AC306" s="466"/>
      <c r="AD306" s="466"/>
      <c r="AE306" s="466"/>
      <c r="AF306" s="466"/>
      <c r="AG306" s="466"/>
      <c r="AH306" s="466"/>
      <c r="AI306" s="466"/>
      <c r="AJ306" s="466"/>
      <c r="AK306" s="466"/>
      <c r="AL306" s="466"/>
      <c r="AM306" s="462">
        <f t="shared" si="171"/>
        <v>302</v>
      </c>
      <c r="AN306" s="32">
        <f t="shared" si="188"/>
        <v>1.015422854166214</v>
      </c>
      <c r="AO306" s="32">
        <f t="shared" si="189"/>
        <v>-0.25305175774929578</v>
      </c>
      <c r="AP306" s="32">
        <f t="shared" si="190"/>
        <v>1.3171026653970008</v>
      </c>
      <c r="AQ306" s="32">
        <f t="shared" si="191"/>
        <v>10.06192318835728</v>
      </c>
      <c r="AR306" s="32">
        <f t="shared" si="192"/>
        <v>16.90143591792194</v>
      </c>
      <c r="AS306" s="32">
        <f t="shared" si="172"/>
        <v>12.68824597230236</v>
      </c>
      <c r="AT306" s="32">
        <f t="shared" si="173"/>
        <v>5.98752</v>
      </c>
      <c r="AU306" s="32">
        <f t="shared" si="174"/>
        <v>0.61285066643368336</v>
      </c>
      <c r="AV306" s="32">
        <f t="shared" si="175"/>
        <v>0.4773483996854726</v>
      </c>
      <c r="AW306" s="32">
        <f t="shared" si="176"/>
        <v>1.1113594320109808</v>
      </c>
      <c r="AX306" s="32">
        <f t="shared" si="177"/>
        <v>0.90952746275151153</v>
      </c>
      <c r="AY306" s="32">
        <f t="shared" si="178"/>
        <v>0.94376188146058726</v>
      </c>
      <c r="AZ306" s="32">
        <f t="shared" si="193"/>
        <v>0.20399362927925946</v>
      </c>
      <c r="BA306" s="32">
        <f t="shared" si="179"/>
        <v>-2.9420727808069054</v>
      </c>
      <c r="BB306" s="32">
        <f t="shared" si="194"/>
        <v>3.0454472191930946</v>
      </c>
      <c r="BC306" s="32">
        <f t="shared" si="180"/>
        <v>7.06</v>
      </c>
      <c r="BD306" s="32">
        <v>0</v>
      </c>
      <c r="BE306" s="32">
        <f t="shared" si="195"/>
        <v>1.0104434473812463</v>
      </c>
      <c r="BF306" s="32">
        <f t="shared" si="196"/>
        <v>6.6681565920658992E-2</v>
      </c>
      <c r="BG306" s="32">
        <f t="shared" si="197"/>
        <v>6.9057822903768773E-2</v>
      </c>
      <c r="BH306" s="32">
        <f t="shared" si="181"/>
        <v>0.42168864926971578</v>
      </c>
      <c r="BI306" s="32">
        <f t="shared" si="182"/>
        <v>0.20849366472273381</v>
      </c>
      <c r="BJ306" s="32">
        <f t="shared" si="183"/>
        <v>0.63018231399244962</v>
      </c>
      <c r="BK306" s="457">
        <f t="shared" si="184"/>
        <v>0.67402794837092206</v>
      </c>
      <c r="BL306" s="2"/>
    </row>
    <row r="307" spans="1:64" ht="15">
      <c r="A307" s="119"/>
      <c r="B307" s="480">
        <f>Input!B324</f>
        <v>38289</v>
      </c>
      <c r="C307" s="481">
        <v>1</v>
      </c>
      <c r="D307" s="481">
        <f t="shared" si="185"/>
        <v>10</v>
      </c>
      <c r="E307" s="481">
        <f t="shared" si="186"/>
        <v>29</v>
      </c>
      <c r="F307" s="481">
        <f t="shared" si="160"/>
        <v>303</v>
      </c>
      <c r="G307" s="431">
        <v>4.32</v>
      </c>
      <c r="H307" s="455">
        <v>7.02</v>
      </c>
      <c r="I307" s="455">
        <v>1.3</v>
      </c>
      <c r="J307" s="455">
        <v>2.39</v>
      </c>
      <c r="K307" s="485"/>
      <c r="L307" s="433">
        <v>100</v>
      </c>
      <c r="M307" s="455">
        <v>85</v>
      </c>
      <c r="N307" s="484">
        <f>Weather!M308</f>
        <v>0.4</v>
      </c>
      <c r="O307" s="481" t="str">
        <f t="shared" si="187"/>
        <v/>
      </c>
      <c r="P307" s="4">
        <f t="shared" si="198"/>
        <v>0.55971158953972311</v>
      </c>
      <c r="Q307" s="169">
        <f t="shared" si="161"/>
        <v>1.0032351350130275</v>
      </c>
      <c r="R307" s="169">
        <f t="shared" si="162"/>
        <v>0.67106385242410471</v>
      </c>
      <c r="S307" s="169">
        <f t="shared" si="163"/>
        <v>0.8527498647610734</v>
      </c>
      <c r="T307" s="169">
        <f t="shared" si="164"/>
        <v>0.67106385242410471</v>
      </c>
      <c r="U307" s="169">
        <f t="shared" si="165"/>
        <v>0.761906858592589</v>
      </c>
      <c r="V307" s="169">
        <f t="shared" si="166"/>
        <v>1.2799927159988679E-2</v>
      </c>
      <c r="W307" s="439">
        <f t="shared" si="167"/>
        <v>3.0768056026648694</v>
      </c>
      <c r="X307" s="439">
        <f t="shared" si="168"/>
        <v>3.0768056026648694</v>
      </c>
      <c r="Y307" s="169"/>
      <c r="Z307" s="119" t="str">
        <f t="shared" si="169"/>
        <v/>
      </c>
      <c r="AA307" s="4" t="str">
        <f t="shared" si="170"/>
        <v/>
      </c>
      <c r="AB307" s="466"/>
      <c r="AC307" s="466"/>
      <c r="AD307" s="466"/>
      <c r="AE307" s="466"/>
      <c r="AF307" s="466"/>
      <c r="AG307" s="466"/>
      <c r="AH307" s="466"/>
      <c r="AI307" s="466"/>
      <c r="AJ307" s="466"/>
      <c r="AK307" s="466"/>
      <c r="AL307" s="466"/>
      <c r="AM307" s="462">
        <f t="shared" si="171"/>
        <v>303</v>
      </c>
      <c r="AN307" s="32">
        <f t="shared" si="188"/>
        <v>1.0159227554781203</v>
      </c>
      <c r="AO307" s="32">
        <f t="shared" si="189"/>
        <v>-0.25854524132682943</v>
      </c>
      <c r="AP307" s="32">
        <f t="shared" si="190"/>
        <v>1.3112133512997837</v>
      </c>
      <c r="AQ307" s="32">
        <f t="shared" si="191"/>
        <v>10.016932142757621</v>
      </c>
      <c r="AR307" s="32">
        <f t="shared" si="192"/>
        <v>16.687174184004995</v>
      </c>
      <c r="AS307" s="32">
        <f t="shared" si="172"/>
        <v>12.52739540341623</v>
      </c>
      <c r="AT307" s="32">
        <f t="shared" si="173"/>
        <v>3.3264000000000005</v>
      </c>
      <c r="AU307" s="32">
        <f t="shared" si="174"/>
        <v>0.34484422826008454</v>
      </c>
      <c r="AV307" s="32">
        <f t="shared" si="175"/>
        <v>0.1155397081511142</v>
      </c>
      <c r="AW307" s="32">
        <f t="shared" si="176"/>
        <v>1.0032351350130275</v>
      </c>
      <c r="AX307" s="32">
        <f t="shared" si="177"/>
        <v>0.67106385242410471</v>
      </c>
      <c r="AY307" s="32">
        <f t="shared" si="178"/>
        <v>0.761906858592589</v>
      </c>
      <c r="AZ307" s="32">
        <f t="shared" si="193"/>
        <v>0.21779781332392312</v>
      </c>
      <c r="BA307" s="32">
        <f t="shared" si="179"/>
        <v>-0.72965920396818351</v>
      </c>
      <c r="BB307" s="32">
        <f t="shared" si="194"/>
        <v>2.596740796031817</v>
      </c>
      <c r="BC307" s="32">
        <f t="shared" si="180"/>
        <v>4.16</v>
      </c>
      <c r="BD307" s="32">
        <v>0</v>
      </c>
      <c r="BE307" s="32">
        <f t="shared" si="195"/>
        <v>0.83714949371856617</v>
      </c>
      <c r="BF307" s="32">
        <f t="shared" si="196"/>
        <v>7.5242635125977175E-2</v>
      </c>
      <c r="BG307" s="32">
        <f t="shared" si="197"/>
        <v>5.7823593826220369E-2</v>
      </c>
      <c r="BH307" s="32">
        <f t="shared" si="181"/>
        <v>0.34134708251185997</v>
      </c>
      <c r="BI307" s="32">
        <f t="shared" si="182"/>
        <v>0.21836450702786311</v>
      </c>
      <c r="BJ307" s="32">
        <f t="shared" si="183"/>
        <v>0.55971158953972311</v>
      </c>
      <c r="BK307" s="457">
        <f t="shared" si="184"/>
        <v>0.8227632803683842</v>
      </c>
      <c r="BL307" s="2"/>
    </row>
    <row r="308" spans="1:64" ht="15">
      <c r="A308" s="119"/>
      <c r="B308" s="480">
        <f>Input!B325</f>
        <v>38290</v>
      </c>
      <c r="C308" s="481">
        <v>1</v>
      </c>
      <c r="D308" s="481">
        <f t="shared" si="185"/>
        <v>10</v>
      </c>
      <c r="E308" s="481">
        <f t="shared" si="186"/>
        <v>30</v>
      </c>
      <c r="F308" s="481">
        <f t="shared" si="160"/>
        <v>304</v>
      </c>
      <c r="G308" s="431">
        <v>8.8992000000000004</v>
      </c>
      <c r="H308" s="455">
        <v>6.55</v>
      </c>
      <c r="I308" s="455">
        <v>-0.5</v>
      </c>
      <c r="J308" s="455">
        <v>0.92</v>
      </c>
      <c r="K308" s="485"/>
      <c r="L308" s="433">
        <v>100</v>
      </c>
      <c r="M308" s="455">
        <v>88</v>
      </c>
      <c r="N308" s="484">
        <f>Weather!M309</f>
        <v>0.6</v>
      </c>
      <c r="O308" s="481" t="str">
        <f t="shared" si="187"/>
        <v/>
      </c>
      <c r="P308" s="4">
        <f t="shared" si="198"/>
        <v>0.53679968135500811</v>
      </c>
      <c r="Q308" s="169">
        <f t="shared" si="161"/>
        <v>0.97131921088875917</v>
      </c>
      <c r="R308" s="169">
        <f t="shared" si="162"/>
        <v>0.58892815702583889</v>
      </c>
      <c r="S308" s="169">
        <f t="shared" si="163"/>
        <v>0.85476090558210804</v>
      </c>
      <c r="T308" s="169">
        <f t="shared" si="164"/>
        <v>0.58892815702583889</v>
      </c>
      <c r="U308" s="169">
        <f t="shared" si="165"/>
        <v>0.72184453130397341</v>
      </c>
      <c r="V308" s="169">
        <f t="shared" si="166"/>
        <v>9.6722763032698819E-3</v>
      </c>
      <c r="W308" s="439">
        <f t="shared" si="167"/>
        <v>2.3176480995586224</v>
      </c>
      <c r="X308" s="439">
        <f t="shared" si="168"/>
        <v>2.3176480995586224</v>
      </c>
      <c r="Y308" s="169"/>
      <c r="Z308" s="119" t="str">
        <f t="shared" si="169"/>
        <v/>
      </c>
      <c r="AA308" s="4" t="str">
        <f t="shared" si="170"/>
        <v/>
      </c>
      <c r="AB308" s="466"/>
      <c r="AC308" s="466"/>
      <c r="AD308" s="466"/>
      <c r="AE308" s="466"/>
      <c r="AF308" s="466"/>
      <c r="AG308" s="466"/>
      <c r="AH308" s="466"/>
      <c r="AI308" s="466"/>
      <c r="AJ308" s="466"/>
      <c r="AK308" s="466"/>
      <c r="AL308" s="466"/>
      <c r="AM308" s="462">
        <f t="shared" si="171"/>
        <v>304</v>
      </c>
      <c r="AN308" s="32">
        <f t="shared" si="188"/>
        <v>1.0164179385339369</v>
      </c>
      <c r="AO308" s="32">
        <f t="shared" si="189"/>
        <v>-0.26396211236949496</v>
      </c>
      <c r="AP308" s="32">
        <f t="shared" si="190"/>
        <v>1.305380319512669</v>
      </c>
      <c r="AQ308" s="32">
        <f t="shared" si="191"/>
        <v>9.972371062335311</v>
      </c>
      <c r="AR308" s="32">
        <f t="shared" si="192"/>
        <v>16.476103013332452</v>
      </c>
      <c r="AS308" s="32">
        <f t="shared" si="172"/>
        <v>12.36894005416894</v>
      </c>
      <c r="AT308" s="32">
        <f t="shared" si="173"/>
        <v>6.8523840000000007</v>
      </c>
      <c r="AU308" s="32">
        <f t="shared" si="174"/>
        <v>0.71947959655609561</v>
      </c>
      <c r="AV308" s="32">
        <f t="shared" si="175"/>
        <v>0.62129745535072911</v>
      </c>
      <c r="AW308" s="32">
        <f t="shared" si="176"/>
        <v>0.97131921088875917</v>
      </c>
      <c r="AX308" s="32">
        <f t="shared" si="177"/>
        <v>0.58892815702583889</v>
      </c>
      <c r="AY308" s="32">
        <f t="shared" si="178"/>
        <v>0.72184453130397352</v>
      </c>
      <c r="AZ308" s="32">
        <f t="shared" si="193"/>
        <v>0.22105399202344839</v>
      </c>
      <c r="BA308" s="32">
        <f t="shared" si="179"/>
        <v>-3.918824181828314</v>
      </c>
      <c r="BB308" s="32">
        <f t="shared" si="194"/>
        <v>2.9335598181716867</v>
      </c>
      <c r="BC308" s="32">
        <f t="shared" si="180"/>
        <v>3.0249999999999999</v>
      </c>
      <c r="BD308" s="32">
        <v>0</v>
      </c>
      <c r="BE308" s="32">
        <f t="shared" si="195"/>
        <v>0.78012368395729903</v>
      </c>
      <c r="BF308" s="32">
        <f t="shared" si="196"/>
        <v>5.8279152653325506E-2</v>
      </c>
      <c r="BG308" s="32">
        <f t="shared" si="197"/>
        <v>5.3874816160469081E-2</v>
      </c>
      <c r="BH308" s="32">
        <f t="shared" si="181"/>
        <v>0.45416316735459022</v>
      </c>
      <c r="BI308" s="32">
        <f t="shared" si="182"/>
        <v>8.2636514000417924E-2</v>
      </c>
      <c r="BJ308" s="32">
        <f t="shared" si="183"/>
        <v>0.53679968135500811</v>
      </c>
      <c r="BK308" s="457">
        <f t="shared" si="184"/>
        <v>0.85525538797788192</v>
      </c>
      <c r="BL308" s="2"/>
    </row>
    <row r="309" spans="1:64" ht="15">
      <c r="A309" s="119"/>
      <c r="B309" s="480">
        <f>Input!B326</f>
        <v>38291</v>
      </c>
      <c r="C309" s="481">
        <v>1</v>
      </c>
      <c r="D309" s="481">
        <f t="shared" si="185"/>
        <v>10</v>
      </c>
      <c r="E309" s="481">
        <f t="shared" si="186"/>
        <v>31</v>
      </c>
      <c r="F309" s="481">
        <f t="shared" si="160"/>
        <v>305</v>
      </c>
      <c r="G309" s="431">
        <v>8.5535999999999994</v>
      </c>
      <c r="H309" s="455">
        <v>8.98</v>
      </c>
      <c r="I309" s="455">
        <v>4.8</v>
      </c>
      <c r="J309" s="455">
        <v>4.3600000000000003</v>
      </c>
      <c r="K309" s="485"/>
      <c r="L309" s="433">
        <v>100</v>
      </c>
      <c r="M309" s="455">
        <v>88</v>
      </c>
      <c r="N309" s="484">
        <f>Weather!M310</f>
        <v>34.200000000000003</v>
      </c>
      <c r="O309" s="481">
        <f t="shared" si="187"/>
        <v>1</v>
      </c>
      <c r="P309" s="4">
        <f t="shared" si="198"/>
        <v>0.62115805906117094</v>
      </c>
      <c r="Q309" s="169">
        <f t="shared" si="161"/>
        <v>1.1465102416841408</v>
      </c>
      <c r="R309" s="169">
        <f t="shared" si="162"/>
        <v>0.8602074134922596</v>
      </c>
      <c r="S309" s="169">
        <f t="shared" si="163"/>
        <v>1.008929012682044</v>
      </c>
      <c r="T309" s="169">
        <f t="shared" si="164"/>
        <v>0.8602074134922596</v>
      </c>
      <c r="U309" s="169">
        <f t="shared" si="165"/>
        <v>0.93456821308715177</v>
      </c>
      <c r="V309" s="169">
        <f t="shared" si="166"/>
        <v>2.462739114620455E-2</v>
      </c>
      <c r="W309" s="439">
        <f t="shared" si="167"/>
        <v>5.9916383400001187</v>
      </c>
      <c r="X309" s="439">
        <f t="shared" si="168"/>
        <v>5.9916383400001187</v>
      </c>
      <c r="Y309" s="169"/>
      <c r="Z309" s="119" t="str">
        <f t="shared" si="169"/>
        <v/>
      </c>
      <c r="AA309" s="4" t="str">
        <f t="shared" si="170"/>
        <v/>
      </c>
      <c r="AB309" s="466"/>
      <c r="AC309" s="466"/>
      <c r="AD309" s="466"/>
      <c r="AE309" s="466"/>
      <c r="AF309" s="466"/>
      <c r="AG309" s="466"/>
      <c r="AH309" s="466"/>
      <c r="AI309" s="466"/>
      <c r="AJ309" s="466"/>
      <c r="AK309" s="466"/>
      <c r="AL309" s="466"/>
      <c r="AM309" s="462">
        <f t="shared" si="171"/>
        <v>305</v>
      </c>
      <c r="AN309" s="32">
        <f t="shared" si="188"/>
        <v>1.0169082566002379</v>
      </c>
      <c r="AO309" s="32">
        <f t="shared" si="189"/>
        <v>-0.26930076574149608</v>
      </c>
      <c r="AP309" s="32">
        <f t="shared" si="190"/>
        <v>1.2996056782962322</v>
      </c>
      <c r="AQ309" s="32">
        <f t="shared" si="191"/>
        <v>9.9282560530147617</v>
      </c>
      <c r="AR309" s="32">
        <f t="shared" si="192"/>
        <v>16.268288322035275</v>
      </c>
      <c r="AS309" s="32">
        <f t="shared" si="172"/>
        <v>12.212929409118322</v>
      </c>
      <c r="AT309" s="32">
        <f t="shared" si="173"/>
        <v>6.5862720000000001</v>
      </c>
      <c r="AU309" s="32">
        <f t="shared" si="174"/>
        <v>0.70037250797615991</v>
      </c>
      <c r="AV309" s="32">
        <f t="shared" si="175"/>
        <v>0.59550288576781596</v>
      </c>
      <c r="AW309" s="32">
        <f t="shared" si="176"/>
        <v>1.1465102416841408</v>
      </c>
      <c r="AX309" s="32">
        <f t="shared" si="177"/>
        <v>0.8602074134922596</v>
      </c>
      <c r="AY309" s="32">
        <f t="shared" si="178"/>
        <v>0.93456821308715177</v>
      </c>
      <c r="AZ309" s="32">
        <f t="shared" si="193"/>
        <v>0.20465770440653752</v>
      </c>
      <c r="BA309" s="32">
        <f t="shared" si="179"/>
        <v>-3.673951697178004</v>
      </c>
      <c r="BB309" s="32">
        <f t="shared" si="194"/>
        <v>2.9123203028219962</v>
      </c>
      <c r="BC309" s="32">
        <f t="shared" si="180"/>
        <v>6.8900000000000006</v>
      </c>
      <c r="BD309" s="32">
        <v>0</v>
      </c>
      <c r="BE309" s="32">
        <f t="shared" si="195"/>
        <v>1.0033588275882002</v>
      </c>
      <c r="BF309" s="32">
        <f t="shared" si="196"/>
        <v>6.8790614501048397E-2</v>
      </c>
      <c r="BG309" s="32">
        <f t="shared" si="197"/>
        <v>6.8351286989334847E-2</v>
      </c>
      <c r="BH309" s="32">
        <f t="shared" si="181"/>
        <v>0.3456736844147878</v>
      </c>
      <c r="BI309" s="32">
        <f t="shared" si="182"/>
        <v>0.27548437464638309</v>
      </c>
      <c r="BJ309" s="32">
        <f t="shared" si="183"/>
        <v>0.62115805906117094</v>
      </c>
      <c r="BK309" s="457">
        <f t="shared" si="184"/>
        <v>0.77092626708356005</v>
      </c>
      <c r="BL309" s="2"/>
    </row>
    <row r="310" spans="1:64" ht="15">
      <c r="A310" s="119"/>
      <c r="B310" s="480">
        <f>Input!B327</f>
        <v>38292</v>
      </c>
      <c r="C310" s="481">
        <v>1</v>
      </c>
      <c r="D310" s="481">
        <f t="shared" si="185"/>
        <v>11</v>
      </c>
      <c r="E310" s="481">
        <f t="shared" si="186"/>
        <v>1</v>
      </c>
      <c r="F310" s="481">
        <f t="shared" si="160"/>
        <v>306</v>
      </c>
      <c r="G310" s="431">
        <v>10.8864</v>
      </c>
      <c r="H310" s="455">
        <v>10.15</v>
      </c>
      <c r="I310" s="455">
        <v>6.2</v>
      </c>
      <c r="J310" s="455">
        <v>1.94</v>
      </c>
      <c r="K310" s="485"/>
      <c r="L310" s="433">
        <v>46</v>
      </c>
      <c r="M310" s="455">
        <v>87</v>
      </c>
      <c r="N310" s="484">
        <f>Weather!M311</f>
        <v>2.8</v>
      </c>
      <c r="O310" s="481">
        <f t="shared" si="187"/>
        <v>1</v>
      </c>
      <c r="P310" s="4">
        <f t="shared" si="198"/>
        <v>1.1745537432415922</v>
      </c>
      <c r="Q310" s="169">
        <f t="shared" si="161"/>
        <v>1.2403602323705691</v>
      </c>
      <c r="R310" s="169">
        <f t="shared" si="162"/>
        <v>0.94813654445332363</v>
      </c>
      <c r="S310" s="169">
        <f t="shared" si="163"/>
        <v>1.0791134021623952</v>
      </c>
      <c r="T310" s="169">
        <f t="shared" si="164"/>
        <v>0.43614281044852887</v>
      </c>
      <c r="U310" s="169">
        <f t="shared" si="165"/>
        <v>0.75762810630546196</v>
      </c>
      <c r="V310" s="169">
        <f t="shared" si="166"/>
        <v>1.2473831324567032E-2</v>
      </c>
      <c r="W310" s="439">
        <f t="shared" si="167"/>
        <v>2.9974296046149882</v>
      </c>
      <c r="X310" s="439">
        <f t="shared" si="168"/>
        <v>2.9974296046149882</v>
      </c>
      <c r="Y310" s="169"/>
      <c r="Z310" s="119" t="str">
        <f t="shared" si="169"/>
        <v/>
      </c>
      <c r="AA310" s="4" t="str">
        <f t="shared" si="170"/>
        <v/>
      </c>
      <c r="AB310" s="466"/>
      <c r="AC310" s="466"/>
      <c r="AD310" s="466"/>
      <c r="AE310" s="466"/>
      <c r="AF310" s="466"/>
      <c r="AG310" s="466"/>
      <c r="AH310" s="466"/>
      <c r="AI310" s="466"/>
      <c r="AJ310" s="466"/>
      <c r="AK310" s="466"/>
      <c r="AL310" s="466"/>
      <c r="AM310" s="462">
        <f t="shared" si="171"/>
        <v>306</v>
      </c>
      <c r="AN310" s="32">
        <f t="shared" si="188"/>
        <v>1.0173935643851983</v>
      </c>
      <c r="AO310" s="32">
        <f t="shared" si="189"/>
        <v>-0.27455961948462182</v>
      </c>
      <c r="AP310" s="32">
        <f t="shared" si="190"/>
        <v>1.2938915743077937</v>
      </c>
      <c r="AQ310" s="32">
        <f t="shared" si="191"/>
        <v>9.8846035140499087</v>
      </c>
      <c r="AR310" s="32">
        <f t="shared" si="192"/>
        <v>16.063794181281978</v>
      </c>
      <c r="AS310" s="32">
        <f t="shared" si="172"/>
        <v>12.059411567772006</v>
      </c>
      <c r="AT310" s="32">
        <f t="shared" si="173"/>
        <v>8.3825280000000006</v>
      </c>
      <c r="AU310" s="32">
        <f t="shared" si="174"/>
        <v>0.90273061324925641</v>
      </c>
      <c r="AV310" s="32">
        <f t="shared" si="175"/>
        <v>0.86868632788649636</v>
      </c>
      <c r="AW310" s="32">
        <f t="shared" si="176"/>
        <v>1.2403602323705691</v>
      </c>
      <c r="AX310" s="32">
        <f t="shared" si="177"/>
        <v>0.94813654445332363</v>
      </c>
      <c r="AY310" s="32">
        <f t="shared" si="178"/>
        <v>0.75762810630546196</v>
      </c>
      <c r="AZ310" s="32">
        <f t="shared" si="193"/>
        <v>0.21814143081593707</v>
      </c>
      <c r="BA310" s="32">
        <f t="shared" si="179"/>
        <v>-5.8178020719880408</v>
      </c>
      <c r="BB310" s="32">
        <f t="shared" si="194"/>
        <v>2.5647259280119599</v>
      </c>
      <c r="BC310" s="32">
        <f t="shared" si="180"/>
        <v>8.1750000000000007</v>
      </c>
      <c r="BD310" s="32">
        <v>0</v>
      </c>
      <c r="BE310" s="32">
        <f t="shared" si="195"/>
        <v>1.0942483884119465</v>
      </c>
      <c r="BF310" s="32">
        <f t="shared" si="196"/>
        <v>0.33662028210648454</v>
      </c>
      <c r="BG310" s="32">
        <f t="shared" si="197"/>
        <v>7.3848573449917507E-2</v>
      </c>
      <c r="BH310" s="32">
        <f t="shared" si="181"/>
        <v>0.41719012224617424</v>
      </c>
      <c r="BI310" s="32">
        <f t="shared" si="182"/>
        <v>0.75736362099541799</v>
      </c>
      <c r="BJ310" s="32">
        <f t="shared" si="183"/>
        <v>1.1745537432415922</v>
      </c>
      <c r="BK310" s="457">
        <f t="shared" si="184"/>
        <v>0.77850962586422656</v>
      </c>
      <c r="BL310" s="2"/>
    </row>
    <row r="311" spans="1:64" ht="15">
      <c r="A311" s="119"/>
      <c r="B311" s="480">
        <f>Input!B328</f>
        <v>38293</v>
      </c>
      <c r="C311" s="481">
        <v>1</v>
      </c>
      <c r="D311" s="481">
        <f t="shared" si="185"/>
        <v>11</v>
      </c>
      <c r="E311" s="481">
        <f t="shared" si="186"/>
        <v>2</v>
      </c>
      <c r="F311" s="481">
        <f t="shared" si="160"/>
        <v>307</v>
      </c>
      <c r="G311" s="431">
        <v>10.022399999999999</v>
      </c>
      <c r="H311" s="455">
        <v>8.14</v>
      </c>
      <c r="I311" s="455">
        <v>4.9000000000000004</v>
      </c>
      <c r="J311" s="455">
        <v>1.1499999999999999</v>
      </c>
      <c r="K311" s="485"/>
      <c r="L311" s="433">
        <v>89</v>
      </c>
      <c r="M311" s="455">
        <v>88</v>
      </c>
      <c r="N311" s="484">
        <f>Weather!M312</f>
        <v>0.2</v>
      </c>
      <c r="O311" s="481" t="str">
        <f t="shared" si="187"/>
        <v/>
      </c>
      <c r="P311" s="4">
        <f t="shared" si="198"/>
        <v>0.64569523710979271</v>
      </c>
      <c r="Q311" s="169">
        <f t="shared" si="161"/>
        <v>1.0830407626638563</v>
      </c>
      <c r="R311" s="169">
        <f t="shared" si="162"/>
        <v>0.86624054616653301</v>
      </c>
      <c r="S311" s="169">
        <f t="shared" si="163"/>
        <v>0.95307587114419356</v>
      </c>
      <c r="T311" s="169">
        <f t="shared" si="164"/>
        <v>0.77095408608821436</v>
      </c>
      <c r="U311" s="169">
        <f t="shared" si="165"/>
        <v>0.86201497861620391</v>
      </c>
      <c r="V311" s="169">
        <f t="shared" si="166"/>
        <v>1.9948064490629299E-2</v>
      </c>
      <c r="W311" s="439">
        <f t="shared" si="167"/>
        <v>4.8300253610193211</v>
      </c>
      <c r="X311" s="439">
        <f t="shared" si="168"/>
        <v>4.8300253610193211</v>
      </c>
      <c r="Y311" s="169"/>
      <c r="Z311" s="119" t="str">
        <f t="shared" si="169"/>
        <v/>
      </c>
      <c r="AA311" s="4" t="str">
        <f t="shared" si="170"/>
        <v/>
      </c>
      <c r="AB311" s="466"/>
      <c r="AC311" s="466"/>
      <c r="AD311" s="466"/>
      <c r="AE311" s="466"/>
      <c r="AF311" s="466"/>
      <c r="AG311" s="466"/>
      <c r="AH311" s="466"/>
      <c r="AI311" s="466"/>
      <c r="AJ311" s="466"/>
      <c r="AK311" s="466"/>
      <c r="AL311" s="466"/>
      <c r="AM311" s="462">
        <f t="shared" si="171"/>
        <v>307</v>
      </c>
      <c r="AN311" s="32">
        <f t="shared" si="188"/>
        <v>1.0178737180816473</v>
      </c>
      <c r="AO311" s="32">
        <f t="shared" si="189"/>
        <v>-0.27973711528701239</v>
      </c>
      <c r="AP311" s="32">
        <f t="shared" si="190"/>
        <v>1.2882401917024873</v>
      </c>
      <c r="AQ311" s="32">
        <f t="shared" si="191"/>
        <v>9.8414301311568817</v>
      </c>
      <c r="AR311" s="32">
        <f t="shared" si="192"/>
        <v>15.862682796556944</v>
      </c>
      <c r="AS311" s="32">
        <f t="shared" si="172"/>
        <v>11.90843322903123</v>
      </c>
      <c r="AT311" s="32">
        <f t="shared" si="173"/>
        <v>7.7172479999999997</v>
      </c>
      <c r="AU311" s="32">
        <f t="shared" si="174"/>
        <v>0.84162205113319832</v>
      </c>
      <c r="AV311" s="32">
        <f t="shared" si="175"/>
        <v>0.78618976902981774</v>
      </c>
      <c r="AW311" s="32">
        <f t="shared" si="176"/>
        <v>1.0830407626638563</v>
      </c>
      <c r="AX311" s="32">
        <f t="shared" si="177"/>
        <v>0.86624054616653301</v>
      </c>
      <c r="AY311" s="32">
        <f t="shared" si="178"/>
        <v>0.86201497861620391</v>
      </c>
      <c r="AZ311" s="32">
        <f t="shared" si="193"/>
        <v>0.21001733353682273</v>
      </c>
      <c r="BA311" s="32">
        <f t="shared" si="179"/>
        <v>-4.9505056687365654</v>
      </c>
      <c r="BB311" s="32">
        <f t="shared" si="194"/>
        <v>2.7667423312634343</v>
      </c>
      <c r="BC311" s="32">
        <f t="shared" si="180"/>
        <v>6.5200000000000005</v>
      </c>
      <c r="BD311" s="32">
        <v>0</v>
      </c>
      <c r="BE311" s="32">
        <f t="shared" si="195"/>
        <v>0.97464065441519465</v>
      </c>
      <c r="BF311" s="32">
        <f t="shared" si="196"/>
        <v>0.11262567579899074</v>
      </c>
      <c r="BG311" s="32">
        <f t="shared" si="197"/>
        <v>6.683488213962932E-2</v>
      </c>
      <c r="BH311" s="32">
        <f t="shared" si="181"/>
        <v>0.47097696727624661</v>
      </c>
      <c r="BI311" s="32">
        <f t="shared" si="182"/>
        <v>0.17471826983354613</v>
      </c>
      <c r="BJ311" s="32">
        <f t="shared" si="183"/>
        <v>0.64569523710979271</v>
      </c>
      <c r="BK311" s="457">
        <f t="shared" si="184"/>
        <v>0.65189022238154148</v>
      </c>
      <c r="BL311" s="2"/>
    </row>
    <row r="312" spans="1:64" ht="15">
      <c r="A312" s="119"/>
      <c r="B312" s="480">
        <f>Input!B329</f>
        <v>38294</v>
      </c>
      <c r="C312" s="481">
        <v>1</v>
      </c>
      <c r="D312" s="481">
        <f t="shared" si="185"/>
        <v>11</v>
      </c>
      <c r="E312" s="481">
        <f t="shared" si="186"/>
        <v>3</v>
      </c>
      <c r="F312" s="481">
        <f t="shared" si="160"/>
        <v>308</v>
      </c>
      <c r="G312" s="431">
        <v>9.5904000000000007</v>
      </c>
      <c r="H312" s="455">
        <v>9.7100000000000009</v>
      </c>
      <c r="I312" s="455">
        <v>3.8</v>
      </c>
      <c r="J312" s="455">
        <v>1.75</v>
      </c>
      <c r="K312" s="485"/>
      <c r="L312" s="433">
        <v>100</v>
      </c>
      <c r="M312" s="455">
        <v>89</v>
      </c>
      <c r="N312" s="484">
        <f>Weather!M313</f>
        <v>0.2</v>
      </c>
      <c r="O312" s="481" t="str">
        <f t="shared" si="187"/>
        <v/>
      </c>
      <c r="P312" s="4">
        <f t="shared" si="198"/>
        <v>0.5802325534970274</v>
      </c>
      <c r="Q312" s="169">
        <f t="shared" si="161"/>
        <v>1.2043025157681533</v>
      </c>
      <c r="R312" s="169">
        <f t="shared" si="162"/>
        <v>0.80188377921791842</v>
      </c>
      <c r="S312" s="169">
        <f t="shared" si="163"/>
        <v>1.0718292390336563</v>
      </c>
      <c r="T312" s="169">
        <f t="shared" si="164"/>
        <v>0.80188377921791842</v>
      </c>
      <c r="U312" s="169">
        <f t="shared" si="165"/>
        <v>0.93685650912578744</v>
      </c>
      <c r="V312" s="169">
        <f t="shared" si="166"/>
        <v>2.4768995863382416E-2</v>
      </c>
      <c r="W312" s="439">
        <f t="shared" si="167"/>
        <v>6.02696457910936</v>
      </c>
      <c r="X312" s="439">
        <f t="shared" si="168"/>
        <v>6.02696457910936</v>
      </c>
      <c r="Y312" s="169"/>
      <c r="Z312" s="119" t="str">
        <f t="shared" si="169"/>
        <v/>
      </c>
      <c r="AA312" s="4" t="str">
        <f t="shared" si="170"/>
        <v/>
      </c>
      <c r="AB312" s="466"/>
      <c r="AC312" s="466"/>
      <c r="AD312" s="466"/>
      <c r="AE312" s="466"/>
      <c r="AF312" s="466"/>
      <c r="AG312" s="466"/>
      <c r="AH312" s="466"/>
      <c r="AI312" s="466"/>
      <c r="AJ312" s="466"/>
      <c r="AK312" s="466"/>
      <c r="AL312" s="466"/>
      <c r="AM312" s="462">
        <f t="shared" si="171"/>
        <v>308</v>
      </c>
      <c r="AN312" s="32">
        <f t="shared" si="188"/>
        <v>1.0183485754096824</v>
      </c>
      <c r="AO312" s="32">
        <f t="shared" si="189"/>
        <v>-0.28483171894492171</v>
      </c>
      <c r="AP312" s="32">
        <f t="shared" si="190"/>
        <v>1.2826537510721481</v>
      </c>
      <c r="AQ312" s="32">
        <f t="shared" si="191"/>
        <v>9.7987528684077034</v>
      </c>
      <c r="AR312" s="32">
        <f t="shared" si="192"/>
        <v>15.665014490543811</v>
      </c>
      <c r="AS312" s="32">
        <f t="shared" si="172"/>
        <v>11.76003967834105</v>
      </c>
      <c r="AT312" s="32">
        <f t="shared" si="173"/>
        <v>7.3846080000000009</v>
      </c>
      <c r="AU312" s="32">
        <f t="shared" si="174"/>
        <v>0.81550745255248036</v>
      </c>
      <c r="AV312" s="32">
        <f t="shared" si="175"/>
        <v>0.75093506094584861</v>
      </c>
      <c r="AW312" s="32">
        <f t="shared" si="176"/>
        <v>1.2043025157681533</v>
      </c>
      <c r="AX312" s="32">
        <f t="shared" si="177"/>
        <v>0.80188377921791842</v>
      </c>
      <c r="AY312" s="32">
        <f t="shared" si="178"/>
        <v>0.93685650912578755</v>
      </c>
      <c r="AZ312" s="32">
        <f t="shared" si="193"/>
        <v>0.204492112484677</v>
      </c>
      <c r="BA312" s="32">
        <f t="shared" si="179"/>
        <v>-4.6217662742531429</v>
      </c>
      <c r="BB312" s="32">
        <f t="shared" si="194"/>
        <v>2.762841725746858</v>
      </c>
      <c r="BC312" s="32">
        <f t="shared" si="180"/>
        <v>6.7550000000000008</v>
      </c>
      <c r="BD312" s="32">
        <v>0</v>
      </c>
      <c r="BE312" s="32">
        <f t="shared" si="195"/>
        <v>1.0030931474930358</v>
      </c>
      <c r="BF312" s="32">
        <f t="shared" si="196"/>
        <v>6.6236638367248246E-2</v>
      </c>
      <c r="BG312" s="32">
        <f t="shared" si="197"/>
        <v>6.7794628690697856E-2</v>
      </c>
      <c r="BH312" s="32">
        <f t="shared" si="181"/>
        <v>0.43709062511515762</v>
      </c>
      <c r="BI312" s="32">
        <f t="shared" si="182"/>
        <v>0.14314192838186973</v>
      </c>
      <c r="BJ312" s="32">
        <f t="shared" si="183"/>
        <v>0.5802325534970274</v>
      </c>
      <c r="BK312" s="457">
        <f t="shared" si="184"/>
        <v>0.87786196236255087</v>
      </c>
      <c r="BL312" s="2"/>
    </row>
    <row r="313" spans="1:64" ht="15">
      <c r="A313" s="119"/>
      <c r="B313" s="480">
        <f>Input!B330</f>
        <v>38295</v>
      </c>
      <c r="C313" s="481">
        <v>1</v>
      </c>
      <c r="D313" s="481">
        <f t="shared" si="185"/>
        <v>11</v>
      </c>
      <c r="E313" s="481">
        <f t="shared" si="186"/>
        <v>4</v>
      </c>
      <c r="F313" s="481">
        <f t="shared" si="160"/>
        <v>309</v>
      </c>
      <c r="G313" s="431">
        <v>8.2080000000000002</v>
      </c>
      <c r="H313" s="455">
        <v>12.46</v>
      </c>
      <c r="I313" s="455">
        <v>11.1</v>
      </c>
      <c r="J313" s="455">
        <v>1.66</v>
      </c>
      <c r="K313" s="485"/>
      <c r="L313" s="433">
        <v>100</v>
      </c>
      <c r="M313" s="455">
        <v>88</v>
      </c>
      <c r="N313" s="484">
        <f>Weather!M314</f>
        <v>0.8</v>
      </c>
      <c r="O313" s="481" t="str">
        <f t="shared" si="187"/>
        <v/>
      </c>
      <c r="P313" s="4">
        <f t="shared" si="198"/>
        <v>0.68650360193677984</v>
      </c>
      <c r="Q313" s="169">
        <f t="shared" si="161"/>
        <v>1.4456776819983443</v>
      </c>
      <c r="R313" s="169">
        <f t="shared" si="162"/>
        <v>1.3214654993101305</v>
      </c>
      <c r="S313" s="169">
        <f t="shared" si="163"/>
        <v>1.2721963601585431</v>
      </c>
      <c r="T313" s="169">
        <f t="shared" si="164"/>
        <v>1.3214654993101305</v>
      </c>
      <c r="U313" s="169">
        <f t="shared" si="165"/>
        <v>1.2968309297343368</v>
      </c>
      <c r="V313" s="169">
        <f t="shared" si="166"/>
        <v>4.3596366392912131E-2</v>
      </c>
      <c r="W313" s="439">
        <f t="shared" si="167"/>
        <v>10.816999623914205</v>
      </c>
      <c r="X313" s="439">
        <f t="shared" si="168"/>
        <v>10.816999623914205</v>
      </c>
      <c r="Y313" s="169"/>
      <c r="Z313" s="119" t="str">
        <f t="shared" si="169"/>
        <v/>
      </c>
      <c r="AA313" s="4" t="str">
        <f t="shared" si="170"/>
        <v/>
      </c>
      <c r="AB313" s="466"/>
      <c r="AC313" s="466"/>
      <c r="AD313" s="466"/>
      <c r="AE313" s="466"/>
      <c r="AF313" s="466"/>
      <c r="AG313" s="466"/>
      <c r="AH313" s="466"/>
      <c r="AI313" s="466"/>
      <c r="AJ313" s="466"/>
      <c r="AK313" s="466"/>
      <c r="AL313" s="466"/>
      <c r="AM313" s="462">
        <f t="shared" si="171"/>
        <v>309</v>
      </c>
      <c r="AN313" s="32">
        <f t="shared" si="188"/>
        <v>1.018817995658829</v>
      </c>
      <c r="AO313" s="32">
        <f t="shared" si="189"/>
        <v>-0.2898419208173359</v>
      </c>
      <c r="AP313" s="32">
        <f t="shared" si="190"/>
        <v>1.2771345082169239</v>
      </c>
      <c r="AQ313" s="32">
        <f t="shared" si="191"/>
        <v>9.756588958846093</v>
      </c>
      <c r="AR313" s="32">
        <f t="shared" si="192"/>
        <v>15.470847689645465</v>
      </c>
      <c r="AS313" s="32">
        <f t="shared" si="172"/>
        <v>11.614274777570644</v>
      </c>
      <c r="AT313" s="32">
        <f t="shared" si="173"/>
        <v>6.3201600000000004</v>
      </c>
      <c r="AU313" s="32">
        <f t="shared" si="174"/>
        <v>0.7067165326457745</v>
      </c>
      <c r="AV313" s="32">
        <f t="shared" si="175"/>
        <v>0.60406731907179567</v>
      </c>
      <c r="AW313" s="32">
        <f t="shared" si="176"/>
        <v>1.4456776819983443</v>
      </c>
      <c r="AX313" s="32">
        <f t="shared" si="177"/>
        <v>1.3214654993101305</v>
      </c>
      <c r="AY313" s="32">
        <f t="shared" si="178"/>
        <v>1.2968309297343368</v>
      </c>
      <c r="AZ313" s="32">
        <f t="shared" si="193"/>
        <v>0.18057012129844358</v>
      </c>
      <c r="BA313" s="32">
        <f t="shared" si="179"/>
        <v>-3.5228557763888051</v>
      </c>
      <c r="BB313" s="32">
        <f t="shared" si="194"/>
        <v>2.7973042236111954</v>
      </c>
      <c r="BC313" s="32">
        <f t="shared" si="180"/>
        <v>11.780000000000001</v>
      </c>
      <c r="BD313" s="32">
        <v>0</v>
      </c>
      <c r="BE313" s="32">
        <f t="shared" si="195"/>
        <v>1.3835715906542374</v>
      </c>
      <c r="BF313" s="32">
        <f t="shared" si="196"/>
        <v>8.6740660919900625E-2</v>
      </c>
      <c r="BG313" s="32">
        <f t="shared" si="197"/>
        <v>9.1330768980752153E-2</v>
      </c>
      <c r="BH313" s="32">
        <f t="shared" si="181"/>
        <v>0.53094272612481586</v>
      </c>
      <c r="BI313" s="32">
        <f t="shared" si="182"/>
        <v>0.15556087581196393</v>
      </c>
      <c r="BJ313" s="32">
        <f t="shared" si="183"/>
        <v>0.68650360193677984</v>
      </c>
      <c r="BK313" s="457">
        <f t="shared" si="184"/>
        <v>0.50100664492968294</v>
      </c>
      <c r="BL313" s="2"/>
    </row>
    <row r="314" spans="1:64" ht="15">
      <c r="A314" s="119"/>
      <c r="B314" s="480">
        <f>Input!B331</f>
        <v>38296</v>
      </c>
      <c r="C314" s="481">
        <v>1</v>
      </c>
      <c r="D314" s="481">
        <f t="shared" si="185"/>
        <v>11</v>
      </c>
      <c r="E314" s="481">
        <f t="shared" si="186"/>
        <v>5</v>
      </c>
      <c r="F314" s="481">
        <f t="shared" si="160"/>
        <v>310</v>
      </c>
      <c r="G314" s="431">
        <v>5.4432</v>
      </c>
      <c r="H314" s="455">
        <v>13.67</v>
      </c>
      <c r="I314" s="455">
        <v>8.1999999999999993</v>
      </c>
      <c r="J314" s="455">
        <v>2.2200000000000002</v>
      </c>
      <c r="K314" s="485"/>
      <c r="L314" s="433">
        <v>100</v>
      </c>
      <c r="M314" s="455">
        <v>88</v>
      </c>
      <c r="N314" s="484">
        <f>Weather!M315</f>
        <v>0</v>
      </c>
      <c r="O314" s="481" t="str">
        <f t="shared" si="187"/>
        <v/>
      </c>
      <c r="P314" s="4">
        <f t="shared" si="198"/>
        <v>0.64603852585092369</v>
      </c>
      <c r="Q314" s="169">
        <f t="shared" si="161"/>
        <v>1.5646905613636155</v>
      </c>
      <c r="R314" s="169">
        <f t="shared" si="162"/>
        <v>1.087469457177191</v>
      </c>
      <c r="S314" s="169">
        <f t="shared" si="163"/>
        <v>1.3769276939999817</v>
      </c>
      <c r="T314" s="169">
        <f t="shared" si="164"/>
        <v>1.087469457177191</v>
      </c>
      <c r="U314" s="169">
        <f t="shared" si="165"/>
        <v>1.2321985755885865</v>
      </c>
      <c r="V314" s="169">
        <f t="shared" si="166"/>
        <v>4.0636116922112921E-2</v>
      </c>
      <c r="W314" s="439">
        <f t="shared" si="167"/>
        <v>10.051400428667714</v>
      </c>
      <c r="X314" s="439">
        <f t="shared" si="168"/>
        <v>10.051400428667714</v>
      </c>
      <c r="Y314" s="169"/>
      <c r="Z314" s="119" t="str">
        <f t="shared" si="169"/>
        <v/>
      </c>
      <c r="AA314" s="4" t="str">
        <f t="shared" si="170"/>
        <v/>
      </c>
      <c r="AB314" s="466"/>
      <c r="AC314" s="466"/>
      <c r="AD314" s="466"/>
      <c r="AE314" s="466"/>
      <c r="AF314" s="466"/>
      <c r="AG314" s="466"/>
      <c r="AH314" s="466"/>
      <c r="AI314" s="466"/>
      <c r="AJ314" s="466"/>
      <c r="AK314" s="466"/>
      <c r="AL314" s="466"/>
      <c r="AM314" s="462">
        <f t="shared" si="171"/>
        <v>310</v>
      </c>
      <c r="AN314" s="32">
        <f t="shared" si="188"/>
        <v>1.0192818397297361</v>
      </c>
      <c r="AO314" s="32">
        <f t="shared" si="189"/>
        <v>-0.29476623627331078</v>
      </c>
      <c r="AP314" s="32">
        <f t="shared" si="190"/>
        <v>1.2716847527448225</v>
      </c>
      <c r="AQ314" s="32">
        <f t="shared" si="191"/>
        <v>9.7149558937887956</v>
      </c>
      <c r="AR314" s="32">
        <f t="shared" si="192"/>
        <v>15.280238914161679</v>
      </c>
      <c r="AS314" s="32">
        <f t="shared" si="172"/>
        <v>11.471180957639456</v>
      </c>
      <c r="AT314" s="32">
        <f t="shared" si="173"/>
        <v>4.1912640000000003</v>
      </c>
      <c r="AU314" s="32">
        <f t="shared" si="174"/>
        <v>0.474510865106264</v>
      </c>
      <c r="AV314" s="32">
        <f t="shared" si="175"/>
        <v>0.29058966789345642</v>
      </c>
      <c r="AW314" s="32">
        <f t="shared" si="176"/>
        <v>1.5646905613636155</v>
      </c>
      <c r="AX314" s="32">
        <f t="shared" si="177"/>
        <v>1.087469457177191</v>
      </c>
      <c r="AY314" s="32">
        <f t="shared" si="178"/>
        <v>1.2321985755885867</v>
      </c>
      <c r="AZ314" s="32">
        <f t="shared" si="193"/>
        <v>0.18459378364577467</v>
      </c>
      <c r="BA314" s="32">
        <f t="shared" si="179"/>
        <v>-1.7128841458426238</v>
      </c>
      <c r="BB314" s="32">
        <f t="shared" si="194"/>
        <v>2.4783798541573763</v>
      </c>
      <c r="BC314" s="32">
        <f t="shared" si="180"/>
        <v>10.934999999999999</v>
      </c>
      <c r="BD314" s="32">
        <v>0</v>
      </c>
      <c r="BE314" s="32">
        <f t="shared" si="195"/>
        <v>1.3260800092704033</v>
      </c>
      <c r="BF314" s="32">
        <f t="shared" si="196"/>
        <v>9.3881433681816562E-2</v>
      </c>
      <c r="BG314" s="32">
        <f t="shared" si="197"/>
        <v>8.6945102054389586E-2</v>
      </c>
      <c r="BH314" s="32">
        <f t="shared" si="181"/>
        <v>0.42946123246379847</v>
      </c>
      <c r="BI314" s="32">
        <f t="shared" si="182"/>
        <v>0.2165772933871252</v>
      </c>
      <c r="BJ314" s="32">
        <f t="shared" si="183"/>
        <v>0.64603852585092369</v>
      </c>
      <c r="BK314" s="457">
        <f t="shared" si="184"/>
        <v>0.9640437890598359</v>
      </c>
      <c r="BL314" s="2"/>
    </row>
    <row r="315" spans="1:64" ht="15">
      <c r="A315" s="119"/>
      <c r="B315" s="480">
        <f>Input!B332</f>
        <v>38297</v>
      </c>
      <c r="C315" s="481">
        <v>1</v>
      </c>
      <c r="D315" s="481">
        <f t="shared" si="185"/>
        <v>11</v>
      </c>
      <c r="E315" s="481">
        <f t="shared" si="186"/>
        <v>6</v>
      </c>
      <c r="F315" s="481">
        <f t="shared" si="160"/>
        <v>311</v>
      </c>
      <c r="G315" s="431">
        <v>8.4672000000000001</v>
      </c>
      <c r="H315" s="455">
        <v>10.32</v>
      </c>
      <c r="I315" s="455">
        <v>5.4</v>
      </c>
      <c r="J315" s="455">
        <v>1.02</v>
      </c>
      <c r="K315" s="485"/>
      <c r="L315" s="433">
        <v>100</v>
      </c>
      <c r="M315" s="455">
        <v>87</v>
      </c>
      <c r="N315" s="484">
        <f>Weather!M316</f>
        <v>0</v>
      </c>
      <c r="O315" s="481" t="str">
        <f t="shared" si="187"/>
        <v/>
      </c>
      <c r="P315" s="4">
        <f t="shared" si="198"/>
        <v>0.56075474160637206</v>
      </c>
      <c r="Q315" s="169">
        <f t="shared" si="161"/>
        <v>1.2545437837895914</v>
      </c>
      <c r="R315" s="169">
        <f t="shared" si="162"/>
        <v>0.89696938990401942</v>
      </c>
      <c r="S315" s="169">
        <f t="shared" si="163"/>
        <v>1.0914530918969445</v>
      </c>
      <c r="T315" s="169">
        <f t="shared" si="164"/>
        <v>0.89696938990401942</v>
      </c>
      <c r="U315" s="169">
        <f t="shared" si="165"/>
        <v>0.99421124090048196</v>
      </c>
      <c r="V315" s="169">
        <f t="shared" si="166"/>
        <v>2.8209619382179026E-2</v>
      </c>
      <c r="W315" s="439">
        <f t="shared" si="167"/>
        <v>6.8884636161301023</v>
      </c>
      <c r="X315" s="439">
        <f t="shared" si="168"/>
        <v>6.8884636161301023</v>
      </c>
      <c r="Y315" s="169"/>
      <c r="Z315" s="119" t="str">
        <f t="shared" si="169"/>
        <v/>
      </c>
      <c r="AA315" s="4" t="str">
        <f t="shared" si="170"/>
        <v/>
      </c>
      <c r="AB315" s="466"/>
      <c r="AC315" s="466"/>
      <c r="AD315" s="466"/>
      <c r="AE315" s="466"/>
      <c r="AF315" s="466"/>
      <c r="AG315" s="466"/>
      <c r="AH315" s="466"/>
      <c r="AI315" s="466"/>
      <c r="AJ315" s="466"/>
      <c r="AK315" s="466"/>
      <c r="AL315" s="466"/>
      <c r="AM315" s="462">
        <f t="shared" si="171"/>
        <v>311</v>
      </c>
      <c r="AN315" s="32">
        <f t="shared" si="188"/>
        <v>1.0197399701753953</v>
      </c>
      <c r="AO315" s="32">
        <f t="shared" si="189"/>
        <v>-0.29960320613190167</v>
      </c>
      <c r="AP315" s="32">
        <f t="shared" si="190"/>
        <v>1.2663068064947758</v>
      </c>
      <c r="AQ315" s="32">
        <f t="shared" si="191"/>
        <v>9.673871410778677</v>
      </c>
      <c r="AR315" s="32">
        <f t="shared" si="192"/>
        <v>15.093242772133806</v>
      </c>
      <c r="AS315" s="32">
        <f t="shared" si="172"/>
        <v>11.330799213896292</v>
      </c>
      <c r="AT315" s="32">
        <f t="shared" si="173"/>
        <v>6.5197440000000002</v>
      </c>
      <c r="AU315" s="32">
        <f t="shared" si="174"/>
        <v>0.74727297167314344</v>
      </c>
      <c r="AV315" s="32">
        <f t="shared" si="175"/>
        <v>0.65881851175874362</v>
      </c>
      <c r="AW315" s="32">
        <f t="shared" si="176"/>
        <v>1.2545437837895914</v>
      </c>
      <c r="AX315" s="32">
        <f t="shared" si="177"/>
        <v>0.89696938990401942</v>
      </c>
      <c r="AY315" s="32">
        <f t="shared" si="178"/>
        <v>0.99421124090048207</v>
      </c>
      <c r="AZ315" s="32">
        <f t="shared" si="193"/>
        <v>0.20040580126076354</v>
      </c>
      <c r="BA315" s="32">
        <f t="shared" si="179"/>
        <v>-4.0360720644360226</v>
      </c>
      <c r="BB315" s="32">
        <f t="shared" si="194"/>
        <v>2.4836719355639776</v>
      </c>
      <c r="BC315" s="32">
        <f t="shared" si="180"/>
        <v>7.86</v>
      </c>
      <c r="BD315" s="32">
        <v>0</v>
      </c>
      <c r="BE315" s="32">
        <f t="shared" si="195"/>
        <v>1.0757565868468055</v>
      </c>
      <c r="BF315" s="32">
        <f t="shared" si="196"/>
        <v>8.1545345946323455E-2</v>
      </c>
      <c r="BG315" s="32">
        <f t="shared" si="197"/>
        <v>7.2467195256177536E-2</v>
      </c>
      <c r="BH315" s="32">
        <f t="shared" si="181"/>
        <v>0.45091558017256395</v>
      </c>
      <c r="BI315" s="32">
        <f t="shared" si="182"/>
        <v>0.10983916143380815</v>
      </c>
      <c r="BJ315" s="32">
        <f t="shared" si="183"/>
        <v>0.56075474160637206</v>
      </c>
      <c r="BK315" s="457">
        <f t="shared" si="184"/>
        <v>0.80646126504342142</v>
      </c>
      <c r="BL315" s="2"/>
    </row>
    <row r="316" spans="1:64" ht="15">
      <c r="A316" s="119"/>
      <c r="B316" s="480">
        <f>Input!B333</f>
        <v>38298</v>
      </c>
      <c r="C316" s="481">
        <v>1</v>
      </c>
      <c r="D316" s="481">
        <f t="shared" si="185"/>
        <v>11</v>
      </c>
      <c r="E316" s="481">
        <f t="shared" si="186"/>
        <v>7</v>
      </c>
      <c r="F316" s="481">
        <f t="shared" si="160"/>
        <v>312</v>
      </c>
      <c r="G316" s="431">
        <v>2.7648000000000001</v>
      </c>
      <c r="H316" s="455">
        <v>8.68</v>
      </c>
      <c r="I316" s="455">
        <v>4.7</v>
      </c>
      <c r="J316" s="455">
        <v>1.33</v>
      </c>
      <c r="K316" s="485"/>
      <c r="L316" s="433">
        <v>100</v>
      </c>
      <c r="M316" s="455">
        <v>88</v>
      </c>
      <c r="N316" s="484">
        <f>Weather!M317</f>
        <v>0.2</v>
      </c>
      <c r="O316" s="481" t="str">
        <f t="shared" si="187"/>
        <v/>
      </c>
      <c r="P316" s="4">
        <f t="shared" si="198"/>
        <v>0.41608921674286758</v>
      </c>
      <c r="Q316" s="169">
        <f t="shared" si="161"/>
        <v>1.123476693455139</v>
      </c>
      <c r="R316" s="169">
        <f t="shared" si="162"/>
        <v>0.85421136592944225</v>
      </c>
      <c r="S316" s="169">
        <f t="shared" si="163"/>
        <v>0.98865949024052235</v>
      </c>
      <c r="T316" s="169">
        <f t="shared" si="164"/>
        <v>0.85421136592944225</v>
      </c>
      <c r="U316" s="169">
        <f t="shared" si="165"/>
        <v>0.92143542808498236</v>
      </c>
      <c r="V316" s="169">
        <f t="shared" si="166"/>
        <v>2.3807940283432534E-2</v>
      </c>
      <c r="W316" s="439">
        <f t="shared" si="167"/>
        <v>5.7874105541269012</v>
      </c>
      <c r="X316" s="439">
        <f t="shared" si="168"/>
        <v>5.7874105541269012</v>
      </c>
      <c r="Y316" s="169"/>
      <c r="Z316" s="119" t="str">
        <f t="shared" si="169"/>
        <v/>
      </c>
      <c r="AA316" s="4" t="str">
        <f t="shared" si="170"/>
        <v/>
      </c>
      <c r="AB316" s="466"/>
      <c r="AC316" s="466"/>
      <c r="AD316" s="466"/>
      <c r="AE316" s="466"/>
      <c r="AF316" s="466"/>
      <c r="AG316" s="466"/>
      <c r="AH316" s="466"/>
      <c r="AI316" s="466"/>
      <c r="AJ316" s="466"/>
      <c r="AK316" s="466"/>
      <c r="AL316" s="466"/>
      <c r="AM316" s="462">
        <f t="shared" si="171"/>
        <v>312</v>
      </c>
      <c r="AN316" s="32">
        <f t="shared" si="188"/>
        <v>1.020192251241868</v>
      </c>
      <c r="AO316" s="32">
        <f t="shared" si="189"/>
        <v>-0.30435139709454895</v>
      </c>
      <c r="AP316" s="32">
        <f t="shared" si="190"/>
        <v>1.2610030217792476</v>
      </c>
      <c r="AQ316" s="32">
        <f t="shared" si="191"/>
        <v>9.6333534801592435</v>
      </c>
      <c r="AR316" s="32">
        <f t="shared" si="192"/>
        <v>14.90991195685516</v>
      </c>
      <c r="AS316" s="32">
        <f t="shared" si="172"/>
        <v>11.193169104250305</v>
      </c>
      <c r="AT316" s="32">
        <f t="shared" si="173"/>
        <v>2.1288960000000001</v>
      </c>
      <c r="AU316" s="32">
        <f t="shared" si="174"/>
        <v>0.3</v>
      </c>
      <c r="AV316" s="32">
        <f t="shared" si="175"/>
        <v>5.5000000000000049E-2</v>
      </c>
      <c r="AW316" s="32">
        <f t="shared" si="176"/>
        <v>1.123476693455139</v>
      </c>
      <c r="AX316" s="32">
        <f t="shared" si="177"/>
        <v>0.85421136592944225</v>
      </c>
      <c r="AY316" s="32">
        <f t="shared" si="178"/>
        <v>0.92143542808498236</v>
      </c>
      <c r="AZ316" s="32">
        <f t="shared" si="193"/>
        <v>0.20561200057123535</v>
      </c>
      <c r="BA316" s="32">
        <f t="shared" si="179"/>
        <v>-0.33992112044080264</v>
      </c>
      <c r="BB316" s="32">
        <f t="shared" si="194"/>
        <v>1.7889748795591975</v>
      </c>
      <c r="BC316" s="32">
        <f t="shared" si="180"/>
        <v>6.6899999999999995</v>
      </c>
      <c r="BD316" s="32">
        <v>0</v>
      </c>
      <c r="BE316" s="32">
        <f t="shared" si="195"/>
        <v>0.98884402969229068</v>
      </c>
      <c r="BF316" s="32">
        <f t="shared" si="196"/>
        <v>6.7408601607308327E-2</v>
      </c>
      <c r="BG316" s="32">
        <f t="shared" si="197"/>
        <v>6.7527994504754454E-2</v>
      </c>
      <c r="BH316" s="32">
        <f t="shared" si="181"/>
        <v>0.29873936032118109</v>
      </c>
      <c r="BI316" s="32">
        <f t="shared" si="182"/>
        <v>0.11734985642168652</v>
      </c>
      <c r="BJ316" s="32">
        <f t="shared" si="183"/>
        <v>0.41608921674286758</v>
      </c>
      <c r="BK316" s="457">
        <f t="shared" si="184"/>
        <v>0.68385992099133464</v>
      </c>
      <c r="BL316" s="2"/>
    </row>
    <row r="317" spans="1:64" ht="15">
      <c r="A317" s="119"/>
      <c r="B317" s="480">
        <f>Input!B334</f>
        <v>38299</v>
      </c>
      <c r="C317" s="481">
        <v>1</v>
      </c>
      <c r="D317" s="481">
        <f t="shared" si="185"/>
        <v>11</v>
      </c>
      <c r="E317" s="481">
        <f t="shared" si="186"/>
        <v>8</v>
      </c>
      <c r="F317" s="481">
        <f t="shared" si="160"/>
        <v>313</v>
      </c>
      <c r="G317" s="431">
        <v>7.9488000000000003</v>
      </c>
      <c r="H317" s="455">
        <v>7.58</v>
      </c>
      <c r="I317" s="455">
        <v>1.4</v>
      </c>
      <c r="J317" s="455">
        <v>0.83</v>
      </c>
      <c r="K317" s="485"/>
      <c r="L317" s="433">
        <v>100</v>
      </c>
      <c r="M317" s="455">
        <v>88</v>
      </c>
      <c r="N317" s="484">
        <f>Weather!M318</f>
        <v>0</v>
      </c>
      <c r="O317" s="481" t="str">
        <f t="shared" si="187"/>
        <v/>
      </c>
      <c r="P317" s="4">
        <f t="shared" si="198"/>
        <v>0.44859811428674301</v>
      </c>
      <c r="Q317" s="169">
        <f t="shared" si="161"/>
        <v>1.042465707665998</v>
      </c>
      <c r="R317" s="169">
        <f t="shared" si="162"/>
        <v>0.67590997623515991</v>
      </c>
      <c r="S317" s="169">
        <f t="shared" si="163"/>
        <v>0.91736982274607826</v>
      </c>
      <c r="T317" s="169">
        <f t="shared" si="164"/>
        <v>0.67590997623515991</v>
      </c>
      <c r="U317" s="169">
        <f t="shared" si="165"/>
        <v>0.79663989949061909</v>
      </c>
      <c r="V317" s="169">
        <f t="shared" si="166"/>
        <v>1.5381191857716348E-2</v>
      </c>
      <c r="W317" s="439">
        <f t="shared" si="167"/>
        <v>3.7069745140483321</v>
      </c>
      <c r="X317" s="439">
        <f t="shared" si="168"/>
        <v>3.7069745140483321</v>
      </c>
      <c r="Y317" s="169"/>
      <c r="Z317" s="119" t="str">
        <f t="shared" si="169"/>
        <v/>
      </c>
      <c r="AA317" s="4" t="str">
        <f t="shared" si="170"/>
        <v/>
      </c>
      <c r="AB317" s="466"/>
      <c r="AC317" s="466"/>
      <c r="AD317" s="466"/>
      <c r="AE317" s="466"/>
      <c r="AF317" s="466"/>
      <c r="AG317" s="466"/>
      <c r="AH317" s="466"/>
      <c r="AI317" s="466"/>
      <c r="AJ317" s="466"/>
      <c r="AK317" s="466"/>
      <c r="AL317" s="466"/>
      <c r="AM317" s="462">
        <f t="shared" si="171"/>
        <v>313</v>
      </c>
      <c r="AN317" s="32">
        <f t="shared" si="188"/>
        <v>1.020638548908513</v>
      </c>
      <c r="AO317" s="32">
        <f t="shared" si="189"/>
        <v>-0.30900940216979578</v>
      </c>
      <c r="AP317" s="32">
        <f t="shared" si="190"/>
        <v>1.2557757794428988</v>
      </c>
      <c r="AQ317" s="32">
        <f t="shared" si="191"/>
        <v>9.5934202902439232</v>
      </c>
      <c r="AR317" s="32">
        <f t="shared" si="192"/>
        <v>14.730297248033679</v>
      </c>
      <c r="AS317" s="32">
        <f t="shared" si="172"/>
        <v>11.058328750043845</v>
      </c>
      <c r="AT317" s="32">
        <f t="shared" si="173"/>
        <v>6.1205760000000007</v>
      </c>
      <c r="AU317" s="32">
        <f t="shared" si="174"/>
        <v>0.7188066279878399</v>
      </c>
      <c r="AV317" s="32">
        <f t="shared" si="175"/>
        <v>0.620388947783584</v>
      </c>
      <c r="AW317" s="32">
        <f t="shared" si="176"/>
        <v>1.042465707665998</v>
      </c>
      <c r="AX317" s="32">
        <f t="shared" si="177"/>
        <v>0.67590997623515991</v>
      </c>
      <c r="AY317" s="32">
        <f t="shared" si="178"/>
        <v>0.79663989949061909</v>
      </c>
      <c r="AZ317" s="32">
        <f t="shared" si="193"/>
        <v>0.21504343942787107</v>
      </c>
      <c r="BA317" s="32">
        <f t="shared" si="179"/>
        <v>-3.8872021482830044</v>
      </c>
      <c r="BB317" s="32">
        <f t="shared" si="194"/>
        <v>2.2333738517169963</v>
      </c>
      <c r="BC317" s="32">
        <f t="shared" si="180"/>
        <v>4.49</v>
      </c>
      <c r="BD317" s="32">
        <v>0</v>
      </c>
      <c r="BE317" s="32">
        <f t="shared" si="195"/>
        <v>0.85918784195057896</v>
      </c>
      <c r="BF317" s="32">
        <f t="shared" si="196"/>
        <v>6.2547942459959871E-2</v>
      </c>
      <c r="BG317" s="32">
        <f t="shared" si="197"/>
        <v>5.9017248800589249E-2</v>
      </c>
      <c r="BH317" s="32">
        <f t="shared" si="181"/>
        <v>0.3707018930838048</v>
      </c>
      <c r="BI317" s="32">
        <f t="shared" si="182"/>
        <v>7.789622120293821E-2</v>
      </c>
      <c r="BJ317" s="32">
        <f t="shared" si="183"/>
        <v>0.44859811428674301</v>
      </c>
      <c r="BK317" s="457">
        <f t="shared" si="184"/>
        <v>0.76626249327403517</v>
      </c>
      <c r="BL317" s="2"/>
    </row>
    <row r="318" spans="1:64" ht="15">
      <c r="A318" s="119"/>
      <c r="B318" s="480">
        <f>Input!B335</f>
        <v>38300</v>
      </c>
      <c r="C318" s="481">
        <v>1</v>
      </c>
      <c r="D318" s="481">
        <f t="shared" si="185"/>
        <v>11</v>
      </c>
      <c r="E318" s="481">
        <f t="shared" si="186"/>
        <v>9</v>
      </c>
      <c r="F318" s="481">
        <f t="shared" si="160"/>
        <v>314</v>
      </c>
      <c r="G318" s="431">
        <v>8.3808000000000007</v>
      </c>
      <c r="H318" s="455">
        <v>9.19</v>
      </c>
      <c r="I318" s="455">
        <v>3.9</v>
      </c>
      <c r="J318" s="455">
        <v>1.02</v>
      </c>
      <c r="K318" s="485"/>
      <c r="L318" s="433">
        <v>100</v>
      </c>
      <c r="M318" s="455">
        <v>86</v>
      </c>
      <c r="N318" s="484">
        <f>Weather!M319</f>
        <v>0.4</v>
      </c>
      <c r="O318" s="481" t="str">
        <f t="shared" si="187"/>
        <v/>
      </c>
      <c r="P318" s="4">
        <f t="shared" si="198"/>
        <v>0.49556397787198192</v>
      </c>
      <c r="Q318" s="169">
        <f t="shared" si="161"/>
        <v>1.1628799510371677</v>
      </c>
      <c r="R318" s="169">
        <f t="shared" si="162"/>
        <v>0.80755475986901437</v>
      </c>
      <c r="S318" s="169">
        <f t="shared" si="163"/>
        <v>1.0000767578919643</v>
      </c>
      <c r="T318" s="169">
        <f t="shared" si="164"/>
        <v>0.80755475986901437</v>
      </c>
      <c r="U318" s="169">
        <f t="shared" si="165"/>
        <v>0.90381575888048937</v>
      </c>
      <c r="V318" s="169">
        <f t="shared" si="166"/>
        <v>2.2689980296942164E-2</v>
      </c>
      <c r="W318" s="439">
        <f t="shared" si="167"/>
        <v>5.5093391205590327</v>
      </c>
      <c r="X318" s="439">
        <f t="shared" si="168"/>
        <v>5.5093391205590327</v>
      </c>
      <c r="Y318" s="169"/>
      <c r="Z318" s="119" t="str">
        <f t="shared" si="169"/>
        <v/>
      </c>
      <c r="AA318" s="4" t="str">
        <f t="shared" si="170"/>
        <v/>
      </c>
      <c r="AB318" s="466"/>
      <c r="AC318" s="466"/>
      <c r="AD318" s="466"/>
      <c r="AE318" s="466"/>
      <c r="AF318" s="466"/>
      <c r="AG318" s="466"/>
      <c r="AH318" s="466"/>
      <c r="AI318" s="466"/>
      <c r="AJ318" s="466"/>
      <c r="AK318" s="466"/>
      <c r="AL318" s="466"/>
      <c r="AM318" s="462">
        <f t="shared" si="171"/>
        <v>314</v>
      </c>
      <c r="AN318" s="32">
        <f t="shared" si="188"/>
        <v>1.0210787309277003</v>
      </c>
      <c r="AO318" s="32">
        <f t="shared" si="189"/>
        <v>-0.31357584109021086</v>
      </c>
      <c r="AP318" s="32">
        <f t="shared" si="190"/>
        <v>1.2506274867343929</v>
      </c>
      <c r="AQ318" s="32">
        <f t="shared" si="191"/>
        <v>9.5540902310578755</v>
      </c>
      <c r="AR318" s="32">
        <f t="shared" si="192"/>
        <v>14.55444751658125</v>
      </c>
      <c r="AS318" s="32">
        <f t="shared" si="172"/>
        <v>10.926314839647876</v>
      </c>
      <c r="AT318" s="32">
        <f t="shared" si="173"/>
        <v>6.4532160000000003</v>
      </c>
      <c r="AU318" s="32">
        <f t="shared" si="174"/>
        <v>0.76702896841201496</v>
      </c>
      <c r="AV318" s="32">
        <f t="shared" si="175"/>
        <v>0.68548910735622026</v>
      </c>
      <c r="AW318" s="32">
        <f t="shared" si="176"/>
        <v>1.1628799510371677</v>
      </c>
      <c r="AX318" s="32">
        <f t="shared" si="177"/>
        <v>0.80755475986901437</v>
      </c>
      <c r="AY318" s="32">
        <f t="shared" si="178"/>
        <v>0.90381575888048948</v>
      </c>
      <c r="AZ318" s="32">
        <f t="shared" si="193"/>
        <v>0.20690308465611387</v>
      </c>
      <c r="BA318" s="32">
        <f t="shared" si="179"/>
        <v>-4.2553510011630369</v>
      </c>
      <c r="BB318" s="32">
        <f t="shared" si="194"/>
        <v>2.1978649988369634</v>
      </c>
      <c r="BC318" s="32">
        <f t="shared" si="180"/>
        <v>6.5449999999999999</v>
      </c>
      <c r="BD318" s="32">
        <v>0</v>
      </c>
      <c r="BE318" s="32">
        <f t="shared" si="195"/>
        <v>0.98521735545309097</v>
      </c>
      <c r="BF318" s="32">
        <f t="shared" si="196"/>
        <v>8.1401596572601487E-2</v>
      </c>
      <c r="BG318" s="32">
        <f t="shared" si="197"/>
        <v>6.6936426964770368E-2</v>
      </c>
      <c r="BH318" s="32">
        <f t="shared" si="181"/>
        <v>0.3815299119515847</v>
      </c>
      <c r="BI318" s="32">
        <f t="shared" si="182"/>
        <v>0.11403406592039725</v>
      </c>
      <c r="BJ318" s="32">
        <f t="shared" si="183"/>
        <v>0.49556397787198192</v>
      </c>
      <c r="BK318" s="457">
        <f t="shared" si="184"/>
        <v>0.76505928618175179</v>
      </c>
      <c r="BL318" s="2"/>
    </row>
    <row r="319" spans="1:64" ht="15">
      <c r="A319" s="119"/>
      <c r="B319" s="480">
        <f>Input!B336</f>
        <v>38301</v>
      </c>
      <c r="C319" s="481">
        <v>1</v>
      </c>
      <c r="D319" s="481">
        <f t="shared" si="185"/>
        <v>11</v>
      </c>
      <c r="E319" s="481">
        <f t="shared" si="186"/>
        <v>10</v>
      </c>
      <c r="F319" s="481">
        <f t="shared" si="160"/>
        <v>315</v>
      </c>
      <c r="G319" s="431">
        <v>2.3328000000000002</v>
      </c>
      <c r="H319" s="455">
        <v>11.23</v>
      </c>
      <c r="I319" s="455">
        <v>8.6</v>
      </c>
      <c r="J319" s="455">
        <v>2.3199999999999998</v>
      </c>
      <c r="K319" s="485"/>
      <c r="L319" s="433">
        <v>100</v>
      </c>
      <c r="M319" s="455">
        <v>86</v>
      </c>
      <c r="N319" s="484">
        <f>Weather!M320</f>
        <v>0.2</v>
      </c>
      <c r="O319" s="481" t="str">
        <f t="shared" si="187"/>
        <v/>
      </c>
      <c r="P319" s="4">
        <f t="shared" si="198"/>
        <v>0.47134381160449357</v>
      </c>
      <c r="Q319" s="169">
        <f t="shared" si="161"/>
        <v>1.3329188917228609</v>
      </c>
      <c r="R319" s="169">
        <f t="shared" si="162"/>
        <v>1.1174036087713535</v>
      </c>
      <c r="S319" s="169">
        <f t="shared" si="163"/>
        <v>1.1463102468816604</v>
      </c>
      <c r="T319" s="169">
        <f t="shared" si="164"/>
        <v>1.1174036087713535</v>
      </c>
      <c r="U319" s="169">
        <f t="shared" si="165"/>
        <v>1.1318569278265069</v>
      </c>
      <c r="V319" s="169">
        <f t="shared" si="166"/>
        <v>3.5717735297340229E-2</v>
      </c>
      <c r="W319" s="439">
        <f t="shared" si="167"/>
        <v>8.7897692369903631</v>
      </c>
      <c r="X319" s="439">
        <f t="shared" si="168"/>
        <v>8.7897692369903631</v>
      </c>
      <c r="Y319" s="169"/>
      <c r="Z319" s="119" t="str">
        <f t="shared" si="169"/>
        <v/>
      </c>
      <c r="AA319" s="4" t="str">
        <f t="shared" si="170"/>
        <v/>
      </c>
      <c r="AB319" s="466"/>
      <c r="AC319" s="466"/>
      <c r="AD319" s="466"/>
      <c r="AE319" s="466"/>
      <c r="AF319" s="466"/>
      <c r="AG319" s="466"/>
      <c r="AH319" s="466"/>
      <c r="AI319" s="466"/>
      <c r="AJ319" s="466"/>
      <c r="AK319" s="466"/>
      <c r="AL319" s="466"/>
      <c r="AM319" s="462">
        <f t="shared" si="171"/>
        <v>315</v>
      </c>
      <c r="AN319" s="32">
        <f t="shared" si="188"/>
        <v>1.0215126668639976</v>
      </c>
      <c r="AO319" s="32">
        <f t="shared" si="189"/>
        <v>-0.31804936072138967</v>
      </c>
      <c r="AP319" s="32">
        <f t="shared" si="190"/>
        <v>1.2455605749890641</v>
      </c>
      <c r="AQ319" s="32">
        <f t="shared" si="191"/>
        <v>9.5153818766348621</v>
      </c>
      <c r="AR319" s="32">
        <f t="shared" si="192"/>
        <v>14.382409732992416</v>
      </c>
      <c r="AS319" s="32">
        <f t="shared" si="172"/>
        <v>10.797162634752068</v>
      </c>
      <c r="AT319" s="32">
        <f t="shared" si="173"/>
        <v>1.7962560000000003</v>
      </c>
      <c r="AU319" s="32">
        <f t="shared" si="174"/>
        <v>0.3</v>
      </c>
      <c r="AV319" s="32">
        <f t="shared" si="175"/>
        <v>5.5000000000000049E-2</v>
      </c>
      <c r="AW319" s="32">
        <f t="shared" si="176"/>
        <v>1.3329188917228609</v>
      </c>
      <c r="AX319" s="32">
        <f t="shared" si="177"/>
        <v>1.1174036087713535</v>
      </c>
      <c r="AY319" s="32">
        <f t="shared" si="178"/>
        <v>1.1318569278265069</v>
      </c>
      <c r="AZ319" s="32">
        <f t="shared" si="193"/>
        <v>0.19105572926292355</v>
      </c>
      <c r="BA319" s="32">
        <f t="shared" si="179"/>
        <v>-0.33061287517380572</v>
      </c>
      <c r="BB319" s="32">
        <f t="shared" si="194"/>
        <v>1.4656431248261945</v>
      </c>
      <c r="BC319" s="32">
        <f t="shared" si="180"/>
        <v>9.9149999999999991</v>
      </c>
      <c r="BD319" s="32">
        <v>0</v>
      </c>
      <c r="BE319" s="32">
        <f t="shared" si="195"/>
        <v>1.2251612502471072</v>
      </c>
      <c r="BF319" s="32">
        <f t="shared" si="196"/>
        <v>9.3304322420600272E-2</v>
      </c>
      <c r="BG319" s="32">
        <f t="shared" si="197"/>
        <v>8.1891511775536302E-2</v>
      </c>
      <c r="BH319" s="32">
        <f t="shared" si="181"/>
        <v>0.24249256890099932</v>
      </c>
      <c r="BI319" s="32">
        <f t="shared" si="182"/>
        <v>0.22885124270349422</v>
      </c>
      <c r="BJ319" s="32">
        <f t="shared" si="183"/>
        <v>0.47134381160449357</v>
      </c>
      <c r="BK319" s="457">
        <f t="shared" si="184"/>
        <v>0.60685672051187234</v>
      </c>
      <c r="BL319" s="2"/>
    </row>
    <row r="320" spans="1:64" ht="15">
      <c r="A320" s="119"/>
      <c r="B320" s="480">
        <f>Input!B337</f>
        <v>38302</v>
      </c>
      <c r="C320" s="481">
        <v>1</v>
      </c>
      <c r="D320" s="481">
        <f t="shared" si="185"/>
        <v>11</v>
      </c>
      <c r="E320" s="481">
        <f t="shared" si="186"/>
        <v>11</v>
      </c>
      <c r="F320" s="481">
        <f t="shared" si="160"/>
        <v>316</v>
      </c>
      <c r="G320" s="431">
        <v>7.5167999999999999</v>
      </c>
      <c r="H320" s="455">
        <v>12.18</v>
      </c>
      <c r="I320" s="455">
        <v>10.6</v>
      </c>
      <c r="J320" s="455">
        <v>2.4500000000000002</v>
      </c>
      <c r="K320" s="485"/>
      <c r="L320" s="433">
        <v>100</v>
      </c>
      <c r="M320" s="455">
        <v>88</v>
      </c>
      <c r="N320" s="484">
        <f>Weather!M321</f>
        <v>25.6</v>
      </c>
      <c r="O320" s="481">
        <f t="shared" si="187"/>
        <v>1</v>
      </c>
      <c r="P320" s="4">
        <f t="shared" si="198"/>
        <v>0.59694829900351776</v>
      </c>
      <c r="Q320" s="169">
        <f t="shared" si="161"/>
        <v>1.4192980842122889</v>
      </c>
      <c r="R320" s="169">
        <f t="shared" si="162"/>
        <v>1.278215906569439</v>
      </c>
      <c r="S320" s="169">
        <f t="shared" si="163"/>
        <v>1.2489823141068142</v>
      </c>
      <c r="T320" s="169">
        <f t="shared" si="164"/>
        <v>1.278215906569439</v>
      </c>
      <c r="U320" s="169">
        <f t="shared" si="165"/>
        <v>1.2635991103381266</v>
      </c>
      <c r="V320" s="169">
        <f t="shared" si="166"/>
        <v>4.209321317394206E-2</v>
      </c>
      <c r="W320" s="439">
        <f t="shared" si="167"/>
        <v>10.427652902714279</v>
      </c>
      <c r="X320" s="439">
        <f t="shared" si="168"/>
        <v>10.427652902714279</v>
      </c>
      <c r="Y320" s="169"/>
      <c r="Z320" s="119" t="str">
        <f t="shared" si="169"/>
        <v/>
      </c>
      <c r="AA320" s="4" t="str">
        <f t="shared" si="170"/>
        <v/>
      </c>
      <c r="AB320" s="466"/>
      <c r="AC320" s="466"/>
      <c r="AD320" s="466"/>
      <c r="AE320" s="466"/>
      <c r="AF320" s="466"/>
      <c r="AG320" s="466"/>
      <c r="AH320" s="466"/>
      <c r="AI320" s="466"/>
      <c r="AJ320" s="466"/>
      <c r="AK320" s="466"/>
      <c r="AL320" s="466"/>
      <c r="AM320" s="462">
        <f t="shared" si="171"/>
        <v>316</v>
      </c>
      <c r="AN320" s="32">
        <f t="shared" si="188"/>
        <v>1.0219402281328214</v>
      </c>
      <c r="AO320" s="32">
        <f t="shared" si="189"/>
        <v>-0.32242863546291967</v>
      </c>
      <c r="AP320" s="32">
        <f t="shared" si="190"/>
        <v>1.2405774971208514</v>
      </c>
      <c r="AQ320" s="32">
        <f t="shared" si="191"/>
        <v>9.4773139658570429</v>
      </c>
      <c r="AR320" s="32">
        <f t="shared" si="192"/>
        <v>14.214228979261637</v>
      </c>
      <c r="AS320" s="32">
        <f t="shared" si="172"/>
        <v>10.670905979311296</v>
      </c>
      <c r="AT320" s="32">
        <f t="shared" si="173"/>
        <v>5.7879360000000002</v>
      </c>
      <c r="AU320" s="32">
        <f t="shared" si="174"/>
        <v>0.70442003842724665</v>
      </c>
      <c r="AV320" s="32">
        <f t="shared" si="175"/>
        <v>0.60096705187678312</v>
      </c>
      <c r="AW320" s="32">
        <f t="shared" si="176"/>
        <v>1.4192980842122889</v>
      </c>
      <c r="AX320" s="32">
        <f t="shared" si="177"/>
        <v>1.278215906569439</v>
      </c>
      <c r="AY320" s="32">
        <f t="shared" si="178"/>
        <v>1.2635991103381266</v>
      </c>
      <c r="AZ320" s="32">
        <f t="shared" si="193"/>
        <v>0.18262610584144751</v>
      </c>
      <c r="BA320" s="32">
        <f t="shared" si="179"/>
        <v>-3.5253561302247212</v>
      </c>
      <c r="BB320" s="32">
        <f t="shared" si="194"/>
        <v>2.262579869775279</v>
      </c>
      <c r="BC320" s="32">
        <f t="shared" si="180"/>
        <v>11.39</v>
      </c>
      <c r="BD320" s="32">
        <v>0</v>
      </c>
      <c r="BE320" s="32">
        <f t="shared" si="195"/>
        <v>1.3487569953908638</v>
      </c>
      <c r="BF320" s="32">
        <f t="shared" si="196"/>
        <v>8.5157885052737248E-2</v>
      </c>
      <c r="BG320" s="32">
        <f t="shared" si="197"/>
        <v>8.9283747562068125E-2</v>
      </c>
      <c r="BH320" s="32">
        <f t="shared" si="181"/>
        <v>0.38822466907146541</v>
      </c>
      <c r="BI320" s="32">
        <f t="shared" si="182"/>
        <v>0.2087236299320524</v>
      </c>
      <c r="BJ320" s="32">
        <f t="shared" si="183"/>
        <v>0.59694829900351776</v>
      </c>
      <c r="BK320" s="457">
        <f t="shared" si="184"/>
        <v>0.48960708909621165</v>
      </c>
      <c r="BL320" s="2"/>
    </row>
    <row r="321" spans="1:64" ht="15">
      <c r="A321" s="119"/>
      <c r="B321" s="480">
        <f>Input!B338</f>
        <v>38303</v>
      </c>
      <c r="C321" s="481">
        <v>1</v>
      </c>
      <c r="D321" s="481">
        <f t="shared" si="185"/>
        <v>11</v>
      </c>
      <c r="E321" s="481">
        <f t="shared" si="186"/>
        <v>12</v>
      </c>
      <c r="F321" s="481">
        <f t="shared" si="160"/>
        <v>317</v>
      </c>
      <c r="G321" s="431">
        <v>4.1471999999999998</v>
      </c>
      <c r="H321" s="455">
        <v>10.98</v>
      </c>
      <c r="I321" s="455">
        <v>10.1</v>
      </c>
      <c r="J321" s="455">
        <v>1.1599999999999999</v>
      </c>
      <c r="K321" s="485"/>
      <c r="L321" s="433">
        <v>100</v>
      </c>
      <c r="M321" s="455">
        <v>88</v>
      </c>
      <c r="N321" s="484">
        <f>Weather!M322</f>
        <v>2</v>
      </c>
      <c r="O321" s="481">
        <f t="shared" si="187"/>
        <v>1</v>
      </c>
      <c r="P321" s="4">
        <f t="shared" si="198"/>
        <v>0.52054953591609565</v>
      </c>
      <c r="Q321" s="169">
        <f t="shared" si="161"/>
        <v>1.3109699920303324</v>
      </c>
      <c r="R321" s="169">
        <f t="shared" si="162"/>
        <v>1.2362155224318401</v>
      </c>
      <c r="S321" s="169">
        <f t="shared" si="163"/>
        <v>1.1536535929866925</v>
      </c>
      <c r="T321" s="169">
        <f t="shared" si="164"/>
        <v>1.2362155224318401</v>
      </c>
      <c r="U321" s="169">
        <f t="shared" si="165"/>
        <v>1.1949345577092663</v>
      </c>
      <c r="V321" s="169">
        <f t="shared" si="166"/>
        <v>3.8857969085023418E-2</v>
      </c>
      <c r="W321" s="439">
        <f t="shared" si="167"/>
        <v>9.5937913100085339</v>
      </c>
      <c r="X321" s="439">
        <f t="shared" si="168"/>
        <v>9.5937913100085339</v>
      </c>
      <c r="Y321" s="169"/>
      <c r="Z321" s="119" t="str">
        <f t="shared" si="169"/>
        <v/>
      </c>
      <c r="AA321" s="4" t="str">
        <f t="shared" si="170"/>
        <v/>
      </c>
      <c r="AB321" s="466"/>
      <c r="AC321" s="466"/>
      <c r="AD321" s="466"/>
      <c r="AE321" s="466"/>
      <c r="AF321" s="466"/>
      <c r="AG321" s="466"/>
      <c r="AH321" s="466"/>
      <c r="AI321" s="466"/>
      <c r="AJ321" s="466"/>
      <c r="AK321" s="466"/>
      <c r="AL321" s="466"/>
      <c r="AM321" s="462">
        <f t="shared" si="171"/>
        <v>317</v>
      </c>
      <c r="AN321" s="32">
        <f t="shared" si="188"/>
        <v>1.0223612880385406</v>
      </c>
      <c r="AO321" s="32">
        <f t="shared" si="189"/>
        <v>-0.32671236764118211</v>
      </c>
      <c r="AP321" s="32">
        <f t="shared" si="190"/>
        <v>1.2356807249227066</v>
      </c>
      <c r="AQ321" s="32">
        <f t="shared" si="191"/>
        <v>9.4399053818316165</v>
      </c>
      <c r="AR321" s="32">
        <f t="shared" si="192"/>
        <v>14.04994846427674</v>
      </c>
      <c r="AS321" s="32">
        <f t="shared" si="172"/>
        <v>10.547577311101834</v>
      </c>
      <c r="AT321" s="32">
        <f t="shared" si="173"/>
        <v>3.1933439999999997</v>
      </c>
      <c r="AU321" s="32">
        <f t="shared" si="174"/>
        <v>0.39318981768778993</v>
      </c>
      <c r="AV321" s="32">
        <f t="shared" si="175"/>
        <v>0.18080625387851645</v>
      </c>
      <c r="AW321" s="32">
        <f t="shared" si="176"/>
        <v>1.3109699920303324</v>
      </c>
      <c r="AX321" s="32">
        <f t="shared" si="177"/>
        <v>1.2362155224318401</v>
      </c>
      <c r="AY321" s="32">
        <f t="shared" si="178"/>
        <v>1.194934557709266</v>
      </c>
      <c r="AZ321" s="32">
        <f t="shared" si="193"/>
        <v>0.1869617128588352</v>
      </c>
      <c r="BA321" s="32">
        <f t="shared" si="179"/>
        <v>-1.0728637803950116</v>
      </c>
      <c r="BB321" s="32">
        <f t="shared" si="194"/>
        <v>2.1204802196049881</v>
      </c>
      <c r="BC321" s="32">
        <f t="shared" si="180"/>
        <v>10.54</v>
      </c>
      <c r="BD321" s="32">
        <v>0</v>
      </c>
      <c r="BE321" s="32">
        <f t="shared" si="195"/>
        <v>1.2735927572310861</v>
      </c>
      <c r="BF321" s="32">
        <f t="shared" si="196"/>
        <v>7.8658199521820071E-2</v>
      </c>
      <c r="BG321" s="32">
        <f t="shared" si="197"/>
        <v>8.4957402046016206E-2</v>
      </c>
      <c r="BH321" s="32">
        <f t="shared" si="181"/>
        <v>0.41168123036954013</v>
      </c>
      <c r="BI321" s="32">
        <f t="shared" si="182"/>
        <v>0.10886830554655558</v>
      </c>
      <c r="BJ321" s="32">
        <f t="shared" si="183"/>
        <v>0.52054953591609565</v>
      </c>
      <c r="BK321" s="457">
        <f t="shared" si="184"/>
        <v>0.35065308561195702</v>
      </c>
      <c r="BL321" s="2"/>
    </row>
    <row r="322" spans="1:64" ht="15">
      <c r="A322" s="119"/>
      <c r="B322" s="480">
        <f>Input!B339</f>
        <v>38304</v>
      </c>
      <c r="C322" s="481">
        <v>1</v>
      </c>
      <c r="D322" s="481">
        <f t="shared" si="185"/>
        <v>11</v>
      </c>
      <c r="E322" s="481">
        <f t="shared" si="186"/>
        <v>13</v>
      </c>
      <c r="F322" s="481">
        <f t="shared" si="160"/>
        <v>318</v>
      </c>
      <c r="G322" s="431">
        <v>6.7392000000000003</v>
      </c>
      <c r="H322" s="455">
        <v>12.32</v>
      </c>
      <c r="I322" s="455">
        <v>9.5</v>
      </c>
      <c r="J322" s="455">
        <v>1.03</v>
      </c>
      <c r="K322" s="485"/>
      <c r="L322" s="433">
        <v>100</v>
      </c>
      <c r="M322" s="455">
        <v>88</v>
      </c>
      <c r="N322" s="484">
        <f>Weather!M323</f>
        <v>0</v>
      </c>
      <c r="O322" s="481" t="str">
        <f t="shared" si="187"/>
        <v/>
      </c>
      <c r="P322" s="4">
        <f t="shared" si="198"/>
        <v>0.52595066517111921</v>
      </c>
      <c r="Q322" s="169">
        <f t="shared" si="161"/>
        <v>1.4324345559602742</v>
      </c>
      <c r="R322" s="169">
        <f t="shared" si="162"/>
        <v>1.1874205365788533</v>
      </c>
      <c r="S322" s="169">
        <f t="shared" si="163"/>
        <v>1.2605424092450412</v>
      </c>
      <c r="T322" s="169">
        <f t="shared" si="164"/>
        <v>1.1874205365788533</v>
      </c>
      <c r="U322" s="169">
        <f t="shared" si="165"/>
        <v>1.2239814729119471</v>
      </c>
      <c r="V322" s="169">
        <f t="shared" si="166"/>
        <v>4.0248682866438255E-2</v>
      </c>
      <c r="W322" s="439">
        <f t="shared" si="167"/>
        <v>9.9515491916502921</v>
      </c>
      <c r="X322" s="439">
        <f t="shared" si="168"/>
        <v>9.9515491916502921</v>
      </c>
      <c r="Y322" s="169"/>
      <c r="Z322" s="119" t="str">
        <f t="shared" si="169"/>
        <v/>
      </c>
      <c r="AA322" s="4" t="str">
        <f t="shared" si="170"/>
        <v/>
      </c>
      <c r="AB322" s="466"/>
      <c r="AC322" s="466"/>
      <c r="AD322" s="466"/>
      <c r="AE322" s="466"/>
      <c r="AF322" s="466"/>
      <c r="AG322" s="466"/>
      <c r="AH322" s="466"/>
      <c r="AI322" s="466"/>
      <c r="AJ322" s="466"/>
      <c r="AK322" s="466"/>
      <c r="AL322" s="466"/>
      <c r="AM322" s="462">
        <f t="shared" si="171"/>
        <v>318</v>
      </c>
      <c r="AN322" s="32">
        <f t="shared" si="188"/>
        <v>1.0227757218120181</v>
      </c>
      <c r="AO322" s="32">
        <f t="shared" si="189"/>
        <v>-0.33089928789388184</v>
      </c>
      <c r="AP322" s="32">
        <f t="shared" si="190"/>
        <v>1.2308727461754883</v>
      </c>
      <c r="AQ322" s="32">
        <f t="shared" si="191"/>
        <v>9.4031751298043886</v>
      </c>
      <c r="AR322" s="32">
        <f t="shared" si="192"/>
        <v>13.889609542611842</v>
      </c>
      <c r="AS322" s="32">
        <f t="shared" si="172"/>
        <v>10.427207675829562</v>
      </c>
      <c r="AT322" s="32">
        <f t="shared" si="173"/>
        <v>5.189184</v>
      </c>
      <c r="AU322" s="32">
        <f t="shared" si="174"/>
        <v>0.64630917590924908</v>
      </c>
      <c r="AV322" s="32">
        <f t="shared" si="175"/>
        <v>0.52251738747748633</v>
      </c>
      <c r="AW322" s="32">
        <f t="shared" si="176"/>
        <v>1.4324345559602742</v>
      </c>
      <c r="AX322" s="32">
        <f t="shared" si="177"/>
        <v>1.1874205365788533</v>
      </c>
      <c r="AY322" s="32">
        <f t="shared" si="178"/>
        <v>1.2239814729119469</v>
      </c>
      <c r="AZ322" s="32">
        <f t="shared" si="193"/>
        <v>0.18511282535640933</v>
      </c>
      <c r="BA322" s="32">
        <f t="shared" si="179"/>
        <v>-3.0862980565091092</v>
      </c>
      <c r="BB322" s="32">
        <f t="shared" si="194"/>
        <v>2.1028859434908909</v>
      </c>
      <c r="BC322" s="32">
        <f t="shared" si="180"/>
        <v>10.91</v>
      </c>
      <c r="BD322" s="32">
        <v>0</v>
      </c>
      <c r="BE322" s="32">
        <f t="shared" si="195"/>
        <v>1.3099275462695639</v>
      </c>
      <c r="BF322" s="32">
        <f t="shared" si="196"/>
        <v>8.5946073357616948E-2</v>
      </c>
      <c r="BG322" s="32">
        <f t="shared" si="197"/>
        <v>8.6818133489190069E-2</v>
      </c>
      <c r="BH322" s="32">
        <f t="shared" si="181"/>
        <v>0.41980696130478429</v>
      </c>
      <c r="BI322" s="32">
        <f t="shared" si="182"/>
        <v>0.10614370386633493</v>
      </c>
      <c r="BJ322" s="32">
        <f t="shared" si="183"/>
        <v>0.52595066517111921</v>
      </c>
      <c r="BK322" s="457">
        <f t="shared" si="184"/>
        <v>0.62865089119706863</v>
      </c>
      <c r="BL322" s="2"/>
    </row>
    <row r="323" spans="1:64" ht="15">
      <c r="A323" s="119"/>
      <c r="B323" s="480">
        <f>Input!B340</f>
        <v>38305</v>
      </c>
      <c r="C323" s="481">
        <v>1</v>
      </c>
      <c r="D323" s="481">
        <f t="shared" si="185"/>
        <v>11</v>
      </c>
      <c r="E323" s="481">
        <f t="shared" si="186"/>
        <v>14</v>
      </c>
      <c r="F323" s="481">
        <f t="shared" si="160"/>
        <v>319</v>
      </c>
      <c r="G323" s="431">
        <v>1.9872000000000001</v>
      </c>
      <c r="H323" s="455">
        <v>10.27</v>
      </c>
      <c r="I323" s="455">
        <v>5.3</v>
      </c>
      <c r="J323" s="455">
        <v>1.82</v>
      </c>
      <c r="K323" s="485"/>
      <c r="L323" s="433">
        <v>100</v>
      </c>
      <c r="M323" s="455">
        <v>86</v>
      </c>
      <c r="N323" s="484">
        <f>Weather!M324</f>
        <v>0</v>
      </c>
      <c r="O323" s="481" t="str">
        <f t="shared" si="187"/>
        <v/>
      </c>
      <c r="P323" s="4">
        <f t="shared" si="198"/>
        <v>0.3836576772264001</v>
      </c>
      <c r="Q323" s="169">
        <f t="shared" si="161"/>
        <v>1.2503574240382131</v>
      </c>
      <c r="R323" s="169">
        <f t="shared" si="162"/>
        <v>0.89074786868336131</v>
      </c>
      <c r="S323" s="169">
        <f t="shared" si="163"/>
        <v>1.0753073846728634</v>
      </c>
      <c r="T323" s="169">
        <f t="shared" si="164"/>
        <v>0.89074786868336131</v>
      </c>
      <c r="U323" s="169">
        <f t="shared" si="165"/>
        <v>0.98302762667811239</v>
      </c>
      <c r="V323" s="169">
        <f t="shared" si="166"/>
        <v>2.7554583141956798E-2</v>
      </c>
      <c r="W323" s="439">
        <f t="shared" si="167"/>
        <v>6.7239790184962773</v>
      </c>
      <c r="X323" s="439">
        <f t="shared" si="168"/>
        <v>6.7239790184962773</v>
      </c>
      <c r="Y323" s="169"/>
      <c r="Z323" s="119" t="str">
        <f t="shared" si="169"/>
        <v/>
      </c>
      <c r="AA323" s="4" t="str">
        <f t="shared" si="170"/>
        <v/>
      </c>
      <c r="AB323" s="466"/>
      <c r="AC323" s="466"/>
      <c r="AD323" s="466"/>
      <c r="AE323" s="466"/>
      <c r="AF323" s="466"/>
      <c r="AG323" s="466"/>
      <c r="AH323" s="466"/>
      <c r="AI323" s="466"/>
      <c r="AJ323" s="466"/>
      <c r="AK323" s="466"/>
      <c r="AL323" s="466"/>
      <c r="AM323" s="462">
        <f t="shared" si="171"/>
        <v>319</v>
      </c>
      <c r="AN323" s="32">
        <f t="shared" si="188"/>
        <v>1.0231834066475822</v>
      </c>
      <c r="AO323" s="32">
        <f t="shared" si="189"/>
        <v>-0.33498815554618733</v>
      </c>
      <c r="AP323" s="32">
        <f t="shared" si="190"/>
        <v>1.2261560615662934</v>
      </c>
      <c r="AQ323" s="32">
        <f t="shared" si="191"/>
        <v>9.3671423136175651</v>
      </c>
      <c r="AR323" s="32">
        <f t="shared" si="192"/>
        <v>13.733251736631141</v>
      </c>
      <c r="AS323" s="32">
        <f t="shared" si="172"/>
        <v>10.309826743723731</v>
      </c>
      <c r="AT323" s="32">
        <f t="shared" si="173"/>
        <v>1.5301440000000002</v>
      </c>
      <c r="AU323" s="32">
        <f t="shared" si="174"/>
        <v>0.3</v>
      </c>
      <c r="AV323" s="32">
        <f t="shared" si="175"/>
        <v>5.5000000000000049E-2</v>
      </c>
      <c r="AW323" s="32">
        <f t="shared" si="176"/>
        <v>1.2503574240382131</v>
      </c>
      <c r="AX323" s="32">
        <f t="shared" si="177"/>
        <v>0.89074786868336131</v>
      </c>
      <c r="AY323" s="32">
        <f t="shared" si="178"/>
        <v>0.98302762667811239</v>
      </c>
      <c r="AZ323" s="32">
        <f t="shared" si="193"/>
        <v>0.2011931504467773</v>
      </c>
      <c r="BA323" s="32">
        <f t="shared" si="179"/>
        <v>-0.33790855825017652</v>
      </c>
      <c r="BB323" s="32">
        <f t="shared" si="194"/>
        <v>1.1922354417498235</v>
      </c>
      <c r="BC323" s="32">
        <f t="shared" si="180"/>
        <v>7.7850000000000001</v>
      </c>
      <c r="BD323" s="32">
        <v>0</v>
      </c>
      <c r="BE323" s="32">
        <f t="shared" si="195"/>
        <v>1.0705526463607873</v>
      </c>
      <c r="BF323" s="32">
        <f t="shared" si="196"/>
        <v>8.7525019682674898E-2</v>
      </c>
      <c r="BG323" s="32">
        <f t="shared" si="197"/>
        <v>7.2141571236511451E-2</v>
      </c>
      <c r="BH323" s="32">
        <f t="shared" si="181"/>
        <v>0.19411006408098994</v>
      </c>
      <c r="BI323" s="32">
        <f t="shared" si="182"/>
        <v>0.18954761314541016</v>
      </c>
      <c r="BJ323" s="32">
        <f t="shared" si="183"/>
        <v>0.3836576772264001</v>
      </c>
      <c r="BK323" s="457">
        <f t="shared" si="184"/>
        <v>0.73535787601258007</v>
      </c>
      <c r="BL323" s="2"/>
    </row>
    <row r="324" spans="1:64" ht="15">
      <c r="A324" s="119"/>
      <c r="B324" s="480">
        <f>Input!B341</f>
        <v>38306</v>
      </c>
      <c r="C324" s="481">
        <v>1</v>
      </c>
      <c r="D324" s="481">
        <f t="shared" si="185"/>
        <v>11</v>
      </c>
      <c r="E324" s="481">
        <f t="shared" si="186"/>
        <v>15</v>
      </c>
      <c r="F324" s="481">
        <f t="shared" si="160"/>
        <v>320</v>
      </c>
      <c r="G324" s="431">
        <v>1.3824000000000001</v>
      </c>
      <c r="H324" s="455">
        <v>7.21</v>
      </c>
      <c r="I324" s="455">
        <v>3.1</v>
      </c>
      <c r="J324" s="455">
        <v>0.92</v>
      </c>
      <c r="K324" s="485"/>
      <c r="L324" s="433">
        <v>100</v>
      </c>
      <c r="M324" s="455">
        <v>86</v>
      </c>
      <c r="N324" s="484">
        <f>Weather!M325</f>
        <v>0.2</v>
      </c>
      <c r="O324" s="481" t="str">
        <f t="shared" si="187"/>
        <v/>
      </c>
      <c r="P324" s="4">
        <f t="shared" si="198"/>
        <v>0.21566560420843345</v>
      </c>
      <c r="Q324" s="169">
        <f t="shared" si="161"/>
        <v>1.0163972052359547</v>
      </c>
      <c r="R324" s="169">
        <f t="shared" si="162"/>
        <v>0.76316116970131509</v>
      </c>
      <c r="S324" s="169">
        <f t="shared" si="163"/>
        <v>0.87410159650292096</v>
      </c>
      <c r="T324" s="169">
        <f t="shared" si="164"/>
        <v>0.76316116970131509</v>
      </c>
      <c r="U324" s="169">
        <f t="shared" si="165"/>
        <v>0.81863138310211803</v>
      </c>
      <c r="V324" s="169">
        <f t="shared" si="166"/>
        <v>1.6957980747483163E-2</v>
      </c>
      <c r="W324" s="439">
        <f t="shared" si="167"/>
        <v>4.0935471247074586</v>
      </c>
      <c r="X324" s="439">
        <f t="shared" si="168"/>
        <v>4.0935471247074586</v>
      </c>
      <c r="Y324" s="169"/>
      <c r="Z324" s="119" t="str">
        <f t="shared" si="169"/>
        <v/>
      </c>
      <c r="AA324" s="4" t="str">
        <f t="shared" si="170"/>
        <v/>
      </c>
      <c r="AB324" s="466"/>
      <c r="AC324" s="466"/>
      <c r="AD324" s="466"/>
      <c r="AE324" s="466"/>
      <c r="AF324" s="466"/>
      <c r="AG324" s="466"/>
      <c r="AH324" s="466"/>
      <c r="AI324" s="466"/>
      <c r="AJ324" s="466"/>
      <c r="AK324" s="466"/>
      <c r="AL324" s="466"/>
      <c r="AM324" s="462">
        <f t="shared" si="171"/>
        <v>320</v>
      </c>
      <c r="AN324" s="32">
        <f t="shared" si="188"/>
        <v>1.0235842217394178</v>
      </c>
      <c r="AO324" s="32">
        <f t="shared" si="189"/>
        <v>-0.33897775897836779</v>
      </c>
      <c r="AP324" s="32">
        <f t="shared" si="190"/>
        <v>1.2215331814181454</v>
      </c>
      <c r="AQ324" s="32">
        <f t="shared" si="191"/>
        <v>9.3318261107264053</v>
      </c>
      <c r="AR324" s="32">
        <f t="shared" si="192"/>
        <v>13.580912761801278</v>
      </c>
      <c r="AS324" s="32">
        <f t="shared" si="172"/>
        <v>10.195462828539457</v>
      </c>
      <c r="AT324" s="32">
        <f t="shared" si="173"/>
        <v>1.0644480000000001</v>
      </c>
      <c r="AU324" s="32">
        <f t="shared" si="174"/>
        <v>0.3</v>
      </c>
      <c r="AV324" s="32">
        <f t="shared" si="175"/>
        <v>5.5000000000000049E-2</v>
      </c>
      <c r="AW324" s="32">
        <f t="shared" si="176"/>
        <v>1.0163972052359547</v>
      </c>
      <c r="AX324" s="32">
        <f t="shared" si="177"/>
        <v>0.76316116970131509</v>
      </c>
      <c r="AY324" s="32">
        <f t="shared" si="178"/>
        <v>0.81863138310211803</v>
      </c>
      <c r="AZ324" s="32">
        <f t="shared" si="193"/>
        <v>0.21333044916475977</v>
      </c>
      <c r="BA324" s="32">
        <f t="shared" si="179"/>
        <v>-0.34501478450401152</v>
      </c>
      <c r="BB324" s="32">
        <f t="shared" si="194"/>
        <v>0.7194332154959886</v>
      </c>
      <c r="BC324" s="32">
        <f t="shared" si="180"/>
        <v>5.1550000000000002</v>
      </c>
      <c r="BD324" s="32">
        <v>0</v>
      </c>
      <c r="BE324" s="32">
        <f t="shared" si="195"/>
        <v>0.88977918746863494</v>
      </c>
      <c r="BF324" s="32">
        <f t="shared" si="196"/>
        <v>7.1147804366516909E-2</v>
      </c>
      <c r="BG324" s="32">
        <f t="shared" si="197"/>
        <v>6.148694099240537E-2</v>
      </c>
      <c r="BH324" s="32">
        <f t="shared" si="181"/>
        <v>0.12064881663041281</v>
      </c>
      <c r="BI324" s="32">
        <f t="shared" si="182"/>
        <v>9.5016787578020637E-2</v>
      </c>
      <c r="BJ324" s="32">
        <f t="shared" si="183"/>
        <v>0.21566560420843345</v>
      </c>
      <c r="BK324" s="457">
        <f t="shared" si="184"/>
        <v>0.5933199059185037</v>
      </c>
      <c r="BL324" s="2"/>
    </row>
    <row r="325" spans="1:64" ht="15">
      <c r="A325" s="119"/>
      <c r="B325" s="480">
        <f>Input!B342</f>
        <v>38307</v>
      </c>
      <c r="C325" s="481">
        <v>1</v>
      </c>
      <c r="D325" s="481">
        <f t="shared" si="185"/>
        <v>11</v>
      </c>
      <c r="E325" s="481">
        <f t="shared" si="186"/>
        <v>16</v>
      </c>
      <c r="F325" s="481">
        <f t="shared" ref="F325:F370" si="199">B325-DATE(YEAR(B325)-1,12,31)</f>
        <v>321</v>
      </c>
      <c r="G325" s="431">
        <v>0.95040000000000002</v>
      </c>
      <c r="H325" s="455">
        <v>6.85</v>
      </c>
      <c r="I325" s="455">
        <v>2.2000000000000002</v>
      </c>
      <c r="J325" s="455">
        <v>1.08</v>
      </c>
      <c r="K325" s="485"/>
      <c r="L325" s="433">
        <v>100</v>
      </c>
      <c r="M325" s="455">
        <v>87</v>
      </c>
      <c r="N325" s="484">
        <f>Weather!M326</f>
        <v>0.2</v>
      </c>
      <c r="O325" s="481" t="str">
        <f t="shared" si="187"/>
        <v/>
      </c>
      <c r="P325" s="4">
        <f t="shared" si="198"/>
        <v>0.16215468248416967</v>
      </c>
      <c r="Q325" s="169">
        <f t="shared" ref="Q325:Q388" si="200">IF(H325="","",0.6108*EXP((17.27*H325)/(H325+237.3)))</f>
        <v>0.99158603737418516</v>
      </c>
      <c r="R325" s="169">
        <f t="shared" ref="R325:R388" si="201">IF(I325="","",0.6108*EXP((17.27*I325)/(I325+237.3)))</f>
        <v>0.71580544433126536</v>
      </c>
      <c r="S325" s="169">
        <f t="shared" ref="S325:S388" si="202">IF(OR(M325="",Q325=""),"",M325/100*Q325)</f>
        <v>0.86267985251554113</v>
      </c>
      <c r="T325" s="169">
        <f t="shared" ref="T325:T388" si="203">IF(OR(L325="",R325=""),"",L325/100*R325)</f>
        <v>0.71580544433126536</v>
      </c>
      <c r="U325" s="169">
        <f t="shared" ref="U325:U369" si="204">IF(OR(S325="",T325=""),"",(S325+T325)/2)</f>
        <v>0.78924264842340319</v>
      </c>
      <c r="V325" s="169">
        <f t="shared" ref="V325:V369" si="205">IF(U325="","",LN(U325/0.6108)/17.27)</f>
        <v>1.4841009809732053E-2</v>
      </c>
      <c r="W325" s="439">
        <f t="shared" ref="W325:W369" si="206">IF(ISNUMBER(V325),237.3*(V325/(1-V325)),"")</f>
        <v>3.5748256503950104</v>
      </c>
      <c r="X325" s="439">
        <f t="shared" ref="X325:X388" si="207">IF(AND(K325="",W325=""),"",IF(K325="",W325,K325))</f>
        <v>3.5748256503950104</v>
      </c>
      <c r="Y325" s="169"/>
      <c r="Z325" s="119" t="str">
        <f t="shared" ref="Z325:Z388" si="208">IF(AND(B325&gt;=H$1,B325&lt;=J$1),3,"")</f>
        <v/>
      </c>
      <c r="AA325" s="4" t="str">
        <f t="shared" ref="AA325:AA388" si="209">IF(Z325=3,$P$1+0.1654*($AA$1-7.3)*($P$1-1),"")</f>
        <v/>
      </c>
      <c r="AB325" s="466"/>
      <c r="AC325" s="466"/>
      <c r="AD325" s="466"/>
      <c r="AE325" s="466"/>
      <c r="AF325" s="466"/>
      <c r="AG325" s="466"/>
      <c r="AH325" s="466"/>
      <c r="AI325" s="466"/>
      <c r="AJ325" s="466"/>
      <c r="AK325" s="466"/>
      <c r="AL325" s="466"/>
      <c r="AM325" s="462">
        <f t="shared" ref="AM325:AM369" si="210">F325</f>
        <v>321</v>
      </c>
      <c r="AN325" s="32">
        <f t="shared" si="188"/>
        <v>1.0239780483173626</v>
      </c>
      <c r="AO325" s="32">
        <f t="shared" si="189"/>
        <v>-0.34286691598482394</v>
      </c>
      <c r="AP325" s="32">
        <f t="shared" si="190"/>
        <v>1.2170066222339924</v>
      </c>
      <c r="AQ325" s="32">
        <f t="shared" si="191"/>
        <v>9.2972457457973192</v>
      </c>
      <c r="AR325" s="32">
        <f t="shared" si="192"/>
        <v>13.432628555096503</v>
      </c>
      <c r="AS325" s="32">
        <f t="shared" ref="AS325:AS388" si="211">AR325*(0.75+2*10^-5*E$2)</f>
        <v>10.084142908882047</v>
      </c>
      <c r="AT325" s="32">
        <f t="shared" ref="AT325:AT388" si="212">IF(G325="","",(1-AO$1)*G325)</f>
        <v>0.73180800000000001</v>
      </c>
      <c r="AU325" s="32">
        <f t="shared" ref="AU325:AU388" si="213">IF(G325="","",IF(G325/AS325&lt;0.3,0.3,IF(G325/AS325&gt;1,1,G325/AS325)))</f>
        <v>0.3</v>
      </c>
      <c r="AV325" s="32">
        <f t="shared" ref="AV325:AV388" si="214">IF(G325="","",1.35*AU325-0.35)</f>
        <v>5.5000000000000049E-2</v>
      </c>
      <c r="AW325" s="32">
        <f t="shared" ref="AW325:AW388" si="215">IF(H325="","",0.6108*EXP((17.27*H325)/(H325+237.3)))</f>
        <v>0.99158603737418516</v>
      </c>
      <c r="AX325" s="32">
        <f t="shared" ref="AX325:AX388" si="216">IF(I325="","",0.6108*EXP((17.27*I325)/(I325+237.3)))</f>
        <v>0.71580544433126536</v>
      </c>
      <c r="AY325" s="32">
        <f t="shared" ref="AY325:AY388" si="217">IF(X325="","",0.6108*EXP((17.27*X325)/(X325+237.3)))</f>
        <v>0.78924264842340319</v>
      </c>
      <c r="AZ325" s="32">
        <f t="shared" si="193"/>
        <v>0.2156249385564023</v>
      </c>
      <c r="BA325" s="32">
        <f t="shared" ref="BA325:BA388" si="218">IF(AV325="","",IF(AZ325="","",IF(H325="","",IF(I325="","",-AV325*AZ325*BA$1*(((H325+273.15)^4+(I325+273.15)^4)/2)))))</f>
        <v>-0.34561097975581623</v>
      </c>
      <c r="BB325" s="32">
        <f t="shared" si="194"/>
        <v>0.38619702024418379</v>
      </c>
      <c r="BC325" s="32">
        <f t="shared" ref="BC325:BC388" si="219">IF(H325="","",IF(I325="","",(H325+I325)/2))</f>
        <v>4.5250000000000004</v>
      </c>
      <c r="BD325" s="32">
        <v>0</v>
      </c>
      <c r="BE325" s="32">
        <f t="shared" si="195"/>
        <v>0.85369574085272526</v>
      </c>
      <c r="BF325" s="32">
        <f t="shared" si="196"/>
        <v>6.4453092429322068E-2</v>
      </c>
      <c r="BG325" s="32">
        <f t="shared" si="197"/>
        <v>5.9145078669093118E-2</v>
      </c>
      <c r="BH325" s="32">
        <f t="shared" ref="BH325:BH388" si="220">IF($AY325="","",IF($G325="","",0.408*$BG325*($BB325-$BD325)/($BG325+$BA$2*(1+0.34*$J325))))</f>
        <v>6.1758006825410161E-2</v>
      </c>
      <c r="BI325" s="32">
        <f t="shared" ref="BI325:BI388" si="221">IF($BC325="","",IF($BF325="","",IF($BG325="","",IF($J325="","",($BA$2*900/($BC325+273)*$J325*$BF325)/($BG325+$BA$2*(1+0.34*$J325))))))</f>
        <v>0.10039667565875951</v>
      </c>
      <c r="BJ325" s="32">
        <f t="shared" ref="BJ325:BJ368" si="222">IF(BH325="","",IF(BI325="","",BH325+BI325))</f>
        <v>0.16215468248416967</v>
      </c>
      <c r="BK325" s="457">
        <f t="shared" ref="BK325:BK388" si="223">IF(OR(H325="",I325=""),"",0.0023*AR325*(H325-I325)^0.5*((H325+I325)/2+17.8)/2.45)</f>
        <v>0.60707269740324055</v>
      </c>
      <c r="BL325" s="2"/>
    </row>
    <row r="326" spans="1:64" ht="15">
      <c r="A326" s="119"/>
      <c r="B326" s="480">
        <f>Input!B343</f>
        <v>38308</v>
      </c>
      <c r="C326" s="481">
        <v>1</v>
      </c>
      <c r="D326" s="481">
        <f t="shared" ref="D326:D370" si="224">MONTH(B326)</f>
        <v>11</v>
      </c>
      <c r="E326" s="481">
        <f t="shared" ref="E326:E370" si="225">DAY(B326)</f>
        <v>17</v>
      </c>
      <c r="F326" s="481">
        <f t="shared" si="199"/>
        <v>322</v>
      </c>
      <c r="G326" s="431">
        <v>1.8144</v>
      </c>
      <c r="H326" s="455">
        <v>8.4600000000000009</v>
      </c>
      <c r="I326" s="455">
        <v>7</v>
      </c>
      <c r="J326" s="455">
        <v>0.63</v>
      </c>
      <c r="K326" s="485"/>
      <c r="L326" s="433">
        <v>100</v>
      </c>
      <c r="M326" s="455">
        <v>84</v>
      </c>
      <c r="N326" s="484">
        <f>Weather!M327</f>
        <v>0</v>
      </c>
      <c r="O326" s="481" t="str">
        <f t="shared" ref="O326:O389" si="226">IF(AND(N326&lt;&gt;"",P326&lt;&gt;"",N326&gt;(P326*2)),1,"")</f>
        <v/>
      </c>
      <c r="P326" s="4">
        <f t="shared" si="198"/>
        <v>0.28050565731507188</v>
      </c>
      <c r="Q326" s="169">
        <f t="shared" si="200"/>
        <v>1.1068451994810282</v>
      </c>
      <c r="R326" s="169">
        <f t="shared" si="201"/>
        <v>1.001858425976152</v>
      </c>
      <c r="S326" s="169">
        <f t="shared" si="202"/>
        <v>0.9297499675640637</v>
      </c>
      <c r="T326" s="169">
        <f t="shared" si="203"/>
        <v>1.001858425976152</v>
      </c>
      <c r="U326" s="169">
        <f t="shared" si="204"/>
        <v>0.96580419677010787</v>
      </c>
      <c r="V326" s="169">
        <f t="shared" si="205"/>
        <v>2.6531068064140208E-2</v>
      </c>
      <c r="W326" s="439">
        <f t="shared" si="206"/>
        <v>6.4674097396210408</v>
      </c>
      <c r="X326" s="439">
        <f t="shared" si="207"/>
        <v>6.4674097396210408</v>
      </c>
      <c r="Y326" s="169"/>
      <c r="Z326" s="119" t="str">
        <f t="shared" si="208"/>
        <v/>
      </c>
      <c r="AA326" s="4" t="str">
        <f t="shared" si="209"/>
        <v/>
      </c>
      <c r="AB326" s="466"/>
      <c r="AC326" s="466"/>
      <c r="AD326" s="466"/>
      <c r="AE326" s="466"/>
      <c r="AF326" s="466"/>
      <c r="AG326" s="466"/>
      <c r="AH326" s="466"/>
      <c r="AI326" s="466"/>
      <c r="AJ326" s="466"/>
      <c r="AK326" s="466"/>
      <c r="AL326" s="466"/>
      <c r="AM326" s="462">
        <f t="shared" si="210"/>
        <v>322</v>
      </c>
      <c r="AN326" s="32">
        <f t="shared" ref="AN326:AN389" si="227">1+0.033*COS(2*PI()/365*AM326)</f>
        <v>1.0243647696821025</v>
      </c>
      <c r="AO326" s="32">
        <f t="shared" ref="AO326:AO389" si="228">0.409*SIN(2*PI()/365*AM326-1.39)</f>
        <v>-0.3466544741243997</v>
      </c>
      <c r="AP326" s="32">
        <f t="shared" ref="AP326:AP389" si="229">ACOS(-TAN(AS$2)*TAN(AO326))</f>
        <v>1.2125789030590894</v>
      </c>
      <c r="AQ326" s="32">
        <f t="shared" ref="AQ326:AQ389" si="230">AP326*24/PI()</f>
        <v>9.2634204629185088</v>
      </c>
      <c r="AR326" s="32">
        <f t="shared" ref="AR326:AR389" si="231">(24*60/PI())*AS$1*AN326*(AP326*SIN(AS$2)*SIN(AO326)+COS(AS$2)*COS(AO326)*SIN(AP326))</f>
        <v>13.288433306368345</v>
      </c>
      <c r="AS326" s="32">
        <f t="shared" si="211"/>
        <v>9.975892651756844</v>
      </c>
      <c r="AT326" s="32">
        <f t="shared" si="212"/>
        <v>1.3970880000000001</v>
      </c>
      <c r="AU326" s="32">
        <f t="shared" si="213"/>
        <v>0.3</v>
      </c>
      <c r="AV326" s="32">
        <f t="shared" si="214"/>
        <v>5.5000000000000049E-2</v>
      </c>
      <c r="AW326" s="32">
        <f t="shared" si="215"/>
        <v>1.1068451994810282</v>
      </c>
      <c r="AX326" s="32">
        <f t="shared" si="216"/>
        <v>1.001858425976152</v>
      </c>
      <c r="AY326" s="32">
        <f t="shared" si="217"/>
        <v>0.96580419677010787</v>
      </c>
      <c r="AZ326" s="32">
        <f t="shared" ref="AZ326:AZ389" si="232">IF(AY326="","",0.34-0.14*SQRT(AY326))</f>
        <v>0.20241452745040953</v>
      </c>
      <c r="BA326" s="32">
        <f t="shared" si="218"/>
        <v>-0.33954810814116299</v>
      </c>
      <c r="BB326" s="32">
        <f t="shared" ref="BB326:BB389" si="233">IF(AT326="","",IF(BA326="","",AT326+BA326))</f>
        <v>1.0575398918588372</v>
      </c>
      <c r="BC326" s="32">
        <f t="shared" si="219"/>
        <v>7.73</v>
      </c>
      <c r="BD326" s="32">
        <v>0</v>
      </c>
      <c r="BE326" s="32">
        <f t="shared" ref="BE326:BE389" si="234">IF(AW326="","",IF(AX326="","",(AW326+AX326)/2))</f>
        <v>1.0543518127285902</v>
      </c>
      <c r="BF326" s="32">
        <f t="shared" ref="BF326:BF389" si="235">IF(BE326="","",IF(AY326="","",BE326-AY326))</f>
        <v>8.8547615958482373E-2</v>
      </c>
      <c r="BG326" s="32">
        <f t="shared" ref="BG326:BG389" si="236">IF(BE326="","",IF(BC326="","",4099*0.6108*EXP((17.27*BC326)/(BC326+237.3))/(BC326+237.3)^2))</f>
        <v>7.1903576030672364E-2</v>
      </c>
      <c r="BH326" s="32">
        <f t="shared" si="220"/>
        <v>0.20225749296246248</v>
      </c>
      <c r="BI326" s="32">
        <f t="shared" si="221"/>
        <v>7.8248164352609381E-2</v>
      </c>
      <c r="BJ326" s="32">
        <f t="shared" si="222"/>
        <v>0.28050565731507188</v>
      </c>
      <c r="BK326" s="457">
        <f t="shared" si="223"/>
        <v>0.3848245546126115</v>
      </c>
      <c r="BL326" s="2"/>
    </row>
    <row r="327" spans="1:64" ht="15">
      <c r="A327" s="119"/>
      <c r="B327" s="480">
        <f>Input!B344</f>
        <v>38309</v>
      </c>
      <c r="C327" s="481">
        <v>1</v>
      </c>
      <c r="D327" s="481">
        <f t="shared" si="224"/>
        <v>11</v>
      </c>
      <c r="E327" s="481">
        <f t="shared" si="225"/>
        <v>18</v>
      </c>
      <c r="F327" s="481">
        <f t="shared" si="199"/>
        <v>323</v>
      </c>
      <c r="G327" s="431">
        <v>1.9872000000000001</v>
      </c>
      <c r="H327" s="455">
        <v>8.6199999999999992</v>
      </c>
      <c r="I327" s="455">
        <v>7.7</v>
      </c>
      <c r="J327" s="455">
        <v>1.51</v>
      </c>
      <c r="K327" s="485"/>
      <c r="L327" s="433">
        <v>100</v>
      </c>
      <c r="M327" s="455">
        <v>82</v>
      </c>
      <c r="N327" s="484">
        <f>Weather!M328</f>
        <v>0</v>
      </c>
      <c r="O327" s="481" t="str">
        <f t="shared" si="226"/>
        <v/>
      </c>
      <c r="P327" s="4">
        <f t="shared" si="198"/>
        <v>0.39071399091212361</v>
      </c>
      <c r="Q327" s="169">
        <f t="shared" si="200"/>
        <v>1.1189191652204669</v>
      </c>
      <c r="R327" s="169">
        <f t="shared" si="201"/>
        <v>1.0510458572223333</v>
      </c>
      <c r="S327" s="169">
        <f t="shared" si="202"/>
        <v>0.91751371548078275</v>
      </c>
      <c r="T327" s="169">
        <f t="shared" si="203"/>
        <v>1.0510458572223333</v>
      </c>
      <c r="U327" s="169">
        <f t="shared" si="204"/>
        <v>0.98427978635155799</v>
      </c>
      <c r="V327" s="169">
        <f t="shared" si="205"/>
        <v>2.7628292936604706E-2</v>
      </c>
      <c r="W327" s="439">
        <f t="shared" si="206"/>
        <v>6.7424770447674653</v>
      </c>
      <c r="X327" s="439">
        <f t="shared" si="207"/>
        <v>6.7424770447674653</v>
      </c>
      <c r="Y327" s="169"/>
      <c r="Z327" s="119" t="str">
        <f t="shared" si="208"/>
        <v/>
      </c>
      <c r="AA327" s="4" t="str">
        <f t="shared" si="209"/>
        <v/>
      </c>
      <c r="AB327" s="466"/>
      <c r="AC327" s="466"/>
      <c r="AD327" s="466"/>
      <c r="AE327" s="466"/>
      <c r="AF327" s="466"/>
      <c r="AG327" s="466"/>
      <c r="AH327" s="466"/>
      <c r="AI327" s="466"/>
      <c r="AJ327" s="466"/>
      <c r="AK327" s="466"/>
      <c r="AL327" s="466"/>
      <c r="AM327" s="462">
        <f t="shared" si="210"/>
        <v>323</v>
      </c>
      <c r="AN327" s="32">
        <f t="shared" si="227"/>
        <v>1.0247442712397508</v>
      </c>
      <c r="AO327" s="32">
        <f t="shared" si="228"/>
        <v>-0.35033931106187588</v>
      </c>
      <c r="AP327" s="32">
        <f t="shared" si="229"/>
        <v>1.2082525416669856</v>
      </c>
      <c r="AQ327" s="32">
        <f t="shared" si="230"/>
        <v>9.2303694964630552</v>
      </c>
      <c r="AR327" s="32">
        <f t="shared" si="231"/>
        <v>13.148359492537812</v>
      </c>
      <c r="AS327" s="32">
        <f t="shared" si="211"/>
        <v>9.8707364382379872</v>
      </c>
      <c r="AT327" s="32">
        <f t="shared" si="212"/>
        <v>1.5301440000000002</v>
      </c>
      <c r="AU327" s="32">
        <f t="shared" si="213"/>
        <v>0.3</v>
      </c>
      <c r="AV327" s="32">
        <f t="shared" si="214"/>
        <v>5.5000000000000049E-2</v>
      </c>
      <c r="AW327" s="32">
        <f t="shared" si="215"/>
        <v>1.1189191652204669</v>
      </c>
      <c r="AX327" s="32">
        <f t="shared" si="216"/>
        <v>1.0510458572223333</v>
      </c>
      <c r="AY327" s="32">
        <f t="shared" si="217"/>
        <v>0.98427978635155799</v>
      </c>
      <c r="AZ327" s="32">
        <f t="shared" si="232"/>
        <v>0.2011047739751631</v>
      </c>
      <c r="BA327" s="32">
        <f t="shared" si="218"/>
        <v>-0.33941325624193597</v>
      </c>
      <c r="BB327" s="32">
        <f t="shared" si="233"/>
        <v>1.1907307437580643</v>
      </c>
      <c r="BC327" s="32">
        <f t="shared" si="219"/>
        <v>8.16</v>
      </c>
      <c r="BD327" s="32">
        <v>0</v>
      </c>
      <c r="BE327" s="32">
        <f t="shared" si="234"/>
        <v>1.0849825112214</v>
      </c>
      <c r="BF327" s="32">
        <f t="shared" si="235"/>
        <v>0.100702724869842</v>
      </c>
      <c r="BG327" s="32">
        <f t="shared" si="236"/>
        <v>7.3782286972089606E-2</v>
      </c>
      <c r="BH327" s="32">
        <f t="shared" si="220"/>
        <v>0.2044173780111464</v>
      </c>
      <c r="BI327" s="32">
        <f t="shared" si="221"/>
        <v>0.18629661290097721</v>
      </c>
      <c r="BJ327" s="32">
        <f t="shared" si="222"/>
        <v>0.39071399091212361</v>
      </c>
      <c r="BK327" s="457">
        <f t="shared" si="223"/>
        <v>0.3073490840412143</v>
      </c>
      <c r="BL327" s="2"/>
    </row>
    <row r="328" spans="1:64" ht="15">
      <c r="A328" s="119"/>
      <c r="B328" s="480">
        <f>Input!B345</f>
        <v>38310</v>
      </c>
      <c r="C328" s="481">
        <v>1</v>
      </c>
      <c r="D328" s="481">
        <f t="shared" si="224"/>
        <v>11</v>
      </c>
      <c r="E328" s="481">
        <f t="shared" si="225"/>
        <v>19</v>
      </c>
      <c r="F328" s="481">
        <f t="shared" si="199"/>
        <v>324</v>
      </c>
      <c r="G328" s="431">
        <v>3.3696000000000002</v>
      </c>
      <c r="H328" s="455">
        <v>8.31</v>
      </c>
      <c r="I328" s="455">
        <v>7.9</v>
      </c>
      <c r="J328" s="455">
        <v>2.31</v>
      </c>
      <c r="K328" s="485"/>
      <c r="L328" s="433">
        <v>100</v>
      </c>
      <c r="M328" s="455">
        <v>87</v>
      </c>
      <c r="N328" s="484">
        <f>Weather!M329</f>
        <v>4.4000000000000004</v>
      </c>
      <c r="O328" s="481">
        <f t="shared" si="226"/>
        <v>1</v>
      </c>
      <c r="P328" s="4">
        <f t="shared" si="198"/>
        <v>0.47570645343186002</v>
      </c>
      <c r="Q328" s="169">
        <f t="shared" si="200"/>
        <v>1.0956301447464245</v>
      </c>
      <c r="R328" s="169">
        <f t="shared" si="201"/>
        <v>1.0654843299074719</v>
      </c>
      <c r="S328" s="169">
        <f t="shared" si="202"/>
        <v>0.9531982259293893</v>
      </c>
      <c r="T328" s="169">
        <f t="shared" si="203"/>
        <v>1.0654843299074719</v>
      </c>
      <c r="U328" s="169">
        <f t="shared" si="204"/>
        <v>1.0093412779184305</v>
      </c>
      <c r="V328" s="169">
        <f t="shared" si="205"/>
        <v>2.9084170447890773E-2</v>
      </c>
      <c r="W328" s="439">
        <f t="shared" si="206"/>
        <v>7.1084160307369535</v>
      </c>
      <c r="X328" s="439">
        <f t="shared" si="207"/>
        <v>7.1084160307369535</v>
      </c>
      <c r="Y328" s="169"/>
      <c r="Z328" s="119" t="str">
        <f t="shared" si="208"/>
        <v/>
      </c>
      <c r="AA328" s="4" t="str">
        <f t="shared" si="209"/>
        <v/>
      </c>
      <c r="AB328" s="466"/>
      <c r="AC328" s="466"/>
      <c r="AD328" s="466"/>
      <c r="AE328" s="466"/>
      <c r="AF328" s="466"/>
      <c r="AG328" s="466"/>
      <c r="AH328" s="466"/>
      <c r="AI328" s="466"/>
      <c r="AJ328" s="466"/>
      <c r="AK328" s="466"/>
      <c r="AL328" s="466"/>
      <c r="AM328" s="462">
        <f t="shared" si="210"/>
        <v>324</v>
      </c>
      <c r="AN328" s="32">
        <f t="shared" si="227"/>
        <v>1.0251164405358055</v>
      </c>
      <c r="AO328" s="32">
        <f t="shared" si="228"/>
        <v>-0.35392033490054309</v>
      </c>
      <c r="AP328" s="32">
        <f t="shared" si="229"/>
        <v>1.2040300505755506</v>
      </c>
      <c r="AQ328" s="32">
        <f t="shared" si="230"/>
        <v>9.1981120406536139</v>
      </c>
      <c r="AR328" s="32">
        <f t="shared" si="231"/>
        <v>13.012437914455576</v>
      </c>
      <c r="AS328" s="32">
        <f t="shared" si="211"/>
        <v>9.7686973911400905</v>
      </c>
      <c r="AT328" s="32">
        <f t="shared" si="212"/>
        <v>2.594592</v>
      </c>
      <c r="AU328" s="32">
        <f t="shared" si="213"/>
        <v>0.34493851790885899</v>
      </c>
      <c r="AV328" s="32">
        <f t="shared" si="214"/>
        <v>0.11566699917695966</v>
      </c>
      <c r="AW328" s="32">
        <f t="shared" si="215"/>
        <v>1.0956301447464245</v>
      </c>
      <c r="AX328" s="32">
        <f t="shared" si="216"/>
        <v>1.0654843299074719</v>
      </c>
      <c r="AY328" s="32">
        <f t="shared" si="217"/>
        <v>1.0093412779184308</v>
      </c>
      <c r="AZ328" s="32">
        <f t="shared" si="232"/>
        <v>0.19934763049560367</v>
      </c>
      <c r="BA328" s="32">
        <f t="shared" si="218"/>
        <v>-0.70699935592969987</v>
      </c>
      <c r="BB328" s="32">
        <f t="shared" si="233"/>
        <v>1.8875926440703001</v>
      </c>
      <c r="BC328" s="32">
        <f t="shared" si="219"/>
        <v>8.1050000000000004</v>
      </c>
      <c r="BD328" s="32">
        <v>0</v>
      </c>
      <c r="BE328" s="32">
        <f t="shared" si="234"/>
        <v>1.0805572373269481</v>
      </c>
      <c r="BF328" s="32">
        <f t="shared" si="235"/>
        <v>7.1215959408517326E-2</v>
      </c>
      <c r="BG328" s="32">
        <f t="shared" si="236"/>
        <v>7.3539671422278532E-2</v>
      </c>
      <c r="BH328" s="32">
        <f t="shared" si="220"/>
        <v>0.29289823338993148</v>
      </c>
      <c r="BI328" s="32">
        <f t="shared" si="221"/>
        <v>0.18280822004192854</v>
      </c>
      <c r="BJ328" s="32">
        <f t="shared" si="222"/>
        <v>0.47570645343186002</v>
      </c>
      <c r="BK328" s="457">
        <f t="shared" si="223"/>
        <v>0.20262636197967826</v>
      </c>
      <c r="BL328" s="2"/>
    </row>
    <row r="329" spans="1:64" ht="15">
      <c r="A329" s="119"/>
      <c r="B329" s="480">
        <f>Input!B346</f>
        <v>38311</v>
      </c>
      <c r="C329" s="481">
        <v>1</v>
      </c>
      <c r="D329" s="481">
        <f t="shared" si="224"/>
        <v>11</v>
      </c>
      <c r="E329" s="481">
        <f t="shared" si="225"/>
        <v>20</v>
      </c>
      <c r="F329" s="481">
        <f t="shared" si="199"/>
        <v>325</v>
      </c>
      <c r="G329" s="431">
        <v>1.728</v>
      </c>
      <c r="H329" s="455">
        <v>9.2799999999999994</v>
      </c>
      <c r="I329" s="455">
        <v>5.9</v>
      </c>
      <c r="J329" s="455">
        <v>1.37</v>
      </c>
      <c r="K329" s="485"/>
      <c r="L329" s="433">
        <v>100</v>
      </c>
      <c r="M329" s="455">
        <v>86</v>
      </c>
      <c r="N329" s="484">
        <f>Weather!M330</f>
        <v>0</v>
      </c>
      <c r="O329" s="481" t="str">
        <f t="shared" si="226"/>
        <v/>
      </c>
      <c r="P329" s="4">
        <f t="shared" ref="P329:P360" si="237">BJ329</f>
        <v>0.31239412896784557</v>
      </c>
      <c r="Q329" s="169">
        <f t="shared" si="200"/>
        <v>1.1699582470633887</v>
      </c>
      <c r="R329" s="169">
        <f t="shared" si="201"/>
        <v>0.92865518405702308</v>
      </c>
      <c r="S329" s="169">
        <f t="shared" si="202"/>
        <v>1.0061640924745143</v>
      </c>
      <c r="T329" s="169">
        <f t="shared" si="203"/>
        <v>0.92865518405702308</v>
      </c>
      <c r="U329" s="169">
        <f t="shared" si="204"/>
        <v>0.96740963826576865</v>
      </c>
      <c r="V329" s="169">
        <f t="shared" si="205"/>
        <v>2.6627240883401879E-2</v>
      </c>
      <c r="W329" s="439">
        <f t="shared" si="206"/>
        <v>6.4914948589334518</v>
      </c>
      <c r="X329" s="439">
        <f t="shared" si="207"/>
        <v>6.4914948589334518</v>
      </c>
      <c r="Y329" s="169"/>
      <c r="Z329" s="119" t="str">
        <f t="shared" si="208"/>
        <v/>
      </c>
      <c r="AA329" s="4" t="str">
        <f t="shared" si="209"/>
        <v/>
      </c>
      <c r="AB329" s="466"/>
      <c r="AC329" s="466"/>
      <c r="AD329" s="466"/>
      <c r="AE329" s="466"/>
      <c r="AF329" s="466"/>
      <c r="AG329" s="466"/>
      <c r="AH329" s="466"/>
      <c r="AI329" s="466"/>
      <c r="AJ329" s="466"/>
      <c r="AK329" s="466"/>
      <c r="AL329" s="466"/>
      <c r="AM329" s="462">
        <f t="shared" si="210"/>
        <v>325</v>
      </c>
      <c r="AN329" s="32">
        <f t="shared" si="227"/>
        <v>1.0254811672884725</v>
      </c>
      <c r="AO329" s="32">
        <f t="shared" si="228"/>
        <v>-0.35739648450575284</v>
      </c>
      <c r="AP329" s="32">
        <f t="shared" si="229"/>
        <v>1.1999139329007362</v>
      </c>
      <c r="AQ329" s="32">
        <f t="shared" si="230"/>
        <v>9.166667217887472</v>
      </c>
      <c r="AR329" s="32">
        <f t="shared" si="231"/>
        <v>12.880697736262809</v>
      </c>
      <c r="AS329" s="32">
        <f t="shared" si="211"/>
        <v>9.6697974045672161</v>
      </c>
      <c r="AT329" s="32">
        <f t="shared" si="212"/>
        <v>1.33056</v>
      </c>
      <c r="AU329" s="32">
        <f t="shared" si="213"/>
        <v>0.3</v>
      </c>
      <c r="AV329" s="32">
        <f t="shared" si="214"/>
        <v>5.5000000000000049E-2</v>
      </c>
      <c r="AW329" s="32">
        <f t="shared" si="215"/>
        <v>1.1699582470633887</v>
      </c>
      <c r="AX329" s="32">
        <f t="shared" si="216"/>
        <v>0.92865518405702308</v>
      </c>
      <c r="AY329" s="32">
        <f t="shared" si="217"/>
        <v>0.96740963826576865</v>
      </c>
      <c r="AZ329" s="32">
        <f t="shared" si="232"/>
        <v>0.20230022182294896</v>
      </c>
      <c r="BA329" s="32">
        <f t="shared" si="218"/>
        <v>-0.338740191739829</v>
      </c>
      <c r="BB329" s="32">
        <f t="shared" si="233"/>
        <v>0.99181980826017102</v>
      </c>
      <c r="BC329" s="32">
        <f t="shared" si="219"/>
        <v>7.59</v>
      </c>
      <c r="BD329" s="32">
        <v>0</v>
      </c>
      <c r="BE329" s="32">
        <f t="shared" si="234"/>
        <v>1.0493067155602058</v>
      </c>
      <c r="BF329" s="32">
        <f t="shared" si="235"/>
        <v>8.1897077294437182E-2</v>
      </c>
      <c r="BG329" s="32">
        <f t="shared" si="236"/>
        <v>7.1300796927877608E-2</v>
      </c>
      <c r="BH329" s="32">
        <f t="shared" si="220"/>
        <v>0.17004734395302909</v>
      </c>
      <c r="BI329" s="32">
        <f t="shared" si="221"/>
        <v>0.14234678501481646</v>
      </c>
      <c r="BJ329" s="32">
        <f t="shared" si="222"/>
        <v>0.31239412896784557</v>
      </c>
      <c r="BK329" s="457">
        <f t="shared" si="223"/>
        <v>0.56444572962114237</v>
      </c>
      <c r="BL329" s="2"/>
    </row>
    <row r="330" spans="1:64" ht="15">
      <c r="A330" s="119"/>
      <c r="B330" s="480">
        <f>Input!B347</f>
        <v>38312</v>
      </c>
      <c r="C330" s="481">
        <v>1</v>
      </c>
      <c r="D330" s="481">
        <f t="shared" si="224"/>
        <v>11</v>
      </c>
      <c r="E330" s="481">
        <f t="shared" si="225"/>
        <v>21</v>
      </c>
      <c r="F330" s="481">
        <f t="shared" si="199"/>
        <v>326</v>
      </c>
      <c r="G330" s="431">
        <v>7.3440000000000003</v>
      </c>
      <c r="H330" s="455">
        <v>8.1300000000000008</v>
      </c>
      <c r="I330" s="455">
        <v>4.2</v>
      </c>
      <c r="J330" s="455">
        <v>1.39</v>
      </c>
      <c r="K330" s="485"/>
      <c r="L330" s="433">
        <v>100</v>
      </c>
      <c r="M330" s="455">
        <v>87</v>
      </c>
      <c r="N330" s="484">
        <f>Weather!M331</f>
        <v>0.2</v>
      </c>
      <c r="O330" s="481" t="str">
        <f t="shared" si="226"/>
        <v/>
      </c>
      <c r="P330" s="4">
        <f t="shared" si="237"/>
        <v>0.35500467658846468</v>
      </c>
      <c r="Q330" s="169">
        <f t="shared" si="200"/>
        <v>1.0823041924267343</v>
      </c>
      <c r="R330" s="169">
        <f t="shared" si="201"/>
        <v>0.82478058998620984</v>
      </c>
      <c r="S330" s="169">
        <f t="shared" si="202"/>
        <v>0.94160464741125882</v>
      </c>
      <c r="T330" s="169">
        <f t="shared" si="203"/>
        <v>0.82478058998620984</v>
      </c>
      <c r="U330" s="169">
        <f t="shared" si="204"/>
        <v>0.88319261869873433</v>
      </c>
      <c r="V330" s="169">
        <f t="shared" si="205"/>
        <v>2.1353430497499458E-2</v>
      </c>
      <c r="W330" s="439">
        <f t="shared" si="206"/>
        <v>5.1777313843061243</v>
      </c>
      <c r="X330" s="439">
        <f t="shared" si="207"/>
        <v>5.1777313843061243</v>
      </c>
      <c r="Y330" s="169"/>
      <c r="Z330" s="119" t="str">
        <f t="shared" si="208"/>
        <v/>
      </c>
      <c r="AA330" s="4" t="str">
        <f t="shared" si="209"/>
        <v/>
      </c>
      <c r="AB330" s="466"/>
      <c r="AC330" s="466"/>
      <c r="AD330" s="466"/>
      <c r="AE330" s="466"/>
      <c r="AF330" s="466"/>
      <c r="AG330" s="466"/>
      <c r="AH330" s="466"/>
      <c r="AI330" s="466"/>
      <c r="AJ330" s="466"/>
      <c r="AK330" s="466"/>
      <c r="AL330" s="466"/>
      <c r="AM330" s="462">
        <f t="shared" si="210"/>
        <v>326</v>
      </c>
      <c r="AN330" s="32">
        <f t="shared" si="227"/>
        <v>1.0258383434213432</v>
      </c>
      <c r="AO330" s="32">
        <f t="shared" si="228"/>
        <v>-0.36076672981935554</v>
      </c>
      <c r="AP330" s="32">
        <f t="shared" si="229"/>
        <v>1.19590667805705</v>
      </c>
      <c r="AQ330" s="32">
        <f t="shared" si="230"/>
        <v>9.1360540458905941</v>
      </c>
      <c r="AR330" s="32">
        <f t="shared" si="231"/>
        <v>12.753166527072803</v>
      </c>
      <c r="AS330" s="32">
        <f t="shared" si="211"/>
        <v>9.5740571752040964</v>
      </c>
      <c r="AT330" s="32">
        <f t="shared" si="212"/>
        <v>5.6548800000000004</v>
      </c>
      <c r="AU330" s="32">
        <f t="shared" si="213"/>
        <v>0.76707292066526056</v>
      </c>
      <c r="AV330" s="32">
        <f t="shared" si="214"/>
        <v>0.68554844289810191</v>
      </c>
      <c r="AW330" s="32">
        <f t="shared" si="215"/>
        <v>1.0823041924267343</v>
      </c>
      <c r="AX330" s="32">
        <f t="shared" si="216"/>
        <v>0.82478058998620984</v>
      </c>
      <c r="AY330" s="32">
        <f t="shared" si="217"/>
        <v>0.88319261869873433</v>
      </c>
      <c r="AZ330" s="32">
        <f t="shared" si="232"/>
        <v>0.20843034040290601</v>
      </c>
      <c r="BA330" s="32">
        <f t="shared" si="218"/>
        <v>-4.2628607888617998</v>
      </c>
      <c r="BB330" s="32">
        <f t="shared" si="233"/>
        <v>1.3920192111382006</v>
      </c>
      <c r="BC330" s="32">
        <f t="shared" si="219"/>
        <v>6.1650000000000009</v>
      </c>
      <c r="BD330" s="32">
        <v>0</v>
      </c>
      <c r="BE330" s="32">
        <f t="shared" si="234"/>
        <v>0.953542391206472</v>
      </c>
      <c r="BF330" s="32">
        <f t="shared" si="235"/>
        <v>7.0349772507737662E-2</v>
      </c>
      <c r="BG330" s="32">
        <f t="shared" si="236"/>
        <v>6.5407110338924282E-2</v>
      </c>
      <c r="BH330" s="32">
        <f t="shared" si="220"/>
        <v>0.22618195279765999</v>
      </c>
      <c r="BI330" s="32">
        <f t="shared" si="221"/>
        <v>0.12882272379080467</v>
      </c>
      <c r="BJ330" s="32">
        <f t="shared" si="222"/>
        <v>0.35500467658846468</v>
      </c>
      <c r="BK330" s="457">
        <f t="shared" si="223"/>
        <v>0.56879201482959629</v>
      </c>
      <c r="BL330" s="2"/>
    </row>
    <row r="331" spans="1:64" ht="15">
      <c r="A331" s="119"/>
      <c r="B331" s="480">
        <f>Input!B348</f>
        <v>38313</v>
      </c>
      <c r="C331" s="481">
        <v>1</v>
      </c>
      <c r="D331" s="481">
        <f t="shared" si="224"/>
        <v>11</v>
      </c>
      <c r="E331" s="481">
        <f t="shared" si="225"/>
        <v>22</v>
      </c>
      <c r="F331" s="481">
        <f t="shared" si="199"/>
        <v>327</v>
      </c>
      <c r="G331" s="431">
        <v>6.048</v>
      </c>
      <c r="H331" s="455">
        <v>8.73</v>
      </c>
      <c r="I331" s="455">
        <v>6.3</v>
      </c>
      <c r="J331" s="455">
        <v>1.36</v>
      </c>
      <c r="K331" s="485"/>
      <c r="L331" s="433">
        <v>100</v>
      </c>
      <c r="M331" s="455">
        <v>87</v>
      </c>
      <c r="N331" s="484">
        <f>Weather!M332</f>
        <v>0.2</v>
      </c>
      <c r="O331" s="481" t="str">
        <f t="shared" si="226"/>
        <v/>
      </c>
      <c r="P331" s="4">
        <f t="shared" si="237"/>
        <v>0.385946676829446</v>
      </c>
      <c r="Q331" s="169">
        <f t="shared" si="200"/>
        <v>1.127287103617715</v>
      </c>
      <c r="R331" s="169">
        <f t="shared" si="201"/>
        <v>0.95470988059941519</v>
      </c>
      <c r="S331" s="169">
        <f t="shared" si="202"/>
        <v>0.98073978014741203</v>
      </c>
      <c r="T331" s="169">
        <f t="shared" si="203"/>
        <v>0.95470988059941519</v>
      </c>
      <c r="U331" s="169">
        <f t="shared" si="204"/>
        <v>0.96772483037341361</v>
      </c>
      <c r="V331" s="169">
        <f t="shared" si="205"/>
        <v>2.664610349610036E-2</v>
      </c>
      <c r="W331" s="439">
        <f t="shared" si="206"/>
        <v>6.4962192911910561</v>
      </c>
      <c r="X331" s="439">
        <f t="shared" si="207"/>
        <v>6.4962192911910561</v>
      </c>
      <c r="Y331" s="169"/>
      <c r="Z331" s="119" t="str">
        <f t="shared" si="208"/>
        <v/>
      </c>
      <c r="AA331" s="4" t="str">
        <f t="shared" si="209"/>
        <v/>
      </c>
      <c r="AB331" s="466"/>
      <c r="AC331" s="466"/>
      <c r="AD331" s="466"/>
      <c r="AE331" s="466"/>
      <c r="AF331" s="466"/>
      <c r="AG331" s="466"/>
      <c r="AH331" s="466"/>
      <c r="AI331" s="466"/>
      <c r="AJ331" s="466"/>
      <c r="AK331" s="466"/>
      <c r="AL331" s="466"/>
      <c r="AM331" s="462">
        <f t="shared" si="210"/>
        <v>327</v>
      </c>
      <c r="AN331" s="32">
        <f t="shared" si="227"/>
        <v>1.0261878630954209</v>
      </c>
      <c r="AO331" s="32">
        <f t="shared" si="228"/>
        <v>-0.36403007216492916</v>
      </c>
      <c r="AP331" s="32">
        <f t="shared" si="229"/>
        <v>1.1920107573150378</v>
      </c>
      <c r="AQ331" s="32">
        <f t="shared" si="230"/>
        <v>9.1062914037792915</v>
      </c>
      <c r="AR331" s="32">
        <f t="shared" si="231"/>
        <v>12.629870304781797</v>
      </c>
      <c r="AS331" s="32">
        <f t="shared" si="211"/>
        <v>9.4814962352057908</v>
      </c>
      <c r="AT331" s="32">
        <f t="shared" si="212"/>
        <v>4.6569599999999998</v>
      </c>
      <c r="AU331" s="32">
        <f t="shared" si="213"/>
        <v>0.63787400743177447</v>
      </c>
      <c r="AV331" s="32">
        <f t="shared" si="214"/>
        <v>0.51112991003289565</v>
      </c>
      <c r="AW331" s="32">
        <f t="shared" si="215"/>
        <v>1.127287103617715</v>
      </c>
      <c r="AX331" s="32">
        <f t="shared" si="216"/>
        <v>0.95470988059941519</v>
      </c>
      <c r="AY331" s="32">
        <f t="shared" si="217"/>
        <v>0.96772483037341361</v>
      </c>
      <c r="AZ331" s="32">
        <f t="shared" si="232"/>
        <v>0.20227779164085807</v>
      </c>
      <c r="BA331" s="32">
        <f t="shared" si="218"/>
        <v>-3.1439631034113904</v>
      </c>
      <c r="BB331" s="32">
        <f t="shared" si="233"/>
        <v>1.5129968965886094</v>
      </c>
      <c r="BC331" s="32">
        <f t="shared" si="219"/>
        <v>7.5150000000000006</v>
      </c>
      <c r="BD331" s="32">
        <v>0</v>
      </c>
      <c r="BE331" s="32">
        <f t="shared" si="234"/>
        <v>1.0409984921085651</v>
      </c>
      <c r="BF331" s="32">
        <f t="shared" si="235"/>
        <v>7.3273661735151485E-2</v>
      </c>
      <c r="BG331" s="32">
        <f t="shared" si="236"/>
        <v>7.0979660681320611E-2</v>
      </c>
      <c r="BH331" s="32">
        <f t="shared" si="220"/>
        <v>0.25907347521073287</v>
      </c>
      <c r="BI331" s="32">
        <f t="shared" si="221"/>
        <v>0.12687320161871313</v>
      </c>
      <c r="BJ331" s="32">
        <f t="shared" si="222"/>
        <v>0.385946676829446</v>
      </c>
      <c r="BK331" s="457">
        <f t="shared" si="223"/>
        <v>0.46788778894835903</v>
      </c>
      <c r="BL331" s="2"/>
    </row>
    <row r="332" spans="1:64" ht="15">
      <c r="A332" s="119"/>
      <c r="B332" s="480">
        <f>Input!B349</f>
        <v>38314</v>
      </c>
      <c r="C332" s="481">
        <v>1</v>
      </c>
      <c r="D332" s="481">
        <f t="shared" si="224"/>
        <v>11</v>
      </c>
      <c r="E332" s="481">
        <f t="shared" si="225"/>
        <v>23</v>
      </c>
      <c r="F332" s="481">
        <f t="shared" si="199"/>
        <v>328</v>
      </c>
      <c r="G332" s="431">
        <v>1.6415999999999999</v>
      </c>
      <c r="H332" s="455">
        <v>9.6999999999999993</v>
      </c>
      <c r="I332" s="455">
        <v>6.8</v>
      </c>
      <c r="J332" s="455">
        <v>1.23</v>
      </c>
      <c r="K332" s="485"/>
      <c r="L332" s="433">
        <v>100</v>
      </c>
      <c r="M332" s="455">
        <v>88</v>
      </c>
      <c r="N332" s="484">
        <f>Weather!M333</f>
        <v>5.4</v>
      </c>
      <c r="O332" s="481">
        <f t="shared" si="226"/>
        <v>1</v>
      </c>
      <c r="P332" s="4">
        <f t="shared" si="237"/>
        <v>0.27860676970378567</v>
      </c>
      <c r="Q332" s="169">
        <f t="shared" si="200"/>
        <v>1.2034938513584403</v>
      </c>
      <c r="R332" s="169">
        <f t="shared" si="201"/>
        <v>0.98818258572263085</v>
      </c>
      <c r="S332" s="169">
        <f t="shared" si="202"/>
        <v>1.0590745891954274</v>
      </c>
      <c r="T332" s="169">
        <f t="shared" si="203"/>
        <v>0.98818258572263085</v>
      </c>
      <c r="U332" s="169">
        <f t="shared" si="204"/>
        <v>1.0236285874590292</v>
      </c>
      <c r="V332" s="169">
        <f t="shared" si="205"/>
        <v>2.9898057840251135E-2</v>
      </c>
      <c r="W332" s="439">
        <f t="shared" si="206"/>
        <v>7.3134676028957752</v>
      </c>
      <c r="X332" s="439">
        <f t="shared" si="207"/>
        <v>7.3134676028957752</v>
      </c>
      <c r="Y332" s="169"/>
      <c r="Z332" s="119" t="str">
        <f t="shared" si="208"/>
        <v/>
      </c>
      <c r="AA332" s="4" t="str">
        <f t="shared" si="209"/>
        <v/>
      </c>
      <c r="AB332" s="466"/>
      <c r="AC332" s="466"/>
      <c r="AD332" s="466"/>
      <c r="AE332" s="466"/>
      <c r="AF332" s="466"/>
      <c r="AG332" s="466"/>
      <c r="AH332" s="466"/>
      <c r="AI332" s="466"/>
      <c r="AJ332" s="466"/>
      <c r="AK332" s="466"/>
      <c r="AL332" s="466"/>
      <c r="AM332" s="462">
        <f t="shared" si="210"/>
        <v>328</v>
      </c>
      <c r="AN332" s="32">
        <f t="shared" si="227"/>
        <v>1.026529622740483</v>
      </c>
      <c r="AO332" s="32">
        <f t="shared" si="228"/>
        <v>-0.36718554454370778</v>
      </c>
      <c r="AP332" s="32">
        <f t="shared" si="229"/>
        <v>1.1882286192274052</v>
      </c>
      <c r="AQ332" s="32">
        <f t="shared" si="230"/>
        <v>9.0773979971183554</v>
      </c>
      <c r="AR332" s="32">
        <f t="shared" si="231"/>
        <v>12.510833581805789</v>
      </c>
      <c r="AS332" s="32">
        <f t="shared" si="211"/>
        <v>9.3921329865332428</v>
      </c>
      <c r="AT332" s="32">
        <f t="shared" si="212"/>
        <v>1.264032</v>
      </c>
      <c r="AU332" s="32">
        <f t="shared" si="213"/>
        <v>0.3</v>
      </c>
      <c r="AV332" s="32">
        <f t="shared" si="214"/>
        <v>5.5000000000000049E-2</v>
      </c>
      <c r="AW332" s="32">
        <f t="shared" si="215"/>
        <v>1.2034938513584403</v>
      </c>
      <c r="AX332" s="32">
        <f t="shared" si="216"/>
        <v>0.98818258572263085</v>
      </c>
      <c r="AY332" s="32">
        <f t="shared" si="217"/>
        <v>1.0236285874590292</v>
      </c>
      <c r="AZ332" s="32">
        <f t="shared" si="232"/>
        <v>0.19835565555167065</v>
      </c>
      <c r="BA332" s="32">
        <f t="shared" si="218"/>
        <v>-0.33525009624524177</v>
      </c>
      <c r="BB332" s="32">
        <f t="shared" si="233"/>
        <v>0.92878190375475822</v>
      </c>
      <c r="BC332" s="32">
        <f t="shared" si="219"/>
        <v>8.25</v>
      </c>
      <c r="BD332" s="32">
        <v>0</v>
      </c>
      <c r="BE332" s="32">
        <f t="shared" si="234"/>
        <v>1.0958382185405355</v>
      </c>
      <c r="BF332" s="32">
        <f t="shared" si="235"/>
        <v>7.2209631081506354E-2</v>
      </c>
      <c r="BG332" s="32">
        <f t="shared" si="236"/>
        <v>7.4180769807021554E-2</v>
      </c>
      <c r="BH332" s="32">
        <f t="shared" si="220"/>
        <v>0.1659792355492187</v>
      </c>
      <c r="BI332" s="32">
        <f t="shared" si="221"/>
        <v>0.11262753415456696</v>
      </c>
      <c r="BJ332" s="32">
        <f t="shared" si="222"/>
        <v>0.27860676970378567</v>
      </c>
      <c r="BK332" s="457">
        <f t="shared" si="223"/>
        <v>0.52102039693316682</v>
      </c>
      <c r="BL332" s="2"/>
    </row>
    <row r="333" spans="1:64" ht="15">
      <c r="A333" s="119"/>
      <c r="B333" s="480">
        <f>Input!B350</f>
        <v>38315</v>
      </c>
      <c r="C333" s="481">
        <v>1</v>
      </c>
      <c r="D333" s="481">
        <f t="shared" si="224"/>
        <v>11</v>
      </c>
      <c r="E333" s="481">
        <f t="shared" si="225"/>
        <v>24</v>
      </c>
      <c r="F333" s="481">
        <f t="shared" si="199"/>
        <v>329</v>
      </c>
      <c r="G333" s="431">
        <v>1.1232</v>
      </c>
      <c r="H333" s="455">
        <v>9.76</v>
      </c>
      <c r="I333" s="455">
        <v>7</v>
      </c>
      <c r="J333" s="455">
        <v>0.28999999999999998</v>
      </c>
      <c r="K333" s="485"/>
      <c r="L333" s="433">
        <v>100</v>
      </c>
      <c r="M333" s="455">
        <v>88</v>
      </c>
      <c r="N333" s="484">
        <f>Weather!M334</f>
        <v>0</v>
      </c>
      <c r="O333" s="481" t="str">
        <f t="shared" si="226"/>
        <v/>
      </c>
      <c r="P333" s="4">
        <f t="shared" si="237"/>
        <v>0.13927441647758435</v>
      </c>
      <c r="Q333" s="169">
        <f t="shared" si="200"/>
        <v>1.2083530100396371</v>
      </c>
      <c r="R333" s="169">
        <f t="shared" si="201"/>
        <v>1.001858425976152</v>
      </c>
      <c r="S333" s="169">
        <f t="shared" si="202"/>
        <v>1.0633506488348807</v>
      </c>
      <c r="T333" s="169">
        <f t="shared" si="203"/>
        <v>1.001858425976152</v>
      </c>
      <c r="U333" s="169">
        <f t="shared" si="204"/>
        <v>1.0326045374055164</v>
      </c>
      <c r="V333" s="169">
        <f t="shared" si="205"/>
        <v>3.0403589649533692E-2</v>
      </c>
      <c r="W333" s="439">
        <f t="shared" si="206"/>
        <v>7.441005089144797</v>
      </c>
      <c r="X333" s="439">
        <f t="shared" si="207"/>
        <v>7.441005089144797</v>
      </c>
      <c r="Y333" s="169"/>
      <c r="Z333" s="119" t="str">
        <f t="shared" si="208"/>
        <v/>
      </c>
      <c r="AA333" s="4" t="str">
        <f t="shared" si="209"/>
        <v/>
      </c>
      <c r="AB333" s="466"/>
      <c r="AC333" s="466"/>
      <c r="AD333" s="466"/>
      <c r="AE333" s="466"/>
      <c r="AF333" s="466"/>
      <c r="AG333" s="466"/>
      <c r="AH333" s="466"/>
      <c r="AI333" s="466"/>
      <c r="AJ333" s="466"/>
      <c r="AK333" s="466"/>
      <c r="AL333" s="466"/>
      <c r="AM333" s="462">
        <f t="shared" si="210"/>
        <v>329</v>
      </c>
      <c r="AN333" s="32">
        <f t="shared" si="227"/>
        <v>1.0268635210857713</v>
      </c>
      <c r="AO333" s="32">
        <f t="shared" si="228"/>
        <v>-0.37023221192112515</v>
      </c>
      <c r="AP333" s="32">
        <f t="shared" si="229"/>
        <v>1.1845626849367421</v>
      </c>
      <c r="AQ333" s="32">
        <f t="shared" si="230"/>
        <v>9.0493923220747163</v>
      </c>
      <c r="AR333" s="32">
        <f t="shared" si="231"/>
        <v>12.396079412529081</v>
      </c>
      <c r="AS333" s="32">
        <f t="shared" si="211"/>
        <v>9.3059847365738335</v>
      </c>
      <c r="AT333" s="32">
        <f t="shared" si="212"/>
        <v>0.86486399999999997</v>
      </c>
      <c r="AU333" s="32">
        <f t="shared" si="213"/>
        <v>0.3</v>
      </c>
      <c r="AV333" s="32">
        <f t="shared" si="214"/>
        <v>5.5000000000000049E-2</v>
      </c>
      <c r="AW333" s="32">
        <f t="shared" si="215"/>
        <v>1.2083530100396371</v>
      </c>
      <c r="AX333" s="32">
        <f t="shared" si="216"/>
        <v>1.001858425976152</v>
      </c>
      <c r="AY333" s="32">
        <f t="shared" si="217"/>
        <v>1.0326045374055166</v>
      </c>
      <c r="AZ333" s="32">
        <f t="shared" si="232"/>
        <v>0.19773598862274364</v>
      </c>
      <c r="BA333" s="32">
        <f t="shared" si="218"/>
        <v>-0.33481570133651789</v>
      </c>
      <c r="BB333" s="32">
        <f t="shared" si="233"/>
        <v>0.53004829866348202</v>
      </c>
      <c r="BC333" s="32">
        <f t="shared" si="219"/>
        <v>8.379999999999999</v>
      </c>
      <c r="BD333" s="32">
        <v>0</v>
      </c>
      <c r="BE333" s="32">
        <f t="shared" si="234"/>
        <v>1.1051057180078945</v>
      </c>
      <c r="BF333" s="32">
        <f t="shared" si="235"/>
        <v>7.2501180602377868E-2</v>
      </c>
      <c r="BG333" s="32">
        <f t="shared" si="236"/>
        <v>7.4759602302145567E-2</v>
      </c>
      <c r="BH333" s="32">
        <f t="shared" si="220"/>
        <v>0.10887945744616924</v>
      </c>
      <c r="BI333" s="32">
        <f t="shared" si="221"/>
        <v>3.0394959031415095E-2</v>
      </c>
      <c r="BJ333" s="32">
        <f t="shared" si="222"/>
        <v>0.13927441647758435</v>
      </c>
      <c r="BK333" s="457">
        <f t="shared" si="223"/>
        <v>0.50613956171936381</v>
      </c>
      <c r="BL333" s="2"/>
    </row>
    <row r="334" spans="1:64" ht="15">
      <c r="A334" s="119"/>
      <c r="B334" s="480">
        <f>Input!B351</f>
        <v>38316</v>
      </c>
      <c r="C334" s="481">
        <v>1</v>
      </c>
      <c r="D334" s="481">
        <f t="shared" si="224"/>
        <v>11</v>
      </c>
      <c r="E334" s="481">
        <f t="shared" si="225"/>
        <v>25</v>
      </c>
      <c r="F334" s="481">
        <f t="shared" si="199"/>
        <v>330</v>
      </c>
      <c r="G334" s="431">
        <v>5.8752000000000004</v>
      </c>
      <c r="H334" s="455">
        <v>10.6</v>
      </c>
      <c r="I334" s="455">
        <v>8.6</v>
      </c>
      <c r="J334" s="455">
        <v>0.7</v>
      </c>
      <c r="K334" s="485"/>
      <c r="L334" s="433">
        <v>100</v>
      </c>
      <c r="M334" s="455">
        <v>88</v>
      </c>
      <c r="N334" s="484">
        <f>Weather!M335</f>
        <v>0</v>
      </c>
      <c r="O334" s="481" t="str">
        <f t="shared" si="226"/>
        <v/>
      </c>
      <c r="P334" s="4">
        <f t="shared" si="237"/>
        <v>0.36328911509493322</v>
      </c>
      <c r="Q334" s="169">
        <f t="shared" si="200"/>
        <v>1.278215906569439</v>
      </c>
      <c r="R334" s="169">
        <f t="shared" si="201"/>
        <v>1.1174036087713535</v>
      </c>
      <c r="S334" s="169">
        <f t="shared" si="202"/>
        <v>1.1248299977811063</v>
      </c>
      <c r="T334" s="169">
        <f t="shared" si="203"/>
        <v>1.1174036087713535</v>
      </c>
      <c r="U334" s="169">
        <f t="shared" si="204"/>
        <v>1.1211168032762298</v>
      </c>
      <c r="V334" s="169">
        <f t="shared" si="205"/>
        <v>3.5165665310213978E-2</v>
      </c>
      <c r="W334" s="439">
        <f t="shared" si="206"/>
        <v>8.6489587674103703</v>
      </c>
      <c r="X334" s="439">
        <f t="shared" si="207"/>
        <v>8.6489587674103703</v>
      </c>
      <c r="Y334" s="169"/>
      <c r="Z334" s="119" t="str">
        <f t="shared" si="208"/>
        <v/>
      </c>
      <c r="AA334" s="4" t="str">
        <f t="shared" si="209"/>
        <v/>
      </c>
      <c r="AB334" s="466"/>
      <c r="AC334" s="466"/>
      <c r="AD334" s="466"/>
      <c r="AE334" s="466"/>
      <c r="AF334" s="466"/>
      <c r="AG334" s="466"/>
      <c r="AH334" s="466"/>
      <c r="AI334" s="466"/>
      <c r="AJ334" s="466"/>
      <c r="AK334" s="466"/>
      <c r="AL334" s="466"/>
      <c r="AM334" s="462">
        <f t="shared" si="210"/>
        <v>330</v>
      </c>
      <c r="AN334" s="32">
        <f t="shared" si="227"/>
        <v>1.0271894591899993</v>
      </c>
      <c r="AO334" s="32">
        <f t="shared" si="228"/>
        <v>-0.37316917150388479</v>
      </c>
      <c r="AP334" s="32">
        <f t="shared" si="229"/>
        <v>1.181015343379143</v>
      </c>
      <c r="AQ334" s="32">
        <f t="shared" si="230"/>
        <v>9.0222926287758121</v>
      </c>
      <c r="AR334" s="32">
        <f t="shared" si="231"/>
        <v>12.285629442240309</v>
      </c>
      <c r="AS334" s="32">
        <f t="shared" si="211"/>
        <v>9.2230677348786454</v>
      </c>
      <c r="AT334" s="32">
        <f t="shared" si="212"/>
        <v>4.5239040000000008</v>
      </c>
      <c r="AU334" s="32">
        <f t="shared" si="213"/>
        <v>0.63701147697114957</v>
      </c>
      <c r="AV334" s="32">
        <f t="shared" si="214"/>
        <v>0.50996549391105195</v>
      </c>
      <c r="AW334" s="32">
        <f t="shared" si="215"/>
        <v>1.278215906569439</v>
      </c>
      <c r="AX334" s="32">
        <f t="shared" si="216"/>
        <v>1.1174036087713535</v>
      </c>
      <c r="AY334" s="32">
        <f t="shared" si="217"/>
        <v>1.1211168032762295</v>
      </c>
      <c r="AZ334" s="32">
        <f t="shared" si="232"/>
        <v>0.1917640753925888</v>
      </c>
      <c r="BA334" s="32">
        <f t="shared" si="218"/>
        <v>-3.0630012122544876</v>
      </c>
      <c r="BB334" s="32">
        <f t="shared" si="233"/>
        <v>1.4609027877455132</v>
      </c>
      <c r="BC334" s="32">
        <f t="shared" si="219"/>
        <v>9.6</v>
      </c>
      <c r="BD334" s="32">
        <v>0</v>
      </c>
      <c r="BE334" s="32">
        <f t="shared" si="234"/>
        <v>1.1978097576703961</v>
      </c>
      <c r="BF334" s="32">
        <f t="shared" si="235"/>
        <v>7.6692954394166568E-2</v>
      </c>
      <c r="BG334" s="32">
        <f t="shared" si="236"/>
        <v>8.0382431075587402E-2</v>
      </c>
      <c r="BH334" s="32">
        <f t="shared" si="220"/>
        <v>0.29309567903459344</v>
      </c>
      <c r="BI334" s="32">
        <f t="shared" si="221"/>
        <v>7.0193436060339759E-2</v>
      </c>
      <c r="BJ334" s="32">
        <f t="shared" si="222"/>
        <v>0.36328911509493322</v>
      </c>
      <c r="BK334" s="457">
        <f t="shared" si="223"/>
        <v>0.44691478701408011</v>
      </c>
      <c r="BL334" s="2"/>
    </row>
    <row r="335" spans="1:64" ht="15">
      <c r="A335" s="119"/>
      <c r="B335" s="480">
        <f>Input!B352</f>
        <v>38317</v>
      </c>
      <c r="C335" s="481">
        <v>1</v>
      </c>
      <c r="D335" s="481">
        <f t="shared" si="224"/>
        <v>11</v>
      </c>
      <c r="E335" s="481">
        <f t="shared" si="225"/>
        <v>26</v>
      </c>
      <c r="F335" s="481">
        <f t="shared" si="199"/>
        <v>331</v>
      </c>
      <c r="G335" s="431">
        <v>1.0367999999999999</v>
      </c>
      <c r="H335" s="455">
        <v>10.71</v>
      </c>
      <c r="I335" s="455">
        <v>8.5</v>
      </c>
      <c r="J335" s="455">
        <v>1.34</v>
      </c>
      <c r="K335" s="485"/>
      <c r="L335" s="433">
        <v>100</v>
      </c>
      <c r="M335" s="455">
        <v>88</v>
      </c>
      <c r="N335" s="484">
        <f>Weather!M336</f>
        <v>0</v>
      </c>
      <c r="O335" s="481" t="str">
        <f t="shared" si="226"/>
        <v/>
      </c>
      <c r="P335" s="4">
        <f t="shared" si="237"/>
        <v>0.21044688790550653</v>
      </c>
      <c r="Q335" s="169">
        <f t="shared" si="200"/>
        <v>1.2876225440992308</v>
      </c>
      <c r="R335" s="169">
        <f t="shared" si="201"/>
        <v>1.109852890889037</v>
      </c>
      <c r="S335" s="169">
        <f t="shared" si="202"/>
        <v>1.1331078388073232</v>
      </c>
      <c r="T335" s="169">
        <f t="shared" si="203"/>
        <v>1.109852890889037</v>
      </c>
      <c r="U335" s="169">
        <f t="shared" si="204"/>
        <v>1.1214803648481801</v>
      </c>
      <c r="V335" s="169">
        <f t="shared" si="205"/>
        <v>3.5184439636658772E-2</v>
      </c>
      <c r="W335" s="439">
        <f t="shared" si="206"/>
        <v>8.6537446832168268</v>
      </c>
      <c r="X335" s="439">
        <f t="shared" si="207"/>
        <v>8.6537446832168268</v>
      </c>
      <c r="Y335" s="169"/>
      <c r="Z335" s="119" t="str">
        <f t="shared" si="208"/>
        <v/>
      </c>
      <c r="AA335" s="4" t="str">
        <f t="shared" si="209"/>
        <v/>
      </c>
      <c r="AB335" s="466"/>
      <c r="AC335" s="466"/>
      <c r="AD335" s="466"/>
      <c r="AE335" s="466"/>
      <c r="AF335" s="466"/>
      <c r="AG335" s="466"/>
      <c r="AH335" s="466"/>
      <c r="AI335" s="466"/>
      <c r="AJ335" s="466"/>
      <c r="AK335" s="466"/>
      <c r="AL335" s="466"/>
      <c r="AM335" s="462">
        <f t="shared" si="210"/>
        <v>331</v>
      </c>
      <c r="AN335" s="32">
        <f t="shared" si="227"/>
        <v>1.0275073404706727</v>
      </c>
      <c r="AO335" s="32">
        <f t="shared" si="228"/>
        <v>-0.37599555300747733</v>
      </c>
      <c r="AP335" s="32">
        <f t="shared" si="229"/>
        <v>1.1775889463993174</v>
      </c>
      <c r="AQ335" s="32">
        <f t="shared" si="230"/>
        <v>8.9961168839917622</v>
      </c>
      <c r="AR335" s="32">
        <f t="shared" si="231"/>
        <v>12.179503957322025</v>
      </c>
      <c r="AS335" s="32">
        <f t="shared" si="211"/>
        <v>9.1433972108407904</v>
      </c>
      <c r="AT335" s="32">
        <f t="shared" si="212"/>
        <v>0.79833599999999993</v>
      </c>
      <c r="AU335" s="32">
        <f t="shared" si="213"/>
        <v>0.3</v>
      </c>
      <c r="AV335" s="32">
        <f t="shared" si="214"/>
        <v>5.5000000000000049E-2</v>
      </c>
      <c r="AW335" s="32">
        <f t="shared" si="215"/>
        <v>1.2876225440992308</v>
      </c>
      <c r="AX335" s="32">
        <f t="shared" si="216"/>
        <v>1.109852890889037</v>
      </c>
      <c r="AY335" s="32">
        <f t="shared" si="217"/>
        <v>1.1214803648481801</v>
      </c>
      <c r="AZ335" s="32">
        <f t="shared" si="232"/>
        <v>0.1917400419836012</v>
      </c>
      <c r="BA335" s="32">
        <f t="shared" si="218"/>
        <v>-0.33033345170048739</v>
      </c>
      <c r="BB335" s="32">
        <f t="shared" si="233"/>
        <v>0.46800254829951254</v>
      </c>
      <c r="BC335" s="32">
        <f t="shared" si="219"/>
        <v>9.6050000000000004</v>
      </c>
      <c r="BD335" s="32">
        <v>0</v>
      </c>
      <c r="BE335" s="32">
        <f t="shared" si="234"/>
        <v>1.1987377174941338</v>
      </c>
      <c r="BF335" s="32">
        <f t="shared" si="235"/>
        <v>7.7257352645953681E-2</v>
      </c>
      <c r="BG335" s="32">
        <f t="shared" si="236"/>
        <v>8.0406198014366562E-2</v>
      </c>
      <c r="BH335" s="32">
        <f t="shared" si="220"/>
        <v>8.6207386054879667E-2</v>
      </c>
      <c r="BI335" s="32">
        <f t="shared" si="221"/>
        <v>0.12423950185062686</v>
      </c>
      <c r="BJ335" s="32">
        <f t="shared" si="222"/>
        <v>0.21044688790550653</v>
      </c>
      <c r="BK335" s="457">
        <f t="shared" si="223"/>
        <v>0.46581910408120097</v>
      </c>
      <c r="BL335" s="2"/>
    </row>
    <row r="336" spans="1:64" ht="15">
      <c r="A336" s="119"/>
      <c r="B336" s="480">
        <f>Input!B353</f>
        <v>38318</v>
      </c>
      <c r="C336" s="481">
        <v>1</v>
      </c>
      <c r="D336" s="481">
        <f t="shared" si="224"/>
        <v>11</v>
      </c>
      <c r="E336" s="481">
        <f t="shared" si="225"/>
        <v>27</v>
      </c>
      <c r="F336" s="481">
        <f t="shared" si="199"/>
        <v>332</v>
      </c>
      <c r="G336" s="431">
        <v>1.296</v>
      </c>
      <c r="H336" s="455">
        <v>10.5</v>
      </c>
      <c r="I336" s="455">
        <v>8.3000000000000007</v>
      </c>
      <c r="J336" s="455">
        <v>2.2599999999999998</v>
      </c>
      <c r="K336" s="485"/>
      <c r="L336" s="433">
        <v>100</v>
      </c>
      <c r="M336" s="455">
        <v>88</v>
      </c>
      <c r="N336" s="484">
        <f>Weather!M337</f>
        <v>14.8</v>
      </c>
      <c r="O336" s="481">
        <f t="shared" si="226"/>
        <v>1</v>
      </c>
      <c r="P336" s="4">
        <f t="shared" si="237"/>
        <v>0.29495653341181693</v>
      </c>
      <c r="Q336" s="169">
        <f t="shared" si="200"/>
        <v>1.2697168912941836</v>
      </c>
      <c r="R336" s="169">
        <f t="shared" si="201"/>
        <v>1.0948860433443903</v>
      </c>
      <c r="S336" s="169">
        <f t="shared" si="202"/>
        <v>1.1173508643388816</v>
      </c>
      <c r="T336" s="169">
        <f t="shared" si="203"/>
        <v>1.0948860433443903</v>
      </c>
      <c r="U336" s="169">
        <f t="shared" si="204"/>
        <v>1.106118453841636</v>
      </c>
      <c r="V336" s="169">
        <f t="shared" si="205"/>
        <v>3.4385796417227762E-2</v>
      </c>
      <c r="W336" s="439">
        <f t="shared" si="206"/>
        <v>8.4503204898318351</v>
      </c>
      <c r="X336" s="439">
        <f t="shared" si="207"/>
        <v>8.4503204898318351</v>
      </c>
      <c r="Y336" s="169"/>
      <c r="Z336" s="119" t="str">
        <f t="shared" si="208"/>
        <v/>
      </c>
      <c r="AA336" s="4" t="str">
        <f t="shared" si="209"/>
        <v/>
      </c>
      <c r="AB336" s="466"/>
      <c r="AC336" s="466"/>
      <c r="AD336" s="466"/>
      <c r="AE336" s="466"/>
      <c r="AF336" s="466"/>
      <c r="AG336" s="466"/>
      <c r="AH336" s="466"/>
      <c r="AI336" s="466"/>
      <c r="AJ336" s="466"/>
      <c r="AK336" s="466"/>
      <c r="AL336" s="466"/>
      <c r="AM336" s="462">
        <f t="shared" si="210"/>
        <v>332</v>
      </c>
      <c r="AN336" s="32">
        <f t="shared" si="227"/>
        <v>1.0278170707327079</v>
      </c>
      <c r="AO336" s="32">
        <f t="shared" si="228"/>
        <v>-0.37871051891406526</v>
      </c>
      <c r="AP336" s="32">
        <f t="shared" si="229"/>
        <v>1.1742858037940567</v>
      </c>
      <c r="AQ336" s="32">
        <f t="shared" si="230"/>
        <v>8.9708827332702565</v>
      </c>
      <c r="AR336" s="32">
        <f t="shared" si="231"/>
        <v>12.077721936451228</v>
      </c>
      <c r="AS336" s="32">
        <f t="shared" si="211"/>
        <v>9.0669874121326668</v>
      </c>
      <c r="AT336" s="32">
        <f t="shared" si="212"/>
        <v>0.99792000000000003</v>
      </c>
      <c r="AU336" s="32">
        <f t="shared" si="213"/>
        <v>0.3</v>
      </c>
      <c r="AV336" s="32">
        <f t="shared" si="214"/>
        <v>5.5000000000000049E-2</v>
      </c>
      <c r="AW336" s="32">
        <f t="shared" si="215"/>
        <v>1.2697168912941836</v>
      </c>
      <c r="AX336" s="32">
        <f t="shared" si="216"/>
        <v>1.0948860433443903</v>
      </c>
      <c r="AY336" s="32">
        <f t="shared" si="217"/>
        <v>1.106118453841636</v>
      </c>
      <c r="AZ336" s="32">
        <f t="shared" si="232"/>
        <v>0.19275896735184156</v>
      </c>
      <c r="BA336" s="32">
        <f t="shared" si="218"/>
        <v>-0.33112662249646901</v>
      </c>
      <c r="BB336" s="32">
        <f t="shared" si="233"/>
        <v>0.66679337750353107</v>
      </c>
      <c r="BC336" s="32">
        <f t="shared" si="219"/>
        <v>9.4</v>
      </c>
      <c r="BD336" s="32">
        <v>0</v>
      </c>
      <c r="BE336" s="32">
        <f t="shared" si="234"/>
        <v>1.1823014673192871</v>
      </c>
      <c r="BF336" s="32">
        <f t="shared" si="235"/>
        <v>7.6183013477651107E-2</v>
      </c>
      <c r="BG336" s="32">
        <f t="shared" si="236"/>
        <v>7.9436658029525459E-2</v>
      </c>
      <c r="BH336" s="32">
        <f t="shared" si="220"/>
        <v>0.10908025214311194</v>
      </c>
      <c r="BI336" s="32">
        <f t="shared" si="221"/>
        <v>0.18587628126870501</v>
      </c>
      <c r="BJ336" s="32">
        <f t="shared" si="222"/>
        <v>0.29495653341181693</v>
      </c>
      <c r="BK336" s="457">
        <f t="shared" si="223"/>
        <v>0.45743250563519522</v>
      </c>
      <c r="BL336" s="2"/>
    </row>
    <row r="337" spans="1:64" ht="15">
      <c r="A337" s="119"/>
      <c r="B337" s="480">
        <f>Input!B354</f>
        <v>38319</v>
      </c>
      <c r="C337" s="481">
        <v>1</v>
      </c>
      <c r="D337" s="481">
        <f t="shared" si="224"/>
        <v>11</v>
      </c>
      <c r="E337" s="481">
        <f t="shared" si="225"/>
        <v>28</v>
      </c>
      <c r="F337" s="481">
        <f t="shared" si="199"/>
        <v>333</v>
      </c>
      <c r="G337" s="431">
        <v>2.0735999999999999</v>
      </c>
      <c r="H337" s="455">
        <v>11.52</v>
      </c>
      <c r="I337" s="455">
        <v>9.9</v>
      </c>
      <c r="J337" s="455">
        <v>2.58</v>
      </c>
      <c r="K337" s="485"/>
      <c r="L337" s="433">
        <v>100</v>
      </c>
      <c r="M337" s="455">
        <v>88</v>
      </c>
      <c r="N337" s="484">
        <f>Weather!M338</f>
        <v>29.4</v>
      </c>
      <c r="O337" s="481">
        <f t="shared" si="226"/>
        <v>1</v>
      </c>
      <c r="P337" s="4">
        <f t="shared" si="237"/>
        <v>0.42152958426195597</v>
      </c>
      <c r="Q337" s="169">
        <f t="shared" si="200"/>
        <v>1.3587836046482979</v>
      </c>
      <c r="R337" s="169">
        <f t="shared" si="201"/>
        <v>1.2197582018255091</v>
      </c>
      <c r="S337" s="169">
        <f t="shared" si="202"/>
        <v>1.1957295720905021</v>
      </c>
      <c r="T337" s="169">
        <f t="shared" si="203"/>
        <v>1.2197582018255091</v>
      </c>
      <c r="U337" s="169">
        <f t="shared" si="204"/>
        <v>1.2077438869580055</v>
      </c>
      <c r="V337" s="169">
        <f t="shared" si="205"/>
        <v>3.9475377450173911E-2</v>
      </c>
      <c r="W337" s="439">
        <f t="shared" si="206"/>
        <v>9.7524903047868943</v>
      </c>
      <c r="X337" s="439">
        <f t="shared" si="207"/>
        <v>9.7524903047868943</v>
      </c>
      <c r="Y337" s="169"/>
      <c r="Z337" s="119" t="str">
        <f t="shared" si="208"/>
        <v/>
      </c>
      <c r="AA337" s="4" t="str">
        <f t="shared" si="209"/>
        <v/>
      </c>
      <c r="AB337" s="466"/>
      <c r="AC337" s="466"/>
      <c r="AD337" s="466"/>
      <c r="AE337" s="466"/>
      <c r="AF337" s="466"/>
      <c r="AG337" s="466"/>
      <c r="AH337" s="466"/>
      <c r="AI337" s="466"/>
      <c r="AJ337" s="466"/>
      <c r="AK337" s="466"/>
      <c r="AL337" s="466"/>
      <c r="AM337" s="462">
        <f t="shared" si="210"/>
        <v>333</v>
      </c>
      <c r="AN337" s="32">
        <f t="shared" si="227"/>
        <v>1.0281185581963432</v>
      </c>
      <c r="AO337" s="32">
        <f t="shared" si="228"/>
        <v>-0.38131326472065646</v>
      </c>
      <c r="AP337" s="32">
        <f t="shared" si="229"/>
        <v>1.1711081783021382</v>
      </c>
      <c r="AQ337" s="32">
        <f t="shared" si="230"/>
        <v>8.9466074626622412</v>
      </c>
      <c r="AR337" s="32">
        <f t="shared" si="231"/>
        <v>11.980301102560851</v>
      </c>
      <c r="AS337" s="32">
        <f t="shared" si="211"/>
        <v>8.9938516437144838</v>
      </c>
      <c r="AT337" s="32">
        <f t="shared" si="212"/>
        <v>1.5966719999999999</v>
      </c>
      <c r="AU337" s="32">
        <f t="shared" si="213"/>
        <v>0.3</v>
      </c>
      <c r="AV337" s="32">
        <f t="shared" si="214"/>
        <v>5.5000000000000049E-2</v>
      </c>
      <c r="AW337" s="32">
        <f t="shared" si="215"/>
        <v>1.3587836046482979</v>
      </c>
      <c r="AX337" s="32">
        <f t="shared" si="216"/>
        <v>1.2197582018255091</v>
      </c>
      <c r="AY337" s="32">
        <f t="shared" si="217"/>
        <v>1.2077438869580055</v>
      </c>
      <c r="AZ337" s="32">
        <f t="shared" si="232"/>
        <v>0.18614363781638116</v>
      </c>
      <c r="BA337" s="32">
        <f t="shared" si="218"/>
        <v>-0.32572041354211156</v>
      </c>
      <c r="BB337" s="32">
        <f t="shared" si="233"/>
        <v>1.2709515864578882</v>
      </c>
      <c r="BC337" s="32">
        <f t="shared" si="219"/>
        <v>10.71</v>
      </c>
      <c r="BD337" s="32">
        <v>0</v>
      </c>
      <c r="BE337" s="32">
        <f t="shared" si="234"/>
        <v>1.2892709032369036</v>
      </c>
      <c r="BF337" s="32">
        <f t="shared" si="235"/>
        <v>8.1527016278898135E-2</v>
      </c>
      <c r="BG337" s="32">
        <f t="shared" si="236"/>
        <v>8.5808064380895721E-2</v>
      </c>
      <c r="BH337" s="32">
        <f t="shared" si="220"/>
        <v>0.21009078311304696</v>
      </c>
      <c r="BI337" s="32">
        <f t="shared" si="221"/>
        <v>0.21143880114890901</v>
      </c>
      <c r="BJ337" s="32">
        <f t="shared" si="222"/>
        <v>0.42152958426195597</v>
      </c>
      <c r="BK337" s="457">
        <f t="shared" si="223"/>
        <v>0.40811655273071729</v>
      </c>
      <c r="BL337" s="2"/>
    </row>
    <row r="338" spans="1:64" ht="15">
      <c r="A338" s="119"/>
      <c r="B338" s="480">
        <f>Input!B355</f>
        <v>38320</v>
      </c>
      <c r="C338" s="481">
        <v>1</v>
      </c>
      <c r="D338" s="481">
        <f t="shared" si="224"/>
        <v>11</v>
      </c>
      <c r="E338" s="481">
        <f t="shared" si="225"/>
        <v>29</v>
      </c>
      <c r="F338" s="481">
        <f t="shared" si="199"/>
        <v>334</v>
      </c>
      <c r="G338" s="431">
        <v>6.048</v>
      </c>
      <c r="H338" s="455">
        <v>9.14</v>
      </c>
      <c r="I338" s="455">
        <v>6.5</v>
      </c>
      <c r="J338" s="455">
        <v>1.65</v>
      </c>
      <c r="K338" s="485"/>
      <c r="L338" s="433">
        <v>100</v>
      </c>
      <c r="M338" s="455">
        <v>87</v>
      </c>
      <c r="N338" s="484">
        <f>Weather!M339</f>
        <v>0</v>
      </c>
      <c r="O338" s="481" t="str">
        <f t="shared" si="226"/>
        <v/>
      </c>
      <c r="P338" s="4">
        <f t="shared" si="237"/>
        <v>0.34954540815004342</v>
      </c>
      <c r="Q338" s="169">
        <f t="shared" si="200"/>
        <v>1.1589638654902625</v>
      </c>
      <c r="R338" s="169">
        <f t="shared" si="201"/>
        <v>0.96797712681678449</v>
      </c>
      <c r="S338" s="169">
        <f t="shared" si="202"/>
        <v>1.0082985629765284</v>
      </c>
      <c r="T338" s="169">
        <f t="shared" si="203"/>
        <v>0.96797712681678449</v>
      </c>
      <c r="U338" s="169">
        <f t="shared" si="204"/>
        <v>0.98813784489665646</v>
      </c>
      <c r="V338" s="169">
        <f t="shared" si="205"/>
        <v>2.7854813769407804E-2</v>
      </c>
      <c r="W338" s="439">
        <f t="shared" si="206"/>
        <v>6.7993417044114199</v>
      </c>
      <c r="X338" s="439">
        <f t="shared" si="207"/>
        <v>6.7993417044114199</v>
      </c>
      <c r="Y338" s="169"/>
      <c r="Z338" s="119" t="str">
        <f t="shared" si="208"/>
        <v/>
      </c>
      <c r="AA338" s="4" t="str">
        <f t="shared" si="209"/>
        <v/>
      </c>
      <c r="AB338" s="466"/>
      <c r="AC338" s="466"/>
      <c r="AD338" s="466"/>
      <c r="AE338" s="466"/>
      <c r="AF338" s="466"/>
      <c r="AG338" s="466"/>
      <c r="AH338" s="466"/>
      <c r="AI338" s="466"/>
      <c r="AJ338" s="466"/>
      <c r="AK338" s="466"/>
      <c r="AL338" s="466"/>
      <c r="AM338" s="462">
        <f t="shared" si="210"/>
        <v>334</v>
      </c>
      <c r="AN338" s="32">
        <f t="shared" si="227"/>
        <v>1.0284117135243369</v>
      </c>
      <c r="AO338" s="32">
        <f t="shared" si="228"/>
        <v>-0.38380301917749676</v>
      </c>
      <c r="AP338" s="32">
        <f t="shared" si="229"/>
        <v>1.1680582805598898</v>
      </c>
      <c r="AQ338" s="32">
        <f t="shared" si="230"/>
        <v>8.9233079601852658</v>
      </c>
      <c r="AR338" s="32">
        <f t="shared" si="231"/>
        <v>11.887257975305094</v>
      </c>
      <c r="AS338" s="32">
        <f t="shared" si="211"/>
        <v>8.9240023072210413</v>
      </c>
      <c r="AT338" s="32">
        <f t="shared" si="212"/>
        <v>4.6569599999999998</v>
      </c>
      <c r="AU338" s="32">
        <f t="shared" si="213"/>
        <v>0.67772281895379338</v>
      </c>
      <c r="AV338" s="32">
        <f t="shared" si="214"/>
        <v>0.56492580558762118</v>
      </c>
      <c r="AW338" s="32">
        <f t="shared" si="215"/>
        <v>1.1589638654902625</v>
      </c>
      <c r="AX338" s="32">
        <f t="shared" si="216"/>
        <v>0.96797712681678449</v>
      </c>
      <c r="AY338" s="32">
        <f t="shared" si="217"/>
        <v>0.98813784489665635</v>
      </c>
      <c r="AZ338" s="32">
        <f t="shared" si="232"/>
        <v>0.20083282800899324</v>
      </c>
      <c r="BA338" s="32">
        <f t="shared" si="218"/>
        <v>-3.4651298391233252</v>
      </c>
      <c r="BB338" s="32">
        <f t="shared" si="233"/>
        <v>1.1918301608766746</v>
      </c>
      <c r="BC338" s="32">
        <f t="shared" si="219"/>
        <v>7.82</v>
      </c>
      <c r="BD338" s="32">
        <v>0</v>
      </c>
      <c r="BE338" s="32">
        <f t="shared" si="234"/>
        <v>1.0634704961535235</v>
      </c>
      <c r="BF338" s="32">
        <f t="shared" si="235"/>
        <v>7.5332651256867167E-2</v>
      </c>
      <c r="BG338" s="32">
        <f t="shared" si="236"/>
        <v>7.2293373107333567E-2</v>
      </c>
      <c r="BH338" s="32">
        <f t="shared" si="220"/>
        <v>0.19854592332306323</v>
      </c>
      <c r="BI338" s="32">
        <f t="shared" si="221"/>
        <v>0.1509994848269802</v>
      </c>
      <c r="BJ338" s="32">
        <f t="shared" si="222"/>
        <v>0.34954540815004342</v>
      </c>
      <c r="BK338" s="457">
        <f t="shared" si="223"/>
        <v>0.46454151108007807</v>
      </c>
      <c r="BL338" s="2"/>
    </row>
    <row r="339" spans="1:64" ht="15">
      <c r="A339" s="119"/>
      <c r="B339" s="480">
        <f>Input!B356</f>
        <v>38321</v>
      </c>
      <c r="C339" s="481">
        <v>1</v>
      </c>
      <c r="D339" s="481">
        <f t="shared" si="224"/>
        <v>11</v>
      </c>
      <c r="E339" s="481">
        <f t="shared" si="225"/>
        <v>30</v>
      </c>
      <c r="F339" s="481">
        <f t="shared" si="199"/>
        <v>335</v>
      </c>
      <c r="G339" s="431">
        <v>5.9615999999999998</v>
      </c>
      <c r="H339" s="455">
        <v>7.4</v>
      </c>
      <c r="I339" s="455">
        <v>5.9</v>
      </c>
      <c r="J339" s="455">
        <v>5.4</v>
      </c>
      <c r="K339" s="485"/>
      <c r="L339" s="433">
        <v>100</v>
      </c>
      <c r="M339" s="455">
        <v>86</v>
      </c>
      <c r="N339" s="484">
        <f>Weather!M340</f>
        <v>6.8</v>
      </c>
      <c r="O339" s="481">
        <f t="shared" si="226"/>
        <v>1</v>
      </c>
      <c r="P339" s="4">
        <f t="shared" si="237"/>
        <v>0.4460251589614519</v>
      </c>
      <c r="Q339" s="169">
        <f t="shared" si="200"/>
        <v>1.0297111140367921</v>
      </c>
      <c r="R339" s="169">
        <f t="shared" si="201"/>
        <v>0.92865518405702308</v>
      </c>
      <c r="S339" s="169">
        <f t="shared" si="202"/>
        <v>0.8855515580716411</v>
      </c>
      <c r="T339" s="169">
        <f t="shared" si="203"/>
        <v>0.92865518405702308</v>
      </c>
      <c r="U339" s="169">
        <f t="shared" si="204"/>
        <v>0.90710337106433214</v>
      </c>
      <c r="V339" s="169">
        <f t="shared" si="205"/>
        <v>2.2900222384423782E-2</v>
      </c>
      <c r="W339" s="439">
        <f t="shared" si="206"/>
        <v>5.5615842888481035</v>
      </c>
      <c r="X339" s="439">
        <f t="shared" si="207"/>
        <v>5.5615842888481035</v>
      </c>
      <c r="Y339" s="169"/>
      <c r="Z339" s="119" t="str">
        <f t="shared" si="208"/>
        <v/>
      </c>
      <c r="AA339" s="4" t="str">
        <f t="shared" si="209"/>
        <v/>
      </c>
      <c r="AB339" s="466"/>
      <c r="AC339" s="466"/>
      <c r="AD339" s="466"/>
      <c r="AE339" s="466"/>
      <c r="AF339" s="466"/>
      <c r="AG339" s="466"/>
      <c r="AH339" s="466"/>
      <c r="AI339" s="466"/>
      <c r="AJ339" s="466"/>
      <c r="AK339" s="466"/>
      <c r="AL339" s="466"/>
      <c r="AM339" s="462">
        <f t="shared" si="210"/>
        <v>335</v>
      </c>
      <c r="AN339" s="32">
        <f t="shared" si="227"/>
        <v>1.0286964498484381</v>
      </c>
      <c r="AO339" s="32">
        <f t="shared" si="228"/>
        <v>-0.38617904451660728</v>
      </c>
      <c r="AP339" s="32">
        <f t="shared" si="229"/>
        <v>1.165138264042713</v>
      </c>
      <c r="AQ339" s="32">
        <f t="shared" si="230"/>
        <v>8.9010006771795709</v>
      </c>
      <c r="AR339" s="32">
        <f t="shared" si="231"/>
        <v>11.798607923766607</v>
      </c>
      <c r="AS339" s="32">
        <f t="shared" si="211"/>
        <v>8.8574509405300681</v>
      </c>
      <c r="AT339" s="32">
        <f t="shared" si="212"/>
        <v>4.5904319999999998</v>
      </c>
      <c r="AU339" s="32">
        <f t="shared" si="213"/>
        <v>0.67306045949640136</v>
      </c>
      <c r="AV339" s="32">
        <f t="shared" si="214"/>
        <v>0.55863162032014191</v>
      </c>
      <c r="AW339" s="32">
        <f t="shared" si="215"/>
        <v>1.0297111140367921</v>
      </c>
      <c r="AX339" s="32">
        <f t="shared" si="216"/>
        <v>0.92865518405702308</v>
      </c>
      <c r="AY339" s="32">
        <f t="shared" si="217"/>
        <v>0.90710337106433225</v>
      </c>
      <c r="AZ339" s="32">
        <f t="shared" si="232"/>
        <v>0.20666123567071384</v>
      </c>
      <c r="BA339" s="32">
        <f t="shared" si="218"/>
        <v>-3.4672900956081083</v>
      </c>
      <c r="BB339" s="32">
        <f t="shared" si="233"/>
        <v>1.1231419043918915</v>
      </c>
      <c r="BC339" s="32">
        <f t="shared" si="219"/>
        <v>6.65</v>
      </c>
      <c r="BD339" s="32">
        <v>0</v>
      </c>
      <c r="BE339" s="32">
        <f t="shared" si="234"/>
        <v>0.97918314904690762</v>
      </c>
      <c r="BF339" s="32">
        <f t="shared" si="235"/>
        <v>7.2079777982575366E-2</v>
      </c>
      <c r="BG339" s="32">
        <f t="shared" si="236"/>
        <v>6.7364358354211062E-2</v>
      </c>
      <c r="BH339" s="32">
        <f t="shared" si="220"/>
        <v>0.11978887845905276</v>
      </c>
      <c r="BI339" s="32">
        <f t="shared" si="221"/>
        <v>0.32623628050239917</v>
      </c>
      <c r="BJ339" s="32">
        <f t="shared" si="222"/>
        <v>0.4460251589614519</v>
      </c>
      <c r="BK339" s="457">
        <f t="shared" si="223"/>
        <v>0.33167826585416776</v>
      </c>
      <c r="BL339" s="2"/>
    </row>
    <row r="340" spans="1:64" ht="15">
      <c r="A340" s="119"/>
      <c r="B340" s="480">
        <f>Input!B357</f>
        <v>38322</v>
      </c>
      <c r="C340" s="481">
        <v>1</v>
      </c>
      <c r="D340" s="481">
        <f t="shared" si="224"/>
        <v>12</v>
      </c>
      <c r="E340" s="481">
        <f t="shared" si="225"/>
        <v>1</v>
      </c>
      <c r="F340" s="481">
        <f t="shared" si="199"/>
        <v>336</v>
      </c>
      <c r="G340" s="431">
        <v>1.9008</v>
      </c>
      <c r="H340" s="455">
        <v>6.56</v>
      </c>
      <c r="I340" s="455">
        <v>5.5</v>
      </c>
      <c r="J340" s="455">
        <v>3.2</v>
      </c>
      <c r="K340" s="485"/>
      <c r="L340" s="433">
        <v>100</v>
      </c>
      <c r="M340" s="455">
        <v>87</v>
      </c>
      <c r="N340" s="484">
        <f>Weather!M341</f>
        <v>6</v>
      </c>
      <c r="O340" s="481">
        <f t="shared" si="226"/>
        <v>1</v>
      </c>
      <c r="P340" s="4">
        <f t="shared" si="237"/>
        <v>0.35825075999220179</v>
      </c>
      <c r="Q340" s="169">
        <f t="shared" si="200"/>
        <v>0.97198884625861448</v>
      </c>
      <c r="R340" s="169">
        <f t="shared" si="201"/>
        <v>0.90322918741527269</v>
      </c>
      <c r="S340" s="169">
        <f t="shared" si="202"/>
        <v>0.84563029624499464</v>
      </c>
      <c r="T340" s="169">
        <f t="shared" si="203"/>
        <v>0.90322918741527269</v>
      </c>
      <c r="U340" s="169">
        <f t="shared" si="204"/>
        <v>0.87442974183013367</v>
      </c>
      <c r="V340" s="169">
        <f t="shared" si="205"/>
        <v>2.0776049619355849E-2</v>
      </c>
      <c r="W340" s="439">
        <f t="shared" si="206"/>
        <v>5.0347589770008092</v>
      </c>
      <c r="X340" s="439">
        <f t="shared" si="207"/>
        <v>5.0347589770008092</v>
      </c>
      <c r="Y340" s="169"/>
      <c r="Z340" s="119" t="str">
        <f t="shared" si="208"/>
        <v/>
      </c>
      <c r="AA340" s="4" t="str">
        <f t="shared" si="209"/>
        <v/>
      </c>
      <c r="AB340" s="466"/>
      <c r="AC340" s="466"/>
      <c r="AD340" s="466"/>
      <c r="AE340" s="466"/>
      <c r="AF340" s="466"/>
      <c r="AG340" s="466"/>
      <c r="AH340" s="466"/>
      <c r="AI340" s="466"/>
      <c r="AJ340" s="466"/>
      <c r="AK340" s="466"/>
      <c r="AL340" s="466"/>
      <c r="AM340" s="462">
        <f t="shared" si="210"/>
        <v>336</v>
      </c>
      <c r="AN340" s="32">
        <f t="shared" si="227"/>
        <v>1.0289726827951293</v>
      </c>
      <c r="AO340" s="32">
        <f t="shared" si="228"/>
        <v>-0.38844063667040096</v>
      </c>
      <c r="AP340" s="32">
        <f t="shared" si="229"/>
        <v>1.1623502200138098</v>
      </c>
      <c r="AQ340" s="32">
        <f t="shared" si="230"/>
        <v>8.8797015897191969</v>
      </c>
      <c r="AR340" s="32">
        <f t="shared" si="231"/>
        <v>11.714365219138582</v>
      </c>
      <c r="AS340" s="32">
        <f t="shared" si="211"/>
        <v>8.7942082573117162</v>
      </c>
      <c r="AT340" s="32">
        <f t="shared" si="212"/>
        <v>1.463616</v>
      </c>
      <c r="AU340" s="32">
        <f t="shared" si="213"/>
        <v>0.3</v>
      </c>
      <c r="AV340" s="32">
        <f t="shared" si="214"/>
        <v>5.5000000000000049E-2</v>
      </c>
      <c r="AW340" s="32">
        <f t="shared" si="215"/>
        <v>0.97198884625861448</v>
      </c>
      <c r="AX340" s="32">
        <f t="shared" si="216"/>
        <v>0.90322918741527269</v>
      </c>
      <c r="AY340" s="32">
        <f t="shared" si="217"/>
        <v>0.87442974183013367</v>
      </c>
      <c r="AZ340" s="32">
        <f t="shared" si="232"/>
        <v>0.20908467263199998</v>
      </c>
      <c r="BA340" s="32">
        <f t="shared" si="218"/>
        <v>-0.34231629217378656</v>
      </c>
      <c r="BB340" s="32">
        <f t="shared" si="233"/>
        <v>1.1212997078262135</v>
      </c>
      <c r="BC340" s="32">
        <f t="shared" si="219"/>
        <v>6.0299999999999994</v>
      </c>
      <c r="BD340" s="32">
        <v>0</v>
      </c>
      <c r="BE340" s="32">
        <f t="shared" si="234"/>
        <v>0.93760901683694353</v>
      </c>
      <c r="BF340" s="32">
        <f t="shared" si="235"/>
        <v>6.3179275006809865E-2</v>
      </c>
      <c r="BG340" s="32">
        <f t="shared" si="236"/>
        <v>6.4871050270370767E-2</v>
      </c>
      <c r="BH340" s="32">
        <f t="shared" si="220"/>
        <v>0.14476819170264102</v>
      </c>
      <c r="BI340" s="32">
        <f t="shared" si="221"/>
        <v>0.21348256828956075</v>
      </c>
      <c r="BJ340" s="32">
        <f t="shared" si="222"/>
        <v>0.35825075999220179</v>
      </c>
      <c r="BK340" s="457">
        <f t="shared" si="223"/>
        <v>0.26980965495576598</v>
      </c>
      <c r="BL340" s="2"/>
    </row>
    <row r="341" spans="1:64" ht="15">
      <c r="A341" s="119"/>
      <c r="B341" s="480">
        <f>Input!B358</f>
        <v>38323</v>
      </c>
      <c r="C341" s="481">
        <v>1</v>
      </c>
      <c r="D341" s="481">
        <f t="shared" si="224"/>
        <v>12</v>
      </c>
      <c r="E341" s="481">
        <f t="shared" si="225"/>
        <v>2</v>
      </c>
      <c r="F341" s="481">
        <f t="shared" si="199"/>
        <v>337</v>
      </c>
      <c r="G341" s="431">
        <v>1.4688000000000001</v>
      </c>
      <c r="H341" s="455">
        <v>5.58</v>
      </c>
      <c r="I341" s="455">
        <v>3.6</v>
      </c>
      <c r="J341" s="455">
        <v>1.86</v>
      </c>
      <c r="K341" s="485"/>
      <c r="L341" s="433">
        <v>100</v>
      </c>
      <c r="M341" s="455">
        <v>86</v>
      </c>
      <c r="N341" s="484">
        <f>Weather!M342</f>
        <v>1.8</v>
      </c>
      <c r="O341" s="481">
        <f t="shared" si="226"/>
        <v>1</v>
      </c>
      <c r="P341" s="4">
        <f t="shared" si="237"/>
        <v>0.26485704367748769</v>
      </c>
      <c r="Q341" s="169">
        <f t="shared" si="200"/>
        <v>0.90826471975554679</v>
      </c>
      <c r="R341" s="169">
        <f t="shared" si="201"/>
        <v>0.79064713244097073</v>
      </c>
      <c r="S341" s="169">
        <f t="shared" si="202"/>
        <v>0.78110765898977019</v>
      </c>
      <c r="T341" s="169">
        <f t="shared" si="203"/>
        <v>0.79064713244097073</v>
      </c>
      <c r="U341" s="169">
        <f t="shared" si="204"/>
        <v>0.78587739571537041</v>
      </c>
      <c r="V341" s="169">
        <f t="shared" si="205"/>
        <v>1.4593585513771882E-2</v>
      </c>
      <c r="W341" s="439">
        <f t="shared" si="206"/>
        <v>3.514344732801074</v>
      </c>
      <c r="X341" s="439">
        <f t="shared" si="207"/>
        <v>3.514344732801074</v>
      </c>
      <c r="Y341" s="169"/>
      <c r="Z341" s="119" t="str">
        <f t="shared" si="208"/>
        <v/>
      </c>
      <c r="AA341" s="4" t="str">
        <f t="shared" si="209"/>
        <v/>
      </c>
      <c r="AB341" s="466"/>
      <c r="AC341" s="466"/>
      <c r="AD341" s="466"/>
      <c r="AE341" s="466"/>
      <c r="AF341" s="466"/>
      <c r="AG341" s="466"/>
      <c r="AH341" s="466"/>
      <c r="AI341" s="466"/>
      <c r="AJ341" s="466"/>
      <c r="AK341" s="466"/>
      <c r="AL341" s="466"/>
      <c r="AM341" s="462">
        <f t="shared" si="210"/>
        <v>337</v>
      </c>
      <c r="AN341" s="32">
        <f t="shared" si="227"/>
        <v>1.0292403305106266</v>
      </c>
      <c r="AO341" s="32">
        <f t="shared" si="228"/>
        <v>-0.39058712548031388</v>
      </c>
      <c r="AP341" s="32">
        <f t="shared" si="229"/>
        <v>1.1596961725022192</v>
      </c>
      <c r="AQ341" s="32">
        <f t="shared" si="230"/>
        <v>8.8594261602470183</v>
      </c>
      <c r="AR341" s="32">
        <f t="shared" si="231"/>
        <v>11.634543087112416</v>
      </c>
      <c r="AS341" s="32">
        <f t="shared" si="211"/>
        <v>8.7342841863570335</v>
      </c>
      <c r="AT341" s="32">
        <f t="shared" si="212"/>
        <v>1.1309760000000002</v>
      </c>
      <c r="AU341" s="32">
        <f t="shared" si="213"/>
        <v>0.3</v>
      </c>
      <c r="AV341" s="32">
        <f t="shared" si="214"/>
        <v>5.5000000000000049E-2</v>
      </c>
      <c r="AW341" s="32">
        <f t="shared" si="215"/>
        <v>0.90826471975554679</v>
      </c>
      <c r="AX341" s="32">
        <f t="shared" si="216"/>
        <v>0.79064713244097073</v>
      </c>
      <c r="AY341" s="32">
        <f t="shared" si="217"/>
        <v>0.78587739571537041</v>
      </c>
      <c r="AZ341" s="32">
        <f t="shared" si="232"/>
        <v>0.21589038330563881</v>
      </c>
      <c r="BA341" s="32">
        <f t="shared" si="218"/>
        <v>-0.34624132264879404</v>
      </c>
      <c r="BB341" s="32">
        <f t="shared" si="233"/>
        <v>0.78473467735120617</v>
      </c>
      <c r="BC341" s="32">
        <f t="shared" si="219"/>
        <v>4.59</v>
      </c>
      <c r="BD341" s="32">
        <v>0</v>
      </c>
      <c r="BE341" s="32">
        <f t="shared" si="234"/>
        <v>0.84945592609825882</v>
      </c>
      <c r="BF341" s="32">
        <f t="shared" si="235"/>
        <v>6.357853038288841E-2</v>
      </c>
      <c r="BG341" s="32">
        <f t="shared" si="236"/>
        <v>5.9383106777336339E-2</v>
      </c>
      <c r="BH341" s="32">
        <f t="shared" si="220"/>
        <v>0.11254291315516766</v>
      </c>
      <c r="BI341" s="32">
        <f t="shared" si="221"/>
        <v>0.15231413052232004</v>
      </c>
      <c r="BJ341" s="32">
        <f t="shared" si="222"/>
        <v>0.26485704367748769</v>
      </c>
      <c r="BK341" s="457">
        <f t="shared" si="223"/>
        <v>0.34411037957819796</v>
      </c>
      <c r="BL341" s="2"/>
    </row>
    <row r="342" spans="1:64" ht="15">
      <c r="A342" s="119"/>
      <c r="B342" s="480">
        <f>Input!B359</f>
        <v>38324</v>
      </c>
      <c r="C342" s="481">
        <v>1</v>
      </c>
      <c r="D342" s="481">
        <f t="shared" si="224"/>
        <v>12</v>
      </c>
      <c r="E342" s="481">
        <f t="shared" si="225"/>
        <v>3</v>
      </c>
      <c r="F342" s="481">
        <f t="shared" si="199"/>
        <v>338</v>
      </c>
      <c r="G342" s="431">
        <v>1.4688000000000001</v>
      </c>
      <c r="H342" s="455">
        <v>4.0999999999999996</v>
      </c>
      <c r="I342" s="455">
        <v>0.6</v>
      </c>
      <c r="J342" s="455">
        <v>2.68</v>
      </c>
      <c r="K342" s="485"/>
      <c r="L342" s="433">
        <v>100</v>
      </c>
      <c r="M342" s="455">
        <v>84</v>
      </c>
      <c r="N342" s="484">
        <f>Weather!M343</f>
        <v>0.2</v>
      </c>
      <c r="O342" s="481" t="str">
        <f t="shared" si="226"/>
        <v/>
      </c>
      <c r="P342" s="4">
        <f t="shared" si="237"/>
        <v>0.30545285076975481</v>
      </c>
      <c r="Q342" s="169">
        <f t="shared" si="200"/>
        <v>0.81900297596514993</v>
      </c>
      <c r="R342" s="169">
        <f t="shared" si="201"/>
        <v>0.63799196508805101</v>
      </c>
      <c r="S342" s="169">
        <f t="shared" si="202"/>
        <v>0.68796249981072588</v>
      </c>
      <c r="T342" s="169">
        <f t="shared" si="203"/>
        <v>0.63799196508805101</v>
      </c>
      <c r="U342" s="169">
        <f t="shared" si="204"/>
        <v>0.66297723244938844</v>
      </c>
      <c r="V342" s="169">
        <f t="shared" si="205"/>
        <v>4.7464433152719261E-3</v>
      </c>
      <c r="W342" s="439">
        <f t="shared" si="206"/>
        <v>1.1317025607684639</v>
      </c>
      <c r="X342" s="439">
        <f t="shared" si="207"/>
        <v>1.1317025607684639</v>
      </c>
      <c r="Y342" s="169"/>
      <c r="Z342" s="119" t="str">
        <f t="shared" si="208"/>
        <v/>
      </c>
      <c r="AA342" s="4" t="str">
        <f t="shared" si="209"/>
        <v/>
      </c>
      <c r="AB342" s="466"/>
      <c r="AC342" s="466"/>
      <c r="AD342" s="466"/>
      <c r="AE342" s="466"/>
      <c r="AF342" s="466"/>
      <c r="AG342" s="466"/>
      <c r="AH342" s="466"/>
      <c r="AI342" s="466"/>
      <c r="AJ342" s="466"/>
      <c r="AK342" s="466"/>
      <c r="AL342" s="466"/>
      <c r="AM342" s="462">
        <f t="shared" si="210"/>
        <v>338</v>
      </c>
      <c r="AN342" s="32">
        <f t="shared" si="227"/>
        <v>1.0294993136851354</v>
      </c>
      <c r="AO342" s="32">
        <f t="shared" si="228"/>
        <v>-0.39261787489538619</v>
      </c>
      <c r="AP342" s="32">
        <f t="shared" si="229"/>
        <v>1.157178073332976</v>
      </c>
      <c r="AQ342" s="32">
        <f t="shared" si="230"/>
        <v>8.8401892996079461</v>
      </c>
      <c r="AR342" s="32">
        <f t="shared" si="231"/>
        <v>11.559153759699749</v>
      </c>
      <c r="AS342" s="32">
        <f t="shared" si="211"/>
        <v>8.6776879104817954</v>
      </c>
      <c r="AT342" s="32">
        <f t="shared" si="212"/>
        <v>1.1309760000000002</v>
      </c>
      <c r="AU342" s="32">
        <f t="shared" si="213"/>
        <v>0.3</v>
      </c>
      <c r="AV342" s="32">
        <f t="shared" si="214"/>
        <v>5.5000000000000049E-2</v>
      </c>
      <c r="AW342" s="32">
        <f t="shared" si="215"/>
        <v>0.81900297596514993</v>
      </c>
      <c r="AX342" s="32">
        <f t="shared" si="216"/>
        <v>0.63799196508805101</v>
      </c>
      <c r="AY342" s="32">
        <f t="shared" si="217"/>
        <v>0.66297723244938844</v>
      </c>
      <c r="AZ342" s="32">
        <f t="shared" si="232"/>
        <v>0.22600722059705708</v>
      </c>
      <c r="BA342" s="32">
        <f t="shared" si="218"/>
        <v>-0.35097212469564193</v>
      </c>
      <c r="BB342" s="32">
        <f t="shared" si="233"/>
        <v>0.78000387530435833</v>
      </c>
      <c r="BC342" s="32">
        <f t="shared" si="219"/>
        <v>2.3499999999999996</v>
      </c>
      <c r="BD342" s="32">
        <v>0</v>
      </c>
      <c r="BE342" s="32">
        <f t="shared" si="234"/>
        <v>0.72849747052660052</v>
      </c>
      <c r="BF342" s="32">
        <f t="shared" si="235"/>
        <v>6.5520238077212078E-2</v>
      </c>
      <c r="BG342" s="32">
        <f t="shared" si="236"/>
        <v>5.1638002983383793E-2</v>
      </c>
      <c r="BH342" s="32">
        <f t="shared" si="220"/>
        <v>9.1345094392382642E-2</v>
      </c>
      <c r="BI342" s="32">
        <f t="shared" si="221"/>
        <v>0.21410775637737217</v>
      </c>
      <c r="BJ342" s="32">
        <f t="shared" si="222"/>
        <v>0.30545285076975481</v>
      </c>
      <c r="BK342" s="457">
        <f t="shared" si="223"/>
        <v>0.40906927875401328</v>
      </c>
      <c r="BL342" s="2"/>
    </row>
    <row r="343" spans="1:64" ht="15">
      <c r="A343" s="119"/>
      <c r="B343" s="480">
        <f>Input!B360</f>
        <v>38325</v>
      </c>
      <c r="C343" s="481">
        <v>1</v>
      </c>
      <c r="D343" s="481">
        <f t="shared" si="224"/>
        <v>12</v>
      </c>
      <c r="E343" s="481">
        <f t="shared" si="225"/>
        <v>4</v>
      </c>
      <c r="F343" s="481">
        <f t="shared" si="199"/>
        <v>339</v>
      </c>
      <c r="G343" s="431">
        <v>1.296</v>
      </c>
      <c r="H343" s="455">
        <v>2.0099999999999998</v>
      </c>
      <c r="I343" s="455">
        <v>-0.5</v>
      </c>
      <c r="J343" s="455">
        <v>1.88</v>
      </c>
      <c r="K343" s="485"/>
      <c r="L343" s="433">
        <v>100</v>
      </c>
      <c r="M343" s="455">
        <v>83</v>
      </c>
      <c r="N343" s="484">
        <f>Weather!M344</f>
        <v>1.6</v>
      </c>
      <c r="O343" s="481">
        <f t="shared" si="226"/>
        <v>1</v>
      </c>
      <c r="P343" s="4">
        <f t="shared" si="237"/>
        <v>0.23728039005273585</v>
      </c>
      <c r="Q343" s="169">
        <f t="shared" si="200"/>
        <v>0.70614659071896546</v>
      </c>
      <c r="R343" s="169">
        <f t="shared" si="201"/>
        <v>0.58892815702583889</v>
      </c>
      <c r="S343" s="169">
        <f t="shared" si="202"/>
        <v>0.58610167029674132</v>
      </c>
      <c r="T343" s="169">
        <f t="shared" si="203"/>
        <v>0.58892815702583889</v>
      </c>
      <c r="U343" s="169">
        <f t="shared" si="204"/>
        <v>0.58751491366129005</v>
      </c>
      <c r="V343" s="169">
        <f t="shared" si="205"/>
        <v>-2.2506046724359323E-3</v>
      </c>
      <c r="W343" s="439">
        <f t="shared" si="206"/>
        <v>-0.53286921083334793</v>
      </c>
      <c r="X343" s="439">
        <f t="shared" si="207"/>
        <v>-0.53286921083334793</v>
      </c>
      <c r="Y343" s="169"/>
      <c r="Z343" s="119" t="str">
        <f t="shared" si="208"/>
        <v/>
      </c>
      <c r="AA343" s="4" t="str">
        <f t="shared" si="209"/>
        <v/>
      </c>
      <c r="AB343" s="466"/>
      <c r="AC343" s="466"/>
      <c r="AD343" s="466"/>
      <c r="AE343" s="466"/>
      <c r="AF343" s="466"/>
      <c r="AG343" s="466"/>
      <c r="AH343" s="466"/>
      <c r="AI343" s="466"/>
      <c r="AJ343" s="466"/>
      <c r="AK343" s="466"/>
      <c r="AL343" s="466"/>
      <c r="AM343" s="462">
        <f t="shared" si="210"/>
        <v>339</v>
      </c>
      <c r="AN343" s="32">
        <f t="shared" si="227"/>
        <v>1.0297495555763521</v>
      </c>
      <c r="AO343" s="32">
        <f t="shared" si="228"/>
        <v>-0.39453228316073946</v>
      </c>
      <c r="AP343" s="32">
        <f t="shared" si="229"/>
        <v>1.1547977972327688</v>
      </c>
      <c r="AQ343" s="32">
        <f t="shared" si="230"/>
        <v>8.8220053296589143</v>
      </c>
      <c r="AR343" s="32">
        <f t="shared" si="231"/>
        <v>11.488208526217541</v>
      </c>
      <c r="AS343" s="32">
        <f t="shared" si="211"/>
        <v>8.6244279048020331</v>
      </c>
      <c r="AT343" s="32">
        <f t="shared" si="212"/>
        <v>0.99792000000000003</v>
      </c>
      <c r="AU343" s="32">
        <f t="shared" si="213"/>
        <v>0.3</v>
      </c>
      <c r="AV343" s="32">
        <f t="shared" si="214"/>
        <v>5.5000000000000049E-2</v>
      </c>
      <c r="AW343" s="32">
        <f t="shared" si="215"/>
        <v>0.70614659071896546</v>
      </c>
      <c r="AX343" s="32">
        <f t="shared" si="216"/>
        <v>0.58892815702583889</v>
      </c>
      <c r="AY343" s="32">
        <f t="shared" si="217"/>
        <v>0.58751491366129005</v>
      </c>
      <c r="AZ343" s="32">
        <f t="shared" si="232"/>
        <v>0.23269066998736185</v>
      </c>
      <c r="BA343" s="32">
        <f t="shared" si="218"/>
        <v>-0.35301428635468551</v>
      </c>
      <c r="BB343" s="32">
        <f t="shared" si="233"/>
        <v>0.64490571364531446</v>
      </c>
      <c r="BC343" s="32">
        <f t="shared" si="219"/>
        <v>0.75499999999999989</v>
      </c>
      <c r="BD343" s="32">
        <v>0</v>
      </c>
      <c r="BE343" s="32">
        <f t="shared" si="234"/>
        <v>0.64753737387240218</v>
      </c>
      <c r="BF343" s="32">
        <f t="shared" si="235"/>
        <v>6.0022460211112127E-2</v>
      </c>
      <c r="BG343" s="32">
        <f t="shared" si="236"/>
        <v>4.6666979690276923E-2</v>
      </c>
      <c r="BH343" s="32">
        <f t="shared" si="220"/>
        <v>7.8371280285514322E-2</v>
      </c>
      <c r="BI343" s="32">
        <f t="shared" si="221"/>
        <v>0.15890910976722153</v>
      </c>
      <c r="BJ343" s="32">
        <f t="shared" si="222"/>
        <v>0.23728039005273585</v>
      </c>
      <c r="BK343" s="457">
        <f t="shared" si="223"/>
        <v>0.31703840985095161</v>
      </c>
      <c r="BL343" s="2"/>
    </row>
    <row r="344" spans="1:64" ht="15">
      <c r="A344" s="119"/>
      <c r="B344" s="480">
        <f>Input!B361</f>
        <v>38326</v>
      </c>
      <c r="C344" s="481">
        <v>1</v>
      </c>
      <c r="D344" s="481">
        <f t="shared" si="224"/>
        <v>12</v>
      </c>
      <c r="E344" s="481">
        <f t="shared" si="225"/>
        <v>5</v>
      </c>
      <c r="F344" s="481">
        <f t="shared" si="199"/>
        <v>340</v>
      </c>
      <c r="G344" s="431">
        <v>0.86399999999999999</v>
      </c>
      <c r="H344" s="455">
        <v>1.76</v>
      </c>
      <c r="I344" s="455">
        <v>-1.3</v>
      </c>
      <c r="J344" s="455">
        <v>1.03</v>
      </c>
      <c r="K344" s="485"/>
      <c r="L344" s="433">
        <v>100</v>
      </c>
      <c r="M344" s="455">
        <v>87</v>
      </c>
      <c r="N344" s="484">
        <f>Weather!M345</f>
        <v>0.2</v>
      </c>
      <c r="O344" s="481" t="str">
        <f t="shared" si="226"/>
        <v/>
      </c>
      <c r="P344" s="4">
        <f t="shared" si="237"/>
        <v>0.11819204647909157</v>
      </c>
      <c r="Q344" s="169">
        <f t="shared" si="200"/>
        <v>0.69361303824668652</v>
      </c>
      <c r="R344" s="169">
        <f t="shared" si="201"/>
        <v>0.55537203217068021</v>
      </c>
      <c r="S344" s="169">
        <f t="shared" si="202"/>
        <v>0.60344334327461724</v>
      </c>
      <c r="T344" s="169">
        <f t="shared" si="203"/>
        <v>0.55537203217068021</v>
      </c>
      <c r="U344" s="169">
        <f t="shared" si="204"/>
        <v>0.57940768772264872</v>
      </c>
      <c r="V344" s="169">
        <f t="shared" si="205"/>
        <v>-3.0551951173756961E-3</v>
      </c>
      <c r="W344" s="439">
        <f t="shared" si="206"/>
        <v>-0.72278953828499415</v>
      </c>
      <c r="X344" s="439">
        <f t="shared" si="207"/>
        <v>-0.72278953828499415</v>
      </c>
      <c r="Y344" s="169"/>
      <c r="Z344" s="119" t="str">
        <f t="shared" si="208"/>
        <v/>
      </c>
      <c r="AA344" s="4" t="str">
        <f t="shared" si="209"/>
        <v/>
      </c>
      <c r="AB344" s="466"/>
      <c r="AC344" s="466"/>
      <c r="AD344" s="466"/>
      <c r="AE344" s="466"/>
      <c r="AF344" s="466"/>
      <c r="AG344" s="466"/>
      <c r="AH344" s="466"/>
      <c r="AI344" s="466"/>
      <c r="AJ344" s="466"/>
      <c r="AK344" s="466"/>
      <c r="AL344" s="466"/>
      <c r="AM344" s="462">
        <f t="shared" si="210"/>
        <v>340</v>
      </c>
      <c r="AN344" s="32">
        <f t="shared" si="227"/>
        <v>1.0299909820322035</v>
      </c>
      <c r="AO344" s="32">
        <f t="shared" si="228"/>
        <v>-0.39632978299588817</v>
      </c>
      <c r="AP344" s="32">
        <f t="shared" si="229"/>
        <v>1.1525571370348919</v>
      </c>
      <c r="AQ344" s="32">
        <f t="shared" si="230"/>
        <v>8.804887946637411</v>
      </c>
      <c r="AR344" s="32">
        <f t="shared" si="231"/>
        <v>11.42171778316639</v>
      </c>
      <c r="AS344" s="32">
        <f t="shared" si="211"/>
        <v>8.5745119741786731</v>
      </c>
      <c r="AT344" s="32">
        <f t="shared" si="212"/>
        <v>0.66527999999999998</v>
      </c>
      <c r="AU344" s="32">
        <f t="shared" si="213"/>
        <v>0.3</v>
      </c>
      <c r="AV344" s="32">
        <f t="shared" si="214"/>
        <v>5.5000000000000049E-2</v>
      </c>
      <c r="AW344" s="32">
        <f t="shared" si="215"/>
        <v>0.69361303824668652</v>
      </c>
      <c r="AX344" s="32">
        <f t="shared" si="216"/>
        <v>0.55537203217068021</v>
      </c>
      <c r="AY344" s="32">
        <f t="shared" si="217"/>
        <v>0.57940768772264872</v>
      </c>
      <c r="AZ344" s="32">
        <f t="shared" si="232"/>
        <v>0.23343363251304888</v>
      </c>
      <c r="BA344" s="32">
        <f t="shared" si="218"/>
        <v>-0.3514558406619806</v>
      </c>
      <c r="BB344" s="32">
        <f t="shared" si="233"/>
        <v>0.31382415933801938</v>
      </c>
      <c r="BC344" s="32">
        <f t="shared" si="219"/>
        <v>0.22999999999999998</v>
      </c>
      <c r="BD344" s="32">
        <v>0</v>
      </c>
      <c r="BE344" s="32">
        <f t="shared" si="234"/>
        <v>0.62449253520868342</v>
      </c>
      <c r="BF344" s="32">
        <f t="shared" si="235"/>
        <v>4.5084847486034696E-2</v>
      </c>
      <c r="BG344" s="32">
        <f t="shared" si="236"/>
        <v>4.5123471817324345E-2</v>
      </c>
      <c r="BH344" s="32">
        <f t="shared" si="220"/>
        <v>4.2564106067974672E-2</v>
      </c>
      <c r="BI344" s="32">
        <f t="shared" si="221"/>
        <v>7.5627940411116895E-2</v>
      </c>
      <c r="BJ344" s="32">
        <f t="shared" si="222"/>
        <v>0.11819204647909157</v>
      </c>
      <c r="BK344" s="457">
        <f t="shared" si="223"/>
        <v>0.33818132134719819</v>
      </c>
      <c r="BL344" s="2"/>
    </row>
    <row r="345" spans="1:64" ht="15">
      <c r="A345" s="119"/>
      <c r="B345" s="480">
        <f>Input!B362</f>
        <v>38327</v>
      </c>
      <c r="C345" s="481">
        <v>1</v>
      </c>
      <c r="D345" s="481">
        <f t="shared" si="224"/>
        <v>12</v>
      </c>
      <c r="E345" s="481">
        <f t="shared" si="225"/>
        <v>6</v>
      </c>
      <c r="F345" s="481">
        <f t="shared" si="199"/>
        <v>341</v>
      </c>
      <c r="G345" s="431">
        <v>2.2464</v>
      </c>
      <c r="H345" s="455">
        <v>1.44</v>
      </c>
      <c r="I345" s="455">
        <v>-2.4</v>
      </c>
      <c r="J345" s="455">
        <v>1.57</v>
      </c>
      <c r="K345" s="485"/>
      <c r="L345" s="433">
        <v>100</v>
      </c>
      <c r="M345" s="455">
        <v>87</v>
      </c>
      <c r="N345" s="484">
        <f>Weather!M346</f>
        <v>0.2</v>
      </c>
      <c r="O345" s="481" t="str">
        <f t="shared" si="226"/>
        <v/>
      </c>
      <c r="P345" s="4">
        <f t="shared" si="237"/>
        <v>0.27091712366785692</v>
      </c>
      <c r="Q345" s="169">
        <f t="shared" si="200"/>
        <v>0.67785706656790812</v>
      </c>
      <c r="R345" s="169">
        <f t="shared" si="201"/>
        <v>0.51199764240091861</v>
      </c>
      <c r="S345" s="169">
        <f t="shared" si="202"/>
        <v>0.58973564791408006</v>
      </c>
      <c r="T345" s="169">
        <f t="shared" si="203"/>
        <v>0.51199764240091861</v>
      </c>
      <c r="U345" s="169">
        <f t="shared" si="204"/>
        <v>0.55086664515749928</v>
      </c>
      <c r="V345" s="169">
        <f t="shared" si="205"/>
        <v>-5.9801283608311396E-3</v>
      </c>
      <c r="W345" s="439">
        <f t="shared" si="206"/>
        <v>-1.4106486003232694</v>
      </c>
      <c r="X345" s="439">
        <f t="shared" si="207"/>
        <v>-1.4106486003232694</v>
      </c>
      <c r="Y345" s="169"/>
      <c r="Z345" s="119" t="str">
        <f t="shared" si="208"/>
        <v/>
      </c>
      <c r="AA345" s="4" t="str">
        <f t="shared" si="209"/>
        <v/>
      </c>
      <c r="AB345" s="466"/>
      <c r="AC345" s="466"/>
      <c r="AD345" s="466"/>
      <c r="AE345" s="466"/>
      <c r="AF345" s="466"/>
      <c r="AG345" s="466"/>
      <c r="AH345" s="466"/>
      <c r="AI345" s="466"/>
      <c r="AJ345" s="466"/>
      <c r="AK345" s="466"/>
      <c r="AL345" s="466"/>
      <c r="AM345" s="462">
        <f t="shared" si="210"/>
        <v>341</v>
      </c>
      <c r="AN345" s="32">
        <f t="shared" si="227"/>
        <v>1.0302235215128204</v>
      </c>
      <c r="AO345" s="32">
        <f t="shared" si="228"/>
        <v>-0.39800984176283782</v>
      </c>
      <c r="AP345" s="32">
        <f t="shared" si="229"/>
        <v>1.1504577990074982</v>
      </c>
      <c r="AQ345" s="32">
        <f t="shared" si="230"/>
        <v>8.7888501854719472</v>
      </c>
      <c r="AR345" s="32">
        <f t="shared" si="231"/>
        <v>11.359691082734981</v>
      </c>
      <c r="AS345" s="32">
        <f t="shared" si="211"/>
        <v>8.5279472896308057</v>
      </c>
      <c r="AT345" s="32">
        <f t="shared" si="212"/>
        <v>1.7297279999999999</v>
      </c>
      <c r="AU345" s="32">
        <f t="shared" si="213"/>
        <v>0.3</v>
      </c>
      <c r="AV345" s="32">
        <f t="shared" si="214"/>
        <v>5.5000000000000049E-2</v>
      </c>
      <c r="AW345" s="32">
        <f t="shared" si="215"/>
        <v>0.67785706656790812</v>
      </c>
      <c r="AX345" s="32">
        <f t="shared" si="216"/>
        <v>0.51199764240091861</v>
      </c>
      <c r="AY345" s="32">
        <f t="shared" si="217"/>
        <v>0.55086664515749928</v>
      </c>
      <c r="AZ345" s="32">
        <f t="shared" si="232"/>
        <v>0.23609145249265112</v>
      </c>
      <c r="BA345" s="32">
        <f t="shared" si="218"/>
        <v>-0.35181767015692206</v>
      </c>
      <c r="BB345" s="32">
        <f t="shared" si="233"/>
        <v>1.3779103298430779</v>
      </c>
      <c r="BC345" s="32">
        <f t="shared" si="219"/>
        <v>-0.48</v>
      </c>
      <c r="BD345" s="32">
        <v>0</v>
      </c>
      <c r="BE345" s="32">
        <f t="shared" si="234"/>
        <v>0.59492735448441336</v>
      </c>
      <c r="BF345" s="32">
        <f t="shared" si="235"/>
        <v>4.4060709326914083E-2</v>
      </c>
      <c r="BG345" s="32">
        <f t="shared" si="236"/>
        <v>4.3106050741433206E-2</v>
      </c>
      <c r="BH345" s="32">
        <f t="shared" si="220"/>
        <v>0.16593434838501739</v>
      </c>
      <c r="BI345" s="32">
        <f t="shared" si="221"/>
        <v>0.10498277528283956</v>
      </c>
      <c r="BJ345" s="32">
        <f t="shared" si="222"/>
        <v>0.27091712366785692</v>
      </c>
      <c r="BK345" s="457">
        <f t="shared" si="223"/>
        <v>0.36194432596261422</v>
      </c>
      <c r="BL345" s="2"/>
    </row>
    <row r="346" spans="1:64" ht="15">
      <c r="A346" s="119"/>
      <c r="B346" s="480">
        <f>Input!B363</f>
        <v>38328</v>
      </c>
      <c r="C346" s="481">
        <v>1</v>
      </c>
      <c r="D346" s="481">
        <f t="shared" si="224"/>
        <v>12</v>
      </c>
      <c r="E346" s="481">
        <f t="shared" si="225"/>
        <v>7</v>
      </c>
      <c r="F346" s="481">
        <f t="shared" si="199"/>
        <v>342</v>
      </c>
      <c r="G346" s="431">
        <v>1.0367999999999999</v>
      </c>
      <c r="H346" s="455">
        <v>0.3</v>
      </c>
      <c r="I346" s="455">
        <v>-2.4</v>
      </c>
      <c r="J346" s="455">
        <v>2.36</v>
      </c>
      <c r="K346" s="485"/>
      <c r="L346" s="433">
        <v>100</v>
      </c>
      <c r="M346" s="455">
        <v>88</v>
      </c>
      <c r="N346" s="484">
        <f>Weather!M347</f>
        <v>0</v>
      </c>
      <c r="O346" s="481" t="str">
        <f t="shared" si="226"/>
        <v/>
      </c>
      <c r="P346" s="4">
        <f t="shared" si="237"/>
        <v>0.16740153746264114</v>
      </c>
      <c r="Q346" s="169">
        <f t="shared" si="200"/>
        <v>0.62426510687057923</v>
      </c>
      <c r="R346" s="169">
        <f t="shared" si="201"/>
        <v>0.51199764240091861</v>
      </c>
      <c r="S346" s="169">
        <f t="shared" si="202"/>
        <v>0.54935329404610977</v>
      </c>
      <c r="T346" s="169">
        <f t="shared" si="203"/>
        <v>0.51199764240091861</v>
      </c>
      <c r="U346" s="169">
        <f t="shared" si="204"/>
        <v>0.53067546822351419</v>
      </c>
      <c r="V346" s="169">
        <f t="shared" si="205"/>
        <v>-8.1423804225519217E-3</v>
      </c>
      <c r="W346" s="439">
        <f t="shared" si="206"/>
        <v>-1.9165813398914107</v>
      </c>
      <c r="X346" s="439">
        <f t="shared" si="207"/>
        <v>-1.9165813398914107</v>
      </c>
      <c r="Y346" s="169"/>
      <c r="Z346" s="119" t="str">
        <f t="shared" si="208"/>
        <v/>
      </c>
      <c r="AA346" s="4" t="str">
        <f t="shared" si="209"/>
        <v/>
      </c>
      <c r="AB346" s="466"/>
      <c r="AC346" s="466"/>
      <c r="AD346" s="466"/>
      <c r="AE346" s="466"/>
      <c r="AF346" s="466"/>
      <c r="AG346" s="466"/>
      <c r="AH346" s="466"/>
      <c r="AI346" s="466"/>
      <c r="AJ346" s="466"/>
      <c r="AK346" s="466"/>
      <c r="AL346" s="466"/>
      <c r="AM346" s="462">
        <f t="shared" si="210"/>
        <v>342</v>
      </c>
      <c r="AN346" s="32">
        <f t="shared" si="227"/>
        <v>1.0304471051117361</v>
      </c>
      <c r="AO346" s="32">
        <f t="shared" si="228"/>
        <v>-0.39957196162391734</v>
      </c>
      <c r="AP346" s="32">
        <f t="shared" si="229"/>
        <v>1.1485013983292289</v>
      </c>
      <c r="AQ346" s="32">
        <f t="shared" si="230"/>
        <v>8.7739043852184313</v>
      </c>
      <c r="AR346" s="32">
        <f t="shared" si="231"/>
        <v>11.302137179668396</v>
      </c>
      <c r="AS346" s="32">
        <f t="shared" si="211"/>
        <v>8.4847404235206589</v>
      </c>
      <c r="AT346" s="32">
        <f t="shared" si="212"/>
        <v>0.79833599999999993</v>
      </c>
      <c r="AU346" s="32">
        <f t="shared" si="213"/>
        <v>0.3</v>
      </c>
      <c r="AV346" s="32">
        <f t="shared" si="214"/>
        <v>5.5000000000000049E-2</v>
      </c>
      <c r="AW346" s="32">
        <f t="shared" si="215"/>
        <v>0.62426510687057923</v>
      </c>
      <c r="AX346" s="32">
        <f t="shared" si="216"/>
        <v>0.51199764240091861</v>
      </c>
      <c r="AY346" s="32">
        <f t="shared" si="217"/>
        <v>0.53067546822351419</v>
      </c>
      <c r="AZ346" s="32">
        <f t="shared" si="232"/>
        <v>0.23801353434312533</v>
      </c>
      <c r="BA346" s="32">
        <f t="shared" si="218"/>
        <v>-0.351672758531129</v>
      </c>
      <c r="BB346" s="32">
        <f t="shared" si="233"/>
        <v>0.44666324146887093</v>
      </c>
      <c r="BC346" s="32">
        <f t="shared" si="219"/>
        <v>-1.05</v>
      </c>
      <c r="BD346" s="32">
        <v>0</v>
      </c>
      <c r="BE346" s="32">
        <f t="shared" si="234"/>
        <v>0.56813137463574892</v>
      </c>
      <c r="BF346" s="32">
        <f t="shared" si="235"/>
        <v>3.745590641223473E-2</v>
      </c>
      <c r="BG346" s="32">
        <f t="shared" si="236"/>
        <v>4.1543090154966246E-2</v>
      </c>
      <c r="BH346" s="32">
        <f t="shared" si="220"/>
        <v>4.658715645770381E-2</v>
      </c>
      <c r="BI346" s="32">
        <f t="shared" si="221"/>
        <v>0.12081438100493733</v>
      </c>
      <c r="BJ346" s="32">
        <f t="shared" si="222"/>
        <v>0.16740153746264114</v>
      </c>
      <c r="BK346" s="457">
        <f t="shared" si="223"/>
        <v>0.29202431867502576</v>
      </c>
      <c r="BL346" s="2"/>
    </row>
    <row r="347" spans="1:64" ht="15">
      <c r="A347" s="119"/>
      <c r="B347" s="480">
        <f>Input!B364</f>
        <v>38329</v>
      </c>
      <c r="C347" s="481">
        <v>1</v>
      </c>
      <c r="D347" s="481">
        <f t="shared" si="224"/>
        <v>12</v>
      </c>
      <c r="E347" s="481">
        <f t="shared" si="225"/>
        <v>8</v>
      </c>
      <c r="F347" s="481">
        <f t="shared" si="199"/>
        <v>343</v>
      </c>
      <c r="G347" s="431">
        <v>3.2831999999999999</v>
      </c>
      <c r="H347" s="455">
        <v>-1.38</v>
      </c>
      <c r="I347" s="455">
        <v>-6.5</v>
      </c>
      <c r="J347" s="455">
        <v>1.9</v>
      </c>
      <c r="K347" s="485"/>
      <c r="L347" s="433">
        <v>100</v>
      </c>
      <c r="M347" s="455">
        <v>89</v>
      </c>
      <c r="N347" s="484">
        <f>Weather!M348</f>
        <v>1.8</v>
      </c>
      <c r="O347" s="481">
        <f t="shared" si="226"/>
        <v>1</v>
      </c>
      <c r="P347" s="4">
        <f t="shared" si="237"/>
        <v>0.22609620971568736</v>
      </c>
      <c r="Q347" s="169">
        <f t="shared" si="200"/>
        <v>0.55211134401670148</v>
      </c>
      <c r="R347" s="169">
        <f t="shared" si="201"/>
        <v>0.37555167934202505</v>
      </c>
      <c r="S347" s="169">
        <f t="shared" si="202"/>
        <v>0.4913790961748643</v>
      </c>
      <c r="T347" s="169">
        <f t="shared" si="203"/>
        <v>0.37555167934202505</v>
      </c>
      <c r="U347" s="169">
        <f t="shared" si="204"/>
        <v>0.43346538775844468</v>
      </c>
      <c r="V347" s="169">
        <f t="shared" si="205"/>
        <v>-1.9858576954605339E-2</v>
      </c>
      <c r="W347" s="439">
        <f t="shared" si="206"/>
        <v>-4.6206801784220337</v>
      </c>
      <c r="X347" s="439">
        <f t="shared" si="207"/>
        <v>-4.6206801784220337</v>
      </c>
      <c r="Y347" s="169"/>
      <c r="Z347" s="119" t="str">
        <f t="shared" si="208"/>
        <v/>
      </c>
      <c r="AA347" s="4" t="str">
        <f t="shared" si="209"/>
        <v/>
      </c>
      <c r="AB347" s="466"/>
      <c r="AC347" s="466"/>
      <c r="AD347" s="466"/>
      <c r="AE347" s="466"/>
      <c r="AF347" s="466"/>
      <c r="AG347" s="466"/>
      <c r="AH347" s="466"/>
      <c r="AI347" s="466"/>
      <c r="AJ347" s="466"/>
      <c r="AK347" s="466"/>
      <c r="AL347" s="466"/>
      <c r="AM347" s="462">
        <f t="shared" si="210"/>
        <v>343</v>
      </c>
      <c r="AN347" s="32">
        <f t="shared" si="227"/>
        <v>1.0306616665763046</v>
      </c>
      <c r="AO347" s="32">
        <f t="shared" si="228"/>
        <v>-0.40101567968929847</v>
      </c>
      <c r="AP347" s="32">
        <f t="shared" si="229"/>
        <v>1.1466894547361317</v>
      </c>
      <c r="AQ347" s="32">
        <f t="shared" si="230"/>
        <v>8.7600621558050662</v>
      </c>
      <c r="AR347" s="32">
        <f t="shared" si="231"/>
        <v>11.249064076243782</v>
      </c>
      <c r="AS347" s="32">
        <f t="shared" si="211"/>
        <v>8.4448973833177323</v>
      </c>
      <c r="AT347" s="32">
        <f t="shared" si="212"/>
        <v>2.5280640000000001</v>
      </c>
      <c r="AU347" s="32">
        <f t="shared" si="213"/>
        <v>0.3887791468592286</v>
      </c>
      <c r="AV347" s="32">
        <f t="shared" si="214"/>
        <v>0.1748518482599587</v>
      </c>
      <c r="AW347" s="32">
        <f t="shared" si="215"/>
        <v>0.55211134401670148</v>
      </c>
      <c r="AX347" s="32">
        <f t="shared" si="216"/>
        <v>0.37555167934202505</v>
      </c>
      <c r="AY347" s="32">
        <f t="shared" si="217"/>
        <v>0.43346538775844473</v>
      </c>
      <c r="AZ347" s="32">
        <f t="shared" si="232"/>
        <v>0.24782667630997832</v>
      </c>
      <c r="BA347" s="32">
        <f t="shared" si="218"/>
        <v>-1.1158727779977125</v>
      </c>
      <c r="BB347" s="32">
        <f t="shared" si="233"/>
        <v>1.4121912220022876</v>
      </c>
      <c r="BC347" s="32">
        <f t="shared" si="219"/>
        <v>-3.94</v>
      </c>
      <c r="BD347" s="32">
        <v>0</v>
      </c>
      <c r="BE347" s="32">
        <f t="shared" si="234"/>
        <v>0.46383151167936326</v>
      </c>
      <c r="BF347" s="32">
        <f t="shared" si="235"/>
        <v>3.0366123920918531E-2</v>
      </c>
      <c r="BG347" s="32">
        <f t="shared" si="236"/>
        <v>3.4347192418371295E-2</v>
      </c>
      <c r="BH347" s="32">
        <f t="shared" si="220"/>
        <v>0.13665685162012364</v>
      </c>
      <c r="BI347" s="32">
        <f t="shared" si="221"/>
        <v>8.943935809556372E-2</v>
      </c>
      <c r="BJ347" s="32">
        <f t="shared" si="222"/>
        <v>0.22609620971568736</v>
      </c>
      <c r="BK347" s="457">
        <f t="shared" si="223"/>
        <v>0.33118934252699239</v>
      </c>
      <c r="BL347" s="2"/>
    </row>
    <row r="348" spans="1:64" ht="15">
      <c r="A348" s="119"/>
      <c r="B348" s="480">
        <f>Input!B365</f>
        <v>38330</v>
      </c>
      <c r="C348" s="481">
        <v>1</v>
      </c>
      <c r="D348" s="481">
        <f t="shared" si="224"/>
        <v>12</v>
      </c>
      <c r="E348" s="481">
        <f t="shared" si="225"/>
        <v>9</v>
      </c>
      <c r="F348" s="481">
        <f t="shared" si="199"/>
        <v>344</v>
      </c>
      <c r="G348" s="431">
        <v>6.3936000000000002</v>
      </c>
      <c r="H348" s="455">
        <v>-2.21</v>
      </c>
      <c r="I348" s="455">
        <v>-7.4</v>
      </c>
      <c r="J348" s="455">
        <v>1.68</v>
      </c>
      <c r="K348" s="485"/>
      <c r="L348" s="433">
        <v>100</v>
      </c>
      <c r="M348" s="455">
        <v>87</v>
      </c>
      <c r="N348" s="484">
        <f>Weather!M349</f>
        <v>3.4</v>
      </c>
      <c r="O348" s="481">
        <f t="shared" si="226"/>
        <v>1</v>
      </c>
      <c r="P348" s="4">
        <f t="shared" si="237"/>
        <v>0.15022959251795459</v>
      </c>
      <c r="Q348" s="169">
        <f t="shared" si="200"/>
        <v>0.51926806894699196</v>
      </c>
      <c r="R348" s="169">
        <f t="shared" si="201"/>
        <v>0.35033309639300297</v>
      </c>
      <c r="S348" s="169">
        <f t="shared" si="202"/>
        <v>0.45176321998388302</v>
      </c>
      <c r="T348" s="169">
        <f t="shared" si="203"/>
        <v>0.35033309639300297</v>
      </c>
      <c r="U348" s="169">
        <f t="shared" si="204"/>
        <v>0.40104815818844297</v>
      </c>
      <c r="V348" s="169">
        <f t="shared" si="205"/>
        <v>-2.4359470643644385E-2</v>
      </c>
      <c r="W348" s="439">
        <f t="shared" si="206"/>
        <v>-5.6430408947209729</v>
      </c>
      <c r="X348" s="439">
        <f t="shared" si="207"/>
        <v>-5.6430408947209729</v>
      </c>
      <c r="Y348" s="169"/>
      <c r="Z348" s="119" t="str">
        <f t="shared" si="208"/>
        <v/>
      </c>
      <c r="AA348" s="4" t="str">
        <f t="shared" si="209"/>
        <v/>
      </c>
      <c r="AB348" s="466"/>
      <c r="AC348" s="466"/>
      <c r="AD348" s="466"/>
      <c r="AE348" s="466"/>
      <c r="AF348" s="466"/>
      <c r="AG348" s="466"/>
      <c r="AH348" s="466"/>
      <c r="AI348" s="466"/>
      <c r="AJ348" s="466"/>
      <c r="AK348" s="466"/>
      <c r="AL348" s="466"/>
      <c r="AM348" s="462">
        <f t="shared" si="210"/>
        <v>344</v>
      </c>
      <c r="AN348" s="32">
        <f t="shared" si="227"/>
        <v>1.0308671423273339</v>
      </c>
      <c r="AO348" s="32">
        <f t="shared" si="228"/>
        <v>-0.40234056815416047</v>
      </c>
      <c r="AP348" s="32">
        <f t="shared" si="229"/>
        <v>1.1450233883634406</v>
      </c>
      <c r="AQ348" s="32">
        <f t="shared" si="230"/>
        <v>8.7473343462658839</v>
      </c>
      <c r="AR348" s="32">
        <f t="shared" si="231"/>
        <v>11.200479065105039</v>
      </c>
      <c r="AS348" s="32">
        <f t="shared" si="211"/>
        <v>8.4084236437556559</v>
      </c>
      <c r="AT348" s="32">
        <f t="shared" si="212"/>
        <v>4.9230720000000003</v>
      </c>
      <c r="AU348" s="32">
        <f t="shared" si="213"/>
        <v>0.7603803365388323</v>
      </c>
      <c r="AV348" s="32">
        <f t="shared" si="214"/>
        <v>0.67651345432742371</v>
      </c>
      <c r="AW348" s="32">
        <f t="shared" si="215"/>
        <v>0.51926806894699196</v>
      </c>
      <c r="AX348" s="32">
        <f t="shared" si="216"/>
        <v>0.35033309639300297</v>
      </c>
      <c r="AY348" s="32">
        <f t="shared" si="217"/>
        <v>0.40104815818844297</v>
      </c>
      <c r="AZ348" s="32">
        <f t="shared" si="232"/>
        <v>0.25134029156097182</v>
      </c>
      <c r="BA348" s="32">
        <f t="shared" si="218"/>
        <v>-4.3226719756140293</v>
      </c>
      <c r="BB348" s="32">
        <f t="shared" si="233"/>
        <v>0.60040002438597107</v>
      </c>
      <c r="BC348" s="32">
        <f t="shared" si="219"/>
        <v>-4.8049999999999997</v>
      </c>
      <c r="BD348" s="32">
        <v>0</v>
      </c>
      <c r="BE348" s="32">
        <f t="shared" si="234"/>
        <v>0.43480058266999744</v>
      </c>
      <c r="BF348" s="32">
        <f t="shared" si="235"/>
        <v>3.3752424481554466E-2</v>
      </c>
      <c r="BG348" s="32">
        <f t="shared" si="236"/>
        <v>3.2414616446214517E-2</v>
      </c>
      <c r="BH348" s="32">
        <f t="shared" si="220"/>
        <v>5.7596490910114255E-2</v>
      </c>
      <c r="BI348" s="32">
        <f t="shared" si="221"/>
        <v>9.2633101607840343E-2</v>
      </c>
      <c r="BJ348" s="32">
        <f t="shared" si="222"/>
        <v>0.15022959251795459</v>
      </c>
      <c r="BK348" s="457">
        <f t="shared" si="223"/>
        <v>0.31128508556014478</v>
      </c>
      <c r="BL348" s="2"/>
    </row>
    <row r="349" spans="1:64" ht="15">
      <c r="A349" s="119"/>
      <c r="B349" s="480">
        <f>Input!B366</f>
        <v>38331</v>
      </c>
      <c r="C349" s="481">
        <v>1</v>
      </c>
      <c r="D349" s="481">
        <f t="shared" si="224"/>
        <v>12</v>
      </c>
      <c r="E349" s="481">
        <f t="shared" si="225"/>
        <v>10</v>
      </c>
      <c r="F349" s="481">
        <f t="shared" si="199"/>
        <v>345</v>
      </c>
      <c r="G349" s="431">
        <v>5.6159999999999997</v>
      </c>
      <c r="H349" s="455">
        <v>-2.08</v>
      </c>
      <c r="I349" s="455">
        <v>-6.8</v>
      </c>
      <c r="J349" s="455">
        <v>1.18</v>
      </c>
      <c r="K349" s="485"/>
      <c r="L349" s="433">
        <v>100</v>
      </c>
      <c r="M349" s="455">
        <v>87</v>
      </c>
      <c r="N349" s="484">
        <f>Weather!M350</f>
        <v>0.4</v>
      </c>
      <c r="O349" s="481">
        <f t="shared" si="226"/>
        <v>1</v>
      </c>
      <c r="P349" s="4">
        <f t="shared" si="237"/>
        <v>0.15350220716630447</v>
      </c>
      <c r="Q349" s="169">
        <f t="shared" si="200"/>
        <v>0.52429508658272161</v>
      </c>
      <c r="R349" s="169">
        <f t="shared" si="201"/>
        <v>0.36697210695726001</v>
      </c>
      <c r="S349" s="169">
        <f t="shared" si="202"/>
        <v>0.45613672532696781</v>
      </c>
      <c r="T349" s="169">
        <f t="shared" si="203"/>
        <v>0.36697210695726001</v>
      </c>
      <c r="U349" s="169">
        <f t="shared" si="204"/>
        <v>0.41155441614211391</v>
      </c>
      <c r="V349" s="169">
        <f t="shared" si="205"/>
        <v>-2.2862091689151025E-2</v>
      </c>
      <c r="W349" s="439">
        <f t="shared" si="206"/>
        <v>-5.3039157496553848</v>
      </c>
      <c r="X349" s="439">
        <f t="shared" si="207"/>
        <v>-5.3039157496553848</v>
      </c>
      <c r="Y349" s="169"/>
      <c r="Z349" s="119" t="str">
        <f t="shared" si="208"/>
        <v/>
      </c>
      <c r="AA349" s="4" t="str">
        <f t="shared" si="209"/>
        <v/>
      </c>
      <c r="AB349" s="466"/>
      <c r="AC349" s="466"/>
      <c r="AD349" s="466"/>
      <c r="AE349" s="466"/>
      <c r="AF349" s="466"/>
      <c r="AG349" s="466"/>
      <c r="AH349" s="466"/>
      <c r="AI349" s="466"/>
      <c r="AJ349" s="466"/>
      <c r="AK349" s="466"/>
      <c r="AL349" s="466"/>
      <c r="AM349" s="462">
        <f t="shared" si="210"/>
        <v>345</v>
      </c>
      <c r="AN349" s="32">
        <f t="shared" si="227"/>
        <v>1.0310634714779239</v>
      </c>
      <c r="AO349" s="32">
        <f t="shared" si="228"/>
        <v>-0.40354623442545778</v>
      </c>
      <c r="AP349" s="32">
        <f t="shared" si="229"/>
        <v>1.143504515805235</v>
      </c>
      <c r="AQ349" s="32">
        <f t="shared" si="230"/>
        <v>8.7357310146387608</v>
      </c>
      <c r="AR349" s="32">
        <f t="shared" si="231"/>
        <v>11.156388769717131</v>
      </c>
      <c r="AS349" s="32">
        <f t="shared" si="211"/>
        <v>8.3753241772020441</v>
      </c>
      <c r="AT349" s="32">
        <f t="shared" si="212"/>
        <v>4.3243200000000002</v>
      </c>
      <c r="AU349" s="32">
        <f t="shared" si="213"/>
        <v>0.6705412090539693</v>
      </c>
      <c r="AV349" s="32">
        <f t="shared" si="214"/>
        <v>0.55523063222285862</v>
      </c>
      <c r="AW349" s="32">
        <f t="shared" si="215"/>
        <v>0.52429508658272161</v>
      </c>
      <c r="AX349" s="32">
        <f t="shared" si="216"/>
        <v>0.36697210695726001</v>
      </c>
      <c r="AY349" s="32">
        <f t="shared" si="217"/>
        <v>0.41155441614211391</v>
      </c>
      <c r="AZ349" s="32">
        <f t="shared" si="232"/>
        <v>0.25018649012322569</v>
      </c>
      <c r="BA349" s="32">
        <f t="shared" si="218"/>
        <v>-3.5503373606431228</v>
      </c>
      <c r="BB349" s="32">
        <f t="shared" si="233"/>
        <v>0.77398263935687739</v>
      </c>
      <c r="BC349" s="32">
        <f t="shared" si="219"/>
        <v>-4.4399999999999995</v>
      </c>
      <c r="BD349" s="32">
        <v>0</v>
      </c>
      <c r="BE349" s="32">
        <f t="shared" si="234"/>
        <v>0.44563359676999081</v>
      </c>
      <c r="BF349" s="32">
        <f t="shared" si="235"/>
        <v>3.4079180627876904E-2</v>
      </c>
      <c r="BG349" s="32">
        <f t="shared" si="236"/>
        <v>3.3218323784635184E-2</v>
      </c>
      <c r="BH349" s="32">
        <f t="shared" si="220"/>
        <v>8.2430476529926772E-2</v>
      </c>
      <c r="BI349" s="32">
        <f t="shared" si="221"/>
        <v>7.1071730636377686E-2</v>
      </c>
      <c r="BJ349" s="32">
        <f t="shared" si="222"/>
        <v>0.15350220716630447</v>
      </c>
      <c r="BK349" s="457">
        <f t="shared" si="223"/>
        <v>0.3039924859802155</v>
      </c>
      <c r="BL349" s="2"/>
    </row>
    <row r="350" spans="1:64" ht="15">
      <c r="A350" s="119"/>
      <c r="B350" s="480">
        <f>Input!B367</f>
        <v>38332</v>
      </c>
      <c r="C350" s="481">
        <v>1</v>
      </c>
      <c r="D350" s="481">
        <f t="shared" si="224"/>
        <v>12</v>
      </c>
      <c r="E350" s="481">
        <f t="shared" si="225"/>
        <v>11</v>
      </c>
      <c r="F350" s="481">
        <f t="shared" si="199"/>
        <v>346</v>
      </c>
      <c r="G350" s="431">
        <v>4.8384</v>
      </c>
      <c r="H350" s="455">
        <v>0.92</v>
      </c>
      <c r="I350" s="455">
        <v>-2.1</v>
      </c>
      <c r="J350" s="455">
        <v>1.8</v>
      </c>
      <c r="K350" s="485"/>
      <c r="L350" s="433">
        <v>100</v>
      </c>
      <c r="M350" s="455">
        <v>83</v>
      </c>
      <c r="N350" s="484">
        <f>Weather!M351</f>
        <v>0</v>
      </c>
      <c r="O350" s="481" t="str">
        <f t="shared" si="226"/>
        <v/>
      </c>
      <c r="P350" s="4">
        <f t="shared" si="237"/>
        <v>0.25571221462424665</v>
      </c>
      <c r="Q350" s="169">
        <f t="shared" si="200"/>
        <v>0.65292737423838954</v>
      </c>
      <c r="R350" s="169">
        <f t="shared" si="201"/>
        <v>0.52351890626248909</v>
      </c>
      <c r="S350" s="169">
        <f t="shared" si="202"/>
        <v>0.54192972061786326</v>
      </c>
      <c r="T350" s="169">
        <f t="shared" si="203"/>
        <v>0.52351890626248909</v>
      </c>
      <c r="U350" s="169">
        <f t="shared" si="204"/>
        <v>0.53272431344017623</v>
      </c>
      <c r="V350" s="169">
        <f t="shared" si="205"/>
        <v>-7.9192541148232192E-3</v>
      </c>
      <c r="W350" s="439">
        <f t="shared" si="206"/>
        <v>-1.8644737599520698</v>
      </c>
      <c r="X350" s="439">
        <f t="shared" si="207"/>
        <v>-1.8644737599520698</v>
      </c>
      <c r="Y350" s="169"/>
      <c r="Z350" s="119" t="str">
        <f t="shared" si="208"/>
        <v/>
      </c>
      <c r="AA350" s="4" t="str">
        <f t="shared" si="209"/>
        <v/>
      </c>
      <c r="AB350" s="466"/>
      <c r="AC350" s="466"/>
      <c r="AD350" s="466"/>
      <c r="AE350" s="466"/>
      <c r="AF350" s="466"/>
      <c r="AG350" s="466"/>
      <c r="AH350" s="466"/>
      <c r="AI350" s="466"/>
      <c r="AJ350" s="466"/>
      <c r="AK350" s="466"/>
      <c r="AL350" s="466"/>
      <c r="AM350" s="462">
        <f t="shared" si="210"/>
        <v>346</v>
      </c>
      <c r="AN350" s="32">
        <f t="shared" si="227"/>
        <v>1.0312505958515106</v>
      </c>
      <c r="AO350" s="32">
        <f t="shared" si="228"/>
        <v>-0.40463232123825377</v>
      </c>
      <c r="AP350" s="32">
        <f t="shared" si="229"/>
        <v>1.1421340464142293</v>
      </c>
      <c r="AQ350" s="32">
        <f t="shared" si="230"/>
        <v>8.7252613996978958</v>
      </c>
      <c r="AR350" s="32">
        <f t="shared" si="231"/>
        <v>11.116799182211944</v>
      </c>
      <c r="AS350" s="32">
        <f t="shared" si="211"/>
        <v>8.3456034820701515</v>
      </c>
      <c r="AT350" s="32">
        <f t="shared" si="212"/>
        <v>3.725568</v>
      </c>
      <c r="AU350" s="32">
        <f t="shared" si="213"/>
        <v>0.57975435933361896</v>
      </c>
      <c r="AV350" s="32">
        <f t="shared" si="214"/>
        <v>0.43266838510038563</v>
      </c>
      <c r="AW350" s="32">
        <f t="shared" si="215"/>
        <v>0.65292737423838954</v>
      </c>
      <c r="AX350" s="32">
        <f t="shared" si="216"/>
        <v>0.52351890626248909</v>
      </c>
      <c r="AY350" s="32">
        <f t="shared" si="217"/>
        <v>0.53272431344017623</v>
      </c>
      <c r="AZ350" s="32">
        <f t="shared" si="232"/>
        <v>0.23781684804515252</v>
      </c>
      <c r="BA350" s="32">
        <f t="shared" si="218"/>
        <v>-2.7830583619538296</v>
      </c>
      <c r="BB350" s="32">
        <f t="shared" si="233"/>
        <v>0.94250963804617038</v>
      </c>
      <c r="BC350" s="32">
        <f t="shared" si="219"/>
        <v>-0.59000000000000008</v>
      </c>
      <c r="BD350" s="32">
        <v>0</v>
      </c>
      <c r="BE350" s="32">
        <f t="shared" si="234"/>
        <v>0.58822314025043931</v>
      </c>
      <c r="BF350" s="32">
        <f t="shared" si="235"/>
        <v>5.549882681026308E-2</v>
      </c>
      <c r="BG350" s="32">
        <f t="shared" si="236"/>
        <v>4.2800546394834417E-2</v>
      </c>
      <c r="BH350" s="32">
        <f t="shared" si="220"/>
        <v>0.10900769479801467</v>
      </c>
      <c r="BI350" s="32">
        <f t="shared" si="221"/>
        <v>0.14670451982623195</v>
      </c>
      <c r="BJ350" s="32">
        <f t="shared" si="222"/>
        <v>0.25571221462424665</v>
      </c>
      <c r="BK350" s="457">
        <f t="shared" si="223"/>
        <v>0.31212305851259792</v>
      </c>
      <c r="BL350" s="2"/>
    </row>
    <row r="351" spans="1:64" ht="15">
      <c r="A351" s="119"/>
      <c r="B351" s="480">
        <f>Input!B368</f>
        <v>38333</v>
      </c>
      <c r="C351" s="481">
        <v>1</v>
      </c>
      <c r="D351" s="481">
        <f t="shared" si="224"/>
        <v>12</v>
      </c>
      <c r="E351" s="481">
        <f t="shared" si="225"/>
        <v>12</v>
      </c>
      <c r="F351" s="481">
        <f t="shared" si="199"/>
        <v>347</v>
      </c>
      <c r="G351" s="431">
        <v>5.6159999999999997</v>
      </c>
      <c r="H351" s="455">
        <v>-1.45</v>
      </c>
      <c r="I351" s="455">
        <v>-4.8</v>
      </c>
      <c r="J351" s="455">
        <v>0.77</v>
      </c>
      <c r="K351" s="485"/>
      <c r="L351" s="433">
        <v>100</v>
      </c>
      <c r="M351" s="455">
        <v>87</v>
      </c>
      <c r="N351" s="484">
        <f>Weather!M352</f>
        <v>0</v>
      </c>
      <c r="O351" s="481" t="str">
        <f t="shared" si="226"/>
        <v/>
      </c>
      <c r="P351" s="4">
        <f t="shared" si="237"/>
        <v>0.14007117407982622</v>
      </c>
      <c r="Q351" s="169">
        <f t="shared" si="200"/>
        <v>0.54927214993157281</v>
      </c>
      <c r="R351" s="169">
        <f t="shared" si="201"/>
        <v>0.42761687287716343</v>
      </c>
      <c r="S351" s="169">
        <f t="shared" si="202"/>
        <v>0.47786677044046832</v>
      </c>
      <c r="T351" s="169">
        <f t="shared" si="203"/>
        <v>0.42761687287716343</v>
      </c>
      <c r="U351" s="169">
        <f t="shared" si="204"/>
        <v>0.45274182165881588</v>
      </c>
      <c r="V351" s="169">
        <f t="shared" si="205"/>
        <v>-1.7339174316521957E-2</v>
      </c>
      <c r="W351" s="439">
        <f t="shared" si="206"/>
        <v>-4.0444584944592936</v>
      </c>
      <c r="X351" s="439">
        <f t="shared" si="207"/>
        <v>-4.0444584944592936</v>
      </c>
      <c r="Y351" s="169"/>
      <c r="Z351" s="119" t="str">
        <f t="shared" si="208"/>
        <v/>
      </c>
      <c r="AA351" s="4" t="str">
        <f t="shared" si="209"/>
        <v/>
      </c>
      <c r="AB351" s="466"/>
      <c r="AC351" s="466"/>
      <c r="AD351" s="466"/>
      <c r="AE351" s="466"/>
      <c r="AF351" s="466"/>
      <c r="AG351" s="466"/>
      <c r="AH351" s="466"/>
      <c r="AI351" s="466"/>
      <c r="AJ351" s="466"/>
      <c r="AK351" s="466"/>
      <c r="AL351" s="466"/>
      <c r="AM351" s="462">
        <f t="shared" si="210"/>
        <v>347</v>
      </c>
      <c r="AN351" s="32">
        <f t="shared" si="227"/>
        <v>1.031428459999103</v>
      </c>
      <c r="AO351" s="32">
        <f t="shared" si="228"/>
        <v>-0.40559850676158615</v>
      </c>
      <c r="AP351" s="32">
        <f t="shared" si="229"/>
        <v>1.1409130788629867</v>
      </c>
      <c r="AQ351" s="32">
        <f t="shared" si="230"/>
        <v>8.7159338946834115</v>
      </c>
      <c r="AR351" s="32">
        <f t="shared" si="231"/>
        <v>11.081715698409884</v>
      </c>
      <c r="AS351" s="32">
        <f t="shared" si="211"/>
        <v>8.3192656091102677</v>
      </c>
      <c r="AT351" s="32">
        <f t="shared" si="212"/>
        <v>4.3243200000000002</v>
      </c>
      <c r="AU351" s="32">
        <f t="shared" si="213"/>
        <v>0.6750595862512222</v>
      </c>
      <c r="AV351" s="32">
        <f t="shared" si="214"/>
        <v>0.56133044143915001</v>
      </c>
      <c r="AW351" s="32">
        <f t="shared" si="215"/>
        <v>0.54927214993157281</v>
      </c>
      <c r="AX351" s="32">
        <f t="shared" si="216"/>
        <v>0.42761687287716343</v>
      </c>
      <c r="AY351" s="32">
        <f t="shared" si="217"/>
        <v>0.45274182165881582</v>
      </c>
      <c r="AZ351" s="32">
        <f t="shared" si="232"/>
        <v>0.2457994707843274</v>
      </c>
      <c r="BA351" s="32">
        <f t="shared" si="218"/>
        <v>-3.5951066089771313</v>
      </c>
      <c r="BB351" s="32">
        <f t="shared" si="233"/>
        <v>0.72921339102286886</v>
      </c>
      <c r="BC351" s="32">
        <f t="shared" si="219"/>
        <v>-3.125</v>
      </c>
      <c r="BD351" s="32">
        <v>0</v>
      </c>
      <c r="BE351" s="32">
        <f t="shared" si="234"/>
        <v>0.48844451140436812</v>
      </c>
      <c r="BF351" s="32">
        <f t="shared" si="235"/>
        <v>3.5702689745552296E-2</v>
      </c>
      <c r="BG351" s="32">
        <f t="shared" si="236"/>
        <v>3.6258258170344136E-2</v>
      </c>
      <c r="BH351" s="32">
        <f t="shared" si="220"/>
        <v>8.9196365940356709E-2</v>
      </c>
      <c r="BI351" s="32">
        <f t="shared" si="221"/>
        <v>5.087480813946952E-2</v>
      </c>
      <c r="BJ351" s="32">
        <f t="shared" si="222"/>
        <v>0.14007117407982622</v>
      </c>
      <c r="BK351" s="457">
        <f t="shared" si="223"/>
        <v>0.27942757980266059</v>
      </c>
      <c r="BL351" s="2"/>
    </row>
    <row r="352" spans="1:64" ht="15">
      <c r="A352" s="119"/>
      <c r="B352" s="480">
        <f>Input!B369</f>
        <v>38334</v>
      </c>
      <c r="C352" s="481">
        <v>1</v>
      </c>
      <c r="D352" s="481">
        <f t="shared" si="224"/>
        <v>12</v>
      </c>
      <c r="E352" s="481">
        <f t="shared" si="225"/>
        <v>13</v>
      </c>
      <c r="F352" s="481">
        <f t="shared" si="199"/>
        <v>348</v>
      </c>
      <c r="G352" s="431">
        <v>6.3071999999999999</v>
      </c>
      <c r="H352" s="455">
        <v>-1.95</v>
      </c>
      <c r="I352" s="455">
        <v>-6.3</v>
      </c>
      <c r="J352" s="455">
        <v>0.83</v>
      </c>
      <c r="K352" s="485"/>
      <c r="L352" s="433">
        <v>100</v>
      </c>
      <c r="M352" s="455">
        <v>87</v>
      </c>
      <c r="N352" s="484">
        <f>Weather!M353</f>
        <v>0</v>
      </c>
      <c r="O352" s="481" t="str">
        <f t="shared" si="226"/>
        <v/>
      </c>
      <c r="P352" s="4">
        <f t="shared" si="237"/>
        <v>0.11457279942072622</v>
      </c>
      <c r="Q352" s="169">
        <f t="shared" si="200"/>
        <v>0.52936513629204651</v>
      </c>
      <c r="R352" s="169">
        <f t="shared" si="201"/>
        <v>0.38136982489369003</v>
      </c>
      <c r="S352" s="169">
        <f t="shared" si="202"/>
        <v>0.46054766857408047</v>
      </c>
      <c r="T352" s="169">
        <f t="shared" si="203"/>
        <v>0.38136982489369003</v>
      </c>
      <c r="U352" s="169">
        <f t="shared" si="204"/>
        <v>0.42095874673388523</v>
      </c>
      <c r="V352" s="169">
        <f t="shared" si="205"/>
        <v>-2.1553835160331485E-2</v>
      </c>
      <c r="W352" s="439">
        <f t="shared" si="206"/>
        <v>-5.0068091445654579</v>
      </c>
      <c r="X352" s="439">
        <f t="shared" si="207"/>
        <v>-5.0068091445654579</v>
      </c>
      <c r="Y352" s="169"/>
      <c r="Z352" s="119" t="str">
        <f t="shared" si="208"/>
        <v/>
      </c>
      <c r="AA352" s="4" t="str">
        <f t="shared" si="209"/>
        <v/>
      </c>
      <c r="AB352" s="466"/>
      <c r="AC352" s="466"/>
      <c r="AD352" s="466"/>
      <c r="AE352" s="466"/>
      <c r="AF352" s="466"/>
      <c r="AG352" s="466"/>
      <c r="AH352" s="466"/>
      <c r="AI352" s="466"/>
      <c r="AJ352" s="466"/>
      <c r="AK352" s="466"/>
      <c r="AL352" s="466"/>
      <c r="AM352" s="462">
        <f t="shared" si="210"/>
        <v>348</v>
      </c>
      <c r="AN352" s="32">
        <f t="shared" si="227"/>
        <v>1.0315970112157162</v>
      </c>
      <c r="AO352" s="32">
        <f t="shared" si="228"/>
        <v>-0.40644450469383236</v>
      </c>
      <c r="AP352" s="32">
        <f t="shared" si="229"/>
        <v>1.1398425979866675</v>
      </c>
      <c r="AQ352" s="32">
        <f t="shared" si="230"/>
        <v>8.707756023181739</v>
      </c>
      <c r="AR352" s="32">
        <f t="shared" si="231"/>
        <v>11.051143149815656</v>
      </c>
      <c r="AS352" s="32">
        <f t="shared" si="211"/>
        <v>8.2963141854296101</v>
      </c>
      <c r="AT352" s="32">
        <f t="shared" si="212"/>
        <v>4.8565440000000004</v>
      </c>
      <c r="AU352" s="32">
        <f t="shared" si="213"/>
        <v>0.76024121785033294</v>
      </c>
      <c r="AV352" s="32">
        <f t="shared" si="214"/>
        <v>0.6763256440979496</v>
      </c>
      <c r="AW352" s="32">
        <f t="shared" si="215"/>
        <v>0.52936513629204651</v>
      </c>
      <c r="AX352" s="32">
        <f t="shared" si="216"/>
        <v>0.38136982489369003</v>
      </c>
      <c r="AY352" s="32">
        <f t="shared" si="217"/>
        <v>0.42095874673388523</v>
      </c>
      <c r="AZ352" s="32">
        <f t="shared" si="232"/>
        <v>0.24916613276985206</v>
      </c>
      <c r="BA352" s="32">
        <f t="shared" si="218"/>
        <v>-4.3269492004333054</v>
      </c>
      <c r="BB352" s="32">
        <f t="shared" si="233"/>
        <v>0.52959479956669497</v>
      </c>
      <c r="BC352" s="32">
        <f t="shared" si="219"/>
        <v>-4.125</v>
      </c>
      <c r="BD352" s="32">
        <v>0</v>
      </c>
      <c r="BE352" s="32">
        <f t="shared" si="234"/>
        <v>0.45536748059286825</v>
      </c>
      <c r="BF352" s="32">
        <f t="shared" si="235"/>
        <v>3.4408733858983021E-2</v>
      </c>
      <c r="BG352" s="32">
        <f t="shared" si="236"/>
        <v>3.392571093082751E-2</v>
      </c>
      <c r="BH352" s="32">
        <f t="shared" si="220"/>
        <v>6.1098675511592489E-2</v>
      </c>
      <c r="BI352" s="32">
        <f t="shared" si="221"/>
        <v>5.3474123909133732E-2</v>
      </c>
      <c r="BJ352" s="32">
        <f t="shared" si="222"/>
        <v>0.11457279942072622</v>
      </c>
      <c r="BK352" s="457">
        <f t="shared" si="223"/>
        <v>0.29589724367935621</v>
      </c>
      <c r="BL352" s="2"/>
    </row>
    <row r="353" spans="1:64" ht="15">
      <c r="A353" s="119"/>
      <c r="B353" s="480">
        <f>Input!B370</f>
        <v>38335</v>
      </c>
      <c r="C353" s="481">
        <v>1</v>
      </c>
      <c r="D353" s="481">
        <f t="shared" si="224"/>
        <v>12</v>
      </c>
      <c r="E353" s="481">
        <f t="shared" si="225"/>
        <v>14</v>
      </c>
      <c r="F353" s="481">
        <f t="shared" si="199"/>
        <v>349</v>
      </c>
      <c r="G353" s="431">
        <v>5.0111999999999997</v>
      </c>
      <c r="H353" s="455">
        <v>-0.38</v>
      </c>
      <c r="I353" s="455">
        <v>-1.1000000000000001</v>
      </c>
      <c r="J353" s="455">
        <v>1.69</v>
      </c>
      <c r="K353" s="485"/>
      <c r="L353" s="433">
        <v>100</v>
      </c>
      <c r="M353" s="455">
        <v>88</v>
      </c>
      <c r="N353" s="484">
        <f>Weather!M354</f>
        <v>1</v>
      </c>
      <c r="O353" s="481">
        <f t="shared" si="226"/>
        <v>1</v>
      </c>
      <c r="P353" s="4">
        <f t="shared" si="237"/>
        <v>0.19213352452024041</v>
      </c>
      <c r="Q353" s="169">
        <f t="shared" si="200"/>
        <v>0.59411323225911805</v>
      </c>
      <c r="R353" s="169">
        <f t="shared" si="201"/>
        <v>0.56359841605757099</v>
      </c>
      <c r="S353" s="169">
        <f t="shared" si="202"/>
        <v>0.52281964438802386</v>
      </c>
      <c r="T353" s="169">
        <f t="shared" si="203"/>
        <v>0.56359841605757099</v>
      </c>
      <c r="U353" s="169">
        <f t="shared" si="204"/>
        <v>0.54320903022279743</v>
      </c>
      <c r="V353" s="169">
        <f t="shared" si="205"/>
        <v>-6.7906990802937273E-3</v>
      </c>
      <c r="W353" s="439">
        <f t="shared" si="206"/>
        <v>-1.6005639436535819</v>
      </c>
      <c r="X353" s="439">
        <f t="shared" si="207"/>
        <v>-1.6005639436535819</v>
      </c>
      <c r="Y353" s="169"/>
      <c r="Z353" s="119" t="str">
        <f t="shared" si="208"/>
        <v/>
      </c>
      <c r="AA353" s="4" t="str">
        <f t="shared" si="209"/>
        <v/>
      </c>
      <c r="AB353" s="466"/>
      <c r="AC353" s="466"/>
      <c r="AD353" s="466"/>
      <c r="AE353" s="466"/>
      <c r="AF353" s="466"/>
      <c r="AG353" s="466"/>
      <c r="AH353" s="466"/>
      <c r="AI353" s="466"/>
      <c r="AJ353" s="466"/>
      <c r="AK353" s="466"/>
      <c r="AL353" s="466"/>
      <c r="AM353" s="462">
        <f t="shared" si="210"/>
        <v>349</v>
      </c>
      <c r="AN353" s="32">
        <f t="shared" si="227"/>
        <v>1.031756199555987</v>
      </c>
      <c r="AO353" s="32">
        <f t="shared" si="228"/>
        <v>-0.40717006434754699</v>
      </c>
      <c r="AP353" s="32">
        <f t="shared" si="229"/>
        <v>1.1389234719260626</v>
      </c>
      <c r="AQ353" s="32">
        <f t="shared" si="230"/>
        <v>8.7007344172999836</v>
      </c>
      <c r="AR353" s="32">
        <f t="shared" si="231"/>
        <v>11.025085832401745</v>
      </c>
      <c r="AS353" s="32">
        <f t="shared" si="211"/>
        <v>8.2767524361006384</v>
      </c>
      <c r="AT353" s="32">
        <f t="shared" si="212"/>
        <v>3.8586239999999998</v>
      </c>
      <c r="AU353" s="32">
        <f t="shared" si="213"/>
        <v>0.6054548615158154</v>
      </c>
      <c r="AV353" s="32">
        <f t="shared" si="214"/>
        <v>0.46736406304635092</v>
      </c>
      <c r="AW353" s="32">
        <f t="shared" si="215"/>
        <v>0.59411323225911805</v>
      </c>
      <c r="AX353" s="32">
        <f t="shared" si="216"/>
        <v>0.56359841605757099</v>
      </c>
      <c r="AY353" s="32">
        <f t="shared" si="217"/>
        <v>0.54320903022279743</v>
      </c>
      <c r="AZ353" s="32">
        <f t="shared" si="232"/>
        <v>0.23681619801360862</v>
      </c>
      <c r="BA353" s="32">
        <f t="shared" si="218"/>
        <v>-2.9864794818356564</v>
      </c>
      <c r="BB353" s="32">
        <f t="shared" si="233"/>
        <v>0.87214451816434346</v>
      </c>
      <c r="BC353" s="32">
        <f t="shared" si="219"/>
        <v>-0.74</v>
      </c>
      <c r="BD353" s="32">
        <v>0</v>
      </c>
      <c r="BE353" s="32">
        <f t="shared" si="234"/>
        <v>0.57885582415834458</v>
      </c>
      <c r="BF353" s="32">
        <f t="shared" si="235"/>
        <v>3.564679393554715E-2</v>
      </c>
      <c r="BG353" s="32">
        <f t="shared" si="236"/>
        <v>4.2386954550889776E-2</v>
      </c>
      <c r="BH353" s="32">
        <f t="shared" si="220"/>
        <v>0.10186725834126924</v>
      </c>
      <c r="BI353" s="32">
        <f t="shared" si="221"/>
        <v>9.0266266178971183E-2</v>
      </c>
      <c r="BJ353" s="32">
        <f t="shared" si="222"/>
        <v>0.19213352452024041</v>
      </c>
      <c r="BK353" s="457">
        <f t="shared" si="223"/>
        <v>0.14982662818202253</v>
      </c>
      <c r="BL353" s="2"/>
    </row>
    <row r="354" spans="1:64" ht="15">
      <c r="A354" s="119"/>
      <c r="B354" s="480">
        <f>Input!B371</f>
        <v>38336</v>
      </c>
      <c r="C354" s="481">
        <v>1</v>
      </c>
      <c r="D354" s="481">
        <f t="shared" si="224"/>
        <v>12</v>
      </c>
      <c r="E354" s="481">
        <f t="shared" si="225"/>
        <v>15</v>
      </c>
      <c r="F354" s="481">
        <f t="shared" si="199"/>
        <v>350</v>
      </c>
      <c r="G354" s="431">
        <v>1.4688000000000001</v>
      </c>
      <c r="H354" s="455">
        <v>0.72</v>
      </c>
      <c r="I354" s="455">
        <v>-0.1</v>
      </c>
      <c r="J354" s="455">
        <v>2.3199999999999998</v>
      </c>
      <c r="K354" s="485"/>
      <c r="L354" s="433">
        <v>100</v>
      </c>
      <c r="M354" s="455">
        <v>89</v>
      </c>
      <c r="N354" s="484">
        <f>Weather!M355</f>
        <v>5</v>
      </c>
      <c r="O354" s="481">
        <f t="shared" si="226"/>
        <v>1</v>
      </c>
      <c r="P354" s="4">
        <f t="shared" si="237"/>
        <v>0.19704501125568424</v>
      </c>
      <c r="Q354" s="169">
        <f t="shared" si="200"/>
        <v>0.6435569744474291</v>
      </c>
      <c r="R354" s="169">
        <f t="shared" si="201"/>
        <v>0.60636905213463521</v>
      </c>
      <c r="S354" s="169">
        <f t="shared" si="202"/>
        <v>0.57276570725821185</v>
      </c>
      <c r="T354" s="169">
        <f t="shared" si="203"/>
        <v>0.60636905213463521</v>
      </c>
      <c r="U354" s="169">
        <f t="shared" si="204"/>
        <v>0.58956737969642359</v>
      </c>
      <c r="V354" s="169">
        <f t="shared" si="205"/>
        <v>-2.0486716942263493E-3</v>
      </c>
      <c r="W354" s="439">
        <f t="shared" si="206"/>
        <v>-0.48515586794596405</v>
      </c>
      <c r="X354" s="439">
        <f t="shared" si="207"/>
        <v>-0.48515586794596405</v>
      </c>
      <c r="Y354" s="169"/>
      <c r="Z354" s="119" t="str">
        <f t="shared" si="208"/>
        <v/>
      </c>
      <c r="AA354" s="4" t="str">
        <f t="shared" si="209"/>
        <v/>
      </c>
      <c r="AB354" s="466"/>
      <c r="AC354" s="466"/>
      <c r="AD354" s="466"/>
      <c r="AE354" s="466"/>
      <c r="AF354" s="466"/>
      <c r="AG354" s="466"/>
      <c r="AH354" s="466"/>
      <c r="AI354" s="466"/>
      <c r="AJ354" s="466"/>
      <c r="AK354" s="466"/>
      <c r="AL354" s="466"/>
      <c r="AM354" s="462">
        <f t="shared" si="210"/>
        <v>350</v>
      </c>
      <c r="AN354" s="32">
        <f t="shared" si="227"/>
        <v>1.0319059778489741</v>
      </c>
      <c r="AO354" s="32">
        <f t="shared" si="228"/>
        <v>-0.4077749707237458</v>
      </c>
      <c r="AP354" s="32">
        <f t="shared" si="229"/>
        <v>1.1381564495881031</v>
      </c>
      <c r="AQ354" s="32">
        <f t="shared" si="230"/>
        <v>8.6948747982656744</v>
      </c>
      <c r="AR354" s="32">
        <f t="shared" si="231"/>
        <v>11.003547532010353</v>
      </c>
      <c r="AS354" s="32">
        <f t="shared" si="211"/>
        <v>8.2605832032308122</v>
      </c>
      <c r="AT354" s="32">
        <f t="shared" si="212"/>
        <v>1.1309760000000002</v>
      </c>
      <c r="AU354" s="32">
        <f t="shared" si="213"/>
        <v>0.3</v>
      </c>
      <c r="AV354" s="32">
        <f t="shared" si="214"/>
        <v>5.5000000000000049E-2</v>
      </c>
      <c r="AW354" s="32">
        <f t="shared" si="215"/>
        <v>0.6435569744474291</v>
      </c>
      <c r="AX354" s="32">
        <f t="shared" si="216"/>
        <v>0.60636905213463521</v>
      </c>
      <c r="AY354" s="32">
        <f t="shared" si="217"/>
        <v>0.58956737969642359</v>
      </c>
      <c r="AZ354" s="32">
        <f t="shared" si="232"/>
        <v>0.23250339241608647</v>
      </c>
      <c r="BA354" s="32">
        <f t="shared" si="218"/>
        <v>-0.35040408367317083</v>
      </c>
      <c r="BB354" s="32">
        <f t="shared" si="233"/>
        <v>0.78057191632682943</v>
      </c>
      <c r="BC354" s="32">
        <f t="shared" si="219"/>
        <v>0.31</v>
      </c>
      <c r="BD354" s="32">
        <v>0</v>
      </c>
      <c r="BE354" s="32">
        <f t="shared" si="234"/>
        <v>0.62496301329103221</v>
      </c>
      <c r="BF354" s="32">
        <f t="shared" si="235"/>
        <v>3.5395633594608622E-2</v>
      </c>
      <c r="BG354" s="32">
        <f t="shared" si="236"/>
        <v>4.5355797375382381E-2</v>
      </c>
      <c r="BH354" s="32">
        <f t="shared" si="220"/>
        <v>8.7327534164531068E-2</v>
      </c>
      <c r="BI354" s="32">
        <f t="shared" si="221"/>
        <v>0.10971747709115316</v>
      </c>
      <c r="BJ354" s="32">
        <f t="shared" si="222"/>
        <v>0.19704501125568424</v>
      </c>
      <c r="BK354" s="457">
        <f t="shared" si="223"/>
        <v>0.16940251432281744</v>
      </c>
      <c r="BL354" s="2"/>
    </row>
    <row r="355" spans="1:64" ht="15">
      <c r="A355" s="119"/>
      <c r="B355" s="480">
        <f>Input!B372</f>
        <v>38337</v>
      </c>
      <c r="C355" s="481">
        <v>1</v>
      </c>
      <c r="D355" s="481">
        <f t="shared" si="224"/>
        <v>12</v>
      </c>
      <c r="E355" s="481">
        <f t="shared" si="225"/>
        <v>16</v>
      </c>
      <c r="F355" s="481">
        <f t="shared" si="199"/>
        <v>351</v>
      </c>
      <c r="G355" s="431">
        <v>1.9008</v>
      </c>
      <c r="H355" s="455">
        <v>0.79</v>
      </c>
      <c r="I355" s="455">
        <v>-1.4</v>
      </c>
      <c r="J355" s="455">
        <v>1.03</v>
      </c>
      <c r="K355" s="485"/>
      <c r="L355" s="433">
        <v>100</v>
      </c>
      <c r="M355" s="455">
        <v>89</v>
      </c>
      <c r="N355" s="484">
        <f>Weather!M356</f>
        <v>0.2</v>
      </c>
      <c r="O355" s="481" t="str">
        <f t="shared" si="226"/>
        <v/>
      </c>
      <c r="P355" s="4">
        <f t="shared" si="237"/>
        <v>0.20794462418624898</v>
      </c>
      <c r="Q355" s="169">
        <f t="shared" si="200"/>
        <v>0.64682300469851828</v>
      </c>
      <c r="R355" s="169">
        <f t="shared" si="201"/>
        <v>0.55129882360780158</v>
      </c>
      <c r="S355" s="169">
        <f t="shared" si="202"/>
        <v>0.57567247418168133</v>
      </c>
      <c r="T355" s="169">
        <f t="shared" si="203"/>
        <v>0.55129882360780158</v>
      </c>
      <c r="U355" s="169">
        <f t="shared" si="204"/>
        <v>0.56348564889474151</v>
      </c>
      <c r="V355" s="169">
        <f t="shared" si="205"/>
        <v>-4.6686570925815064E-3</v>
      </c>
      <c r="W355" s="439">
        <f t="shared" si="206"/>
        <v>-1.1027240874376154</v>
      </c>
      <c r="X355" s="439">
        <f t="shared" si="207"/>
        <v>-1.1027240874376154</v>
      </c>
      <c r="Y355" s="169"/>
      <c r="Z355" s="119" t="str">
        <f t="shared" si="208"/>
        <v/>
      </c>
      <c r="AA355" s="4" t="str">
        <f t="shared" si="209"/>
        <v/>
      </c>
      <c r="AB355" s="466"/>
      <c r="AC355" s="466"/>
      <c r="AD355" s="466"/>
      <c r="AE355" s="466"/>
      <c r="AF355" s="466"/>
      <c r="AG355" s="466"/>
      <c r="AH355" s="466"/>
      <c r="AI355" s="466"/>
      <c r="AJ355" s="466"/>
      <c r="AK355" s="466"/>
      <c r="AL355" s="466"/>
      <c r="AM355" s="462">
        <f t="shared" si="210"/>
        <v>351</v>
      </c>
      <c r="AN355" s="32">
        <f t="shared" si="227"/>
        <v>1.0320463017121373</v>
      </c>
      <c r="AO355" s="32">
        <f t="shared" si="228"/>
        <v>-0.4082590445756144</v>
      </c>
      <c r="AP355" s="32">
        <f t="shared" si="229"/>
        <v>1.1375421584393062</v>
      </c>
      <c r="AQ355" s="32">
        <f t="shared" si="230"/>
        <v>8.6901819595698999</v>
      </c>
      <c r="AR355" s="32">
        <f t="shared" si="231"/>
        <v>10.986531546222203</v>
      </c>
      <c r="AS355" s="32">
        <f t="shared" si="211"/>
        <v>8.2478089623799331</v>
      </c>
      <c r="AT355" s="32">
        <f t="shared" si="212"/>
        <v>1.463616</v>
      </c>
      <c r="AU355" s="32">
        <f t="shared" si="213"/>
        <v>0.3</v>
      </c>
      <c r="AV355" s="32">
        <f t="shared" si="214"/>
        <v>5.5000000000000049E-2</v>
      </c>
      <c r="AW355" s="32">
        <f t="shared" si="215"/>
        <v>0.64682300469851828</v>
      </c>
      <c r="AX355" s="32">
        <f t="shared" si="216"/>
        <v>0.55129882360780158</v>
      </c>
      <c r="AY355" s="32">
        <f t="shared" si="217"/>
        <v>0.56348564889474151</v>
      </c>
      <c r="AZ355" s="32">
        <f t="shared" si="232"/>
        <v>0.234908046367303</v>
      </c>
      <c r="BA355" s="32">
        <f t="shared" si="218"/>
        <v>-0.35088324294163931</v>
      </c>
      <c r="BB355" s="32">
        <f t="shared" si="233"/>
        <v>1.1127327570583607</v>
      </c>
      <c r="BC355" s="32">
        <f t="shared" si="219"/>
        <v>-0.30499999999999994</v>
      </c>
      <c r="BD355" s="32">
        <v>0</v>
      </c>
      <c r="BE355" s="32">
        <f t="shared" si="234"/>
        <v>0.59906091415315998</v>
      </c>
      <c r="BF355" s="32">
        <f t="shared" si="235"/>
        <v>3.5575265258418476E-2</v>
      </c>
      <c r="BG355" s="32">
        <f t="shared" si="236"/>
        <v>4.3595948936479764E-2</v>
      </c>
      <c r="BH355" s="32">
        <f t="shared" si="220"/>
        <v>0.14747099929726717</v>
      </c>
      <c r="BI355" s="32">
        <f t="shared" si="221"/>
        <v>6.0473624888981801E-2</v>
      </c>
      <c r="BJ355" s="32">
        <f t="shared" si="222"/>
        <v>0.20794462418624898</v>
      </c>
      <c r="BK355" s="457">
        <f t="shared" si="223"/>
        <v>0.26702895916895991</v>
      </c>
      <c r="BL355" s="2"/>
    </row>
    <row r="356" spans="1:64" ht="15">
      <c r="A356" s="119"/>
      <c r="B356" s="480">
        <f>Input!B373</f>
        <v>38338</v>
      </c>
      <c r="C356" s="481">
        <v>1</v>
      </c>
      <c r="D356" s="481">
        <f t="shared" si="224"/>
        <v>12</v>
      </c>
      <c r="E356" s="481">
        <f t="shared" si="225"/>
        <v>17</v>
      </c>
      <c r="F356" s="481">
        <f t="shared" si="199"/>
        <v>352</v>
      </c>
      <c r="G356" s="431">
        <v>1.5551999999999999</v>
      </c>
      <c r="H356" s="455">
        <v>1.06</v>
      </c>
      <c r="I356" s="455">
        <v>-0.5</v>
      </c>
      <c r="J356" s="455">
        <v>2.33</v>
      </c>
      <c r="K356" s="485"/>
      <c r="L356" s="433">
        <v>100</v>
      </c>
      <c r="M356" s="455">
        <v>89</v>
      </c>
      <c r="N356" s="484">
        <f>Weather!M357</f>
        <v>0.2</v>
      </c>
      <c r="O356" s="481" t="str">
        <f t="shared" si="226"/>
        <v/>
      </c>
      <c r="P356" s="4">
        <f t="shared" si="237"/>
        <v>0.20734524609866151</v>
      </c>
      <c r="Q356" s="169">
        <f t="shared" si="200"/>
        <v>0.65955819610758015</v>
      </c>
      <c r="R356" s="169">
        <f t="shared" si="201"/>
        <v>0.58892815702583889</v>
      </c>
      <c r="S356" s="169">
        <f t="shared" si="202"/>
        <v>0.58700679453574633</v>
      </c>
      <c r="T356" s="169">
        <f t="shared" si="203"/>
        <v>0.58892815702583889</v>
      </c>
      <c r="U356" s="169">
        <f t="shared" si="204"/>
        <v>0.58796747578079267</v>
      </c>
      <c r="V356" s="169">
        <f t="shared" si="205"/>
        <v>-2.206018545087379E-3</v>
      </c>
      <c r="W356" s="439">
        <f t="shared" si="206"/>
        <v>-0.52233591802730162</v>
      </c>
      <c r="X356" s="439">
        <f t="shared" si="207"/>
        <v>-0.52233591802730162</v>
      </c>
      <c r="Y356" s="169"/>
      <c r="Z356" s="119" t="str">
        <f t="shared" si="208"/>
        <v/>
      </c>
      <c r="AA356" s="4" t="str">
        <f t="shared" si="209"/>
        <v/>
      </c>
      <c r="AB356" s="466"/>
      <c r="AC356" s="466"/>
      <c r="AD356" s="466"/>
      <c r="AE356" s="466"/>
      <c r="AF356" s="466"/>
      <c r="AG356" s="466"/>
      <c r="AH356" s="466"/>
      <c r="AI356" s="466"/>
      <c r="AJ356" s="466"/>
      <c r="AK356" s="466"/>
      <c r="AL356" s="466"/>
      <c r="AM356" s="462">
        <f t="shared" si="210"/>
        <v>352</v>
      </c>
      <c r="AN356" s="32">
        <f t="shared" si="227"/>
        <v>1.0321771295644875</v>
      </c>
      <c r="AO356" s="32">
        <f t="shared" si="228"/>
        <v>-0.40862214246162354</v>
      </c>
      <c r="AP356" s="32">
        <f t="shared" si="229"/>
        <v>1.1370811026457266</v>
      </c>
      <c r="AQ356" s="32">
        <f t="shared" si="230"/>
        <v>8.6866597527576097</v>
      </c>
      <c r="AR356" s="32">
        <f t="shared" si="231"/>
        <v>10.974040702559938</v>
      </c>
      <c r="AS356" s="32">
        <f t="shared" si="211"/>
        <v>8.2384318362257964</v>
      </c>
      <c r="AT356" s="32">
        <f t="shared" si="212"/>
        <v>1.1975039999999999</v>
      </c>
      <c r="AU356" s="32">
        <f t="shared" si="213"/>
        <v>0.3</v>
      </c>
      <c r="AV356" s="32">
        <f t="shared" si="214"/>
        <v>5.5000000000000049E-2</v>
      </c>
      <c r="AW356" s="32">
        <f t="shared" si="215"/>
        <v>0.65955819610758015</v>
      </c>
      <c r="AX356" s="32">
        <f t="shared" si="216"/>
        <v>0.58892815702583889</v>
      </c>
      <c r="AY356" s="32">
        <f t="shared" si="217"/>
        <v>0.58796747578079267</v>
      </c>
      <c r="AZ356" s="32">
        <f t="shared" si="232"/>
        <v>0.23264934781146629</v>
      </c>
      <c r="BA356" s="32">
        <f t="shared" si="218"/>
        <v>-0.35048260086942212</v>
      </c>
      <c r="BB356" s="32">
        <f t="shared" si="233"/>
        <v>0.84702139913057772</v>
      </c>
      <c r="BC356" s="32">
        <f t="shared" si="219"/>
        <v>0.28000000000000003</v>
      </c>
      <c r="BD356" s="32">
        <v>0</v>
      </c>
      <c r="BE356" s="32">
        <f t="shared" si="234"/>
        <v>0.62424317656670958</v>
      </c>
      <c r="BF356" s="32">
        <f t="shared" si="235"/>
        <v>3.6275700785916909E-2</v>
      </c>
      <c r="BG356" s="32">
        <f t="shared" si="236"/>
        <v>4.526855499529478E-2</v>
      </c>
      <c r="BH356" s="32">
        <f t="shared" si="220"/>
        <v>9.4498863181162476E-2</v>
      </c>
      <c r="BI356" s="32">
        <f t="shared" si="221"/>
        <v>0.11284638291749903</v>
      </c>
      <c r="BJ356" s="32">
        <f t="shared" si="222"/>
        <v>0.20734524609866151</v>
      </c>
      <c r="BK356" s="457">
        <f t="shared" si="223"/>
        <v>0.23264249327612674</v>
      </c>
      <c r="BL356" s="2"/>
    </row>
    <row r="357" spans="1:64" ht="15">
      <c r="A357" s="119"/>
      <c r="B357" s="480">
        <f>Input!B374</f>
        <v>38339</v>
      </c>
      <c r="C357" s="481">
        <v>1</v>
      </c>
      <c r="D357" s="481">
        <f t="shared" si="224"/>
        <v>12</v>
      </c>
      <c r="E357" s="481">
        <f t="shared" si="225"/>
        <v>18</v>
      </c>
      <c r="F357" s="481">
        <f t="shared" si="199"/>
        <v>353</v>
      </c>
      <c r="G357" s="431">
        <v>2.6783999999999999</v>
      </c>
      <c r="H357" s="455">
        <v>1.38</v>
      </c>
      <c r="I357" s="455">
        <v>-1</v>
      </c>
      <c r="J357" s="455">
        <v>2.88</v>
      </c>
      <c r="K357" s="485"/>
      <c r="L357" s="433">
        <v>100</v>
      </c>
      <c r="M357" s="455">
        <v>89</v>
      </c>
      <c r="N357" s="484">
        <f>Weather!M358</f>
        <v>0</v>
      </c>
      <c r="O357" s="481" t="str">
        <f t="shared" si="226"/>
        <v/>
      </c>
      <c r="P357" s="4">
        <f t="shared" si="237"/>
        <v>0.28715428488928374</v>
      </c>
      <c r="Q357" s="169">
        <f t="shared" si="200"/>
        <v>0.67493828536782086</v>
      </c>
      <c r="R357" s="169">
        <f t="shared" si="201"/>
        <v>0.56775189117620539</v>
      </c>
      <c r="S357" s="169">
        <f t="shared" si="202"/>
        <v>0.60069507397736055</v>
      </c>
      <c r="T357" s="169">
        <f t="shared" si="203"/>
        <v>0.56775189117620539</v>
      </c>
      <c r="U357" s="169">
        <f t="shared" si="204"/>
        <v>0.58422348257678292</v>
      </c>
      <c r="V357" s="169">
        <f t="shared" si="205"/>
        <v>-2.5759112954675421E-3</v>
      </c>
      <c r="W357" s="439">
        <f t="shared" si="206"/>
        <v>-0.60969323472435122</v>
      </c>
      <c r="X357" s="439">
        <f t="shared" si="207"/>
        <v>-0.60969323472435122</v>
      </c>
      <c r="Y357" s="169"/>
      <c r="Z357" s="119" t="str">
        <f t="shared" si="208"/>
        <v/>
      </c>
      <c r="AA357" s="4" t="str">
        <f t="shared" si="209"/>
        <v/>
      </c>
      <c r="AB357" s="466"/>
      <c r="AC357" s="466"/>
      <c r="AD357" s="466"/>
      <c r="AE357" s="466"/>
      <c r="AF357" s="466"/>
      <c r="AG357" s="466"/>
      <c r="AH357" s="466"/>
      <c r="AI357" s="466"/>
      <c r="AJ357" s="466"/>
      <c r="AK357" s="466"/>
      <c r="AL357" s="466"/>
      <c r="AM357" s="462">
        <f t="shared" si="210"/>
        <v>353</v>
      </c>
      <c r="AN357" s="32">
        <f t="shared" si="227"/>
        <v>1.0322984226389083</v>
      </c>
      <c r="AO357" s="32">
        <f t="shared" si="228"/>
        <v>-0.40886415678803323</v>
      </c>
      <c r="AP357" s="32">
        <f t="shared" si="229"/>
        <v>1.1367736615709529</v>
      </c>
      <c r="AQ357" s="32">
        <f t="shared" si="230"/>
        <v>8.6843110759531452</v>
      </c>
      <c r="AR357" s="32">
        <f t="shared" si="231"/>
        <v>10.966077372913913</v>
      </c>
      <c r="AS357" s="32">
        <f t="shared" si="211"/>
        <v>8.2324536053939337</v>
      </c>
      <c r="AT357" s="32">
        <f t="shared" si="212"/>
        <v>2.0623679999999998</v>
      </c>
      <c r="AU357" s="32">
        <f t="shared" si="213"/>
        <v>0.32534650401735665</v>
      </c>
      <c r="AV357" s="32">
        <f t="shared" si="214"/>
        <v>8.9217780423431536E-2</v>
      </c>
      <c r="AW357" s="32">
        <f t="shared" si="215"/>
        <v>0.67493828536782086</v>
      </c>
      <c r="AX357" s="32">
        <f t="shared" si="216"/>
        <v>0.56775189117620539</v>
      </c>
      <c r="AY357" s="32">
        <f t="shared" si="217"/>
        <v>0.58422348257678292</v>
      </c>
      <c r="AZ357" s="32">
        <f t="shared" si="232"/>
        <v>0.23299168135838719</v>
      </c>
      <c r="BA357" s="32">
        <f t="shared" si="218"/>
        <v>-0.56865656313076229</v>
      </c>
      <c r="BB357" s="32">
        <f t="shared" si="233"/>
        <v>1.4937114368692375</v>
      </c>
      <c r="BC357" s="32">
        <f t="shared" si="219"/>
        <v>0.18999999999999995</v>
      </c>
      <c r="BD357" s="32">
        <v>0</v>
      </c>
      <c r="BE357" s="32">
        <f t="shared" si="234"/>
        <v>0.62134508827201307</v>
      </c>
      <c r="BF357" s="32">
        <f t="shared" si="235"/>
        <v>3.7121605695230153E-2</v>
      </c>
      <c r="BG357" s="32">
        <f t="shared" si="236"/>
        <v>4.5007693460645315E-2</v>
      </c>
      <c r="BH357" s="32">
        <f t="shared" si="220"/>
        <v>0.15423761183514312</v>
      </c>
      <c r="BI357" s="32">
        <f t="shared" si="221"/>
        <v>0.13291667305414065</v>
      </c>
      <c r="BJ357" s="32">
        <f t="shared" si="222"/>
        <v>0.28715428488928374</v>
      </c>
      <c r="BK357" s="457">
        <f t="shared" si="223"/>
        <v>0.28571477496116759</v>
      </c>
      <c r="BL357" s="2"/>
    </row>
    <row r="358" spans="1:64" ht="15">
      <c r="A358" s="119"/>
      <c r="B358" s="480">
        <f>Input!B375</f>
        <v>38340</v>
      </c>
      <c r="C358" s="481">
        <v>1</v>
      </c>
      <c r="D358" s="481">
        <f t="shared" si="224"/>
        <v>12</v>
      </c>
      <c r="E358" s="481">
        <f t="shared" si="225"/>
        <v>19</v>
      </c>
      <c r="F358" s="481">
        <f t="shared" si="199"/>
        <v>354</v>
      </c>
      <c r="G358" s="431">
        <v>5.8752000000000004</v>
      </c>
      <c r="H358" s="455">
        <v>-0.75</v>
      </c>
      <c r="I358" s="455">
        <v>-1.9</v>
      </c>
      <c r="J358" s="455">
        <v>1.65</v>
      </c>
      <c r="K358" s="485"/>
      <c r="L358" s="433">
        <v>100</v>
      </c>
      <c r="M358" s="455">
        <v>89</v>
      </c>
      <c r="N358" s="484">
        <f>Weather!M359</f>
        <v>0.2</v>
      </c>
      <c r="O358" s="481" t="str">
        <f t="shared" si="226"/>
        <v/>
      </c>
      <c r="P358" s="4">
        <f t="shared" si="237"/>
        <v>0.14919560090004816</v>
      </c>
      <c r="Q358" s="169">
        <f t="shared" si="200"/>
        <v>0.57825428292012604</v>
      </c>
      <c r="R358" s="169">
        <f t="shared" si="201"/>
        <v>0.53132668070862032</v>
      </c>
      <c r="S358" s="169">
        <f t="shared" si="202"/>
        <v>0.51464631179891218</v>
      </c>
      <c r="T358" s="169">
        <f t="shared" si="203"/>
        <v>0.53132668070862032</v>
      </c>
      <c r="U358" s="169">
        <f t="shared" si="204"/>
        <v>0.52298649625376625</v>
      </c>
      <c r="V358" s="169">
        <f t="shared" si="205"/>
        <v>-8.9874886737327467E-3</v>
      </c>
      <c r="W358" s="439">
        <f t="shared" si="206"/>
        <v>-2.1137339027663833</v>
      </c>
      <c r="X358" s="439">
        <f t="shared" si="207"/>
        <v>-2.1137339027663833</v>
      </c>
      <c r="Y358" s="169"/>
      <c r="Z358" s="119" t="str">
        <f t="shared" si="208"/>
        <v/>
      </c>
      <c r="AA358" s="4" t="str">
        <f t="shared" si="209"/>
        <v/>
      </c>
      <c r="AB358" s="466"/>
      <c r="AC358" s="466"/>
      <c r="AD358" s="466"/>
      <c r="AE358" s="466"/>
      <c r="AF358" s="466"/>
      <c r="AG358" s="466"/>
      <c r="AH358" s="466"/>
      <c r="AI358" s="466"/>
      <c r="AJ358" s="466"/>
      <c r="AK358" s="466"/>
      <c r="AL358" s="466"/>
      <c r="AM358" s="462">
        <f t="shared" si="210"/>
        <v>354</v>
      </c>
      <c r="AN358" s="32">
        <f t="shared" si="227"/>
        <v>1.032410144993644</v>
      </c>
      <c r="AO358" s="32">
        <f t="shared" si="228"/>
        <v>-0.40898501584077535</v>
      </c>
      <c r="AP358" s="32">
        <f t="shared" si="229"/>
        <v>1.1366200886415265</v>
      </c>
      <c r="AQ358" s="32">
        <f t="shared" si="230"/>
        <v>8.6831378651926645</v>
      </c>
      <c r="AR358" s="32">
        <f t="shared" si="231"/>
        <v>10.96264348409931</v>
      </c>
      <c r="AS358" s="32">
        <f t="shared" si="211"/>
        <v>8.2298757163830345</v>
      </c>
      <c r="AT358" s="32">
        <f t="shared" si="212"/>
        <v>4.5239040000000008</v>
      </c>
      <c r="AU358" s="32">
        <f t="shared" si="213"/>
        <v>0.71388684379575351</v>
      </c>
      <c r="AV358" s="32">
        <f t="shared" si="214"/>
        <v>0.61374723912426732</v>
      </c>
      <c r="AW358" s="32">
        <f t="shared" si="215"/>
        <v>0.57825428292012604</v>
      </c>
      <c r="AX358" s="32">
        <f t="shared" si="216"/>
        <v>0.53132668070862032</v>
      </c>
      <c r="AY358" s="32">
        <f t="shared" si="217"/>
        <v>0.52298649625376625</v>
      </c>
      <c r="AZ358" s="32">
        <f t="shared" si="232"/>
        <v>0.23875507258843132</v>
      </c>
      <c r="BA358" s="32">
        <f t="shared" si="218"/>
        <v>-3.9201933300317364</v>
      </c>
      <c r="BB358" s="32">
        <f t="shared" si="233"/>
        <v>0.60371066996826439</v>
      </c>
      <c r="BC358" s="32">
        <f t="shared" si="219"/>
        <v>-1.325</v>
      </c>
      <c r="BD358" s="32">
        <v>0</v>
      </c>
      <c r="BE358" s="32">
        <f t="shared" si="234"/>
        <v>0.55479048181437318</v>
      </c>
      <c r="BF358" s="32">
        <f t="shared" si="235"/>
        <v>3.1803985560606929E-2</v>
      </c>
      <c r="BG358" s="32">
        <f t="shared" si="236"/>
        <v>4.0806650965380005E-2</v>
      </c>
      <c r="BH358" s="32">
        <f t="shared" si="220"/>
        <v>6.9047591910372796E-2</v>
      </c>
      <c r="BI358" s="32">
        <f t="shared" si="221"/>
        <v>8.0148008989675362E-2</v>
      </c>
      <c r="BJ358" s="32">
        <f t="shared" si="222"/>
        <v>0.14919560090004816</v>
      </c>
      <c r="BK358" s="457">
        <f t="shared" si="223"/>
        <v>0.18182407454147279</v>
      </c>
      <c r="BL358" s="2"/>
    </row>
    <row r="359" spans="1:64" ht="15">
      <c r="A359" s="119"/>
      <c r="B359" s="480">
        <f>Input!B376</f>
        <v>38341</v>
      </c>
      <c r="C359" s="481">
        <v>1</v>
      </c>
      <c r="D359" s="481">
        <f t="shared" si="224"/>
        <v>12</v>
      </c>
      <c r="E359" s="481">
        <f t="shared" si="225"/>
        <v>20</v>
      </c>
      <c r="F359" s="481">
        <f t="shared" si="199"/>
        <v>355</v>
      </c>
      <c r="G359" s="431">
        <v>5.7023999999999999</v>
      </c>
      <c r="H359" s="455">
        <v>-1.27</v>
      </c>
      <c r="I359" s="455">
        <v>-5</v>
      </c>
      <c r="J359" s="455">
        <v>0.97</v>
      </c>
      <c r="K359" s="485"/>
      <c r="L359" s="433">
        <v>100</v>
      </c>
      <c r="M359" s="455">
        <v>103</v>
      </c>
      <c r="N359" s="484">
        <f>Weather!M360</f>
        <v>0.2</v>
      </c>
      <c r="O359" s="481">
        <f t="shared" si="226"/>
        <v>1</v>
      </c>
      <c r="P359" s="4">
        <f t="shared" si="237"/>
        <v>6.9375106890258192E-2</v>
      </c>
      <c r="Q359" s="169">
        <f t="shared" si="200"/>
        <v>0.55659917606697562</v>
      </c>
      <c r="R359" s="169">
        <f t="shared" si="201"/>
        <v>0.42117649202727186</v>
      </c>
      <c r="S359" s="169">
        <f t="shared" si="202"/>
        <v>0.57329715134898496</v>
      </c>
      <c r="T359" s="169">
        <f t="shared" si="203"/>
        <v>0.42117649202727186</v>
      </c>
      <c r="U359" s="169">
        <f t="shared" si="204"/>
        <v>0.49723682168812844</v>
      </c>
      <c r="V359" s="169">
        <f t="shared" si="205"/>
        <v>-1.191101090610661E-2</v>
      </c>
      <c r="W359" s="439">
        <f t="shared" si="206"/>
        <v>-2.7932128987193741</v>
      </c>
      <c r="X359" s="439">
        <f t="shared" si="207"/>
        <v>-2.7932128987193741</v>
      </c>
      <c r="Y359" s="169"/>
      <c r="Z359" s="119" t="str">
        <f t="shared" si="208"/>
        <v/>
      </c>
      <c r="AA359" s="4" t="str">
        <f t="shared" si="209"/>
        <v/>
      </c>
      <c r="AB359" s="466"/>
      <c r="AC359" s="466"/>
      <c r="AD359" s="466"/>
      <c r="AE359" s="466"/>
      <c r="AF359" s="466"/>
      <c r="AG359" s="466"/>
      <c r="AH359" s="466"/>
      <c r="AI359" s="466"/>
      <c r="AJ359" s="466"/>
      <c r="AK359" s="466"/>
      <c r="AL359" s="466"/>
      <c r="AM359" s="462">
        <f t="shared" si="210"/>
        <v>355</v>
      </c>
      <c r="AN359" s="32">
        <f t="shared" si="227"/>
        <v>1.03251226352295</v>
      </c>
      <c r="AO359" s="32">
        <f t="shared" si="228"/>
        <v>-0.40898468380670427</v>
      </c>
      <c r="AP359" s="32">
        <f t="shared" si="229"/>
        <v>1.1366205105869063</v>
      </c>
      <c r="AQ359" s="32">
        <f t="shared" si="230"/>
        <v>8.6831410886179246</v>
      </c>
      <c r="AR359" s="32">
        <f t="shared" si="231"/>
        <v>10.963740524474899</v>
      </c>
      <c r="AS359" s="32">
        <f t="shared" si="211"/>
        <v>8.2306992865337971</v>
      </c>
      <c r="AT359" s="32">
        <f t="shared" si="212"/>
        <v>4.3908480000000001</v>
      </c>
      <c r="AU359" s="32">
        <f t="shared" si="213"/>
        <v>0.69282084079170114</v>
      </c>
      <c r="AV359" s="32">
        <f t="shared" si="214"/>
        <v>0.58530813506879664</v>
      </c>
      <c r="AW359" s="32">
        <f t="shared" si="215"/>
        <v>0.55659917606697562</v>
      </c>
      <c r="AX359" s="32">
        <f t="shared" si="216"/>
        <v>0.42117649202727186</v>
      </c>
      <c r="AY359" s="32">
        <f t="shared" si="217"/>
        <v>0.49723682168812844</v>
      </c>
      <c r="AZ359" s="32">
        <f t="shared" si="232"/>
        <v>0.24127897029970102</v>
      </c>
      <c r="BA359" s="32">
        <f t="shared" si="218"/>
        <v>-3.6793912516453311</v>
      </c>
      <c r="BB359" s="32">
        <f t="shared" si="233"/>
        <v>0.71145674835466899</v>
      </c>
      <c r="BC359" s="32">
        <f t="shared" si="219"/>
        <v>-3.1349999999999998</v>
      </c>
      <c r="BD359" s="32">
        <v>0</v>
      </c>
      <c r="BE359" s="32">
        <f t="shared" si="234"/>
        <v>0.48888783404712377</v>
      </c>
      <c r="BF359" s="32">
        <f t="shared" si="235"/>
        <v>-8.3489876410046682E-3</v>
      </c>
      <c r="BG359" s="32">
        <f t="shared" si="236"/>
        <v>3.6234265029777897E-2</v>
      </c>
      <c r="BH359" s="32">
        <f t="shared" si="220"/>
        <v>8.3820504119925116E-2</v>
      </c>
      <c r="BI359" s="32">
        <f t="shared" si="221"/>
        <v>-1.4445397229666918E-2</v>
      </c>
      <c r="BJ359" s="32">
        <f t="shared" si="222"/>
        <v>6.9375106890258192E-2</v>
      </c>
      <c r="BK359" s="457">
        <f t="shared" si="223"/>
        <v>0.29151236682007103</v>
      </c>
      <c r="BL359" s="2"/>
    </row>
    <row r="360" spans="1:64" ht="15.75">
      <c r="A360" s="119"/>
      <c r="B360" s="480">
        <f>Input!B377</f>
        <v>38342</v>
      </c>
      <c r="C360" s="481">
        <v>1</v>
      </c>
      <c r="D360" s="481">
        <f t="shared" si="224"/>
        <v>12</v>
      </c>
      <c r="E360" s="481">
        <f t="shared" si="225"/>
        <v>21</v>
      </c>
      <c r="F360" s="481">
        <f t="shared" si="199"/>
        <v>356</v>
      </c>
      <c r="G360" s="431">
        <v>6.2207999999999997</v>
      </c>
      <c r="H360" s="455">
        <v>1.63</v>
      </c>
      <c r="I360" s="455">
        <v>0.6</v>
      </c>
      <c r="J360" s="455">
        <v>1.18</v>
      </c>
      <c r="K360" s="485"/>
      <c r="L360" s="433">
        <v>100</v>
      </c>
      <c r="M360" s="474">
        <f>AVERAGE(M359,M361)</f>
        <v>96</v>
      </c>
      <c r="N360" s="484">
        <f>Weather!M361</f>
        <v>1.4</v>
      </c>
      <c r="O360" s="481">
        <f t="shared" si="226"/>
        <v>1</v>
      </c>
      <c r="P360" s="4">
        <f t="shared" si="237"/>
        <v>0.10353647024992368</v>
      </c>
      <c r="Q360" s="169">
        <f t="shared" si="200"/>
        <v>0.68717358112929927</v>
      </c>
      <c r="R360" s="169">
        <f t="shared" si="201"/>
        <v>0.63799196508805101</v>
      </c>
      <c r="S360" s="169">
        <f t="shared" si="202"/>
        <v>0.65968663788412729</v>
      </c>
      <c r="T360" s="169">
        <f t="shared" si="203"/>
        <v>0.63799196508805101</v>
      </c>
      <c r="U360" s="169">
        <f t="shared" si="204"/>
        <v>0.64883930148608915</v>
      </c>
      <c r="V360" s="169">
        <f t="shared" si="205"/>
        <v>3.4982920254098947E-3</v>
      </c>
      <c r="W360" s="439">
        <f t="shared" si="206"/>
        <v>0.83305898122046773</v>
      </c>
      <c r="X360" s="439">
        <f t="shared" si="207"/>
        <v>0.83305898122046773</v>
      </c>
      <c r="Y360" s="169"/>
      <c r="Z360" s="119" t="str">
        <f t="shared" si="208"/>
        <v/>
      </c>
      <c r="AA360" s="4" t="str">
        <f t="shared" si="209"/>
        <v/>
      </c>
      <c r="AB360" s="466"/>
      <c r="AC360" s="466"/>
      <c r="AD360" s="466"/>
      <c r="AE360" s="466"/>
      <c r="AF360" s="466"/>
      <c r="AG360" s="466"/>
      <c r="AH360" s="466"/>
      <c r="AI360" s="466"/>
      <c r="AJ360" s="466"/>
      <c r="AK360" s="466"/>
      <c r="AL360" s="466"/>
      <c r="AM360" s="462">
        <f t="shared" si="210"/>
        <v>356</v>
      </c>
      <c r="AN360" s="32">
        <f t="shared" si="227"/>
        <v>1.032604747966902</v>
      </c>
      <c r="AO360" s="32">
        <f t="shared" si="228"/>
        <v>-0.40886316078420898</v>
      </c>
      <c r="AP360" s="32">
        <f t="shared" si="229"/>
        <v>1.1367749270587744</v>
      </c>
      <c r="AQ360" s="32">
        <f t="shared" si="230"/>
        <v>8.6843207435679695</v>
      </c>
      <c r="AR360" s="32">
        <f t="shared" si="231"/>
        <v>10.969369546576409</v>
      </c>
      <c r="AS360" s="32">
        <f t="shared" si="211"/>
        <v>8.2349251060058428</v>
      </c>
      <c r="AT360" s="32">
        <f t="shared" si="212"/>
        <v>4.7900159999999996</v>
      </c>
      <c r="AU360" s="32">
        <f t="shared" si="213"/>
        <v>0.75541670627497093</v>
      </c>
      <c r="AV360" s="32">
        <f t="shared" si="214"/>
        <v>0.66981255347121083</v>
      </c>
      <c r="AW360" s="32">
        <f t="shared" si="215"/>
        <v>0.68717358112929927</v>
      </c>
      <c r="AX360" s="32">
        <f t="shared" si="216"/>
        <v>0.63799196508805101</v>
      </c>
      <c r="AY360" s="32">
        <f t="shared" si="217"/>
        <v>0.64883930148608904</v>
      </c>
      <c r="AZ360" s="32">
        <f t="shared" si="232"/>
        <v>0.22722921340556615</v>
      </c>
      <c r="BA360" s="32">
        <f t="shared" si="218"/>
        <v>-4.2199205283006265</v>
      </c>
      <c r="BB360" s="32">
        <f t="shared" si="233"/>
        <v>0.57009547169937314</v>
      </c>
      <c r="BC360" s="32">
        <f t="shared" si="219"/>
        <v>1.115</v>
      </c>
      <c r="BD360" s="32">
        <v>0</v>
      </c>
      <c r="BE360" s="32">
        <f t="shared" si="234"/>
        <v>0.66258277310867508</v>
      </c>
      <c r="BF360" s="32">
        <f t="shared" si="235"/>
        <v>1.3743471622586045E-2</v>
      </c>
      <c r="BG360" s="32">
        <f t="shared" si="236"/>
        <v>4.7751435461628744E-2</v>
      </c>
      <c r="BH360" s="32">
        <f t="shared" si="220"/>
        <v>7.8333691951011059E-2</v>
      </c>
      <c r="BI360" s="32">
        <f t="shared" si="221"/>
        <v>2.5202778298912626E-2</v>
      </c>
      <c r="BJ360" s="32">
        <f t="shared" si="222"/>
        <v>0.10353647024992368</v>
      </c>
      <c r="BK360" s="457">
        <f t="shared" si="223"/>
        <v>0.19768256943241416</v>
      </c>
      <c r="BL360" s="2"/>
    </row>
    <row r="361" spans="1:64" ht="15">
      <c r="A361" s="119"/>
      <c r="B361" s="480">
        <f>Input!B378</f>
        <v>38343</v>
      </c>
      <c r="C361" s="481">
        <v>1</v>
      </c>
      <c r="D361" s="481">
        <f t="shared" si="224"/>
        <v>12</v>
      </c>
      <c r="E361" s="481">
        <f t="shared" si="225"/>
        <v>22</v>
      </c>
      <c r="F361" s="481">
        <f t="shared" si="199"/>
        <v>357</v>
      </c>
      <c r="G361" s="431">
        <v>5.6159999999999997</v>
      </c>
      <c r="H361" s="455">
        <v>1.3</v>
      </c>
      <c r="I361" s="455">
        <v>0.3</v>
      </c>
      <c r="J361" s="455">
        <v>1.6</v>
      </c>
      <c r="K361" s="485"/>
      <c r="L361" s="433">
        <v>100</v>
      </c>
      <c r="M361" s="455">
        <v>89</v>
      </c>
      <c r="N361" s="484">
        <f>Weather!M362</f>
        <v>0</v>
      </c>
      <c r="O361" s="481" t="str">
        <f t="shared" si="226"/>
        <v/>
      </c>
      <c r="P361" s="4">
        <f t="shared" ref="P361:P392" si="238">BJ361</f>
        <v>0.17521718328015756</v>
      </c>
      <c r="Q361" s="169">
        <f t="shared" si="200"/>
        <v>0.67106385242410471</v>
      </c>
      <c r="R361" s="169">
        <f t="shared" si="201"/>
        <v>0.62426510687057923</v>
      </c>
      <c r="S361" s="169">
        <f t="shared" si="202"/>
        <v>0.59724682865745315</v>
      </c>
      <c r="T361" s="169">
        <f t="shared" si="203"/>
        <v>0.62426510687057923</v>
      </c>
      <c r="U361" s="169">
        <f t="shared" si="204"/>
        <v>0.61075596776401619</v>
      </c>
      <c r="V361" s="169">
        <f t="shared" si="205"/>
        <v>-4.1744092903604098E-6</v>
      </c>
      <c r="W361" s="439">
        <f t="shared" si="206"/>
        <v>-9.9058318950285607E-4</v>
      </c>
      <c r="X361" s="439">
        <f t="shared" si="207"/>
        <v>-9.9058318950285607E-4</v>
      </c>
      <c r="Y361" s="169"/>
      <c r="Z361" s="119" t="str">
        <f t="shared" si="208"/>
        <v/>
      </c>
      <c r="AA361" s="4" t="str">
        <f t="shared" si="209"/>
        <v/>
      </c>
      <c r="AB361" s="466"/>
      <c r="AC361" s="466"/>
      <c r="AD361" s="466"/>
      <c r="AE361" s="466"/>
      <c r="AF361" s="466"/>
      <c r="AG361" s="466"/>
      <c r="AH361" s="466"/>
      <c r="AI361" s="466"/>
      <c r="AJ361" s="466"/>
      <c r="AK361" s="466"/>
      <c r="AL361" s="466"/>
      <c r="AM361" s="462">
        <f t="shared" si="210"/>
        <v>357</v>
      </c>
      <c r="AN361" s="32">
        <f t="shared" si="227"/>
        <v>1.0326875709203633</v>
      </c>
      <c r="AO361" s="32">
        <f t="shared" si="228"/>
        <v>-0.40862048278318358</v>
      </c>
      <c r="AP361" s="32">
        <f t="shared" si="229"/>
        <v>1.1370832106320816</v>
      </c>
      <c r="AQ361" s="32">
        <f t="shared" si="230"/>
        <v>8.6866758565871329</v>
      </c>
      <c r="AR361" s="32">
        <f t="shared" si="231"/>
        <v>10.97953116573969</v>
      </c>
      <c r="AS361" s="32">
        <f t="shared" si="211"/>
        <v>8.2425536367441001</v>
      </c>
      <c r="AT361" s="32">
        <f t="shared" si="212"/>
        <v>4.3243200000000002</v>
      </c>
      <c r="AU361" s="32">
        <f t="shared" si="213"/>
        <v>0.68134224507374652</v>
      </c>
      <c r="AV361" s="32">
        <f t="shared" si="214"/>
        <v>0.56981203084955789</v>
      </c>
      <c r="AW361" s="32">
        <f t="shared" si="215"/>
        <v>0.67106385242410471</v>
      </c>
      <c r="AX361" s="32">
        <f t="shared" si="216"/>
        <v>0.62426510687057923</v>
      </c>
      <c r="AY361" s="32">
        <f t="shared" si="217"/>
        <v>0.61075596776401619</v>
      </c>
      <c r="AZ361" s="32">
        <f t="shared" si="232"/>
        <v>0.2305887712884335</v>
      </c>
      <c r="BA361" s="32">
        <f t="shared" si="218"/>
        <v>-3.6262667596340439</v>
      </c>
      <c r="BB361" s="32">
        <f t="shared" si="233"/>
        <v>0.69805324036595628</v>
      </c>
      <c r="BC361" s="32">
        <f t="shared" si="219"/>
        <v>0.8</v>
      </c>
      <c r="BD361" s="32">
        <v>0</v>
      </c>
      <c r="BE361" s="32">
        <f t="shared" si="234"/>
        <v>0.64766447964734197</v>
      </c>
      <c r="BF361" s="32">
        <f t="shared" si="235"/>
        <v>3.6908511883325779E-2</v>
      </c>
      <c r="BG361" s="32">
        <f t="shared" si="236"/>
        <v>4.6801367675983349E-2</v>
      </c>
      <c r="BH361" s="32">
        <f t="shared" si="220"/>
        <v>8.8611714999949243E-2</v>
      </c>
      <c r="BI361" s="32">
        <f t="shared" si="221"/>
        <v>8.660546828020832E-2</v>
      </c>
      <c r="BJ361" s="32">
        <f t="shared" si="222"/>
        <v>0.17521718328015756</v>
      </c>
      <c r="BK361" s="457">
        <f t="shared" si="223"/>
        <v>0.19171605847769141</v>
      </c>
      <c r="BL361" s="2"/>
    </row>
    <row r="362" spans="1:64" ht="15">
      <c r="A362" s="119"/>
      <c r="B362" s="480">
        <f>Input!B379</f>
        <v>38344</v>
      </c>
      <c r="C362" s="481">
        <v>1</v>
      </c>
      <c r="D362" s="481">
        <f t="shared" si="224"/>
        <v>12</v>
      </c>
      <c r="E362" s="481">
        <f t="shared" si="225"/>
        <v>23</v>
      </c>
      <c r="F362" s="481">
        <f t="shared" si="199"/>
        <v>358</v>
      </c>
      <c r="G362" s="431">
        <v>6.5663999999999998</v>
      </c>
      <c r="H362" s="455">
        <v>0.19</v>
      </c>
      <c r="I362" s="455">
        <v>-1</v>
      </c>
      <c r="J362" s="455">
        <v>1.1599999999999999</v>
      </c>
      <c r="K362" s="485"/>
      <c r="L362" s="433">
        <v>100</v>
      </c>
      <c r="M362" s="455">
        <v>91</v>
      </c>
      <c r="N362" s="484">
        <f>Weather!M363</f>
        <v>0</v>
      </c>
      <c r="O362" s="481" t="str">
        <f t="shared" si="226"/>
        <v/>
      </c>
      <c r="P362" s="4">
        <f t="shared" si="238"/>
        <v>0.11016604488914751</v>
      </c>
      <c r="Q362" s="169">
        <f t="shared" si="200"/>
        <v>0.61929773779491504</v>
      </c>
      <c r="R362" s="169">
        <f t="shared" si="201"/>
        <v>0.56775189117620539</v>
      </c>
      <c r="S362" s="169">
        <f t="shared" si="202"/>
        <v>0.56356094139337265</v>
      </c>
      <c r="T362" s="169">
        <f t="shared" si="203"/>
        <v>0.56775189117620539</v>
      </c>
      <c r="U362" s="169">
        <f t="shared" si="204"/>
        <v>0.56565641628478902</v>
      </c>
      <c r="V362" s="169">
        <f t="shared" si="205"/>
        <v>-4.4460172454996007E-3</v>
      </c>
      <c r="W362" s="439">
        <f t="shared" si="206"/>
        <v>-1.0503699295361832</v>
      </c>
      <c r="X362" s="439">
        <f t="shared" si="207"/>
        <v>-1.0503699295361832</v>
      </c>
      <c r="Y362" s="169"/>
      <c r="Z362" s="119" t="str">
        <f t="shared" si="208"/>
        <v/>
      </c>
      <c r="AA362" s="4" t="str">
        <f t="shared" si="209"/>
        <v/>
      </c>
      <c r="AB362" s="466"/>
      <c r="AC362" s="466"/>
      <c r="AD362" s="466"/>
      <c r="AE362" s="466"/>
      <c r="AF362" s="466"/>
      <c r="AG362" s="466"/>
      <c r="AH362" s="466"/>
      <c r="AI362" s="466"/>
      <c r="AJ362" s="466"/>
      <c r="AK362" s="466"/>
      <c r="AL362" s="466"/>
      <c r="AM362" s="462">
        <f t="shared" si="210"/>
        <v>358</v>
      </c>
      <c r="AN362" s="32">
        <f t="shared" si="227"/>
        <v>1.0327607078411054</v>
      </c>
      <c r="AO362" s="32">
        <f t="shared" si="228"/>
        <v>-0.40825672171435723</v>
      </c>
      <c r="AP362" s="32">
        <f t="shared" si="229"/>
        <v>1.137545107187832</v>
      </c>
      <c r="AQ362" s="32">
        <f t="shared" si="230"/>
        <v>8.6902044863492822</v>
      </c>
      <c r="AR362" s="32">
        <f t="shared" si="231"/>
        <v>10.994225554711985</v>
      </c>
      <c r="AS362" s="32">
        <f t="shared" si="211"/>
        <v>8.2535850084333813</v>
      </c>
      <c r="AT362" s="32">
        <f t="shared" si="212"/>
        <v>5.0561280000000002</v>
      </c>
      <c r="AU362" s="32">
        <f t="shared" si="213"/>
        <v>0.79558155556531585</v>
      </c>
      <c r="AV362" s="32">
        <f t="shared" si="214"/>
        <v>0.7240351000131765</v>
      </c>
      <c r="AW362" s="32">
        <f t="shared" si="215"/>
        <v>0.61929773779491504</v>
      </c>
      <c r="AX362" s="32">
        <f t="shared" si="216"/>
        <v>0.56775189117620539</v>
      </c>
      <c r="AY362" s="32">
        <f t="shared" si="217"/>
        <v>0.56565641628478902</v>
      </c>
      <c r="AZ362" s="32">
        <f t="shared" si="232"/>
        <v>0.23470581326976375</v>
      </c>
      <c r="BA362" s="32">
        <f t="shared" si="218"/>
        <v>-4.6080707567043699</v>
      </c>
      <c r="BB362" s="32">
        <f t="shared" si="233"/>
        <v>0.44805724329563024</v>
      </c>
      <c r="BC362" s="32">
        <f t="shared" si="219"/>
        <v>-0.40500000000000003</v>
      </c>
      <c r="BD362" s="32">
        <v>0</v>
      </c>
      <c r="BE362" s="32">
        <f t="shared" si="234"/>
        <v>0.59352481448556027</v>
      </c>
      <c r="BF362" s="32">
        <f t="shared" si="235"/>
        <v>2.7868398200771249E-2</v>
      </c>
      <c r="BG362" s="32">
        <f t="shared" si="236"/>
        <v>4.3315423729622403E-2</v>
      </c>
      <c r="BH362" s="32">
        <f t="shared" si="220"/>
        <v>5.7841606343644651E-2</v>
      </c>
      <c r="BI362" s="32">
        <f t="shared" si="221"/>
        <v>5.2324438545502859E-2</v>
      </c>
      <c r="BJ362" s="32">
        <f t="shared" si="222"/>
        <v>0.11016604488914751</v>
      </c>
      <c r="BK362" s="457">
        <f t="shared" si="223"/>
        <v>0.19585033016904957</v>
      </c>
      <c r="BL362" s="2"/>
    </row>
    <row r="363" spans="1:64" ht="15">
      <c r="A363" s="119"/>
      <c r="B363" s="480">
        <f>Input!B380</f>
        <v>38345</v>
      </c>
      <c r="C363" s="481">
        <v>1</v>
      </c>
      <c r="D363" s="481">
        <f t="shared" si="224"/>
        <v>12</v>
      </c>
      <c r="E363" s="481">
        <f t="shared" si="225"/>
        <v>24</v>
      </c>
      <c r="F363" s="481">
        <f t="shared" si="199"/>
        <v>359</v>
      </c>
      <c r="G363" s="431">
        <v>6.3071999999999999</v>
      </c>
      <c r="H363" s="455">
        <v>2.63</v>
      </c>
      <c r="I363" s="455">
        <v>-0.4</v>
      </c>
      <c r="J363" s="455">
        <v>0.6</v>
      </c>
      <c r="K363" s="485"/>
      <c r="L363" s="433">
        <v>100</v>
      </c>
      <c r="M363" s="455">
        <v>90</v>
      </c>
      <c r="N363" s="484">
        <f>Weather!M364</f>
        <v>0.2</v>
      </c>
      <c r="O363" s="481" t="str">
        <f t="shared" si="226"/>
        <v/>
      </c>
      <c r="P363" s="4">
        <f t="shared" si="238"/>
        <v>0.11973452107259031</v>
      </c>
      <c r="Q363" s="169">
        <f t="shared" si="200"/>
        <v>0.73809696447954265</v>
      </c>
      <c r="R363" s="169">
        <f t="shared" si="201"/>
        <v>0.59324625951914634</v>
      </c>
      <c r="S363" s="169">
        <f t="shared" si="202"/>
        <v>0.66428726803158844</v>
      </c>
      <c r="T363" s="169">
        <f t="shared" si="203"/>
        <v>0.59324625951914634</v>
      </c>
      <c r="U363" s="169">
        <f t="shared" si="204"/>
        <v>0.62876676377536733</v>
      </c>
      <c r="V363" s="169">
        <f t="shared" si="205"/>
        <v>1.6786803579747348E-3</v>
      </c>
      <c r="W363" s="439">
        <f t="shared" si="206"/>
        <v>0.39902067712051259</v>
      </c>
      <c r="X363" s="439">
        <f t="shared" si="207"/>
        <v>0.39902067712051259</v>
      </c>
      <c r="Y363" s="169"/>
      <c r="Z363" s="119" t="str">
        <f t="shared" si="208"/>
        <v/>
      </c>
      <c r="AA363" s="4" t="str">
        <f t="shared" si="209"/>
        <v/>
      </c>
      <c r="AB363" s="466"/>
      <c r="AC363" s="466"/>
      <c r="AD363" s="466"/>
      <c r="AE363" s="466"/>
      <c r="AF363" s="466"/>
      <c r="AG363" s="466"/>
      <c r="AH363" s="466"/>
      <c r="AI363" s="466"/>
      <c r="AJ363" s="466"/>
      <c r="AK363" s="466"/>
      <c r="AL363" s="466"/>
      <c r="AM363" s="462">
        <f t="shared" si="210"/>
        <v>359</v>
      </c>
      <c r="AN363" s="32">
        <f t="shared" si="227"/>
        <v>1.0328241370570801</v>
      </c>
      <c r="AO363" s="32">
        <f t="shared" si="228"/>
        <v>-0.4077719853679852</v>
      </c>
      <c r="AP363" s="32">
        <f t="shared" si="229"/>
        <v>1.1381602366751831</v>
      </c>
      <c r="AQ363" s="32">
        <f t="shared" si="230"/>
        <v>8.6949037294798508</v>
      </c>
      <c r="AR363" s="32">
        <f t="shared" si="231"/>
        <v>11.013452434272168</v>
      </c>
      <c r="AS363" s="32">
        <f t="shared" si="211"/>
        <v>8.2680190114568024</v>
      </c>
      <c r="AT363" s="32">
        <f t="shared" si="212"/>
        <v>4.8565440000000004</v>
      </c>
      <c r="AU363" s="32">
        <f t="shared" si="213"/>
        <v>0.76284294838464439</v>
      </c>
      <c r="AV363" s="32">
        <f t="shared" si="214"/>
        <v>0.67983798031927012</v>
      </c>
      <c r="AW363" s="32">
        <f t="shared" si="215"/>
        <v>0.73809696447954265</v>
      </c>
      <c r="AX363" s="32">
        <f t="shared" si="216"/>
        <v>0.59324625951914634</v>
      </c>
      <c r="AY363" s="32">
        <f t="shared" si="217"/>
        <v>0.62876676377536733</v>
      </c>
      <c r="AZ363" s="32">
        <f t="shared" si="232"/>
        <v>0.22898725942488765</v>
      </c>
      <c r="BA363" s="32">
        <f t="shared" si="218"/>
        <v>-4.3169188265112917</v>
      </c>
      <c r="BB363" s="32">
        <f t="shared" si="233"/>
        <v>0.53962517348870875</v>
      </c>
      <c r="BC363" s="32">
        <f t="shared" si="219"/>
        <v>1.115</v>
      </c>
      <c r="BD363" s="32">
        <v>0</v>
      </c>
      <c r="BE363" s="32">
        <f t="shared" si="234"/>
        <v>0.66567161199934444</v>
      </c>
      <c r="BF363" s="32">
        <f t="shared" si="235"/>
        <v>3.6904848223977105E-2</v>
      </c>
      <c r="BG363" s="32">
        <f t="shared" si="236"/>
        <v>4.7751435461628744E-2</v>
      </c>
      <c r="BH363" s="32">
        <f t="shared" si="220"/>
        <v>8.1780297226433471E-2</v>
      </c>
      <c r="BI363" s="32">
        <f t="shared" si="221"/>
        <v>3.7954223846156841E-2</v>
      </c>
      <c r="BJ363" s="32">
        <f t="shared" si="222"/>
        <v>0.11973452107259031</v>
      </c>
      <c r="BK363" s="457">
        <f t="shared" si="223"/>
        <v>0.34041829484742181</v>
      </c>
      <c r="BL363" s="2"/>
    </row>
    <row r="364" spans="1:64" ht="15">
      <c r="A364" s="119"/>
      <c r="B364" s="480">
        <f>Input!B381</f>
        <v>38346</v>
      </c>
      <c r="C364" s="481">
        <v>1</v>
      </c>
      <c r="D364" s="481">
        <f t="shared" si="224"/>
        <v>12</v>
      </c>
      <c r="E364" s="481">
        <f t="shared" si="225"/>
        <v>25</v>
      </c>
      <c r="F364" s="481">
        <f t="shared" si="199"/>
        <v>360</v>
      </c>
      <c r="G364" s="431">
        <v>5.1840000000000002</v>
      </c>
      <c r="H364" s="455">
        <v>4.26</v>
      </c>
      <c r="I364" s="455">
        <v>2.8</v>
      </c>
      <c r="J364" s="455">
        <v>0.65</v>
      </c>
      <c r="K364" s="485"/>
      <c r="L364" s="433">
        <v>100</v>
      </c>
      <c r="M364" s="455">
        <v>89</v>
      </c>
      <c r="N364" s="484">
        <f>Weather!M365</f>
        <v>0</v>
      </c>
      <c r="O364" s="481" t="str">
        <f t="shared" si="226"/>
        <v/>
      </c>
      <c r="P364" s="4">
        <f t="shared" si="238"/>
        <v>0.19141620962706662</v>
      </c>
      <c r="Q364" s="169">
        <f t="shared" si="200"/>
        <v>0.82826438988749418</v>
      </c>
      <c r="R364" s="169">
        <f t="shared" si="201"/>
        <v>0.7470775464503866</v>
      </c>
      <c r="S364" s="169">
        <f t="shared" si="202"/>
        <v>0.73715530699986986</v>
      </c>
      <c r="T364" s="169">
        <f t="shared" si="203"/>
        <v>0.7470775464503866</v>
      </c>
      <c r="U364" s="169">
        <f t="shared" si="204"/>
        <v>0.74211642672512823</v>
      </c>
      <c r="V364" s="169">
        <f t="shared" si="205"/>
        <v>1.1276002712621778E-2</v>
      </c>
      <c r="W364" s="439">
        <f t="shared" si="206"/>
        <v>2.7063118231643495</v>
      </c>
      <c r="X364" s="439">
        <f t="shared" si="207"/>
        <v>2.7063118231643495</v>
      </c>
      <c r="Y364" s="169"/>
      <c r="Z364" s="119" t="str">
        <f t="shared" si="208"/>
        <v/>
      </c>
      <c r="AA364" s="4" t="str">
        <f t="shared" si="209"/>
        <v/>
      </c>
      <c r="AB364" s="466"/>
      <c r="AC364" s="466"/>
      <c r="AD364" s="466"/>
      <c r="AE364" s="466"/>
      <c r="AF364" s="466"/>
      <c r="AG364" s="466"/>
      <c r="AH364" s="466"/>
      <c r="AI364" s="466"/>
      <c r="AJ364" s="466"/>
      <c r="AK364" s="466"/>
      <c r="AL364" s="466"/>
      <c r="AM364" s="462">
        <f t="shared" si="210"/>
        <v>360</v>
      </c>
      <c r="AN364" s="32">
        <f t="shared" si="227"/>
        <v>1.032877839772842</v>
      </c>
      <c r="AO364" s="32">
        <f t="shared" si="228"/>
        <v>-0.40716641738190851</v>
      </c>
      <c r="AP364" s="32">
        <f t="shared" si="229"/>
        <v>1.1389280942480622</v>
      </c>
      <c r="AQ364" s="32">
        <f t="shared" si="230"/>
        <v>8.7007697292389352</v>
      </c>
      <c r="AR364" s="32">
        <f t="shared" si="231"/>
        <v>11.037211059903786</v>
      </c>
      <c r="AS364" s="32">
        <f t="shared" si="211"/>
        <v>8.2858550868909706</v>
      </c>
      <c r="AT364" s="32">
        <f t="shared" si="212"/>
        <v>3.9916800000000001</v>
      </c>
      <c r="AU364" s="32">
        <f t="shared" si="213"/>
        <v>0.62564454068254138</v>
      </c>
      <c r="AV364" s="32">
        <f t="shared" si="214"/>
        <v>0.4946201299214309</v>
      </c>
      <c r="AW364" s="32">
        <f t="shared" si="215"/>
        <v>0.82826438988749418</v>
      </c>
      <c r="AX364" s="32">
        <f t="shared" si="216"/>
        <v>0.7470775464503866</v>
      </c>
      <c r="AY364" s="32">
        <f t="shared" si="217"/>
        <v>0.74211642672512823</v>
      </c>
      <c r="AZ364" s="32">
        <f t="shared" si="232"/>
        <v>0.21939534849844095</v>
      </c>
      <c r="BA364" s="32">
        <f t="shared" si="218"/>
        <v>-3.1161940217528836</v>
      </c>
      <c r="BB364" s="32">
        <f t="shared" si="233"/>
        <v>0.87548597824711649</v>
      </c>
      <c r="BC364" s="32">
        <f t="shared" si="219"/>
        <v>3.53</v>
      </c>
      <c r="BD364" s="32">
        <v>0</v>
      </c>
      <c r="BE364" s="32">
        <f t="shared" si="234"/>
        <v>0.78767096816894044</v>
      </c>
      <c r="BF364" s="32">
        <f t="shared" si="235"/>
        <v>4.5554541443812213E-2</v>
      </c>
      <c r="BG364" s="32">
        <f t="shared" si="236"/>
        <v>5.5602201507765472E-2</v>
      </c>
      <c r="BH364" s="32">
        <f t="shared" si="220"/>
        <v>0.14439433449133654</v>
      </c>
      <c r="BI364" s="32">
        <f t="shared" si="221"/>
        <v>4.7021875135730078E-2</v>
      </c>
      <c r="BJ364" s="32">
        <f t="shared" si="222"/>
        <v>0.19141620962706662</v>
      </c>
      <c r="BK364" s="457">
        <f t="shared" si="223"/>
        <v>0.2670474175015462</v>
      </c>
      <c r="BL364" s="2"/>
    </row>
    <row r="365" spans="1:64" ht="15">
      <c r="A365" s="119"/>
      <c r="B365" s="480">
        <f>Input!B382</f>
        <v>38347</v>
      </c>
      <c r="C365" s="481">
        <v>1</v>
      </c>
      <c r="D365" s="481">
        <f t="shared" si="224"/>
        <v>12</v>
      </c>
      <c r="E365" s="481">
        <f t="shared" si="225"/>
        <v>26</v>
      </c>
      <c r="F365" s="481">
        <f t="shared" si="199"/>
        <v>361</v>
      </c>
      <c r="G365" s="431">
        <v>1.6415999999999999</v>
      </c>
      <c r="H365" s="455">
        <v>5.32</v>
      </c>
      <c r="I365" s="455">
        <v>4.5999999999999996</v>
      </c>
      <c r="J365" s="455">
        <v>2.2000000000000002</v>
      </c>
      <c r="K365" s="485"/>
      <c r="L365" s="433">
        <v>100</v>
      </c>
      <c r="M365" s="455">
        <v>89</v>
      </c>
      <c r="N365" s="484">
        <f>Weather!M366</f>
        <v>5.6</v>
      </c>
      <c r="O365" s="481">
        <f t="shared" si="226"/>
        <v>1</v>
      </c>
      <c r="P365" s="4">
        <f t="shared" si="238"/>
        <v>0.25983469090210043</v>
      </c>
      <c r="Q365" s="169">
        <f t="shared" si="200"/>
        <v>0.89198912046887679</v>
      </c>
      <c r="R365" s="169">
        <f t="shared" si="201"/>
        <v>0.84825220792722944</v>
      </c>
      <c r="S365" s="169">
        <f t="shared" si="202"/>
        <v>0.79387031721730039</v>
      </c>
      <c r="T365" s="169">
        <f t="shared" si="203"/>
        <v>0.84825220792722944</v>
      </c>
      <c r="U365" s="169">
        <f t="shared" si="204"/>
        <v>0.82106126257226486</v>
      </c>
      <c r="V365" s="169">
        <f t="shared" si="205"/>
        <v>1.7129597728934822E-2</v>
      </c>
      <c r="W365" s="439">
        <f t="shared" si="206"/>
        <v>4.1356963559832485</v>
      </c>
      <c r="X365" s="439">
        <f t="shared" si="207"/>
        <v>4.1356963559832485</v>
      </c>
      <c r="Y365" s="169"/>
      <c r="Z365" s="119" t="str">
        <f t="shared" si="208"/>
        <v/>
      </c>
      <c r="AA365" s="4" t="str">
        <f t="shared" si="209"/>
        <v/>
      </c>
      <c r="AB365" s="466"/>
      <c r="AC365" s="466"/>
      <c r="AD365" s="466"/>
      <c r="AE365" s="466"/>
      <c r="AF365" s="466"/>
      <c r="AG365" s="466"/>
      <c r="AH365" s="466"/>
      <c r="AI365" s="466"/>
      <c r="AJ365" s="466"/>
      <c r="AK365" s="466"/>
      <c r="AL365" s="466"/>
      <c r="AM365" s="462">
        <f t="shared" si="210"/>
        <v>361</v>
      </c>
      <c r="AN365" s="32">
        <f t="shared" si="227"/>
        <v>1.0329218000751172</v>
      </c>
      <c r="AO365" s="32">
        <f t="shared" si="228"/>
        <v>-0.40644019719899055</v>
      </c>
      <c r="AP365" s="32">
        <f t="shared" si="229"/>
        <v>1.1398480517691609</v>
      </c>
      <c r="AQ365" s="32">
        <f t="shared" si="230"/>
        <v>8.7077976870109719</v>
      </c>
      <c r="AR365" s="32">
        <f t="shared" si="231"/>
        <v>11.065500204586929</v>
      </c>
      <c r="AS365" s="32">
        <f t="shared" si="211"/>
        <v>8.3070923135874999</v>
      </c>
      <c r="AT365" s="32">
        <f t="shared" si="212"/>
        <v>1.264032</v>
      </c>
      <c r="AU365" s="32">
        <f t="shared" si="213"/>
        <v>0.3</v>
      </c>
      <c r="AV365" s="32">
        <f t="shared" si="214"/>
        <v>5.5000000000000049E-2</v>
      </c>
      <c r="AW365" s="32">
        <f t="shared" si="215"/>
        <v>0.89198912046887679</v>
      </c>
      <c r="AX365" s="32">
        <f t="shared" si="216"/>
        <v>0.84825220792722944</v>
      </c>
      <c r="AY365" s="32">
        <f t="shared" si="217"/>
        <v>0.82106126257226486</v>
      </c>
      <c r="AZ365" s="32">
        <f t="shared" si="232"/>
        <v>0.21314259680091041</v>
      </c>
      <c r="BA365" s="32">
        <f t="shared" si="218"/>
        <v>-0.34363691276163616</v>
      </c>
      <c r="BB365" s="32">
        <f t="shared" si="233"/>
        <v>0.92039508723836394</v>
      </c>
      <c r="BC365" s="32">
        <f t="shared" si="219"/>
        <v>4.96</v>
      </c>
      <c r="BD365" s="32">
        <v>0</v>
      </c>
      <c r="BE365" s="32">
        <f t="shared" si="234"/>
        <v>0.87012066419805312</v>
      </c>
      <c r="BF365" s="32">
        <f t="shared" si="235"/>
        <v>4.9059401625788257E-2</v>
      </c>
      <c r="BG365" s="32">
        <f t="shared" si="236"/>
        <v>6.0753736570600993E-2</v>
      </c>
      <c r="BH365" s="32">
        <f t="shared" si="220"/>
        <v>0.12812205739014285</v>
      </c>
      <c r="BI365" s="32">
        <f t="shared" si="221"/>
        <v>0.13171263351195756</v>
      </c>
      <c r="BJ365" s="32">
        <f t="shared" si="222"/>
        <v>0.25983469090210043</v>
      </c>
      <c r="BK365" s="457">
        <f t="shared" si="223"/>
        <v>0.20061865207772689</v>
      </c>
      <c r="BL365" s="2"/>
    </row>
    <row r="366" spans="1:64" ht="15">
      <c r="A366" s="119"/>
      <c r="B366" s="480">
        <f>Input!B383</f>
        <v>38348</v>
      </c>
      <c r="C366" s="481">
        <v>1</v>
      </c>
      <c r="D366" s="481">
        <f t="shared" si="224"/>
        <v>12</v>
      </c>
      <c r="E366" s="481">
        <f t="shared" si="225"/>
        <v>27</v>
      </c>
      <c r="F366" s="481">
        <f t="shared" si="199"/>
        <v>362</v>
      </c>
      <c r="G366" s="431">
        <v>2.2464</v>
      </c>
      <c r="H366" s="455">
        <v>5.58</v>
      </c>
      <c r="I366" s="455">
        <v>4.5</v>
      </c>
      <c r="J366" s="455">
        <v>1.3</v>
      </c>
      <c r="K366" s="485"/>
      <c r="L366" s="433">
        <v>100</v>
      </c>
      <c r="M366" s="455">
        <v>88</v>
      </c>
      <c r="N366" s="484">
        <f>Weather!M367</f>
        <v>0</v>
      </c>
      <c r="O366" s="481" t="str">
        <f t="shared" si="226"/>
        <v/>
      </c>
      <c r="P366" s="4">
        <f t="shared" si="238"/>
        <v>0.31620608472521305</v>
      </c>
      <c r="Q366" s="169">
        <f t="shared" si="200"/>
        <v>0.90826471975554679</v>
      </c>
      <c r="R366" s="169">
        <f t="shared" si="201"/>
        <v>0.84232974477864808</v>
      </c>
      <c r="S366" s="169">
        <f t="shared" si="202"/>
        <v>0.79927295338488114</v>
      </c>
      <c r="T366" s="169">
        <f t="shared" si="203"/>
        <v>0.84232974477864808</v>
      </c>
      <c r="U366" s="169">
        <f t="shared" si="204"/>
        <v>0.82080134908176461</v>
      </c>
      <c r="V366" s="169">
        <f t="shared" si="205"/>
        <v>1.7111264892229947E-2</v>
      </c>
      <c r="W366" s="439">
        <f t="shared" si="206"/>
        <v>4.1311930983530374</v>
      </c>
      <c r="X366" s="439">
        <f t="shared" si="207"/>
        <v>4.1311930983530374</v>
      </c>
      <c r="Y366" s="169"/>
      <c r="Z366" s="119" t="str">
        <f t="shared" si="208"/>
        <v/>
      </c>
      <c r="AA366" s="4" t="str">
        <f t="shared" si="209"/>
        <v/>
      </c>
      <c r="AB366" s="466"/>
      <c r="AC366" s="466"/>
      <c r="AD366" s="466"/>
      <c r="AE366" s="466"/>
      <c r="AF366" s="466"/>
      <c r="AG366" s="466"/>
      <c r="AH366" s="466"/>
      <c r="AI366" s="466"/>
      <c r="AJ366" s="466"/>
      <c r="AK366" s="466"/>
      <c r="AL366" s="466"/>
      <c r="AM366" s="462">
        <f t="shared" si="210"/>
        <v>362</v>
      </c>
      <c r="AN366" s="32">
        <f t="shared" si="227"/>
        <v>1.0329560049375197</v>
      </c>
      <c r="AO366" s="32">
        <f t="shared" si="228"/>
        <v>-0.40559354001394465</v>
      </c>
      <c r="AP366" s="32">
        <f t="shared" si="229"/>
        <v>1.1409193596719143</v>
      </c>
      <c r="AQ366" s="32">
        <f t="shared" si="230"/>
        <v>8.7159818765292094</v>
      </c>
      <c r="AR366" s="32">
        <f t="shared" si="231"/>
        <v>11.098318137796882</v>
      </c>
      <c r="AS366" s="32">
        <f t="shared" si="211"/>
        <v>8.331729392406876</v>
      </c>
      <c r="AT366" s="32">
        <f t="shared" si="212"/>
        <v>1.7297279999999999</v>
      </c>
      <c r="AU366" s="32">
        <f t="shared" si="213"/>
        <v>0.3</v>
      </c>
      <c r="AV366" s="32">
        <f t="shared" si="214"/>
        <v>5.5000000000000049E-2</v>
      </c>
      <c r="AW366" s="32">
        <f t="shared" si="215"/>
        <v>0.90826471975554679</v>
      </c>
      <c r="AX366" s="32">
        <f t="shared" si="216"/>
        <v>0.84232974477864808</v>
      </c>
      <c r="AY366" s="32">
        <f t="shared" si="217"/>
        <v>0.82080134908176461</v>
      </c>
      <c r="AZ366" s="32">
        <f t="shared" si="232"/>
        <v>0.21316267725151802</v>
      </c>
      <c r="BA366" s="32">
        <f t="shared" si="218"/>
        <v>-0.34406921135575119</v>
      </c>
      <c r="BB366" s="32">
        <f t="shared" si="233"/>
        <v>1.3856587886442489</v>
      </c>
      <c r="BC366" s="32">
        <f t="shared" si="219"/>
        <v>5.04</v>
      </c>
      <c r="BD366" s="32">
        <v>0</v>
      </c>
      <c r="BE366" s="32">
        <f t="shared" si="234"/>
        <v>0.87529723226709744</v>
      </c>
      <c r="BF366" s="32">
        <f t="shared" si="235"/>
        <v>5.4495883185332827E-2</v>
      </c>
      <c r="BG366" s="32">
        <f t="shared" si="236"/>
        <v>6.1053626880896904E-2</v>
      </c>
      <c r="BH366" s="32">
        <f t="shared" si="220"/>
        <v>0.21869421493497113</v>
      </c>
      <c r="BI366" s="32">
        <f t="shared" si="221"/>
        <v>9.7511869790241915E-2</v>
      </c>
      <c r="BJ366" s="32">
        <f t="shared" si="222"/>
        <v>0.31620608472521305</v>
      </c>
      <c r="BK366" s="457">
        <f t="shared" si="223"/>
        <v>0.24730158443829117</v>
      </c>
      <c r="BL366" s="2"/>
    </row>
    <row r="367" spans="1:64" ht="15">
      <c r="A367" s="119"/>
      <c r="B367" s="480">
        <f>Input!B384</f>
        <v>38349</v>
      </c>
      <c r="C367" s="481">
        <v>1</v>
      </c>
      <c r="D367" s="481">
        <f t="shared" si="224"/>
        <v>12</v>
      </c>
      <c r="E367" s="481">
        <f t="shared" si="225"/>
        <v>28</v>
      </c>
      <c r="F367" s="481">
        <f t="shared" si="199"/>
        <v>363</v>
      </c>
      <c r="G367" s="431">
        <v>1.3824000000000001</v>
      </c>
      <c r="H367" s="455">
        <v>6.39</v>
      </c>
      <c r="I367" s="455">
        <v>1.4</v>
      </c>
      <c r="J367" s="455">
        <v>2.37</v>
      </c>
      <c r="K367" s="485"/>
      <c r="L367" s="433">
        <v>100</v>
      </c>
      <c r="M367" s="455">
        <v>88</v>
      </c>
      <c r="N367" s="484">
        <f>Weather!M368</f>
        <v>0</v>
      </c>
      <c r="O367" s="481" t="str">
        <f t="shared" si="226"/>
        <v/>
      </c>
      <c r="P367" s="4">
        <f t="shared" si="238"/>
        <v>0.26095749933563839</v>
      </c>
      <c r="Q367" s="169">
        <f t="shared" si="200"/>
        <v>0.96066018105152307</v>
      </c>
      <c r="R367" s="169">
        <f t="shared" si="201"/>
        <v>0.67590997623515991</v>
      </c>
      <c r="S367" s="169">
        <f t="shared" si="202"/>
        <v>0.8453809593253403</v>
      </c>
      <c r="T367" s="169">
        <f t="shared" si="203"/>
        <v>0.67590997623515991</v>
      </c>
      <c r="U367" s="169">
        <f t="shared" si="204"/>
        <v>0.76064546778025011</v>
      </c>
      <c r="V367" s="169">
        <f t="shared" si="205"/>
        <v>1.2703983740349051E-2</v>
      </c>
      <c r="W367" s="439">
        <f t="shared" si="206"/>
        <v>3.0534462733940577</v>
      </c>
      <c r="X367" s="439">
        <f t="shared" si="207"/>
        <v>3.0534462733940577</v>
      </c>
      <c r="Y367" s="169"/>
      <c r="Z367" s="119" t="str">
        <f t="shared" si="208"/>
        <v/>
      </c>
      <c r="AA367" s="4" t="str">
        <f t="shared" si="209"/>
        <v/>
      </c>
      <c r="AB367" s="466"/>
      <c r="AC367" s="466"/>
      <c r="AD367" s="466"/>
      <c r="AE367" s="466"/>
      <c r="AF367" s="466"/>
      <c r="AG367" s="466"/>
      <c r="AH367" s="466"/>
      <c r="AI367" s="466"/>
      <c r="AJ367" s="466"/>
      <c r="AK367" s="466"/>
      <c r="AL367" s="466"/>
      <c r="AM367" s="462">
        <f t="shared" si="210"/>
        <v>363</v>
      </c>
      <c r="AN367" s="32">
        <f t="shared" si="227"/>
        <v>1.0329804442244102</v>
      </c>
      <c r="AO367" s="32">
        <f t="shared" si="228"/>
        <v>-0.40462669670956714</v>
      </c>
      <c r="AP367" s="32">
        <f t="shared" si="229"/>
        <v>1.1421411491689175</v>
      </c>
      <c r="AQ367" s="32">
        <f t="shared" si="230"/>
        <v>8.7253156607467677</v>
      </c>
      <c r="AR367" s="32">
        <f t="shared" si="231"/>
        <v>11.135662600818794</v>
      </c>
      <c r="AS367" s="32">
        <f t="shared" si="211"/>
        <v>8.359764627686685</v>
      </c>
      <c r="AT367" s="32">
        <f t="shared" si="212"/>
        <v>1.0644480000000001</v>
      </c>
      <c r="AU367" s="32">
        <f t="shared" si="213"/>
        <v>0.3</v>
      </c>
      <c r="AV367" s="32">
        <f t="shared" si="214"/>
        <v>5.5000000000000049E-2</v>
      </c>
      <c r="AW367" s="32">
        <f t="shared" si="215"/>
        <v>0.96066018105152307</v>
      </c>
      <c r="AX367" s="32">
        <f t="shared" si="216"/>
        <v>0.67590997623515991</v>
      </c>
      <c r="AY367" s="32">
        <f t="shared" si="217"/>
        <v>0.76064546778025011</v>
      </c>
      <c r="AZ367" s="32">
        <f t="shared" si="232"/>
        <v>0.21789901241802792</v>
      </c>
      <c r="BA367" s="32">
        <f t="shared" si="218"/>
        <v>-0.34611991347168647</v>
      </c>
      <c r="BB367" s="32">
        <f t="shared" si="233"/>
        <v>0.71832808652831359</v>
      </c>
      <c r="BC367" s="32">
        <f t="shared" si="219"/>
        <v>3.8949999999999996</v>
      </c>
      <c r="BD367" s="32">
        <v>0</v>
      </c>
      <c r="BE367" s="32">
        <f t="shared" si="234"/>
        <v>0.81828507864334155</v>
      </c>
      <c r="BF367" s="32">
        <f t="shared" si="235"/>
        <v>5.7639610863091439E-2</v>
      </c>
      <c r="BG367" s="32">
        <f t="shared" si="236"/>
        <v>5.6880097356112373E-2</v>
      </c>
      <c r="BH367" s="32">
        <f t="shared" si="220"/>
        <v>9.3615210837264248E-2</v>
      </c>
      <c r="BI367" s="32">
        <f t="shared" si="221"/>
        <v>0.16734228849837415</v>
      </c>
      <c r="BJ367" s="32">
        <f t="shared" si="222"/>
        <v>0.26095749933563839</v>
      </c>
      <c r="BK367" s="457">
        <f t="shared" si="223"/>
        <v>0.5066263134961364</v>
      </c>
      <c r="BL367" s="2"/>
    </row>
    <row r="368" spans="1:64" ht="15">
      <c r="A368" s="119"/>
      <c r="B368" s="480">
        <f>Input!B385</f>
        <v>38350</v>
      </c>
      <c r="C368" s="481">
        <v>1</v>
      </c>
      <c r="D368" s="481">
        <f t="shared" si="224"/>
        <v>12</v>
      </c>
      <c r="E368" s="481">
        <f t="shared" si="225"/>
        <v>29</v>
      </c>
      <c r="F368" s="481">
        <f t="shared" si="199"/>
        <v>364</v>
      </c>
      <c r="G368" s="431">
        <v>2.0735999999999999</v>
      </c>
      <c r="H368" s="455">
        <v>2.4300000000000002</v>
      </c>
      <c r="I368" s="455">
        <v>-1.6</v>
      </c>
      <c r="J368" s="455">
        <v>0.69</v>
      </c>
      <c r="K368" s="485"/>
      <c r="L368" s="433">
        <v>100</v>
      </c>
      <c r="M368" s="455">
        <v>89</v>
      </c>
      <c r="N368" s="484">
        <f>Weather!M369</f>
        <v>0.2</v>
      </c>
      <c r="O368" s="481" t="str">
        <f t="shared" si="226"/>
        <v/>
      </c>
      <c r="P368" s="4">
        <f t="shared" si="238"/>
        <v>0.22814842508288211</v>
      </c>
      <c r="Q368" s="169">
        <f t="shared" si="200"/>
        <v>0.72765370930265016</v>
      </c>
      <c r="R368" s="169">
        <f t="shared" si="201"/>
        <v>0.54323162893430843</v>
      </c>
      <c r="S368" s="169">
        <f t="shared" si="202"/>
        <v>0.64761180127935869</v>
      </c>
      <c r="T368" s="169">
        <f t="shared" si="203"/>
        <v>0.54323162893430843</v>
      </c>
      <c r="U368" s="169">
        <f t="shared" si="204"/>
        <v>0.5954217151068335</v>
      </c>
      <c r="V368" s="169">
        <f t="shared" si="205"/>
        <v>-1.4765288922191965E-3</v>
      </c>
      <c r="W368" s="439">
        <f t="shared" si="206"/>
        <v>-0.34986372222940432</v>
      </c>
      <c r="X368" s="439">
        <f t="shared" si="207"/>
        <v>-0.34986372222940432</v>
      </c>
      <c r="Y368" s="169"/>
      <c r="Z368" s="119" t="str">
        <f t="shared" si="208"/>
        <v/>
      </c>
      <c r="AA368" s="4" t="str">
        <f t="shared" si="209"/>
        <v/>
      </c>
      <c r="AB368" s="466"/>
      <c r="AC368" s="466"/>
      <c r="AD368" s="466"/>
      <c r="AE368" s="466"/>
      <c r="AF368" s="466"/>
      <c r="AG368" s="466"/>
      <c r="AH368" s="466"/>
      <c r="AI368" s="466"/>
      <c r="AJ368" s="466"/>
      <c r="AK368" s="466"/>
      <c r="AL368" s="466"/>
      <c r="AM368" s="462">
        <f t="shared" si="210"/>
        <v>364</v>
      </c>
      <c r="AN368" s="32">
        <f t="shared" si="227"/>
        <v>1.0329951106939008</v>
      </c>
      <c r="AO368" s="32">
        <f t="shared" si="228"/>
        <v>-0.40353995378239521</v>
      </c>
      <c r="AP368" s="32">
        <f t="shared" si="229"/>
        <v>1.1435124347932011</v>
      </c>
      <c r="AQ368" s="32">
        <f t="shared" si="230"/>
        <v>8.7357915112505573</v>
      </c>
      <c r="AR368" s="32">
        <f t="shared" si="231"/>
        <v>11.17753077850808</v>
      </c>
      <c r="AS368" s="32">
        <f t="shared" si="211"/>
        <v>8.3911959060415864</v>
      </c>
      <c r="AT368" s="32">
        <f t="shared" si="212"/>
        <v>1.5966719999999999</v>
      </c>
      <c r="AU368" s="32">
        <f t="shared" si="213"/>
        <v>0.3</v>
      </c>
      <c r="AV368" s="32">
        <f t="shared" si="214"/>
        <v>5.5000000000000049E-2</v>
      </c>
      <c r="AW368" s="32">
        <f t="shared" si="215"/>
        <v>0.72765370930265016</v>
      </c>
      <c r="AX368" s="32">
        <f t="shared" si="216"/>
        <v>0.54323162893430843</v>
      </c>
      <c r="AY368" s="32">
        <f t="shared" si="217"/>
        <v>0.5954217151068335</v>
      </c>
      <c r="AZ368" s="32">
        <f t="shared" si="232"/>
        <v>0.23197099641256552</v>
      </c>
      <c r="BA368" s="32">
        <f t="shared" si="218"/>
        <v>-0.35024822209137096</v>
      </c>
      <c r="BB368" s="32">
        <f t="shared" si="233"/>
        <v>1.2464237779086289</v>
      </c>
      <c r="BC368" s="32">
        <f t="shared" si="219"/>
        <v>0.41500000000000004</v>
      </c>
      <c r="BD368" s="32">
        <v>0</v>
      </c>
      <c r="BE368" s="32">
        <f t="shared" si="234"/>
        <v>0.63544266911847935</v>
      </c>
      <c r="BF368" s="32">
        <f t="shared" si="235"/>
        <v>4.0020954011645848E-2</v>
      </c>
      <c r="BG368" s="32">
        <f t="shared" si="236"/>
        <v>4.5662285689712839E-2</v>
      </c>
      <c r="BH368" s="32">
        <f t="shared" si="220"/>
        <v>0.1806813617519003</v>
      </c>
      <c r="BI368" s="32">
        <f t="shared" si="221"/>
        <v>4.7467063330981794E-2</v>
      </c>
      <c r="BJ368" s="32">
        <f t="shared" si="222"/>
        <v>0.22814842508288211</v>
      </c>
      <c r="BK368" s="457">
        <f t="shared" si="223"/>
        <v>0.3836978137989232</v>
      </c>
      <c r="BL368" s="2"/>
    </row>
    <row r="369" spans="1:64" ht="15">
      <c r="A369" s="119"/>
      <c r="B369" s="480">
        <f>Input!B386</f>
        <v>38351</v>
      </c>
      <c r="C369" s="481">
        <v>1</v>
      </c>
      <c r="D369" s="481">
        <f t="shared" si="224"/>
        <v>12</v>
      </c>
      <c r="E369" s="481">
        <f t="shared" si="225"/>
        <v>30</v>
      </c>
      <c r="F369" s="481">
        <f t="shared" si="199"/>
        <v>365</v>
      </c>
      <c r="G369" s="431">
        <v>5.5296000000000003</v>
      </c>
      <c r="H369" s="455">
        <v>2.2599999999999998</v>
      </c>
      <c r="I369" s="455">
        <v>-0.7</v>
      </c>
      <c r="J369" s="455">
        <v>1.58</v>
      </c>
      <c r="K369" s="485"/>
      <c r="L369" s="433">
        <v>100</v>
      </c>
      <c r="M369" s="455">
        <v>88</v>
      </c>
      <c r="N369" s="484">
        <f>Weather!M370</f>
        <v>0.2</v>
      </c>
      <c r="O369" s="481" t="str">
        <f t="shared" si="226"/>
        <v/>
      </c>
      <c r="P369" s="4">
        <f t="shared" si="238"/>
        <v>0.20739844704395816</v>
      </c>
      <c r="Q369" s="169">
        <f t="shared" si="200"/>
        <v>0.71887975293860928</v>
      </c>
      <c r="R369" s="169">
        <f t="shared" si="201"/>
        <v>0.58037526258967109</v>
      </c>
      <c r="S369" s="169">
        <f t="shared" si="202"/>
        <v>0.63261418258597613</v>
      </c>
      <c r="T369" s="169">
        <f t="shared" si="203"/>
        <v>0.58037526258967109</v>
      </c>
      <c r="U369" s="169">
        <f t="shared" si="204"/>
        <v>0.60649472258782366</v>
      </c>
      <c r="V369" s="169">
        <f t="shared" si="205"/>
        <v>-4.0958577995312668E-4</v>
      </c>
      <c r="W369" s="439">
        <f t="shared" si="206"/>
        <v>-9.7154912312341246E-2</v>
      </c>
      <c r="X369" s="439">
        <f t="shared" si="207"/>
        <v>-9.7154912312341246E-2</v>
      </c>
      <c r="Y369" s="169"/>
      <c r="Z369" s="119" t="str">
        <f t="shared" si="208"/>
        <v/>
      </c>
      <c r="AA369" s="4" t="str">
        <f t="shared" si="209"/>
        <v/>
      </c>
      <c r="AB369" s="466"/>
      <c r="AC369" s="466"/>
      <c r="AD369" s="466"/>
      <c r="AE369" s="466"/>
      <c r="AF369" s="466"/>
      <c r="AG369" s="466"/>
      <c r="AH369" s="466"/>
      <c r="AI369" s="466"/>
      <c r="AJ369" s="466"/>
      <c r="AK369" s="466"/>
      <c r="AL369" s="466"/>
      <c r="AM369" s="462">
        <f t="shared" si="210"/>
        <v>365</v>
      </c>
      <c r="AN369" s="32">
        <f t="shared" si="227"/>
        <v>1.0329999999999999</v>
      </c>
      <c r="AO369" s="32">
        <f t="shared" si="228"/>
        <v>-0.40233363325781207</v>
      </c>
      <c r="AP369" s="32">
        <f t="shared" si="229"/>
        <v>1.14503211725689</v>
      </c>
      <c r="AQ369" s="32">
        <f t="shared" si="230"/>
        <v>8.7474010300998124</v>
      </c>
      <c r="AR369" s="32">
        <f t="shared" si="231"/>
        <v>11.223919267645512</v>
      </c>
      <c r="AS369" s="32">
        <f t="shared" si="211"/>
        <v>8.426020672606839</v>
      </c>
      <c r="AT369" s="32">
        <f t="shared" si="212"/>
        <v>4.2577920000000002</v>
      </c>
      <c r="AU369" s="32">
        <f t="shared" si="213"/>
        <v>0.65625284043947818</v>
      </c>
      <c r="AV369" s="32">
        <f t="shared" si="214"/>
        <v>0.53594133459329563</v>
      </c>
      <c r="AW369" s="32">
        <f t="shared" si="215"/>
        <v>0.71887975293860928</v>
      </c>
      <c r="AX369" s="32">
        <f t="shared" si="216"/>
        <v>0.58037526258967109</v>
      </c>
      <c r="AY369" s="32">
        <f t="shared" si="217"/>
        <v>0.60649472258782366</v>
      </c>
      <c r="AZ369" s="32">
        <f t="shared" si="232"/>
        <v>0.23097112051056684</v>
      </c>
      <c r="BA369" s="32">
        <f t="shared" si="218"/>
        <v>-3.4159024713028723</v>
      </c>
      <c r="BB369" s="32">
        <f t="shared" si="233"/>
        <v>0.84188952869712796</v>
      </c>
      <c r="BC369" s="32">
        <f t="shared" si="219"/>
        <v>0.77999999999999992</v>
      </c>
      <c r="BD369" s="32">
        <v>0</v>
      </c>
      <c r="BE369" s="32">
        <f t="shared" si="234"/>
        <v>0.64962750776414024</v>
      </c>
      <c r="BF369" s="32">
        <f t="shared" si="235"/>
        <v>4.3132785176316579E-2</v>
      </c>
      <c r="BG369" s="32">
        <f t="shared" si="236"/>
        <v>4.6741598655819734E-2</v>
      </c>
      <c r="BH369" s="32">
        <f t="shared" si="220"/>
        <v>0.10710147254108099</v>
      </c>
      <c r="BI369" s="32">
        <f t="shared" si="221"/>
        <v>0.10029697450287718</v>
      </c>
      <c r="BJ369" s="32">
        <f>IF(BH369="","",IF(BI369="","",BH369+BI369))</f>
        <v>0.20739844704395816</v>
      </c>
      <c r="BK369" s="457">
        <f t="shared" si="223"/>
        <v>0.33681998411752434</v>
      </c>
      <c r="BL369" s="2"/>
    </row>
    <row r="370" spans="1:64" ht="15">
      <c r="A370" s="119"/>
      <c r="B370" s="480">
        <f>Input!B387</f>
        <v>38352</v>
      </c>
      <c r="C370" s="481">
        <f>IF(AND(D$369=12,E$369=31),2,1)</f>
        <v>1</v>
      </c>
      <c r="D370" s="481">
        <f t="shared" si="224"/>
        <v>12</v>
      </c>
      <c r="E370" s="481">
        <f t="shared" si="225"/>
        <v>31</v>
      </c>
      <c r="F370" s="481">
        <f t="shared" si="199"/>
        <v>366</v>
      </c>
      <c r="G370" s="431">
        <v>5.5296000000000003</v>
      </c>
      <c r="H370" s="455">
        <v>2.2599999999999998</v>
      </c>
      <c r="I370" s="455">
        <v>-0.7</v>
      </c>
      <c r="J370" s="455">
        <v>1.58</v>
      </c>
      <c r="K370" s="485"/>
      <c r="L370" s="461">
        <v>100</v>
      </c>
      <c r="M370" s="455">
        <v>88</v>
      </c>
      <c r="N370" s="484">
        <f>Weather!M371</f>
        <v>0.2</v>
      </c>
      <c r="O370" s="481" t="str">
        <f t="shared" si="226"/>
        <v/>
      </c>
      <c r="P370" s="4">
        <f t="shared" si="238"/>
        <v>0.21064171067586901</v>
      </c>
      <c r="Q370" s="169">
        <f t="shared" si="200"/>
        <v>0.71887975293860928</v>
      </c>
      <c r="R370" s="169">
        <f t="shared" si="201"/>
        <v>0.58037526258967109</v>
      </c>
      <c r="S370" s="169">
        <f t="shared" si="202"/>
        <v>0.63261418258597613</v>
      </c>
      <c r="T370" s="169">
        <f t="shared" si="203"/>
        <v>0.58037526258967109</v>
      </c>
      <c r="U370" s="169">
        <f t="shared" ref="U370:U433" si="239">IF(OR(S370="",T370=""),"",(S370+T370)/2)</f>
        <v>0.60649472258782366</v>
      </c>
      <c r="V370" s="169">
        <f t="shared" ref="V370:V433" si="240">IF(U370="","",LN(U370/0.6108)/17.27)</f>
        <v>-4.0958577995312668E-4</v>
      </c>
      <c r="W370" s="439">
        <f t="shared" ref="W370:W433" si="241">IF(ISNUMBER(V370),237.3*(V370/(1-V370)),"")</f>
        <v>-9.7154912312341246E-2</v>
      </c>
      <c r="X370" s="439">
        <f t="shared" si="207"/>
        <v>-9.7154912312341246E-2</v>
      </c>
      <c r="Y370" s="169"/>
      <c r="Z370" s="119" t="str">
        <f t="shared" si="208"/>
        <v/>
      </c>
      <c r="AA370" s="4" t="str">
        <f t="shared" si="209"/>
        <v/>
      </c>
      <c r="AB370" s="466"/>
      <c r="AC370" s="466"/>
      <c r="AD370" s="466"/>
      <c r="AE370" s="466"/>
      <c r="AF370" s="466"/>
      <c r="AG370" s="466"/>
      <c r="AH370" s="466"/>
      <c r="AI370" s="466"/>
      <c r="AJ370" s="466"/>
      <c r="AK370" s="466"/>
      <c r="AL370" s="466"/>
      <c r="AM370" s="462">
        <f>F370</f>
        <v>366</v>
      </c>
      <c r="AN370" s="32">
        <f t="shared" si="227"/>
        <v>1.0329951106939008</v>
      </c>
      <c r="AO370" s="32">
        <f t="shared" si="228"/>
        <v>-0.40100809259462372</v>
      </c>
      <c r="AP370" s="32">
        <f t="shared" si="229"/>
        <v>1.1466989866100503</v>
      </c>
      <c r="AQ370" s="32">
        <f t="shared" si="230"/>
        <v>8.7601349739579177</v>
      </c>
      <c r="AR370" s="32">
        <f t="shared" si="231"/>
        <v>11.274824042054822</v>
      </c>
      <c r="AS370" s="32">
        <f t="shared" si="211"/>
        <v>8.4642359048513978</v>
      </c>
      <c r="AT370" s="32">
        <f t="shared" si="212"/>
        <v>4.2577920000000002</v>
      </c>
      <c r="AU370" s="32">
        <f t="shared" si="213"/>
        <v>0.65328992033771538</v>
      </c>
      <c r="AV370" s="32">
        <f t="shared" si="214"/>
        <v>0.53194139245591587</v>
      </c>
      <c r="AW370" s="32">
        <f t="shared" si="215"/>
        <v>0.71887975293860928</v>
      </c>
      <c r="AX370" s="32">
        <f t="shared" si="216"/>
        <v>0.58037526258967109</v>
      </c>
      <c r="AY370" s="32">
        <f t="shared" si="217"/>
        <v>0.60649472258782366</v>
      </c>
      <c r="AZ370" s="32">
        <f t="shared" si="232"/>
        <v>0.23097112051056684</v>
      </c>
      <c r="BA370" s="32">
        <f t="shared" si="218"/>
        <v>-3.3904082402178362</v>
      </c>
      <c r="BB370" s="32">
        <f t="shared" si="233"/>
        <v>0.86738375978216409</v>
      </c>
      <c r="BC370" s="32">
        <f t="shared" si="219"/>
        <v>0.77999999999999992</v>
      </c>
      <c r="BD370" s="32">
        <v>0</v>
      </c>
      <c r="BE370" s="32">
        <f t="shared" si="234"/>
        <v>0.64962750776414024</v>
      </c>
      <c r="BF370" s="32">
        <f t="shared" si="235"/>
        <v>4.3132785176316579E-2</v>
      </c>
      <c r="BG370" s="32">
        <f t="shared" si="236"/>
        <v>4.6741598655819734E-2</v>
      </c>
      <c r="BH370" s="32">
        <f t="shared" si="220"/>
        <v>0.11034473617299184</v>
      </c>
      <c r="BI370" s="32">
        <f t="shared" si="221"/>
        <v>0.10029697450287718</v>
      </c>
      <c r="BJ370" s="32">
        <f t="shared" ref="BJ370:BJ433" si="242">IF(BH370="","",IF(BI370="","",BH370+BI370))</f>
        <v>0.21064171067586901</v>
      </c>
      <c r="BK370" s="457">
        <f t="shared" si="223"/>
        <v>0.33834759180065116</v>
      </c>
      <c r="BL370" s="2"/>
    </row>
    <row r="371" spans="1:64" ht="15">
      <c r="A371" s="119"/>
      <c r="B371" s="480">
        <f>Input!B388</f>
        <v>38353</v>
      </c>
      <c r="C371" s="481">
        <v>2</v>
      </c>
      <c r="D371" s="481">
        <f>MONTH(B371)</f>
        <v>1</v>
      </c>
      <c r="E371" s="481">
        <f>DAY(B371)</f>
        <v>1</v>
      </c>
      <c r="F371" s="481">
        <f>B371-DATE(YEAR(B371)-1,12,31)</f>
        <v>1</v>
      </c>
      <c r="G371" s="431">
        <v>2.7648000000000001</v>
      </c>
      <c r="H371" s="433">
        <v>0.33</v>
      </c>
      <c r="I371" s="433">
        <v>-5</v>
      </c>
      <c r="J371" s="433">
        <v>0.56000000000000005</v>
      </c>
      <c r="K371" s="484"/>
      <c r="L371" s="433">
        <v>98</v>
      </c>
      <c r="M371" s="433">
        <v>88</v>
      </c>
      <c r="N371" s="484">
        <f>Weather!M372</f>
        <v>0</v>
      </c>
      <c r="O371" s="481" t="str">
        <f t="shared" si="226"/>
        <v/>
      </c>
      <c r="P371" s="4">
        <f t="shared" si="238"/>
        <v>0.24825455305211253</v>
      </c>
      <c r="Q371" s="169">
        <f t="shared" si="200"/>
        <v>0.62562594232901214</v>
      </c>
      <c r="R371" s="169">
        <f t="shared" si="201"/>
        <v>0.42117649202727186</v>
      </c>
      <c r="S371" s="169">
        <f t="shared" si="202"/>
        <v>0.55055082924953069</v>
      </c>
      <c r="T371" s="169">
        <f t="shared" si="203"/>
        <v>0.41275296218672641</v>
      </c>
      <c r="U371" s="169">
        <f t="shared" si="239"/>
        <v>0.48165189571812855</v>
      </c>
      <c r="V371" s="169">
        <f t="shared" si="240"/>
        <v>-1.3754946627991942E-2</v>
      </c>
      <c r="W371" s="439">
        <f t="shared" si="241"/>
        <v>-3.2197611914788169</v>
      </c>
      <c r="X371" s="439">
        <f t="shared" si="207"/>
        <v>-3.2197611914788169</v>
      </c>
      <c r="Y371" s="169"/>
      <c r="Z371" s="119" t="str">
        <f t="shared" si="208"/>
        <v/>
      </c>
      <c r="AA371" s="4" t="str">
        <f t="shared" si="209"/>
        <v/>
      </c>
      <c r="AB371" s="466"/>
      <c r="AC371" s="466"/>
      <c r="AD371" s="466"/>
      <c r="AE371" s="466"/>
      <c r="AF371" s="466"/>
      <c r="AG371" s="466"/>
      <c r="AH371" s="466"/>
      <c r="AI371" s="466"/>
      <c r="AJ371" s="466"/>
      <c r="AK371" s="466"/>
      <c r="AL371" s="466"/>
      <c r="AM371" s="462">
        <f t="shared" ref="AM371:AM434" si="243">F371</f>
        <v>1</v>
      </c>
      <c r="AN371" s="32">
        <f t="shared" si="227"/>
        <v>1.0329951106939008</v>
      </c>
      <c r="AO371" s="32">
        <f t="shared" si="228"/>
        <v>-0.40100809259462372</v>
      </c>
      <c r="AP371" s="32">
        <f t="shared" si="229"/>
        <v>1.1466989866100503</v>
      </c>
      <c r="AQ371" s="32">
        <f t="shared" si="230"/>
        <v>8.7601349739579177</v>
      </c>
      <c r="AR371" s="32">
        <f t="shared" si="231"/>
        <v>11.274824042054822</v>
      </c>
      <c r="AS371" s="32">
        <f t="shared" si="211"/>
        <v>8.4642359048513978</v>
      </c>
      <c r="AT371" s="32">
        <f t="shared" si="212"/>
        <v>2.1288960000000001</v>
      </c>
      <c r="AU371" s="32">
        <f t="shared" si="213"/>
        <v>0.32664496016885769</v>
      </c>
      <c r="AV371" s="32">
        <f t="shared" si="214"/>
        <v>9.0970696227957948E-2</v>
      </c>
      <c r="AW371" s="32">
        <f t="shared" si="215"/>
        <v>0.62562594232901214</v>
      </c>
      <c r="AX371" s="32">
        <f t="shared" si="216"/>
        <v>0.42117649202727186</v>
      </c>
      <c r="AY371" s="32">
        <f t="shared" si="217"/>
        <v>0.48165189571812861</v>
      </c>
      <c r="AZ371" s="32">
        <f t="shared" si="232"/>
        <v>0.24283839669871993</v>
      </c>
      <c r="BA371" s="32">
        <f t="shared" si="218"/>
        <v>-0.582583375419224</v>
      </c>
      <c r="BB371" s="32">
        <f t="shared" si="233"/>
        <v>1.5463126245807761</v>
      </c>
      <c r="BC371" s="32">
        <f t="shared" si="219"/>
        <v>-2.335</v>
      </c>
      <c r="BD371" s="32">
        <v>0</v>
      </c>
      <c r="BE371" s="32">
        <f t="shared" si="234"/>
        <v>0.52340121717814203</v>
      </c>
      <c r="BF371" s="32">
        <f t="shared" si="235"/>
        <v>4.1749321460013422E-2</v>
      </c>
      <c r="BG371" s="32">
        <f t="shared" si="236"/>
        <v>3.819755619470331E-2</v>
      </c>
      <c r="BH371" s="32">
        <f t="shared" si="220"/>
        <v>0.20407256268940138</v>
      </c>
      <c r="BI371" s="32">
        <f t="shared" si="221"/>
        <v>4.4181990362711143E-2</v>
      </c>
      <c r="BJ371" s="32">
        <f t="shared" si="242"/>
        <v>0.24825455305211253</v>
      </c>
      <c r="BK371" s="457">
        <f t="shared" si="223"/>
        <v>0.37790710174859526</v>
      </c>
      <c r="BL371" s="2"/>
    </row>
    <row r="372" spans="1:64" ht="15">
      <c r="A372" s="119"/>
      <c r="B372" s="480">
        <f>Input!B389</f>
        <v>38354</v>
      </c>
      <c r="C372" s="481">
        <v>2</v>
      </c>
      <c r="D372" s="481">
        <f t="shared" ref="D372:D435" si="244">MONTH(B372)</f>
        <v>1</v>
      </c>
      <c r="E372" s="481">
        <f t="shared" ref="E372:E435" si="245">DAY(B372)</f>
        <v>2</v>
      </c>
      <c r="F372" s="481">
        <f t="shared" ref="F372:F435" si="246">B372-DATE(YEAR(B372)-1,12,31)</f>
        <v>2</v>
      </c>
      <c r="G372" s="431">
        <v>4.2336</v>
      </c>
      <c r="H372" s="455">
        <v>2.57</v>
      </c>
      <c r="I372" s="455">
        <v>-2.2000000000000002</v>
      </c>
      <c r="J372" s="455">
        <v>1.74</v>
      </c>
      <c r="K372" s="485"/>
      <c r="L372" s="433">
        <v>98</v>
      </c>
      <c r="M372" s="455">
        <v>89</v>
      </c>
      <c r="N372" s="484">
        <f>Weather!M373</f>
        <v>0</v>
      </c>
      <c r="O372" s="481" t="str">
        <f t="shared" si="226"/>
        <v/>
      </c>
      <c r="P372" s="4">
        <f t="shared" si="238"/>
        <v>0.26135759193647401</v>
      </c>
      <c r="Q372" s="169">
        <f t="shared" si="200"/>
        <v>0.73495018124524325</v>
      </c>
      <c r="R372" s="169">
        <f t="shared" si="201"/>
        <v>0.51965324203018892</v>
      </c>
      <c r="S372" s="169">
        <f t="shared" si="202"/>
        <v>0.65410566130826653</v>
      </c>
      <c r="T372" s="169">
        <f t="shared" si="203"/>
        <v>0.50926017718958516</v>
      </c>
      <c r="U372" s="169">
        <f t="shared" si="239"/>
        <v>0.5816829192489259</v>
      </c>
      <c r="V372" s="169">
        <f t="shared" si="240"/>
        <v>-2.8282620940502786E-3</v>
      </c>
      <c r="W372" s="439">
        <f t="shared" si="241"/>
        <v>-0.66925376984956542</v>
      </c>
      <c r="X372" s="439">
        <f t="shared" si="207"/>
        <v>-0.66925376984956542</v>
      </c>
      <c r="Y372" s="169"/>
      <c r="Z372" s="119" t="str">
        <f t="shared" si="208"/>
        <v/>
      </c>
      <c r="AA372" s="4" t="str">
        <f t="shared" si="209"/>
        <v/>
      </c>
      <c r="AB372" s="466"/>
      <c r="AC372" s="466"/>
      <c r="AD372" s="466"/>
      <c r="AE372" s="466"/>
      <c r="AF372" s="466"/>
      <c r="AG372" s="466"/>
      <c r="AH372" s="466"/>
      <c r="AI372" s="466"/>
      <c r="AJ372" s="466"/>
      <c r="AK372" s="466"/>
      <c r="AL372" s="466"/>
      <c r="AM372" s="462">
        <f t="shared" si="243"/>
        <v>2</v>
      </c>
      <c r="AN372" s="32">
        <f t="shared" si="227"/>
        <v>1.0329804442244102</v>
      </c>
      <c r="AO372" s="32">
        <f t="shared" si="228"/>
        <v>-0.39956372457913614</v>
      </c>
      <c r="AP372" s="32">
        <f t="shared" si="229"/>
        <v>1.1485117256809652</v>
      </c>
      <c r="AQ372" s="32">
        <f t="shared" si="230"/>
        <v>8.7739832803741695</v>
      </c>
      <c r="AR372" s="32">
        <f t="shared" si="231"/>
        <v>11.330240414667351</v>
      </c>
      <c r="AS372" s="32">
        <f t="shared" si="211"/>
        <v>8.505838084099075</v>
      </c>
      <c r="AT372" s="32">
        <f t="shared" si="212"/>
        <v>3.2598720000000001</v>
      </c>
      <c r="AU372" s="32">
        <f t="shared" si="213"/>
        <v>0.49772873150669861</v>
      </c>
      <c r="AV372" s="32">
        <f t="shared" si="214"/>
        <v>0.32193378753404323</v>
      </c>
      <c r="AW372" s="32">
        <f t="shared" si="215"/>
        <v>0.73495018124524325</v>
      </c>
      <c r="AX372" s="32">
        <f t="shared" si="216"/>
        <v>0.51965324203018892</v>
      </c>
      <c r="AY372" s="32">
        <f t="shared" si="217"/>
        <v>0.5816829192489259</v>
      </c>
      <c r="AZ372" s="32">
        <f t="shared" si="232"/>
        <v>0.23322460387674065</v>
      </c>
      <c r="BA372" s="32">
        <f t="shared" si="218"/>
        <v>-2.0545482010138691</v>
      </c>
      <c r="BB372" s="32">
        <f t="shared" si="233"/>
        <v>1.205323798986131</v>
      </c>
      <c r="BC372" s="32">
        <f t="shared" si="219"/>
        <v>0.18499999999999983</v>
      </c>
      <c r="BD372" s="32">
        <v>0</v>
      </c>
      <c r="BE372" s="32">
        <f t="shared" si="234"/>
        <v>0.62730171163771609</v>
      </c>
      <c r="BF372" s="32">
        <f t="shared" si="235"/>
        <v>4.5618792388790186E-2</v>
      </c>
      <c r="BG372" s="32">
        <f t="shared" si="236"/>
        <v>4.4993239151754301E-2</v>
      </c>
      <c r="BH372" s="32">
        <f t="shared" si="220"/>
        <v>0.1457506546245807</v>
      </c>
      <c r="BI372" s="32">
        <f t="shared" si="221"/>
        <v>0.1156069373118933</v>
      </c>
      <c r="BJ372" s="32">
        <f t="shared" si="242"/>
        <v>0.26135759193647401</v>
      </c>
      <c r="BK372" s="457">
        <f t="shared" si="223"/>
        <v>0.4178019941509391</v>
      </c>
      <c r="BL372" s="2"/>
    </row>
    <row r="373" spans="1:64" ht="15">
      <c r="A373" s="119"/>
      <c r="B373" s="480">
        <f>Input!B390</f>
        <v>38355</v>
      </c>
      <c r="C373" s="481">
        <v>2</v>
      </c>
      <c r="D373" s="481">
        <f t="shared" si="244"/>
        <v>1</v>
      </c>
      <c r="E373" s="481">
        <f t="shared" si="245"/>
        <v>3</v>
      </c>
      <c r="F373" s="481">
        <f t="shared" si="246"/>
        <v>3</v>
      </c>
      <c r="G373" s="431">
        <v>5.7888000000000002</v>
      </c>
      <c r="H373" s="455">
        <v>3.47</v>
      </c>
      <c r="I373" s="455">
        <v>-0.8</v>
      </c>
      <c r="J373" s="455">
        <v>2.6</v>
      </c>
      <c r="K373" s="485"/>
      <c r="L373" s="433">
        <v>99</v>
      </c>
      <c r="M373" s="455">
        <v>89</v>
      </c>
      <c r="N373" s="484">
        <f>Weather!M374</f>
        <v>0</v>
      </c>
      <c r="O373" s="481" t="str">
        <f t="shared" si="226"/>
        <v/>
      </c>
      <c r="P373" s="4">
        <f t="shared" si="238"/>
        <v>0.24892768940826782</v>
      </c>
      <c r="Q373" s="169">
        <f t="shared" si="200"/>
        <v>0.78341803771588003</v>
      </c>
      <c r="R373" s="169">
        <f t="shared" si="201"/>
        <v>0.57614016245714772</v>
      </c>
      <c r="S373" s="169">
        <f t="shared" si="202"/>
        <v>0.6972420535671332</v>
      </c>
      <c r="T373" s="169">
        <f t="shared" si="203"/>
        <v>0.57037876083257621</v>
      </c>
      <c r="U373" s="169">
        <f t="shared" si="239"/>
        <v>0.63381040719985471</v>
      </c>
      <c r="V373" s="169">
        <f t="shared" si="240"/>
        <v>2.1413024956091348E-3</v>
      </c>
      <c r="W373" s="439">
        <f t="shared" si="241"/>
        <v>0.50922147943277496</v>
      </c>
      <c r="X373" s="439">
        <f t="shared" si="207"/>
        <v>0.50922147943277496</v>
      </c>
      <c r="Y373" s="169"/>
      <c r="Z373" s="119" t="str">
        <f t="shared" si="208"/>
        <v/>
      </c>
      <c r="AA373" s="4" t="str">
        <f t="shared" si="209"/>
        <v/>
      </c>
      <c r="AB373" s="466"/>
      <c r="AC373" s="466"/>
      <c r="AD373" s="466"/>
      <c r="AE373" s="466"/>
      <c r="AF373" s="466"/>
      <c r="AG373" s="466"/>
      <c r="AH373" s="466"/>
      <c r="AI373" s="466"/>
      <c r="AJ373" s="466"/>
      <c r="AK373" s="466"/>
      <c r="AL373" s="466"/>
      <c r="AM373" s="462">
        <f t="shared" si="243"/>
        <v>3</v>
      </c>
      <c r="AN373" s="32">
        <f t="shared" si="227"/>
        <v>1.0329560049375197</v>
      </c>
      <c r="AO373" s="32">
        <f t="shared" si="228"/>
        <v>-0.39800095720876433</v>
      </c>
      <c r="AP373" s="32">
        <f t="shared" si="229"/>
        <v>1.150468913777718</v>
      </c>
      <c r="AQ373" s="32">
        <f t="shared" si="230"/>
        <v>8.7889350960617936</v>
      </c>
      <c r="AR373" s="32">
        <f t="shared" si="231"/>
        <v>11.390162996734581</v>
      </c>
      <c r="AS373" s="32">
        <f t="shared" si="211"/>
        <v>8.5508231649085857</v>
      </c>
      <c r="AT373" s="32">
        <f t="shared" si="212"/>
        <v>4.457376</v>
      </c>
      <c r="AU373" s="32">
        <f t="shared" si="213"/>
        <v>0.67698745353037437</v>
      </c>
      <c r="AV373" s="32">
        <f t="shared" si="214"/>
        <v>0.56393306226600548</v>
      </c>
      <c r="AW373" s="32">
        <f t="shared" si="215"/>
        <v>0.78341803771588003</v>
      </c>
      <c r="AX373" s="32">
        <f t="shared" si="216"/>
        <v>0.57614016245714772</v>
      </c>
      <c r="AY373" s="32">
        <f t="shared" si="217"/>
        <v>0.63381040719985471</v>
      </c>
      <c r="AZ373" s="32">
        <f t="shared" si="232"/>
        <v>0.2285429052006237</v>
      </c>
      <c r="BA373" s="32">
        <f t="shared" si="218"/>
        <v>-3.5861088590040899</v>
      </c>
      <c r="BB373" s="32">
        <f t="shared" si="233"/>
        <v>0.87126714099591007</v>
      </c>
      <c r="BC373" s="32">
        <f t="shared" si="219"/>
        <v>1.335</v>
      </c>
      <c r="BD373" s="32">
        <v>0</v>
      </c>
      <c r="BE373" s="32">
        <f t="shared" si="234"/>
        <v>0.67977910008651388</v>
      </c>
      <c r="BF373" s="32">
        <f t="shared" si="235"/>
        <v>4.5968692886659168E-2</v>
      </c>
      <c r="BG373" s="32">
        <f t="shared" si="236"/>
        <v>4.8424766353332302E-2</v>
      </c>
      <c r="BH373" s="32">
        <f t="shared" si="220"/>
        <v>9.8440789871973855E-2</v>
      </c>
      <c r="BI373" s="32">
        <f t="shared" si="221"/>
        <v>0.15048689953629396</v>
      </c>
      <c r="BJ373" s="32">
        <f t="shared" si="242"/>
        <v>0.24892768940826782</v>
      </c>
      <c r="BK373" s="457">
        <f t="shared" si="223"/>
        <v>0.42279913949686665</v>
      </c>
      <c r="BL373" s="2"/>
    </row>
    <row r="374" spans="1:64" ht="15">
      <c r="A374" s="119"/>
      <c r="B374" s="480">
        <f>Input!B391</f>
        <v>38356</v>
      </c>
      <c r="C374" s="481">
        <v>2</v>
      </c>
      <c r="D374" s="481">
        <f t="shared" si="244"/>
        <v>1</v>
      </c>
      <c r="E374" s="481">
        <f t="shared" si="245"/>
        <v>4</v>
      </c>
      <c r="F374" s="481">
        <f t="shared" si="246"/>
        <v>4</v>
      </c>
      <c r="G374" s="431">
        <v>7.4303999999999997</v>
      </c>
      <c r="H374" s="455">
        <v>0.04</v>
      </c>
      <c r="I374" s="455">
        <v>-2</v>
      </c>
      <c r="J374" s="455">
        <v>1.54</v>
      </c>
      <c r="K374" s="485"/>
      <c r="L374" s="433">
        <v>98</v>
      </c>
      <c r="M374" s="455">
        <v>89</v>
      </c>
      <c r="N374" s="484">
        <f>Weather!M375</f>
        <v>0</v>
      </c>
      <c r="O374" s="481" t="str">
        <f t="shared" si="226"/>
        <v/>
      </c>
      <c r="P374" s="4">
        <f t="shared" si="238"/>
        <v>0.15123086696486165</v>
      </c>
      <c r="Q374" s="169">
        <f t="shared" si="200"/>
        <v>0.61258037956009093</v>
      </c>
      <c r="R374" s="169">
        <f t="shared" si="201"/>
        <v>0.52741000445547548</v>
      </c>
      <c r="S374" s="169">
        <f t="shared" si="202"/>
        <v>0.54519653780848099</v>
      </c>
      <c r="T374" s="169">
        <f t="shared" si="203"/>
        <v>0.51686180436636597</v>
      </c>
      <c r="U374" s="169">
        <f t="shared" si="239"/>
        <v>0.53102917108742353</v>
      </c>
      <c r="V374" s="169">
        <f t="shared" si="240"/>
        <v>-8.1037995064832183E-3</v>
      </c>
      <c r="W374" s="439">
        <f t="shared" si="241"/>
        <v>-1.9075730334811623</v>
      </c>
      <c r="X374" s="439">
        <f t="shared" si="207"/>
        <v>-1.9075730334811623</v>
      </c>
      <c r="Y374" s="169"/>
      <c r="Z374" s="119" t="str">
        <f t="shared" si="208"/>
        <v/>
      </c>
      <c r="AA374" s="4" t="str">
        <f t="shared" si="209"/>
        <v/>
      </c>
      <c r="AB374" s="466"/>
      <c r="AC374" s="466"/>
      <c r="AD374" s="466"/>
      <c r="AE374" s="466"/>
      <c r="AF374" s="466"/>
      <c r="AG374" s="466"/>
      <c r="AH374" s="466"/>
      <c r="AI374" s="466"/>
      <c r="AJ374" s="466"/>
      <c r="AK374" s="466"/>
      <c r="AL374" s="466"/>
      <c r="AM374" s="462">
        <f t="shared" si="243"/>
        <v>4</v>
      </c>
      <c r="AN374" s="32">
        <f t="shared" si="227"/>
        <v>1.0329218000751172</v>
      </c>
      <c r="AO374" s="32">
        <f t="shared" si="228"/>
        <v>-0.39632025356520739</v>
      </c>
      <c r="AP374" s="32">
        <f t="shared" si="229"/>
        <v>1.1525690306297893</v>
      </c>
      <c r="AQ374" s="32">
        <f t="shared" si="230"/>
        <v>8.8049788070095261</v>
      </c>
      <c r="AR374" s="32">
        <f t="shared" si="231"/>
        <v>11.45458565440361</v>
      </c>
      <c r="AS374" s="32">
        <f t="shared" si="211"/>
        <v>8.5991865424738787</v>
      </c>
      <c r="AT374" s="32">
        <f t="shared" si="212"/>
        <v>5.7214080000000003</v>
      </c>
      <c r="AU374" s="32">
        <f t="shared" si="213"/>
        <v>0.86408173183580761</v>
      </c>
      <c r="AV374" s="32">
        <f t="shared" si="214"/>
        <v>0.81651033797834038</v>
      </c>
      <c r="AW374" s="32">
        <f t="shared" si="215"/>
        <v>0.61258037956009093</v>
      </c>
      <c r="AX374" s="32">
        <f t="shared" si="216"/>
        <v>0.52741000445547548</v>
      </c>
      <c r="AY374" s="32">
        <f t="shared" si="217"/>
        <v>0.53102917108742353</v>
      </c>
      <c r="AZ374" s="32">
        <f t="shared" si="232"/>
        <v>0.23797955227841089</v>
      </c>
      <c r="BA374" s="32">
        <f t="shared" si="218"/>
        <v>-5.2251049803881466</v>
      </c>
      <c r="BB374" s="32">
        <f t="shared" si="233"/>
        <v>0.49630301961185364</v>
      </c>
      <c r="BC374" s="32">
        <f t="shared" si="219"/>
        <v>-0.98</v>
      </c>
      <c r="BD374" s="32">
        <v>0</v>
      </c>
      <c r="BE374" s="32">
        <f t="shared" si="234"/>
        <v>0.56999519200778326</v>
      </c>
      <c r="BF374" s="32">
        <f t="shared" si="235"/>
        <v>3.8966020920359723E-2</v>
      </c>
      <c r="BG374" s="32">
        <f t="shared" si="236"/>
        <v>4.1732364618198022E-2</v>
      </c>
      <c r="BH374" s="32">
        <f t="shared" si="220"/>
        <v>5.8689605622174151E-2</v>
      </c>
      <c r="BI374" s="32">
        <f t="shared" si="221"/>
        <v>9.2541261342687517E-2</v>
      </c>
      <c r="BJ374" s="32">
        <f t="shared" si="242"/>
        <v>0.15123086696486165</v>
      </c>
      <c r="BK374" s="457">
        <f t="shared" si="223"/>
        <v>0.25833438212345061</v>
      </c>
    </row>
    <row r="375" spans="1:64" ht="15">
      <c r="A375" s="119"/>
      <c r="B375" s="480">
        <f>Input!B392</f>
        <v>38357</v>
      </c>
      <c r="C375" s="481">
        <v>2</v>
      </c>
      <c r="D375" s="481">
        <f t="shared" si="244"/>
        <v>1</v>
      </c>
      <c r="E375" s="481">
        <f t="shared" si="245"/>
        <v>5</v>
      </c>
      <c r="F375" s="481">
        <f t="shared" si="246"/>
        <v>5</v>
      </c>
      <c r="G375" s="431">
        <v>3.3696000000000002</v>
      </c>
      <c r="H375" s="455">
        <v>1.83</v>
      </c>
      <c r="I375" s="455">
        <v>-1.5</v>
      </c>
      <c r="J375" s="455">
        <v>1.75</v>
      </c>
      <c r="K375" s="485"/>
      <c r="L375" s="433">
        <v>96</v>
      </c>
      <c r="M375" s="455">
        <v>89</v>
      </c>
      <c r="N375" s="484">
        <f>Weather!M376</f>
        <v>0</v>
      </c>
      <c r="O375" s="481" t="str">
        <f t="shared" si="226"/>
        <v/>
      </c>
      <c r="P375" s="4">
        <f t="shared" si="238"/>
        <v>0.30270884965245604</v>
      </c>
      <c r="Q375" s="169">
        <f t="shared" si="200"/>
        <v>0.69710246853877922</v>
      </c>
      <c r="R375" s="169">
        <f t="shared" si="201"/>
        <v>0.54725207192028802</v>
      </c>
      <c r="S375" s="169">
        <f t="shared" si="202"/>
        <v>0.62042119699951348</v>
      </c>
      <c r="T375" s="169">
        <f t="shared" si="203"/>
        <v>0.52536198904347653</v>
      </c>
      <c r="U375" s="169">
        <f t="shared" si="239"/>
        <v>0.57289159302149506</v>
      </c>
      <c r="V375" s="169">
        <f t="shared" si="240"/>
        <v>-3.7100791235294222E-3</v>
      </c>
      <c r="W375" s="439">
        <f t="shared" si="241"/>
        <v>-0.87714748942476095</v>
      </c>
      <c r="X375" s="439">
        <f t="shared" si="207"/>
        <v>-0.87714748942476095</v>
      </c>
      <c r="Y375" s="169"/>
      <c r="Z375" s="119" t="str">
        <f t="shared" si="208"/>
        <v/>
      </c>
      <c r="AA375" s="4" t="str">
        <f t="shared" si="209"/>
        <v/>
      </c>
      <c r="AB375" s="466"/>
      <c r="AC375" s="466"/>
      <c r="AD375" s="466"/>
      <c r="AE375" s="466"/>
      <c r="AF375" s="466"/>
      <c r="AG375" s="466"/>
      <c r="AH375" s="466"/>
      <c r="AI375" s="466"/>
      <c r="AJ375" s="466"/>
      <c r="AK375" s="466"/>
      <c r="AL375" s="466"/>
      <c r="AM375" s="462">
        <f t="shared" si="243"/>
        <v>5</v>
      </c>
      <c r="AN375" s="32">
        <f t="shared" si="227"/>
        <v>1.032877839772842</v>
      </c>
      <c r="AO375" s="32">
        <f t="shared" si="228"/>
        <v>-0.3945221116772275</v>
      </c>
      <c r="AP375" s="32">
        <f t="shared" si="229"/>
        <v>1.154810460547409</v>
      </c>
      <c r="AQ375" s="32">
        <f t="shared" si="230"/>
        <v>8.8221020702567206</v>
      </c>
      <c r="AR375" s="32">
        <f t="shared" si="231"/>
        <v>11.523501462883949</v>
      </c>
      <c r="AS375" s="32">
        <f t="shared" si="211"/>
        <v>8.6509230182162398</v>
      </c>
      <c r="AT375" s="32">
        <f t="shared" si="212"/>
        <v>2.594592</v>
      </c>
      <c r="AU375" s="32">
        <f t="shared" si="213"/>
        <v>0.38950756964368277</v>
      </c>
      <c r="AV375" s="32">
        <f t="shared" si="214"/>
        <v>0.17583521901897181</v>
      </c>
      <c r="AW375" s="32">
        <f t="shared" si="215"/>
        <v>0.69710246853877922</v>
      </c>
      <c r="AX375" s="32">
        <f t="shared" si="216"/>
        <v>0.54725207192028802</v>
      </c>
      <c r="AY375" s="32">
        <f t="shared" si="217"/>
        <v>0.57289159302149506</v>
      </c>
      <c r="AZ375" s="32">
        <f t="shared" si="232"/>
        <v>0.2340345564666419</v>
      </c>
      <c r="BA375" s="32">
        <f t="shared" si="218"/>
        <v>-1.1254663009018302</v>
      </c>
      <c r="BB375" s="32">
        <f t="shared" si="233"/>
        <v>1.4691256990981698</v>
      </c>
      <c r="BC375" s="32">
        <f t="shared" si="219"/>
        <v>0.16500000000000004</v>
      </c>
      <c r="BD375" s="32">
        <v>0</v>
      </c>
      <c r="BE375" s="32">
        <f t="shared" si="234"/>
        <v>0.62217727022953362</v>
      </c>
      <c r="BF375" s="32">
        <f t="shared" si="235"/>
        <v>4.9285677208038559E-2</v>
      </c>
      <c r="BG375" s="32">
        <f t="shared" si="236"/>
        <v>4.4935461845039007E-2</v>
      </c>
      <c r="BH375" s="32">
        <f t="shared" si="220"/>
        <v>0.17722315618595585</v>
      </c>
      <c r="BI375" s="32">
        <f t="shared" si="221"/>
        <v>0.12548569346650015</v>
      </c>
      <c r="BJ375" s="32">
        <f t="shared" si="242"/>
        <v>0.30270884965245604</v>
      </c>
      <c r="BK375" s="457">
        <f t="shared" si="223"/>
        <v>0.35464639635167788</v>
      </c>
    </row>
    <row r="376" spans="1:64" ht="15">
      <c r="A376" s="119"/>
      <c r="B376" s="480">
        <f>Input!B393</f>
        <v>38358</v>
      </c>
      <c r="C376" s="481">
        <v>2</v>
      </c>
      <c r="D376" s="481">
        <f t="shared" si="244"/>
        <v>1</v>
      </c>
      <c r="E376" s="481">
        <f t="shared" si="245"/>
        <v>6</v>
      </c>
      <c r="F376" s="481">
        <f t="shared" si="246"/>
        <v>6</v>
      </c>
      <c r="G376" s="431">
        <v>5.8752000000000004</v>
      </c>
      <c r="H376" s="455">
        <v>5.2</v>
      </c>
      <c r="I376" s="455">
        <v>0.3</v>
      </c>
      <c r="J376" s="455">
        <v>4.84</v>
      </c>
      <c r="K376" s="485"/>
      <c r="L376" s="433">
        <v>99</v>
      </c>
      <c r="M376" s="455">
        <v>88</v>
      </c>
      <c r="N376" s="484">
        <f>Weather!M377</f>
        <v>0</v>
      </c>
      <c r="O376" s="481" t="str">
        <f t="shared" si="226"/>
        <v/>
      </c>
      <c r="P376" s="4">
        <f t="shared" si="238"/>
        <v>0.34935131767173</v>
      </c>
      <c r="Q376" s="169">
        <f t="shared" si="200"/>
        <v>0.88456442308191707</v>
      </c>
      <c r="R376" s="169">
        <f t="shared" si="201"/>
        <v>0.62426510687057923</v>
      </c>
      <c r="S376" s="169">
        <f t="shared" si="202"/>
        <v>0.77841669231208699</v>
      </c>
      <c r="T376" s="169">
        <f t="shared" si="203"/>
        <v>0.61802245580187343</v>
      </c>
      <c r="U376" s="169">
        <f t="shared" si="239"/>
        <v>0.69821957405698021</v>
      </c>
      <c r="V376" s="169">
        <f t="shared" si="240"/>
        <v>7.7454577858773023E-3</v>
      </c>
      <c r="W376" s="439">
        <f t="shared" si="241"/>
        <v>1.8523443878496804</v>
      </c>
      <c r="X376" s="439">
        <f t="shared" si="207"/>
        <v>1.8523443878496804</v>
      </c>
      <c r="Y376" s="169"/>
      <c r="Z376" s="119" t="str">
        <f t="shared" si="208"/>
        <v/>
      </c>
      <c r="AA376" s="4" t="str">
        <f t="shared" si="209"/>
        <v/>
      </c>
      <c r="AB376" s="466"/>
      <c r="AC376" s="466"/>
      <c r="AD376" s="466"/>
      <c r="AE376" s="466"/>
      <c r="AF376" s="466"/>
      <c r="AG376" s="466"/>
      <c r="AH376" s="466"/>
      <c r="AI376" s="466"/>
      <c r="AJ376" s="466"/>
      <c r="AK376" s="466"/>
      <c r="AL376" s="466"/>
      <c r="AM376" s="462">
        <f t="shared" si="243"/>
        <v>6</v>
      </c>
      <c r="AN376" s="32">
        <f t="shared" si="227"/>
        <v>1.0328241370570801</v>
      </c>
      <c r="AO376" s="32">
        <f t="shared" si="228"/>
        <v>-0.39260706437307313</v>
      </c>
      <c r="AP376" s="32">
        <f t="shared" si="229"/>
        <v>1.1571914967756392</v>
      </c>
      <c r="AQ376" s="32">
        <f t="shared" si="230"/>
        <v>8.8402918471560969</v>
      </c>
      <c r="AR376" s="32">
        <f t="shared" si="231"/>
        <v>11.596902658445222</v>
      </c>
      <c r="AS376" s="32">
        <f t="shared" si="211"/>
        <v>8.7060267637479978</v>
      </c>
      <c r="AT376" s="32">
        <f t="shared" si="212"/>
        <v>4.5239040000000008</v>
      </c>
      <c r="AU376" s="32">
        <f t="shared" si="213"/>
        <v>0.67484285994437843</v>
      </c>
      <c r="AV376" s="32">
        <f t="shared" si="214"/>
        <v>0.56103786092491092</v>
      </c>
      <c r="AW376" s="32">
        <f t="shared" si="215"/>
        <v>0.88456442308191707</v>
      </c>
      <c r="AX376" s="32">
        <f t="shared" si="216"/>
        <v>0.62426510687057923</v>
      </c>
      <c r="AY376" s="32">
        <f t="shared" si="217"/>
        <v>0.69821957405698021</v>
      </c>
      <c r="AZ376" s="32">
        <f t="shared" si="232"/>
        <v>0.2230166522469253</v>
      </c>
      <c r="BA376" s="32">
        <f t="shared" si="218"/>
        <v>-3.5541665554711703</v>
      </c>
      <c r="BB376" s="32">
        <f t="shared" si="233"/>
        <v>0.96973744452883048</v>
      </c>
      <c r="BC376" s="32">
        <f t="shared" si="219"/>
        <v>2.75</v>
      </c>
      <c r="BD376" s="32">
        <v>0</v>
      </c>
      <c r="BE376" s="32">
        <f t="shared" si="234"/>
        <v>0.75441476497624815</v>
      </c>
      <c r="BF376" s="32">
        <f t="shared" si="235"/>
        <v>5.6195190919267946E-2</v>
      </c>
      <c r="BG376" s="32">
        <f t="shared" si="236"/>
        <v>5.2953682852075044E-2</v>
      </c>
      <c r="BH376" s="32">
        <f t="shared" si="220"/>
        <v>9.0891951569881363E-2</v>
      </c>
      <c r="BI376" s="32">
        <f t="shared" si="221"/>
        <v>0.25845936610184866</v>
      </c>
      <c r="BJ376" s="32">
        <f t="shared" si="242"/>
        <v>0.34935131767173</v>
      </c>
      <c r="BK376" s="457">
        <f t="shared" si="223"/>
        <v>0.49523762215132322</v>
      </c>
    </row>
    <row r="377" spans="1:64" ht="15">
      <c r="A377" s="119"/>
      <c r="B377" s="480">
        <f>Input!B394</f>
        <v>38359</v>
      </c>
      <c r="C377" s="481">
        <v>2</v>
      </c>
      <c r="D377" s="481">
        <f t="shared" si="244"/>
        <v>1</v>
      </c>
      <c r="E377" s="481">
        <f t="shared" si="245"/>
        <v>7</v>
      </c>
      <c r="F377" s="481">
        <f t="shared" si="246"/>
        <v>7</v>
      </c>
      <c r="G377" s="431">
        <v>4.8384</v>
      </c>
      <c r="H377" s="455">
        <v>5.41</v>
      </c>
      <c r="I377" s="455">
        <v>1.8</v>
      </c>
      <c r="J377" s="455">
        <v>2.89</v>
      </c>
      <c r="K377" s="485"/>
      <c r="L377" s="433">
        <v>99</v>
      </c>
      <c r="M377" s="455">
        <v>60</v>
      </c>
      <c r="N377" s="484">
        <f>Weather!M378</f>
        <v>0</v>
      </c>
      <c r="O377" s="481" t="str">
        <f t="shared" si="226"/>
        <v/>
      </c>
      <c r="P377" s="4">
        <f t="shared" si="238"/>
        <v>0.74494176690550129</v>
      </c>
      <c r="Q377" s="169">
        <f t="shared" si="200"/>
        <v>0.89759364390352347</v>
      </c>
      <c r="R377" s="169">
        <f t="shared" si="201"/>
        <v>0.69560510427295241</v>
      </c>
      <c r="S377" s="169">
        <f t="shared" si="202"/>
        <v>0.53855618634211411</v>
      </c>
      <c r="T377" s="169">
        <f t="shared" si="203"/>
        <v>0.68864905323022285</v>
      </c>
      <c r="U377" s="169">
        <f t="shared" si="239"/>
        <v>0.61360261978616848</v>
      </c>
      <c r="V377" s="169">
        <f t="shared" si="240"/>
        <v>2.6508084734380656E-4</v>
      </c>
      <c r="W377" s="439">
        <f t="shared" si="241"/>
        <v>6.2920364058104999E-2</v>
      </c>
      <c r="X377" s="439">
        <f t="shared" si="207"/>
        <v>6.2920364058104999E-2</v>
      </c>
      <c r="Y377" s="169"/>
      <c r="Z377" s="119" t="str">
        <f t="shared" si="208"/>
        <v/>
      </c>
      <c r="AA377" s="4" t="str">
        <f t="shared" si="209"/>
        <v/>
      </c>
      <c r="AB377" s="466"/>
      <c r="AC377" s="466"/>
      <c r="AD377" s="466"/>
      <c r="AE377" s="466"/>
      <c r="AF377" s="466"/>
      <c r="AG377" s="466"/>
      <c r="AH377" s="466"/>
      <c r="AI377" s="466"/>
      <c r="AJ377" s="466"/>
      <c r="AK377" s="466"/>
      <c r="AL377" s="466"/>
      <c r="AM377" s="462">
        <f t="shared" si="243"/>
        <v>7</v>
      </c>
      <c r="AN377" s="32">
        <f t="shared" si="227"/>
        <v>1.0327607078411054</v>
      </c>
      <c r="AO377" s="32">
        <f t="shared" si="228"/>
        <v>-0.39057567912259061</v>
      </c>
      <c r="AP377" s="32">
        <f t="shared" si="229"/>
        <v>1.1597103460196203</v>
      </c>
      <c r="AQ377" s="32">
        <f t="shared" si="230"/>
        <v>8.8595344379440757</v>
      </c>
      <c r="AR377" s="32">
        <f t="shared" si="231"/>
        <v>11.674780588495578</v>
      </c>
      <c r="AS377" s="32">
        <f t="shared" si="211"/>
        <v>8.764491283395401</v>
      </c>
      <c r="AT377" s="32">
        <f t="shared" si="212"/>
        <v>3.725568</v>
      </c>
      <c r="AU377" s="32">
        <f t="shared" si="213"/>
        <v>0.55204573129834678</v>
      </c>
      <c r="AV377" s="32">
        <f t="shared" si="214"/>
        <v>0.39526173725276825</v>
      </c>
      <c r="AW377" s="32">
        <f t="shared" si="215"/>
        <v>0.89759364390352347</v>
      </c>
      <c r="AX377" s="32">
        <f t="shared" si="216"/>
        <v>0.69560510427295241</v>
      </c>
      <c r="AY377" s="32">
        <f t="shared" si="217"/>
        <v>0.61360261978616848</v>
      </c>
      <c r="AZ377" s="32">
        <f t="shared" si="232"/>
        <v>0.23033409213520867</v>
      </c>
      <c r="BA377" s="32">
        <f t="shared" si="218"/>
        <v>-2.6177719453132258</v>
      </c>
      <c r="BB377" s="32">
        <f t="shared" si="233"/>
        <v>1.1077960546867742</v>
      </c>
      <c r="BC377" s="32">
        <f t="shared" si="219"/>
        <v>3.605</v>
      </c>
      <c r="BD377" s="32">
        <v>0</v>
      </c>
      <c r="BE377" s="32">
        <f t="shared" si="234"/>
        <v>0.796599374088238</v>
      </c>
      <c r="BF377" s="32">
        <f t="shared" si="235"/>
        <v>0.18299675430206952</v>
      </c>
      <c r="BG377" s="32">
        <f t="shared" si="236"/>
        <v>5.5862752783633243E-2</v>
      </c>
      <c r="BH377" s="32">
        <f t="shared" si="220"/>
        <v>0.13364806482283073</v>
      </c>
      <c r="BI377" s="32">
        <f t="shared" si="221"/>
        <v>0.61129370208267053</v>
      </c>
      <c r="BJ377" s="32">
        <f t="shared" si="242"/>
        <v>0.74494176690550129</v>
      </c>
      <c r="BK377" s="457">
        <f t="shared" si="223"/>
        <v>0.44573764286970941</v>
      </c>
    </row>
    <row r="378" spans="1:64" ht="15">
      <c r="A378" s="119"/>
      <c r="B378" s="480">
        <f>Input!B395</f>
        <v>38360</v>
      </c>
      <c r="C378" s="481">
        <v>2</v>
      </c>
      <c r="D378" s="481">
        <f t="shared" si="244"/>
        <v>1</v>
      </c>
      <c r="E378" s="481">
        <f t="shared" si="245"/>
        <v>8</v>
      </c>
      <c r="F378" s="481">
        <f t="shared" si="246"/>
        <v>8</v>
      </c>
      <c r="G378" s="431">
        <v>5.7023999999999999</v>
      </c>
      <c r="H378" s="455">
        <v>2.75</v>
      </c>
      <c r="I378" s="455">
        <v>-2.2000000000000002</v>
      </c>
      <c r="J378" s="455">
        <v>1.49</v>
      </c>
      <c r="K378" s="485"/>
      <c r="L378" s="433">
        <v>99</v>
      </c>
      <c r="M378" s="455">
        <v>85</v>
      </c>
      <c r="N378" s="484">
        <f>Weather!M379</f>
        <v>0</v>
      </c>
      <c r="O378" s="481" t="str">
        <f t="shared" si="226"/>
        <v/>
      </c>
      <c r="P378" s="4">
        <f t="shared" si="238"/>
        <v>0.26305806961331835</v>
      </c>
      <c r="Q378" s="169">
        <f t="shared" si="200"/>
        <v>0.74442623885147108</v>
      </c>
      <c r="R378" s="169">
        <f t="shared" si="201"/>
        <v>0.51965324203018892</v>
      </c>
      <c r="S378" s="169">
        <f t="shared" si="202"/>
        <v>0.63276230302375036</v>
      </c>
      <c r="T378" s="169">
        <f t="shared" si="203"/>
        <v>0.51445670960988699</v>
      </c>
      <c r="U378" s="169">
        <f t="shared" si="239"/>
        <v>0.57360950631681873</v>
      </c>
      <c r="V378" s="169">
        <f t="shared" si="240"/>
        <v>-3.6375628905418378E-3</v>
      </c>
      <c r="W378" s="439">
        <f t="shared" si="241"/>
        <v>-0.86006513291463893</v>
      </c>
      <c r="X378" s="439">
        <f t="shared" si="207"/>
        <v>-0.86006513291463893</v>
      </c>
      <c r="Y378" s="169"/>
      <c r="Z378" s="119" t="str">
        <f t="shared" si="208"/>
        <v/>
      </c>
      <c r="AA378" s="4" t="str">
        <f t="shared" si="209"/>
        <v/>
      </c>
      <c r="AB378" s="466"/>
      <c r="AC378" s="466"/>
      <c r="AD378" s="466"/>
      <c r="AE378" s="466"/>
      <c r="AF378" s="466"/>
      <c r="AG378" s="466"/>
      <c r="AH378" s="466"/>
      <c r="AI378" s="466"/>
      <c r="AJ378" s="466"/>
      <c r="AK378" s="466"/>
      <c r="AL378" s="466"/>
      <c r="AM378" s="462">
        <f t="shared" si="243"/>
        <v>8</v>
      </c>
      <c r="AN378" s="32">
        <f t="shared" si="227"/>
        <v>1.0326875709203633</v>
      </c>
      <c r="AO378" s="32">
        <f t="shared" si="228"/>
        <v>-0.38842855786907049</v>
      </c>
      <c r="AP378" s="32">
        <f t="shared" si="229"/>
        <v>1.1623651331170564</v>
      </c>
      <c r="AQ378" s="32">
        <f t="shared" si="230"/>
        <v>8.8798155174359259</v>
      </c>
      <c r="AR378" s="32">
        <f t="shared" si="231"/>
        <v>11.757125659998668</v>
      </c>
      <c r="AS378" s="32">
        <f t="shared" si="211"/>
        <v>8.8263093754741995</v>
      </c>
      <c r="AT378" s="32">
        <f t="shared" si="212"/>
        <v>4.3908480000000001</v>
      </c>
      <c r="AU378" s="32">
        <f t="shared" si="213"/>
        <v>0.64606844802487273</v>
      </c>
      <c r="AV378" s="32">
        <f t="shared" si="214"/>
        <v>0.52219240483357832</v>
      </c>
      <c r="AW378" s="32">
        <f t="shared" si="215"/>
        <v>0.74442623885147108</v>
      </c>
      <c r="AX378" s="32">
        <f t="shared" si="216"/>
        <v>0.51965324203018892</v>
      </c>
      <c r="AY378" s="32">
        <f t="shared" si="217"/>
        <v>0.57360950631681873</v>
      </c>
      <c r="AZ378" s="32">
        <f t="shared" si="232"/>
        <v>0.23396818249313256</v>
      </c>
      <c r="BA378" s="32">
        <f t="shared" si="218"/>
        <v>-3.3477249695427407</v>
      </c>
      <c r="BB378" s="32">
        <f t="shared" si="233"/>
        <v>1.0431230304572594</v>
      </c>
      <c r="BC378" s="32">
        <f t="shared" si="219"/>
        <v>0.27499999999999991</v>
      </c>
      <c r="BD378" s="32">
        <v>0</v>
      </c>
      <c r="BE378" s="32">
        <f t="shared" si="234"/>
        <v>0.63203974044083</v>
      </c>
      <c r="BF378" s="32">
        <f t="shared" si="235"/>
        <v>5.8430234124011271E-2</v>
      </c>
      <c r="BG378" s="32">
        <f t="shared" si="236"/>
        <v>4.5254028642689161E-2</v>
      </c>
      <c r="BH378" s="32">
        <f t="shared" si="220"/>
        <v>0.13158666833055668</v>
      </c>
      <c r="BI378" s="32">
        <f t="shared" si="221"/>
        <v>0.13147140128276164</v>
      </c>
      <c r="BJ378" s="32">
        <f t="shared" si="242"/>
        <v>0.26305806961331835</v>
      </c>
      <c r="BK378" s="457">
        <f t="shared" si="223"/>
        <v>0.44385775995435089</v>
      </c>
    </row>
    <row r="379" spans="1:64" ht="15">
      <c r="A379" s="119"/>
      <c r="B379" s="480">
        <f>Input!B396</f>
        <v>38361</v>
      </c>
      <c r="C379" s="481">
        <v>2</v>
      </c>
      <c r="D379" s="481">
        <f t="shared" si="244"/>
        <v>1</v>
      </c>
      <c r="E379" s="481">
        <f t="shared" si="245"/>
        <v>9</v>
      </c>
      <c r="F379" s="481">
        <f t="shared" si="246"/>
        <v>9</v>
      </c>
      <c r="G379" s="431">
        <v>6.48</v>
      </c>
      <c r="H379" s="455">
        <v>4.75</v>
      </c>
      <c r="I379" s="455">
        <v>-0.9</v>
      </c>
      <c r="J379" s="455">
        <v>2.11</v>
      </c>
      <c r="K379" s="485"/>
      <c r="L379" s="433">
        <v>99</v>
      </c>
      <c r="M379" s="455">
        <v>82</v>
      </c>
      <c r="N379" s="484">
        <f>Weather!M380</f>
        <v>0</v>
      </c>
      <c r="O379" s="481" t="str">
        <f t="shared" si="226"/>
        <v/>
      </c>
      <c r="P379" s="4">
        <f t="shared" si="238"/>
        <v>0.33856750769321325</v>
      </c>
      <c r="Q379" s="169">
        <f t="shared" si="200"/>
        <v>0.85720476631365738</v>
      </c>
      <c r="R379" s="169">
        <f t="shared" si="201"/>
        <v>0.57193242276429157</v>
      </c>
      <c r="S379" s="169">
        <f t="shared" si="202"/>
        <v>0.70290790837719896</v>
      </c>
      <c r="T379" s="169">
        <f t="shared" si="203"/>
        <v>0.5662130985366487</v>
      </c>
      <c r="U379" s="169">
        <f t="shared" si="239"/>
        <v>0.63456050345692383</v>
      </c>
      <c r="V379" s="169">
        <f t="shared" si="240"/>
        <v>2.209789541513755E-3</v>
      </c>
      <c r="W379" s="439">
        <f t="shared" si="241"/>
        <v>0.52554440072152964</v>
      </c>
      <c r="X379" s="439">
        <f t="shared" si="207"/>
        <v>0.52554440072152964</v>
      </c>
      <c r="Y379" s="169"/>
      <c r="Z379" s="119" t="str">
        <f t="shared" si="208"/>
        <v/>
      </c>
      <c r="AA379" s="4" t="str">
        <f t="shared" si="209"/>
        <v/>
      </c>
      <c r="AB379" s="466"/>
      <c r="AC379" s="466"/>
      <c r="AD379" s="466"/>
      <c r="AE379" s="466"/>
      <c r="AF379" s="466"/>
      <c r="AG379" s="466"/>
      <c r="AH379" s="466"/>
      <c r="AI379" s="466"/>
      <c r="AJ379" s="466"/>
      <c r="AK379" s="466"/>
      <c r="AL379" s="466"/>
      <c r="AM379" s="462">
        <f t="shared" si="243"/>
        <v>9</v>
      </c>
      <c r="AN379" s="32">
        <f t="shared" si="227"/>
        <v>1.032604747966902</v>
      </c>
      <c r="AO379" s="32">
        <f t="shared" si="228"/>
        <v>-0.38616633685087898</v>
      </c>
      <c r="AP379" s="32">
        <f t="shared" si="229"/>
        <v>1.1651539058338742</v>
      </c>
      <c r="AQ379" s="32">
        <f t="shared" si="230"/>
        <v>8.9011201716619119</v>
      </c>
      <c r="AR379" s="32">
        <f t="shared" si="231"/>
        <v>11.843927286494045</v>
      </c>
      <c r="AS379" s="32">
        <f t="shared" si="211"/>
        <v>8.8914730925168097</v>
      </c>
      <c r="AT379" s="32">
        <f t="shared" si="212"/>
        <v>4.9896000000000003</v>
      </c>
      <c r="AU379" s="32">
        <f t="shared" si="213"/>
        <v>0.72878812459699849</v>
      </c>
      <c r="AV379" s="32">
        <f t="shared" si="214"/>
        <v>0.63386396820594804</v>
      </c>
      <c r="AW379" s="32">
        <f t="shared" si="215"/>
        <v>0.85720476631365738</v>
      </c>
      <c r="AX379" s="32">
        <f t="shared" si="216"/>
        <v>0.57193242276429157</v>
      </c>
      <c r="AY379" s="32">
        <f t="shared" si="217"/>
        <v>0.63456050345692383</v>
      </c>
      <c r="AZ379" s="32">
        <f t="shared" si="232"/>
        <v>0.22847697158095237</v>
      </c>
      <c r="BA379" s="32">
        <f t="shared" si="218"/>
        <v>-4.0654986116803222</v>
      </c>
      <c r="BB379" s="32">
        <f t="shared" si="233"/>
        <v>0.92410138831967803</v>
      </c>
      <c r="BC379" s="32">
        <f t="shared" si="219"/>
        <v>1.925</v>
      </c>
      <c r="BD379" s="32">
        <v>0</v>
      </c>
      <c r="BE379" s="32">
        <f t="shared" si="234"/>
        <v>0.71456859453897448</v>
      </c>
      <c r="BF379" s="32">
        <f t="shared" si="235"/>
        <v>8.0008091082050647E-2</v>
      </c>
      <c r="BG379" s="32">
        <f t="shared" si="236"/>
        <v>5.0270949964743752E-2</v>
      </c>
      <c r="BH379" s="32">
        <f t="shared" si="220"/>
        <v>0.11450345325547411</v>
      </c>
      <c r="BI379" s="32">
        <f t="shared" si="221"/>
        <v>0.22406405443773916</v>
      </c>
      <c r="BJ379" s="32">
        <f t="shared" si="242"/>
        <v>0.33856750769321325</v>
      </c>
      <c r="BK379" s="457">
        <f t="shared" si="223"/>
        <v>0.52131319784966867</v>
      </c>
    </row>
    <row r="380" spans="1:64" ht="15">
      <c r="A380" s="119"/>
      <c r="B380" s="480">
        <f>Input!B397</f>
        <v>38362</v>
      </c>
      <c r="C380" s="481">
        <v>2</v>
      </c>
      <c r="D380" s="481">
        <f t="shared" si="244"/>
        <v>1</v>
      </c>
      <c r="E380" s="481">
        <f t="shared" si="245"/>
        <v>10</v>
      </c>
      <c r="F380" s="481">
        <f t="shared" si="246"/>
        <v>10</v>
      </c>
      <c r="G380" s="431">
        <v>5.8752000000000004</v>
      </c>
      <c r="H380" s="455">
        <v>3.02</v>
      </c>
      <c r="I380" s="455">
        <v>-3</v>
      </c>
      <c r="J380" s="455">
        <v>1.76</v>
      </c>
      <c r="K380" s="485"/>
      <c r="L380" s="433">
        <v>100</v>
      </c>
      <c r="M380" s="455">
        <v>86</v>
      </c>
      <c r="N380" s="484">
        <f>Weather!M381</f>
        <v>0</v>
      </c>
      <c r="O380" s="481" t="str">
        <f t="shared" si="226"/>
        <v/>
      </c>
      <c r="P380" s="4">
        <f t="shared" si="238"/>
        <v>0.26807099555554398</v>
      </c>
      <c r="Q380" s="169">
        <f t="shared" si="200"/>
        <v>0.7588425968508743</v>
      </c>
      <c r="R380" s="169">
        <f t="shared" si="201"/>
        <v>0.48962647905903567</v>
      </c>
      <c r="S380" s="169">
        <f t="shared" si="202"/>
        <v>0.65260463329175189</v>
      </c>
      <c r="T380" s="169">
        <f t="shared" si="203"/>
        <v>0.48962647905903567</v>
      </c>
      <c r="U380" s="169">
        <f t="shared" si="239"/>
        <v>0.57111555617539378</v>
      </c>
      <c r="V380" s="169">
        <f t="shared" si="240"/>
        <v>-3.8898673465713766E-3</v>
      </c>
      <c r="W380" s="439">
        <f t="shared" si="241"/>
        <v>-0.91948883175919049</v>
      </c>
      <c r="X380" s="439">
        <f t="shared" si="207"/>
        <v>-0.91948883175919049</v>
      </c>
      <c r="Y380" s="169"/>
      <c r="Z380" s="119" t="str">
        <f t="shared" si="208"/>
        <v/>
      </c>
      <c r="AA380" s="4" t="str">
        <f t="shared" si="209"/>
        <v/>
      </c>
      <c r="AB380" s="466"/>
      <c r="AC380" s="466"/>
      <c r="AD380" s="466"/>
      <c r="AE380" s="466"/>
      <c r="AF380" s="466"/>
      <c r="AG380" s="466"/>
      <c r="AH380" s="466"/>
      <c r="AI380" s="466"/>
      <c r="AJ380" s="466"/>
      <c r="AK380" s="466"/>
      <c r="AL380" s="466"/>
      <c r="AM380" s="462">
        <f t="shared" si="243"/>
        <v>10</v>
      </c>
      <c r="AN380" s="32">
        <f t="shared" si="227"/>
        <v>1.03251226352295</v>
      </c>
      <c r="AO380" s="32">
        <f t="shared" si="228"/>
        <v>-0.38378968641292643</v>
      </c>
      <c r="AP380" s="32">
        <f t="shared" si="229"/>
        <v>1.1680746397590434</v>
      </c>
      <c r="AQ380" s="32">
        <f t="shared" si="230"/>
        <v>8.923432935260962</v>
      </c>
      <c r="AR380" s="32">
        <f t="shared" si="231"/>
        <v>11.935173833990772</v>
      </c>
      <c r="AS380" s="32">
        <f t="shared" si="211"/>
        <v>8.9599737006535527</v>
      </c>
      <c r="AT380" s="32">
        <f t="shared" si="212"/>
        <v>4.5239040000000008</v>
      </c>
      <c r="AU380" s="32">
        <f t="shared" si="213"/>
        <v>0.65571621036917282</v>
      </c>
      <c r="AV380" s="32">
        <f t="shared" si="214"/>
        <v>0.53521688399838341</v>
      </c>
      <c r="AW380" s="32">
        <f t="shared" si="215"/>
        <v>0.7588425968508743</v>
      </c>
      <c r="AX380" s="32">
        <f t="shared" si="216"/>
        <v>0.48962647905903567</v>
      </c>
      <c r="AY380" s="32">
        <f t="shared" si="217"/>
        <v>0.57111555617539378</v>
      </c>
      <c r="AZ380" s="32">
        <f t="shared" si="232"/>
        <v>0.23419893714599216</v>
      </c>
      <c r="BA380" s="32">
        <f t="shared" si="218"/>
        <v>-3.4221221787286735</v>
      </c>
      <c r="BB380" s="32">
        <f t="shared" si="233"/>
        <v>1.1017818212713273</v>
      </c>
      <c r="BC380" s="32">
        <f t="shared" si="219"/>
        <v>1.0000000000000009E-2</v>
      </c>
      <c r="BD380" s="32">
        <v>0</v>
      </c>
      <c r="BE380" s="32">
        <f t="shared" si="234"/>
        <v>0.62423453795495498</v>
      </c>
      <c r="BF380" s="32">
        <f t="shared" si="235"/>
        <v>5.3118981779561203E-2</v>
      </c>
      <c r="BG380" s="32">
        <f t="shared" si="236"/>
        <v>4.4489847956121577E-2</v>
      </c>
      <c r="BH380" s="32">
        <f t="shared" si="220"/>
        <v>0.13178033014277707</v>
      </c>
      <c r="BI380" s="32">
        <f t="shared" si="221"/>
        <v>0.13629066541276691</v>
      </c>
      <c r="BJ380" s="32">
        <f t="shared" si="242"/>
        <v>0.26807099555554398</v>
      </c>
      <c r="BK380" s="457">
        <f t="shared" si="223"/>
        <v>0.48961269005152253</v>
      </c>
    </row>
    <row r="381" spans="1:64" ht="15">
      <c r="A381" s="119"/>
      <c r="B381" s="480">
        <f>Input!B398</f>
        <v>38363</v>
      </c>
      <c r="C381" s="481">
        <v>2</v>
      </c>
      <c r="D381" s="481">
        <f t="shared" si="244"/>
        <v>1</v>
      </c>
      <c r="E381" s="481">
        <f t="shared" si="245"/>
        <v>11</v>
      </c>
      <c r="F381" s="481">
        <f t="shared" si="246"/>
        <v>11</v>
      </c>
      <c r="G381" s="431">
        <v>7.9488000000000003</v>
      </c>
      <c r="H381" s="455">
        <v>2.0099999999999998</v>
      </c>
      <c r="I381" s="455">
        <v>-4.2</v>
      </c>
      <c r="J381" s="455">
        <v>0.98</v>
      </c>
      <c r="K381" s="485"/>
      <c r="L381" s="433">
        <v>100</v>
      </c>
      <c r="M381" s="455">
        <v>88</v>
      </c>
      <c r="N381" s="484">
        <f>Weather!M382</f>
        <v>0</v>
      </c>
      <c r="O381" s="481" t="str">
        <f t="shared" si="226"/>
        <v/>
      </c>
      <c r="P381" s="4">
        <f t="shared" si="238"/>
        <v>0.16986159983607474</v>
      </c>
      <c r="Q381" s="169">
        <f t="shared" si="200"/>
        <v>0.70614659071896546</v>
      </c>
      <c r="R381" s="169">
        <f t="shared" si="201"/>
        <v>0.44746503571112689</v>
      </c>
      <c r="S381" s="169">
        <f t="shared" si="202"/>
        <v>0.6214089998326896</v>
      </c>
      <c r="T381" s="169">
        <f t="shared" si="203"/>
        <v>0.44746503571112689</v>
      </c>
      <c r="U381" s="169">
        <f t="shared" si="239"/>
        <v>0.53443701777190822</v>
      </c>
      <c r="V381" s="169">
        <f t="shared" si="240"/>
        <v>-7.7333922257278292E-3</v>
      </c>
      <c r="W381" s="439">
        <f t="shared" si="241"/>
        <v>-1.8210510729549705</v>
      </c>
      <c r="X381" s="439">
        <f t="shared" si="207"/>
        <v>-1.8210510729549705</v>
      </c>
      <c r="Y381" s="169"/>
      <c r="Z381" s="119" t="str">
        <f t="shared" si="208"/>
        <v/>
      </c>
      <c r="AA381" s="4" t="str">
        <f t="shared" si="209"/>
        <v/>
      </c>
      <c r="AB381" s="466"/>
      <c r="AC381" s="466"/>
      <c r="AD381" s="466"/>
      <c r="AE381" s="466"/>
      <c r="AF381" s="466"/>
      <c r="AG381" s="466"/>
      <c r="AH381" s="466"/>
      <c r="AI381" s="466"/>
      <c r="AJ381" s="466"/>
      <c r="AK381" s="466"/>
      <c r="AL381" s="466"/>
      <c r="AM381" s="462">
        <f t="shared" si="243"/>
        <v>11</v>
      </c>
      <c r="AN381" s="32">
        <f t="shared" si="227"/>
        <v>1.032410144993644</v>
      </c>
      <c r="AO381" s="32">
        <f t="shared" si="228"/>
        <v>-0.38129931080802987</v>
      </c>
      <c r="AP381" s="32">
        <f t="shared" si="229"/>
        <v>1.1711252432747661</v>
      </c>
      <c r="AQ381" s="32">
        <f t="shared" si="230"/>
        <v>8.9467378294501199</v>
      </c>
      <c r="AR381" s="32">
        <f t="shared" si="231"/>
        <v>12.030852566007448</v>
      </c>
      <c r="AS381" s="32">
        <f t="shared" si="211"/>
        <v>9.0318016383531123</v>
      </c>
      <c r="AT381" s="32">
        <f t="shared" si="212"/>
        <v>6.1205760000000007</v>
      </c>
      <c r="AU381" s="32">
        <f t="shared" si="213"/>
        <v>0.88009018779219006</v>
      </c>
      <c r="AV381" s="32">
        <f t="shared" si="214"/>
        <v>0.83812175351945661</v>
      </c>
      <c r="AW381" s="32">
        <f t="shared" si="215"/>
        <v>0.70614659071896546</v>
      </c>
      <c r="AX381" s="32">
        <f t="shared" si="216"/>
        <v>0.44746503571112689</v>
      </c>
      <c r="AY381" s="32">
        <f t="shared" si="217"/>
        <v>0.53443701777190822</v>
      </c>
      <c r="AZ381" s="32">
        <f t="shared" si="232"/>
        <v>0.23765272085526945</v>
      </c>
      <c r="BA381" s="32">
        <f t="shared" si="218"/>
        <v>-5.3507188643739614</v>
      </c>
      <c r="BB381" s="32">
        <f t="shared" si="233"/>
        <v>0.7698571356260393</v>
      </c>
      <c r="BC381" s="32">
        <f t="shared" si="219"/>
        <v>-1.0950000000000002</v>
      </c>
      <c r="BD381" s="32">
        <v>0</v>
      </c>
      <c r="BE381" s="32">
        <f t="shared" si="234"/>
        <v>0.5768058132150462</v>
      </c>
      <c r="BF381" s="32">
        <f t="shared" si="235"/>
        <v>4.2368795443137985E-2</v>
      </c>
      <c r="BG381" s="32">
        <f t="shared" si="236"/>
        <v>4.1421804495346E-2</v>
      </c>
      <c r="BH381" s="32">
        <f t="shared" si="220"/>
        <v>9.9396399768651944E-2</v>
      </c>
      <c r="BI381" s="32">
        <f t="shared" si="221"/>
        <v>7.0465200067422781E-2</v>
      </c>
      <c r="BJ381" s="32">
        <f t="shared" si="242"/>
        <v>0.16986159983607474</v>
      </c>
      <c r="BK381" s="457">
        <f t="shared" si="223"/>
        <v>0.47016515172331047</v>
      </c>
    </row>
    <row r="382" spans="1:64" ht="15">
      <c r="A382" s="119"/>
      <c r="B382" s="480">
        <f>Input!B399</f>
        <v>38364</v>
      </c>
      <c r="C382" s="481">
        <v>2</v>
      </c>
      <c r="D382" s="481">
        <f t="shared" si="244"/>
        <v>1</v>
      </c>
      <c r="E382" s="481">
        <f t="shared" si="245"/>
        <v>12</v>
      </c>
      <c r="F382" s="481">
        <f t="shared" si="246"/>
        <v>12</v>
      </c>
      <c r="G382" s="431">
        <v>6.7392000000000003</v>
      </c>
      <c r="H382" s="455">
        <v>2.65</v>
      </c>
      <c r="I382" s="455">
        <v>-3.9</v>
      </c>
      <c r="J382" s="455">
        <v>1.36</v>
      </c>
      <c r="K382" s="485"/>
      <c r="L382" s="433">
        <v>99</v>
      </c>
      <c r="M382" s="455">
        <v>87</v>
      </c>
      <c r="N382" s="484">
        <f>Weather!M383</f>
        <v>0</v>
      </c>
      <c r="O382" s="481" t="str">
        <f t="shared" si="226"/>
        <v/>
      </c>
      <c r="P382" s="4">
        <f t="shared" si="238"/>
        <v>0.23636606815417283</v>
      </c>
      <c r="Q382" s="169">
        <f t="shared" si="200"/>
        <v>0.73914853249705437</v>
      </c>
      <c r="R382" s="169">
        <f t="shared" si="201"/>
        <v>0.45769192665668507</v>
      </c>
      <c r="S382" s="169">
        <f t="shared" si="202"/>
        <v>0.64305922327243725</v>
      </c>
      <c r="T382" s="169">
        <f t="shared" si="203"/>
        <v>0.45311500739011823</v>
      </c>
      <c r="U382" s="169">
        <f t="shared" si="239"/>
        <v>0.54808711533127774</v>
      </c>
      <c r="V382" s="169">
        <f t="shared" si="240"/>
        <v>-6.2730358684518457E-3</v>
      </c>
      <c r="W382" s="439">
        <f t="shared" si="241"/>
        <v>-1.4793116366264474</v>
      </c>
      <c r="X382" s="439">
        <f t="shared" si="207"/>
        <v>-1.4793116366264474</v>
      </c>
      <c r="Y382" s="169"/>
      <c r="Z382" s="119" t="str">
        <f t="shared" si="208"/>
        <v/>
      </c>
      <c r="AA382" s="4" t="str">
        <f t="shared" si="209"/>
        <v/>
      </c>
      <c r="AB382" s="466"/>
      <c r="AC382" s="466"/>
      <c r="AD382" s="466"/>
      <c r="AE382" s="466"/>
      <c r="AF382" s="466"/>
      <c r="AG382" s="466"/>
      <c r="AH382" s="466"/>
      <c r="AI382" s="466"/>
      <c r="AJ382" s="466"/>
      <c r="AK382" s="466"/>
      <c r="AL382" s="466"/>
      <c r="AM382" s="462">
        <f t="shared" si="243"/>
        <v>12</v>
      </c>
      <c r="AN382" s="32">
        <f t="shared" si="227"/>
        <v>1.0322984226389083</v>
      </c>
      <c r="AO382" s="32">
        <f t="shared" si="228"/>
        <v>-0.37869594798822787</v>
      </c>
      <c r="AP382" s="32">
        <f t="shared" si="229"/>
        <v>1.1743035625786633</v>
      </c>
      <c r="AQ382" s="32">
        <f t="shared" si="230"/>
        <v>8.9710184003912214</v>
      </c>
      <c r="AR382" s="32">
        <f t="shared" si="231"/>
        <v>12.130949588034124</v>
      </c>
      <c r="AS382" s="32">
        <f t="shared" si="211"/>
        <v>9.1069464747289786</v>
      </c>
      <c r="AT382" s="32">
        <f t="shared" si="212"/>
        <v>5.189184</v>
      </c>
      <c r="AU382" s="32">
        <f t="shared" si="213"/>
        <v>0.74000654541022304</v>
      </c>
      <c r="AV382" s="32">
        <f t="shared" si="214"/>
        <v>0.64900883630380124</v>
      </c>
      <c r="AW382" s="32">
        <f t="shared" si="215"/>
        <v>0.73914853249705437</v>
      </c>
      <c r="AX382" s="32">
        <f t="shared" si="216"/>
        <v>0.45769192665668507</v>
      </c>
      <c r="AY382" s="32">
        <f t="shared" si="217"/>
        <v>0.54808711533127774</v>
      </c>
      <c r="AZ382" s="32">
        <f t="shared" si="232"/>
        <v>0.23635393176539188</v>
      </c>
      <c r="BA382" s="32">
        <f t="shared" si="218"/>
        <v>-4.1496461994757929</v>
      </c>
      <c r="BB382" s="32">
        <f t="shared" si="233"/>
        <v>1.0395378005242071</v>
      </c>
      <c r="BC382" s="32">
        <f t="shared" si="219"/>
        <v>-0.625</v>
      </c>
      <c r="BD382" s="32">
        <v>0</v>
      </c>
      <c r="BE382" s="32">
        <f t="shared" si="234"/>
        <v>0.59842022957686969</v>
      </c>
      <c r="BF382" s="32">
        <f t="shared" si="235"/>
        <v>5.0333114245591948E-2</v>
      </c>
      <c r="BG382" s="32">
        <f t="shared" si="236"/>
        <v>4.2703732188176871E-2</v>
      </c>
      <c r="BH382" s="32">
        <f t="shared" si="220"/>
        <v>0.12859102616991017</v>
      </c>
      <c r="BI382" s="32">
        <f t="shared" si="221"/>
        <v>0.10777504198426265</v>
      </c>
      <c r="BJ382" s="32">
        <f t="shared" si="242"/>
        <v>0.23636606815417283</v>
      </c>
      <c r="BK382" s="457">
        <f t="shared" si="223"/>
        <v>0.5005805202616036</v>
      </c>
    </row>
    <row r="383" spans="1:64" ht="15">
      <c r="A383" s="119"/>
      <c r="B383" s="480">
        <f>Input!B400</f>
        <v>38365</v>
      </c>
      <c r="C383" s="481">
        <v>2</v>
      </c>
      <c r="D383" s="481">
        <f t="shared" si="244"/>
        <v>1</v>
      </c>
      <c r="E383" s="481">
        <f t="shared" si="245"/>
        <v>13</v>
      </c>
      <c r="F383" s="481">
        <f t="shared" si="246"/>
        <v>13</v>
      </c>
      <c r="G383" s="431">
        <v>7.6032000000000002</v>
      </c>
      <c r="H383" s="455">
        <v>1.68</v>
      </c>
      <c r="I383" s="455">
        <v>-3.4</v>
      </c>
      <c r="J383" s="455">
        <v>0.99</v>
      </c>
      <c r="K383" s="485"/>
      <c r="L383" s="433">
        <v>99</v>
      </c>
      <c r="M383" s="455">
        <v>89</v>
      </c>
      <c r="N383" s="484">
        <f>Weather!M384</f>
        <v>0</v>
      </c>
      <c r="O383" s="481" t="str">
        <f t="shared" si="226"/>
        <v/>
      </c>
      <c r="P383" s="4">
        <f t="shared" si="238"/>
        <v>0.19150336319124778</v>
      </c>
      <c r="Q383" s="169">
        <f t="shared" si="200"/>
        <v>0.68964401815244769</v>
      </c>
      <c r="R383" s="169">
        <f t="shared" si="201"/>
        <v>0.47519757638204746</v>
      </c>
      <c r="S383" s="169">
        <f t="shared" si="202"/>
        <v>0.61378317615567846</v>
      </c>
      <c r="T383" s="169">
        <f t="shared" si="203"/>
        <v>0.47044560061822699</v>
      </c>
      <c r="U383" s="169">
        <f t="shared" si="239"/>
        <v>0.54211438838695269</v>
      </c>
      <c r="V383" s="169">
        <f t="shared" si="240"/>
        <v>-6.9075011863379944E-3</v>
      </c>
      <c r="W383" s="439">
        <f t="shared" si="241"/>
        <v>-1.6279052739072459</v>
      </c>
      <c r="X383" s="439">
        <f t="shared" si="207"/>
        <v>-1.6279052739072459</v>
      </c>
      <c r="Y383" s="169"/>
      <c r="Z383" s="119" t="str">
        <f t="shared" si="208"/>
        <v/>
      </c>
      <c r="AA383" s="4" t="str">
        <f t="shared" si="209"/>
        <v/>
      </c>
      <c r="AB383" s="466"/>
      <c r="AC383" s="466"/>
      <c r="AD383" s="466"/>
      <c r="AE383" s="466"/>
      <c r="AF383" s="466"/>
      <c r="AG383" s="466"/>
      <c r="AH383" s="466"/>
      <c r="AI383" s="466"/>
      <c r="AJ383" s="466"/>
      <c r="AK383" s="466"/>
      <c r="AL383" s="466"/>
      <c r="AM383" s="462">
        <f t="shared" si="243"/>
        <v>13</v>
      </c>
      <c r="AN383" s="32">
        <f t="shared" si="227"/>
        <v>1.0321771295644875</v>
      </c>
      <c r="AO383" s="32">
        <f t="shared" si="228"/>
        <v>-0.37598036938610901</v>
      </c>
      <c r="AP383" s="32">
        <f t="shared" si="229"/>
        <v>1.1776073867351451</v>
      </c>
      <c r="AQ383" s="32">
        <f t="shared" si="230"/>
        <v>8.9962577577805245</v>
      </c>
      <c r="AR383" s="32">
        <f t="shared" si="231"/>
        <v>12.235449791691725</v>
      </c>
      <c r="AS383" s="32">
        <f t="shared" si="211"/>
        <v>9.1853968676188114</v>
      </c>
      <c r="AT383" s="32">
        <f t="shared" si="212"/>
        <v>5.8544640000000001</v>
      </c>
      <c r="AU383" s="32">
        <f t="shared" si="213"/>
        <v>0.82774866558063331</v>
      </c>
      <c r="AV383" s="32">
        <f t="shared" si="214"/>
        <v>0.76746069853385512</v>
      </c>
      <c r="AW383" s="32">
        <f t="shared" si="215"/>
        <v>0.68964401815244769</v>
      </c>
      <c r="AX383" s="32">
        <f t="shared" si="216"/>
        <v>0.47519757638204746</v>
      </c>
      <c r="AY383" s="32">
        <f t="shared" si="217"/>
        <v>0.54211438838695269</v>
      </c>
      <c r="AZ383" s="32">
        <f t="shared" si="232"/>
        <v>0.23692021530685917</v>
      </c>
      <c r="BA383" s="32">
        <f t="shared" si="218"/>
        <v>-4.9001322467499406</v>
      </c>
      <c r="BB383" s="32">
        <f t="shared" si="233"/>
        <v>0.95433175325005948</v>
      </c>
      <c r="BC383" s="32">
        <f t="shared" si="219"/>
        <v>-0.86</v>
      </c>
      <c r="BD383" s="32">
        <v>0</v>
      </c>
      <c r="BE383" s="32">
        <f t="shared" si="234"/>
        <v>0.5824207972672476</v>
      </c>
      <c r="BF383" s="32">
        <f t="shared" si="235"/>
        <v>4.0306408880294908E-2</v>
      </c>
      <c r="BG383" s="32">
        <f t="shared" si="236"/>
        <v>4.2058563056092832E-2</v>
      </c>
      <c r="BH383" s="32">
        <f t="shared" si="220"/>
        <v>0.12428679910051867</v>
      </c>
      <c r="BI383" s="32">
        <f t="shared" si="221"/>
        <v>6.7216564090729111E-2</v>
      </c>
      <c r="BJ383" s="32">
        <f t="shared" si="242"/>
        <v>0.19150336319124778</v>
      </c>
      <c r="BK383" s="457">
        <f t="shared" si="223"/>
        <v>0.43855791454983217</v>
      </c>
    </row>
    <row r="384" spans="1:64" ht="15">
      <c r="A384" s="119"/>
      <c r="B384" s="480">
        <f>Input!B401</f>
        <v>38366</v>
      </c>
      <c r="C384" s="481">
        <v>2</v>
      </c>
      <c r="D384" s="481">
        <f t="shared" si="244"/>
        <v>1</v>
      </c>
      <c r="E384" s="481">
        <f t="shared" si="245"/>
        <v>14</v>
      </c>
      <c r="F384" s="481">
        <f t="shared" si="246"/>
        <v>14</v>
      </c>
      <c r="G384" s="431">
        <v>7.8624000000000001</v>
      </c>
      <c r="H384" s="455">
        <v>-1.81</v>
      </c>
      <c r="I384" s="455">
        <v>-4.5999999999999996</v>
      </c>
      <c r="J384" s="455">
        <v>0.93</v>
      </c>
      <c r="K384" s="485"/>
      <c r="L384" s="433">
        <v>99</v>
      </c>
      <c r="M384" s="455">
        <v>89</v>
      </c>
      <c r="N384" s="484">
        <f>Weather!M385</f>
        <v>0</v>
      </c>
      <c r="O384" s="481" t="str">
        <f t="shared" si="226"/>
        <v/>
      </c>
      <c r="P384" s="4">
        <f t="shared" si="238"/>
        <v>0.16723499167272959</v>
      </c>
      <c r="Q384" s="169">
        <f t="shared" si="200"/>
        <v>0.53487367821845899</v>
      </c>
      <c r="R384" s="169">
        <f t="shared" si="201"/>
        <v>0.43414441086343325</v>
      </c>
      <c r="S384" s="169">
        <f t="shared" si="202"/>
        <v>0.4760375736144285</v>
      </c>
      <c r="T384" s="169">
        <f t="shared" si="203"/>
        <v>0.4298029667547989</v>
      </c>
      <c r="U384" s="169">
        <f t="shared" si="239"/>
        <v>0.45292027018461367</v>
      </c>
      <c r="V384" s="169">
        <f t="shared" si="240"/>
        <v>-1.7316355955960719E-2</v>
      </c>
      <c r="W384" s="439">
        <f t="shared" si="241"/>
        <v>-4.0392265830505956</v>
      </c>
      <c r="X384" s="439">
        <f t="shared" si="207"/>
        <v>-4.0392265830505956</v>
      </c>
      <c r="Y384" s="169"/>
      <c r="Z384" s="119" t="str">
        <f t="shared" si="208"/>
        <v/>
      </c>
      <c r="AA384" s="4" t="str">
        <f t="shared" si="209"/>
        <v/>
      </c>
      <c r="AB384" s="466"/>
      <c r="AC384" s="466"/>
      <c r="AD384" s="466"/>
      <c r="AE384" s="466"/>
      <c r="AF384" s="466"/>
      <c r="AG384" s="466"/>
      <c r="AH384" s="466"/>
      <c r="AI384" s="466"/>
      <c r="AJ384" s="466"/>
      <c r="AK384" s="466"/>
      <c r="AL384" s="466"/>
      <c r="AM384" s="462">
        <f t="shared" si="243"/>
        <v>14</v>
      </c>
      <c r="AN384" s="32">
        <f t="shared" si="227"/>
        <v>1.0320463017121373</v>
      </c>
      <c r="AO384" s="32">
        <f t="shared" si="228"/>
        <v>-0.37315337968622003</v>
      </c>
      <c r="AP384" s="32">
        <f t="shared" si="229"/>
        <v>1.181034452733871</v>
      </c>
      <c r="AQ384" s="32">
        <f t="shared" si="230"/>
        <v>9.0224386134924952</v>
      </c>
      <c r="AR384" s="32">
        <f t="shared" si="231"/>
        <v>12.344336798863592</v>
      </c>
      <c r="AS384" s="32">
        <f t="shared" si="211"/>
        <v>9.2671405216428759</v>
      </c>
      <c r="AT384" s="32">
        <f t="shared" si="212"/>
        <v>6.0540479999999999</v>
      </c>
      <c r="AU384" s="32">
        <f t="shared" si="213"/>
        <v>0.84841704748490809</v>
      </c>
      <c r="AV384" s="32">
        <f t="shared" si="214"/>
        <v>0.79536301410462606</v>
      </c>
      <c r="AW384" s="32">
        <f t="shared" si="215"/>
        <v>0.53487367821845899</v>
      </c>
      <c r="AX384" s="32">
        <f t="shared" si="216"/>
        <v>0.43414441086343325</v>
      </c>
      <c r="AY384" s="32">
        <f t="shared" si="217"/>
        <v>0.45292027018461367</v>
      </c>
      <c r="AZ384" s="32">
        <f t="shared" si="232"/>
        <v>0.24578090800894745</v>
      </c>
      <c r="BA384" s="32">
        <f t="shared" si="218"/>
        <v>-5.0872180108839116</v>
      </c>
      <c r="BB384" s="32">
        <f t="shared" si="233"/>
        <v>0.96682998911608831</v>
      </c>
      <c r="BC384" s="32">
        <f t="shared" si="219"/>
        <v>-3.2050000000000001</v>
      </c>
      <c r="BD384" s="32">
        <v>0</v>
      </c>
      <c r="BE384" s="32">
        <f t="shared" si="234"/>
        <v>0.48450904454094612</v>
      </c>
      <c r="BF384" s="32">
        <f t="shared" si="235"/>
        <v>3.158877435633245E-2</v>
      </c>
      <c r="BG384" s="32">
        <f t="shared" si="236"/>
        <v>3.6066696216018587E-2</v>
      </c>
      <c r="BH384" s="32">
        <f t="shared" si="220"/>
        <v>0.11436521352175676</v>
      </c>
      <c r="BI384" s="32">
        <f t="shared" si="221"/>
        <v>5.2869778150972838E-2</v>
      </c>
      <c r="BJ384" s="32">
        <f t="shared" si="242"/>
        <v>0.16723499167272959</v>
      </c>
      <c r="BK384" s="457">
        <f t="shared" si="223"/>
        <v>0.28251122935013251</v>
      </c>
    </row>
    <row r="385" spans="1:63" ht="15">
      <c r="A385" s="119"/>
      <c r="B385" s="480">
        <f>Input!B402</f>
        <v>38367</v>
      </c>
      <c r="C385" s="481">
        <v>2</v>
      </c>
      <c r="D385" s="481">
        <f t="shared" si="244"/>
        <v>1</v>
      </c>
      <c r="E385" s="481">
        <f t="shared" si="245"/>
        <v>15</v>
      </c>
      <c r="F385" s="481">
        <f t="shared" si="246"/>
        <v>15</v>
      </c>
      <c r="G385" s="431">
        <v>8.2943999999999996</v>
      </c>
      <c r="H385" s="455">
        <v>-0.92</v>
      </c>
      <c r="I385" s="455">
        <v>-2.5</v>
      </c>
      <c r="J385" s="455">
        <v>1.19</v>
      </c>
      <c r="K385" s="485"/>
      <c r="L385" s="433">
        <v>99</v>
      </c>
      <c r="M385" s="455">
        <v>89</v>
      </c>
      <c r="N385" s="484">
        <f>Weather!M386</f>
        <v>8</v>
      </c>
      <c r="O385" s="481">
        <f t="shared" si="226"/>
        <v>1</v>
      </c>
      <c r="P385" s="4">
        <f t="shared" si="238"/>
        <v>0.18422309026983519</v>
      </c>
      <c r="Q385" s="169">
        <f t="shared" si="200"/>
        <v>0.57109414466068142</v>
      </c>
      <c r="R385" s="169">
        <f t="shared" si="201"/>
        <v>0.50820742214905024</v>
      </c>
      <c r="S385" s="169">
        <f t="shared" si="202"/>
        <v>0.50827378874800644</v>
      </c>
      <c r="T385" s="169">
        <f t="shared" si="203"/>
        <v>0.5031253479275597</v>
      </c>
      <c r="U385" s="169">
        <f t="shared" si="239"/>
        <v>0.50569956833778307</v>
      </c>
      <c r="V385" s="169">
        <f t="shared" si="240"/>
        <v>-1.0933805376512607E-2</v>
      </c>
      <c r="W385" s="439">
        <f t="shared" si="241"/>
        <v>-2.5665300755078722</v>
      </c>
      <c r="X385" s="439">
        <f t="shared" si="207"/>
        <v>-2.5665300755078722</v>
      </c>
      <c r="Y385" s="169"/>
      <c r="Z385" s="119" t="str">
        <f t="shared" si="208"/>
        <v/>
      </c>
      <c r="AA385" s="4" t="str">
        <f t="shared" si="209"/>
        <v/>
      </c>
      <c r="AB385" s="466"/>
      <c r="AC385" s="466"/>
      <c r="AD385" s="466"/>
      <c r="AE385" s="466"/>
      <c r="AF385" s="466"/>
      <c r="AG385" s="466"/>
      <c r="AH385" s="466"/>
      <c r="AI385" s="466"/>
      <c r="AJ385" s="466"/>
      <c r="AK385" s="466"/>
      <c r="AL385" s="466"/>
      <c r="AM385" s="462">
        <f t="shared" si="243"/>
        <v>15</v>
      </c>
      <c r="AN385" s="32">
        <f t="shared" si="227"/>
        <v>1.0319059778489741</v>
      </c>
      <c r="AO385" s="32">
        <f t="shared" si="228"/>
        <v>-0.37021581658662056</v>
      </c>
      <c r="AP385" s="32">
        <f t="shared" si="229"/>
        <v>1.1845824505340476</v>
      </c>
      <c r="AQ385" s="32">
        <f t="shared" si="230"/>
        <v>9.0495433201154061</v>
      </c>
      <c r="AR385" s="32">
        <f t="shared" si="231"/>
        <v>12.457592906071465</v>
      </c>
      <c r="AS385" s="32">
        <f t="shared" si="211"/>
        <v>9.3521641464459702</v>
      </c>
      <c r="AT385" s="32">
        <f t="shared" si="212"/>
        <v>6.3866879999999995</v>
      </c>
      <c r="AU385" s="32">
        <f t="shared" si="213"/>
        <v>0.88689632368696769</v>
      </c>
      <c r="AV385" s="32">
        <f t="shared" si="214"/>
        <v>0.84731003697740659</v>
      </c>
      <c r="AW385" s="32">
        <f t="shared" si="215"/>
        <v>0.57109414466068142</v>
      </c>
      <c r="AX385" s="32">
        <f t="shared" si="216"/>
        <v>0.50820742214905024</v>
      </c>
      <c r="AY385" s="32">
        <f t="shared" si="217"/>
        <v>0.50569956833778307</v>
      </c>
      <c r="AZ385" s="32">
        <f t="shared" si="232"/>
        <v>0.24044242098453505</v>
      </c>
      <c r="BA385" s="32">
        <f t="shared" si="218"/>
        <v>-5.41959684399251</v>
      </c>
      <c r="BB385" s="32">
        <f t="shared" si="233"/>
        <v>0.96709115600748952</v>
      </c>
      <c r="BC385" s="32">
        <f t="shared" si="219"/>
        <v>-1.71</v>
      </c>
      <c r="BD385" s="32">
        <v>0</v>
      </c>
      <c r="BE385" s="32">
        <f t="shared" si="234"/>
        <v>0.53965078340486583</v>
      </c>
      <c r="BF385" s="32">
        <f t="shared" si="235"/>
        <v>3.3951215067082763E-2</v>
      </c>
      <c r="BG385" s="32">
        <f t="shared" si="236"/>
        <v>3.979454278753887E-2</v>
      </c>
      <c r="BH385" s="32">
        <f t="shared" si="220"/>
        <v>0.1171244891073476</v>
      </c>
      <c r="BI385" s="32">
        <f t="shared" si="221"/>
        <v>6.7098601162487587E-2</v>
      </c>
      <c r="BJ385" s="32">
        <f t="shared" si="242"/>
        <v>0.18422309026983519</v>
      </c>
      <c r="BK385" s="457">
        <f t="shared" si="223"/>
        <v>0.23652686413175369</v>
      </c>
    </row>
    <row r="386" spans="1:63" ht="15">
      <c r="A386" s="119"/>
      <c r="B386" s="480">
        <f>Input!B403</f>
        <v>38368</v>
      </c>
      <c r="C386" s="481">
        <v>2</v>
      </c>
      <c r="D386" s="481">
        <f t="shared" si="244"/>
        <v>1</v>
      </c>
      <c r="E386" s="481">
        <f t="shared" si="245"/>
        <v>16</v>
      </c>
      <c r="F386" s="481">
        <f t="shared" si="246"/>
        <v>16</v>
      </c>
      <c r="G386" s="431">
        <v>5.0111999999999997</v>
      </c>
      <c r="H386" s="455">
        <v>-0.28000000000000003</v>
      </c>
      <c r="I386" s="455">
        <v>-1.9</v>
      </c>
      <c r="J386" s="455">
        <v>1.43</v>
      </c>
      <c r="K386" s="485"/>
      <c r="L386" s="433">
        <v>98</v>
      </c>
      <c r="M386" s="455">
        <v>88</v>
      </c>
      <c r="N386" s="484">
        <f>Weather!M387</f>
        <v>0</v>
      </c>
      <c r="O386" s="481" t="str">
        <f t="shared" si="226"/>
        <v/>
      </c>
      <c r="P386" s="4">
        <f t="shared" si="238"/>
        <v>0.27350161522473587</v>
      </c>
      <c r="Q386" s="169">
        <f t="shared" si="200"/>
        <v>0.59846492562261644</v>
      </c>
      <c r="R386" s="169">
        <f t="shared" si="201"/>
        <v>0.53132668070862032</v>
      </c>
      <c r="S386" s="169">
        <f t="shared" si="202"/>
        <v>0.52664913454790252</v>
      </c>
      <c r="T386" s="169">
        <f t="shared" si="203"/>
        <v>0.5207001470944479</v>
      </c>
      <c r="U386" s="169">
        <f t="shared" si="239"/>
        <v>0.52367464082117521</v>
      </c>
      <c r="V386" s="169">
        <f t="shared" si="240"/>
        <v>-8.91134894812152E-3</v>
      </c>
      <c r="W386" s="439">
        <f t="shared" si="241"/>
        <v>-2.0959850512078768</v>
      </c>
      <c r="X386" s="439">
        <f t="shared" si="207"/>
        <v>-2.0959850512078768</v>
      </c>
      <c r="Y386" s="169"/>
      <c r="Z386" s="119" t="str">
        <f t="shared" si="208"/>
        <v/>
      </c>
      <c r="AA386" s="4" t="str">
        <f t="shared" si="209"/>
        <v/>
      </c>
      <c r="AB386" s="466"/>
      <c r="AC386" s="466"/>
      <c r="AD386" s="466"/>
      <c r="AE386" s="466"/>
      <c r="AF386" s="466"/>
      <c r="AG386" s="466"/>
      <c r="AH386" s="466"/>
      <c r="AI386" s="466"/>
      <c r="AJ386" s="466"/>
      <c r="AK386" s="466"/>
      <c r="AL386" s="466"/>
      <c r="AM386" s="462">
        <f t="shared" si="243"/>
        <v>16</v>
      </c>
      <c r="AN386" s="32">
        <f t="shared" si="227"/>
        <v>1.031756199555987</v>
      </c>
      <c r="AO386" s="32">
        <f t="shared" si="228"/>
        <v>-0.36716855055065478</v>
      </c>
      <c r="AP386" s="32">
        <f t="shared" si="229"/>
        <v>1.1882490280742861</v>
      </c>
      <c r="AQ386" s="32">
        <f t="shared" si="230"/>
        <v>9.0775539092238233</v>
      </c>
      <c r="AR386" s="32">
        <f t="shared" si="231"/>
        <v>12.575199029364354</v>
      </c>
      <c r="AS386" s="32">
        <f t="shared" si="211"/>
        <v>9.4404534153244093</v>
      </c>
      <c r="AT386" s="32">
        <f t="shared" si="212"/>
        <v>3.8586239999999998</v>
      </c>
      <c r="AU386" s="32">
        <f t="shared" si="213"/>
        <v>0.53082196156653516</v>
      </c>
      <c r="AV386" s="32">
        <f t="shared" si="214"/>
        <v>0.36660964811482255</v>
      </c>
      <c r="AW386" s="32">
        <f t="shared" si="215"/>
        <v>0.59846492562261644</v>
      </c>
      <c r="AX386" s="32">
        <f t="shared" si="216"/>
        <v>0.53132668070862032</v>
      </c>
      <c r="AY386" s="32">
        <f t="shared" si="217"/>
        <v>0.52367464082117521</v>
      </c>
      <c r="AZ386" s="32">
        <f t="shared" si="232"/>
        <v>0.23868848555028391</v>
      </c>
      <c r="BA386" s="32">
        <f t="shared" si="218"/>
        <v>-2.3491638631509559</v>
      </c>
      <c r="BB386" s="32">
        <f t="shared" si="233"/>
        <v>1.5094601368490439</v>
      </c>
      <c r="BC386" s="32">
        <f t="shared" si="219"/>
        <v>-1.0899999999999999</v>
      </c>
      <c r="BD386" s="32">
        <v>0</v>
      </c>
      <c r="BE386" s="32">
        <f t="shared" si="234"/>
        <v>0.56489580316561838</v>
      </c>
      <c r="BF386" s="32">
        <f t="shared" si="235"/>
        <v>4.1221162344443174E-2</v>
      </c>
      <c r="BG386" s="32">
        <f t="shared" si="236"/>
        <v>4.1435265602619023E-2</v>
      </c>
      <c r="BH386" s="32">
        <f t="shared" si="220"/>
        <v>0.18075221155347448</v>
      </c>
      <c r="BI386" s="32">
        <f t="shared" si="221"/>
        <v>9.2749403671261402E-2</v>
      </c>
      <c r="BJ386" s="32">
        <f t="shared" si="242"/>
        <v>0.27350161522473587</v>
      </c>
      <c r="BK386" s="457">
        <f t="shared" si="223"/>
        <v>0.25107910751361667</v>
      </c>
    </row>
    <row r="387" spans="1:63" ht="15">
      <c r="A387" s="119"/>
      <c r="B387" s="480">
        <f>Input!B404</f>
        <v>38369</v>
      </c>
      <c r="C387" s="481">
        <v>2</v>
      </c>
      <c r="D387" s="481">
        <f t="shared" si="244"/>
        <v>1</v>
      </c>
      <c r="E387" s="481">
        <f t="shared" si="245"/>
        <v>17</v>
      </c>
      <c r="F387" s="481">
        <f t="shared" si="246"/>
        <v>17</v>
      </c>
      <c r="G387" s="431">
        <v>1.728</v>
      </c>
      <c r="H387" s="455">
        <v>-1.5</v>
      </c>
      <c r="I387" s="455">
        <v>-2.8</v>
      </c>
      <c r="J387" s="455">
        <v>1.83</v>
      </c>
      <c r="K387" s="485"/>
      <c r="L387" s="433">
        <v>98</v>
      </c>
      <c r="M387" s="455">
        <v>89</v>
      </c>
      <c r="N387" s="484">
        <f>Weather!M388</f>
        <v>1</v>
      </c>
      <c r="O387" s="481">
        <f t="shared" si="226"/>
        <v>1</v>
      </c>
      <c r="P387" s="4">
        <f t="shared" si="238"/>
        <v>0.20161528149186347</v>
      </c>
      <c r="Q387" s="169">
        <f t="shared" si="200"/>
        <v>0.54725207192028802</v>
      </c>
      <c r="R387" s="169">
        <f t="shared" si="201"/>
        <v>0.49698538445082008</v>
      </c>
      <c r="S387" s="169">
        <f t="shared" si="202"/>
        <v>0.48705434400905634</v>
      </c>
      <c r="T387" s="169">
        <f t="shared" si="203"/>
        <v>0.48704567676180366</v>
      </c>
      <c r="U387" s="169">
        <f t="shared" si="239"/>
        <v>0.48705001038543</v>
      </c>
      <c r="V387" s="169">
        <f t="shared" si="240"/>
        <v>-1.3109598425268321E-2</v>
      </c>
      <c r="W387" s="439">
        <f t="shared" si="241"/>
        <v>-3.0706526827419531</v>
      </c>
      <c r="X387" s="439">
        <f t="shared" si="207"/>
        <v>-3.0706526827419531</v>
      </c>
      <c r="Y387" s="169"/>
      <c r="Z387" s="119" t="str">
        <f t="shared" si="208"/>
        <v/>
      </c>
      <c r="AA387" s="4" t="str">
        <f t="shared" si="209"/>
        <v/>
      </c>
      <c r="AB387" s="466"/>
      <c r="AC387" s="466"/>
      <c r="AD387" s="466"/>
      <c r="AE387" s="466"/>
      <c r="AF387" s="466"/>
      <c r="AG387" s="466"/>
      <c r="AH387" s="466"/>
      <c r="AI387" s="466"/>
      <c r="AJ387" s="466"/>
      <c r="AK387" s="466"/>
      <c r="AL387" s="466"/>
      <c r="AM387" s="462">
        <f t="shared" si="243"/>
        <v>17</v>
      </c>
      <c r="AN387" s="32">
        <f t="shared" si="227"/>
        <v>1.0315970112157162</v>
      </c>
      <c r="AO387" s="32">
        <f t="shared" si="228"/>
        <v>-0.36401248454901453</v>
      </c>
      <c r="AP387" s="32">
        <f t="shared" si="229"/>
        <v>1.1920317962287887</v>
      </c>
      <c r="AQ387" s="32">
        <f t="shared" si="230"/>
        <v>9.106452129241088</v>
      </c>
      <c r="AR387" s="32">
        <f t="shared" si="231"/>
        <v>12.697134649983584</v>
      </c>
      <c r="AS387" s="32">
        <f t="shared" si="211"/>
        <v>9.5319929244356771</v>
      </c>
      <c r="AT387" s="32">
        <f t="shared" si="212"/>
        <v>1.33056</v>
      </c>
      <c r="AU387" s="32">
        <f t="shared" si="213"/>
        <v>0.3</v>
      </c>
      <c r="AV387" s="32">
        <f t="shared" si="214"/>
        <v>5.5000000000000049E-2</v>
      </c>
      <c r="AW387" s="32">
        <f t="shared" si="215"/>
        <v>0.54725207192028802</v>
      </c>
      <c r="AX387" s="32">
        <f t="shared" si="216"/>
        <v>0.49698538445082008</v>
      </c>
      <c r="AY387" s="32">
        <f t="shared" si="217"/>
        <v>0.48705001038543</v>
      </c>
      <c r="AZ387" s="32">
        <f t="shared" si="232"/>
        <v>0.24229544430501501</v>
      </c>
      <c r="BA387" s="32">
        <f t="shared" si="218"/>
        <v>-0.35220553119875397</v>
      </c>
      <c r="BB387" s="32">
        <f t="shared" si="233"/>
        <v>0.97835446880124599</v>
      </c>
      <c r="BC387" s="32">
        <f t="shared" si="219"/>
        <v>-2.15</v>
      </c>
      <c r="BD387" s="32">
        <v>0</v>
      </c>
      <c r="BE387" s="32">
        <f t="shared" si="234"/>
        <v>0.52211872818555405</v>
      </c>
      <c r="BF387" s="32">
        <f t="shared" si="235"/>
        <v>3.506871780012405E-2</v>
      </c>
      <c r="BG387" s="32">
        <f t="shared" si="236"/>
        <v>3.8664402221883602E-2</v>
      </c>
      <c r="BH387" s="32">
        <f t="shared" si="220"/>
        <v>0.10460992859942449</v>
      </c>
      <c r="BI387" s="32">
        <f t="shared" si="221"/>
        <v>9.7005352892438973E-2</v>
      </c>
      <c r="BJ387" s="32">
        <f t="shared" si="242"/>
        <v>0.20161528149186347</v>
      </c>
      <c r="BK387" s="457">
        <f t="shared" si="223"/>
        <v>0.21269314591453525</v>
      </c>
    </row>
    <row r="388" spans="1:63" ht="15">
      <c r="A388" s="119"/>
      <c r="B388" s="480">
        <f>Input!B405</f>
        <v>38370</v>
      </c>
      <c r="C388" s="481">
        <v>2</v>
      </c>
      <c r="D388" s="481">
        <f t="shared" si="244"/>
        <v>1</v>
      </c>
      <c r="E388" s="481">
        <f t="shared" si="245"/>
        <v>18</v>
      </c>
      <c r="F388" s="481">
        <f t="shared" si="246"/>
        <v>18</v>
      </c>
      <c r="G388" s="431">
        <v>6.2207999999999997</v>
      </c>
      <c r="H388" s="455">
        <v>-2.78</v>
      </c>
      <c r="I388" s="455">
        <v>-4</v>
      </c>
      <c r="J388" s="455">
        <v>1.31</v>
      </c>
      <c r="K388" s="485"/>
      <c r="L388" s="433">
        <v>98</v>
      </c>
      <c r="M388" s="455">
        <v>89</v>
      </c>
      <c r="N388" s="484">
        <f>Weather!M389</f>
        <v>2</v>
      </c>
      <c r="O388" s="481">
        <f t="shared" si="226"/>
        <v>1</v>
      </c>
      <c r="P388" s="4">
        <f t="shared" si="238"/>
        <v>0.2290955615783985</v>
      </c>
      <c r="Q388" s="169">
        <f t="shared" si="200"/>
        <v>0.4977266343174615</v>
      </c>
      <c r="R388" s="169">
        <f t="shared" si="201"/>
        <v>0.45426018589398121</v>
      </c>
      <c r="S388" s="169">
        <f t="shared" si="202"/>
        <v>0.44297670454254073</v>
      </c>
      <c r="T388" s="169">
        <f t="shared" si="203"/>
        <v>0.44517498217610157</v>
      </c>
      <c r="U388" s="169">
        <f t="shared" si="239"/>
        <v>0.44407584335932115</v>
      </c>
      <c r="V388" s="169">
        <f t="shared" si="240"/>
        <v>-1.8458263296074171E-2</v>
      </c>
      <c r="W388" s="439">
        <f t="shared" si="241"/>
        <v>-4.3007612957871961</v>
      </c>
      <c r="X388" s="439">
        <f t="shared" si="207"/>
        <v>-4.3007612957871961</v>
      </c>
      <c r="Y388" s="169"/>
      <c r="Z388" s="119" t="str">
        <f t="shared" si="208"/>
        <v/>
      </c>
      <c r="AA388" s="4" t="str">
        <f t="shared" si="209"/>
        <v/>
      </c>
      <c r="AB388" s="466"/>
      <c r="AC388" s="466"/>
      <c r="AD388" s="466"/>
      <c r="AE388" s="466"/>
      <c r="AF388" s="466"/>
      <c r="AG388" s="466"/>
      <c r="AH388" s="466"/>
      <c r="AI388" s="466"/>
      <c r="AJ388" s="466"/>
      <c r="AK388" s="466"/>
      <c r="AL388" s="466"/>
      <c r="AM388" s="462">
        <f t="shared" si="243"/>
        <v>18</v>
      </c>
      <c r="AN388" s="32">
        <f t="shared" si="227"/>
        <v>1.031428459999103</v>
      </c>
      <c r="AO388" s="32">
        <f t="shared" si="228"/>
        <v>-0.36074855379216958</v>
      </c>
      <c r="AP388" s="32">
        <f t="shared" si="229"/>
        <v>1.1959283336917983</v>
      </c>
      <c r="AQ388" s="32">
        <f t="shared" si="230"/>
        <v>9.1362194827537628</v>
      </c>
      <c r="AR388" s="32">
        <f t="shared" si="231"/>
        <v>12.823377761061398</v>
      </c>
      <c r="AS388" s="32">
        <f t="shared" si="211"/>
        <v>9.6267661527840129</v>
      </c>
      <c r="AT388" s="32">
        <f t="shared" si="212"/>
        <v>4.7900159999999996</v>
      </c>
      <c r="AU388" s="32">
        <f t="shared" si="213"/>
        <v>0.64619830805809853</v>
      </c>
      <c r="AV388" s="32">
        <f t="shared" si="214"/>
        <v>0.52236771587843311</v>
      </c>
      <c r="AW388" s="32">
        <f t="shared" si="215"/>
        <v>0.4977266343174615</v>
      </c>
      <c r="AX388" s="32">
        <f t="shared" si="216"/>
        <v>0.45426018589398121</v>
      </c>
      <c r="AY388" s="32">
        <f t="shared" si="217"/>
        <v>0.44407584335932115</v>
      </c>
      <c r="AZ388" s="32">
        <f t="shared" si="232"/>
        <v>0.2467053778085645</v>
      </c>
      <c r="BA388" s="32">
        <f t="shared" si="218"/>
        <v>-3.3440638460508247</v>
      </c>
      <c r="BB388" s="32">
        <f t="shared" si="233"/>
        <v>1.4459521539491749</v>
      </c>
      <c r="BC388" s="32">
        <f t="shared" si="219"/>
        <v>-3.3899999999999997</v>
      </c>
      <c r="BD388" s="32">
        <v>0</v>
      </c>
      <c r="BE388" s="32">
        <f t="shared" si="234"/>
        <v>0.47599341010572138</v>
      </c>
      <c r="BF388" s="32">
        <f t="shared" si="235"/>
        <v>3.1917566746400228E-2</v>
      </c>
      <c r="BG388" s="32">
        <f t="shared" si="236"/>
        <v>3.5627050213913186E-2</v>
      </c>
      <c r="BH388" s="32">
        <f t="shared" si="220"/>
        <v>0.15846948028442456</v>
      </c>
      <c r="BI388" s="32">
        <f t="shared" si="221"/>
        <v>7.0626081293973922E-2</v>
      </c>
      <c r="BJ388" s="32">
        <f t="shared" si="242"/>
        <v>0.2290955615783985</v>
      </c>
      <c r="BK388" s="457">
        <f t="shared" si="223"/>
        <v>0.19160554975835423</v>
      </c>
    </row>
    <row r="389" spans="1:63" ht="15">
      <c r="A389" s="119"/>
      <c r="B389" s="480">
        <f>Input!B406</f>
        <v>38371</v>
      </c>
      <c r="C389" s="481">
        <v>2</v>
      </c>
      <c r="D389" s="481">
        <f t="shared" si="244"/>
        <v>1</v>
      </c>
      <c r="E389" s="481">
        <f t="shared" si="245"/>
        <v>19</v>
      </c>
      <c r="F389" s="481">
        <f t="shared" si="246"/>
        <v>19</v>
      </c>
      <c r="G389" s="431">
        <v>6.9984000000000002</v>
      </c>
      <c r="H389" s="455">
        <v>-2.23</v>
      </c>
      <c r="I389" s="455">
        <v>-3.8</v>
      </c>
      <c r="J389" s="455">
        <v>1.18</v>
      </c>
      <c r="K389" s="485"/>
      <c r="L389" s="433">
        <v>99</v>
      </c>
      <c r="M389" s="455">
        <v>89</v>
      </c>
      <c r="N389" s="484">
        <f>Weather!M390</f>
        <v>0</v>
      </c>
      <c r="O389" s="481" t="str">
        <f t="shared" si="226"/>
        <v/>
      </c>
      <c r="P389" s="4">
        <f t="shared" si="238"/>
        <v>0.22358121107988677</v>
      </c>
      <c r="Q389" s="169">
        <f t="shared" ref="Q389:Q452" si="247">IF(H389="","",0.6108*EXP((17.27*H389)/(H389+237.3)))</f>
        <v>0.51849848092272588</v>
      </c>
      <c r="R389" s="169">
        <f t="shared" ref="R389:R452" si="248">IF(I389="","",0.6108*EXP((17.27*I389)/(I389+237.3)))</f>
        <v>0.46114662000062873</v>
      </c>
      <c r="S389" s="169">
        <f t="shared" ref="S389:S452" si="249">IF(OR(M389="",Q389=""),"",M389/100*Q389)</f>
        <v>0.46146364802122602</v>
      </c>
      <c r="T389" s="169">
        <f t="shared" ref="T389:T452" si="250">IF(OR(L389="",R389=""),"",L389/100*R389)</f>
        <v>0.45653515380062243</v>
      </c>
      <c r="U389" s="169">
        <f t="shared" si="239"/>
        <v>0.45899940091092423</v>
      </c>
      <c r="V389" s="169">
        <f t="shared" si="240"/>
        <v>-1.6544335176012868E-2</v>
      </c>
      <c r="W389" s="439">
        <f t="shared" si="241"/>
        <v>-3.862075269533698</v>
      </c>
      <c r="X389" s="439">
        <f t="shared" ref="X389:X452" si="251">IF(AND(K389="",W389=""),"",IF(K389="",W389,K389))</f>
        <v>-3.862075269533698</v>
      </c>
      <c r="Y389" s="169"/>
      <c r="Z389" s="119" t="str">
        <f t="shared" ref="Z389:Z452" si="252">IF(AND(B389&gt;=H$1,B389&lt;=J$1),3,"")</f>
        <v/>
      </c>
      <c r="AA389" s="4" t="str">
        <f t="shared" ref="AA389:AA452" si="253">IF(Z389=3,$P$1+0.1654*($AA$1-7.3)*($P$1-1),"")</f>
        <v/>
      </c>
      <c r="AB389" s="466"/>
      <c r="AC389" s="466"/>
      <c r="AD389" s="466"/>
      <c r="AE389" s="466"/>
      <c r="AF389" s="466"/>
      <c r="AG389" s="466"/>
      <c r="AH389" s="466"/>
      <c r="AI389" s="466"/>
      <c r="AJ389" s="466"/>
      <c r="AK389" s="466"/>
      <c r="AL389" s="466"/>
      <c r="AM389" s="462">
        <f t="shared" si="243"/>
        <v>19</v>
      </c>
      <c r="AN389" s="32">
        <f t="shared" si="227"/>
        <v>1.0312505958515106</v>
      </c>
      <c r="AO389" s="32">
        <f t="shared" si="228"/>
        <v>-0.35737772545324453</v>
      </c>
      <c r="AP389" s="32">
        <f t="shared" si="229"/>
        <v>1.1999361917734499</v>
      </c>
      <c r="AQ389" s="32">
        <f t="shared" si="230"/>
        <v>9.166837263149235</v>
      </c>
      <c r="AR389" s="32">
        <f t="shared" si="231"/>
        <v>12.953904815602939</v>
      </c>
      <c r="AS389" s="32">
        <f t="shared" ref="AS389:AS452" si="254">AR389*(0.75+2*10^-5*E$2)</f>
        <v>9.7247554231694391</v>
      </c>
      <c r="AT389" s="32">
        <f t="shared" ref="AT389:AT452" si="255">IF(G389="","",(1-AO$1)*G389)</f>
        <v>5.3887680000000007</v>
      </c>
      <c r="AU389" s="32">
        <f t="shared" ref="AU389:AU452" si="256">IF(G389="","",IF(G389/AS389&lt;0.3,0.3,IF(G389/AS389&gt;1,1,G389/AS389)))</f>
        <v>0.71964791868453182</v>
      </c>
      <c r="AV389" s="32">
        <f t="shared" ref="AV389:AV452" si="257">IF(G389="","",1.35*AU389-0.35)</f>
        <v>0.62152469022411805</v>
      </c>
      <c r="AW389" s="32">
        <f t="shared" ref="AW389:AW452" si="258">IF(H389="","",0.6108*EXP((17.27*H389)/(H389+237.3)))</f>
        <v>0.51849848092272588</v>
      </c>
      <c r="AX389" s="32">
        <f t="shared" ref="AX389:AX452" si="259">IF(I389="","",0.6108*EXP((17.27*I389)/(I389+237.3)))</f>
        <v>0.46114662000062873</v>
      </c>
      <c r="AY389" s="32">
        <f t="shared" ref="AY389:AY452" si="260">IF(X389="","",0.6108*EXP((17.27*X389)/(X389+237.3)))</f>
        <v>0.45899940091092412</v>
      </c>
      <c r="AZ389" s="32">
        <f t="shared" si="232"/>
        <v>0.24515070765759972</v>
      </c>
      <c r="BA389" s="32">
        <f t="shared" ref="BA389:BA452" si="261">IF(AV389="","",IF(AZ389="","",IF(H389="","",IF(I389="","",-AV389*AZ389*BA$1*(((H389+273.15)^4+(I389+273.15)^4)/2)))))</f>
        <v>-3.9758780003035494</v>
      </c>
      <c r="BB389" s="32">
        <f t="shared" si="233"/>
        <v>1.4128899996964512</v>
      </c>
      <c r="BC389" s="32">
        <f t="shared" ref="BC389:BC452" si="262">IF(H389="","",IF(I389="","",(H389+I389)/2))</f>
        <v>-3.0149999999999997</v>
      </c>
      <c r="BD389" s="32">
        <v>0</v>
      </c>
      <c r="BE389" s="32">
        <f t="shared" si="234"/>
        <v>0.48982255046167733</v>
      </c>
      <c r="BF389" s="32">
        <f t="shared" si="235"/>
        <v>3.0823149550753215E-2</v>
      </c>
      <c r="BG389" s="32">
        <f t="shared" si="236"/>
        <v>3.6523088607400202E-2</v>
      </c>
      <c r="BH389" s="32">
        <f t="shared" ref="BH389:BH452" si="263">IF($AY389="","",IF($G389="","",0.408*$BG389*($BB389-$BD389)/($BG389+$BA$2*(1+0.34*$J389))))</f>
        <v>0.16125767141732117</v>
      </c>
      <c r="BI389" s="32">
        <f t="shared" ref="BI389:BI452" si="264">IF($BC389="","",IF($BF389="","",IF($BG389="","",IF($J389="","",($BA$2*900/($BC389+273)*$J389*$BF389)/($BG389+$BA$2*(1+0.34*$J389))))))</f>
        <v>6.2323539662565597E-2</v>
      </c>
      <c r="BJ389" s="32">
        <f t="shared" si="242"/>
        <v>0.22358121107988677</v>
      </c>
      <c r="BK389" s="457">
        <f t="shared" ref="BK389:BK452" si="265">IF(OR(H389="",I389=""),"",0.0023*AR389*(H389-I389)^0.5*((H389+I389)/2+17.8)/2.45)</f>
        <v>0.225285690926323</v>
      </c>
    </row>
    <row r="390" spans="1:63" ht="15">
      <c r="A390" s="119"/>
      <c r="B390" s="480">
        <f>Input!B407</f>
        <v>38372</v>
      </c>
      <c r="C390" s="481">
        <v>2</v>
      </c>
      <c r="D390" s="481">
        <f t="shared" si="244"/>
        <v>1</v>
      </c>
      <c r="E390" s="481">
        <f t="shared" si="245"/>
        <v>20</v>
      </c>
      <c r="F390" s="481">
        <f t="shared" si="246"/>
        <v>20</v>
      </c>
      <c r="G390" s="431">
        <v>3.5424000000000002</v>
      </c>
      <c r="H390" s="455">
        <v>-1.95</v>
      </c>
      <c r="I390" s="455">
        <v>-4.8</v>
      </c>
      <c r="J390" s="455">
        <v>1.4</v>
      </c>
      <c r="K390" s="485"/>
      <c r="L390" s="433">
        <v>100</v>
      </c>
      <c r="M390" s="455">
        <v>89</v>
      </c>
      <c r="N390" s="484">
        <f>Weather!M391</f>
        <v>5</v>
      </c>
      <c r="O390" s="481">
        <f t="shared" ref="O390:O453" si="266">IF(AND(N390&lt;&gt;"",P390&lt;&gt;"",N390&gt;(P390*2)),1,"")</f>
        <v>1</v>
      </c>
      <c r="P390" s="4">
        <f t="shared" si="238"/>
        <v>0.26804063791324378</v>
      </c>
      <c r="Q390" s="169">
        <f t="shared" si="247"/>
        <v>0.52936513629204651</v>
      </c>
      <c r="R390" s="169">
        <f t="shared" si="248"/>
        <v>0.42761687287716343</v>
      </c>
      <c r="S390" s="169">
        <f t="shared" si="249"/>
        <v>0.47113497129992138</v>
      </c>
      <c r="T390" s="169">
        <f t="shared" si="250"/>
        <v>0.42761687287716343</v>
      </c>
      <c r="U390" s="169">
        <f t="shared" si="239"/>
        <v>0.44937592208854238</v>
      </c>
      <c r="V390" s="169">
        <f t="shared" si="240"/>
        <v>-1.777126768591264E-2</v>
      </c>
      <c r="W390" s="439">
        <f t="shared" si="241"/>
        <v>-4.1434868086377206</v>
      </c>
      <c r="X390" s="439">
        <f t="shared" si="251"/>
        <v>-4.1434868086377206</v>
      </c>
      <c r="Y390" s="169"/>
      <c r="Z390" s="119" t="str">
        <f t="shared" si="252"/>
        <v/>
      </c>
      <c r="AA390" s="4" t="str">
        <f t="shared" si="253"/>
        <v/>
      </c>
      <c r="AB390" s="466"/>
      <c r="AC390" s="466"/>
      <c r="AD390" s="466"/>
      <c r="AE390" s="466"/>
      <c r="AF390" s="466"/>
      <c r="AG390" s="466"/>
      <c r="AH390" s="466"/>
      <c r="AI390" s="466"/>
      <c r="AJ390" s="466"/>
      <c r="AK390" s="466"/>
      <c r="AL390" s="466"/>
      <c r="AM390" s="462">
        <f t="shared" si="243"/>
        <v>20</v>
      </c>
      <c r="AN390" s="32">
        <f t="shared" ref="AN390:AN453" si="267">1+0.033*COS(2*PI()/365*AM390)</f>
        <v>1.0310634714779239</v>
      </c>
      <c r="AO390" s="32">
        <f t="shared" ref="AO390:AO453" si="268">0.409*SIN(2*PI()/365*AM390-1.39)</f>
        <v>-0.35390099838142475</v>
      </c>
      <c r="AP390" s="32">
        <f t="shared" ref="AP390:AP453" si="269">ACOS(-TAN(AS$2)*TAN(AO390))</f>
        <v>1.204052899091435</v>
      </c>
      <c r="AQ390" s="32">
        <f t="shared" ref="AQ390:AQ453" si="270">AP390*24/PI()</f>
        <v>9.1982865904573892</v>
      </c>
      <c r="AR390" s="32">
        <f t="shared" ref="AR390:AR453" si="271">(24*60/PI())*AS$1*AN390*(AP390*SIN(AS$2)*SIN(AO390)+COS(AS$2)*COS(AO390)*SIN(AP390))</f>
        <v>13.088690675993266</v>
      </c>
      <c r="AS390" s="32">
        <f t="shared" si="254"/>
        <v>9.8259418642816652</v>
      </c>
      <c r="AT390" s="32">
        <f t="shared" si="255"/>
        <v>2.7276480000000003</v>
      </c>
      <c r="AU390" s="32">
        <f t="shared" si="256"/>
        <v>0.36051505788742733</v>
      </c>
      <c r="AV390" s="32">
        <f t="shared" si="257"/>
        <v>0.13669532814802693</v>
      </c>
      <c r="AW390" s="32">
        <f t="shared" si="258"/>
        <v>0.52936513629204651</v>
      </c>
      <c r="AX390" s="32">
        <f t="shared" si="259"/>
        <v>0.42761687287716343</v>
      </c>
      <c r="AY390" s="32">
        <f t="shared" si="260"/>
        <v>0.44937592208854232</v>
      </c>
      <c r="AZ390" s="32">
        <f t="shared" ref="AZ390:AZ453" si="272">IF(AY390="","",0.34-0.14*SQRT(AY390))</f>
        <v>0.2461502899688261</v>
      </c>
      <c r="BA390" s="32">
        <f t="shared" si="261"/>
        <v>-0.87343302199999562</v>
      </c>
      <c r="BB390" s="32">
        <f t="shared" ref="BB390:BB453" si="273">IF(AT390="","",IF(BA390="","",AT390+BA390))</f>
        <v>1.8542149780000048</v>
      </c>
      <c r="BC390" s="32">
        <f t="shared" si="262"/>
        <v>-3.375</v>
      </c>
      <c r="BD390" s="32">
        <v>0</v>
      </c>
      <c r="BE390" s="32">
        <f t="shared" ref="BE390:BE453" si="274">IF(AW390="","",IF(AX390="","",(AW390+AX390)/2))</f>
        <v>0.47849100458460497</v>
      </c>
      <c r="BF390" s="32">
        <f t="shared" ref="BF390:BF453" si="275">IF(BE390="","",IF(AY390="","",BE390-AY390))</f>
        <v>2.911508249606265E-2</v>
      </c>
      <c r="BG390" s="32">
        <f t="shared" ref="BG390:BG453" si="276">IF(BE390="","",IF(BC390="","",4099*0.6108*EXP((17.27*BC390)/(BC390+237.3))/(BC390+237.3)^2))</f>
        <v>3.566252408996369E-2</v>
      </c>
      <c r="BH390" s="32">
        <f t="shared" si="263"/>
        <v>0.20026110891428253</v>
      </c>
      <c r="BI390" s="32">
        <f t="shared" si="264"/>
        <v>6.7779528998961239E-2</v>
      </c>
      <c r="BJ390" s="32">
        <f t="shared" si="242"/>
        <v>0.26804063791324378</v>
      </c>
      <c r="BK390" s="457">
        <f t="shared" si="265"/>
        <v>0.29922385077480668</v>
      </c>
    </row>
    <row r="391" spans="1:63" ht="15">
      <c r="A391" s="119"/>
      <c r="B391" s="480">
        <f>Input!B408</f>
        <v>38373</v>
      </c>
      <c r="C391" s="481">
        <v>2</v>
      </c>
      <c r="D391" s="481">
        <f t="shared" si="244"/>
        <v>1</v>
      </c>
      <c r="E391" s="481">
        <f t="shared" si="245"/>
        <v>21</v>
      </c>
      <c r="F391" s="481">
        <f t="shared" si="246"/>
        <v>21</v>
      </c>
      <c r="G391" s="431">
        <v>3.9744000000000002</v>
      </c>
      <c r="H391" s="455">
        <v>-0.25</v>
      </c>
      <c r="I391" s="455">
        <v>-3.1</v>
      </c>
      <c r="J391" s="455">
        <v>1.1499999999999999</v>
      </c>
      <c r="K391" s="485"/>
      <c r="L391" s="433">
        <v>100</v>
      </c>
      <c r="M391" s="455">
        <v>89</v>
      </c>
      <c r="N391" s="484">
        <f>Weather!M392</f>
        <v>0</v>
      </c>
      <c r="O391" s="481" t="str">
        <f t="shared" si="266"/>
        <v/>
      </c>
      <c r="P391" s="4">
        <f t="shared" si="238"/>
        <v>0.28864348777884957</v>
      </c>
      <c r="Q391" s="169">
        <f t="shared" si="247"/>
        <v>0.59977591848525114</v>
      </c>
      <c r="R391" s="169">
        <f t="shared" si="248"/>
        <v>0.4859833458825103</v>
      </c>
      <c r="S391" s="169">
        <f t="shared" si="249"/>
        <v>0.53380056745187354</v>
      </c>
      <c r="T391" s="169">
        <f t="shared" si="250"/>
        <v>0.4859833458825103</v>
      </c>
      <c r="U391" s="169">
        <f t="shared" si="239"/>
        <v>0.50989195666719189</v>
      </c>
      <c r="V391" s="169">
        <f t="shared" si="240"/>
        <v>-1.0455745207967014E-2</v>
      </c>
      <c r="W391" s="439">
        <f t="shared" si="241"/>
        <v>-2.4554745218850873</v>
      </c>
      <c r="X391" s="439">
        <f t="shared" si="251"/>
        <v>-2.4554745218850873</v>
      </c>
      <c r="Y391" s="169"/>
      <c r="Z391" s="119" t="str">
        <f t="shared" si="252"/>
        <v/>
      </c>
      <c r="AA391" s="4" t="str">
        <f t="shared" si="253"/>
        <v/>
      </c>
      <c r="AB391" s="466"/>
      <c r="AC391" s="466"/>
      <c r="AD391" s="466"/>
      <c r="AE391" s="466"/>
      <c r="AF391" s="466"/>
      <c r="AG391" s="466"/>
      <c r="AH391" s="466"/>
      <c r="AI391" s="466"/>
      <c r="AJ391" s="466"/>
      <c r="AK391" s="466"/>
      <c r="AL391" s="466"/>
      <c r="AM391" s="462">
        <f t="shared" si="243"/>
        <v>21</v>
      </c>
      <c r="AN391" s="32">
        <f t="shared" si="267"/>
        <v>1.0308671423273339</v>
      </c>
      <c r="AO391" s="32">
        <f t="shared" si="268"/>
        <v>-0.35031940280597534</v>
      </c>
      <c r="AP391" s="32">
        <f t="shared" si="269"/>
        <v>1.208275966144194</v>
      </c>
      <c r="AQ391" s="32">
        <f t="shared" si="270"/>
        <v>9.2305484462872354</v>
      </c>
      <c r="AR391" s="32">
        <f t="shared" si="271"/>
        <v>13.227708565261944</v>
      </c>
      <c r="AS391" s="32">
        <f t="shared" si="254"/>
        <v>9.9303053741134466</v>
      </c>
      <c r="AT391" s="32">
        <f t="shared" si="255"/>
        <v>3.0602880000000003</v>
      </c>
      <c r="AU391" s="32">
        <f t="shared" si="256"/>
        <v>0.40022938371669409</v>
      </c>
      <c r="AV391" s="32">
        <f t="shared" si="257"/>
        <v>0.19030966801753713</v>
      </c>
      <c r="AW391" s="32">
        <f t="shared" si="258"/>
        <v>0.59977591848525114</v>
      </c>
      <c r="AX391" s="32">
        <f t="shared" si="259"/>
        <v>0.4859833458825103</v>
      </c>
      <c r="AY391" s="32">
        <f t="shared" si="260"/>
        <v>0.50989195666719189</v>
      </c>
      <c r="AZ391" s="32">
        <f t="shared" si="272"/>
        <v>0.2400305929262509</v>
      </c>
      <c r="BA391" s="32">
        <f t="shared" si="261"/>
        <v>-1.215947119072968</v>
      </c>
      <c r="BB391" s="32">
        <f t="shared" si="273"/>
        <v>1.8443408809270323</v>
      </c>
      <c r="BC391" s="32">
        <f t="shared" si="262"/>
        <v>-1.675</v>
      </c>
      <c r="BD391" s="32">
        <v>0</v>
      </c>
      <c r="BE391" s="32">
        <f t="shared" si="274"/>
        <v>0.54287963218388069</v>
      </c>
      <c r="BF391" s="32">
        <f t="shared" si="275"/>
        <v>3.2987675516688797E-2</v>
      </c>
      <c r="BG391" s="32">
        <f t="shared" si="276"/>
        <v>3.9885649904244008E-2</v>
      </c>
      <c r="BH391" s="32">
        <f t="shared" si="263"/>
        <v>0.22526022622710329</v>
      </c>
      <c r="BI391" s="32">
        <f t="shared" si="264"/>
        <v>6.3383261551746298E-2</v>
      </c>
      <c r="BJ391" s="32">
        <f t="shared" si="242"/>
        <v>0.28864348777884957</v>
      </c>
      <c r="BK391" s="457">
        <f t="shared" si="265"/>
        <v>0.3380403345738075</v>
      </c>
    </row>
    <row r="392" spans="1:63" ht="15">
      <c r="A392" s="119"/>
      <c r="B392" s="480">
        <f>Input!B409</f>
        <v>38374</v>
      </c>
      <c r="C392" s="481">
        <v>2</v>
      </c>
      <c r="D392" s="481">
        <f t="shared" si="244"/>
        <v>1</v>
      </c>
      <c r="E392" s="481">
        <f t="shared" si="245"/>
        <v>22</v>
      </c>
      <c r="F392" s="481">
        <f t="shared" si="246"/>
        <v>22</v>
      </c>
      <c r="G392" s="431">
        <v>7.6032000000000002</v>
      </c>
      <c r="H392" s="455">
        <v>-0.85</v>
      </c>
      <c r="I392" s="455">
        <v>-3.4</v>
      </c>
      <c r="J392" s="455">
        <v>1.1200000000000001</v>
      </c>
      <c r="K392" s="485"/>
      <c r="L392" s="433">
        <v>100</v>
      </c>
      <c r="M392" s="455">
        <v>89</v>
      </c>
      <c r="N392" s="484">
        <f>Weather!M393</f>
        <v>0</v>
      </c>
      <c r="O392" s="481" t="str">
        <f t="shared" si="266"/>
        <v/>
      </c>
      <c r="P392" s="4">
        <f t="shared" si="238"/>
        <v>0.24714464880057616</v>
      </c>
      <c r="Q392" s="169">
        <f t="shared" si="247"/>
        <v>0.57403288209311731</v>
      </c>
      <c r="R392" s="169">
        <f t="shared" si="248"/>
        <v>0.47519757638204746</v>
      </c>
      <c r="S392" s="169">
        <f t="shared" si="249"/>
        <v>0.51088926506287446</v>
      </c>
      <c r="T392" s="169">
        <f t="shared" si="250"/>
        <v>0.47519757638204746</v>
      </c>
      <c r="U392" s="169">
        <f t="shared" si="239"/>
        <v>0.49304342072246099</v>
      </c>
      <c r="V392" s="169">
        <f t="shared" si="240"/>
        <v>-1.2401408725672653E-2</v>
      </c>
      <c r="W392" s="439">
        <f t="shared" si="241"/>
        <v>-2.9068058037437368</v>
      </c>
      <c r="X392" s="439">
        <f t="shared" si="251"/>
        <v>-2.9068058037437368</v>
      </c>
      <c r="Y392" s="169"/>
      <c r="Z392" s="119" t="str">
        <f t="shared" si="252"/>
        <v/>
      </c>
      <c r="AA392" s="4" t="str">
        <f t="shared" si="253"/>
        <v/>
      </c>
      <c r="AB392" s="466"/>
      <c r="AC392" s="466"/>
      <c r="AD392" s="466"/>
      <c r="AE392" s="466"/>
      <c r="AF392" s="466"/>
      <c r="AG392" s="466"/>
      <c r="AH392" s="466"/>
      <c r="AI392" s="466"/>
      <c r="AJ392" s="466"/>
      <c r="AK392" s="466"/>
      <c r="AL392" s="466"/>
      <c r="AM392" s="462">
        <f t="shared" si="243"/>
        <v>22</v>
      </c>
      <c r="AN392" s="32">
        <f t="shared" si="267"/>
        <v>1.0306616665763046</v>
      </c>
      <c r="AO392" s="32">
        <f t="shared" si="268"/>
        <v>-0.34663400003096273</v>
      </c>
      <c r="AP392" s="32">
        <f t="shared" si="269"/>
        <v>1.2126028897526804</v>
      </c>
      <c r="AQ392" s="32">
        <f t="shared" si="270"/>
        <v>9.2636037077594722</v>
      </c>
      <c r="AR392" s="32">
        <f t="shared" si="271"/>
        <v>13.370930020327656</v>
      </c>
      <c r="AS392" s="32">
        <f t="shared" si="254"/>
        <v>10.037824584860378</v>
      </c>
      <c r="AT392" s="32">
        <f t="shared" si="255"/>
        <v>5.8544640000000001</v>
      </c>
      <c r="AU392" s="32">
        <f t="shared" si="256"/>
        <v>0.75745495806607166</v>
      </c>
      <c r="AV392" s="32">
        <f t="shared" si="257"/>
        <v>0.67256419338919693</v>
      </c>
      <c r="AW392" s="32">
        <f t="shared" si="258"/>
        <v>0.57403288209311731</v>
      </c>
      <c r="AX392" s="32">
        <f t="shared" si="259"/>
        <v>0.47519757638204746</v>
      </c>
      <c r="AY392" s="32">
        <f t="shared" si="260"/>
        <v>0.49304342072246105</v>
      </c>
      <c r="AZ392" s="32">
        <f t="shared" si="272"/>
        <v>0.24169612903776255</v>
      </c>
      <c r="BA392" s="32">
        <f t="shared" si="261"/>
        <v>-4.2982789227327451</v>
      </c>
      <c r="BB392" s="32">
        <f t="shared" si="273"/>
        <v>1.556185077267255</v>
      </c>
      <c r="BC392" s="32">
        <f t="shared" si="262"/>
        <v>-2.125</v>
      </c>
      <c r="BD392" s="32">
        <v>0</v>
      </c>
      <c r="BE392" s="32">
        <f t="shared" si="274"/>
        <v>0.52461522923758241</v>
      </c>
      <c r="BF392" s="32">
        <f t="shared" si="275"/>
        <v>3.1571808515121369E-2</v>
      </c>
      <c r="BG392" s="32">
        <f t="shared" si="276"/>
        <v>3.8727865162797588E-2</v>
      </c>
      <c r="BH392" s="32">
        <f t="shared" si="263"/>
        <v>0.18713647718777804</v>
      </c>
      <c r="BI392" s="32">
        <f t="shared" si="264"/>
        <v>6.0008171612798117E-2</v>
      </c>
      <c r="BJ392" s="32">
        <f t="shared" si="242"/>
        <v>0.24714464880057616</v>
      </c>
      <c r="BK392" s="457">
        <f t="shared" si="265"/>
        <v>0.31419625714297106</v>
      </c>
    </row>
    <row r="393" spans="1:63" ht="15">
      <c r="A393" s="119"/>
      <c r="B393" s="480">
        <f>Input!B410</f>
        <v>38375</v>
      </c>
      <c r="C393" s="481">
        <v>2</v>
      </c>
      <c r="D393" s="481">
        <f t="shared" si="244"/>
        <v>1</v>
      </c>
      <c r="E393" s="481">
        <f t="shared" si="245"/>
        <v>23</v>
      </c>
      <c r="F393" s="481">
        <f t="shared" si="246"/>
        <v>23</v>
      </c>
      <c r="G393" s="431">
        <v>7.8624000000000001</v>
      </c>
      <c r="H393" s="455">
        <v>1.3</v>
      </c>
      <c r="I393" s="455">
        <v>-4.3</v>
      </c>
      <c r="J393" s="455">
        <v>0.81</v>
      </c>
      <c r="K393" s="485"/>
      <c r="L393" s="433">
        <v>99</v>
      </c>
      <c r="M393" s="455">
        <v>89</v>
      </c>
      <c r="N393" s="484">
        <f>Weather!M394</f>
        <v>0</v>
      </c>
      <c r="O393" s="481" t="str">
        <f t="shared" si="266"/>
        <v/>
      </c>
      <c r="P393" s="4">
        <f t="shared" ref="P393:P456" si="277">BJ393</f>
        <v>0.26637772951772098</v>
      </c>
      <c r="Q393" s="169">
        <f t="shared" si="247"/>
        <v>0.67106385242410471</v>
      </c>
      <c r="R393" s="169">
        <f t="shared" si="248"/>
        <v>0.44410136465433581</v>
      </c>
      <c r="S393" s="169">
        <f t="shared" si="249"/>
        <v>0.59724682865745315</v>
      </c>
      <c r="T393" s="169">
        <f t="shared" si="250"/>
        <v>0.43966035100779244</v>
      </c>
      <c r="U393" s="169">
        <f t="shared" si="239"/>
        <v>0.5184535898326228</v>
      </c>
      <c r="V393" s="169">
        <f t="shared" si="240"/>
        <v>-9.4915494036220977E-3</v>
      </c>
      <c r="W393" s="439">
        <f t="shared" si="241"/>
        <v>-2.2311674375185637</v>
      </c>
      <c r="X393" s="439">
        <f t="shared" si="251"/>
        <v>-2.2311674375185637</v>
      </c>
      <c r="Y393" s="169"/>
      <c r="Z393" s="119" t="str">
        <f t="shared" si="252"/>
        <v/>
      </c>
      <c r="AA393" s="4" t="str">
        <f t="shared" si="253"/>
        <v/>
      </c>
      <c r="AB393" s="466"/>
      <c r="AC393" s="466"/>
      <c r="AD393" s="466"/>
      <c r="AE393" s="466"/>
      <c r="AF393" s="466"/>
      <c r="AG393" s="466"/>
      <c r="AH393" s="466"/>
      <c r="AI393" s="466"/>
      <c r="AJ393" s="466"/>
      <c r="AK393" s="466"/>
      <c r="AL393" s="466"/>
      <c r="AM393" s="462">
        <f t="shared" si="243"/>
        <v>23</v>
      </c>
      <c r="AN393" s="32">
        <f t="shared" si="267"/>
        <v>1.0304471051117361</v>
      </c>
      <c r="AO393" s="32">
        <f t="shared" si="268"/>
        <v>-0.3428458821207665</v>
      </c>
      <c r="AP393" s="32">
        <f t="shared" si="269"/>
        <v>1.2170311573590744</v>
      </c>
      <c r="AQ393" s="32">
        <f t="shared" si="270"/>
        <v>9.2974331803462569</v>
      </c>
      <c r="AR393" s="32">
        <f t="shared" si="271"/>
        <v>13.518324847434684</v>
      </c>
      <c r="AS393" s="32">
        <f t="shared" si="254"/>
        <v>10.148476829466167</v>
      </c>
      <c r="AT393" s="32">
        <f t="shared" si="255"/>
        <v>6.0540479999999999</v>
      </c>
      <c r="AU393" s="32">
        <f t="shared" si="256"/>
        <v>0.77473695137889775</v>
      </c>
      <c r="AV393" s="32">
        <f t="shared" si="257"/>
        <v>0.69589488436151214</v>
      </c>
      <c r="AW393" s="32">
        <f t="shared" si="258"/>
        <v>0.67106385242410471</v>
      </c>
      <c r="AX393" s="32">
        <f t="shared" si="259"/>
        <v>0.44410136465433581</v>
      </c>
      <c r="AY393" s="32">
        <f t="shared" si="260"/>
        <v>0.5184535898326228</v>
      </c>
      <c r="AZ393" s="32">
        <f t="shared" si="272"/>
        <v>0.23919479001202665</v>
      </c>
      <c r="BA393" s="32">
        <f t="shared" si="261"/>
        <v>-4.4443375473904601</v>
      </c>
      <c r="BB393" s="32">
        <f t="shared" si="273"/>
        <v>1.6097104526095398</v>
      </c>
      <c r="BC393" s="32">
        <f t="shared" si="262"/>
        <v>-1.5</v>
      </c>
      <c r="BD393" s="32">
        <v>0</v>
      </c>
      <c r="BE393" s="32">
        <f t="shared" si="274"/>
        <v>0.55758260853922026</v>
      </c>
      <c r="BF393" s="32">
        <f t="shared" si="275"/>
        <v>3.9129018706597463E-2</v>
      </c>
      <c r="BG393" s="32">
        <f t="shared" si="276"/>
        <v>4.0343886309850939E-2</v>
      </c>
      <c r="BH393" s="32">
        <f t="shared" si="263"/>
        <v>0.21038907605085702</v>
      </c>
      <c r="BI393" s="32">
        <f t="shared" si="264"/>
        <v>5.598865346686395E-2</v>
      </c>
      <c r="BJ393" s="32">
        <f t="shared" si="242"/>
        <v>0.26637772951772098</v>
      </c>
      <c r="BK393" s="457">
        <f t="shared" si="265"/>
        <v>0.48951527470036643</v>
      </c>
    </row>
    <row r="394" spans="1:63" ht="15">
      <c r="A394" s="119"/>
      <c r="B394" s="480">
        <f>Input!B411</f>
        <v>38376</v>
      </c>
      <c r="C394" s="481">
        <v>2</v>
      </c>
      <c r="D394" s="481">
        <f t="shared" si="244"/>
        <v>1</v>
      </c>
      <c r="E394" s="481">
        <f t="shared" si="245"/>
        <v>24</v>
      </c>
      <c r="F394" s="481">
        <f t="shared" si="246"/>
        <v>24</v>
      </c>
      <c r="G394" s="431">
        <v>8.64</v>
      </c>
      <c r="H394" s="455">
        <v>0.31</v>
      </c>
      <c r="I394" s="455">
        <v>-4.4000000000000004</v>
      </c>
      <c r="J394" s="455">
        <v>1.87</v>
      </c>
      <c r="K394" s="485"/>
      <c r="L394" s="433">
        <v>96</v>
      </c>
      <c r="M394" s="455">
        <v>89</v>
      </c>
      <c r="N394" s="484">
        <f>Weather!M395</f>
        <v>1</v>
      </c>
      <c r="O394" s="481">
        <f t="shared" si="266"/>
        <v>1</v>
      </c>
      <c r="P394" s="4">
        <f t="shared" si="277"/>
        <v>0.29309055308982468</v>
      </c>
      <c r="Q394" s="169">
        <f t="shared" si="247"/>
        <v>0.62471842764654184</v>
      </c>
      <c r="R394" s="169">
        <f t="shared" si="248"/>
        <v>0.44076012290095545</v>
      </c>
      <c r="S394" s="169">
        <f t="shared" si="249"/>
        <v>0.5559994006054223</v>
      </c>
      <c r="T394" s="169">
        <f t="shared" si="250"/>
        <v>0.42312971798491722</v>
      </c>
      <c r="U394" s="169">
        <f t="shared" si="239"/>
        <v>0.48956455929516973</v>
      </c>
      <c r="V394" s="169">
        <f t="shared" si="240"/>
        <v>-1.2811420487953102E-2</v>
      </c>
      <c r="W394" s="439">
        <f t="shared" si="241"/>
        <v>-3.0016941162912496</v>
      </c>
      <c r="X394" s="439">
        <f t="shared" si="251"/>
        <v>-3.0016941162912496</v>
      </c>
      <c r="Y394" s="169"/>
      <c r="Z394" s="119" t="str">
        <f t="shared" si="252"/>
        <v/>
      </c>
      <c r="AA394" s="4" t="str">
        <f t="shared" si="253"/>
        <v/>
      </c>
      <c r="AB394" s="466"/>
      <c r="AC394" s="466"/>
      <c r="AD394" s="466"/>
      <c r="AE394" s="466"/>
      <c r="AF394" s="466"/>
      <c r="AG394" s="466"/>
      <c r="AH394" s="466"/>
      <c r="AI394" s="466"/>
      <c r="AJ394" s="466"/>
      <c r="AK394" s="466"/>
      <c r="AL394" s="466"/>
      <c r="AM394" s="462">
        <f t="shared" si="243"/>
        <v>24</v>
      </c>
      <c r="AN394" s="32">
        <f t="shared" si="267"/>
        <v>1.0302235215128204</v>
      </c>
      <c r="AO394" s="32">
        <f t="shared" si="268"/>
        <v>-0.33895617157647767</v>
      </c>
      <c r="AP394" s="32">
        <f t="shared" si="269"/>
        <v>1.2215582511721572</v>
      </c>
      <c r="AQ394" s="32">
        <f t="shared" si="270"/>
        <v>9.3320176295395143</v>
      </c>
      <c r="AR394" s="32">
        <f t="shared" si="271"/>
        <v>13.669861079981766</v>
      </c>
      <c r="AS394" s="32">
        <f t="shared" si="254"/>
        <v>10.262238109963912</v>
      </c>
      <c r="AT394" s="32">
        <f t="shared" si="255"/>
        <v>6.6528000000000009</v>
      </c>
      <c r="AU394" s="32">
        <f t="shared" si="256"/>
        <v>0.84192160690670081</v>
      </c>
      <c r="AV394" s="32">
        <f t="shared" si="257"/>
        <v>0.78659416932404624</v>
      </c>
      <c r="AW394" s="32">
        <f t="shared" si="258"/>
        <v>0.62471842764654184</v>
      </c>
      <c r="AX394" s="32">
        <f t="shared" si="259"/>
        <v>0.44076012290095545</v>
      </c>
      <c r="AY394" s="32">
        <f t="shared" si="260"/>
        <v>0.48956455929516973</v>
      </c>
      <c r="AZ394" s="32">
        <f t="shared" si="272"/>
        <v>0.24204355374869235</v>
      </c>
      <c r="BA394" s="32">
        <f t="shared" si="261"/>
        <v>-5.0418162963776609</v>
      </c>
      <c r="BB394" s="32">
        <f t="shared" si="273"/>
        <v>1.61098370362234</v>
      </c>
      <c r="BC394" s="32">
        <f t="shared" si="262"/>
        <v>-2.0450000000000004</v>
      </c>
      <c r="BD394" s="32">
        <v>0</v>
      </c>
      <c r="BE394" s="32">
        <f t="shared" si="274"/>
        <v>0.53273927527374865</v>
      </c>
      <c r="BF394" s="32">
        <f t="shared" si="275"/>
        <v>4.3174715978578915E-2</v>
      </c>
      <c r="BG394" s="32">
        <f t="shared" si="276"/>
        <v>3.8931550315105784E-2</v>
      </c>
      <c r="BH394" s="32">
        <f t="shared" si="263"/>
        <v>0.17206749755259668</v>
      </c>
      <c r="BI394" s="32">
        <f t="shared" si="264"/>
        <v>0.12102305553722803</v>
      </c>
      <c r="BJ394" s="32">
        <f t="shared" si="242"/>
        <v>0.29309055308982468</v>
      </c>
      <c r="BK394" s="457">
        <f t="shared" si="265"/>
        <v>0.43878797155296179</v>
      </c>
    </row>
    <row r="395" spans="1:63" ht="15">
      <c r="A395" s="119"/>
      <c r="B395" s="480">
        <f>Input!B412</f>
        <v>38377</v>
      </c>
      <c r="C395" s="481">
        <v>2</v>
      </c>
      <c r="D395" s="481">
        <f t="shared" si="244"/>
        <v>1</v>
      </c>
      <c r="E395" s="481">
        <f t="shared" si="245"/>
        <v>25</v>
      </c>
      <c r="F395" s="481">
        <f t="shared" si="246"/>
        <v>25</v>
      </c>
      <c r="G395" s="431">
        <v>7.9488000000000003</v>
      </c>
      <c r="H395" s="455">
        <v>2.58</v>
      </c>
      <c r="I395" s="455">
        <v>-4</v>
      </c>
      <c r="J395" s="455">
        <v>1.18</v>
      </c>
      <c r="K395" s="485"/>
      <c r="L395" s="433">
        <v>97</v>
      </c>
      <c r="M395" s="455">
        <v>89</v>
      </c>
      <c r="N395" s="484">
        <f>Weather!M396</f>
        <v>0</v>
      </c>
      <c r="O395" s="481" t="str">
        <f t="shared" si="266"/>
        <v/>
      </c>
      <c r="P395" s="4">
        <f t="shared" si="277"/>
        <v>0.31307647208209932</v>
      </c>
      <c r="Q395" s="169">
        <f t="shared" si="247"/>
        <v>0.7354738210710603</v>
      </c>
      <c r="R395" s="169">
        <f t="shared" si="248"/>
        <v>0.45426018589398121</v>
      </c>
      <c r="S395" s="169">
        <f t="shared" si="249"/>
        <v>0.65457170075324367</v>
      </c>
      <c r="T395" s="169">
        <f t="shared" si="250"/>
        <v>0.44063238031716173</v>
      </c>
      <c r="U395" s="169">
        <f t="shared" si="239"/>
        <v>0.54760204053520267</v>
      </c>
      <c r="V395" s="169">
        <f t="shared" si="240"/>
        <v>-6.3243053626402456E-3</v>
      </c>
      <c r="W395" s="439">
        <f t="shared" si="241"/>
        <v>-1.4913260611485633</v>
      </c>
      <c r="X395" s="439">
        <f t="shared" si="251"/>
        <v>-1.4913260611485633</v>
      </c>
      <c r="Y395" s="169"/>
      <c r="Z395" s="119" t="str">
        <f t="shared" si="252"/>
        <v/>
      </c>
      <c r="AA395" s="4" t="str">
        <f t="shared" si="253"/>
        <v/>
      </c>
      <c r="AB395" s="466"/>
      <c r="AC395" s="466"/>
      <c r="AD395" s="466"/>
      <c r="AE395" s="466"/>
      <c r="AF395" s="466"/>
      <c r="AG395" s="466"/>
      <c r="AH395" s="466"/>
      <c r="AI395" s="466"/>
      <c r="AJ395" s="466"/>
      <c r="AK395" s="466"/>
      <c r="AL395" s="466"/>
      <c r="AM395" s="462">
        <f t="shared" si="243"/>
        <v>25</v>
      </c>
      <c r="AN395" s="32">
        <f t="shared" si="267"/>
        <v>1.0299909820322035</v>
      </c>
      <c r="AO395" s="32">
        <f t="shared" si="268"/>
        <v>-0.33496602100327749</v>
      </c>
      <c r="AP395" s="32">
        <f t="shared" si="269"/>
        <v>1.2261816521503692</v>
      </c>
      <c r="AQ395" s="32">
        <f t="shared" si="270"/>
        <v>9.367337811279274</v>
      </c>
      <c r="AR395" s="32">
        <f t="shared" si="271"/>
        <v>13.825504938931939</v>
      </c>
      <c r="AS395" s="32">
        <f t="shared" si="254"/>
        <v>10.379083067754985</v>
      </c>
      <c r="AT395" s="32">
        <f t="shared" si="255"/>
        <v>6.1205760000000007</v>
      </c>
      <c r="AU395" s="32">
        <f t="shared" si="256"/>
        <v>0.76584799910647028</v>
      </c>
      <c r="AV395" s="32">
        <f t="shared" si="257"/>
        <v>0.68389479879373505</v>
      </c>
      <c r="AW395" s="32">
        <f t="shared" si="258"/>
        <v>0.7354738210710603</v>
      </c>
      <c r="AX395" s="32">
        <f t="shared" si="259"/>
        <v>0.45426018589398121</v>
      </c>
      <c r="AY395" s="32">
        <f t="shared" si="260"/>
        <v>0.54760204053520267</v>
      </c>
      <c r="AZ395" s="32">
        <f t="shared" si="272"/>
        <v>0.23639980697657959</v>
      </c>
      <c r="BA395" s="32">
        <f t="shared" si="261"/>
        <v>-4.3681327639145477</v>
      </c>
      <c r="BB395" s="32">
        <f t="shared" si="273"/>
        <v>1.7524432360854529</v>
      </c>
      <c r="BC395" s="32">
        <f t="shared" si="262"/>
        <v>-0.71</v>
      </c>
      <c r="BD395" s="32">
        <v>0</v>
      </c>
      <c r="BE395" s="32">
        <f t="shared" si="274"/>
        <v>0.59486700348252075</v>
      </c>
      <c r="BF395" s="32">
        <f t="shared" si="275"/>
        <v>4.7264962947318079E-2</v>
      </c>
      <c r="BG395" s="32">
        <f t="shared" si="276"/>
        <v>4.2469396510490365E-2</v>
      </c>
      <c r="BH395" s="32">
        <f t="shared" si="263"/>
        <v>0.22244479352871224</v>
      </c>
      <c r="BI395" s="32">
        <f t="shared" si="264"/>
        <v>9.0631678553387093E-2</v>
      </c>
      <c r="BJ395" s="32">
        <f t="shared" si="242"/>
        <v>0.31307647208209932</v>
      </c>
      <c r="BK395" s="457">
        <f t="shared" si="265"/>
        <v>0.56898099822168102</v>
      </c>
    </row>
    <row r="396" spans="1:63" ht="15">
      <c r="A396" s="119"/>
      <c r="B396" s="480">
        <f>Input!B413</f>
        <v>38378</v>
      </c>
      <c r="C396" s="481">
        <v>2</v>
      </c>
      <c r="D396" s="481">
        <f t="shared" si="244"/>
        <v>1</v>
      </c>
      <c r="E396" s="481">
        <f t="shared" si="245"/>
        <v>26</v>
      </c>
      <c r="F396" s="481">
        <f t="shared" si="246"/>
        <v>26</v>
      </c>
      <c r="G396" s="431">
        <v>1.5551999999999999</v>
      </c>
      <c r="H396" s="455">
        <v>1.23</v>
      </c>
      <c r="I396" s="455">
        <v>-6.6</v>
      </c>
      <c r="J396" s="455">
        <v>1.01</v>
      </c>
      <c r="K396" s="485"/>
      <c r="L396" s="433">
        <v>98</v>
      </c>
      <c r="M396" s="455">
        <v>79</v>
      </c>
      <c r="N396" s="484">
        <f>Weather!M397</f>
        <v>4</v>
      </c>
      <c r="O396" s="481">
        <f t="shared" si="266"/>
        <v>1</v>
      </c>
      <c r="P396" s="4">
        <f t="shared" si="277"/>
        <v>0.23124500724166852</v>
      </c>
      <c r="Q396" s="169">
        <f t="shared" si="247"/>
        <v>0.66768985737927755</v>
      </c>
      <c r="R396" s="169">
        <f t="shared" si="248"/>
        <v>0.37267225195002285</v>
      </c>
      <c r="S396" s="169">
        <f t="shared" si="249"/>
        <v>0.52747498732962927</v>
      </c>
      <c r="T396" s="169">
        <f t="shared" si="250"/>
        <v>0.36521880691102238</v>
      </c>
      <c r="U396" s="169">
        <f t="shared" si="239"/>
        <v>0.44634689712032583</v>
      </c>
      <c r="V396" s="169">
        <f t="shared" si="240"/>
        <v>-1.8162890991154264E-2</v>
      </c>
      <c r="W396" s="439">
        <f t="shared" si="241"/>
        <v>-4.233167472844336</v>
      </c>
      <c r="X396" s="439">
        <f t="shared" si="251"/>
        <v>-4.233167472844336</v>
      </c>
      <c r="Y396" s="169"/>
      <c r="Z396" s="119" t="str">
        <f t="shared" si="252"/>
        <v/>
      </c>
      <c r="AA396" s="4" t="str">
        <f t="shared" si="253"/>
        <v/>
      </c>
      <c r="AB396" s="466"/>
      <c r="AC396" s="466"/>
      <c r="AD396" s="466"/>
      <c r="AE396" s="466"/>
      <c r="AF396" s="466"/>
      <c r="AG396" s="466"/>
      <c r="AH396" s="466"/>
      <c r="AI396" s="466"/>
      <c r="AJ396" s="466"/>
      <c r="AK396" s="466"/>
      <c r="AL396" s="466"/>
      <c r="AM396" s="462">
        <f t="shared" si="243"/>
        <v>26</v>
      </c>
      <c r="AN396" s="32">
        <f t="shared" si="267"/>
        <v>1.0297495555763523</v>
      </c>
      <c r="AO396" s="32">
        <f t="shared" si="268"/>
        <v>-0.33087661276889524</v>
      </c>
      <c r="AP396" s="32">
        <f t="shared" si="269"/>
        <v>1.2308988438148769</v>
      </c>
      <c r="AQ396" s="32">
        <f t="shared" si="270"/>
        <v>9.403374501083352</v>
      </c>
      <c r="AR396" s="32">
        <f t="shared" si="271"/>
        <v>13.985220795979894</v>
      </c>
      <c r="AS396" s="32">
        <f t="shared" si="254"/>
        <v>10.498984955958026</v>
      </c>
      <c r="AT396" s="32">
        <f t="shared" si="255"/>
        <v>1.1975039999999999</v>
      </c>
      <c r="AU396" s="32">
        <f t="shared" si="256"/>
        <v>0.3</v>
      </c>
      <c r="AV396" s="32">
        <f t="shared" si="257"/>
        <v>5.5000000000000049E-2</v>
      </c>
      <c r="AW396" s="32">
        <f t="shared" si="258"/>
        <v>0.66768985737927755</v>
      </c>
      <c r="AX396" s="32">
        <f t="shared" si="259"/>
        <v>0.37267225195002285</v>
      </c>
      <c r="AY396" s="32">
        <f t="shared" si="260"/>
        <v>0.44634689712032583</v>
      </c>
      <c r="AZ396" s="32">
        <f t="shared" si="272"/>
        <v>0.24646712244585658</v>
      </c>
      <c r="BA396" s="32">
        <f t="shared" si="261"/>
        <v>-0.35588338301957773</v>
      </c>
      <c r="BB396" s="32">
        <f t="shared" si="273"/>
        <v>0.84162061698042212</v>
      </c>
      <c r="BC396" s="32">
        <f t="shared" si="262"/>
        <v>-2.6849999999999996</v>
      </c>
      <c r="BD396" s="32">
        <v>0</v>
      </c>
      <c r="BE396" s="32">
        <f t="shared" si="274"/>
        <v>0.52018105466465014</v>
      </c>
      <c r="BF396" s="32">
        <f t="shared" si="275"/>
        <v>7.3834157544324319E-2</v>
      </c>
      <c r="BG396" s="32">
        <f t="shared" si="276"/>
        <v>3.7327615491499377E-2</v>
      </c>
      <c r="BH396" s="32">
        <f t="shared" si="263"/>
        <v>0.10054042080807249</v>
      </c>
      <c r="BI396" s="32">
        <f t="shared" si="264"/>
        <v>0.13070458643359603</v>
      </c>
      <c r="BJ396" s="32">
        <f t="shared" si="242"/>
        <v>0.23124500724166852</v>
      </c>
      <c r="BK396" s="457">
        <f t="shared" si="265"/>
        <v>0.55529033117290871</v>
      </c>
    </row>
    <row r="397" spans="1:63" ht="15">
      <c r="A397" s="119"/>
      <c r="B397" s="480">
        <f>Input!B414</f>
        <v>38379</v>
      </c>
      <c r="C397" s="481">
        <v>2</v>
      </c>
      <c r="D397" s="481">
        <f t="shared" si="244"/>
        <v>1</v>
      </c>
      <c r="E397" s="481">
        <f t="shared" si="245"/>
        <v>27</v>
      </c>
      <c r="F397" s="481">
        <f t="shared" si="246"/>
        <v>27</v>
      </c>
      <c r="G397" s="431">
        <v>0.95040000000000002</v>
      </c>
      <c r="H397" s="455">
        <v>3.18</v>
      </c>
      <c r="I397" s="455">
        <v>-1</v>
      </c>
      <c r="J397" s="455">
        <v>1.75</v>
      </c>
      <c r="K397" s="485"/>
      <c r="L397" s="433">
        <v>98</v>
      </c>
      <c r="M397" s="455">
        <v>78</v>
      </c>
      <c r="N397" s="484">
        <f>Weather!M398</f>
        <v>0</v>
      </c>
      <c r="O397" s="481" t="str">
        <f t="shared" si="266"/>
        <v/>
      </c>
      <c r="P397" s="4">
        <f t="shared" si="277"/>
        <v>0.2718053562480085</v>
      </c>
      <c r="Q397" s="169">
        <f t="shared" si="247"/>
        <v>0.76750142169234392</v>
      </c>
      <c r="R397" s="169">
        <f t="shared" si="248"/>
        <v>0.56775189117620539</v>
      </c>
      <c r="S397" s="169">
        <f t="shared" si="249"/>
        <v>0.59865110892002826</v>
      </c>
      <c r="T397" s="169">
        <f t="shared" si="250"/>
        <v>0.5563968533526813</v>
      </c>
      <c r="U397" s="169">
        <f t="shared" si="239"/>
        <v>0.57752398113635484</v>
      </c>
      <c r="V397" s="169">
        <f t="shared" si="240"/>
        <v>-3.2437525207563486E-3</v>
      </c>
      <c r="W397" s="439">
        <f t="shared" si="241"/>
        <v>-0.76725369207774485</v>
      </c>
      <c r="X397" s="439">
        <f t="shared" si="251"/>
        <v>-0.76725369207774485</v>
      </c>
      <c r="Y397" s="169"/>
      <c r="Z397" s="119" t="str">
        <f t="shared" si="252"/>
        <v/>
      </c>
      <c r="AA397" s="4" t="str">
        <f t="shared" si="253"/>
        <v/>
      </c>
      <c r="AB397" s="466"/>
      <c r="AC397" s="466"/>
      <c r="AD397" s="466"/>
      <c r="AE397" s="466"/>
      <c r="AF397" s="466"/>
      <c r="AG397" s="466"/>
      <c r="AH397" s="466"/>
      <c r="AI397" s="466"/>
      <c r="AJ397" s="466"/>
      <c r="AK397" s="466"/>
      <c r="AL397" s="466"/>
      <c r="AM397" s="462">
        <f t="shared" si="243"/>
        <v>27</v>
      </c>
      <c r="AN397" s="32">
        <f t="shared" si="267"/>
        <v>1.0294993136851356</v>
      </c>
      <c r="AO397" s="32">
        <f t="shared" si="268"/>
        <v>-0.32668915865324738</v>
      </c>
      <c r="AP397" s="32">
        <f t="shared" si="269"/>
        <v>1.2357073158862062</v>
      </c>
      <c r="AQ397" s="32">
        <f t="shared" si="270"/>
        <v>9.4401085218291794</v>
      </c>
      <c r="AR397" s="32">
        <f t="shared" si="271"/>
        <v>14.148971139640429</v>
      </c>
      <c r="AS397" s="32">
        <f t="shared" si="254"/>
        <v>10.621915613950863</v>
      </c>
      <c r="AT397" s="32">
        <f t="shared" si="255"/>
        <v>0.73180800000000001</v>
      </c>
      <c r="AU397" s="32">
        <f t="shared" si="256"/>
        <v>0.3</v>
      </c>
      <c r="AV397" s="32">
        <f t="shared" si="257"/>
        <v>5.5000000000000049E-2</v>
      </c>
      <c r="AW397" s="32">
        <f t="shared" si="258"/>
        <v>0.76750142169234392</v>
      </c>
      <c r="AX397" s="32">
        <f t="shared" si="259"/>
        <v>0.56775189117620539</v>
      </c>
      <c r="AY397" s="32">
        <f t="shared" si="260"/>
        <v>0.57752398113635484</v>
      </c>
      <c r="AZ397" s="32">
        <f t="shared" si="272"/>
        <v>0.23360700196783366</v>
      </c>
      <c r="BA397" s="32">
        <f t="shared" si="261"/>
        <v>-0.35622069441502041</v>
      </c>
      <c r="BB397" s="32">
        <f t="shared" si="273"/>
        <v>0.3755873055849796</v>
      </c>
      <c r="BC397" s="32">
        <f t="shared" si="262"/>
        <v>1.0900000000000001</v>
      </c>
      <c r="BD397" s="32">
        <v>0</v>
      </c>
      <c r="BE397" s="32">
        <f t="shared" si="274"/>
        <v>0.66762665643427466</v>
      </c>
      <c r="BF397" s="32">
        <f t="shared" si="275"/>
        <v>9.0102675297919821E-2</v>
      </c>
      <c r="BG397" s="32">
        <f t="shared" si="276"/>
        <v>4.767543234512063E-2</v>
      </c>
      <c r="BH397" s="32">
        <f t="shared" si="263"/>
        <v>4.7219125308032316E-2</v>
      </c>
      <c r="BI397" s="32">
        <f t="shared" si="264"/>
        <v>0.22458623093997621</v>
      </c>
      <c r="BJ397" s="32">
        <f t="shared" si="242"/>
        <v>0.2718053562480085</v>
      </c>
      <c r="BK397" s="457">
        <f t="shared" si="265"/>
        <v>0.5129874154721078</v>
      </c>
    </row>
    <row r="398" spans="1:63" ht="15">
      <c r="A398" s="119"/>
      <c r="B398" s="480">
        <f>Input!B415</f>
        <v>38380</v>
      </c>
      <c r="C398" s="481">
        <v>2</v>
      </c>
      <c r="D398" s="481">
        <f t="shared" si="244"/>
        <v>1</v>
      </c>
      <c r="E398" s="481">
        <f t="shared" si="245"/>
        <v>28</v>
      </c>
      <c r="F398" s="481">
        <f t="shared" si="246"/>
        <v>28</v>
      </c>
      <c r="G398" s="431">
        <v>1.9008</v>
      </c>
      <c r="H398" s="455">
        <v>2.38</v>
      </c>
      <c r="I398" s="455">
        <v>-2</v>
      </c>
      <c r="J398" s="455">
        <v>2.08</v>
      </c>
      <c r="K398" s="485"/>
      <c r="L398" s="433">
        <v>100</v>
      </c>
      <c r="M398" s="455">
        <v>82</v>
      </c>
      <c r="N398" s="484">
        <f>Weather!M399</f>
        <v>0</v>
      </c>
      <c r="O398" s="481" t="str">
        <f t="shared" si="266"/>
        <v/>
      </c>
      <c r="P398" s="4">
        <f t="shared" si="277"/>
        <v>0.3157483417393101</v>
      </c>
      <c r="Q398" s="169">
        <f t="shared" si="247"/>
        <v>0.72506337101096996</v>
      </c>
      <c r="R398" s="169">
        <f t="shared" si="248"/>
        <v>0.52741000445547548</v>
      </c>
      <c r="S398" s="169">
        <f t="shared" si="249"/>
        <v>0.59455196422899537</v>
      </c>
      <c r="T398" s="169">
        <f t="shared" si="250"/>
        <v>0.52741000445547548</v>
      </c>
      <c r="U398" s="169">
        <f t="shared" si="239"/>
        <v>0.56098098434223542</v>
      </c>
      <c r="V398" s="169">
        <f t="shared" si="240"/>
        <v>-4.9266105616334122E-3</v>
      </c>
      <c r="W398" s="439">
        <f t="shared" si="241"/>
        <v>-1.1633532976325811</v>
      </c>
      <c r="X398" s="439">
        <f t="shared" si="251"/>
        <v>-1.1633532976325811</v>
      </c>
      <c r="Y398" s="169"/>
      <c r="Z398" s="119" t="str">
        <f t="shared" si="252"/>
        <v/>
      </c>
      <c r="AA398" s="4" t="str">
        <f t="shared" si="253"/>
        <v/>
      </c>
      <c r="AB398" s="466"/>
      <c r="AC398" s="466"/>
      <c r="AD398" s="466"/>
      <c r="AE398" s="466"/>
      <c r="AF398" s="466"/>
      <c r="AG398" s="466"/>
      <c r="AH398" s="466"/>
      <c r="AI398" s="466"/>
      <c r="AJ398" s="466"/>
      <c r="AK398" s="466"/>
      <c r="AL398" s="466"/>
      <c r="AM398" s="462">
        <f t="shared" si="243"/>
        <v>28</v>
      </c>
      <c r="AN398" s="32">
        <f t="shared" si="267"/>
        <v>1.0292403305106266</v>
      </c>
      <c r="AO398" s="32">
        <f t="shared" si="268"/>
        <v>-0.32240489948936107</v>
      </c>
      <c r="AP398" s="32">
        <f t="shared" si="269"/>
        <v>1.2406045677392366</v>
      </c>
      <c r="AQ398" s="32">
        <f t="shared" si="270"/>
        <v>9.4775207701480149</v>
      </c>
      <c r="AR398" s="32">
        <f t="shared" si="271"/>
        <v>14.31671654440901</v>
      </c>
      <c r="AS398" s="32">
        <f t="shared" si="254"/>
        <v>10.747845444218733</v>
      </c>
      <c r="AT398" s="32">
        <f t="shared" si="255"/>
        <v>1.463616</v>
      </c>
      <c r="AU398" s="32">
        <f t="shared" si="256"/>
        <v>0.3</v>
      </c>
      <c r="AV398" s="32">
        <f t="shared" si="257"/>
        <v>5.5000000000000049E-2</v>
      </c>
      <c r="AW398" s="32">
        <f t="shared" si="258"/>
        <v>0.72506337101096996</v>
      </c>
      <c r="AX398" s="32">
        <f t="shared" si="259"/>
        <v>0.52741000445547548</v>
      </c>
      <c r="AY398" s="32">
        <f t="shared" si="260"/>
        <v>0.56098098434223542</v>
      </c>
      <c r="AZ398" s="32">
        <f t="shared" si="272"/>
        <v>0.23514187063890654</v>
      </c>
      <c r="BA398" s="32">
        <f t="shared" si="261"/>
        <v>-0.35389036444364042</v>
      </c>
      <c r="BB398" s="32">
        <f t="shared" si="273"/>
        <v>1.1097256355563596</v>
      </c>
      <c r="BC398" s="32">
        <f t="shared" si="262"/>
        <v>0.18999999999999995</v>
      </c>
      <c r="BD398" s="32">
        <v>0</v>
      </c>
      <c r="BE398" s="32">
        <f t="shared" si="274"/>
        <v>0.62623668773322272</v>
      </c>
      <c r="BF398" s="32">
        <f t="shared" si="275"/>
        <v>6.5255703390987296E-2</v>
      </c>
      <c r="BG398" s="32">
        <f t="shared" si="276"/>
        <v>4.5007693460645315E-2</v>
      </c>
      <c r="BH398" s="32">
        <f t="shared" si="263"/>
        <v>0.12769575932716859</v>
      </c>
      <c r="BI398" s="32">
        <f t="shared" si="264"/>
        <v>0.18805258241214148</v>
      </c>
      <c r="BJ398" s="32">
        <f t="shared" si="242"/>
        <v>0.3157483417393101</v>
      </c>
      <c r="BK398" s="457">
        <f t="shared" si="265"/>
        <v>0.50602665824821202</v>
      </c>
    </row>
    <row r="399" spans="1:63" ht="15">
      <c r="A399" s="119"/>
      <c r="B399" s="480">
        <f>Input!B416</f>
        <v>38381</v>
      </c>
      <c r="C399" s="481">
        <v>2</v>
      </c>
      <c r="D399" s="481">
        <f t="shared" si="244"/>
        <v>1</v>
      </c>
      <c r="E399" s="481">
        <f t="shared" si="245"/>
        <v>29</v>
      </c>
      <c r="F399" s="481">
        <f t="shared" si="246"/>
        <v>29</v>
      </c>
      <c r="G399" s="431">
        <v>2.7648000000000001</v>
      </c>
      <c r="H399" s="455">
        <v>2.69</v>
      </c>
      <c r="I399" s="455">
        <v>-0.4</v>
      </c>
      <c r="J399" s="455">
        <v>5.17</v>
      </c>
      <c r="K399" s="485"/>
      <c r="L399" s="433">
        <v>100</v>
      </c>
      <c r="M399" s="455">
        <v>68</v>
      </c>
      <c r="N399" s="484">
        <f>Weather!M400</f>
        <v>4</v>
      </c>
      <c r="O399" s="481">
        <f t="shared" si="266"/>
        <v>1</v>
      </c>
      <c r="P399" s="4">
        <f t="shared" si="277"/>
        <v>0.7281902108347631</v>
      </c>
      <c r="Q399" s="169">
        <f t="shared" si="247"/>
        <v>0.74125563749834722</v>
      </c>
      <c r="R399" s="169">
        <f t="shared" si="248"/>
        <v>0.59324625951914634</v>
      </c>
      <c r="S399" s="169">
        <f t="shared" si="249"/>
        <v>0.50405383349887611</v>
      </c>
      <c r="T399" s="169">
        <f t="shared" si="250"/>
        <v>0.59324625951914634</v>
      </c>
      <c r="U399" s="169">
        <f t="shared" si="239"/>
        <v>0.54865004650901117</v>
      </c>
      <c r="V399" s="169">
        <f t="shared" si="240"/>
        <v>-6.2135942754929221E-3</v>
      </c>
      <c r="W399" s="439">
        <f t="shared" si="241"/>
        <v>-1.465380640813295</v>
      </c>
      <c r="X399" s="439">
        <f t="shared" si="251"/>
        <v>-1.465380640813295</v>
      </c>
      <c r="Y399" s="169"/>
      <c r="Z399" s="119" t="str">
        <f t="shared" si="252"/>
        <v/>
      </c>
      <c r="AA399" s="4" t="str">
        <f t="shared" si="253"/>
        <v/>
      </c>
      <c r="AB399" s="466"/>
      <c r="AC399" s="466"/>
      <c r="AD399" s="466"/>
      <c r="AE399" s="466"/>
      <c r="AF399" s="466"/>
      <c r="AG399" s="466"/>
      <c r="AH399" s="466"/>
      <c r="AI399" s="466"/>
      <c r="AJ399" s="466"/>
      <c r="AK399" s="466"/>
      <c r="AL399" s="466"/>
      <c r="AM399" s="462">
        <f t="shared" si="243"/>
        <v>29</v>
      </c>
      <c r="AN399" s="32">
        <f t="shared" si="267"/>
        <v>1.0289726827951293</v>
      </c>
      <c r="AO399" s="32">
        <f t="shared" si="268"/>
        <v>-0.31802510479568846</v>
      </c>
      <c r="AP399" s="32">
        <f t="shared" si="269"/>
        <v>1.2455881116724887</v>
      </c>
      <c r="AQ399" s="32">
        <f t="shared" si="270"/>
        <v>9.5155922414004639</v>
      </c>
      <c r="AR399" s="32">
        <f t="shared" si="271"/>
        <v>14.488415643131981</v>
      </c>
      <c r="AS399" s="32">
        <f t="shared" si="254"/>
        <v>10.876743391612042</v>
      </c>
      <c r="AT399" s="32">
        <f t="shared" si="255"/>
        <v>2.1288960000000001</v>
      </c>
      <c r="AU399" s="32">
        <f t="shared" si="256"/>
        <v>0.3</v>
      </c>
      <c r="AV399" s="32">
        <f t="shared" si="257"/>
        <v>5.5000000000000049E-2</v>
      </c>
      <c r="AW399" s="32">
        <f t="shared" si="258"/>
        <v>0.74125563749834722</v>
      </c>
      <c r="AX399" s="32">
        <f t="shared" si="259"/>
        <v>0.59324625951914634</v>
      </c>
      <c r="AY399" s="32">
        <f t="shared" si="260"/>
        <v>0.54865004650901117</v>
      </c>
      <c r="AZ399" s="32">
        <f t="shared" si="272"/>
        <v>0.23630071884734871</v>
      </c>
      <c r="BA399" s="32">
        <f t="shared" si="261"/>
        <v>-0.36056041176860476</v>
      </c>
      <c r="BB399" s="32">
        <f t="shared" si="273"/>
        <v>1.7683355882313954</v>
      </c>
      <c r="BC399" s="32">
        <f t="shared" si="262"/>
        <v>1.145</v>
      </c>
      <c r="BD399" s="32">
        <v>0</v>
      </c>
      <c r="BE399" s="32">
        <f t="shared" si="274"/>
        <v>0.66725094850874678</v>
      </c>
      <c r="BF399" s="32">
        <f t="shared" si="275"/>
        <v>0.11860090199973561</v>
      </c>
      <c r="BG399" s="32">
        <f t="shared" si="276"/>
        <v>4.7842776670114273E-2</v>
      </c>
      <c r="BH399" s="32">
        <f t="shared" si="263"/>
        <v>0.14819106586057776</v>
      </c>
      <c r="BI399" s="32">
        <f t="shared" si="264"/>
        <v>0.57999914497418537</v>
      </c>
      <c r="BJ399" s="32">
        <f t="shared" si="242"/>
        <v>0.7281902108347631</v>
      </c>
      <c r="BK399" s="457">
        <f t="shared" si="265"/>
        <v>0.45295650130331699</v>
      </c>
    </row>
    <row r="400" spans="1:63" ht="15">
      <c r="A400" s="119"/>
      <c r="B400" s="480">
        <f>Input!B417</f>
        <v>38382</v>
      </c>
      <c r="C400" s="481">
        <v>2</v>
      </c>
      <c r="D400" s="481">
        <f t="shared" si="244"/>
        <v>1</v>
      </c>
      <c r="E400" s="481">
        <f t="shared" si="245"/>
        <v>30</v>
      </c>
      <c r="F400" s="481">
        <f t="shared" si="246"/>
        <v>30</v>
      </c>
      <c r="G400" s="431">
        <v>5.9615999999999998</v>
      </c>
      <c r="H400" s="455">
        <v>-0.6</v>
      </c>
      <c r="I400" s="455">
        <v>-4.7</v>
      </c>
      <c r="J400" s="455">
        <v>3.18</v>
      </c>
      <c r="K400" s="485"/>
      <c r="L400" s="433">
        <v>100</v>
      </c>
      <c r="M400" s="455">
        <v>71</v>
      </c>
      <c r="N400" s="484">
        <f>Weather!M401</f>
        <v>33</v>
      </c>
      <c r="O400" s="481">
        <f t="shared" si="266"/>
        <v>1</v>
      </c>
      <c r="P400" s="4">
        <f t="shared" si="277"/>
        <v>0.52118754722097038</v>
      </c>
      <c r="Q400" s="169">
        <f t="shared" si="247"/>
        <v>0.58463787619877605</v>
      </c>
      <c r="R400" s="169">
        <f t="shared" si="248"/>
        <v>0.43086968390006897</v>
      </c>
      <c r="S400" s="169">
        <f t="shared" si="249"/>
        <v>0.41509289210113098</v>
      </c>
      <c r="T400" s="169">
        <f t="shared" si="250"/>
        <v>0.43086968390006897</v>
      </c>
      <c r="U400" s="169">
        <f t="shared" si="239"/>
        <v>0.42298128800059998</v>
      </c>
      <c r="V400" s="169">
        <f t="shared" si="240"/>
        <v>-2.1276295986210718E-2</v>
      </c>
      <c r="W400" s="439">
        <f t="shared" si="241"/>
        <v>-4.9436818002833327</v>
      </c>
      <c r="X400" s="439">
        <f t="shared" si="251"/>
        <v>-4.9436818002833327</v>
      </c>
      <c r="Y400" s="169"/>
      <c r="Z400" s="119" t="str">
        <f t="shared" si="252"/>
        <v/>
      </c>
      <c r="AA400" s="4" t="str">
        <f t="shared" si="253"/>
        <v/>
      </c>
      <c r="AB400" s="466"/>
      <c r="AC400" s="466"/>
      <c r="AD400" s="466"/>
      <c r="AE400" s="466"/>
      <c r="AF400" s="466"/>
      <c r="AG400" s="466"/>
      <c r="AH400" s="466"/>
      <c r="AI400" s="466"/>
      <c r="AJ400" s="466"/>
      <c r="AK400" s="466"/>
      <c r="AL400" s="466"/>
      <c r="AM400" s="462">
        <f t="shared" si="243"/>
        <v>30</v>
      </c>
      <c r="AN400" s="32">
        <f t="shared" si="267"/>
        <v>1.0286964498484381</v>
      </c>
      <c r="AO400" s="32">
        <f t="shared" si="268"/>
        <v>-0.31355107239992103</v>
      </c>
      <c r="AP400" s="32">
        <f t="shared" si="269"/>
        <v>1.2506554759887512</v>
      </c>
      <c r="AQ400" s="32">
        <f t="shared" si="270"/>
        <v>9.5543040532107337</v>
      </c>
      <c r="AR400" s="32">
        <f t="shared" si="271"/>
        <v>14.664025102710966</v>
      </c>
      <c r="AS400" s="32">
        <f t="shared" si="254"/>
        <v>11.008576925107176</v>
      </c>
      <c r="AT400" s="32">
        <f t="shared" si="255"/>
        <v>4.5904319999999998</v>
      </c>
      <c r="AU400" s="32">
        <f t="shared" si="256"/>
        <v>0.54154138546313146</v>
      </c>
      <c r="AV400" s="32">
        <f t="shared" si="257"/>
        <v>0.38108087037522753</v>
      </c>
      <c r="AW400" s="32">
        <f t="shared" si="258"/>
        <v>0.58463787619877605</v>
      </c>
      <c r="AX400" s="32">
        <f t="shared" si="259"/>
        <v>0.43086968390006897</v>
      </c>
      <c r="AY400" s="32">
        <f t="shared" si="260"/>
        <v>0.42298128800059998</v>
      </c>
      <c r="AZ400" s="32">
        <f t="shared" si="272"/>
        <v>0.24894818373688662</v>
      </c>
      <c r="BA400" s="32">
        <f t="shared" si="261"/>
        <v>-2.4896649488496649</v>
      </c>
      <c r="BB400" s="32">
        <f t="shared" si="273"/>
        <v>2.1007670511503349</v>
      </c>
      <c r="BC400" s="32">
        <f t="shared" si="262"/>
        <v>-2.65</v>
      </c>
      <c r="BD400" s="32">
        <v>0</v>
      </c>
      <c r="BE400" s="32">
        <f t="shared" si="274"/>
        <v>0.50775378004942251</v>
      </c>
      <c r="BF400" s="32">
        <f t="shared" si="275"/>
        <v>8.4772492048822534E-2</v>
      </c>
      <c r="BG400" s="32">
        <f t="shared" si="276"/>
        <v>3.7413833652526103E-2</v>
      </c>
      <c r="BH400" s="32">
        <f t="shared" si="263"/>
        <v>0.18108326645049003</v>
      </c>
      <c r="BI400" s="32">
        <f t="shared" si="264"/>
        <v>0.34010428077048033</v>
      </c>
      <c r="BJ400" s="32">
        <f t="shared" si="242"/>
        <v>0.52118754722097038</v>
      </c>
      <c r="BK400" s="457">
        <f t="shared" si="265"/>
        <v>0.42229847028214451</v>
      </c>
    </row>
    <row r="401" spans="1:63" ht="15">
      <c r="A401" s="119"/>
      <c r="B401" s="480">
        <f>Input!B418</f>
        <v>38383</v>
      </c>
      <c r="C401" s="481">
        <v>2</v>
      </c>
      <c r="D401" s="481">
        <f t="shared" si="244"/>
        <v>1</v>
      </c>
      <c r="E401" s="481">
        <f t="shared" si="245"/>
        <v>31</v>
      </c>
      <c r="F401" s="481">
        <f t="shared" si="246"/>
        <v>31</v>
      </c>
      <c r="G401" s="431">
        <v>9.1584000000000003</v>
      </c>
      <c r="H401" s="455">
        <v>-0.75</v>
      </c>
      <c r="I401" s="455">
        <v>-3.4</v>
      </c>
      <c r="J401" s="455">
        <v>3.99</v>
      </c>
      <c r="K401" s="485"/>
      <c r="L401" s="433">
        <v>100</v>
      </c>
      <c r="M401" s="455">
        <v>79</v>
      </c>
      <c r="N401" s="484">
        <f>Weather!M402</f>
        <v>0</v>
      </c>
      <c r="O401" s="481" t="str">
        <f t="shared" si="266"/>
        <v/>
      </c>
      <c r="P401" s="4">
        <f t="shared" si="277"/>
        <v>0.4462916169068708</v>
      </c>
      <c r="Q401" s="169">
        <f t="shared" si="247"/>
        <v>0.57825428292012604</v>
      </c>
      <c r="R401" s="169">
        <f t="shared" si="248"/>
        <v>0.47519757638204746</v>
      </c>
      <c r="S401" s="169">
        <f t="shared" si="249"/>
        <v>0.45682088350689959</v>
      </c>
      <c r="T401" s="169">
        <f t="shared" si="250"/>
        <v>0.47519757638204746</v>
      </c>
      <c r="U401" s="169">
        <f t="shared" si="239"/>
        <v>0.46600922994447352</v>
      </c>
      <c r="V401" s="169">
        <f t="shared" si="240"/>
        <v>-1.5666712951197759E-2</v>
      </c>
      <c r="W401" s="439">
        <f t="shared" si="241"/>
        <v>-3.6603650940934815</v>
      </c>
      <c r="X401" s="439">
        <f t="shared" si="251"/>
        <v>-3.6603650940934815</v>
      </c>
      <c r="Y401" s="169"/>
      <c r="Z401" s="119" t="str">
        <f t="shared" si="252"/>
        <v/>
      </c>
      <c r="AA401" s="4" t="str">
        <f t="shared" si="253"/>
        <v/>
      </c>
      <c r="AB401" s="466"/>
      <c r="AC401" s="466"/>
      <c r="AD401" s="466"/>
      <c r="AE401" s="466"/>
      <c r="AF401" s="466"/>
      <c r="AG401" s="466"/>
      <c r="AH401" s="466"/>
      <c r="AI401" s="466"/>
      <c r="AJ401" s="466"/>
      <c r="AK401" s="466"/>
      <c r="AL401" s="466"/>
      <c r="AM401" s="462">
        <f t="shared" si="243"/>
        <v>31</v>
      </c>
      <c r="AN401" s="32">
        <f t="shared" si="267"/>
        <v>1.0284117135243369</v>
      </c>
      <c r="AO401" s="32">
        <f t="shared" si="268"/>
        <v>-0.30898412805441511</v>
      </c>
      <c r="AP401" s="32">
        <f t="shared" si="269"/>
        <v>1.2558042078851384</v>
      </c>
      <c r="AQ401" s="32">
        <f t="shared" si="270"/>
        <v>9.5936374675450509</v>
      </c>
      <c r="AR401" s="32">
        <f t="shared" si="271"/>
        <v>14.843499603252569</v>
      </c>
      <c r="AS401" s="32">
        <f t="shared" si="254"/>
        <v>11.14331202215377</v>
      </c>
      <c r="AT401" s="32">
        <f t="shared" si="255"/>
        <v>7.0519680000000005</v>
      </c>
      <c r="AU401" s="32">
        <f t="shared" si="256"/>
        <v>0.82187414134975212</v>
      </c>
      <c r="AV401" s="32">
        <f t="shared" si="257"/>
        <v>0.75953009082216549</v>
      </c>
      <c r="AW401" s="32">
        <f t="shared" si="258"/>
        <v>0.57825428292012604</v>
      </c>
      <c r="AX401" s="32">
        <f t="shared" si="259"/>
        <v>0.47519757638204746</v>
      </c>
      <c r="AY401" s="32">
        <f t="shared" si="260"/>
        <v>0.46600922994447352</v>
      </c>
      <c r="AZ401" s="32">
        <f t="shared" si="272"/>
        <v>0.24442918381162754</v>
      </c>
      <c r="BA401" s="32">
        <f t="shared" si="261"/>
        <v>-4.9126320868569744</v>
      </c>
      <c r="BB401" s="32">
        <f t="shared" si="273"/>
        <v>2.1393359131430261</v>
      </c>
      <c r="BC401" s="32">
        <f t="shared" si="262"/>
        <v>-2.0750000000000002</v>
      </c>
      <c r="BD401" s="32">
        <v>0</v>
      </c>
      <c r="BE401" s="32">
        <f t="shared" si="274"/>
        <v>0.52672592965108678</v>
      </c>
      <c r="BF401" s="32">
        <f t="shared" si="275"/>
        <v>6.0716699706613253E-2</v>
      </c>
      <c r="BG401" s="32">
        <f t="shared" si="276"/>
        <v>3.8855060446240493E-2</v>
      </c>
      <c r="BH401" s="32">
        <f t="shared" si="263"/>
        <v>0.172143755153468</v>
      </c>
      <c r="BI401" s="32">
        <f t="shared" si="264"/>
        <v>0.27414786175340283</v>
      </c>
      <c r="BJ401" s="32">
        <f t="shared" si="242"/>
        <v>0.4462916169068708</v>
      </c>
      <c r="BK401" s="457">
        <f t="shared" si="265"/>
        <v>0.35670701309710262</v>
      </c>
    </row>
    <row r="402" spans="1:63" ht="15">
      <c r="A402" s="119"/>
      <c r="B402" s="480">
        <f>Input!B419</f>
        <v>38384</v>
      </c>
      <c r="C402" s="481">
        <v>2</v>
      </c>
      <c r="D402" s="481">
        <f t="shared" si="244"/>
        <v>2</v>
      </c>
      <c r="E402" s="481">
        <f t="shared" si="245"/>
        <v>1</v>
      </c>
      <c r="F402" s="481">
        <f t="shared" si="246"/>
        <v>32</v>
      </c>
      <c r="G402" s="431">
        <v>8.7263999999999999</v>
      </c>
      <c r="H402" s="455">
        <v>-1.7</v>
      </c>
      <c r="I402" s="455">
        <v>-2.7</v>
      </c>
      <c r="J402" s="455">
        <v>5.64</v>
      </c>
      <c r="K402" s="485"/>
      <c r="L402" s="433">
        <v>100</v>
      </c>
      <c r="M402" s="455">
        <v>87</v>
      </c>
      <c r="N402" s="484">
        <f>Weather!M403</f>
        <v>1</v>
      </c>
      <c r="O402" s="481">
        <f t="shared" si="266"/>
        <v>1</v>
      </c>
      <c r="P402" s="4">
        <f t="shared" si="277"/>
        <v>0.34063662232689529</v>
      </c>
      <c r="Q402" s="169">
        <f t="shared" si="247"/>
        <v>0.53923734716108329</v>
      </c>
      <c r="R402" s="169">
        <f t="shared" si="248"/>
        <v>0.50070143361417307</v>
      </c>
      <c r="S402" s="169">
        <f t="shared" si="249"/>
        <v>0.46913649203014246</v>
      </c>
      <c r="T402" s="169">
        <f t="shared" si="250"/>
        <v>0.50070143361417307</v>
      </c>
      <c r="U402" s="169">
        <f t="shared" si="239"/>
        <v>0.48491896282215774</v>
      </c>
      <c r="V402" s="169">
        <f t="shared" si="240"/>
        <v>-1.336350800997101E-2</v>
      </c>
      <c r="W402" s="439">
        <f t="shared" si="241"/>
        <v>-3.1293414709531042</v>
      </c>
      <c r="X402" s="439">
        <f t="shared" si="251"/>
        <v>-3.1293414709531042</v>
      </c>
      <c r="Y402" s="169"/>
      <c r="Z402" s="119" t="str">
        <f t="shared" si="252"/>
        <v/>
      </c>
      <c r="AA402" s="4" t="str">
        <f t="shared" si="253"/>
        <v/>
      </c>
      <c r="AB402" s="466"/>
      <c r="AC402" s="466"/>
      <c r="AD402" s="466"/>
      <c r="AE402" s="466"/>
      <c r="AF402" s="466"/>
      <c r="AG402" s="466"/>
      <c r="AH402" s="466"/>
      <c r="AI402" s="466"/>
      <c r="AJ402" s="466"/>
      <c r="AK402" s="466"/>
      <c r="AL402" s="466"/>
      <c r="AM402" s="462">
        <f t="shared" si="243"/>
        <v>32</v>
      </c>
      <c r="AN402" s="32">
        <f t="shared" si="267"/>
        <v>1.0281185581963432</v>
      </c>
      <c r="AO402" s="32">
        <f t="shared" si="268"/>
        <v>-0.30432562504334304</v>
      </c>
      <c r="AP402" s="32">
        <f t="shared" si="269"/>
        <v>1.2610318761516348</v>
      </c>
      <c r="AQ402" s="32">
        <f t="shared" si="270"/>
        <v>9.633573911327014</v>
      </c>
      <c r="AR402" s="32">
        <f t="shared" si="271"/>
        <v>15.02679182076109</v>
      </c>
      <c r="AS402" s="32">
        <f t="shared" si="254"/>
        <v>11.280913155681766</v>
      </c>
      <c r="AT402" s="32">
        <f t="shared" si="255"/>
        <v>6.719328</v>
      </c>
      <c r="AU402" s="32">
        <f t="shared" si="256"/>
        <v>0.77355439932669323</v>
      </c>
      <c r="AV402" s="32">
        <f t="shared" si="257"/>
        <v>0.69429843909103595</v>
      </c>
      <c r="AW402" s="32">
        <f t="shared" si="258"/>
        <v>0.53923734716108329</v>
      </c>
      <c r="AX402" s="32">
        <f t="shared" si="259"/>
        <v>0.50070143361417307</v>
      </c>
      <c r="AY402" s="32">
        <f t="shared" si="260"/>
        <v>0.48491896282215774</v>
      </c>
      <c r="AZ402" s="32">
        <f t="shared" si="272"/>
        <v>0.24250942778240406</v>
      </c>
      <c r="BA402" s="32">
        <f t="shared" si="261"/>
        <v>-4.4466852581762248</v>
      </c>
      <c r="BB402" s="32">
        <f t="shared" si="273"/>
        <v>2.2726427418237751</v>
      </c>
      <c r="BC402" s="32">
        <f t="shared" si="262"/>
        <v>-2.2000000000000002</v>
      </c>
      <c r="BD402" s="32">
        <v>0</v>
      </c>
      <c r="BE402" s="32">
        <f t="shared" si="274"/>
        <v>0.51996939038762813</v>
      </c>
      <c r="BF402" s="32">
        <f t="shared" si="275"/>
        <v>3.5050427565470388E-2</v>
      </c>
      <c r="BG402" s="32">
        <f t="shared" si="276"/>
        <v>3.8537745218271309E-2</v>
      </c>
      <c r="BH402" s="32">
        <f t="shared" si="263"/>
        <v>0.15248235477267241</v>
      </c>
      <c r="BI402" s="32">
        <f t="shared" si="264"/>
        <v>0.1881542675542229</v>
      </c>
      <c r="BJ402" s="32">
        <f t="shared" si="242"/>
        <v>0.34063662232689529</v>
      </c>
      <c r="BK402" s="457">
        <f t="shared" si="265"/>
        <v>0.22006583286894205</v>
      </c>
    </row>
    <row r="403" spans="1:63" ht="15">
      <c r="A403" s="119"/>
      <c r="B403" s="480">
        <f>Input!B420</f>
        <v>38385</v>
      </c>
      <c r="C403" s="481">
        <v>2</v>
      </c>
      <c r="D403" s="481">
        <f t="shared" si="244"/>
        <v>2</v>
      </c>
      <c r="E403" s="481">
        <f t="shared" si="245"/>
        <v>2</v>
      </c>
      <c r="F403" s="481">
        <f t="shared" si="246"/>
        <v>33</v>
      </c>
      <c r="G403" s="431">
        <v>10.4544</v>
      </c>
      <c r="H403" s="455">
        <v>-2.08</v>
      </c>
      <c r="I403" s="455">
        <v>-9.8000000000000007</v>
      </c>
      <c r="J403" s="455">
        <v>5.76</v>
      </c>
      <c r="K403" s="485"/>
      <c r="L403" s="433">
        <v>100</v>
      </c>
      <c r="M403" s="455">
        <v>69</v>
      </c>
      <c r="N403" s="484">
        <f>Weather!M404</f>
        <v>15</v>
      </c>
      <c r="O403" s="481">
        <f t="shared" si="266"/>
        <v>1</v>
      </c>
      <c r="P403" s="4">
        <f t="shared" si="277"/>
        <v>0.58582927143330044</v>
      </c>
      <c r="Q403" s="169">
        <f t="shared" si="247"/>
        <v>0.52429508658272161</v>
      </c>
      <c r="R403" s="169">
        <f t="shared" si="248"/>
        <v>0.2902756857153948</v>
      </c>
      <c r="S403" s="169">
        <f t="shared" si="249"/>
        <v>0.36176360974207789</v>
      </c>
      <c r="T403" s="169">
        <f t="shared" si="250"/>
        <v>0.2902756857153948</v>
      </c>
      <c r="U403" s="169">
        <f t="shared" si="239"/>
        <v>0.32601964772873637</v>
      </c>
      <c r="V403" s="169">
        <f t="shared" si="240"/>
        <v>-3.6352746073383096E-2</v>
      </c>
      <c r="W403" s="439">
        <f t="shared" si="241"/>
        <v>-8.3239096686901384</v>
      </c>
      <c r="X403" s="439">
        <f t="shared" si="251"/>
        <v>-8.3239096686901384</v>
      </c>
      <c r="Y403" s="169"/>
      <c r="Z403" s="119" t="str">
        <f t="shared" si="252"/>
        <v/>
      </c>
      <c r="AA403" s="4" t="str">
        <f t="shared" si="253"/>
        <v/>
      </c>
      <c r="AB403" s="466"/>
      <c r="AC403" s="466"/>
      <c r="AD403" s="466"/>
      <c r="AE403" s="466"/>
      <c r="AF403" s="466"/>
      <c r="AG403" s="466"/>
      <c r="AH403" s="466"/>
      <c r="AI403" s="466"/>
      <c r="AJ403" s="466"/>
      <c r="AK403" s="466"/>
      <c r="AL403" s="466"/>
      <c r="AM403" s="462">
        <f t="shared" si="243"/>
        <v>33</v>
      </c>
      <c r="AN403" s="32">
        <f t="shared" si="267"/>
        <v>1.0278170707327079</v>
      </c>
      <c r="AO403" s="32">
        <f t="shared" si="268"/>
        <v>-0.2995769437816857</v>
      </c>
      <c r="AP403" s="32">
        <f t="shared" si="269"/>
        <v>1.2663360736781102</v>
      </c>
      <c r="AQ403" s="32">
        <f t="shared" si="270"/>
        <v>9.6740949955897833</v>
      </c>
      <c r="AR403" s="32">
        <f t="shared" si="271"/>
        <v>15.213852413458733</v>
      </c>
      <c r="AS403" s="32">
        <f t="shared" si="254"/>
        <v>11.421343283831741</v>
      </c>
      <c r="AT403" s="32">
        <f t="shared" si="255"/>
        <v>8.0498879999999993</v>
      </c>
      <c r="AU403" s="32">
        <f t="shared" si="256"/>
        <v>0.91533891769100717</v>
      </c>
      <c r="AV403" s="32">
        <f t="shared" si="257"/>
        <v>0.8857075388828598</v>
      </c>
      <c r="AW403" s="32">
        <f t="shared" si="258"/>
        <v>0.52429508658272161</v>
      </c>
      <c r="AX403" s="32">
        <f t="shared" si="259"/>
        <v>0.2902756857153948</v>
      </c>
      <c r="AY403" s="32">
        <f t="shared" si="260"/>
        <v>0.32601964772873637</v>
      </c>
      <c r="AZ403" s="32">
        <f t="shared" si="272"/>
        <v>0.26006261765930017</v>
      </c>
      <c r="BA403" s="32">
        <f t="shared" si="261"/>
        <v>-5.7612751198329804</v>
      </c>
      <c r="BB403" s="32">
        <f t="shared" si="273"/>
        <v>2.2886128801670189</v>
      </c>
      <c r="BC403" s="32">
        <f t="shared" si="262"/>
        <v>-5.94</v>
      </c>
      <c r="BD403" s="32">
        <v>0</v>
      </c>
      <c r="BE403" s="32">
        <f t="shared" si="274"/>
        <v>0.40728538614905818</v>
      </c>
      <c r="BF403" s="32">
        <f t="shared" si="275"/>
        <v>8.1265738420321809E-2</v>
      </c>
      <c r="BG403" s="32">
        <f t="shared" si="276"/>
        <v>3.0021785647481876E-2</v>
      </c>
      <c r="BH403" s="32">
        <f t="shared" si="263"/>
        <v>0.1226457811454655</v>
      </c>
      <c r="BI403" s="32">
        <f t="shared" si="264"/>
        <v>0.4631834902878349</v>
      </c>
      <c r="BJ403" s="32">
        <f t="shared" si="242"/>
        <v>0.58582927143330044</v>
      </c>
      <c r="BK403" s="457">
        <f t="shared" si="265"/>
        <v>0.47064591091417723</v>
      </c>
    </row>
    <row r="404" spans="1:63" ht="15">
      <c r="A404" s="119"/>
      <c r="B404" s="480">
        <f>Input!B421</f>
        <v>38386</v>
      </c>
      <c r="C404" s="481">
        <v>2</v>
      </c>
      <c r="D404" s="481">
        <f t="shared" si="244"/>
        <v>2</v>
      </c>
      <c r="E404" s="481">
        <f t="shared" si="245"/>
        <v>3</v>
      </c>
      <c r="F404" s="481">
        <f t="shared" si="246"/>
        <v>34</v>
      </c>
      <c r="G404" s="431">
        <v>9.2447999999999997</v>
      </c>
      <c r="H404" s="455">
        <v>-6.13</v>
      </c>
      <c r="I404" s="455">
        <v>-11.8</v>
      </c>
      <c r="J404" s="455">
        <v>3.39</v>
      </c>
      <c r="K404" s="485"/>
      <c r="L404" s="433">
        <v>100</v>
      </c>
      <c r="M404" s="455">
        <v>67</v>
      </c>
      <c r="N404" s="484">
        <f>Weather!M405</f>
        <v>0</v>
      </c>
      <c r="O404" s="481" t="str">
        <f t="shared" si="266"/>
        <v/>
      </c>
      <c r="P404" s="4">
        <f t="shared" si="277"/>
        <v>0.43557071163111061</v>
      </c>
      <c r="Q404" s="169">
        <f t="shared" si="247"/>
        <v>0.38637798233359921</v>
      </c>
      <c r="R404" s="169">
        <f t="shared" si="248"/>
        <v>0.2474138043929297</v>
      </c>
      <c r="S404" s="169">
        <f t="shared" si="249"/>
        <v>0.25887324816351148</v>
      </c>
      <c r="T404" s="169">
        <f t="shared" si="250"/>
        <v>0.2474138043929297</v>
      </c>
      <c r="U404" s="169">
        <f t="shared" si="239"/>
        <v>0.25314352627822057</v>
      </c>
      <c r="V404" s="169">
        <f t="shared" si="240"/>
        <v>-5.1002486851592525E-2</v>
      </c>
      <c r="W404" s="439">
        <f t="shared" si="241"/>
        <v>-11.515567547455197</v>
      </c>
      <c r="X404" s="439">
        <f t="shared" si="251"/>
        <v>-11.515567547455197</v>
      </c>
      <c r="Y404" s="169"/>
      <c r="Z404" s="119" t="str">
        <f t="shared" si="252"/>
        <v/>
      </c>
      <c r="AA404" s="4" t="str">
        <f t="shared" si="253"/>
        <v/>
      </c>
      <c r="AB404" s="466"/>
      <c r="AC404" s="466"/>
      <c r="AD404" s="466"/>
      <c r="AE404" s="466"/>
      <c r="AF404" s="466"/>
      <c r="AG404" s="466"/>
      <c r="AH404" s="466"/>
      <c r="AI404" s="466"/>
      <c r="AJ404" s="466"/>
      <c r="AK404" s="466"/>
      <c r="AL404" s="466"/>
      <c r="AM404" s="462">
        <f t="shared" si="243"/>
        <v>34</v>
      </c>
      <c r="AN404" s="32">
        <f t="shared" si="267"/>
        <v>1.0275073404706727</v>
      </c>
      <c r="AO404" s="32">
        <f t="shared" si="268"/>
        <v>-0.29473949140618588</v>
      </c>
      <c r="AP404" s="32">
        <f t="shared" si="269"/>
        <v>1.2717144197706123</v>
      </c>
      <c r="AQ404" s="32">
        <f t="shared" si="270"/>
        <v>9.7151825331712569</v>
      </c>
      <c r="AR404" s="32">
        <f t="shared" si="271"/>
        <v>15.40463001180461</v>
      </c>
      <c r="AS404" s="32">
        <f t="shared" si="254"/>
        <v>11.564563842461958</v>
      </c>
      <c r="AT404" s="32">
        <f t="shared" si="255"/>
        <v>7.1184959999999995</v>
      </c>
      <c r="AU404" s="32">
        <f t="shared" si="256"/>
        <v>0.79940758042733862</v>
      </c>
      <c r="AV404" s="32">
        <f t="shared" si="257"/>
        <v>0.72920023357690733</v>
      </c>
      <c r="AW404" s="32">
        <f t="shared" si="258"/>
        <v>0.38637798233359921</v>
      </c>
      <c r="AX404" s="32">
        <f t="shared" si="259"/>
        <v>0.2474138043929297</v>
      </c>
      <c r="AY404" s="32">
        <f t="shared" si="260"/>
        <v>0.25314352627822062</v>
      </c>
      <c r="AZ404" s="32">
        <f t="shared" si="272"/>
        <v>0.26956128113705413</v>
      </c>
      <c r="BA404" s="32">
        <f t="shared" si="261"/>
        <v>-4.6949717853970583</v>
      </c>
      <c r="BB404" s="32">
        <f t="shared" si="273"/>
        <v>2.4235242146029412</v>
      </c>
      <c r="BC404" s="32">
        <f t="shared" si="262"/>
        <v>-8.9649999999999999</v>
      </c>
      <c r="BD404" s="32">
        <v>0</v>
      </c>
      <c r="BE404" s="32">
        <f t="shared" si="274"/>
        <v>0.31689589336326446</v>
      </c>
      <c r="BF404" s="32">
        <f t="shared" si="275"/>
        <v>6.3752367085043837E-2</v>
      </c>
      <c r="BG404" s="32">
        <f t="shared" si="276"/>
        <v>2.4375463774523265E-2</v>
      </c>
      <c r="BH404" s="32">
        <f t="shared" si="263"/>
        <v>0.14275071210430609</v>
      </c>
      <c r="BI404" s="32">
        <f t="shared" si="264"/>
        <v>0.29281999952680454</v>
      </c>
      <c r="BJ404" s="32">
        <f t="shared" si="242"/>
        <v>0.43557071163111061</v>
      </c>
      <c r="BK404" s="457">
        <f t="shared" si="265"/>
        <v>0.3042363533253164</v>
      </c>
    </row>
    <row r="405" spans="1:63" ht="15">
      <c r="A405" s="119"/>
      <c r="B405" s="480">
        <f>Input!B422</f>
        <v>38387</v>
      </c>
      <c r="C405" s="481">
        <v>2</v>
      </c>
      <c r="D405" s="481">
        <f t="shared" si="244"/>
        <v>2</v>
      </c>
      <c r="E405" s="481">
        <f t="shared" si="245"/>
        <v>4</v>
      </c>
      <c r="F405" s="481">
        <f t="shared" si="246"/>
        <v>35</v>
      </c>
      <c r="G405" s="431">
        <v>8.5535999999999994</v>
      </c>
      <c r="H405" s="455">
        <v>-5.27</v>
      </c>
      <c r="I405" s="455">
        <v>-9.1</v>
      </c>
      <c r="J405" s="455">
        <v>2.25</v>
      </c>
      <c r="K405" s="485"/>
      <c r="L405" s="433">
        <v>100</v>
      </c>
      <c r="M405" s="455">
        <v>86</v>
      </c>
      <c r="N405" s="484">
        <f>Weather!M406</f>
        <v>0</v>
      </c>
      <c r="O405" s="481" t="str">
        <f t="shared" si="266"/>
        <v/>
      </c>
      <c r="P405" s="4">
        <f t="shared" si="277"/>
        <v>0.29668482018556935</v>
      </c>
      <c r="Q405" s="169">
        <f t="shared" si="247"/>
        <v>0.41261844835587058</v>
      </c>
      <c r="R405" s="169">
        <f t="shared" si="248"/>
        <v>0.30676702760015934</v>
      </c>
      <c r="S405" s="169">
        <f t="shared" si="249"/>
        <v>0.3548518655860487</v>
      </c>
      <c r="T405" s="169">
        <f t="shared" si="250"/>
        <v>0.30676702760015934</v>
      </c>
      <c r="U405" s="169">
        <f t="shared" si="239"/>
        <v>0.33080944659310402</v>
      </c>
      <c r="V405" s="169">
        <f t="shared" si="240"/>
        <v>-3.550822546564001E-2</v>
      </c>
      <c r="W405" s="439">
        <f t="shared" si="241"/>
        <v>-8.1371655924870954</v>
      </c>
      <c r="X405" s="439">
        <f t="shared" si="251"/>
        <v>-8.1371655924870954</v>
      </c>
      <c r="Y405" s="169"/>
      <c r="Z405" s="119" t="str">
        <f t="shared" si="252"/>
        <v/>
      </c>
      <c r="AA405" s="4" t="str">
        <f t="shared" si="253"/>
        <v/>
      </c>
      <c r="AB405" s="466"/>
      <c r="AC405" s="466"/>
      <c r="AD405" s="466"/>
      <c r="AE405" s="466"/>
      <c r="AF405" s="466"/>
      <c r="AG405" s="466"/>
      <c r="AH405" s="466"/>
      <c r="AI405" s="466"/>
      <c r="AJ405" s="466"/>
      <c r="AK405" s="466"/>
      <c r="AL405" s="466"/>
      <c r="AM405" s="462">
        <f t="shared" si="243"/>
        <v>35</v>
      </c>
      <c r="AN405" s="32">
        <f t="shared" si="267"/>
        <v>1.0271894591899993</v>
      </c>
      <c r="AO405" s="32">
        <f t="shared" si="268"/>
        <v>-0.28981470135838328</v>
      </c>
      <c r="AP405" s="32">
        <f t="shared" si="269"/>
        <v>1.2771645622785293</v>
      </c>
      <c r="AQ405" s="32">
        <f t="shared" si="270"/>
        <v>9.7568185549643882</v>
      </c>
      <c r="AR405" s="32">
        <f t="shared" si="271"/>
        <v>15.599071212270653</v>
      </c>
      <c r="AS405" s="32">
        <f t="shared" si="254"/>
        <v>11.710534740475826</v>
      </c>
      <c r="AT405" s="32">
        <f t="shared" si="255"/>
        <v>6.5862720000000001</v>
      </c>
      <c r="AU405" s="32">
        <f t="shared" si="256"/>
        <v>0.73041924980895001</v>
      </c>
      <c r="AV405" s="32">
        <f t="shared" si="257"/>
        <v>0.63606598724208263</v>
      </c>
      <c r="AW405" s="32">
        <f t="shared" si="258"/>
        <v>0.41261844835587058</v>
      </c>
      <c r="AX405" s="32">
        <f t="shared" si="259"/>
        <v>0.30676702760015934</v>
      </c>
      <c r="AY405" s="32">
        <f t="shared" si="260"/>
        <v>0.33080944659310396</v>
      </c>
      <c r="AZ405" s="32">
        <f t="shared" si="272"/>
        <v>0.25947754876293916</v>
      </c>
      <c r="BA405" s="32">
        <f t="shared" si="261"/>
        <v>-4.0479120265639246</v>
      </c>
      <c r="BB405" s="32">
        <f t="shared" si="273"/>
        <v>2.5383599734360756</v>
      </c>
      <c r="BC405" s="32">
        <f t="shared" si="262"/>
        <v>-7.1849999999999996</v>
      </c>
      <c r="BD405" s="32">
        <v>0</v>
      </c>
      <c r="BE405" s="32">
        <f t="shared" si="274"/>
        <v>0.35969273797801493</v>
      </c>
      <c r="BF405" s="32">
        <f t="shared" si="275"/>
        <v>2.888329138491097E-2</v>
      </c>
      <c r="BG405" s="32">
        <f t="shared" si="276"/>
        <v>2.7574167061576466E-2</v>
      </c>
      <c r="BH405" s="32">
        <f t="shared" si="263"/>
        <v>0.19555930040006156</v>
      </c>
      <c r="BI405" s="32">
        <f t="shared" si="264"/>
        <v>0.10112551978550781</v>
      </c>
      <c r="BJ405" s="32">
        <f t="shared" si="242"/>
        <v>0.29668482018556935</v>
      </c>
      <c r="BK405" s="457">
        <f t="shared" si="265"/>
        <v>0.30421447725681894</v>
      </c>
    </row>
    <row r="406" spans="1:63" ht="15">
      <c r="A406" s="119"/>
      <c r="B406" s="480">
        <f>Input!B423</f>
        <v>38388</v>
      </c>
      <c r="C406" s="481">
        <v>2</v>
      </c>
      <c r="D406" s="481">
        <f t="shared" si="244"/>
        <v>2</v>
      </c>
      <c r="E406" s="481">
        <f t="shared" si="245"/>
        <v>5</v>
      </c>
      <c r="F406" s="481">
        <f t="shared" si="246"/>
        <v>36</v>
      </c>
      <c r="G406" s="431">
        <v>9.6768000000000001</v>
      </c>
      <c r="H406" s="455">
        <v>-6.22</v>
      </c>
      <c r="I406" s="455">
        <v>-10.9</v>
      </c>
      <c r="J406" s="455">
        <v>1.25</v>
      </c>
      <c r="K406" s="485"/>
      <c r="L406" s="433">
        <v>100</v>
      </c>
      <c r="M406" s="455">
        <v>86</v>
      </c>
      <c r="N406" s="484">
        <f>Weather!M407</f>
        <v>0</v>
      </c>
      <c r="O406" s="481" t="str">
        <f t="shared" si="266"/>
        <v/>
      </c>
      <c r="P406" s="4">
        <f t="shared" si="277"/>
        <v>0.29163966521745566</v>
      </c>
      <c r="Q406" s="169">
        <f t="shared" si="247"/>
        <v>0.38371938435216579</v>
      </c>
      <c r="R406" s="169">
        <f t="shared" si="248"/>
        <v>0.26594979735199492</v>
      </c>
      <c r="S406" s="169">
        <f t="shared" si="249"/>
        <v>0.32999867054286258</v>
      </c>
      <c r="T406" s="169">
        <f t="shared" si="250"/>
        <v>0.26594979735199492</v>
      </c>
      <c r="U406" s="169">
        <f t="shared" si="239"/>
        <v>0.29797423394742872</v>
      </c>
      <c r="V406" s="169">
        <f t="shared" si="240"/>
        <v>-4.1561236470231522E-2</v>
      </c>
      <c r="W406" s="439">
        <f t="shared" si="241"/>
        <v>-9.4689405375809752</v>
      </c>
      <c r="X406" s="439">
        <f t="shared" si="251"/>
        <v>-9.4689405375809752</v>
      </c>
      <c r="Y406" s="169"/>
      <c r="Z406" s="119" t="str">
        <f t="shared" si="252"/>
        <v/>
      </c>
      <c r="AA406" s="4" t="str">
        <f t="shared" si="253"/>
        <v/>
      </c>
      <c r="AB406" s="466"/>
      <c r="AC406" s="466"/>
      <c r="AD406" s="466"/>
      <c r="AE406" s="466"/>
      <c r="AF406" s="466"/>
      <c r="AG406" s="466"/>
      <c r="AH406" s="466"/>
      <c r="AI406" s="466"/>
      <c r="AJ406" s="466"/>
      <c r="AK406" s="466"/>
      <c r="AL406" s="466"/>
      <c r="AM406" s="462">
        <f t="shared" si="243"/>
        <v>36</v>
      </c>
      <c r="AN406" s="32">
        <f t="shared" si="267"/>
        <v>1.0268635210857713</v>
      </c>
      <c r="AO406" s="32">
        <f t="shared" si="268"/>
        <v>-0.28480403295985462</v>
      </c>
      <c r="AP406" s="32">
        <f t="shared" si="269"/>
        <v>1.2826841795349078</v>
      </c>
      <c r="AQ406" s="32">
        <f t="shared" si="270"/>
        <v>9.79898532474013</v>
      </c>
      <c r="AR406" s="32">
        <f t="shared" si="271"/>
        <v>15.797120574919715</v>
      </c>
      <c r="AS406" s="32">
        <f t="shared" si="254"/>
        <v>11.859214358003729</v>
      </c>
      <c r="AT406" s="32">
        <f t="shared" si="255"/>
        <v>7.451136</v>
      </c>
      <c r="AU406" s="32">
        <f t="shared" si="256"/>
        <v>0.81597310815696422</v>
      </c>
      <c r="AV406" s="32">
        <f t="shared" si="257"/>
        <v>0.75156369601190176</v>
      </c>
      <c r="AW406" s="32">
        <f t="shared" si="258"/>
        <v>0.38371938435216579</v>
      </c>
      <c r="AX406" s="32">
        <f t="shared" si="259"/>
        <v>0.26594979735199492</v>
      </c>
      <c r="AY406" s="32">
        <f t="shared" si="260"/>
        <v>0.29797423394742872</v>
      </c>
      <c r="AZ406" s="32">
        <f t="shared" si="272"/>
        <v>0.26357817729620941</v>
      </c>
      <c r="BA406" s="32">
        <f t="shared" si="261"/>
        <v>-4.7595817609299278</v>
      </c>
      <c r="BB406" s="32">
        <f t="shared" si="273"/>
        <v>2.6915542390700722</v>
      </c>
      <c r="BC406" s="32">
        <f t="shared" si="262"/>
        <v>-8.56</v>
      </c>
      <c r="BD406" s="32">
        <v>0</v>
      </c>
      <c r="BE406" s="32">
        <f t="shared" si="274"/>
        <v>0.32483459085208033</v>
      </c>
      <c r="BF406" s="32">
        <f t="shared" si="275"/>
        <v>2.6860356904651606E-2</v>
      </c>
      <c r="BG406" s="32">
        <f t="shared" si="276"/>
        <v>2.5073488534148113E-2</v>
      </c>
      <c r="BH406" s="32">
        <f t="shared" si="263"/>
        <v>0.22810625928395251</v>
      </c>
      <c r="BI406" s="32">
        <f t="shared" si="264"/>
        <v>6.3533405933503123E-2</v>
      </c>
      <c r="BJ406" s="32">
        <f t="shared" si="242"/>
        <v>0.29163966521745566</v>
      </c>
      <c r="BK406" s="457">
        <f t="shared" si="265"/>
        <v>0.29643848319297045</v>
      </c>
    </row>
    <row r="407" spans="1:63" ht="15">
      <c r="A407" s="119"/>
      <c r="B407" s="480">
        <f>Input!B424</f>
        <v>38389</v>
      </c>
      <c r="C407" s="481">
        <v>2</v>
      </c>
      <c r="D407" s="481">
        <f t="shared" si="244"/>
        <v>2</v>
      </c>
      <c r="E407" s="481">
        <f t="shared" si="245"/>
        <v>6</v>
      </c>
      <c r="F407" s="481">
        <f t="shared" si="246"/>
        <v>37</v>
      </c>
      <c r="G407" s="431">
        <v>11.231999999999999</v>
      </c>
      <c r="H407" s="455">
        <v>-7.96</v>
      </c>
      <c r="I407" s="455">
        <v>-15.4</v>
      </c>
      <c r="J407" s="455">
        <v>1.73</v>
      </c>
      <c r="K407" s="485"/>
      <c r="L407" s="433">
        <v>98</v>
      </c>
      <c r="M407" s="455">
        <v>84</v>
      </c>
      <c r="N407" s="484">
        <f>Weather!M408</f>
        <v>0</v>
      </c>
      <c r="O407" s="481" t="str">
        <f t="shared" si="266"/>
        <v/>
      </c>
      <c r="P407" s="4">
        <f t="shared" si="277"/>
        <v>0.28112812573389639</v>
      </c>
      <c r="Q407" s="169">
        <f t="shared" si="247"/>
        <v>0.33541123527201405</v>
      </c>
      <c r="R407" s="169">
        <f t="shared" si="248"/>
        <v>0.1842365772087293</v>
      </c>
      <c r="S407" s="169">
        <f t="shared" si="249"/>
        <v>0.2817454376284918</v>
      </c>
      <c r="T407" s="169">
        <f t="shared" si="250"/>
        <v>0.18055184566455471</v>
      </c>
      <c r="U407" s="169">
        <f t="shared" si="239"/>
        <v>0.23114864164652327</v>
      </c>
      <c r="V407" s="169">
        <f t="shared" si="240"/>
        <v>-5.6265697708724971E-2</v>
      </c>
      <c r="W407" s="439">
        <f t="shared" si="241"/>
        <v>-12.640616934965857</v>
      </c>
      <c r="X407" s="439">
        <f t="shared" si="251"/>
        <v>-12.640616934965857</v>
      </c>
      <c r="Y407" s="169"/>
      <c r="Z407" s="119" t="str">
        <f t="shared" si="252"/>
        <v/>
      </c>
      <c r="AA407" s="4" t="str">
        <f t="shared" si="253"/>
        <v/>
      </c>
      <c r="AB407" s="466"/>
      <c r="AC407" s="466"/>
      <c r="AD407" s="466"/>
      <c r="AE407" s="466"/>
      <c r="AF407" s="466"/>
      <c r="AG407" s="466"/>
      <c r="AH407" s="466"/>
      <c r="AI407" s="466"/>
      <c r="AJ407" s="466"/>
      <c r="AK407" s="466"/>
      <c r="AL407" s="466"/>
      <c r="AM407" s="462">
        <f t="shared" si="243"/>
        <v>37</v>
      </c>
      <c r="AN407" s="32">
        <f t="shared" si="267"/>
        <v>1.0265296227404832</v>
      </c>
      <c r="AO407" s="32">
        <f t="shared" si="268"/>
        <v>-0.27970897097978548</v>
      </c>
      <c r="AP407" s="32">
        <f t="shared" si="269"/>
        <v>1.2882709821128491</v>
      </c>
      <c r="AQ407" s="32">
        <f t="shared" si="270"/>
        <v>9.8416653525653093</v>
      </c>
      <c r="AR407" s="32">
        <f t="shared" si="271"/>
        <v>15.998720624818542</v>
      </c>
      <c r="AS407" s="32">
        <f t="shared" si="254"/>
        <v>12.010559547463776</v>
      </c>
      <c r="AT407" s="32">
        <f t="shared" si="255"/>
        <v>8.6486400000000003</v>
      </c>
      <c r="AU407" s="32">
        <f t="shared" si="256"/>
        <v>0.93517707943688744</v>
      </c>
      <c r="AV407" s="32">
        <f t="shared" si="257"/>
        <v>0.91248905723979823</v>
      </c>
      <c r="AW407" s="32">
        <f t="shared" si="258"/>
        <v>0.33541123527201405</v>
      </c>
      <c r="AX407" s="32">
        <f t="shared" si="259"/>
        <v>0.1842365772087293</v>
      </c>
      <c r="AY407" s="32">
        <f t="shared" si="260"/>
        <v>0.23114864164652327</v>
      </c>
      <c r="AZ407" s="32">
        <f t="shared" si="272"/>
        <v>0.27269091163689813</v>
      </c>
      <c r="BA407" s="32">
        <f t="shared" si="261"/>
        <v>-5.7057011382680276</v>
      </c>
      <c r="BB407" s="32">
        <f t="shared" si="273"/>
        <v>2.9429388617319727</v>
      </c>
      <c r="BC407" s="32">
        <f t="shared" si="262"/>
        <v>-11.68</v>
      </c>
      <c r="BD407" s="32">
        <v>0</v>
      </c>
      <c r="BE407" s="32">
        <f t="shared" si="274"/>
        <v>0.25982390624037166</v>
      </c>
      <c r="BF407" s="32">
        <f t="shared" si="275"/>
        <v>2.8675264593848393E-2</v>
      </c>
      <c r="BG407" s="32">
        <f t="shared" si="276"/>
        <v>2.0116135397045452E-2</v>
      </c>
      <c r="BH407" s="32">
        <f t="shared" si="263"/>
        <v>0.19063071343949312</v>
      </c>
      <c r="BI407" s="32">
        <f t="shared" si="264"/>
        <v>9.0497412294403265E-2</v>
      </c>
      <c r="BJ407" s="32">
        <f t="shared" si="242"/>
        <v>0.28112812573389639</v>
      </c>
      <c r="BK407" s="457">
        <f t="shared" si="265"/>
        <v>0.25071764294507026</v>
      </c>
    </row>
    <row r="408" spans="1:63" ht="15">
      <c r="A408" s="119"/>
      <c r="B408" s="480">
        <f>Input!B425</f>
        <v>38390</v>
      </c>
      <c r="C408" s="481">
        <v>2</v>
      </c>
      <c r="D408" s="481">
        <f t="shared" si="244"/>
        <v>2</v>
      </c>
      <c r="E408" s="481">
        <f t="shared" si="245"/>
        <v>7</v>
      </c>
      <c r="F408" s="481">
        <f t="shared" si="246"/>
        <v>38</v>
      </c>
      <c r="G408" s="431">
        <v>9.3312000000000008</v>
      </c>
      <c r="H408" s="455">
        <v>-3.45</v>
      </c>
      <c r="I408" s="455">
        <v>-8.1</v>
      </c>
      <c r="J408" s="455">
        <v>3.12</v>
      </c>
      <c r="K408" s="485"/>
      <c r="L408" s="433">
        <v>98</v>
      </c>
      <c r="M408" s="455">
        <v>84</v>
      </c>
      <c r="N408" s="484">
        <f>Weather!M409</f>
        <v>0</v>
      </c>
      <c r="O408" s="481" t="str">
        <f t="shared" si="266"/>
        <v/>
      </c>
      <c r="P408" s="4">
        <f t="shared" si="277"/>
        <v>0.37718204673649641</v>
      </c>
      <c r="Q408" s="169">
        <f t="shared" si="247"/>
        <v>0.47342071530048624</v>
      </c>
      <c r="R408" s="169">
        <f t="shared" si="248"/>
        <v>0.3317701295423453</v>
      </c>
      <c r="S408" s="169">
        <f t="shared" si="249"/>
        <v>0.39767340085240843</v>
      </c>
      <c r="T408" s="169">
        <f t="shared" si="250"/>
        <v>0.32513472695149837</v>
      </c>
      <c r="U408" s="169">
        <f t="shared" si="239"/>
        <v>0.3614040639019534</v>
      </c>
      <c r="V408" s="169">
        <f t="shared" si="240"/>
        <v>-3.0386389714137187E-2</v>
      </c>
      <c r="W408" s="439">
        <f t="shared" si="241"/>
        <v>-6.9980449578388111</v>
      </c>
      <c r="X408" s="439">
        <f t="shared" si="251"/>
        <v>-6.9980449578388111</v>
      </c>
      <c r="Y408" s="169"/>
      <c r="Z408" s="119" t="str">
        <f t="shared" si="252"/>
        <v/>
      </c>
      <c r="AA408" s="4" t="str">
        <f t="shared" si="253"/>
        <v/>
      </c>
      <c r="AB408" s="466"/>
      <c r="AC408" s="466"/>
      <c r="AD408" s="466"/>
      <c r="AE408" s="466"/>
      <c r="AF408" s="466"/>
      <c r="AG408" s="466"/>
      <c r="AH408" s="466"/>
      <c r="AI408" s="466"/>
      <c r="AJ408" s="466"/>
      <c r="AK408" s="466"/>
      <c r="AL408" s="466"/>
      <c r="AM408" s="462">
        <f t="shared" si="243"/>
        <v>38</v>
      </c>
      <c r="AN408" s="32">
        <f t="shared" si="267"/>
        <v>1.0261878630954209</v>
      </c>
      <c r="AO408" s="32">
        <f t="shared" si="268"/>
        <v>-0.27453102519500105</v>
      </c>
      <c r="AP408" s="32">
        <f t="shared" si="269"/>
        <v>1.2939227144014633</v>
      </c>
      <c r="AQ408" s="32">
        <f t="shared" si="270"/>
        <v>9.8848414068420301</v>
      </c>
      <c r="AR408" s="32">
        <f t="shared" si="271"/>
        <v>16.20381185730572</v>
      </c>
      <c r="AS408" s="32">
        <f t="shared" si="254"/>
        <v>12.164525637516551</v>
      </c>
      <c r="AT408" s="32">
        <f t="shared" si="255"/>
        <v>7.1850240000000012</v>
      </c>
      <c r="AU408" s="32">
        <f t="shared" si="256"/>
        <v>0.76708293262350447</v>
      </c>
      <c r="AV408" s="32">
        <f t="shared" si="257"/>
        <v>0.68556195904173112</v>
      </c>
      <c r="AW408" s="32">
        <f t="shared" si="258"/>
        <v>0.47342071530048624</v>
      </c>
      <c r="AX408" s="32">
        <f t="shared" si="259"/>
        <v>0.3317701295423453</v>
      </c>
      <c r="AY408" s="32">
        <f t="shared" si="260"/>
        <v>0.36140406390195345</v>
      </c>
      <c r="AZ408" s="32">
        <f t="shared" si="272"/>
        <v>0.25583635195360005</v>
      </c>
      <c r="BA408" s="32">
        <f t="shared" si="261"/>
        <v>-4.3942547050404865</v>
      </c>
      <c r="BB408" s="32">
        <f t="shared" si="273"/>
        <v>2.7907692949595146</v>
      </c>
      <c r="BC408" s="32">
        <f t="shared" si="262"/>
        <v>-5.7750000000000004</v>
      </c>
      <c r="BD408" s="32">
        <v>0</v>
      </c>
      <c r="BE408" s="32">
        <f t="shared" si="274"/>
        <v>0.40259542242141577</v>
      </c>
      <c r="BF408" s="32">
        <f t="shared" si="275"/>
        <v>4.1191358519462318E-2</v>
      </c>
      <c r="BG408" s="32">
        <f t="shared" si="276"/>
        <v>3.0359855734238422E-2</v>
      </c>
      <c r="BH408" s="32">
        <f t="shared" si="263"/>
        <v>0.20495384981388431</v>
      </c>
      <c r="BI408" s="32">
        <f t="shared" si="264"/>
        <v>0.1722281969226121</v>
      </c>
      <c r="BJ408" s="32">
        <f t="shared" si="242"/>
        <v>0.37718204673649641</v>
      </c>
      <c r="BK408" s="457">
        <f t="shared" si="265"/>
        <v>0.39444867820901663</v>
      </c>
    </row>
    <row r="409" spans="1:63" ht="15">
      <c r="A409" s="119"/>
      <c r="B409" s="480">
        <f>Input!B426</f>
        <v>38391</v>
      </c>
      <c r="C409" s="481">
        <v>2</v>
      </c>
      <c r="D409" s="481">
        <f t="shared" si="244"/>
        <v>2</v>
      </c>
      <c r="E409" s="481">
        <f t="shared" si="245"/>
        <v>8</v>
      </c>
      <c r="F409" s="481">
        <f t="shared" si="246"/>
        <v>39</v>
      </c>
      <c r="G409" s="431">
        <v>3.024</v>
      </c>
      <c r="H409" s="455">
        <v>-1.28</v>
      </c>
      <c r="I409" s="455">
        <v>-6</v>
      </c>
      <c r="J409" s="455">
        <v>2.37</v>
      </c>
      <c r="K409" s="485"/>
      <c r="L409" s="433">
        <v>98</v>
      </c>
      <c r="M409" s="455">
        <v>78</v>
      </c>
      <c r="N409" s="484">
        <f>Weather!M410</f>
        <v>0</v>
      </c>
      <c r="O409" s="481" t="str">
        <f t="shared" si="266"/>
        <v/>
      </c>
      <c r="P409" s="4">
        <f t="shared" si="277"/>
        <v>0.40184909694054805</v>
      </c>
      <c r="Q409" s="169">
        <f t="shared" si="247"/>
        <v>0.55618986179596686</v>
      </c>
      <c r="R409" s="169">
        <f t="shared" si="248"/>
        <v>0.3902470302415128</v>
      </c>
      <c r="S409" s="169">
        <f t="shared" si="249"/>
        <v>0.43382809220085417</v>
      </c>
      <c r="T409" s="169">
        <f t="shared" si="250"/>
        <v>0.38244208963668253</v>
      </c>
      <c r="U409" s="169">
        <f t="shared" si="239"/>
        <v>0.40813509091876832</v>
      </c>
      <c r="V409" s="169">
        <f t="shared" si="240"/>
        <v>-2.3345185208481976E-2</v>
      </c>
      <c r="W409" s="439">
        <f t="shared" si="241"/>
        <v>-5.4134348116800579</v>
      </c>
      <c r="X409" s="439">
        <f t="shared" si="251"/>
        <v>-5.4134348116800579</v>
      </c>
      <c r="Y409" s="169"/>
      <c r="Z409" s="119" t="str">
        <f t="shared" si="252"/>
        <v/>
      </c>
      <c r="AA409" s="4" t="str">
        <f t="shared" si="253"/>
        <v/>
      </c>
      <c r="AB409" s="466"/>
      <c r="AC409" s="466"/>
      <c r="AD409" s="466"/>
      <c r="AE409" s="466"/>
      <c r="AF409" s="466"/>
      <c r="AG409" s="466"/>
      <c r="AH409" s="466"/>
      <c r="AI409" s="466"/>
      <c r="AJ409" s="466"/>
      <c r="AK409" s="466"/>
      <c r="AL409" s="466"/>
      <c r="AM409" s="462">
        <f t="shared" si="243"/>
        <v>39</v>
      </c>
      <c r="AN409" s="32">
        <f t="shared" si="267"/>
        <v>1.0258383434213432</v>
      </c>
      <c r="AO409" s="32">
        <f t="shared" si="268"/>
        <v>-0.26927172994258658</v>
      </c>
      <c r="AP409" s="32">
        <f t="shared" si="269"/>
        <v>1.2996371560053688</v>
      </c>
      <c r="AQ409" s="32">
        <f t="shared" si="270"/>
        <v>9.9284965249990638</v>
      </c>
      <c r="AR409" s="32">
        <f t="shared" si="271"/>
        <v>16.412332747122619</v>
      </c>
      <c r="AS409" s="32">
        <f t="shared" si="254"/>
        <v>12.321066439919893</v>
      </c>
      <c r="AT409" s="32">
        <f t="shared" si="255"/>
        <v>2.3284799999999999</v>
      </c>
      <c r="AU409" s="32">
        <f t="shared" si="256"/>
        <v>0.3</v>
      </c>
      <c r="AV409" s="32">
        <f t="shared" si="257"/>
        <v>5.5000000000000049E-2</v>
      </c>
      <c r="AW409" s="32">
        <f t="shared" si="258"/>
        <v>0.55618986179596686</v>
      </c>
      <c r="AX409" s="32">
        <f t="shared" si="259"/>
        <v>0.3902470302415128</v>
      </c>
      <c r="AY409" s="32">
        <f t="shared" si="260"/>
        <v>0.40813509091876832</v>
      </c>
      <c r="AZ409" s="32">
        <f t="shared" si="272"/>
        <v>0.25056036794570397</v>
      </c>
      <c r="BA409" s="32">
        <f t="shared" si="261"/>
        <v>-0.35642687838838333</v>
      </c>
      <c r="BB409" s="32">
        <f t="shared" si="273"/>
        <v>1.9720531216116166</v>
      </c>
      <c r="BC409" s="32">
        <f t="shared" si="262"/>
        <v>-3.64</v>
      </c>
      <c r="BD409" s="32">
        <v>0</v>
      </c>
      <c r="BE409" s="32">
        <f t="shared" si="274"/>
        <v>0.47321844601873986</v>
      </c>
      <c r="BF409" s="32">
        <f t="shared" si="275"/>
        <v>6.508335509997154E-2</v>
      </c>
      <c r="BG409" s="32">
        <f t="shared" si="276"/>
        <v>3.5040285321136004E-2</v>
      </c>
      <c r="BH409" s="32">
        <f t="shared" si="263"/>
        <v>0.18045728795028562</v>
      </c>
      <c r="BI409" s="32">
        <f t="shared" si="264"/>
        <v>0.22139180899026245</v>
      </c>
      <c r="BJ409" s="32">
        <f t="shared" si="242"/>
        <v>0.40184909694054805</v>
      </c>
      <c r="BK409" s="457">
        <f t="shared" si="265"/>
        <v>0.4739868768971347</v>
      </c>
    </row>
    <row r="410" spans="1:63" ht="15">
      <c r="A410" s="119"/>
      <c r="B410" s="480">
        <f>Input!B427</f>
        <v>38392</v>
      </c>
      <c r="C410" s="481">
        <v>2</v>
      </c>
      <c r="D410" s="481">
        <f t="shared" si="244"/>
        <v>2</v>
      </c>
      <c r="E410" s="481">
        <f t="shared" si="245"/>
        <v>9</v>
      </c>
      <c r="F410" s="481">
        <f t="shared" si="246"/>
        <v>40</v>
      </c>
      <c r="G410" s="431">
        <v>10.540800000000001</v>
      </c>
      <c r="H410" s="455">
        <v>-3.12</v>
      </c>
      <c r="I410" s="455">
        <v>-10.5</v>
      </c>
      <c r="J410" s="455">
        <v>1.7</v>
      </c>
      <c r="K410" s="485"/>
      <c r="L410" s="433">
        <v>100</v>
      </c>
      <c r="M410" s="455">
        <v>87</v>
      </c>
      <c r="N410" s="484">
        <f>Weather!M411</f>
        <v>0</v>
      </c>
      <c r="O410" s="481" t="str">
        <f t="shared" si="266"/>
        <v/>
      </c>
      <c r="P410" s="4">
        <f t="shared" si="277"/>
        <v>0.35697698080417573</v>
      </c>
      <c r="Q410" s="169">
        <f t="shared" si="247"/>
        <v>0.4852576071715492</v>
      </c>
      <c r="R410" s="169">
        <f t="shared" si="248"/>
        <v>0.27457722094539661</v>
      </c>
      <c r="S410" s="169">
        <f t="shared" si="249"/>
        <v>0.42217411823924778</v>
      </c>
      <c r="T410" s="169">
        <f t="shared" si="250"/>
        <v>0.27457722094539661</v>
      </c>
      <c r="U410" s="169">
        <f t="shared" si="239"/>
        <v>0.34837566959232219</v>
      </c>
      <c r="V410" s="169">
        <f t="shared" si="240"/>
        <v>-3.2512343109410119E-2</v>
      </c>
      <c r="W410" s="439">
        <f t="shared" si="241"/>
        <v>-7.4722390210162191</v>
      </c>
      <c r="X410" s="439">
        <f t="shared" si="251"/>
        <v>-7.4722390210162191</v>
      </c>
      <c r="Y410" s="169"/>
      <c r="Z410" s="119" t="str">
        <f t="shared" si="252"/>
        <v/>
      </c>
      <c r="AA410" s="4" t="str">
        <f t="shared" si="253"/>
        <v/>
      </c>
      <c r="AB410" s="466"/>
      <c r="AC410" s="466"/>
      <c r="AD410" s="466"/>
      <c r="AE410" s="466"/>
      <c r="AF410" s="466"/>
      <c r="AG410" s="466"/>
      <c r="AH410" s="466"/>
      <c r="AI410" s="466"/>
      <c r="AJ410" s="466"/>
      <c r="AK410" s="466"/>
      <c r="AL410" s="466"/>
      <c r="AM410" s="462">
        <f t="shared" si="243"/>
        <v>40</v>
      </c>
      <c r="AN410" s="32">
        <f t="shared" si="267"/>
        <v>1.0254811672884725</v>
      </c>
      <c r="AO410" s="32">
        <f t="shared" si="268"/>
        <v>-0.26393264366523028</v>
      </c>
      <c r="AP410" s="32">
        <f t="shared" si="269"/>
        <v>1.3054121229721518</v>
      </c>
      <c r="AQ410" s="32">
        <f t="shared" si="270"/>
        <v>9.9726140228689477</v>
      </c>
      <c r="AR410" s="32">
        <f t="shared" si="271"/>
        <v>16.624219761403541</v>
      </c>
      <c r="AS410" s="32">
        <f t="shared" si="254"/>
        <v>12.480134259280867</v>
      </c>
      <c r="AT410" s="32">
        <f t="shared" si="255"/>
        <v>8.116416000000001</v>
      </c>
      <c r="AU410" s="32">
        <f t="shared" si="256"/>
        <v>0.84460629837866708</v>
      </c>
      <c r="AV410" s="32">
        <f t="shared" si="257"/>
        <v>0.79021850281120065</v>
      </c>
      <c r="AW410" s="32">
        <f t="shared" si="258"/>
        <v>0.4852576071715492</v>
      </c>
      <c r="AX410" s="32">
        <f t="shared" si="259"/>
        <v>0.27457722094539661</v>
      </c>
      <c r="AY410" s="32">
        <f t="shared" si="260"/>
        <v>0.34837566959232225</v>
      </c>
      <c r="AZ410" s="32">
        <f t="shared" si="272"/>
        <v>0.2573672999109341</v>
      </c>
      <c r="BA410" s="32">
        <f t="shared" si="261"/>
        <v>-5.020443895161173</v>
      </c>
      <c r="BB410" s="32">
        <f t="shared" si="273"/>
        <v>3.095972104838828</v>
      </c>
      <c r="BC410" s="32">
        <f t="shared" si="262"/>
        <v>-6.8100000000000005</v>
      </c>
      <c r="BD410" s="32">
        <v>0</v>
      </c>
      <c r="BE410" s="32">
        <f t="shared" si="274"/>
        <v>0.3799174140584729</v>
      </c>
      <c r="BF410" s="32">
        <f t="shared" si="275"/>
        <v>3.1541744466150656E-2</v>
      </c>
      <c r="BG410" s="32">
        <f t="shared" si="276"/>
        <v>2.8292530505387287E-2</v>
      </c>
      <c r="BH410" s="32">
        <f t="shared" si="263"/>
        <v>0.26630991072703264</v>
      </c>
      <c r="BI410" s="32">
        <f t="shared" si="264"/>
        <v>9.0667070077143058E-2</v>
      </c>
      <c r="BJ410" s="32">
        <f t="shared" si="242"/>
        <v>0.35697698080417573</v>
      </c>
      <c r="BK410" s="457">
        <f t="shared" si="265"/>
        <v>0.46593882090524946</v>
      </c>
    </row>
    <row r="411" spans="1:63" ht="15">
      <c r="A411" s="119"/>
      <c r="B411" s="480">
        <f>Input!B428</f>
        <v>38393</v>
      </c>
      <c r="C411" s="481">
        <v>2</v>
      </c>
      <c r="D411" s="481">
        <f t="shared" si="244"/>
        <v>2</v>
      </c>
      <c r="E411" s="481">
        <f t="shared" si="245"/>
        <v>10</v>
      </c>
      <c r="F411" s="481">
        <f t="shared" si="246"/>
        <v>41</v>
      </c>
      <c r="G411" s="431">
        <v>11.9232</v>
      </c>
      <c r="H411" s="455">
        <v>-1.85</v>
      </c>
      <c r="I411" s="455">
        <v>-4.7</v>
      </c>
      <c r="J411" s="455">
        <v>7.01</v>
      </c>
      <c r="K411" s="485"/>
      <c r="L411" s="433">
        <v>99</v>
      </c>
      <c r="M411" s="455">
        <v>87</v>
      </c>
      <c r="N411" s="484">
        <f>Weather!M412</f>
        <v>0</v>
      </c>
      <c r="O411" s="481" t="str">
        <f t="shared" si="266"/>
        <v/>
      </c>
      <c r="P411" s="4">
        <f t="shared" si="277"/>
        <v>0.40150119165400022</v>
      </c>
      <c r="Q411" s="169">
        <f t="shared" si="247"/>
        <v>0.53329465582281899</v>
      </c>
      <c r="R411" s="169">
        <f t="shared" si="248"/>
        <v>0.43086968390006897</v>
      </c>
      <c r="S411" s="169">
        <f t="shared" si="249"/>
        <v>0.4639663505658525</v>
      </c>
      <c r="T411" s="169">
        <f t="shared" si="250"/>
        <v>0.42656098706106826</v>
      </c>
      <c r="U411" s="169">
        <f t="shared" si="239"/>
        <v>0.44526366881346036</v>
      </c>
      <c r="V411" s="169">
        <f t="shared" si="240"/>
        <v>-1.8303587287661221E-2</v>
      </c>
      <c r="W411" s="439">
        <f t="shared" si="241"/>
        <v>-4.2653696968024404</v>
      </c>
      <c r="X411" s="439">
        <f t="shared" si="251"/>
        <v>-4.2653696968024404</v>
      </c>
      <c r="Y411" s="169"/>
      <c r="Z411" s="119" t="str">
        <f t="shared" si="252"/>
        <v/>
      </c>
      <c r="AA411" s="4" t="str">
        <f t="shared" si="253"/>
        <v/>
      </c>
      <c r="AB411" s="466"/>
      <c r="AC411" s="466"/>
      <c r="AD411" s="466"/>
      <c r="AE411" s="466"/>
      <c r="AF411" s="466"/>
      <c r="AG411" s="466"/>
      <c r="AH411" s="466"/>
      <c r="AI411" s="466"/>
      <c r="AJ411" s="466"/>
      <c r="AK411" s="466"/>
      <c r="AL411" s="466"/>
      <c r="AM411" s="462">
        <f t="shared" si="243"/>
        <v>41</v>
      </c>
      <c r="AN411" s="32">
        <f t="shared" si="267"/>
        <v>1.0251164405358055</v>
      </c>
      <c r="AO411" s="32">
        <f t="shared" si="268"/>
        <v>-0.25851534844942292</v>
      </c>
      <c r="AP411" s="32">
        <f t="shared" si="269"/>
        <v>1.3112454688525728</v>
      </c>
      <c r="AQ411" s="32">
        <f t="shared" si="270"/>
        <v>10.017177502787369</v>
      </c>
      <c r="AR411" s="32">
        <f t="shared" si="271"/>
        <v>16.839407376509577</v>
      </c>
      <c r="AS411" s="32">
        <f t="shared" si="254"/>
        <v>12.64167990569327</v>
      </c>
      <c r="AT411" s="32">
        <f t="shared" si="255"/>
        <v>9.1808639999999997</v>
      </c>
      <c r="AU411" s="32">
        <f t="shared" si="256"/>
        <v>0.943165788799185</v>
      </c>
      <c r="AV411" s="32">
        <f t="shared" si="257"/>
        <v>0.92327381487889981</v>
      </c>
      <c r="AW411" s="32">
        <f t="shared" si="258"/>
        <v>0.53329465582281899</v>
      </c>
      <c r="AX411" s="32">
        <f t="shared" si="259"/>
        <v>0.43086968390006897</v>
      </c>
      <c r="AY411" s="32">
        <f t="shared" si="260"/>
        <v>0.4452636688134603</v>
      </c>
      <c r="AZ411" s="32">
        <f t="shared" si="272"/>
        <v>0.24658068770996106</v>
      </c>
      <c r="BA411" s="32">
        <f t="shared" si="261"/>
        <v>-5.9184628310663543</v>
      </c>
      <c r="BB411" s="32">
        <f t="shared" si="273"/>
        <v>3.2624011689336454</v>
      </c>
      <c r="BC411" s="32">
        <f t="shared" si="262"/>
        <v>-3.2750000000000004</v>
      </c>
      <c r="BD411" s="32">
        <v>0</v>
      </c>
      <c r="BE411" s="32">
        <f t="shared" si="274"/>
        <v>0.48208216986144398</v>
      </c>
      <c r="BF411" s="32">
        <f t="shared" si="275"/>
        <v>3.6818501047983676E-2</v>
      </c>
      <c r="BG411" s="32">
        <f t="shared" si="276"/>
        <v>3.5899796368983897E-2</v>
      </c>
      <c r="BH411" s="32">
        <f t="shared" si="263"/>
        <v>0.18171222045312238</v>
      </c>
      <c r="BI411" s="32">
        <f t="shared" si="264"/>
        <v>0.21978897120087787</v>
      </c>
      <c r="BJ411" s="32">
        <f t="shared" si="242"/>
        <v>0.40150119165400022</v>
      </c>
      <c r="BK411" s="457">
        <f t="shared" si="265"/>
        <v>0.38763869798402706</v>
      </c>
    </row>
    <row r="412" spans="1:63" ht="15">
      <c r="A412" s="119"/>
      <c r="B412" s="480">
        <f>Input!B429</f>
        <v>38394</v>
      </c>
      <c r="C412" s="481">
        <v>2</v>
      </c>
      <c r="D412" s="481">
        <f t="shared" si="244"/>
        <v>2</v>
      </c>
      <c r="E412" s="481">
        <f t="shared" si="245"/>
        <v>11</v>
      </c>
      <c r="F412" s="481">
        <f t="shared" si="246"/>
        <v>42</v>
      </c>
      <c r="G412" s="431">
        <v>11.8368</v>
      </c>
      <c r="H412" s="455">
        <v>-3.71</v>
      </c>
      <c r="I412" s="455">
        <v>-8</v>
      </c>
      <c r="J412" s="455">
        <v>6.13</v>
      </c>
      <c r="K412" s="485"/>
      <c r="L412" s="433">
        <v>85</v>
      </c>
      <c r="M412" s="455">
        <v>85</v>
      </c>
      <c r="N412" s="484">
        <f>Weather!M413</f>
        <v>0</v>
      </c>
      <c r="O412" s="481" t="str">
        <f t="shared" si="266"/>
        <v/>
      </c>
      <c r="P412" s="4">
        <f t="shared" si="277"/>
        <v>0.52184810169343809</v>
      </c>
      <c r="Q412" s="169">
        <f t="shared" si="247"/>
        <v>0.46427557787087603</v>
      </c>
      <c r="R412" s="169">
        <f t="shared" si="248"/>
        <v>0.3343673155743308</v>
      </c>
      <c r="S412" s="169">
        <f t="shared" si="249"/>
        <v>0.39463424119024459</v>
      </c>
      <c r="T412" s="169">
        <f t="shared" si="250"/>
        <v>0.28421221823818116</v>
      </c>
      <c r="U412" s="169">
        <f t="shared" si="239"/>
        <v>0.3394232297142129</v>
      </c>
      <c r="V412" s="169">
        <f t="shared" si="240"/>
        <v>-3.4019790354084582E-2</v>
      </c>
      <c r="W412" s="439">
        <f t="shared" si="241"/>
        <v>-7.8072937542712104</v>
      </c>
      <c r="X412" s="439">
        <f t="shared" si="251"/>
        <v>-7.8072937542712104</v>
      </c>
      <c r="Y412" s="169"/>
      <c r="Z412" s="119" t="str">
        <f t="shared" si="252"/>
        <v/>
      </c>
      <c r="AA412" s="4" t="str">
        <f t="shared" si="253"/>
        <v/>
      </c>
      <c r="AB412" s="466"/>
      <c r="AC412" s="466"/>
      <c r="AD412" s="466"/>
      <c r="AE412" s="466"/>
      <c r="AF412" s="466"/>
      <c r="AG412" s="466"/>
      <c r="AH412" s="466"/>
      <c r="AI412" s="466"/>
      <c r="AJ412" s="466"/>
      <c r="AK412" s="466"/>
      <c r="AL412" s="466"/>
      <c r="AM412" s="462">
        <f t="shared" si="243"/>
        <v>42</v>
      </c>
      <c r="AN412" s="32">
        <f t="shared" si="267"/>
        <v>1.0247442712397508</v>
      </c>
      <c r="AO412" s="32">
        <f t="shared" si="268"/>
        <v>-0.2530214495566519</v>
      </c>
      <c r="AP412" s="32">
        <f t="shared" si="269"/>
        <v>1.3171350855986264</v>
      </c>
      <c r="AQ412" s="32">
        <f t="shared" si="270"/>
        <v>10.062170860453827</v>
      </c>
      <c r="AR412" s="32">
        <f t="shared" si="271"/>
        <v>17.057828098679636</v>
      </c>
      <c r="AS412" s="32">
        <f t="shared" si="254"/>
        <v>12.805652710240777</v>
      </c>
      <c r="AT412" s="32">
        <f t="shared" si="255"/>
        <v>9.1143359999999998</v>
      </c>
      <c r="AU412" s="32">
        <f t="shared" si="256"/>
        <v>0.92434179403709915</v>
      </c>
      <c r="AV412" s="32">
        <f t="shared" si="257"/>
        <v>0.89786142195008389</v>
      </c>
      <c r="AW412" s="32">
        <f t="shared" si="258"/>
        <v>0.46427557787087603</v>
      </c>
      <c r="AX412" s="32">
        <f t="shared" si="259"/>
        <v>0.3343673155743308</v>
      </c>
      <c r="AY412" s="32">
        <f t="shared" si="260"/>
        <v>0.33942322971421302</v>
      </c>
      <c r="AZ412" s="32">
        <f t="shared" si="272"/>
        <v>0.25843594356336508</v>
      </c>
      <c r="BA412" s="32">
        <f t="shared" si="261"/>
        <v>-5.8061656635174925</v>
      </c>
      <c r="BB412" s="32">
        <f t="shared" si="273"/>
        <v>3.3081703364825072</v>
      </c>
      <c r="BC412" s="32">
        <f t="shared" si="262"/>
        <v>-5.8550000000000004</v>
      </c>
      <c r="BD412" s="32">
        <v>0</v>
      </c>
      <c r="BE412" s="32">
        <f t="shared" si="274"/>
        <v>0.39932144672260339</v>
      </c>
      <c r="BF412" s="32">
        <f t="shared" si="275"/>
        <v>5.9898217008390375E-2</v>
      </c>
      <c r="BG412" s="32">
        <f t="shared" si="276"/>
        <v>3.0195534206191109E-2</v>
      </c>
      <c r="BH412" s="32">
        <f t="shared" si="263"/>
        <v>0.17183174774309706</v>
      </c>
      <c r="BI412" s="32">
        <f t="shared" si="264"/>
        <v>0.35001635395034103</v>
      </c>
      <c r="BJ412" s="32">
        <f t="shared" si="242"/>
        <v>0.52184810169343809</v>
      </c>
      <c r="BK412" s="457">
        <f t="shared" si="265"/>
        <v>0.39618705863449799</v>
      </c>
    </row>
    <row r="413" spans="1:63" ht="15">
      <c r="A413" s="119"/>
      <c r="B413" s="480">
        <f>Input!B430</f>
        <v>38395</v>
      </c>
      <c r="C413" s="481">
        <v>2</v>
      </c>
      <c r="D413" s="481">
        <f t="shared" si="244"/>
        <v>2</v>
      </c>
      <c r="E413" s="481">
        <f t="shared" si="245"/>
        <v>12</v>
      </c>
      <c r="F413" s="481">
        <f t="shared" si="246"/>
        <v>43</v>
      </c>
      <c r="G413" s="431">
        <v>11.750400000000001</v>
      </c>
      <c r="H413" s="455">
        <v>-5.6</v>
      </c>
      <c r="I413" s="455">
        <v>-9.9</v>
      </c>
      <c r="J413" s="455">
        <v>2.5499999999999998</v>
      </c>
      <c r="K413" s="485"/>
      <c r="L413" s="433">
        <v>98</v>
      </c>
      <c r="M413" s="455">
        <v>86</v>
      </c>
      <c r="N413" s="484">
        <f>Weather!M414</f>
        <v>0</v>
      </c>
      <c r="O413" s="481" t="str">
        <f t="shared" si="266"/>
        <v/>
      </c>
      <c r="P413" s="4">
        <f t="shared" si="277"/>
        <v>0.36790181555226631</v>
      </c>
      <c r="Q413" s="169">
        <f t="shared" si="247"/>
        <v>0.40236826873968917</v>
      </c>
      <c r="R413" s="169">
        <f t="shared" si="248"/>
        <v>0.28798529362588399</v>
      </c>
      <c r="S413" s="169">
        <f t="shared" si="249"/>
        <v>0.34603671111613266</v>
      </c>
      <c r="T413" s="169">
        <f t="shared" si="250"/>
        <v>0.28222558775336631</v>
      </c>
      <c r="U413" s="169">
        <f t="shared" si="239"/>
        <v>0.31413114943474951</v>
      </c>
      <c r="V413" s="169">
        <f t="shared" si="240"/>
        <v>-3.8503705922315362E-2</v>
      </c>
      <c r="W413" s="439">
        <f t="shared" si="241"/>
        <v>-8.7981673664329882</v>
      </c>
      <c r="X413" s="439">
        <f t="shared" si="251"/>
        <v>-8.7981673664329882</v>
      </c>
      <c r="Y413" s="169"/>
      <c r="Z413" s="119" t="str">
        <f t="shared" si="252"/>
        <v/>
      </c>
      <c r="AA413" s="4" t="str">
        <f t="shared" si="253"/>
        <v/>
      </c>
      <c r="AB413" s="466"/>
      <c r="AC413" s="466"/>
      <c r="AD413" s="466"/>
      <c r="AE413" s="466"/>
      <c r="AF413" s="466"/>
      <c r="AG413" s="466"/>
      <c r="AH413" s="466"/>
      <c r="AI413" s="466"/>
      <c r="AJ413" s="466"/>
      <c r="AK413" s="466"/>
      <c r="AL413" s="466"/>
      <c r="AM413" s="462">
        <f t="shared" si="243"/>
        <v>43</v>
      </c>
      <c r="AN413" s="32">
        <f t="shared" si="267"/>
        <v>1.0243647696821025</v>
      </c>
      <c r="AO413" s="32">
        <f t="shared" si="268"/>
        <v>-0.24745257494772704</v>
      </c>
      <c r="AP413" s="32">
        <f t="shared" si="269"/>
        <v>1.3230789043048179</v>
      </c>
      <c r="AQ413" s="32">
        <f t="shared" si="270"/>
        <v>10.107578290594585</v>
      </c>
      <c r="AR413" s="32">
        <f t="shared" si="271"/>
        <v>17.279412488461166</v>
      </c>
      <c r="AS413" s="32">
        <f t="shared" si="254"/>
        <v>12.972000543337566</v>
      </c>
      <c r="AT413" s="32">
        <f t="shared" si="255"/>
        <v>9.0478080000000016</v>
      </c>
      <c r="AU413" s="32">
        <f t="shared" si="256"/>
        <v>0.90582789915430728</v>
      </c>
      <c r="AV413" s="32">
        <f t="shared" si="257"/>
        <v>0.87286766385831493</v>
      </c>
      <c r="AW413" s="32">
        <f t="shared" si="258"/>
        <v>0.40236826873968917</v>
      </c>
      <c r="AX413" s="32">
        <f t="shared" si="259"/>
        <v>0.28798529362588399</v>
      </c>
      <c r="AY413" s="32">
        <f t="shared" si="260"/>
        <v>0.31413114943474951</v>
      </c>
      <c r="AZ413" s="32">
        <f t="shared" si="272"/>
        <v>0.26153363440988819</v>
      </c>
      <c r="BA413" s="32">
        <f t="shared" si="261"/>
        <v>-5.5519645199899816</v>
      </c>
      <c r="BB413" s="32">
        <f t="shared" si="273"/>
        <v>3.49584348001002</v>
      </c>
      <c r="BC413" s="32">
        <f t="shared" si="262"/>
        <v>-7.75</v>
      </c>
      <c r="BD413" s="32">
        <v>0</v>
      </c>
      <c r="BE413" s="32">
        <f t="shared" si="274"/>
        <v>0.34517678118278661</v>
      </c>
      <c r="BF413" s="32">
        <f t="shared" si="275"/>
        <v>3.1045631748037095E-2</v>
      </c>
      <c r="BG413" s="32">
        <f t="shared" si="276"/>
        <v>2.6521652124205194E-2</v>
      </c>
      <c r="BH413" s="32">
        <f t="shared" si="263"/>
        <v>0.2491608215507678</v>
      </c>
      <c r="BI413" s="32">
        <f t="shared" si="264"/>
        <v>0.11874099400149848</v>
      </c>
      <c r="BJ413" s="32">
        <f t="shared" si="242"/>
        <v>0.36790181555226631</v>
      </c>
      <c r="BK413" s="457">
        <f t="shared" si="265"/>
        <v>0.33805784081728452</v>
      </c>
    </row>
    <row r="414" spans="1:63" ht="15">
      <c r="A414" s="119"/>
      <c r="B414" s="480">
        <f>Input!B431</f>
        <v>38396</v>
      </c>
      <c r="C414" s="481">
        <v>2</v>
      </c>
      <c r="D414" s="481">
        <f t="shared" si="244"/>
        <v>2</v>
      </c>
      <c r="E414" s="481">
        <f t="shared" si="245"/>
        <v>13</v>
      </c>
      <c r="F414" s="481">
        <f t="shared" si="246"/>
        <v>44</v>
      </c>
      <c r="G414" s="431">
        <v>11.491199999999999</v>
      </c>
      <c r="H414" s="455">
        <v>-4.28</v>
      </c>
      <c r="I414" s="455">
        <v>-8.4</v>
      </c>
      <c r="J414" s="455">
        <v>2.0699999999999998</v>
      </c>
      <c r="K414" s="485"/>
      <c r="L414" s="433">
        <v>98</v>
      </c>
      <c r="M414" s="455">
        <v>85</v>
      </c>
      <c r="N414" s="484">
        <f>Weather!M415</f>
        <v>0</v>
      </c>
      <c r="O414" s="481" t="str">
        <f t="shared" si="266"/>
        <v/>
      </c>
      <c r="P414" s="4">
        <f t="shared" si="277"/>
        <v>0.41322020685184946</v>
      </c>
      <c r="Q414" s="169">
        <f t="shared" si="247"/>
        <v>0.44477230037406201</v>
      </c>
      <c r="R414" s="169">
        <f t="shared" si="248"/>
        <v>0.32408573839281168</v>
      </c>
      <c r="S414" s="169">
        <f t="shared" si="249"/>
        <v>0.37805645531795268</v>
      </c>
      <c r="T414" s="169">
        <f t="shared" si="250"/>
        <v>0.31760402362495543</v>
      </c>
      <c r="U414" s="169">
        <f t="shared" si="239"/>
        <v>0.34783023947145408</v>
      </c>
      <c r="V414" s="169">
        <f t="shared" si="240"/>
        <v>-3.2603070654457833E-2</v>
      </c>
      <c r="W414" s="439">
        <f t="shared" si="241"/>
        <v>-7.4924323645477484</v>
      </c>
      <c r="X414" s="439">
        <f t="shared" si="251"/>
        <v>-7.4924323645477484</v>
      </c>
      <c r="Y414" s="169"/>
      <c r="Z414" s="119" t="str">
        <f t="shared" si="252"/>
        <v/>
      </c>
      <c r="AA414" s="4" t="str">
        <f t="shared" si="253"/>
        <v/>
      </c>
      <c r="AB414" s="466"/>
      <c r="AC414" s="466"/>
      <c r="AD414" s="466"/>
      <c r="AE414" s="466"/>
      <c r="AF414" s="466"/>
      <c r="AG414" s="466"/>
      <c r="AH414" s="466"/>
      <c r="AI414" s="466"/>
      <c r="AJ414" s="466"/>
      <c r="AK414" s="466"/>
      <c r="AL414" s="466"/>
      <c r="AM414" s="462">
        <f t="shared" si="243"/>
        <v>44</v>
      </c>
      <c r="AN414" s="32">
        <f t="shared" si="267"/>
        <v>1.0239780483173626</v>
      </c>
      <c r="AO414" s="32">
        <f t="shared" si="268"/>
        <v>-0.24181037480038128</v>
      </c>
      <c r="AP414" s="32">
        <f t="shared" si="269"/>
        <v>1.3290748957982192</v>
      </c>
      <c r="AQ414" s="32">
        <f t="shared" si="270"/>
        <v>10.153384291470351</v>
      </c>
      <c r="AR414" s="32">
        <f t="shared" si="271"/>
        <v>17.504089188872619</v>
      </c>
      <c r="AS414" s="32">
        <f t="shared" si="254"/>
        <v>13.140669835870455</v>
      </c>
      <c r="AT414" s="32">
        <f t="shared" si="255"/>
        <v>8.8482240000000001</v>
      </c>
      <c r="AU414" s="32">
        <f t="shared" si="256"/>
        <v>0.87447596991076881</v>
      </c>
      <c r="AV414" s="32">
        <f t="shared" si="257"/>
        <v>0.83054255937953803</v>
      </c>
      <c r="AW414" s="32">
        <f t="shared" si="258"/>
        <v>0.44477230037406201</v>
      </c>
      <c r="AX414" s="32">
        <f t="shared" si="259"/>
        <v>0.32408573839281168</v>
      </c>
      <c r="AY414" s="32">
        <f t="shared" si="260"/>
        <v>0.34783023947145408</v>
      </c>
      <c r="AZ414" s="32">
        <f t="shared" si="272"/>
        <v>0.25743201168951435</v>
      </c>
      <c r="BA414" s="32">
        <f t="shared" si="261"/>
        <v>-5.3110970971921407</v>
      </c>
      <c r="BB414" s="32">
        <f t="shared" si="273"/>
        <v>3.5371269028078594</v>
      </c>
      <c r="BC414" s="32">
        <f t="shared" si="262"/>
        <v>-6.34</v>
      </c>
      <c r="BD414" s="32">
        <v>0</v>
      </c>
      <c r="BE414" s="32">
        <f t="shared" si="274"/>
        <v>0.38442901938343688</v>
      </c>
      <c r="BF414" s="32">
        <f t="shared" si="275"/>
        <v>3.6598779911982793E-2</v>
      </c>
      <c r="BG414" s="32">
        <f t="shared" si="276"/>
        <v>2.9215700597388507E-2</v>
      </c>
      <c r="BH414" s="32">
        <f t="shared" si="263"/>
        <v>0.29368768975520099</v>
      </c>
      <c r="BI414" s="32">
        <f t="shared" si="264"/>
        <v>0.11953251709664849</v>
      </c>
      <c r="BJ414" s="32">
        <f t="shared" si="242"/>
        <v>0.41322020685184946</v>
      </c>
      <c r="BK414" s="457">
        <f t="shared" si="265"/>
        <v>0.38223855870457879</v>
      </c>
    </row>
    <row r="415" spans="1:63" ht="15">
      <c r="A415" s="119"/>
      <c r="B415" s="480">
        <f>Input!B432</f>
        <v>38397</v>
      </c>
      <c r="C415" s="481">
        <v>2</v>
      </c>
      <c r="D415" s="481">
        <f t="shared" si="244"/>
        <v>2</v>
      </c>
      <c r="E415" s="481">
        <f t="shared" si="245"/>
        <v>14</v>
      </c>
      <c r="F415" s="481">
        <f t="shared" si="246"/>
        <v>45</v>
      </c>
      <c r="G415" s="431">
        <v>8.64</v>
      </c>
      <c r="H415" s="455">
        <v>-4.6399999999999997</v>
      </c>
      <c r="I415" s="455">
        <v>-9.1999999999999993</v>
      </c>
      <c r="J415" s="455">
        <v>1.43</v>
      </c>
      <c r="K415" s="485"/>
      <c r="L415" s="433">
        <v>98</v>
      </c>
      <c r="M415" s="455">
        <v>83</v>
      </c>
      <c r="N415" s="484">
        <f>Weather!M416</f>
        <v>0</v>
      </c>
      <c r="O415" s="481" t="str">
        <f t="shared" si="266"/>
        <v/>
      </c>
      <c r="P415" s="4">
        <f t="shared" si="277"/>
        <v>0.39576125991328082</v>
      </c>
      <c r="Q415" s="169">
        <f t="shared" si="247"/>
        <v>0.43283188202411327</v>
      </c>
      <c r="R415" s="169">
        <f t="shared" si="248"/>
        <v>0.30436128413297142</v>
      </c>
      <c r="S415" s="169">
        <f t="shared" si="249"/>
        <v>0.35925046208001399</v>
      </c>
      <c r="T415" s="169">
        <f t="shared" si="250"/>
        <v>0.29827405845031196</v>
      </c>
      <c r="U415" s="169">
        <f t="shared" si="239"/>
        <v>0.32876226026516298</v>
      </c>
      <c r="V415" s="169">
        <f t="shared" si="240"/>
        <v>-3.5867672088340866E-2</v>
      </c>
      <c r="W415" s="439">
        <f t="shared" si="241"/>
        <v>-8.2166852155971313</v>
      </c>
      <c r="X415" s="439">
        <f t="shared" si="251"/>
        <v>-8.2166852155971313</v>
      </c>
      <c r="Y415" s="169"/>
      <c r="Z415" s="119" t="str">
        <f t="shared" si="252"/>
        <v/>
      </c>
      <c r="AA415" s="4" t="str">
        <f t="shared" si="253"/>
        <v/>
      </c>
      <c r="AB415" s="466"/>
      <c r="AC415" s="466"/>
      <c r="AD415" s="466"/>
      <c r="AE415" s="466"/>
      <c r="AF415" s="466"/>
      <c r="AG415" s="466"/>
      <c r="AH415" s="466"/>
      <c r="AI415" s="466"/>
      <c r="AJ415" s="466"/>
      <c r="AK415" s="466"/>
      <c r="AL415" s="466"/>
      <c r="AM415" s="462">
        <f t="shared" si="243"/>
        <v>45</v>
      </c>
      <c r="AN415" s="32">
        <f t="shared" si="267"/>
        <v>1.0235842217394178</v>
      </c>
      <c r="AO415" s="32">
        <f t="shared" si="268"/>
        <v>-0.23609652102028686</v>
      </c>
      <c r="AP415" s="32">
        <f t="shared" si="269"/>
        <v>1.3351210710830421</v>
      </c>
      <c r="AQ415" s="32">
        <f t="shared" si="270"/>
        <v>10.199573668272571</v>
      </c>
      <c r="AR415" s="32">
        <f t="shared" si="271"/>
        <v>17.731784957239483</v>
      </c>
      <c r="AS415" s="32">
        <f t="shared" si="254"/>
        <v>13.311605603098826</v>
      </c>
      <c r="AT415" s="32">
        <f t="shared" si="255"/>
        <v>6.6528000000000009</v>
      </c>
      <c r="AU415" s="32">
        <f t="shared" si="256"/>
        <v>0.64905769128171009</v>
      </c>
      <c r="AV415" s="32">
        <f t="shared" si="257"/>
        <v>0.52622788323030867</v>
      </c>
      <c r="AW415" s="32">
        <f t="shared" si="258"/>
        <v>0.43283188202411327</v>
      </c>
      <c r="AX415" s="32">
        <f t="shared" si="259"/>
        <v>0.30436128413297142</v>
      </c>
      <c r="AY415" s="32">
        <f t="shared" si="260"/>
        <v>0.32876226026516298</v>
      </c>
      <c r="AZ415" s="32">
        <f t="shared" si="272"/>
        <v>0.25972708862139615</v>
      </c>
      <c r="BA415" s="32">
        <f t="shared" si="261"/>
        <v>-3.3659388838581266</v>
      </c>
      <c r="BB415" s="32">
        <f t="shared" si="273"/>
        <v>3.2868611161418744</v>
      </c>
      <c r="BC415" s="32">
        <f t="shared" si="262"/>
        <v>-6.92</v>
      </c>
      <c r="BD415" s="32">
        <v>0</v>
      </c>
      <c r="BE415" s="32">
        <f t="shared" si="274"/>
        <v>0.36859658307854237</v>
      </c>
      <c r="BF415" s="32">
        <f t="shared" si="275"/>
        <v>3.9834322813379397E-2</v>
      </c>
      <c r="BG415" s="32">
        <f t="shared" si="276"/>
        <v>2.8080151435745371E-2</v>
      </c>
      <c r="BH415" s="32">
        <f t="shared" si="263"/>
        <v>0.29459876058909534</v>
      </c>
      <c r="BI415" s="32">
        <f t="shared" si="264"/>
        <v>0.10116249932418546</v>
      </c>
      <c r="BJ415" s="32">
        <f t="shared" si="242"/>
        <v>0.39576125991328082</v>
      </c>
      <c r="BK415" s="457">
        <f t="shared" si="265"/>
        <v>0.38674572703255672</v>
      </c>
    </row>
    <row r="416" spans="1:63" ht="15">
      <c r="A416" s="119"/>
      <c r="B416" s="480">
        <f>Input!B433</f>
        <v>38398</v>
      </c>
      <c r="C416" s="481">
        <v>2</v>
      </c>
      <c r="D416" s="481">
        <f t="shared" si="244"/>
        <v>2</v>
      </c>
      <c r="E416" s="481">
        <f t="shared" si="245"/>
        <v>15</v>
      </c>
      <c r="F416" s="481">
        <f t="shared" si="246"/>
        <v>46</v>
      </c>
      <c r="G416" s="431">
        <v>1.0367999999999999</v>
      </c>
      <c r="H416" s="455">
        <v>-1.38</v>
      </c>
      <c r="I416" s="455">
        <v>-7.6</v>
      </c>
      <c r="J416" s="455">
        <v>2.17</v>
      </c>
      <c r="K416" s="485"/>
      <c r="L416" s="433">
        <v>100</v>
      </c>
      <c r="M416" s="455">
        <v>81</v>
      </c>
      <c r="N416" s="484">
        <f>Weather!M417</f>
        <v>1</v>
      </c>
      <c r="O416" s="481">
        <f t="shared" si="266"/>
        <v>1</v>
      </c>
      <c r="P416" s="4">
        <f t="shared" si="277"/>
        <v>0.2110792416261621</v>
      </c>
      <c r="Q416" s="169">
        <f t="shared" si="247"/>
        <v>0.55211134401670148</v>
      </c>
      <c r="R416" s="169">
        <f t="shared" si="248"/>
        <v>0.34493755179867025</v>
      </c>
      <c r="S416" s="169">
        <f t="shared" si="249"/>
        <v>0.44721018865352824</v>
      </c>
      <c r="T416" s="169">
        <f t="shared" si="250"/>
        <v>0.34493755179867025</v>
      </c>
      <c r="U416" s="169">
        <f t="shared" si="239"/>
        <v>0.39607387022609924</v>
      </c>
      <c r="V416" s="169">
        <f t="shared" si="240"/>
        <v>-2.5082156254290847E-2</v>
      </c>
      <c r="W416" s="439">
        <f t="shared" si="241"/>
        <v>-5.8063596589098303</v>
      </c>
      <c r="X416" s="439">
        <f t="shared" si="251"/>
        <v>-5.8063596589098303</v>
      </c>
      <c r="Y416" s="169"/>
      <c r="Z416" s="119" t="str">
        <f t="shared" si="252"/>
        <v/>
      </c>
      <c r="AA416" s="4" t="str">
        <f t="shared" si="253"/>
        <v/>
      </c>
      <c r="AB416" s="466"/>
      <c r="AC416" s="466"/>
      <c r="AD416" s="466"/>
      <c r="AE416" s="466"/>
      <c r="AF416" s="466"/>
      <c r="AG416" s="466"/>
      <c r="AH416" s="466"/>
      <c r="AI416" s="466"/>
      <c r="AJ416" s="466"/>
      <c r="AK416" s="466"/>
      <c r="AL416" s="466"/>
      <c r="AM416" s="462">
        <f t="shared" si="243"/>
        <v>46</v>
      </c>
      <c r="AN416" s="32">
        <f t="shared" si="267"/>
        <v>1.0231834066475822</v>
      </c>
      <c r="AO416" s="32">
        <f t="shared" si="268"/>
        <v>-0.23031270674563392</v>
      </c>
      <c r="AP416" s="32">
        <f t="shared" si="269"/>
        <v>1.3412154816455613</v>
      </c>
      <c r="AQ416" s="32">
        <f t="shared" si="270"/>
        <v>10.24613153545288</v>
      </c>
      <c r="AR416" s="32">
        <f t="shared" si="271"/>
        <v>17.962424700636213</v>
      </c>
      <c r="AS416" s="32">
        <f t="shared" si="254"/>
        <v>13.484751471261619</v>
      </c>
      <c r="AT416" s="32">
        <f t="shared" si="255"/>
        <v>0.79833599999999993</v>
      </c>
      <c r="AU416" s="32">
        <f t="shared" si="256"/>
        <v>0.3</v>
      </c>
      <c r="AV416" s="32">
        <f t="shared" si="257"/>
        <v>5.5000000000000049E-2</v>
      </c>
      <c r="AW416" s="32">
        <f t="shared" si="258"/>
        <v>0.55211134401670148</v>
      </c>
      <c r="AX416" s="32">
        <f t="shared" si="259"/>
        <v>0.34493755179867025</v>
      </c>
      <c r="AY416" s="32">
        <f t="shared" si="260"/>
        <v>0.39607387022609936</v>
      </c>
      <c r="AZ416" s="32">
        <f t="shared" si="272"/>
        <v>0.25189184001222392</v>
      </c>
      <c r="BA416" s="32">
        <f t="shared" si="261"/>
        <v>-0.35394351397688317</v>
      </c>
      <c r="BB416" s="32">
        <f t="shared" si="273"/>
        <v>0.44439248602311676</v>
      </c>
      <c r="BC416" s="32">
        <f t="shared" si="262"/>
        <v>-4.49</v>
      </c>
      <c r="BD416" s="32">
        <v>0</v>
      </c>
      <c r="BE416" s="32">
        <f t="shared" si="274"/>
        <v>0.44852444790768586</v>
      </c>
      <c r="BF416" s="32">
        <f t="shared" si="275"/>
        <v>5.2450577681586508E-2</v>
      </c>
      <c r="BG416" s="32">
        <f t="shared" si="276"/>
        <v>3.3107219798799666E-2</v>
      </c>
      <c r="BH416" s="32">
        <f t="shared" si="263"/>
        <v>4.0088834498948775E-2</v>
      </c>
      <c r="BI416" s="32">
        <f t="shared" si="264"/>
        <v>0.17099040712721333</v>
      </c>
      <c r="BJ416" s="32">
        <f t="shared" si="242"/>
        <v>0.2110792416261621</v>
      </c>
      <c r="BK416" s="457">
        <f t="shared" si="265"/>
        <v>0.55975754998530269</v>
      </c>
    </row>
    <row r="417" spans="1:63" ht="15">
      <c r="A417" s="119"/>
      <c r="B417" s="480">
        <f>Input!B434</f>
        <v>38399</v>
      </c>
      <c r="C417" s="481">
        <v>2</v>
      </c>
      <c r="D417" s="481">
        <f t="shared" si="244"/>
        <v>2</v>
      </c>
      <c r="E417" s="481">
        <f t="shared" si="245"/>
        <v>16</v>
      </c>
      <c r="F417" s="481">
        <f t="shared" si="246"/>
        <v>47</v>
      </c>
      <c r="G417" s="431">
        <v>1.3824000000000001</v>
      </c>
      <c r="H417" s="455">
        <v>0.11</v>
      </c>
      <c r="I417" s="455">
        <v>-7</v>
      </c>
      <c r="J417" s="455">
        <v>1.05</v>
      </c>
      <c r="K417" s="485"/>
      <c r="L417" s="433">
        <v>100</v>
      </c>
      <c r="M417" s="455">
        <v>86</v>
      </c>
      <c r="N417" s="484">
        <f>Weather!M418</f>
        <v>0</v>
      </c>
      <c r="O417" s="481" t="str">
        <f t="shared" si="266"/>
        <v/>
      </c>
      <c r="P417" s="4">
        <f t="shared" si="277"/>
        <v>0.16164582054947796</v>
      </c>
      <c r="Q417" s="169">
        <f t="shared" si="247"/>
        <v>0.61570708706718724</v>
      </c>
      <c r="R417" s="169">
        <f t="shared" si="248"/>
        <v>0.36134947367872661</v>
      </c>
      <c r="S417" s="169">
        <f t="shared" si="249"/>
        <v>0.52950809487778105</v>
      </c>
      <c r="T417" s="169">
        <f t="shared" si="250"/>
        <v>0.36134947367872661</v>
      </c>
      <c r="U417" s="169">
        <f t="shared" si="239"/>
        <v>0.44542878427825383</v>
      </c>
      <c r="V417" s="169">
        <f t="shared" si="240"/>
        <v>-1.8282118988332496E-2</v>
      </c>
      <c r="W417" s="439">
        <f t="shared" si="241"/>
        <v>-4.2604566603226495</v>
      </c>
      <c r="X417" s="439">
        <f t="shared" si="251"/>
        <v>-4.2604566603226495</v>
      </c>
      <c r="Y417" s="169"/>
      <c r="Z417" s="119" t="str">
        <f t="shared" si="252"/>
        <v/>
      </c>
      <c r="AA417" s="4" t="str">
        <f t="shared" si="253"/>
        <v/>
      </c>
      <c r="AB417" s="466"/>
      <c r="AC417" s="466"/>
      <c r="AD417" s="466"/>
      <c r="AE417" s="466"/>
      <c r="AF417" s="466"/>
      <c r="AG417" s="466"/>
      <c r="AH417" s="466"/>
      <c r="AI417" s="466"/>
      <c r="AJ417" s="466"/>
      <c r="AK417" s="466"/>
      <c r="AL417" s="466"/>
      <c r="AM417" s="462">
        <f t="shared" si="243"/>
        <v>47</v>
      </c>
      <c r="AN417" s="32">
        <f t="shared" si="267"/>
        <v>1.0227757218120181</v>
      </c>
      <c r="AO417" s="32">
        <f t="shared" si="268"/>
        <v>-0.22446064584541689</v>
      </c>
      <c r="AP417" s="32">
        <f t="shared" si="269"/>
        <v>1.3473562196253059</v>
      </c>
      <c r="AQ417" s="32">
        <f t="shared" si="270"/>
        <v>10.293043318030886</v>
      </c>
      <c r="AR417" s="32">
        <f t="shared" si="271"/>
        <v>18.195931514856671</v>
      </c>
      <c r="AS417" s="32">
        <f t="shared" si="254"/>
        <v>13.660049706833201</v>
      </c>
      <c r="AT417" s="32">
        <f t="shared" si="255"/>
        <v>1.0644480000000001</v>
      </c>
      <c r="AU417" s="32">
        <f t="shared" si="256"/>
        <v>0.3</v>
      </c>
      <c r="AV417" s="32">
        <f t="shared" si="257"/>
        <v>5.5000000000000049E-2</v>
      </c>
      <c r="AW417" s="32">
        <f t="shared" si="258"/>
        <v>0.61570708706718724</v>
      </c>
      <c r="AX417" s="32">
        <f t="shared" si="259"/>
        <v>0.36134947367872661</v>
      </c>
      <c r="AY417" s="32">
        <f t="shared" si="260"/>
        <v>0.44542878427825383</v>
      </c>
      <c r="AZ417" s="32">
        <f t="shared" si="272"/>
        <v>0.24656336814795937</v>
      </c>
      <c r="BA417" s="32">
        <f t="shared" si="261"/>
        <v>-0.35196203454230229</v>
      </c>
      <c r="BB417" s="32">
        <f t="shared" si="273"/>
        <v>0.71248596545769782</v>
      </c>
      <c r="BC417" s="32">
        <f t="shared" si="262"/>
        <v>-3.4449999999999998</v>
      </c>
      <c r="BD417" s="32">
        <v>0</v>
      </c>
      <c r="BE417" s="32">
        <f t="shared" si="274"/>
        <v>0.48852828037295692</v>
      </c>
      <c r="BF417" s="32">
        <f t="shared" si="275"/>
        <v>4.3099496094703094E-2</v>
      </c>
      <c r="BG417" s="32">
        <f t="shared" si="276"/>
        <v>3.5497239689896432E-2</v>
      </c>
      <c r="BH417" s="32">
        <f t="shared" si="263"/>
        <v>8.1527157513401616E-2</v>
      </c>
      <c r="BI417" s="32">
        <f t="shared" si="264"/>
        <v>8.0118663036076343E-2</v>
      </c>
      <c r="BJ417" s="32">
        <f t="shared" si="242"/>
        <v>0.16164582054947796</v>
      </c>
      <c r="BK417" s="457">
        <f t="shared" si="265"/>
        <v>0.65384384890895242</v>
      </c>
    </row>
    <row r="418" spans="1:63" ht="15">
      <c r="A418" s="119"/>
      <c r="B418" s="480">
        <f>Input!B435</f>
        <v>38400</v>
      </c>
      <c r="C418" s="481">
        <v>2</v>
      </c>
      <c r="D418" s="481">
        <f t="shared" si="244"/>
        <v>2</v>
      </c>
      <c r="E418" s="481">
        <f t="shared" si="245"/>
        <v>17</v>
      </c>
      <c r="F418" s="481">
        <f t="shared" si="246"/>
        <v>48</v>
      </c>
      <c r="G418" s="431">
        <v>4.0608000000000004</v>
      </c>
      <c r="H418" s="455">
        <v>0.98</v>
      </c>
      <c r="I418" s="455">
        <v>-4.3</v>
      </c>
      <c r="J418" s="455">
        <v>1.51</v>
      </c>
      <c r="K418" s="485"/>
      <c r="L418" s="433">
        <v>100</v>
      </c>
      <c r="M418" s="455">
        <v>86</v>
      </c>
      <c r="N418" s="484">
        <f>Weather!M419</f>
        <v>0</v>
      </c>
      <c r="O418" s="481" t="str">
        <f t="shared" si="266"/>
        <v/>
      </c>
      <c r="P418" s="4">
        <f t="shared" si="277"/>
        <v>0.42844195262703466</v>
      </c>
      <c r="Q418" s="169">
        <f t="shared" si="247"/>
        <v>0.65576190637241216</v>
      </c>
      <c r="R418" s="169">
        <f t="shared" si="248"/>
        <v>0.44410136465433581</v>
      </c>
      <c r="S418" s="169">
        <f t="shared" si="249"/>
        <v>0.56395523948027448</v>
      </c>
      <c r="T418" s="169">
        <f t="shared" si="250"/>
        <v>0.44410136465433581</v>
      </c>
      <c r="U418" s="169">
        <f t="shared" si="239"/>
        <v>0.50402830206730509</v>
      </c>
      <c r="V418" s="169">
        <f t="shared" si="240"/>
        <v>-1.1125486505749235E-2</v>
      </c>
      <c r="W418" s="439">
        <f t="shared" si="241"/>
        <v>-2.6110289801297397</v>
      </c>
      <c r="X418" s="439">
        <f t="shared" si="251"/>
        <v>-2.6110289801297397</v>
      </c>
      <c r="Y418" s="169"/>
      <c r="Z418" s="119" t="str">
        <f t="shared" si="252"/>
        <v/>
      </c>
      <c r="AA418" s="4" t="str">
        <f t="shared" si="253"/>
        <v/>
      </c>
      <c r="AB418" s="466"/>
      <c r="AC418" s="466"/>
      <c r="AD418" s="466"/>
      <c r="AE418" s="466"/>
      <c r="AF418" s="466"/>
      <c r="AG418" s="466"/>
      <c r="AH418" s="466"/>
      <c r="AI418" s="466"/>
      <c r="AJ418" s="466"/>
      <c r="AK418" s="466"/>
      <c r="AL418" s="466"/>
      <c r="AM418" s="462">
        <f t="shared" si="243"/>
        <v>48</v>
      </c>
      <c r="AN418" s="32">
        <f t="shared" si="267"/>
        <v>1.0223612880385406</v>
      </c>
      <c r="AO418" s="32">
        <f t="shared" si="268"/>
        <v>-0.21854207241157836</v>
      </c>
      <c r="AP418" s="32">
        <f t="shared" si="269"/>
        <v>1.3535414178584662</v>
      </c>
      <c r="AQ418" s="32">
        <f t="shared" si="270"/>
        <v>10.340294751925802</v>
      </c>
      <c r="AR418" s="32">
        <f t="shared" si="271"/>
        <v>18.432226726827125</v>
      </c>
      <c r="AS418" s="32">
        <f t="shared" si="254"/>
        <v>13.83744124836366</v>
      </c>
      <c r="AT418" s="32">
        <f t="shared" si="255"/>
        <v>3.1268160000000003</v>
      </c>
      <c r="AU418" s="32">
        <f t="shared" si="256"/>
        <v>0.3</v>
      </c>
      <c r="AV418" s="32">
        <f t="shared" si="257"/>
        <v>5.5000000000000049E-2</v>
      </c>
      <c r="AW418" s="32">
        <f t="shared" si="258"/>
        <v>0.65576190637241216</v>
      </c>
      <c r="AX418" s="32">
        <f t="shared" si="259"/>
        <v>0.44410136465433581</v>
      </c>
      <c r="AY418" s="32">
        <f t="shared" si="260"/>
        <v>0.50402830206730509</v>
      </c>
      <c r="AZ418" s="32">
        <f t="shared" si="272"/>
        <v>0.2406070690616321</v>
      </c>
      <c r="BA418" s="32">
        <f t="shared" si="261"/>
        <v>-0.35247541747820582</v>
      </c>
      <c r="BB418" s="32">
        <f t="shared" si="273"/>
        <v>2.7743405825217944</v>
      </c>
      <c r="BC418" s="32">
        <f t="shared" si="262"/>
        <v>-1.66</v>
      </c>
      <c r="BD418" s="32">
        <v>0</v>
      </c>
      <c r="BE418" s="32">
        <f t="shared" si="274"/>
        <v>0.54993163551337398</v>
      </c>
      <c r="BF418" s="32">
        <f t="shared" si="275"/>
        <v>4.5903333446068895E-2</v>
      </c>
      <c r="BG418" s="32">
        <f t="shared" si="276"/>
        <v>3.9924750793838233E-2</v>
      </c>
      <c r="BH418" s="32">
        <f t="shared" si="263"/>
        <v>0.31939347773015425</v>
      </c>
      <c r="BI418" s="32">
        <f t="shared" si="264"/>
        <v>0.1090484748968804</v>
      </c>
      <c r="BJ418" s="32">
        <f t="shared" si="242"/>
        <v>0.42844195262703466</v>
      </c>
      <c r="BK418" s="457">
        <f t="shared" si="265"/>
        <v>0.64174138487439614</v>
      </c>
    </row>
    <row r="419" spans="1:63" ht="15">
      <c r="A419" s="119"/>
      <c r="B419" s="480">
        <f>Input!B436</f>
        <v>38401</v>
      </c>
      <c r="C419" s="481">
        <v>2</v>
      </c>
      <c r="D419" s="481">
        <f t="shared" si="244"/>
        <v>2</v>
      </c>
      <c r="E419" s="481">
        <f t="shared" si="245"/>
        <v>18</v>
      </c>
      <c r="F419" s="481">
        <f t="shared" si="246"/>
        <v>49</v>
      </c>
      <c r="G419" s="431">
        <v>2.2464</v>
      </c>
      <c r="H419" s="455">
        <v>2.46</v>
      </c>
      <c r="I419" s="455">
        <v>-2.7</v>
      </c>
      <c r="J419" s="455">
        <v>0.78</v>
      </c>
      <c r="K419" s="485"/>
      <c r="L419" s="433">
        <v>100</v>
      </c>
      <c r="M419" s="455">
        <v>84</v>
      </c>
      <c r="N419" s="484">
        <f>Weather!M420</f>
        <v>28</v>
      </c>
      <c r="O419" s="481">
        <f t="shared" si="266"/>
        <v>1</v>
      </c>
      <c r="P419" s="4">
        <f t="shared" si="277"/>
        <v>0.27012829790668447</v>
      </c>
      <c r="Q419" s="169">
        <f t="shared" si="247"/>
        <v>0.72921183153710156</v>
      </c>
      <c r="R419" s="169">
        <f t="shared" si="248"/>
        <v>0.50070143361417307</v>
      </c>
      <c r="S419" s="169">
        <f t="shared" si="249"/>
        <v>0.61253793849116533</v>
      </c>
      <c r="T419" s="169">
        <f t="shared" si="250"/>
        <v>0.50070143361417307</v>
      </c>
      <c r="U419" s="169">
        <f t="shared" si="239"/>
        <v>0.5566196860526692</v>
      </c>
      <c r="V419" s="169">
        <f t="shared" si="240"/>
        <v>-5.3785383020223364E-3</v>
      </c>
      <c r="W419" s="439">
        <f t="shared" si="241"/>
        <v>-1.2694990895921467</v>
      </c>
      <c r="X419" s="439">
        <f t="shared" si="251"/>
        <v>-1.2694990895921467</v>
      </c>
      <c r="Y419" s="169"/>
      <c r="Z419" s="119" t="str">
        <f t="shared" si="252"/>
        <v/>
      </c>
      <c r="AA419" s="4" t="str">
        <f t="shared" si="253"/>
        <v/>
      </c>
      <c r="AB419" s="466"/>
      <c r="AC419" s="466"/>
      <c r="AD419" s="466"/>
      <c r="AE419" s="466"/>
      <c r="AF419" s="466"/>
      <c r="AG419" s="466"/>
      <c r="AH419" s="466"/>
      <c r="AI419" s="466"/>
      <c r="AJ419" s="466"/>
      <c r="AK419" s="466"/>
      <c r="AL419" s="466"/>
      <c r="AM419" s="462">
        <f t="shared" si="243"/>
        <v>49</v>
      </c>
      <c r="AN419" s="32">
        <f t="shared" si="267"/>
        <v>1.0219402281328214</v>
      </c>
      <c r="AO419" s="32">
        <f t="shared" si="268"/>
        <v>-0.21255874024516014</v>
      </c>
      <c r="AP419" s="32">
        <f t="shared" si="269"/>
        <v>1.3597692497994596</v>
      </c>
      <c r="AQ419" s="32">
        <f t="shared" si="270"/>
        <v>10.387871883357226</v>
      </c>
      <c r="AR419" s="32">
        <f t="shared" si="271"/>
        <v>18.671229940366931</v>
      </c>
      <c r="AS419" s="32">
        <f t="shared" si="254"/>
        <v>14.016865740832264</v>
      </c>
      <c r="AT419" s="32">
        <f t="shared" si="255"/>
        <v>1.7297279999999999</v>
      </c>
      <c r="AU419" s="32">
        <f t="shared" si="256"/>
        <v>0.3</v>
      </c>
      <c r="AV419" s="32">
        <f t="shared" si="257"/>
        <v>5.5000000000000049E-2</v>
      </c>
      <c r="AW419" s="32">
        <f t="shared" si="258"/>
        <v>0.72921183153710156</v>
      </c>
      <c r="AX419" s="32">
        <f t="shared" si="259"/>
        <v>0.50070143361417307</v>
      </c>
      <c r="AY419" s="32">
        <f t="shared" si="260"/>
        <v>0.5566196860526692</v>
      </c>
      <c r="AZ419" s="32">
        <f t="shared" si="272"/>
        <v>0.23555027119885705</v>
      </c>
      <c r="BA419" s="32">
        <f t="shared" si="261"/>
        <v>-0.35295267118926898</v>
      </c>
      <c r="BB419" s="32">
        <f t="shared" si="273"/>
        <v>1.3767753288107309</v>
      </c>
      <c r="BC419" s="32">
        <f t="shared" si="262"/>
        <v>-0.12000000000000011</v>
      </c>
      <c r="BD419" s="32">
        <v>0</v>
      </c>
      <c r="BE419" s="32">
        <f t="shared" si="274"/>
        <v>0.61495663257563726</v>
      </c>
      <c r="BF419" s="32">
        <f t="shared" si="275"/>
        <v>5.8336946522968058E-2</v>
      </c>
      <c r="BG419" s="32">
        <f t="shared" si="276"/>
        <v>4.4119044318029398E-2</v>
      </c>
      <c r="BH419" s="32">
        <f t="shared" si="263"/>
        <v>0.19206922452840086</v>
      </c>
      <c r="BI419" s="32">
        <f t="shared" si="264"/>
        <v>7.8059073378283592E-2</v>
      </c>
      <c r="BJ419" s="32">
        <f t="shared" si="242"/>
        <v>0.27012829790668447</v>
      </c>
      <c r="BK419" s="457">
        <f t="shared" si="265"/>
        <v>0.70394996318943215</v>
      </c>
    </row>
    <row r="420" spans="1:63" ht="15">
      <c r="A420" s="119"/>
      <c r="B420" s="480">
        <f>Input!B437</f>
        <v>38402</v>
      </c>
      <c r="C420" s="481">
        <v>2</v>
      </c>
      <c r="D420" s="481">
        <f t="shared" si="244"/>
        <v>2</v>
      </c>
      <c r="E420" s="481">
        <f t="shared" si="245"/>
        <v>19</v>
      </c>
      <c r="F420" s="481">
        <f t="shared" si="246"/>
        <v>50</v>
      </c>
      <c r="G420" s="431">
        <v>1.4688000000000001</v>
      </c>
      <c r="H420" s="455">
        <v>3.48</v>
      </c>
      <c r="I420" s="455">
        <v>1.3</v>
      </c>
      <c r="J420" s="455">
        <v>0.9</v>
      </c>
      <c r="K420" s="485"/>
      <c r="L420" s="433">
        <v>100</v>
      </c>
      <c r="M420" s="455">
        <v>85</v>
      </c>
      <c r="N420" s="484">
        <f>Weather!M421</f>
        <v>49</v>
      </c>
      <c r="O420" s="481">
        <f t="shared" si="266"/>
        <v>1</v>
      </c>
      <c r="P420" s="4">
        <f t="shared" si="277"/>
        <v>0.20151220317447621</v>
      </c>
      <c r="Q420" s="169">
        <f t="shared" si="247"/>
        <v>0.78397204359477246</v>
      </c>
      <c r="R420" s="169">
        <f t="shared" si="248"/>
        <v>0.67106385242410471</v>
      </c>
      <c r="S420" s="169">
        <f t="shared" si="249"/>
        <v>0.6663762370555566</v>
      </c>
      <c r="T420" s="169">
        <f t="shared" si="250"/>
        <v>0.67106385242410471</v>
      </c>
      <c r="U420" s="169">
        <f t="shared" si="239"/>
        <v>0.66872004473983071</v>
      </c>
      <c r="V420" s="169">
        <f t="shared" si="240"/>
        <v>5.2458558743545859E-3</v>
      </c>
      <c r="W420" s="439">
        <f t="shared" si="241"/>
        <v>1.2514062960537009</v>
      </c>
      <c r="X420" s="439">
        <f t="shared" si="251"/>
        <v>1.2514062960537009</v>
      </c>
      <c r="Y420" s="169"/>
      <c r="Z420" s="119" t="str">
        <f t="shared" si="252"/>
        <v/>
      </c>
      <c r="AA420" s="4" t="str">
        <f t="shared" si="253"/>
        <v/>
      </c>
      <c r="AB420" s="466"/>
      <c r="AC420" s="466"/>
      <c r="AD420" s="466"/>
      <c r="AE420" s="466"/>
      <c r="AF420" s="466"/>
      <c r="AG420" s="466"/>
      <c r="AH420" s="466"/>
      <c r="AI420" s="466"/>
      <c r="AJ420" s="466"/>
      <c r="AK420" s="466"/>
      <c r="AL420" s="466"/>
      <c r="AM420" s="462">
        <f t="shared" si="243"/>
        <v>50</v>
      </c>
      <c r="AN420" s="32">
        <f t="shared" si="267"/>
        <v>1.0215126668639976</v>
      </c>
      <c r="AO420" s="32">
        <f t="shared" si="268"/>
        <v>-0.2065124223366139</v>
      </c>
      <c r="AP420" s="32">
        <f t="shared" si="269"/>
        <v>1.3660379293265765</v>
      </c>
      <c r="AQ420" s="32">
        <f t="shared" si="270"/>
        <v>10.435761067360406</v>
      </c>
      <c r="AR420" s="32">
        <f t="shared" si="271"/>
        <v>18.912859085194189</v>
      </c>
      <c r="AS420" s="32">
        <f t="shared" si="254"/>
        <v>14.198261572436982</v>
      </c>
      <c r="AT420" s="32">
        <f t="shared" si="255"/>
        <v>1.1309760000000002</v>
      </c>
      <c r="AU420" s="32">
        <f t="shared" si="256"/>
        <v>0.3</v>
      </c>
      <c r="AV420" s="32">
        <f t="shared" si="257"/>
        <v>5.5000000000000049E-2</v>
      </c>
      <c r="AW420" s="32">
        <f t="shared" si="258"/>
        <v>0.78397204359477246</v>
      </c>
      <c r="AX420" s="32">
        <f t="shared" si="259"/>
        <v>0.67106385242410471</v>
      </c>
      <c r="AY420" s="32">
        <f t="shared" si="260"/>
        <v>0.6687200447398306</v>
      </c>
      <c r="AZ420" s="32">
        <f t="shared" si="272"/>
        <v>0.22551457351740931</v>
      </c>
      <c r="BA420" s="32">
        <f t="shared" si="261"/>
        <v>-0.35035859338699932</v>
      </c>
      <c r="BB420" s="32">
        <f t="shared" si="273"/>
        <v>0.78061740661300094</v>
      </c>
      <c r="BC420" s="32">
        <f t="shared" si="262"/>
        <v>2.39</v>
      </c>
      <c r="BD420" s="32">
        <v>0</v>
      </c>
      <c r="BE420" s="32">
        <f t="shared" si="274"/>
        <v>0.72751794800943859</v>
      </c>
      <c r="BF420" s="32">
        <f t="shared" si="275"/>
        <v>5.8797903269607987E-2</v>
      </c>
      <c r="BG420" s="32">
        <f t="shared" si="276"/>
        <v>5.1768294971071036E-2</v>
      </c>
      <c r="BH420" s="32">
        <f t="shared" si="263"/>
        <v>0.11826175275186164</v>
      </c>
      <c r="BI420" s="32">
        <f t="shared" si="264"/>
        <v>8.3250450422614586E-2</v>
      </c>
      <c r="BJ420" s="32">
        <f t="shared" si="242"/>
        <v>0.20151220317447621</v>
      </c>
      <c r="BK420" s="457">
        <f t="shared" si="265"/>
        <v>0.52927758770708966</v>
      </c>
    </row>
    <row r="421" spans="1:63" ht="15">
      <c r="A421" s="119"/>
      <c r="B421" s="480">
        <f>Input!B438</f>
        <v>38403</v>
      </c>
      <c r="C421" s="481">
        <v>2</v>
      </c>
      <c r="D421" s="481">
        <f t="shared" si="244"/>
        <v>2</v>
      </c>
      <c r="E421" s="481">
        <f t="shared" si="245"/>
        <v>20</v>
      </c>
      <c r="F421" s="481">
        <f t="shared" si="246"/>
        <v>51</v>
      </c>
      <c r="G421" s="431">
        <v>2.7648000000000001</v>
      </c>
      <c r="H421" s="455">
        <v>3.03</v>
      </c>
      <c r="I421" s="455">
        <v>0.6</v>
      </c>
      <c r="J421" s="455">
        <v>4.6500000000000004</v>
      </c>
      <c r="K421" s="485"/>
      <c r="L421" s="433">
        <v>99</v>
      </c>
      <c r="M421" s="455">
        <v>87</v>
      </c>
      <c r="N421" s="484">
        <f>Weather!M422</f>
        <v>4</v>
      </c>
      <c r="O421" s="481">
        <f t="shared" si="266"/>
        <v>1</v>
      </c>
      <c r="P421" s="4">
        <f t="shared" si="277"/>
        <v>0.40302323288783826</v>
      </c>
      <c r="Q421" s="169">
        <f t="shared" si="247"/>
        <v>0.75938123606121055</v>
      </c>
      <c r="R421" s="169">
        <f t="shared" si="248"/>
        <v>0.63799196508805101</v>
      </c>
      <c r="S421" s="169">
        <f t="shared" si="249"/>
        <v>0.66066167537325315</v>
      </c>
      <c r="T421" s="169">
        <f t="shared" si="250"/>
        <v>0.63161204543717053</v>
      </c>
      <c r="U421" s="169">
        <f t="shared" si="239"/>
        <v>0.64613686040521179</v>
      </c>
      <c r="V421" s="169">
        <f t="shared" si="240"/>
        <v>3.2566164569626378E-3</v>
      </c>
      <c r="W421" s="439">
        <f t="shared" si="241"/>
        <v>0.7753200051253375</v>
      </c>
      <c r="X421" s="439">
        <f t="shared" si="251"/>
        <v>0.7753200051253375</v>
      </c>
      <c r="Y421" s="169"/>
      <c r="Z421" s="119" t="str">
        <f t="shared" si="252"/>
        <v/>
      </c>
      <c r="AA421" s="4" t="str">
        <f t="shared" si="253"/>
        <v/>
      </c>
      <c r="AB421" s="466"/>
      <c r="AC421" s="466"/>
      <c r="AD421" s="466"/>
      <c r="AE421" s="466"/>
      <c r="AF421" s="466"/>
      <c r="AG421" s="466"/>
      <c r="AH421" s="466"/>
      <c r="AI421" s="466"/>
      <c r="AJ421" s="466"/>
      <c r="AK421" s="466"/>
      <c r="AL421" s="466"/>
      <c r="AM421" s="462">
        <f t="shared" si="243"/>
        <v>51</v>
      </c>
      <c r="AN421" s="32">
        <f t="shared" si="267"/>
        <v>1.0210787309277003</v>
      </c>
      <c r="AO421" s="32">
        <f t="shared" si="268"/>
        <v>-0.20040491034042626</v>
      </c>
      <c r="AP421" s="32">
        <f t="shared" si="269"/>
        <v>1.3723457104375565</v>
      </c>
      <c r="AQ421" s="32">
        <f t="shared" si="270"/>
        <v>10.483948965460606</v>
      </c>
      <c r="AR421" s="32">
        <f t="shared" si="271"/>
        <v>19.157030469065575</v>
      </c>
      <c r="AS421" s="32">
        <f t="shared" si="254"/>
        <v>14.381565913736909</v>
      </c>
      <c r="AT421" s="32">
        <f t="shared" si="255"/>
        <v>2.1288960000000001</v>
      </c>
      <c r="AU421" s="32">
        <f t="shared" si="256"/>
        <v>0.3</v>
      </c>
      <c r="AV421" s="32">
        <f t="shared" si="257"/>
        <v>5.5000000000000049E-2</v>
      </c>
      <c r="AW421" s="32">
        <f t="shared" si="258"/>
        <v>0.75938123606121055</v>
      </c>
      <c r="AX421" s="32">
        <f t="shared" si="259"/>
        <v>0.63799196508805101</v>
      </c>
      <c r="AY421" s="32">
        <f t="shared" si="260"/>
        <v>0.64613686040521179</v>
      </c>
      <c r="AZ421" s="32">
        <f t="shared" si="272"/>
        <v>0.22746430582280949</v>
      </c>
      <c r="BA421" s="32">
        <f t="shared" si="261"/>
        <v>-0.35045524724041777</v>
      </c>
      <c r="BB421" s="32">
        <f t="shared" si="273"/>
        <v>1.7784407527595825</v>
      </c>
      <c r="BC421" s="32">
        <f t="shared" si="262"/>
        <v>1.8149999999999999</v>
      </c>
      <c r="BD421" s="32">
        <v>0</v>
      </c>
      <c r="BE421" s="32">
        <f t="shared" si="274"/>
        <v>0.69868660057463083</v>
      </c>
      <c r="BF421" s="32">
        <f t="shared" si="275"/>
        <v>5.2549740169419046E-2</v>
      </c>
      <c r="BG421" s="32">
        <f t="shared" si="276"/>
        <v>4.9922232242641994E-2</v>
      </c>
      <c r="BH421" s="32">
        <f t="shared" si="263"/>
        <v>0.16233607341375444</v>
      </c>
      <c r="BI421" s="32">
        <f t="shared" si="264"/>
        <v>0.24068715947408378</v>
      </c>
      <c r="BJ421" s="32">
        <f t="shared" si="242"/>
        <v>0.40302323288783826</v>
      </c>
      <c r="BK421" s="457">
        <f t="shared" si="265"/>
        <v>0.54989705132130318</v>
      </c>
    </row>
    <row r="422" spans="1:63" ht="15">
      <c r="A422" s="119"/>
      <c r="B422" s="480">
        <f>Input!B439</f>
        <v>38404</v>
      </c>
      <c r="C422" s="481">
        <v>2</v>
      </c>
      <c r="D422" s="481">
        <f t="shared" si="244"/>
        <v>2</v>
      </c>
      <c r="E422" s="481">
        <f t="shared" si="245"/>
        <v>21</v>
      </c>
      <c r="F422" s="481">
        <f t="shared" si="246"/>
        <v>52</v>
      </c>
      <c r="G422" s="431">
        <v>4.32</v>
      </c>
      <c r="H422" s="455">
        <v>4.3499999999999996</v>
      </c>
      <c r="I422" s="455">
        <v>-0.7</v>
      </c>
      <c r="J422" s="455">
        <v>1.65</v>
      </c>
      <c r="K422" s="485"/>
      <c r="L422" s="433">
        <v>100</v>
      </c>
      <c r="M422" s="455">
        <v>86</v>
      </c>
      <c r="N422" s="484">
        <f>Weather!M423</f>
        <v>0</v>
      </c>
      <c r="O422" s="481" t="str">
        <f t="shared" si="266"/>
        <v/>
      </c>
      <c r="P422" s="4">
        <f t="shared" si="277"/>
        <v>0.52880251796818045</v>
      </c>
      <c r="Q422" s="169">
        <f t="shared" si="247"/>
        <v>0.83351442905422246</v>
      </c>
      <c r="R422" s="169">
        <f t="shared" si="248"/>
        <v>0.58037526258967109</v>
      </c>
      <c r="S422" s="169">
        <f t="shared" si="249"/>
        <v>0.7168224089866313</v>
      </c>
      <c r="T422" s="169">
        <f t="shared" si="250"/>
        <v>0.58037526258967109</v>
      </c>
      <c r="U422" s="169">
        <f t="shared" si="239"/>
        <v>0.64859883578815114</v>
      </c>
      <c r="V422" s="169">
        <f t="shared" si="240"/>
        <v>3.4768283477653039E-3</v>
      </c>
      <c r="W422" s="439">
        <f t="shared" si="241"/>
        <v>0.82792993720032826</v>
      </c>
      <c r="X422" s="439">
        <f t="shared" si="251"/>
        <v>0.82792993720032826</v>
      </c>
      <c r="Y422" s="169"/>
      <c r="Z422" s="119" t="str">
        <f t="shared" si="252"/>
        <v/>
      </c>
      <c r="AA422" s="4" t="str">
        <f t="shared" si="253"/>
        <v/>
      </c>
      <c r="AB422" s="466"/>
      <c r="AC422" s="466"/>
      <c r="AD422" s="466"/>
      <c r="AE422" s="466"/>
      <c r="AF422" s="466"/>
      <c r="AG422" s="466"/>
      <c r="AH422" s="466"/>
      <c r="AI422" s="466"/>
      <c r="AJ422" s="466"/>
      <c r="AK422" s="466"/>
      <c r="AL422" s="466"/>
      <c r="AM422" s="462">
        <f t="shared" si="243"/>
        <v>52</v>
      </c>
      <c r="AN422" s="32">
        <f t="shared" si="267"/>
        <v>1.0206385489085132</v>
      </c>
      <c r="AO422" s="32">
        <f t="shared" si="268"/>
        <v>-0.19423801404421251</v>
      </c>
      <c r="AP422" s="32">
        <f t="shared" si="269"/>
        <v>1.3786908868408727</v>
      </c>
      <c r="AQ422" s="32">
        <f t="shared" si="270"/>
        <v>10.532422542550744</v>
      </c>
      <c r="AR422" s="32">
        <f t="shared" si="271"/>
        <v>19.403658832932599</v>
      </c>
      <c r="AS422" s="32">
        <f t="shared" si="254"/>
        <v>14.566714759059161</v>
      </c>
      <c r="AT422" s="32">
        <f t="shared" si="255"/>
        <v>3.3264000000000005</v>
      </c>
      <c r="AU422" s="32">
        <f t="shared" si="256"/>
        <v>0.3</v>
      </c>
      <c r="AV422" s="32">
        <f t="shared" si="257"/>
        <v>5.5000000000000049E-2</v>
      </c>
      <c r="AW422" s="32">
        <f t="shared" si="258"/>
        <v>0.83351442905422246</v>
      </c>
      <c r="AX422" s="32">
        <f t="shared" si="259"/>
        <v>0.58037526258967109</v>
      </c>
      <c r="AY422" s="32">
        <f t="shared" si="260"/>
        <v>0.64859883578815114</v>
      </c>
      <c r="AZ422" s="32">
        <f t="shared" si="272"/>
        <v>0.22725011227744943</v>
      </c>
      <c r="BA422" s="32">
        <f t="shared" si="261"/>
        <v>-0.35031230099324479</v>
      </c>
      <c r="BB422" s="32">
        <f t="shared" si="273"/>
        <v>2.9760876990067557</v>
      </c>
      <c r="BC422" s="32">
        <f t="shared" si="262"/>
        <v>1.8249999999999997</v>
      </c>
      <c r="BD422" s="32">
        <v>0</v>
      </c>
      <c r="BE422" s="32">
        <f t="shared" si="274"/>
        <v>0.70694484582194672</v>
      </c>
      <c r="BF422" s="32">
        <f t="shared" si="275"/>
        <v>5.8346010033795581E-2</v>
      </c>
      <c r="BG422" s="32">
        <f t="shared" si="276"/>
        <v>4.9953847736258605E-2</v>
      </c>
      <c r="BH422" s="32">
        <f t="shared" si="263"/>
        <v>0.39204567727330986</v>
      </c>
      <c r="BI422" s="32">
        <f t="shared" si="264"/>
        <v>0.13675684069487057</v>
      </c>
      <c r="BJ422" s="32">
        <f t="shared" si="242"/>
        <v>0.52880251796818045</v>
      </c>
      <c r="BK422" s="457">
        <f t="shared" si="265"/>
        <v>0.80334248640183159</v>
      </c>
    </row>
    <row r="423" spans="1:63" ht="15">
      <c r="A423" s="119"/>
      <c r="B423" s="480">
        <f>Input!B440</f>
        <v>38405</v>
      </c>
      <c r="C423" s="481">
        <v>2</v>
      </c>
      <c r="D423" s="481">
        <f t="shared" si="244"/>
        <v>2</v>
      </c>
      <c r="E423" s="481">
        <f t="shared" si="245"/>
        <v>22</v>
      </c>
      <c r="F423" s="481">
        <f t="shared" si="246"/>
        <v>53</v>
      </c>
      <c r="G423" s="431">
        <v>2.2464</v>
      </c>
      <c r="H423" s="455">
        <v>4.3600000000000003</v>
      </c>
      <c r="I423" s="455">
        <v>-1.2</v>
      </c>
      <c r="J423" s="455">
        <v>1.92</v>
      </c>
      <c r="K423" s="485"/>
      <c r="L423" s="433">
        <v>100</v>
      </c>
      <c r="M423" s="455">
        <v>83</v>
      </c>
      <c r="N423" s="484">
        <f>Weather!M424</f>
        <v>0</v>
      </c>
      <c r="O423" s="481" t="str">
        <f t="shared" si="266"/>
        <v/>
      </c>
      <c r="P423" s="4">
        <f t="shared" si="277"/>
        <v>0.35968353967974764</v>
      </c>
      <c r="Q423" s="169">
        <f t="shared" si="247"/>
        <v>0.83409957476394314</v>
      </c>
      <c r="R423" s="169">
        <f t="shared" si="248"/>
        <v>0.55947184647021497</v>
      </c>
      <c r="S423" s="169">
        <f t="shared" si="249"/>
        <v>0.69230264705407274</v>
      </c>
      <c r="T423" s="169">
        <f t="shared" si="250"/>
        <v>0.55947184647021497</v>
      </c>
      <c r="U423" s="169">
        <f t="shared" si="239"/>
        <v>0.62588724676214391</v>
      </c>
      <c r="V423" s="169">
        <f t="shared" si="240"/>
        <v>1.4128931406616771E-3</v>
      </c>
      <c r="W423" s="439">
        <f t="shared" si="241"/>
        <v>0.33575392669899923</v>
      </c>
      <c r="X423" s="439">
        <f t="shared" si="251"/>
        <v>0.33575392669899923</v>
      </c>
      <c r="Y423" s="169"/>
      <c r="Z423" s="119" t="str">
        <f t="shared" si="252"/>
        <v/>
      </c>
      <c r="AA423" s="4" t="str">
        <f t="shared" si="253"/>
        <v/>
      </c>
      <c r="AB423" s="466"/>
      <c r="AC423" s="466"/>
      <c r="AD423" s="466"/>
      <c r="AE423" s="466"/>
      <c r="AF423" s="466"/>
      <c r="AG423" s="466"/>
      <c r="AH423" s="466"/>
      <c r="AI423" s="466"/>
      <c r="AJ423" s="466"/>
      <c r="AK423" s="466"/>
      <c r="AL423" s="466"/>
      <c r="AM423" s="462">
        <f t="shared" si="243"/>
        <v>53</v>
      </c>
      <c r="AN423" s="32">
        <f t="shared" si="267"/>
        <v>1.020192251241868</v>
      </c>
      <c r="AO423" s="32">
        <f t="shared" si="268"/>
        <v>-0.18801356083243781</v>
      </c>
      <c r="AP423" s="32">
        <f t="shared" si="269"/>
        <v>1.3850717914483854</v>
      </c>
      <c r="AQ423" s="32">
        <f t="shared" si="270"/>
        <v>10.581169063015549</v>
      </c>
      <c r="AR423" s="32">
        <f t="shared" si="271"/>
        <v>19.652657408989164</v>
      </c>
      <c r="AS423" s="32">
        <f t="shared" si="254"/>
        <v>14.753642970076346</v>
      </c>
      <c r="AT423" s="32">
        <f t="shared" si="255"/>
        <v>1.7297279999999999</v>
      </c>
      <c r="AU423" s="32">
        <f t="shared" si="256"/>
        <v>0.3</v>
      </c>
      <c r="AV423" s="32">
        <f t="shared" si="257"/>
        <v>5.5000000000000049E-2</v>
      </c>
      <c r="AW423" s="32">
        <f t="shared" si="258"/>
        <v>0.83409957476394314</v>
      </c>
      <c r="AX423" s="32">
        <f t="shared" si="259"/>
        <v>0.55947184647021497</v>
      </c>
      <c r="AY423" s="32">
        <f t="shared" si="260"/>
        <v>0.62588724676214391</v>
      </c>
      <c r="AZ423" s="32">
        <f t="shared" si="272"/>
        <v>0.22924174957802007</v>
      </c>
      <c r="BA423" s="32">
        <f t="shared" si="261"/>
        <v>-0.35216287260472867</v>
      </c>
      <c r="BB423" s="32">
        <f t="shared" si="273"/>
        <v>1.3775651273952714</v>
      </c>
      <c r="BC423" s="32">
        <f t="shared" si="262"/>
        <v>1.58</v>
      </c>
      <c r="BD423" s="32">
        <v>0</v>
      </c>
      <c r="BE423" s="32">
        <f t="shared" si="274"/>
        <v>0.69678571061707906</v>
      </c>
      <c r="BF423" s="32">
        <f t="shared" si="275"/>
        <v>7.0898463854935145E-2</v>
      </c>
      <c r="BG423" s="32">
        <f t="shared" si="276"/>
        <v>4.9184200964782675E-2</v>
      </c>
      <c r="BH423" s="32">
        <f t="shared" si="263"/>
        <v>0.17265688938756513</v>
      </c>
      <c r="BI423" s="32">
        <f t="shared" si="264"/>
        <v>0.18702665029218249</v>
      </c>
      <c r="BJ423" s="32">
        <f t="shared" si="242"/>
        <v>0.35968353967974764</v>
      </c>
      <c r="BK423" s="457">
        <f t="shared" si="265"/>
        <v>0.84309051544303848</v>
      </c>
    </row>
    <row r="424" spans="1:63" ht="15">
      <c r="A424" s="119"/>
      <c r="B424" s="480">
        <f>Input!B441</f>
        <v>38406</v>
      </c>
      <c r="C424" s="481">
        <v>2</v>
      </c>
      <c r="D424" s="481">
        <f t="shared" si="244"/>
        <v>2</v>
      </c>
      <c r="E424" s="481">
        <f t="shared" si="245"/>
        <v>23</v>
      </c>
      <c r="F424" s="481">
        <f t="shared" si="246"/>
        <v>54</v>
      </c>
      <c r="G424" s="431">
        <v>9.8496000000000006</v>
      </c>
      <c r="H424" s="455">
        <v>6.97</v>
      </c>
      <c r="I424" s="455">
        <v>-0.4</v>
      </c>
      <c r="J424" s="455">
        <v>2.31</v>
      </c>
      <c r="K424" s="485"/>
      <c r="L424" s="433">
        <v>100</v>
      </c>
      <c r="M424" s="455">
        <v>79</v>
      </c>
      <c r="N424" s="484">
        <f>Weather!M425</f>
        <v>0</v>
      </c>
      <c r="O424" s="481" t="str">
        <f t="shared" si="266"/>
        <v/>
      </c>
      <c r="P424" s="4">
        <f t="shared" si="277"/>
        <v>0.83176917696877539</v>
      </c>
      <c r="Q424" s="169">
        <f t="shared" si="247"/>
        <v>0.99979648234878604</v>
      </c>
      <c r="R424" s="169">
        <f t="shared" si="248"/>
        <v>0.59324625951914634</v>
      </c>
      <c r="S424" s="169">
        <f t="shared" si="249"/>
        <v>0.78983922105554105</v>
      </c>
      <c r="T424" s="169">
        <f t="shared" si="250"/>
        <v>0.59324625951914634</v>
      </c>
      <c r="U424" s="169">
        <f t="shared" si="239"/>
        <v>0.69154274028734375</v>
      </c>
      <c r="V424" s="169">
        <f t="shared" si="240"/>
        <v>7.1890783978187127E-3</v>
      </c>
      <c r="W424" s="439">
        <f t="shared" si="241"/>
        <v>1.7183214514293599</v>
      </c>
      <c r="X424" s="439">
        <f t="shared" si="251"/>
        <v>1.7183214514293599</v>
      </c>
      <c r="Y424" s="169"/>
      <c r="Z424" s="119" t="str">
        <f t="shared" si="252"/>
        <v/>
      </c>
      <c r="AA424" s="4" t="str">
        <f t="shared" si="253"/>
        <v/>
      </c>
      <c r="AB424" s="466"/>
      <c r="AC424" s="466"/>
      <c r="AD424" s="466"/>
      <c r="AE424" s="466"/>
      <c r="AF424" s="466"/>
      <c r="AG424" s="466"/>
      <c r="AH424" s="466"/>
      <c r="AI424" s="466"/>
      <c r="AJ424" s="466"/>
      <c r="AK424" s="466"/>
      <c r="AL424" s="466"/>
      <c r="AM424" s="462">
        <f t="shared" si="243"/>
        <v>54</v>
      </c>
      <c r="AN424" s="32">
        <f t="shared" si="267"/>
        <v>1.0197399701753953</v>
      </c>
      <c r="AO424" s="32">
        <f t="shared" si="268"/>
        <v>-0.18173339514492348</v>
      </c>
      <c r="AP424" s="32">
        <f t="shared" si="269"/>
        <v>1.3914867957749137</v>
      </c>
      <c r="AQ424" s="32">
        <f t="shared" si="270"/>
        <v>10.630176086144649</v>
      </c>
      <c r="AR424" s="32">
        <f t="shared" si="271"/>
        <v>19.903937981479221</v>
      </c>
      <c r="AS424" s="32">
        <f t="shared" si="254"/>
        <v>14.942284321456082</v>
      </c>
      <c r="AT424" s="32">
        <f t="shared" si="255"/>
        <v>7.5841920000000007</v>
      </c>
      <c r="AU424" s="32">
        <f t="shared" si="256"/>
        <v>0.65917632057480391</v>
      </c>
      <c r="AV424" s="32">
        <f t="shared" si="257"/>
        <v>0.5398880327759854</v>
      </c>
      <c r="AW424" s="32">
        <f t="shared" si="258"/>
        <v>0.99979648234878604</v>
      </c>
      <c r="AX424" s="32">
        <f t="shared" si="259"/>
        <v>0.59324625951914634</v>
      </c>
      <c r="AY424" s="32">
        <f t="shared" si="260"/>
        <v>0.69154274028734375</v>
      </c>
      <c r="AZ424" s="32">
        <f t="shared" si="272"/>
        <v>0.22357733163325993</v>
      </c>
      <c r="BA424" s="32">
        <f t="shared" si="261"/>
        <v>-3.4575023133389382</v>
      </c>
      <c r="BB424" s="32">
        <f t="shared" si="273"/>
        <v>4.126689686661063</v>
      </c>
      <c r="BC424" s="32">
        <f t="shared" si="262"/>
        <v>3.2849999999999997</v>
      </c>
      <c r="BD424" s="32">
        <v>0</v>
      </c>
      <c r="BE424" s="32">
        <f t="shared" si="274"/>
        <v>0.79652137093396624</v>
      </c>
      <c r="BF424" s="32">
        <f t="shared" si="275"/>
        <v>0.10497863064662249</v>
      </c>
      <c r="BG424" s="32">
        <f t="shared" si="276"/>
        <v>5.4758320026187177E-2</v>
      </c>
      <c r="BH424" s="32">
        <f t="shared" si="263"/>
        <v>0.52809676202750078</v>
      </c>
      <c r="BI424" s="32">
        <f t="shared" si="264"/>
        <v>0.30367241494127467</v>
      </c>
      <c r="BJ424" s="32">
        <f t="shared" si="242"/>
        <v>0.83176917696877539</v>
      </c>
      <c r="BK424" s="457">
        <f t="shared" si="265"/>
        <v>1.0695672852435807</v>
      </c>
    </row>
    <row r="425" spans="1:63" ht="15">
      <c r="A425" s="119"/>
      <c r="B425" s="480">
        <f>Input!B442</f>
        <v>38407</v>
      </c>
      <c r="C425" s="481">
        <v>2</v>
      </c>
      <c r="D425" s="481">
        <f t="shared" si="244"/>
        <v>2</v>
      </c>
      <c r="E425" s="481">
        <f t="shared" si="245"/>
        <v>24</v>
      </c>
      <c r="F425" s="481">
        <f t="shared" si="246"/>
        <v>55</v>
      </c>
      <c r="G425" s="431">
        <v>2.5055999999999998</v>
      </c>
      <c r="H425" s="455">
        <v>9.52</v>
      </c>
      <c r="I425" s="455">
        <v>2.8</v>
      </c>
      <c r="J425" s="455">
        <v>1.95</v>
      </c>
      <c r="K425" s="485"/>
      <c r="L425" s="433">
        <v>99</v>
      </c>
      <c r="M425" s="455">
        <v>71</v>
      </c>
      <c r="N425" s="484">
        <f>Weather!M426</f>
        <v>4</v>
      </c>
      <c r="O425" s="481">
        <f t="shared" si="266"/>
        <v>1</v>
      </c>
      <c r="P425" s="4">
        <f t="shared" si="277"/>
        <v>0.65738291518508896</v>
      </c>
      <c r="Q425" s="169">
        <f t="shared" si="247"/>
        <v>1.1890193262564484</v>
      </c>
      <c r="R425" s="169">
        <f t="shared" si="248"/>
        <v>0.7470775464503866</v>
      </c>
      <c r="S425" s="169">
        <f t="shared" si="249"/>
        <v>0.84420372164207824</v>
      </c>
      <c r="T425" s="169">
        <f t="shared" si="250"/>
        <v>0.73960677098588268</v>
      </c>
      <c r="U425" s="169">
        <f t="shared" si="239"/>
        <v>0.7919052463139804</v>
      </c>
      <c r="V425" s="169">
        <f t="shared" si="240"/>
        <v>1.5036026220048885E-2</v>
      </c>
      <c r="W425" s="439">
        <f t="shared" si="241"/>
        <v>3.622517286926406</v>
      </c>
      <c r="X425" s="439">
        <f t="shared" si="251"/>
        <v>3.622517286926406</v>
      </c>
      <c r="Y425" s="169"/>
      <c r="Z425" s="119" t="str">
        <f t="shared" si="252"/>
        <v/>
      </c>
      <c r="AA425" s="4" t="str">
        <f t="shared" si="253"/>
        <v/>
      </c>
      <c r="AB425" s="466"/>
      <c r="AC425" s="466"/>
      <c r="AD425" s="466"/>
      <c r="AE425" s="466"/>
      <c r="AF425" s="466"/>
      <c r="AG425" s="466"/>
      <c r="AH425" s="466"/>
      <c r="AI425" s="466"/>
      <c r="AJ425" s="466"/>
      <c r="AK425" s="466"/>
      <c r="AL425" s="466"/>
      <c r="AM425" s="462">
        <f t="shared" si="243"/>
        <v>55</v>
      </c>
      <c r="AN425" s="32">
        <f t="shared" si="267"/>
        <v>1.0192818397297361</v>
      </c>
      <c r="AO425" s="32">
        <f t="shared" si="268"/>
        <v>-0.1753993779302998</v>
      </c>
      <c r="AP425" s="32">
        <f t="shared" si="269"/>
        <v>1.3979343092501209</v>
      </c>
      <c r="AQ425" s="32">
        <f t="shared" si="270"/>
        <v>10.679431460875728</v>
      </c>
      <c r="AR425" s="32">
        <f t="shared" si="271"/>
        <v>20.157410950126859</v>
      </c>
      <c r="AS425" s="32">
        <f t="shared" si="254"/>
        <v>15.132571548479238</v>
      </c>
      <c r="AT425" s="32">
        <f t="shared" si="255"/>
        <v>1.9293119999999999</v>
      </c>
      <c r="AU425" s="32">
        <f t="shared" si="256"/>
        <v>0.3</v>
      </c>
      <c r="AV425" s="32">
        <f t="shared" si="257"/>
        <v>5.5000000000000049E-2</v>
      </c>
      <c r="AW425" s="32">
        <f t="shared" si="258"/>
        <v>1.1890193262564484</v>
      </c>
      <c r="AX425" s="32">
        <f t="shared" si="259"/>
        <v>0.7470775464503866</v>
      </c>
      <c r="AY425" s="32">
        <f t="shared" si="260"/>
        <v>0.7919052463139804</v>
      </c>
      <c r="AZ425" s="32">
        <f t="shared" si="272"/>
        <v>0.21541531864729913</v>
      </c>
      <c r="BA425" s="32">
        <f t="shared" si="261"/>
        <v>-0.35363742903909684</v>
      </c>
      <c r="BB425" s="32">
        <f t="shared" si="273"/>
        <v>1.575674570960903</v>
      </c>
      <c r="BC425" s="32">
        <f t="shared" si="262"/>
        <v>6.16</v>
      </c>
      <c r="BD425" s="32">
        <v>0</v>
      </c>
      <c r="BE425" s="32">
        <f t="shared" si="274"/>
        <v>0.96804843635341742</v>
      </c>
      <c r="BF425" s="32">
        <f t="shared" si="275"/>
        <v>0.17614319003943701</v>
      </c>
      <c r="BG425" s="32">
        <f t="shared" si="276"/>
        <v>6.5387188852497627E-2</v>
      </c>
      <c r="BH425" s="32">
        <f t="shared" si="263"/>
        <v>0.2374959178700419</v>
      </c>
      <c r="BI425" s="32">
        <f t="shared" si="264"/>
        <v>0.41988699731504703</v>
      </c>
      <c r="BJ425" s="32">
        <f t="shared" si="242"/>
        <v>0.65738291518508896</v>
      </c>
      <c r="BK425" s="457">
        <f t="shared" si="265"/>
        <v>1.1753520030246725</v>
      </c>
    </row>
    <row r="426" spans="1:63" ht="15">
      <c r="A426" s="119"/>
      <c r="B426" s="480">
        <f>Input!B443</f>
        <v>38408</v>
      </c>
      <c r="C426" s="481">
        <v>2</v>
      </c>
      <c r="D426" s="481">
        <f t="shared" si="244"/>
        <v>2</v>
      </c>
      <c r="E426" s="481">
        <f t="shared" si="245"/>
        <v>25</v>
      </c>
      <c r="F426" s="481">
        <f t="shared" si="246"/>
        <v>56</v>
      </c>
      <c r="G426" s="431">
        <v>4.1471999999999998</v>
      </c>
      <c r="H426" s="455">
        <v>9.39</v>
      </c>
      <c r="I426" s="455">
        <v>2.9</v>
      </c>
      <c r="J426" s="455">
        <v>1.62</v>
      </c>
      <c r="K426" s="485"/>
      <c r="L426" s="433">
        <v>99</v>
      </c>
      <c r="M426" s="455">
        <v>85</v>
      </c>
      <c r="N426" s="484">
        <f>Weather!M427</f>
        <v>0</v>
      </c>
      <c r="O426" s="481" t="str">
        <f t="shared" si="266"/>
        <v/>
      </c>
      <c r="P426" s="4">
        <f t="shared" si="277"/>
        <v>0.63911787151342603</v>
      </c>
      <c r="Q426" s="169">
        <f t="shared" si="247"/>
        <v>1.1786609466098228</v>
      </c>
      <c r="R426" s="169">
        <f t="shared" si="248"/>
        <v>0.75240518260483069</v>
      </c>
      <c r="S426" s="169">
        <f t="shared" si="249"/>
        <v>1.0018618046183494</v>
      </c>
      <c r="T426" s="169">
        <f t="shared" si="250"/>
        <v>0.74488113077878237</v>
      </c>
      <c r="U426" s="169">
        <f t="shared" si="239"/>
        <v>0.87337146769856588</v>
      </c>
      <c r="V426" s="169">
        <f t="shared" si="240"/>
        <v>2.0705929304745525E-2</v>
      </c>
      <c r="W426" s="439">
        <f t="shared" si="241"/>
        <v>5.0174071007371044</v>
      </c>
      <c r="X426" s="439">
        <f t="shared" si="251"/>
        <v>5.0174071007371044</v>
      </c>
      <c r="Y426" s="169"/>
      <c r="Z426" s="119" t="str">
        <f t="shared" si="252"/>
        <v/>
      </c>
      <c r="AA426" s="4" t="str">
        <f t="shared" si="253"/>
        <v/>
      </c>
      <c r="AB426" s="466"/>
      <c r="AC426" s="466"/>
      <c r="AD426" s="466"/>
      <c r="AE426" s="466"/>
      <c r="AF426" s="466"/>
      <c r="AG426" s="466"/>
      <c r="AH426" s="466"/>
      <c r="AI426" s="466"/>
      <c r="AJ426" s="466"/>
      <c r="AK426" s="466"/>
      <c r="AL426" s="466"/>
      <c r="AM426" s="462">
        <f t="shared" si="243"/>
        <v>56</v>
      </c>
      <c r="AN426" s="32">
        <f t="shared" si="267"/>
        <v>1.018817995658829</v>
      </c>
      <c r="AO426" s="32">
        <f t="shared" si="268"/>
        <v>-0.16901338609456681</v>
      </c>
      <c r="AP426" s="32">
        <f t="shared" si="269"/>
        <v>1.404412778447967</v>
      </c>
      <c r="AQ426" s="32">
        <f t="shared" si="270"/>
        <v>10.728923319908006</v>
      </c>
      <c r="AR426" s="32">
        <f t="shared" si="271"/>
        <v>20.412985396045659</v>
      </c>
      <c r="AS426" s="32">
        <f t="shared" si="254"/>
        <v>15.324436396519399</v>
      </c>
      <c r="AT426" s="32">
        <f t="shared" si="255"/>
        <v>3.1933439999999997</v>
      </c>
      <c r="AU426" s="32">
        <f t="shared" si="256"/>
        <v>0.3</v>
      </c>
      <c r="AV426" s="32">
        <f t="shared" si="257"/>
        <v>5.5000000000000049E-2</v>
      </c>
      <c r="AW426" s="32">
        <f t="shared" si="258"/>
        <v>1.1786609466098228</v>
      </c>
      <c r="AX426" s="32">
        <f t="shared" si="259"/>
        <v>0.75240518260483069</v>
      </c>
      <c r="AY426" s="32">
        <f t="shared" si="260"/>
        <v>0.87337146769856588</v>
      </c>
      <c r="AZ426" s="32">
        <f t="shared" si="272"/>
        <v>0.20916391641870394</v>
      </c>
      <c r="BA426" s="32">
        <f t="shared" si="261"/>
        <v>-0.3432810243877773</v>
      </c>
      <c r="BB426" s="32">
        <f t="shared" si="273"/>
        <v>2.8500629756122224</v>
      </c>
      <c r="BC426" s="32">
        <f t="shared" si="262"/>
        <v>6.1450000000000005</v>
      </c>
      <c r="BD426" s="32">
        <v>0</v>
      </c>
      <c r="BE426" s="32">
        <f t="shared" si="274"/>
        <v>0.9655330646073268</v>
      </c>
      <c r="BF426" s="32">
        <f t="shared" si="275"/>
        <v>9.2161596908760912E-2</v>
      </c>
      <c r="BG426" s="32">
        <f t="shared" si="276"/>
        <v>6.5327455556226335E-2</v>
      </c>
      <c r="BH426" s="32">
        <f t="shared" si="263"/>
        <v>0.44841621919911578</v>
      </c>
      <c r="BI426" s="32">
        <f t="shared" si="264"/>
        <v>0.19070165231431024</v>
      </c>
      <c r="BJ426" s="32">
        <f t="shared" si="242"/>
        <v>0.63911787151342603</v>
      </c>
      <c r="BK426" s="457">
        <f t="shared" si="265"/>
        <v>1.1689756539884655</v>
      </c>
    </row>
    <row r="427" spans="1:63" ht="15">
      <c r="A427" s="119"/>
      <c r="B427" s="480">
        <f>Input!B444</f>
        <v>38409</v>
      </c>
      <c r="C427" s="481">
        <v>2</v>
      </c>
      <c r="D427" s="481">
        <f t="shared" si="244"/>
        <v>2</v>
      </c>
      <c r="E427" s="481">
        <f t="shared" si="245"/>
        <v>26</v>
      </c>
      <c r="F427" s="481">
        <f t="shared" si="246"/>
        <v>57</v>
      </c>
      <c r="G427" s="431">
        <v>9.5904000000000007</v>
      </c>
      <c r="H427" s="455">
        <v>7.15</v>
      </c>
      <c r="I427" s="455">
        <v>2.1</v>
      </c>
      <c r="J427" s="455">
        <v>1.95</v>
      </c>
      <c r="K427" s="485"/>
      <c r="L427" s="433">
        <v>100</v>
      </c>
      <c r="M427" s="455">
        <v>86</v>
      </c>
      <c r="N427" s="484">
        <f>Weather!M428</f>
        <v>11</v>
      </c>
      <c r="O427" s="481">
        <f t="shared" si="266"/>
        <v>1</v>
      </c>
      <c r="P427" s="4">
        <f t="shared" si="277"/>
        <v>0.79120631579769019</v>
      </c>
      <c r="Q427" s="169">
        <f t="shared" si="247"/>
        <v>1.0122244289324474</v>
      </c>
      <c r="R427" s="169">
        <f t="shared" si="248"/>
        <v>0.71070739244263414</v>
      </c>
      <c r="S427" s="169">
        <f t="shared" si="249"/>
        <v>0.87051300888190475</v>
      </c>
      <c r="T427" s="169">
        <f t="shared" si="250"/>
        <v>0.71070739244263414</v>
      </c>
      <c r="U427" s="169">
        <f t="shared" si="239"/>
        <v>0.7906102006622695</v>
      </c>
      <c r="V427" s="169">
        <f t="shared" si="240"/>
        <v>1.4941255348365831E-2</v>
      </c>
      <c r="W427" s="439">
        <f t="shared" si="241"/>
        <v>3.5993385302326297</v>
      </c>
      <c r="X427" s="439">
        <f t="shared" si="251"/>
        <v>3.5993385302326297</v>
      </c>
      <c r="Y427" s="169"/>
      <c r="Z427" s="119" t="str">
        <f t="shared" si="252"/>
        <v/>
      </c>
      <c r="AA427" s="4" t="str">
        <f t="shared" si="253"/>
        <v/>
      </c>
      <c r="AB427" s="466"/>
      <c r="AC427" s="466"/>
      <c r="AD427" s="466"/>
      <c r="AE427" s="466"/>
      <c r="AF427" s="466"/>
      <c r="AG427" s="466"/>
      <c r="AH427" s="466"/>
      <c r="AI427" s="466"/>
      <c r="AJ427" s="466"/>
      <c r="AK427" s="466"/>
      <c r="AL427" s="466"/>
      <c r="AM427" s="462">
        <f t="shared" si="243"/>
        <v>57</v>
      </c>
      <c r="AN427" s="32">
        <f t="shared" si="267"/>
        <v>1.0183485754096824</v>
      </c>
      <c r="AO427" s="32">
        <f t="shared" si="268"/>
        <v>-0.16257731194492642</v>
      </c>
      <c r="AP427" s="32">
        <f t="shared" si="269"/>
        <v>1.4109206862388146</v>
      </c>
      <c r="AQ427" s="32">
        <f t="shared" si="270"/>
        <v>10.778640073224791</v>
      </c>
      <c r="AR427" s="32">
        <f t="shared" si="271"/>
        <v>20.670569149978895</v>
      </c>
      <c r="AS427" s="32">
        <f t="shared" si="254"/>
        <v>15.517809672272158</v>
      </c>
      <c r="AT427" s="32">
        <f t="shared" si="255"/>
        <v>7.3846080000000009</v>
      </c>
      <c r="AU427" s="32">
        <f t="shared" si="256"/>
        <v>0.6180253658566589</v>
      </c>
      <c r="AV427" s="32">
        <f t="shared" si="257"/>
        <v>0.4843342439064896</v>
      </c>
      <c r="AW427" s="32">
        <f t="shared" si="258"/>
        <v>1.0122244289324474</v>
      </c>
      <c r="AX427" s="32">
        <f t="shared" si="259"/>
        <v>0.71070739244263414</v>
      </c>
      <c r="AY427" s="32">
        <f t="shared" si="260"/>
        <v>0.79061020066226939</v>
      </c>
      <c r="AZ427" s="32">
        <f t="shared" si="272"/>
        <v>0.21551723037713022</v>
      </c>
      <c r="BA427" s="32">
        <f t="shared" si="261"/>
        <v>-3.046569864695778</v>
      </c>
      <c r="BB427" s="32">
        <f t="shared" si="273"/>
        <v>4.338038135304223</v>
      </c>
      <c r="BC427" s="32">
        <f t="shared" si="262"/>
        <v>4.625</v>
      </c>
      <c r="BD427" s="32">
        <v>0</v>
      </c>
      <c r="BE427" s="32">
        <f t="shared" si="274"/>
        <v>0.86146591068754075</v>
      </c>
      <c r="BF427" s="32">
        <f t="shared" si="275"/>
        <v>7.0855710025271357E-2</v>
      </c>
      <c r="BG427" s="32">
        <f t="shared" si="276"/>
        <v>5.9511615533200495E-2</v>
      </c>
      <c r="BH427" s="32">
        <f t="shared" si="263"/>
        <v>0.61553629742314941</v>
      </c>
      <c r="BI427" s="32">
        <f t="shared" si="264"/>
        <v>0.1756700183745408</v>
      </c>
      <c r="BJ427" s="32">
        <f t="shared" si="242"/>
        <v>0.79120631579769019</v>
      </c>
      <c r="BK427" s="457">
        <f t="shared" si="265"/>
        <v>0.97789522887400848</v>
      </c>
    </row>
    <row r="428" spans="1:63" ht="15">
      <c r="A428" s="119"/>
      <c r="B428" s="480">
        <f>Input!B445</f>
        <v>38410</v>
      </c>
      <c r="C428" s="481">
        <v>2</v>
      </c>
      <c r="D428" s="481">
        <f t="shared" si="244"/>
        <v>2</v>
      </c>
      <c r="E428" s="481">
        <f t="shared" si="245"/>
        <v>27</v>
      </c>
      <c r="F428" s="481">
        <f t="shared" si="246"/>
        <v>58</v>
      </c>
      <c r="G428" s="431">
        <v>3.6288</v>
      </c>
      <c r="H428" s="455">
        <v>6.47</v>
      </c>
      <c r="I428" s="455">
        <v>0.7</v>
      </c>
      <c r="J428" s="455">
        <v>2.16</v>
      </c>
      <c r="K428" s="485"/>
      <c r="L428" s="433">
        <v>100</v>
      </c>
      <c r="M428" s="455">
        <v>86</v>
      </c>
      <c r="N428" s="484">
        <f>Weather!M429</f>
        <v>0</v>
      </c>
      <c r="O428" s="481" t="str">
        <f t="shared" si="266"/>
        <v/>
      </c>
      <c r="P428" s="4">
        <f t="shared" si="277"/>
        <v>0.50865297494834683</v>
      </c>
      <c r="Q428" s="169">
        <f t="shared" si="247"/>
        <v>0.96597674300154501</v>
      </c>
      <c r="R428" s="169">
        <f t="shared" si="248"/>
        <v>0.64262650414003208</v>
      </c>
      <c r="S428" s="169">
        <f t="shared" si="249"/>
        <v>0.83073999898132866</v>
      </c>
      <c r="T428" s="169">
        <f t="shared" si="250"/>
        <v>0.64262650414003208</v>
      </c>
      <c r="U428" s="169">
        <f t="shared" si="239"/>
        <v>0.73668325156068037</v>
      </c>
      <c r="V428" s="169">
        <f t="shared" si="240"/>
        <v>1.0850517989379024E-2</v>
      </c>
      <c r="W428" s="439">
        <f t="shared" si="241"/>
        <v>2.6030726050079407</v>
      </c>
      <c r="X428" s="439">
        <f t="shared" si="251"/>
        <v>2.6030726050079407</v>
      </c>
      <c r="Y428" s="169"/>
      <c r="Z428" s="119" t="str">
        <f t="shared" si="252"/>
        <v/>
      </c>
      <c r="AA428" s="4" t="str">
        <f t="shared" si="253"/>
        <v/>
      </c>
      <c r="AB428" s="466"/>
      <c r="AC428" s="466"/>
      <c r="AD428" s="466"/>
      <c r="AE428" s="466"/>
      <c r="AF428" s="466"/>
      <c r="AG428" s="466"/>
      <c r="AH428" s="466"/>
      <c r="AI428" s="466"/>
      <c r="AJ428" s="466"/>
      <c r="AK428" s="466"/>
      <c r="AL428" s="466"/>
      <c r="AM428" s="462">
        <f t="shared" si="243"/>
        <v>58</v>
      </c>
      <c r="AN428" s="32">
        <f t="shared" si="267"/>
        <v>1.0178737180816473</v>
      </c>
      <c r="AO428" s="32">
        <f t="shared" si="268"/>
        <v>-0.1560930626290509</v>
      </c>
      <c r="AP428" s="32">
        <f t="shared" si="269"/>
        <v>1.4174565508690922</v>
      </c>
      <c r="AQ428" s="32">
        <f t="shared" si="270"/>
        <v>10.828570401062622</v>
      </c>
      <c r="AR428" s="32">
        <f t="shared" si="271"/>
        <v>20.93006886271716</v>
      </c>
      <c r="AS428" s="32">
        <f t="shared" si="254"/>
        <v>15.712621296619028</v>
      </c>
      <c r="AT428" s="32">
        <f t="shared" si="255"/>
        <v>2.7941760000000002</v>
      </c>
      <c r="AU428" s="32">
        <f t="shared" si="256"/>
        <v>0.3</v>
      </c>
      <c r="AV428" s="32">
        <f t="shared" si="257"/>
        <v>5.5000000000000049E-2</v>
      </c>
      <c r="AW428" s="32">
        <f t="shared" si="258"/>
        <v>0.96597674300154501</v>
      </c>
      <c r="AX428" s="32">
        <f t="shared" si="259"/>
        <v>0.64262650414003208</v>
      </c>
      <c r="AY428" s="32">
        <f t="shared" si="260"/>
        <v>0.73668325156068037</v>
      </c>
      <c r="AZ428" s="32">
        <f t="shared" si="272"/>
        <v>0.21983764428661806</v>
      </c>
      <c r="BA428" s="32">
        <f t="shared" si="261"/>
        <v>-0.34769649073418324</v>
      </c>
      <c r="BB428" s="32">
        <f t="shared" si="273"/>
        <v>2.4464795092658171</v>
      </c>
      <c r="BC428" s="32">
        <f t="shared" si="262"/>
        <v>3.585</v>
      </c>
      <c r="BD428" s="32">
        <v>0</v>
      </c>
      <c r="BE428" s="32">
        <f t="shared" si="274"/>
        <v>0.80430162357078849</v>
      </c>
      <c r="BF428" s="32">
        <f t="shared" si="275"/>
        <v>6.7618372010108119E-2</v>
      </c>
      <c r="BG428" s="32">
        <f t="shared" si="276"/>
        <v>5.5793170237260409E-2</v>
      </c>
      <c r="BH428" s="32">
        <f t="shared" si="263"/>
        <v>0.3234189213094889</v>
      </c>
      <c r="BI428" s="32">
        <f t="shared" si="264"/>
        <v>0.18523405363885792</v>
      </c>
      <c r="BJ428" s="32">
        <f t="shared" si="242"/>
        <v>0.50865297494834683</v>
      </c>
      <c r="BK428" s="457">
        <f t="shared" si="265"/>
        <v>1.0093216059824597</v>
      </c>
    </row>
    <row r="429" spans="1:63" ht="15">
      <c r="A429" s="119"/>
      <c r="B429" s="480">
        <f>Input!B446</f>
        <v>38411</v>
      </c>
      <c r="C429" s="481">
        <v>2</v>
      </c>
      <c r="D429" s="481">
        <f t="shared" si="244"/>
        <v>2</v>
      </c>
      <c r="E429" s="481">
        <f t="shared" si="245"/>
        <v>28</v>
      </c>
      <c r="F429" s="481">
        <f t="shared" si="246"/>
        <v>59</v>
      </c>
      <c r="G429" s="431">
        <v>10.7136</v>
      </c>
      <c r="H429" s="455">
        <v>7.32</v>
      </c>
      <c r="I429" s="455">
        <v>-0.2</v>
      </c>
      <c r="J429" s="455">
        <v>1.65</v>
      </c>
      <c r="K429" s="485"/>
      <c r="L429" s="433">
        <v>99</v>
      </c>
      <c r="M429" s="455">
        <v>86</v>
      </c>
      <c r="N429" s="484">
        <f>Weather!M430</f>
        <v>0</v>
      </c>
      <c r="O429" s="481" t="str">
        <f t="shared" si="266"/>
        <v/>
      </c>
      <c r="P429" s="4">
        <f t="shared" si="277"/>
        <v>0.83577336875360686</v>
      </c>
      <c r="Q429" s="169">
        <f t="shared" si="247"/>
        <v>1.0240866553893999</v>
      </c>
      <c r="R429" s="169">
        <f t="shared" si="248"/>
        <v>0.6019665508469253</v>
      </c>
      <c r="S429" s="169">
        <f t="shared" si="249"/>
        <v>0.88071452363488389</v>
      </c>
      <c r="T429" s="169">
        <f t="shared" si="250"/>
        <v>0.59594688533845608</v>
      </c>
      <c r="U429" s="169">
        <f t="shared" si="239"/>
        <v>0.73833070448667004</v>
      </c>
      <c r="V429" s="169">
        <f t="shared" si="240"/>
        <v>1.0979864501774296E-2</v>
      </c>
      <c r="W429" s="439">
        <f t="shared" si="241"/>
        <v>2.6344477253321958</v>
      </c>
      <c r="X429" s="439">
        <f t="shared" si="251"/>
        <v>2.6344477253321958</v>
      </c>
      <c r="Y429" s="169"/>
      <c r="Z429" s="119" t="str">
        <f t="shared" si="252"/>
        <v/>
      </c>
      <c r="AA429" s="4" t="str">
        <f t="shared" si="253"/>
        <v/>
      </c>
      <c r="AB429" s="466"/>
      <c r="AC429" s="466"/>
      <c r="AD429" s="466"/>
      <c r="AE429" s="466"/>
      <c r="AF429" s="466"/>
      <c r="AG429" s="466"/>
      <c r="AH429" s="466"/>
      <c r="AI429" s="466"/>
      <c r="AJ429" s="466"/>
      <c r="AK429" s="466"/>
      <c r="AL429" s="466"/>
      <c r="AM429" s="462">
        <f t="shared" si="243"/>
        <v>59</v>
      </c>
      <c r="AN429" s="32">
        <f t="shared" si="267"/>
        <v>1.0173935643851983</v>
      </c>
      <c r="AO429" s="32">
        <f t="shared" si="268"/>
        <v>-0.14956255956995423</v>
      </c>
      <c r="AP429" s="32">
        <f t="shared" si="269"/>
        <v>1.4240189249732551</v>
      </c>
      <c r="AQ429" s="32">
        <f t="shared" si="270"/>
        <v>10.878703246363218</v>
      </c>
      <c r="AR429" s="32">
        <f t="shared" si="271"/>
        <v>21.191390077535701</v>
      </c>
      <c r="AS429" s="32">
        <f t="shared" si="254"/>
        <v>15.908800359007602</v>
      </c>
      <c r="AT429" s="32">
        <f t="shared" si="255"/>
        <v>8.249471999999999</v>
      </c>
      <c r="AU429" s="32">
        <f t="shared" si="256"/>
        <v>0.67343858482289221</v>
      </c>
      <c r="AV429" s="32">
        <f t="shared" si="257"/>
        <v>0.55914208951090461</v>
      </c>
      <c r="AW429" s="32">
        <f t="shared" si="258"/>
        <v>1.0240866553893999</v>
      </c>
      <c r="AX429" s="32">
        <f t="shared" si="259"/>
        <v>0.6019665508469253</v>
      </c>
      <c r="AY429" s="32">
        <f t="shared" si="260"/>
        <v>0.73833070448666993</v>
      </c>
      <c r="AZ429" s="32">
        <f t="shared" si="272"/>
        <v>0.21970335911614686</v>
      </c>
      <c r="BA429" s="32">
        <f t="shared" si="261"/>
        <v>-3.5329318260528355</v>
      </c>
      <c r="BB429" s="32">
        <f t="shared" si="273"/>
        <v>4.7165401739471635</v>
      </c>
      <c r="BC429" s="32">
        <f t="shared" si="262"/>
        <v>3.56</v>
      </c>
      <c r="BD429" s="32">
        <v>0</v>
      </c>
      <c r="BE429" s="32">
        <f t="shared" si="274"/>
        <v>0.81302660311816255</v>
      </c>
      <c r="BF429" s="32">
        <f t="shared" si="275"/>
        <v>7.4695898631492619E-2</v>
      </c>
      <c r="BG429" s="32">
        <f t="shared" si="276"/>
        <v>5.5706296629071533E-2</v>
      </c>
      <c r="BH429" s="32">
        <f t="shared" si="263"/>
        <v>0.66802928848546539</v>
      </c>
      <c r="BI429" s="32">
        <f t="shared" si="264"/>
        <v>0.16774408026814147</v>
      </c>
      <c r="BJ429" s="32">
        <f t="shared" si="242"/>
        <v>0.83577336875360686</v>
      </c>
      <c r="BK429" s="457">
        <f t="shared" si="265"/>
        <v>1.1652828802833384</v>
      </c>
    </row>
    <row r="430" spans="1:63" ht="15">
      <c r="A430" s="119"/>
      <c r="B430" s="480">
        <f>Input!B447</f>
        <v>38412</v>
      </c>
      <c r="C430" s="481">
        <v>2</v>
      </c>
      <c r="D430" s="481">
        <f t="shared" si="244"/>
        <v>3</v>
      </c>
      <c r="E430" s="481">
        <f t="shared" si="245"/>
        <v>1</v>
      </c>
      <c r="F430" s="481">
        <f t="shared" si="246"/>
        <v>60</v>
      </c>
      <c r="G430" s="431">
        <v>14.3424</v>
      </c>
      <c r="H430" s="455">
        <v>10.33</v>
      </c>
      <c r="I430" s="455">
        <v>4.8</v>
      </c>
      <c r="J430" s="455">
        <v>2.95</v>
      </c>
      <c r="K430" s="485"/>
      <c r="L430" s="433">
        <v>100</v>
      </c>
      <c r="M430" s="455">
        <v>75</v>
      </c>
      <c r="N430" s="484">
        <f>Weather!M431</f>
        <v>0</v>
      </c>
      <c r="O430" s="481" t="str">
        <f t="shared" si="266"/>
        <v/>
      </c>
      <c r="P430" s="4">
        <f t="shared" si="277"/>
        <v>1.2856834746038537</v>
      </c>
      <c r="Q430" s="169">
        <f t="shared" si="247"/>
        <v>1.2553825328742463</v>
      </c>
      <c r="R430" s="169">
        <f t="shared" si="248"/>
        <v>0.8602074134922596</v>
      </c>
      <c r="S430" s="169">
        <f t="shared" si="249"/>
        <v>0.94153689965568477</v>
      </c>
      <c r="T430" s="169">
        <f t="shared" si="250"/>
        <v>0.8602074134922596</v>
      </c>
      <c r="U430" s="169">
        <f t="shared" si="239"/>
        <v>0.90087215657397213</v>
      </c>
      <c r="V430" s="169">
        <f t="shared" si="240"/>
        <v>2.2501087643399666E-2</v>
      </c>
      <c r="W430" s="439">
        <f t="shared" si="241"/>
        <v>5.4624184541607352</v>
      </c>
      <c r="X430" s="439">
        <f t="shared" si="251"/>
        <v>5.4624184541607352</v>
      </c>
      <c r="Y430" s="169"/>
      <c r="Z430" s="119" t="str">
        <f t="shared" si="252"/>
        <v/>
      </c>
      <c r="AA430" s="4" t="str">
        <f t="shared" si="253"/>
        <v/>
      </c>
      <c r="AB430" s="466"/>
      <c r="AC430" s="466"/>
      <c r="AD430" s="466"/>
      <c r="AE430" s="466"/>
      <c r="AF430" s="466"/>
      <c r="AG430" s="466"/>
      <c r="AH430" s="466"/>
      <c r="AI430" s="466"/>
      <c r="AJ430" s="466"/>
      <c r="AK430" s="466"/>
      <c r="AL430" s="466"/>
      <c r="AM430" s="462">
        <f t="shared" si="243"/>
        <v>60</v>
      </c>
      <c r="AN430" s="32">
        <f t="shared" si="267"/>
        <v>1.0169082566002381</v>
      </c>
      <c r="AO430" s="32">
        <f t="shared" si="268"/>
        <v>-0.14298773789663263</v>
      </c>
      <c r="AP430" s="32">
        <f t="shared" si="269"/>
        <v>1.4306063945225884</v>
      </c>
      <c r="AQ430" s="32">
        <f t="shared" si="270"/>
        <v>10.929027806742919</v>
      </c>
      <c r="AR430" s="32">
        <f t="shared" si="271"/>
        <v>21.454437304489844</v>
      </c>
      <c r="AS430" s="32">
        <f t="shared" si="254"/>
        <v>16.106275173226617</v>
      </c>
      <c r="AT430" s="32">
        <f t="shared" si="255"/>
        <v>11.043647999999999</v>
      </c>
      <c r="AU430" s="32">
        <f t="shared" si="256"/>
        <v>0.89048522055809043</v>
      </c>
      <c r="AV430" s="32">
        <f t="shared" si="257"/>
        <v>0.85215504775342221</v>
      </c>
      <c r="AW430" s="32">
        <f t="shared" si="258"/>
        <v>1.2553825328742463</v>
      </c>
      <c r="AX430" s="32">
        <f t="shared" si="259"/>
        <v>0.8602074134922596</v>
      </c>
      <c r="AY430" s="32">
        <f t="shared" si="260"/>
        <v>0.90087215657397213</v>
      </c>
      <c r="AZ430" s="32">
        <f t="shared" si="272"/>
        <v>0.20712000049349091</v>
      </c>
      <c r="BA430" s="32">
        <f t="shared" si="261"/>
        <v>-5.3734344978399404</v>
      </c>
      <c r="BB430" s="32">
        <f t="shared" si="273"/>
        <v>5.6702135021600588</v>
      </c>
      <c r="BC430" s="32">
        <f t="shared" si="262"/>
        <v>7.5649999999999995</v>
      </c>
      <c r="BD430" s="32">
        <v>0</v>
      </c>
      <c r="BE430" s="32">
        <f t="shared" si="274"/>
        <v>1.057794973183253</v>
      </c>
      <c r="BF430" s="32">
        <f t="shared" si="275"/>
        <v>0.15692281660928087</v>
      </c>
      <c r="BG430" s="32">
        <f t="shared" si="276"/>
        <v>7.119361375819297E-2</v>
      </c>
      <c r="BH430" s="32">
        <f t="shared" si="263"/>
        <v>0.80100232095827495</v>
      </c>
      <c r="BI430" s="32">
        <f t="shared" si="264"/>
        <v>0.48468115364557879</v>
      </c>
      <c r="BJ430" s="32">
        <f t="shared" si="242"/>
        <v>1.2856834746038537</v>
      </c>
      <c r="BK430" s="457">
        <f t="shared" si="265"/>
        <v>1.2013686992166073</v>
      </c>
    </row>
    <row r="431" spans="1:63" ht="15">
      <c r="A431" s="119"/>
      <c r="B431" s="480">
        <f>Input!B448</f>
        <v>38413</v>
      </c>
      <c r="C431" s="481">
        <v>2</v>
      </c>
      <c r="D431" s="481">
        <f t="shared" si="244"/>
        <v>3</v>
      </c>
      <c r="E431" s="481">
        <f t="shared" si="245"/>
        <v>2</v>
      </c>
      <c r="F431" s="481">
        <f t="shared" si="246"/>
        <v>61</v>
      </c>
      <c r="G431" s="431">
        <v>10.1088</v>
      </c>
      <c r="H431" s="455">
        <v>9.5500000000000007</v>
      </c>
      <c r="I431" s="455">
        <v>1.2</v>
      </c>
      <c r="J431" s="455">
        <v>0.95</v>
      </c>
      <c r="K431" s="485"/>
      <c r="L431" s="433">
        <v>97</v>
      </c>
      <c r="M431" s="455">
        <v>86</v>
      </c>
      <c r="N431" s="484">
        <f>Weather!M432</f>
        <v>0</v>
      </c>
      <c r="O431" s="481" t="str">
        <f t="shared" si="266"/>
        <v/>
      </c>
      <c r="P431" s="4">
        <f t="shared" si="277"/>
        <v>0.92411704693883201</v>
      </c>
      <c r="Q431" s="169">
        <f t="shared" si="247"/>
        <v>1.1914210608745304</v>
      </c>
      <c r="R431" s="169">
        <f t="shared" si="248"/>
        <v>0.66624845405223598</v>
      </c>
      <c r="S431" s="169">
        <f t="shared" si="249"/>
        <v>1.024622112352096</v>
      </c>
      <c r="T431" s="169">
        <f t="shared" si="250"/>
        <v>0.64626100043066892</v>
      </c>
      <c r="U431" s="169">
        <f t="shared" si="239"/>
        <v>0.8354415563913824</v>
      </c>
      <c r="V431" s="169">
        <f t="shared" si="240"/>
        <v>1.8134963623924506E-2</v>
      </c>
      <c r="W431" s="439">
        <f t="shared" si="241"/>
        <v>4.3829107958061355</v>
      </c>
      <c r="X431" s="439">
        <f t="shared" si="251"/>
        <v>4.3829107958061355</v>
      </c>
      <c r="Y431" s="169"/>
      <c r="Z431" s="119" t="str">
        <f t="shared" si="252"/>
        <v/>
      </c>
      <c r="AA431" s="4" t="str">
        <f t="shared" si="253"/>
        <v/>
      </c>
      <c r="AB431" s="466"/>
      <c r="AC431" s="466"/>
      <c r="AD431" s="466"/>
      <c r="AE431" s="466"/>
      <c r="AF431" s="466"/>
      <c r="AG431" s="466"/>
      <c r="AH431" s="466"/>
      <c r="AI431" s="466"/>
      <c r="AJ431" s="466"/>
      <c r="AK431" s="466"/>
      <c r="AL431" s="466"/>
      <c r="AM431" s="462">
        <f t="shared" si="243"/>
        <v>61</v>
      </c>
      <c r="AN431" s="32">
        <f t="shared" si="267"/>
        <v>1.0164179385339369</v>
      </c>
      <c r="AO431" s="32">
        <f t="shared" si="268"/>
        <v>-0.13637054587064404</v>
      </c>
      <c r="AP431" s="32">
        <f t="shared" si="269"/>
        <v>1.4372175777152121</v>
      </c>
      <c r="AQ431" s="32">
        <f t="shared" si="270"/>
        <v>10.97953352601294</v>
      </c>
      <c r="AR431" s="32">
        <f t="shared" si="271"/>
        <v>21.719114096402865</v>
      </c>
      <c r="AS431" s="32">
        <f t="shared" si="254"/>
        <v>16.30497333445156</v>
      </c>
      <c r="AT431" s="32">
        <f t="shared" si="255"/>
        <v>7.7837760000000005</v>
      </c>
      <c r="AU431" s="32">
        <f t="shared" si="256"/>
        <v>0.61998261466890181</v>
      </c>
      <c r="AV431" s="32">
        <f t="shared" si="257"/>
        <v>0.48697652980301753</v>
      </c>
      <c r="AW431" s="32">
        <f t="shared" si="258"/>
        <v>1.1914210608745304</v>
      </c>
      <c r="AX431" s="32">
        <f t="shared" si="259"/>
        <v>0.66624845405223598</v>
      </c>
      <c r="AY431" s="32">
        <f t="shared" si="260"/>
        <v>0.8354415563913824</v>
      </c>
      <c r="AZ431" s="32">
        <f t="shared" si="272"/>
        <v>0.21203651104603669</v>
      </c>
      <c r="BA431" s="32">
        <f t="shared" si="261"/>
        <v>-3.0489942842436912</v>
      </c>
      <c r="BB431" s="32">
        <f t="shared" si="273"/>
        <v>4.7347817157563092</v>
      </c>
      <c r="BC431" s="32">
        <f t="shared" si="262"/>
        <v>5.375</v>
      </c>
      <c r="BD431" s="32">
        <v>0</v>
      </c>
      <c r="BE431" s="32">
        <f t="shared" si="274"/>
        <v>0.92883475746338318</v>
      </c>
      <c r="BF431" s="32">
        <f t="shared" si="275"/>
        <v>9.3393201072000775E-2</v>
      </c>
      <c r="BG431" s="32">
        <f t="shared" si="276"/>
        <v>6.2323235292705566E-2</v>
      </c>
      <c r="BH431" s="32">
        <f t="shared" si="263"/>
        <v>0.79672171139619519</v>
      </c>
      <c r="BI431" s="32">
        <f t="shared" si="264"/>
        <v>0.12739533554263688</v>
      </c>
      <c r="BJ431" s="32">
        <f t="shared" si="242"/>
        <v>0.92411704693883201</v>
      </c>
      <c r="BK431" s="457">
        <f t="shared" si="265"/>
        <v>1.3654218207042086</v>
      </c>
    </row>
    <row r="432" spans="1:63" ht="15">
      <c r="A432" s="119"/>
      <c r="B432" s="480">
        <f>Input!B449</f>
        <v>38414</v>
      </c>
      <c r="C432" s="481">
        <v>2</v>
      </c>
      <c r="D432" s="481">
        <f t="shared" si="244"/>
        <v>3</v>
      </c>
      <c r="E432" s="481">
        <f t="shared" si="245"/>
        <v>3</v>
      </c>
      <c r="F432" s="481">
        <f t="shared" si="246"/>
        <v>62</v>
      </c>
      <c r="G432" s="431">
        <v>11.5776</v>
      </c>
      <c r="H432" s="455">
        <v>11.25</v>
      </c>
      <c r="I432" s="455">
        <v>2.7</v>
      </c>
      <c r="J432" s="455">
        <v>1.39</v>
      </c>
      <c r="K432" s="485"/>
      <c r="L432" s="433">
        <v>97</v>
      </c>
      <c r="M432" s="455">
        <v>86</v>
      </c>
      <c r="N432" s="484">
        <f>Weather!M433</f>
        <v>0</v>
      </c>
      <c r="O432" s="481" t="str">
        <f t="shared" si="266"/>
        <v/>
      </c>
      <c r="P432" s="4">
        <f t="shared" si="277"/>
        <v>1.0608928706242404</v>
      </c>
      <c r="Q432" s="169">
        <f t="shared" si="247"/>
        <v>1.3346886720571096</v>
      </c>
      <c r="R432" s="169">
        <f t="shared" si="248"/>
        <v>0.74178324165807108</v>
      </c>
      <c r="S432" s="169">
        <f t="shared" si="249"/>
        <v>1.1478322579691143</v>
      </c>
      <c r="T432" s="169">
        <f t="shared" si="250"/>
        <v>0.71952974440832895</v>
      </c>
      <c r="U432" s="169">
        <f t="shared" si="239"/>
        <v>0.93368100118872155</v>
      </c>
      <c r="V432" s="169">
        <f t="shared" si="240"/>
        <v>2.4572395255527697E-2</v>
      </c>
      <c r="W432" s="439">
        <f t="shared" si="241"/>
        <v>5.9779212375932778</v>
      </c>
      <c r="X432" s="439">
        <f t="shared" si="251"/>
        <v>5.9779212375932778</v>
      </c>
      <c r="Y432" s="169"/>
      <c r="Z432" s="119" t="str">
        <f t="shared" si="252"/>
        <v/>
      </c>
      <c r="AA432" s="4" t="str">
        <f t="shared" si="253"/>
        <v/>
      </c>
      <c r="AB432" s="466"/>
      <c r="AC432" s="466"/>
      <c r="AD432" s="466"/>
      <c r="AE432" s="466"/>
      <c r="AF432" s="466"/>
      <c r="AG432" s="466"/>
      <c r="AH432" s="466"/>
      <c r="AI432" s="466"/>
      <c r="AJ432" s="466"/>
      <c r="AK432" s="466"/>
      <c r="AL432" s="466"/>
      <c r="AM432" s="462">
        <f t="shared" si="243"/>
        <v>62</v>
      </c>
      <c r="AN432" s="32">
        <f t="shared" si="267"/>
        <v>1.0159227554781203</v>
      </c>
      <c r="AO432" s="32">
        <f t="shared" si="268"/>
        <v>-0.12971294430879665</v>
      </c>
      <c r="AP432" s="32">
        <f t="shared" si="269"/>
        <v>1.4438511238114637</v>
      </c>
      <c r="AQ432" s="32">
        <f t="shared" si="270"/>
        <v>11.030210085282366</v>
      </c>
      <c r="AR432" s="32">
        <f t="shared" si="271"/>
        <v>21.98532312637828</v>
      </c>
      <c r="AS432" s="32">
        <f t="shared" si="254"/>
        <v>16.504821777434703</v>
      </c>
      <c r="AT432" s="32">
        <f t="shared" si="255"/>
        <v>8.914752</v>
      </c>
      <c r="AU432" s="32">
        <f t="shared" si="256"/>
        <v>0.7014677381023785</v>
      </c>
      <c r="AV432" s="32">
        <f t="shared" si="257"/>
        <v>0.59698144643821105</v>
      </c>
      <c r="AW432" s="32">
        <f t="shared" si="258"/>
        <v>1.3346886720571096</v>
      </c>
      <c r="AX432" s="32">
        <f t="shared" si="259"/>
        <v>0.74178324165807108</v>
      </c>
      <c r="AY432" s="32">
        <f t="shared" si="260"/>
        <v>0.93368100118872155</v>
      </c>
      <c r="AZ432" s="32">
        <f t="shared" si="272"/>
        <v>0.20472196178500024</v>
      </c>
      <c r="BA432" s="32">
        <f t="shared" si="261"/>
        <v>-3.6926258731677994</v>
      </c>
      <c r="BB432" s="32">
        <f t="shared" si="273"/>
        <v>5.222126126832201</v>
      </c>
      <c r="BC432" s="32">
        <f t="shared" si="262"/>
        <v>6.9749999999999996</v>
      </c>
      <c r="BD432" s="32">
        <v>0</v>
      </c>
      <c r="BE432" s="32">
        <f t="shared" si="274"/>
        <v>1.0382359568575903</v>
      </c>
      <c r="BF432" s="32">
        <f t="shared" si="275"/>
        <v>0.10455495566886874</v>
      </c>
      <c r="BG432" s="32">
        <f t="shared" si="276"/>
        <v>6.8703777961038506E-2</v>
      </c>
      <c r="BH432" s="32">
        <f t="shared" si="263"/>
        <v>0.87374493013902443</v>
      </c>
      <c r="BI432" s="32">
        <f t="shared" si="264"/>
        <v>0.18714794048521594</v>
      </c>
      <c r="BJ432" s="32">
        <f t="shared" si="242"/>
        <v>1.0608928706242404</v>
      </c>
      <c r="BK432" s="457">
        <f t="shared" si="265"/>
        <v>1.4951725843179671</v>
      </c>
    </row>
    <row r="433" spans="1:63" ht="15">
      <c r="A433" s="119"/>
      <c r="B433" s="480">
        <f>Input!B450</f>
        <v>38415</v>
      </c>
      <c r="C433" s="481">
        <v>2</v>
      </c>
      <c r="D433" s="481">
        <f t="shared" si="244"/>
        <v>3</v>
      </c>
      <c r="E433" s="481">
        <f t="shared" si="245"/>
        <v>4</v>
      </c>
      <c r="F433" s="481">
        <f t="shared" si="246"/>
        <v>63</v>
      </c>
      <c r="G433" s="431">
        <v>8.5535999999999994</v>
      </c>
      <c r="H433" s="455">
        <v>10.8</v>
      </c>
      <c r="I433" s="455">
        <v>2.6</v>
      </c>
      <c r="J433" s="455">
        <v>1.37</v>
      </c>
      <c r="K433" s="485"/>
      <c r="L433" s="433">
        <v>88</v>
      </c>
      <c r="M433" s="455">
        <v>87</v>
      </c>
      <c r="N433" s="484">
        <f>Weather!M434</f>
        <v>4</v>
      </c>
      <c r="O433" s="481">
        <f t="shared" si="266"/>
        <v>1</v>
      </c>
      <c r="P433" s="4">
        <f t="shared" si="277"/>
        <v>0.96808272715190891</v>
      </c>
      <c r="Q433" s="169">
        <f t="shared" si="247"/>
        <v>1.2953640863937455</v>
      </c>
      <c r="R433" s="169">
        <f t="shared" si="248"/>
        <v>0.73652208904469807</v>
      </c>
      <c r="S433" s="169">
        <f t="shared" si="249"/>
        <v>1.1269667551625586</v>
      </c>
      <c r="T433" s="169">
        <f t="shared" si="250"/>
        <v>0.6481394383593343</v>
      </c>
      <c r="U433" s="169">
        <f t="shared" si="239"/>
        <v>0.8875530967609464</v>
      </c>
      <c r="V433" s="169">
        <f t="shared" si="240"/>
        <v>2.1638608775436448E-2</v>
      </c>
      <c r="W433" s="439">
        <f t="shared" si="241"/>
        <v>5.2484101564801708</v>
      </c>
      <c r="X433" s="439">
        <f t="shared" si="251"/>
        <v>5.2484101564801708</v>
      </c>
      <c r="Y433" s="169"/>
      <c r="Z433" s="119" t="str">
        <f t="shared" si="252"/>
        <v/>
      </c>
      <c r="AA433" s="4" t="str">
        <f t="shared" si="253"/>
        <v/>
      </c>
      <c r="AB433" s="466"/>
      <c r="AC433" s="466"/>
      <c r="AD433" s="466"/>
      <c r="AE433" s="466"/>
      <c r="AF433" s="466"/>
      <c r="AG433" s="466"/>
      <c r="AH433" s="466"/>
      <c r="AI433" s="466"/>
      <c r="AJ433" s="466"/>
      <c r="AK433" s="466"/>
      <c r="AL433" s="466"/>
      <c r="AM433" s="462">
        <f t="shared" si="243"/>
        <v>63</v>
      </c>
      <c r="AN433" s="32">
        <f t="shared" si="267"/>
        <v>1.015422854166214</v>
      </c>
      <c r="AO433" s="32">
        <f t="shared" si="268"/>
        <v>-0.12301690600211586</v>
      </c>
      <c r="AP433" s="32">
        <f t="shared" si="269"/>
        <v>1.4505057119186424</v>
      </c>
      <c r="AQ433" s="32">
        <f t="shared" si="270"/>
        <v>11.081047393674272</v>
      </c>
      <c r="AR433" s="32">
        <f t="shared" si="271"/>
        <v>22.252966266664934</v>
      </c>
      <c r="AS433" s="32">
        <f t="shared" si="254"/>
        <v>16.705746835710702</v>
      </c>
      <c r="AT433" s="32">
        <f t="shared" si="255"/>
        <v>6.5862720000000001</v>
      </c>
      <c r="AU433" s="32">
        <f t="shared" si="256"/>
        <v>0.5120154210475385</v>
      </c>
      <c r="AV433" s="32">
        <f t="shared" si="257"/>
        <v>0.34122081841417706</v>
      </c>
      <c r="AW433" s="32">
        <f t="shared" si="258"/>
        <v>1.2953640863937455</v>
      </c>
      <c r="AX433" s="32">
        <f t="shared" si="259"/>
        <v>0.73652208904469807</v>
      </c>
      <c r="AY433" s="32">
        <f t="shared" si="260"/>
        <v>0.8875530967609464</v>
      </c>
      <c r="AZ433" s="32">
        <f t="shared" si="272"/>
        <v>0.2081059489722355</v>
      </c>
      <c r="BA433" s="32">
        <f t="shared" si="261"/>
        <v>-2.1368611867755112</v>
      </c>
      <c r="BB433" s="32">
        <f t="shared" si="273"/>
        <v>4.4494108132244889</v>
      </c>
      <c r="BC433" s="32">
        <f t="shared" si="262"/>
        <v>6.7</v>
      </c>
      <c r="BD433" s="32">
        <v>0</v>
      </c>
      <c r="BE433" s="32">
        <f t="shared" si="274"/>
        <v>1.0159430877192217</v>
      </c>
      <c r="BF433" s="32">
        <f t="shared" si="275"/>
        <v>0.1283899909582753</v>
      </c>
      <c r="BG433" s="32">
        <f t="shared" si="276"/>
        <v>6.756895664705527E-2</v>
      </c>
      <c r="BH433" s="32">
        <f t="shared" si="263"/>
        <v>0.73918121485911248</v>
      </c>
      <c r="BI433" s="32">
        <f t="shared" si="264"/>
        <v>0.2289015122927964</v>
      </c>
      <c r="BJ433" s="32">
        <f t="shared" si="242"/>
        <v>0.96808272715190891</v>
      </c>
      <c r="BK433" s="457">
        <f t="shared" si="265"/>
        <v>1.4656243500128734</v>
      </c>
    </row>
    <row r="434" spans="1:63" ht="15">
      <c r="A434" s="119"/>
      <c r="B434" s="480">
        <f>Input!B451</f>
        <v>38416</v>
      </c>
      <c r="C434" s="481">
        <v>2</v>
      </c>
      <c r="D434" s="481">
        <f t="shared" si="244"/>
        <v>3</v>
      </c>
      <c r="E434" s="481">
        <f t="shared" si="245"/>
        <v>5</v>
      </c>
      <c r="F434" s="481">
        <f t="shared" si="246"/>
        <v>64</v>
      </c>
      <c r="G434" s="431">
        <v>7.0848000000000004</v>
      </c>
      <c r="H434" s="455">
        <v>11.15</v>
      </c>
      <c r="I434" s="455">
        <v>6.7</v>
      </c>
      <c r="J434" s="455">
        <v>1.24</v>
      </c>
      <c r="K434" s="485"/>
      <c r="L434" s="433">
        <v>99</v>
      </c>
      <c r="M434" s="455">
        <v>78</v>
      </c>
      <c r="N434" s="484">
        <f>Weather!M435</f>
        <v>0</v>
      </c>
      <c r="O434" s="481" t="str">
        <f t="shared" si="266"/>
        <v/>
      </c>
      <c r="P434" s="4">
        <f t="shared" si="277"/>
        <v>0.98359335507564682</v>
      </c>
      <c r="Q434" s="169">
        <f t="shared" si="247"/>
        <v>1.3258603740045689</v>
      </c>
      <c r="R434" s="169">
        <f t="shared" si="248"/>
        <v>0.9814065388970683</v>
      </c>
      <c r="S434" s="169">
        <f t="shared" si="249"/>
        <v>1.0341710917235638</v>
      </c>
      <c r="T434" s="169">
        <f t="shared" si="250"/>
        <v>0.97159247350809763</v>
      </c>
      <c r="U434" s="169">
        <f t="shared" ref="U434:U497" si="278">IF(OR(S434="",T434=""),"",(S434+T434)/2)</f>
        <v>1.0028817826158307</v>
      </c>
      <c r="V434" s="169">
        <f t="shared" ref="V434:V497" si="279">IF(U434="","",LN(U434/0.6108)/17.27)</f>
        <v>2.8712411342106812E-2</v>
      </c>
      <c r="W434" s="439">
        <f t="shared" ref="W434:W497" si="280">IF(ISNUMBER(V434),237.3*(V434/(1-V434)),"")</f>
        <v>7.0148690161856697</v>
      </c>
      <c r="X434" s="439">
        <f t="shared" si="251"/>
        <v>7.0148690161856697</v>
      </c>
      <c r="Y434" s="169"/>
      <c r="Z434" s="119" t="str">
        <f t="shared" si="252"/>
        <v/>
      </c>
      <c r="AA434" s="4" t="str">
        <f t="shared" si="253"/>
        <v/>
      </c>
      <c r="AB434" s="466"/>
      <c r="AC434" s="466"/>
      <c r="AD434" s="466"/>
      <c r="AE434" s="466"/>
      <c r="AF434" s="466"/>
      <c r="AG434" s="466"/>
      <c r="AH434" s="466"/>
      <c r="AI434" s="466"/>
      <c r="AJ434" s="466"/>
      <c r="AK434" s="466"/>
      <c r="AL434" s="466"/>
      <c r="AM434" s="462">
        <f t="shared" si="243"/>
        <v>64</v>
      </c>
      <c r="AN434" s="32">
        <f t="shared" si="267"/>
        <v>1.0149183827297661</v>
      </c>
      <c r="AO434" s="32">
        <f t="shared" si="268"/>
        <v>-0.11628441513126445</v>
      </c>
      <c r="AP434" s="32">
        <f t="shared" si="269"/>
        <v>1.4571800497289138</v>
      </c>
      <c r="AQ434" s="32">
        <f t="shared" si="270"/>
        <v>11.132035578684025</v>
      </c>
      <c r="AR434" s="32">
        <f t="shared" si="271"/>
        <v>22.52194466870171</v>
      </c>
      <c r="AS434" s="32">
        <f t="shared" si="254"/>
        <v>16.907674301687749</v>
      </c>
      <c r="AT434" s="32">
        <f t="shared" si="255"/>
        <v>5.4552960000000006</v>
      </c>
      <c r="AU434" s="32">
        <f t="shared" si="256"/>
        <v>0.41902865370980003</v>
      </c>
      <c r="AV434" s="32">
        <f t="shared" si="257"/>
        <v>0.21568868250823015</v>
      </c>
      <c r="AW434" s="32">
        <f t="shared" si="258"/>
        <v>1.3258603740045689</v>
      </c>
      <c r="AX434" s="32">
        <f t="shared" si="259"/>
        <v>0.9814065388970683</v>
      </c>
      <c r="AY434" s="32">
        <f t="shared" si="260"/>
        <v>1.0028817826158307</v>
      </c>
      <c r="AZ434" s="32">
        <f t="shared" si="272"/>
        <v>0.19979842033960432</v>
      </c>
      <c r="BA434" s="32">
        <f t="shared" si="261"/>
        <v>-1.3373219648638408</v>
      </c>
      <c r="BB434" s="32">
        <f t="shared" si="273"/>
        <v>4.11797403513616</v>
      </c>
      <c r="BC434" s="32">
        <f t="shared" si="262"/>
        <v>8.9250000000000007</v>
      </c>
      <c r="BD434" s="32">
        <v>0</v>
      </c>
      <c r="BE434" s="32">
        <f t="shared" si="274"/>
        <v>1.1536334564508186</v>
      </c>
      <c r="BF434" s="32">
        <f t="shared" si="275"/>
        <v>0.15075167383498789</v>
      </c>
      <c r="BG434" s="32">
        <f t="shared" si="276"/>
        <v>7.7228446022262337E-2</v>
      </c>
      <c r="BH434" s="32">
        <f t="shared" si="263"/>
        <v>0.75160459009426239</v>
      </c>
      <c r="BI434" s="32">
        <f t="shared" si="264"/>
        <v>0.23198876498138443</v>
      </c>
      <c r="BJ434" s="32">
        <f t="shared" ref="BJ434:BJ497" si="281">IF(BH434="","",IF(BI434="","",BH434+BI434))</f>
        <v>0.98359335507564682</v>
      </c>
      <c r="BK434" s="457">
        <f t="shared" si="265"/>
        <v>1.1919700910194053</v>
      </c>
    </row>
    <row r="435" spans="1:63" ht="15">
      <c r="A435" s="119"/>
      <c r="B435" s="480">
        <f>Input!B452</f>
        <v>38417</v>
      </c>
      <c r="C435" s="481">
        <v>2</v>
      </c>
      <c r="D435" s="481">
        <f t="shared" si="244"/>
        <v>3</v>
      </c>
      <c r="E435" s="481">
        <f t="shared" si="245"/>
        <v>6</v>
      </c>
      <c r="F435" s="481">
        <f t="shared" si="246"/>
        <v>65</v>
      </c>
      <c r="G435" s="431">
        <v>16.1568</v>
      </c>
      <c r="H435" s="455">
        <v>9.5500000000000007</v>
      </c>
      <c r="I435" s="455">
        <v>4.4000000000000004</v>
      </c>
      <c r="J435" s="455">
        <v>3.09</v>
      </c>
      <c r="K435" s="485"/>
      <c r="L435" s="433">
        <v>98</v>
      </c>
      <c r="M435" s="455">
        <v>81</v>
      </c>
      <c r="N435" s="484">
        <f>Weather!M436</f>
        <v>0</v>
      </c>
      <c r="O435" s="481" t="str">
        <f t="shared" si="266"/>
        <v/>
      </c>
      <c r="P435" s="4">
        <f t="shared" si="277"/>
        <v>1.2950054322307294</v>
      </c>
      <c r="Q435" s="169">
        <f t="shared" si="247"/>
        <v>1.1914210608745304</v>
      </c>
      <c r="R435" s="169">
        <f t="shared" si="248"/>
        <v>0.83644378261789154</v>
      </c>
      <c r="S435" s="169">
        <f t="shared" si="249"/>
        <v>0.96505105930836965</v>
      </c>
      <c r="T435" s="169">
        <f t="shared" si="250"/>
        <v>0.81971490696553373</v>
      </c>
      <c r="U435" s="169">
        <f t="shared" si="278"/>
        <v>0.89238298313695164</v>
      </c>
      <c r="V435" s="169">
        <f t="shared" si="279"/>
        <v>2.1952855841478179E-2</v>
      </c>
      <c r="W435" s="439">
        <f t="shared" si="280"/>
        <v>5.3263410892782392</v>
      </c>
      <c r="X435" s="439">
        <f t="shared" si="251"/>
        <v>5.3263410892782392</v>
      </c>
      <c r="Y435" s="169"/>
      <c r="Z435" s="119" t="str">
        <f t="shared" si="252"/>
        <v/>
      </c>
      <c r="AA435" s="4" t="str">
        <f t="shared" si="253"/>
        <v/>
      </c>
      <c r="AB435" s="466"/>
      <c r="AC435" s="466"/>
      <c r="AD435" s="466"/>
      <c r="AE435" s="466"/>
      <c r="AF435" s="466"/>
      <c r="AG435" s="466"/>
      <c r="AH435" s="466"/>
      <c r="AI435" s="466"/>
      <c r="AJ435" s="466"/>
      <c r="AK435" s="466"/>
      <c r="AL435" s="466"/>
      <c r="AM435" s="462">
        <f t="shared" ref="AM435:AM498" si="282">F435</f>
        <v>65</v>
      </c>
      <c r="AN435" s="32">
        <f t="shared" si="267"/>
        <v>1.0144094906545502</v>
      </c>
      <c r="AO435" s="32">
        <f t="shared" si="268"/>
        <v>-0.10951746667858643</v>
      </c>
      <c r="AP435" s="32">
        <f t="shared" si="269"/>
        <v>1.4638728722139929</v>
      </c>
      <c r="AQ435" s="32">
        <f t="shared" si="270"/>
        <v>11.183164976207395</v>
      </c>
      <c r="AR435" s="32">
        <f t="shared" si="271"/>
        <v>22.792158844166476</v>
      </c>
      <c r="AS435" s="32">
        <f t="shared" si="254"/>
        <v>17.110529487492659</v>
      </c>
      <c r="AT435" s="32">
        <f t="shared" si="255"/>
        <v>12.440736000000001</v>
      </c>
      <c r="AU435" s="32">
        <f t="shared" si="256"/>
        <v>0.94426066778413786</v>
      </c>
      <c r="AV435" s="32">
        <f t="shared" si="257"/>
        <v>0.92475190150858622</v>
      </c>
      <c r="AW435" s="32">
        <f t="shared" si="258"/>
        <v>1.1914210608745304</v>
      </c>
      <c r="AX435" s="32">
        <f t="shared" si="259"/>
        <v>0.83644378261789154</v>
      </c>
      <c r="AY435" s="32">
        <f t="shared" si="260"/>
        <v>0.89238298313695164</v>
      </c>
      <c r="AZ435" s="32">
        <f t="shared" si="272"/>
        <v>0.20774756535517294</v>
      </c>
      <c r="BA435" s="32">
        <f t="shared" si="261"/>
        <v>-5.7994240556745247</v>
      </c>
      <c r="BB435" s="32">
        <f t="shared" si="273"/>
        <v>6.6413119443254764</v>
      </c>
      <c r="BC435" s="32">
        <f t="shared" si="262"/>
        <v>6.9750000000000005</v>
      </c>
      <c r="BD435" s="32">
        <v>0</v>
      </c>
      <c r="BE435" s="32">
        <f t="shared" si="274"/>
        <v>1.0139324217462109</v>
      </c>
      <c r="BF435" s="32">
        <f t="shared" si="275"/>
        <v>0.12154943860925926</v>
      </c>
      <c r="BG435" s="32">
        <f t="shared" si="276"/>
        <v>6.8703777961038506E-2</v>
      </c>
      <c r="BH435" s="32">
        <f t="shared" si="263"/>
        <v>0.90228114705865226</v>
      </c>
      <c r="BI435" s="32">
        <f t="shared" si="264"/>
        <v>0.39272428517207714</v>
      </c>
      <c r="BJ435" s="32">
        <f t="shared" si="281"/>
        <v>1.2950054322307294</v>
      </c>
      <c r="BK435" s="457">
        <f t="shared" si="265"/>
        <v>1.2029968558718906</v>
      </c>
    </row>
    <row r="436" spans="1:63" ht="15">
      <c r="A436" s="119"/>
      <c r="B436" s="480">
        <f>Input!B453</f>
        <v>38418</v>
      </c>
      <c r="C436" s="481">
        <v>2</v>
      </c>
      <c r="D436" s="481">
        <f t="shared" ref="D436:D499" si="283">MONTH(B436)</f>
        <v>3</v>
      </c>
      <c r="E436" s="481">
        <f t="shared" ref="E436:E499" si="284">DAY(B436)</f>
        <v>7</v>
      </c>
      <c r="F436" s="481">
        <f t="shared" ref="F436:F499" si="285">B436-DATE(YEAR(B436)-1,12,31)</f>
        <v>66</v>
      </c>
      <c r="G436" s="431">
        <v>17.107199999999999</v>
      </c>
      <c r="H436" s="455">
        <v>7.85</v>
      </c>
      <c r="I436" s="455">
        <v>2.1</v>
      </c>
      <c r="J436" s="455">
        <v>3.69</v>
      </c>
      <c r="K436" s="485"/>
      <c r="L436" s="433">
        <v>74</v>
      </c>
      <c r="M436" s="455">
        <v>78</v>
      </c>
      <c r="N436" s="484">
        <f>Weather!M437</f>
        <v>0</v>
      </c>
      <c r="O436" s="481" t="str">
        <f t="shared" si="266"/>
        <v/>
      </c>
      <c r="P436" s="4">
        <f t="shared" si="277"/>
        <v>1.5724939236484043</v>
      </c>
      <c r="Q436" s="169">
        <f t="shared" si="247"/>
        <v>1.0618584386784071</v>
      </c>
      <c r="R436" s="169">
        <f t="shared" si="248"/>
        <v>0.71070739244263414</v>
      </c>
      <c r="S436" s="169">
        <f t="shared" si="249"/>
        <v>0.82824958216915756</v>
      </c>
      <c r="T436" s="169">
        <f t="shared" si="250"/>
        <v>0.52592347040754928</v>
      </c>
      <c r="U436" s="169">
        <f t="shared" si="278"/>
        <v>0.67708652628835342</v>
      </c>
      <c r="V436" s="169">
        <f t="shared" si="279"/>
        <v>5.9658077477298252E-3</v>
      </c>
      <c r="W436" s="439">
        <f t="shared" si="280"/>
        <v>1.4241825779942676</v>
      </c>
      <c r="X436" s="439">
        <f t="shared" si="251"/>
        <v>1.4241825779942676</v>
      </c>
      <c r="Y436" s="169"/>
      <c r="Z436" s="119" t="str">
        <f t="shared" si="252"/>
        <v/>
      </c>
      <c r="AA436" s="4" t="str">
        <f t="shared" si="253"/>
        <v/>
      </c>
      <c r="AB436" s="466"/>
      <c r="AC436" s="466"/>
      <c r="AD436" s="466"/>
      <c r="AE436" s="466"/>
      <c r="AF436" s="466"/>
      <c r="AG436" s="466"/>
      <c r="AH436" s="466"/>
      <c r="AI436" s="466"/>
      <c r="AJ436" s="466"/>
      <c r="AK436" s="466"/>
      <c r="AL436" s="466"/>
      <c r="AM436" s="462">
        <f t="shared" si="282"/>
        <v>66</v>
      </c>
      <c r="AN436" s="32">
        <f t="shared" si="267"/>
        <v>1.013896328736271</v>
      </c>
      <c r="AO436" s="32">
        <f t="shared" si="268"/>
        <v>-0.10271806583695095</v>
      </c>
      <c r="AP436" s="32">
        <f t="shared" si="269"/>
        <v>1.4705829402800423</v>
      </c>
      <c r="AQ436" s="32">
        <f t="shared" si="270"/>
        <v>11.234426120264748</v>
      </c>
      <c r="AR436" s="32">
        <f t="shared" si="271"/>
        <v>23.063508746852509</v>
      </c>
      <c r="AS436" s="32">
        <f t="shared" si="254"/>
        <v>17.314237286437116</v>
      </c>
      <c r="AT436" s="32">
        <f t="shared" si="255"/>
        <v>13.172544</v>
      </c>
      <c r="AU436" s="32">
        <f t="shared" si="256"/>
        <v>0.98804236750299723</v>
      </c>
      <c r="AV436" s="32">
        <f t="shared" si="257"/>
        <v>0.98385719612904643</v>
      </c>
      <c r="AW436" s="32">
        <f t="shared" si="258"/>
        <v>1.0618584386784071</v>
      </c>
      <c r="AX436" s="32">
        <f t="shared" si="259"/>
        <v>0.71070739244263414</v>
      </c>
      <c r="AY436" s="32">
        <f t="shared" si="260"/>
        <v>0.67708652628835331</v>
      </c>
      <c r="AZ436" s="32">
        <f t="shared" si="272"/>
        <v>0.2248006253695285</v>
      </c>
      <c r="BA436" s="32">
        <f t="shared" si="261"/>
        <v>-6.4887961443698083</v>
      </c>
      <c r="BB436" s="32">
        <f t="shared" si="273"/>
        <v>6.6837478556301919</v>
      </c>
      <c r="BC436" s="32">
        <f t="shared" si="262"/>
        <v>4.9749999999999996</v>
      </c>
      <c r="BD436" s="32">
        <v>0</v>
      </c>
      <c r="BE436" s="32">
        <f t="shared" si="274"/>
        <v>0.88628291556052063</v>
      </c>
      <c r="BF436" s="32">
        <f t="shared" si="275"/>
        <v>0.20919638927216733</v>
      </c>
      <c r="BG436" s="32">
        <f t="shared" si="276"/>
        <v>6.0809869653730496E-2</v>
      </c>
      <c r="BH436" s="32">
        <f t="shared" si="263"/>
        <v>0.7817491869779557</v>
      </c>
      <c r="BI436" s="32">
        <f t="shared" si="264"/>
        <v>0.79074473667044864</v>
      </c>
      <c r="BJ436" s="32">
        <f t="shared" si="281"/>
        <v>1.5724939236484043</v>
      </c>
      <c r="BK436" s="457">
        <f t="shared" si="265"/>
        <v>1.1824408872479453</v>
      </c>
    </row>
    <row r="437" spans="1:63" ht="15">
      <c r="A437" s="119"/>
      <c r="B437" s="480">
        <f>Input!B454</f>
        <v>38419</v>
      </c>
      <c r="C437" s="481">
        <v>2</v>
      </c>
      <c r="D437" s="481">
        <f t="shared" si="283"/>
        <v>3</v>
      </c>
      <c r="E437" s="481">
        <f t="shared" si="284"/>
        <v>8</v>
      </c>
      <c r="F437" s="481">
        <f t="shared" si="285"/>
        <v>67</v>
      </c>
      <c r="G437" s="431">
        <v>12.3552</v>
      </c>
      <c r="H437" s="455">
        <v>6.05</v>
      </c>
      <c r="I437" s="455">
        <v>-0.8</v>
      </c>
      <c r="J437" s="455">
        <v>1.33</v>
      </c>
      <c r="K437" s="485"/>
      <c r="L437" s="433">
        <v>78</v>
      </c>
      <c r="M437" s="455">
        <v>82</v>
      </c>
      <c r="N437" s="484">
        <f>Weather!M438</f>
        <v>0</v>
      </c>
      <c r="O437" s="481" t="str">
        <f t="shared" si="266"/>
        <v/>
      </c>
      <c r="P437" s="4">
        <f t="shared" si="277"/>
        <v>1.0836619209021265</v>
      </c>
      <c r="Q437" s="169">
        <f t="shared" si="247"/>
        <v>0.93835131211155531</v>
      </c>
      <c r="R437" s="169">
        <f t="shared" si="248"/>
        <v>0.57614016245714772</v>
      </c>
      <c r="S437" s="169">
        <f t="shared" si="249"/>
        <v>0.76944807593147535</v>
      </c>
      <c r="T437" s="169">
        <f t="shared" si="250"/>
        <v>0.44938932671657522</v>
      </c>
      <c r="U437" s="169">
        <f t="shared" si="278"/>
        <v>0.60941870132402531</v>
      </c>
      <c r="V437" s="169">
        <f t="shared" si="279"/>
        <v>-1.31095493369463E-4</v>
      </c>
      <c r="W437" s="439">
        <f t="shared" si="280"/>
        <v>-3.1104882866607977E-2</v>
      </c>
      <c r="X437" s="439">
        <f t="shared" si="251"/>
        <v>-3.1104882866607977E-2</v>
      </c>
      <c r="Y437" s="169"/>
      <c r="Z437" s="119" t="str">
        <f t="shared" si="252"/>
        <v/>
      </c>
      <c r="AA437" s="4" t="str">
        <f t="shared" si="253"/>
        <v/>
      </c>
      <c r="AB437" s="466"/>
      <c r="AC437" s="466"/>
      <c r="AD437" s="466"/>
      <c r="AE437" s="466"/>
      <c r="AF437" s="466"/>
      <c r="AG437" s="466"/>
      <c r="AH437" s="466"/>
      <c r="AI437" s="466"/>
      <c r="AJ437" s="466"/>
      <c r="AK437" s="466"/>
      <c r="AL437" s="466"/>
      <c r="AM437" s="462">
        <f t="shared" si="282"/>
        <v>67</v>
      </c>
      <c r="AN437" s="32">
        <f t="shared" si="267"/>
        <v>1.0133790490358798</v>
      </c>
      <c r="AO437" s="32">
        <f t="shared" si="268"/>
        <v>-9.588822741557064E-2</v>
      </c>
      <c r="AP437" s="32">
        <f t="shared" si="269"/>
        <v>1.4773090393860469</v>
      </c>
      <c r="AQ437" s="32">
        <f t="shared" si="270"/>
        <v>11.285809732446186</v>
      </c>
      <c r="AR437" s="32">
        <f t="shared" si="271"/>
        <v>23.33589385519468</v>
      </c>
      <c r="AS437" s="32">
        <f t="shared" si="254"/>
        <v>17.518722234971751</v>
      </c>
      <c r="AT437" s="32">
        <f t="shared" si="255"/>
        <v>9.5135040000000011</v>
      </c>
      <c r="AU437" s="32">
        <f t="shared" si="256"/>
        <v>0.70525691510399835</v>
      </c>
      <c r="AV437" s="32">
        <f t="shared" si="257"/>
        <v>0.60209683539039782</v>
      </c>
      <c r="AW437" s="32">
        <f t="shared" si="258"/>
        <v>0.93835131211155531</v>
      </c>
      <c r="AX437" s="32">
        <f t="shared" si="259"/>
        <v>0.57614016245714772</v>
      </c>
      <c r="AY437" s="32">
        <f t="shared" si="260"/>
        <v>0.60941870132402531</v>
      </c>
      <c r="AZ437" s="32">
        <f t="shared" si="272"/>
        <v>0.23070861632337664</v>
      </c>
      <c r="BA437" s="32">
        <f t="shared" si="261"/>
        <v>-3.9404658075195602</v>
      </c>
      <c r="BB437" s="32">
        <f t="shared" si="273"/>
        <v>5.5730381924804409</v>
      </c>
      <c r="BC437" s="32">
        <f t="shared" si="262"/>
        <v>2.625</v>
      </c>
      <c r="BD437" s="32">
        <v>0</v>
      </c>
      <c r="BE437" s="32">
        <f t="shared" si="274"/>
        <v>0.75724573728435152</v>
      </c>
      <c r="BF437" s="32">
        <f t="shared" si="275"/>
        <v>0.1478270359603262</v>
      </c>
      <c r="BG437" s="32">
        <f t="shared" si="276"/>
        <v>5.25394763026188E-2</v>
      </c>
      <c r="BH437" s="32">
        <f t="shared" si="263"/>
        <v>0.79642404910136777</v>
      </c>
      <c r="BI437" s="32">
        <f t="shared" si="264"/>
        <v>0.28723787180075872</v>
      </c>
      <c r="BJ437" s="32">
        <f t="shared" si="281"/>
        <v>1.0836619209021265</v>
      </c>
      <c r="BK437" s="457">
        <f t="shared" si="265"/>
        <v>1.1710988197956835</v>
      </c>
    </row>
    <row r="438" spans="1:63" ht="15">
      <c r="A438" s="119"/>
      <c r="B438" s="480">
        <f>Input!B455</f>
        <v>38420</v>
      </c>
      <c r="C438" s="481">
        <v>2</v>
      </c>
      <c r="D438" s="481">
        <f t="shared" si="283"/>
        <v>3</v>
      </c>
      <c r="E438" s="481">
        <f t="shared" si="284"/>
        <v>9</v>
      </c>
      <c r="F438" s="481">
        <f t="shared" si="285"/>
        <v>68</v>
      </c>
      <c r="G438" s="431">
        <v>13.219200000000001</v>
      </c>
      <c r="H438" s="455">
        <v>6.23</v>
      </c>
      <c r="I438" s="455">
        <v>-0.4</v>
      </c>
      <c r="J438" s="455">
        <v>1.38</v>
      </c>
      <c r="K438" s="485"/>
      <c r="L438" s="433">
        <v>75</v>
      </c>
      <c r="M438" s="455">
        <v>84</v>
      </c>
      <c r="N438" s="484">
        <f>Weather!M439</f>
        <v>0.4</v>
      </c>
      <c r="O438" s="481" t="str">
        <f t="shared" si="266"/>
        <v/>
      </c>
      <c r="P438" s="4">
        <f t="shared" si="277"/>
        <v>1.1424230304692966</v>
      </c>
      <c r="Q438" s="169">
        <f t="shared" si="247"/>
        <v>0.9501043449648271</v>
      </c>
      <c r="R438" s="169">
        <f t="shared" si="248"/>
        <v>0.59324625951914634</v>
      </c>
      <c r="S438" s="169">
        <f t="shared" si="249"/>
        <v>0.79808764977045477</v>
      </c>
      <c r="T438" s="169">
        <f t="shared" si="250"/>
        <v>0.44493469463935975</v>
      </c>
      <c r="U438" s="169">
        <f t="shared" si="278"/>
        <v>0.62151117220490726</v>
      </c>
      <c r="V438" s="169">
        <f t="shared" si="279"/>
        <v>1.0066192031997509E-3</v>
      </c>
      <c r="W438" s="439">
        <f t="shared" si="280"/>
        <v>0.23911143107752814</v>
      </c>
      <c r="X438" s="439">
        <f t="shared" si="251"/>
        <v>0.23911143107752814</v>
      </c>
      <c r="Y438" s="169"/>
      <c r="Z438" s="119" t="str">
        <f t="shared" si="252"/>
        <v/>
      </c>
      <c r="AA438" s="4" t="str">
        <f t="shared" si="253"/>
        <v/>
      </c>
      <c r="AB438" s="466"/>
      <c r="AC438" s="466"/>
      <c r="AD438" s="466"/>
      <c r="AE438" s="466"/>
      <c r="AF438" s="466"/>
      <c r="AG438" s="466"/>
      <c r="AH438" s="466"/>
      <c r="AI438" s="466"/>
      <c r="AJ438" s="466"/>
      <c r="AK438" s="466"/>
      <c r="AL438" s="466"/>
      <c r="AM438" s="462">
        <f t="shared" si="282"/>
        <v>68</v>
      </c>
      <c r="AN438" s="32">
        <f t="shared" si="267"/>
        <v>1.012857804834516</v>
      </c>
      <c r="AO438" s="32">
        <f t="shared" si="268"/>
        <v>-8.9029975242969572E-2</v>
      </c>
      <c r="AP438" s="32">
        <f t="shared" si="269"/>
        <v>1.4840499781287653</v>
      </c>
      <c r="AQ438" s="32">
        <f t="shared" si="270"/>
        <v>11.337306711101384</v>
      </c>
      <c r="AR438" s="32">
        <f t="shared" si="271"/>
        <v>23.609213255267335</v>
      </c>
      <c r="AS438" s="32">
        <f t="shared" si="254"/>
        <v>17.723908574994294</v>
      </c>
      <c r="AT438" s="32">
        <f t="shared" si="255"/>
        <v>10.178784</v>
      </c>
      <c r="AU438" s="32">
        <f t="shared" si="256"/>
        <v>0.74584000160383679</v>
      </c>
      <c r="AV438" s="32">
        <f t="shared" si="257"/>
        <v>0.65688400216517973</v>
      </c>
      <c r="AW438" s="32">
        <f t="shared" si="258"/>
        <v>0.9501043449648271</v>
      </c>
      <c r="AX438" s="32">
        <f t="shared" si="259"/>
        <v>0.59324625951914634</v>
      </c>
      <c r="AY438" s="32">
        <f t="shared" si="260"/>
        <v>0.62151117220490726</v>
      </c>
      <c r="AZ438" s="32">
        <f t="shared" si="272"/>
        <v>0.22962962818212407</v>
      </c>
      <c r="BA438" s="32">
        <f t="shared" si="261"/>
        <v>-4.2966864862850569</v>
      </c>
      <c r="BB438" s="32">
        <f t="shared" si="273"/>
        <v>5.8820975137149434</v>
      </c>
      <c r="BC438" s="32">
        <f t="shared" si="262"/>
        <v>2.915</v>
      </c>
      <c r="BD438" s="32">
        <v>0</v>
      </c>
      <c r="BE438" s="32">
        <f t="shared" si="274"/>
        <v>0.77167530224198666</v>
      </c>
      <c r="BF438" s="32">
        <f t="shared" si="275"/>
        <v>0.1501641300370794</v>
      </c>
      <c r="BG438" s="32">
        <f t="shared" si="276"/>
        <v>5.3504725852580523E-2</v>
      </c>
      <c r="BH438" s="32">
        <f t="shared" si="263"/>
        <v>0.84418072982582693</v>
      </c>
      <c r="BI438" s="32">
        <f t="shared" si="264"/>
        <v>0.29824230064346963</v>
      </c>
      <c r="BJ438" s="32">
        <f t="shared" si="281"/>
        <v>1.1424230304692966</v>
      </c>
      <c r="BK438" s="457">
        <f t="shared" si="265"/>
        <v>1.1821837042385663</v>
      </c>
    </row>
    <row r="439" spans="1:63" ht="15">
      <c r="A439" s="119"/>
      <c r="B439" s="480">
        <f>Input!B456</f>
        <v>38421</v>
      </c>
      <c r="C439" s="481">
        <v>2</v>
      </c>
      <c r="D439" s="481">
        <f t="shared" si="283"/>
        <v>3</v>
      </c>
      <c r="E439" s="481">
        <f t="shared" si="284"/>
        <v>10</v>
      </c>
      <c r="F439" s="481">
        <f t="shared" si="285"/>
        <v>69</v>
      </c>
      <c r="G439" s="431">
        <v>15.984</v>
      </c>
      <c r="H439" s="455">
        <v>7.98</v>
      </c>
      <c r="I439" s="455">
        <v>-0.2</v>
      </c>
      <c r="J439" s="455">
        <v>2.15</v>
      </c>
      <c r="K439" s="485"/>
      <c r="L439" s="433">
        <v>93</v>
      </c>
      <c r="M439" s="455">
        <v>74</v>
      </c>
      <c r="N439" s="484">
        <f>Weather!M440</f>
        <v>0</v>
      </c>
      <c r="O439" s="481" t="str">
        <f t="shared" si="266"/>
        <v/>
      </c>
      <c r="P439" s="4">
        <f t="shared" si="277"/>
        <v>1.3410329982487244</v>
      </c>
      <c r="Q439" s="169">
        <f t="shared" si="247"/>
        <v>1.0713084294845034</v>
      </c>
      <c r="R439" s="169">
        <f t="shared" si="248"/>
        <v>0.6019665508469253</v>
      </c>
      <c r="S439" s="169">
        <f t="shared" si="249"/>
        <v>0.79276823781853256</v>
      </c>
      <c r="T439" s="169">
        <f t="shared" si="250"/>
        <v>0.55982889228764054</v>
      </c>
      <c r="U439" s="169">
        <f t="shared" si="278"/>
        <v>0.67629856505308661</v>
      </c>
      <c r="V439" s="169">
        <f t="shared" si="279"/>
        <v>5.8983827141425174E-3</v>
      </c>
      <c r="W439" s="439">
        <f t="shared" si="280"/>
        <v>1.4079910883632882</v>
      </c>
      <c r="X439" s="439">
        <f t="shared" si="251"/>
        <v>1.4079910883632882</v>
      </c>
      <c r="Y439" s="169"/>
      <c r="Z439" s="119" t="str">
        <f t="shared" si="252"/>
        <v/>
      </c>
      <c r="AA439" s="4" t="str">
        <f t="shared" si="253"/>
        <v/>
      </c>
      <c r="AB439" s="466"/>
      <c r="AC439" s="466"/>
      <c r="AD439" s="466"/>
      <c r="AE439" s="466"/>
      <c r="AF439" s="466"/>
      <c r="AG439" s="466"/>
      <c r="AH439" s="466"/>
      <c r="AI439" s="466"/>
      <c r="AJ439" s="466"/>
      <c r="AK439" s="466"/>
      <c r="AL439" s="466"/>
      <c r="AM439" s="462">
        <f t="shared" si="282"/>
        <v>69</v>
      </c>
      <c r="AN439" s="32">
        <f t="shared" si="267"/>
        <v>1.0123327505880855</v>
      </c>
      <c r="AO439" s="32">
        <f t="shared" si="268"/>
        <v>-8.2145341567279873E-2</v>
      </c>
      <c r="AP439" s="32">
        <f t="shared" si="269"/>
        <v>1.4908045867971873</v>
      </c>
      <c r="AQ439" s="32">
        <f t="shared" si="270"/>
        <v>11.388908120296458</v>
      </c>
      <c r="AR439" s="32">
        <f t="shared" si="271"/>
        <v>23.883365724075286</v>
      </c>
      <c r="AS439" s="32">
        <f t="shared" si="254"/>
        <v>17.9297203163778</v>
      </c>
      <c r="AT439" s="32">
        <f t="shared" si="255"/>
        <v>12.30768</v>
      </c>
      <c r="AU439" s="32">
        <f t="shared" si="256"/>
        <v>0.89148072128038203</v>
      </c>
      <c r="AV439" s="32">
        <f t="shared" si="257"/>
        <v>0.8534989737285158</v>
      </c>
      <c r="AW439" s="32">
        <f t="shared" si="258"/>
        <v>1.0713084294845034</v>
      </c>
      <c r="AX439" s="32">
        <f t="shared" si="259"/>
        <v>0.6019665508469253</v>
      </c>
      <c r="AY439" s="32">
        <f t="shared" si="260"/>
        <v>0.67629856505308661</v>
      </c>
      <c r="AZ439" s="32">
        <f t="shared" si="272"/>
        <v>0.22486767667140345</v>
      </c>
      <c r="BA439" s="32">
        <f t="shared" si="261"/>
        <v>-5.5470695729875601</v>
      </c>
      <c r="BB439" s="32">
        <f t="shared" si="273"/>
        <v>6.7606104270124394</v>
      </c>
      <c r="BC439" s="32">
        <f t="shared" si="262"/>
        <v>3.89</v>
      </c>
      <c r="BD439" s="32">
        <v>0</v>
      </c>
      <c r="BE439" s="32">
        <f t="shared" si="274"/>
        <v>0.83663749016571431</v>
      </c>
      <c r="BF439" s="32">
        <f t="shared" si="275"/>
        <v>0.16033892511262771</v>
      </c>
      <c r="BG439" s="32">
        <f t="shared" si="276"/>
        <v>5.6862423228999134E-2</v>
      </c>
      <c r="BH439" s="32">
        <f t="shared" si="263"/>
        <v>0.90643769393125728</v>
      </c>
      <c r="BI439" s="32">
        <f t="shared" si="264"/>
        <v>0.43459530431746707</v>
      </c>
      <c r="BJ439" s="32">
        <f t="shared" si="281"/>
        <v>1.3410329982487244</v>
      </c>
      <c r="BK439" s="457">
        <f t="shared" si="265"/>
        <v>1.3908922411969495</v>
      </c>
    </row>
    <row r="440" spans="1:63" ht="15">
      <c r="A440" s="119"/>
      <c r="B440" s="480">
        <f>Input!B457</f>
        <v>38422</v>
      </c>
      <c r="C440" s="481">
        <v>2</v>
      </c>
      <c r="D440" s="481">
        <f t="shared" si="283"/>
        <v>3</v>
      </c>
      <c r="E440" s="481">
        <f t="shared" si="284"/>
        <v>11</v>
      </c>
      <c r="F440" s="481">
        <f t="shared" si="285"/>
        <v>70</v>
      </c>
      <c r="G440" s="431">
        <v>14.860799999999999</v>
      </c>
      <c r="H440" s="455">
        <v>6.14</v>
      </c>
      <c r="I440" s="455">
        <v>-1.7</v>
      </c>
      <c r="J440" s="455">
        <v>2.17</v>
      </c>
      <c r="K440" s="485"/>
      <c r="L440" s="433">
        <v>98</v>
      </c>
      <c r="M440" s="455">
        <v>79</v>
      </c>
      <c r="N440" s="484">
        <f>Weather!M441</f>
        <v>0</v>
      </c>
      <c r="O440" s="481" t="str">
        <f t="shared" si="266"/>
        <v/>
      </c>
      <c r="P440" s="4">
        <f t="shared" si="277"/>
        <v>1.1150450964331124</v>
      </c>
      <c r="Q440" s="169">
        <f t="shared" si="247"/>
        <v>0.94421171429690509</v>
      </c>
      <c r="R440" s="169">
        <f t="shared" si="248"/>
        <v>0.53923734716108329</v>
      </c>
      <c r="S440" s="169">
        <f t="shared" si="249"/>
        <v>0.74592725429455509</v>
      </c>
      <c r="T440" s="169">
        <f t="shared" si="250"/>
        <v>0.52845260021786167</v>
      </c>
      <c r="U440" s="169">
        <f t="shared" si="278"/>
        <v>0.63718992725620838</v>
      </c>
      <c r="V440" s="169">
        <f t="shared" si="279"/>
        <v>2.4492296899292546E-3</v>
      </c>
      <c r="W440" s="439">
        <f t="shared" si="280"/>
        <v>0.58262919815054215</v>
      </c>
      <c r="X440" s="439">
        <f t="shared" si="251"/>
        <v>0.58262919815054215</v>
      </c>
      <c r="Y440" s="169"/>
      <c r="Z440" s="119" t="str">
        <f t="shared" si="252"/>
        <v/>
      </c>
      <c r="AA440" s="4" t="str">
        <f t="shared" si="253"/>
        <v/>
      </c>
      <c r="AB440" s="466"/>
      <c r="AC440" s="466"/>
      <c r="AD440" s="466"/>
      <c r="AE440" s="466"/>
      <c r="AF440" s="466"/>
      <c r="AG440" s="466"/>
      <c r="AH440" s="466"/>
      <c r="AI440" s="466"/>
      <c r="AJ440" s="466"/>
      <c r="AK440" s="466"/>
      <c r="AL440" s="466"/>
      <c r="AM440" s="462">
        <f t="shared" si="282"/>
        <v>70</v>
      </c>
      <c r="AN440" s="32">
        <f t="shared" si="267"/>
        <v>1.0118040418814931</v>
      </c>
      <c r="AO440" s="32">
        <f t="shared" si="268"/>
        <v>-7.5236366454042122E-2</v>
      </c>
      <c r="AP440" s="32">
        <f t="shared" si="269"/>
        <v>1.4975717158992852</v>
      </c>
      <c r="AQ440" s="32">
        <f t="shared" si="270"/>
        <v>11.440605178559174</v>
      </c>
      <c r="AR440" s="32">
        <f t="shared" si="271"/>
        <v>24.158249812960211</v>
      </c>
      <c r="AS440" s="32">
        <f t="shared" si="254"/>
        <v>18.136081299585491</v>
      </c>
      <c r="AT440" s="32">
        <f t="shared" si="255"/>
        <v>11.442816000000001</v>
      </c>
      <c r="AU440" s="32">
        <f t="shared" si="256"/>
        <v>0.81940523724602232</v>
      </c>
      <c r="AV440" s="32">
        <f t="shared" si="257"/>
        <v>0.75619707028213023</v>
      </c>
      <c r="AW440" s="32">
        <f t="shared" si="258"/>
        <v>0.94421171429690509</v>
      </c>
      <c r="AX440" s="32">
        <f t="shared" si="259"/>
        <v>0.53923734716108329</v>
      </c>
      <c r="AY440" s="32">
        <f t="shared" si="260"/>
        <v>0.63718992725620838</v>
      </c>
      <c r="AZ440" s="32">
        <f t="shared" si="272"/>
        <v>0.22824615185944744</v>
      </c>
      <c r="BA440" s="32">
        <f t="shared" si="261"/>
        <v>-4.8688767311843124</v>
      </c>
      <c r="BB440" s="32">
        <f t="shared" si="273"/>
        <v>6.5739392688156881</v>
      </c>
      <c r="BC440" s="32">
        <f t="shared" si="262"/>
        <v>2.2199999999999998</v>
      </c>
      <c r="BD440" s="32">
        <v>0</v>
      </c>
      <c r="BE440" s="32">
        <f t="shared" si="274"/>
        <v>0.74172453072899414</v>
      </c>
      <c r="BF440" s="32">
        <f t="shared" si="275"/>
        <v>0.10453460347278576</v>
      </c>
      <c r="BG440" s="32">
        <f t="shared" si="276"/>
        <v>5.1216497030604172E-2</v>
      </c>
      <c r="BH440" s="32">
        <f t="shared" si="263"/>
        <v>0.81843965493542081</v>
      </c>
      <c r="BI440" s="32">
        <f t="shared" si="264"/>
        <v>0.29660544149769158</v>
      </c>
      <c r="BJ440" s="32">
        <f t="shared" si="281"/>
        <v>1.1150450964331124</v>
      </c>
      <c r="BK440" s="457">
        <f t="shared" si="265"/>
        <v>1.2713037381572181</v>
      </c>
    </row>
    <row r="441" spans="1:63" ht="15">
      <c r="A441" s="119"/>
      <c r="B441" s="480">
        <f>Input!B458</f>
        <v>38423</v>
      </c>
      <c r="C441" s="481">
        <v>2</v>
      </c>
      <c r="D441" s="481">
        <f t="shared" si="283"/>
        <v>3</v>
      </c>
      <c r="E441" s="481">
        <f t="shared" si="284"/>
        <v>12</v>
      </c>
      <c r="F441" s="481">
        <f t="shared" si="285"/>
        <v>71</v>
      </c>
      <c r="G441" s="431">
        <v>17.539200000000001</v>
      </c>
      <c r="H441" s="455">
        <v>8.26</v>
      </c>
      <c r="I441" s="455">
        <v>0</v>
      </c>
      <c r="J441" s="455">
        <v>2.23</v>
      </c>
      <c r="K441" s="485"/>
      <c r="L441" s="433">
        <v>78</v>
      </c>
      <c r="M441" s="455">
        <v>64</v>
      </c>
      <c r="N441" s="484">
        <f>Weather!M442</f>
        <v>0</v>
      </c>
      <c r="O441" s="481" t="str">
        <f t="shared" si="266"/>
        <v/>
      </c>
      <c r="P441" s="4">
        <f t="shared" si="277"/>
        <v>1.6884894294026032</v>
      </c>
      <c r="Q441" s="169">
        <f t="shared" si="247"/>
        <v>1.0919140837040695</v>
      </c>
      <c r="R441" s="169">
        <f t="shared" si="248"/>
        <v>0.61080000000000001</v>
      </c>
      <c r="S441" s="169">
        <f t="shared" si="249"/>
        <v>0.69882501357060445</v>
      </c>
      <c r="T441" s="169">
        <f t="shared" si="250"/>
        <v>0.47642400000000001</v>
      </c>
      <c r="U441" s="169">
        <f t="shared" si="278"/>
        <v>0.5876245067853022</v>
      </c>
      <c r="V441" s="169">
        <f t="shared" si="279"/>
        <v>-2.2398044780736655E-3</v>
      </c>
      <c r="W441" s="439">
        <f t="shared" si="280"/>
        <v>-0.53031779447601135</v>
      </c>
      <c r="X441" s="439">
        <f t="shared" si="251"/>
        <v>-0.53031779447601135</v>
      </c>
      <c r="Y441" s="169"/>
      <c r="Z441" s="119" t="str">
        <f t="shared" si="252"/>
        <v/>
      </c>
      <c r="AA441" s="4" t="str">
        <f t="shared" si="253"/>
        <v/>
      </c>
      <c r="AB441" s="466"/>
      <c r="AC441" s="466"/>
      <c r="AD441" s="466"/>
      <c r="AE441" s="466"/>
      <c r="AF441" s="466"/>
      <c r="AG441" s="466"/>
      <c r="AH441" s="466"/>
      <c r="AI441" s="466"/>
      <c r="AJ441" s="466"/>
      <c r="AK441" s="466"/>
      <c r="AL441" s="466"/>
      <c r="AM441" s="462">
        <f t="shared" si="282"/>
        <v>71</v>
      </c>
      <c r="AN441" s="32">
        <f t="shared" si="267"/>
        <v>1.0112718353825392</v>
      </c>
      <c r="AO441" s="32">
        <f t="shared" si="268"/>
        <v>-6.8305097181690172E-2</v>
      </c>
      <c r="AP441" s="32">
        <f t="shared" si="269"/>
        <v>1.5043502346636857</v>
      </c>
      <c r="AQ441" s="32">
        <f t="shared" si="270"/>
        <v>11.492389247432559</v>
      </c>
      <c r="AR441" s="32">
        <f t="shared" si="271"/>
        <v>24.433763930945076</v>
      </c>
      <c r="AS441" s="32">
        <f t="shared" si="254"/>
        <v>18.342915258239088</v>
      </c>
      <c r="AT441" s="32">
        <f t="shared" si="255"/>
        <v>13.505184000000002</v>
      </c>
      <c r="AU441" s="32">
        <f t="shared" si="256"/>
        <v>0.95618388642568242</v>
      </c>
      <c r="AV441" s="32">
        <f t="shared" si="257"/>
        <v>0.94084824667467137</v>
      </c>
      <c r="AW441" s="32">
        <f t="shared" si="258"/>
        <v>1.0919140837040695</v>
      </c>
      <c r="AX441" s="32">
        <f t="shared" si="259"/>
        <v>0.61080000000000001</v>
      </c>
      <c r="AY441" s="32">
        <f t="shared" si="260"/>
        <v>0.5876245067853022</v>
      </c>
      <c r="AZ441" s="32">
        <f t="shared" si="272"/>
        <v>0.23268066188709546</v>
      </c>
      <c r="BA441" s="32">
        <f t="shared" si="261"/>
        <v>-6.3493294642829579</v>
      </c>
      <c r="BB441" s="32">
        <f t="shared" si="273"/>
        <v>7.1558545357170438</v>
      </c>
      <c r="BC441" s="32">
        <f t="shared" si="262"/>
        <v>4.13</v>
      </c>
      <c r="BD441" s="32">
        <v>0</v>
      </c>
      <c r="BE441" s="32">
        <f t="shared" si="274"/>
        <v>0.85135704185203476</v>
      </c>
      <c r="BF441" s="32">
        <f t="shared" si="275"/>
        <v>0.26373253506673255</v>
      </c>
      <c r="BG441" s="32">
        <f t="shared" si="276"/>
        <v>5.7716113735090807E-2</v>
      </c>
      <c r="BH441" s="32">
        <f t="shared" si="263"/>
        <v>0.9589864141226726</v>
      </c>
      <c r="BI441" s="32">
        <f t="shared" si="264"/>
        <v>0.72950301527993056</v>
      </c>
      <c r="BJ441" s="32">
        <f t="shared" si="281"/>
        <v>1.6884894294026032</v>
      </c>
      <c r="BK441" s="457">
        <f t="shared" si="265"/>
        <v>1.4457086535480281</v>
      </c>
    </row>
    <row r="442" spans="1:63" ht="15">
      <c r="A442" s="119"/>
      <c r="B442" s="480">
        <f>Input!B459</f>
        <v>38424</v>
      </c>
      <c r="C442" s="481">
        <v>2</v>
      </c>
      <c r="D442" s="481">
        <f t="shared" si="283"/>
        <v>3</v>
      </c>
      <c r="E442" s="481">
        <f t="shared" si="284"/>
        <v>13</v>
      </c>
      <c r="F442" s="481">
        <f t="shared" si="285"/>
        <v>72</v>
      </c>
      <c r="G442" s="431">
        <v>17.798400000000001</v>
      </c>
      <c r="H442" s="455">
        <v>9.66</v>
      </c>
      <c r="I442" s="455">
        <v>-1.2</v>
      </c>
      <c r="J442" s="455">
        <v>1.86</v>
      </c>
      <c r="K442" s="485"/>
      <c r="L442" s="433">
        <v>68</v>
      </c>
      <c r="M442" s="455">
        <v>81</v>
      </c>
      <c r="N442" s="484">
        <f>Weather!M443</f>
        <v>1.2</v>
      </c>
      <c r="O442" s="481" t="str">
        <f t="shared" si="266"/>
        <v/>
      </c>
      <c r="P442" s="4">
        <f t="shared" si="277"/>
        <v>1.5557057936289045</v>
      </c>
      <c r="Q442" s="169">
        <f t="shared" si="247"/>
        <v>1.2002639671718087</v>
      </c>
      <c r="R442" s="169">
        <f t="shared" si="248"/>
        <v>0.55947184647021497</v>
      </c>
      <c r="S442" s="169">
        <f t="shared" si="249"/>
        <v>0.97221381340916513</v>
      </c>
      <c r="T442" s="169">
        <f t="shared" si="250"/>
        <v>0.38044085559974622</v>
      </c>
      <c r="U442" s="169">
        <f t="shared" si="278"/>
        <v>0.6763273345044557</v>
      </c>
      <c r="V442" s="169">
        <f t="shared" si="279"/>
        <v>5.9008458679944012E-3</v>
      </c>
      <c r="W442" s="439">
        <f t="shared" si="280"/>
        <v>1.4085825530127458</v>
      </c>
      <c r="X442" s="439">
        <f t="shared" si="251"/>
        <v>1.4085825530127458</v>
      </c>
      <c r="Y442" s="169"/>
      <c r="Z442" s="119" t="str">
        <f t="shared" si="252"/>
        <v/>
      </c>
      <c r="AA442" s="4" t="str">
        <f t="shared" si="253"/>
        <v/>
      </c>
      <c r="AB442" s="466"/>
      <c r="AC442" s="466"/>
      <c r="AD442" s="466"/>
      <c r="AE442" s="466"/>
      <c r="AF442" s="466"/>
      <c r="AG442" s="466"/>
      <c r="AH442" s="466"/>
      <c r="AI442" s="466"/>
      <c r="AJ442" s="466"/>
      <c r="AK442" s="466"/>
      <c r="AL442" s="466"/>
      <c r="AM442" s="462">
        <f t="shared" si="282"/>
        <v>72</v>
      </c>
      <c r="AN442" s="32">
        <f t="shared" si="267"/>
        <v>1.0107362887954954</v>
      </c>
      <c r="AO442" s="32">
        <f t="shared" si="268"/>
        <v>-6.1353587634898642E-2</v>
      </c>
      <c r="AP442" s="32">
        <f t="shared" si="269"/>
        <v>1.511139029518771</v>
      </c>
      <c r="AQ442" s="32">
        <f t="shared" si="270"/>
        <v>11.544251819856093</v>
      </c>
      <c r="AR442" s="32">
        <f t="shared" si="271"/>
        <v>24.709806427840668</v>
      </c>
      <c r="AS442" s="32">
        <f t="shared" si="254"/>
        <v>18.550145881508548</v>
      </c>
      <c r="AT442" s="32">
        <f t="shared" si="255"/>
        <v>13.704768000000001</v>
      </c>
      <c r="AU442" s="32">
        <f t="shared" si="256"/>
        <v>0.95947493425062957</v>
      </c>
      <c r="AV442" s="32">
        <f t="shared" si="257"/>
        <v>0.94529116123835</v>
      </c>
      <c r="AW442" s="32">
        <f t="shared" si="258"/>
        <v>1.2002639671718087</v>
      </c>
      <c r="AX442" s="32">
        <f t="shared" si="259"/>
        <v>0.55947184647021497</v>
      </c>
      <c r="AY442" s="32">
        <f t="shared" si="260"/>
        <v>0.67632733450445559</v>
      </c>
      <c r="AZ442" s="32">
        <f t="shared" si="272"/>
        <v>0.22486522785757845</v>
      </c>
      <c r="BA442" s="32">
        <f t="shared" si="261"/>
        <v>-6.1799086834723793</v>
      </c>
      <c r="BB442" s="32">
        <f t="shared" si="273"/>
        <v>7.5248593165276221</v>
      </c>
      <c r="BC442" s="32">
        <f t="shared" si="262"/>
        <v>4.2300000000000004</v>
      </c>
      <c r="BD442" s="32">
        <v>0</v>
      </c>
      <c r="BE442" s="32">
        <f t="shared" si="274"/>
        <v>0.87986790682101179</v>
      </c>
      <c r="BF442" s="32">
        <f t="shared" si="275"/>
        <v>0.2035405723165562</v>
      </c>
      <c r="BG442" s="32">
        <f t="shared" si="276"/>
        <v>5.8075048365491835E-2</v>
      </c>
      <c r="BH442" s="32">
        <f t="shared" si="263"/>
        <v>1.0636435467382148</v>
      </c>
      <c r="BI442" s="32">
        <f t="shared" si="264"/>
        <v>0.49206224689068978</v>
      </c>
      <c r="BJ442" s="32">
        <f t="shared" si="281"/>
        <v>1.5557057936289045</v>
      </c>
      <c r="BK442" s="457">
        <f t="shared" si="265"/>
        <v>1.6840714163424726</v>
      </c>
    </row>
    <row r="443" spans="1:63" ht="15">
      <c r="A443" s="119"/>
      <c r="B443" s="480">
        <f>Input!B460</f>
        <v>38425</v>
      </c>
      <c r="C443" s="481">
        <v>2</v>
      </c>
      <c r="D443" s="481">
        <f t="shared" si="283"/>
        <v>3</v>
      </c>
      <c r="E443" s="481">
        <f t="shared" si="284"/>
        <v>14</v>
      </c>
      <c r="F443" s="481">
        <f t="shared" si="285"/>
        <v>73</v>
      </c>
      <c r="G443" s="431">
        <v>15.7248</v>
      </c>
      <c r="H443" s="455">
        <v>9.9700000000000006</v>
      </c>
      <c r="I443" s="455">
        <v>0.9</v>
      </c>
      <c r="J443" s="455">
        <v>2.0099999999999998</v>
      </c>
      <c r="K443" s="485"/>
      <c r="L443" s="433">
        <v>86</v>
      </c>
      <c r="M443" s="455">
        <v>85</v>
      </c>
      <c r="N443" s="484">
        <f>Weather!M444</f>
        <v>0</v>
      </c>
      <c r="O443" s="481" t="str">
        <f t="shared" si="266"/>
        <v/>
      </c>
      <c r="P443" s="4">
        <f t="shared" si="277"/>
        <v>1.3808451880317716</v>
      </c>
      <c r="Q443" s="169">
        <f t="shared" si="247"/>
        <v>1.2254962141884433</v>
      </c>
      <c r="R443" s="169">
        <f t="shared" si="248"/>
        <v>0.65198493935640356</v>
      </c>
      <c r="S443" s="169">
        <f t="shared" si="249"/>
        <v>1.0416717820601769</v>
      </c>
      <c r="T443" s="169">
        <f t="shared" si="250"/>
        <v>0.56070704784650705</v>
      </c>
      <c r="U443" s="169">
        <f t="shared" si="278"/>
        <v>0.80118941495334195</v>
      </c>
      <c r="V443" s="169">
        <f t="shared" si="279"/>
        <v>1.5710933345039223E-2</v>
      </c>
      <c r="W443" s="439">
        <f t="shared" si="280"/>
        <v>3.7877129890793726</v>
      </c>
      <c r="X443" s="439">
        <f t="shared" si="251"/>
        <v>3.7877129890793726</v>
      </c>
      <c r="Y443" s="169"/>
      <c r="Z443" s="119" t="str">
        <f t="shared" si="252"/>
        <v/>
      </c>
      <c r="AA443" s="4" t="str">
        <f t="shared" si="253"/>
        <v/>
      </c>
      <c r="AB443" s="466"/>
      <c r="AC443" s="466"/>
      <c r="AD443" s="466"/>
      <c r="AE443" s="466"/>
      <c r="AF443" s="466"/>
      <c r="AG443" s="466"/>
      <c r="AH443" s="466"/>
      <c r="AI443" s="466"/>
      <c r="AJ443" s="466"/>
      <c r="AK443" s="466"/>
      <c r="AL443" s="466"/>
      <c r="AM443" s="462">
        <f t="shared" si="282"/>
        <v>73</v>
      </c>
      <c r="AN443" s="32">
        <f t="shared" si="267"/>
        <v>1.0101975608143732</v>
      </c>
      <c r="AO443" s="32">
        <f t="shared" si="268"/>
        <v>-5.4383897695971947E-2</v>
      </c>
      <c r="AP443" s="32">
        <f t="shared" si="269"/>
        <v>1.5179370025515733</v>
      </c>
      <c r="AQ443" s="32">
        <f t="shared" si="270"/>
        <v>11.596184508392536</v>
      </c>
      <c r="AR443" s="32">
        <f t="shared" si="271"/>
        <v>24.98627567693995</v>
      </c>
      <c r="AS443" s="32">
        <f t="shared" si="254"/>
        <v>18.757696876192362</v>
      </c>
      <c r="AT443" s="32">
        <f t="shared" si="255"/>
        <v>12.108096</v>
      </c>
      <c r="AU443" s="32">
        <f t="shared" si="256"/>
        <v>0.8383118729228547</v>
      </c>
      <c r="AV443" s="32">
        <f t="shared" si="257"/>
        <v>0.78172102844585389</v>
      </c>
      <c r="AW443" s="32">
        <f t="shared" si="258"/>
        <v>1.2254962141884433</v>
      </c>
      <c r="AX443" s="32">
        <f t="shared" si="259"/>
        <v>0.65198493935640356</v>
      </c>
      <c r="AY443" s="32">
        <f t="shared" si="260"/>
        <v>0.80118941495334195</v>
      </c>
      <c r="AZ443" s="32">
        <f t="shared" si="272"/>
        <v>0.21468714138969816</v>
      </c>
      <c r="BA443" s="32">
        <f t="shared" si="261"/>
        <v>-4.9610639203624824</v>
      </c>
      <c r="BB443" s="32">
        <f t="shared" si="273"/>
        <v>7.1470320796375173</v>
      </c>
      <c r="BC443" s="32">
        <f t="shared" si="262"/>
        <v>5.4350000000000005</v>
      </c>
      <c r="BD443" s="32">
        <v>0</v>
      </c>
      <c r="BE443" s="32">
        <f t="shared" si="274"/>
        <v>0.93874057677242351</v>
      </c>
      <c r="BF443" s="32">
        <f t="shared" si="275"/>
        <v>0.13755116181908156</v>
      </c>
      <c r="BG443" s="32">
        <f t="shared" si="276"/>
        <v>6.2552999488120584E-2</v>
      </c>
      <c r="BH443" s="32">
        <f t="shared" si="263"/>
        <v>1.0391558068271303</v>
      </c>
      <c r="BI443" s="32">
        <f t="shared" si="264"/>
        <v>0.34168938120464126</v>
      </c>
      <c r="BJ443" s="32">
        <f t="shared" si="281"/>
        <v>1.3808451880317716</v>
      </c>
      <c r="BK443" s="457">
        <f t="shared" si="265"/>
        <v>1.6413817460729201</v>
      </c>
    </row>
    <row r="444" spans="1:63" ht="15">
      <c r="A444" s="119"/>
      <c r="B444" s="480">
        <f>Input!B461</f>
        <v>38426</v>
      </c>
      <c r="C444" s="481">
        <v>2</v>
      </c>
      <c r="D444" s="481">
        <f t="shared" si="283"/>
        <v>3</v>
      </c>
      <c r="E444" s="481">
        <f t="shared" si="284"/>
        <v>15</v>
      </c>
      <c r="F444" s="481">
        <f t="shared" si="285"/>
        <v>74</v>
      </c>
      <c r="G444" s="431">
        <v>16.1568</v>
      </c>
      <c r="H444" s="455">
        <v>10.53</v>
      </c>
      <c r="I444" s="455">
        <v>0.4</v>
      </c>
      <c r="J444" s="455">
        <v>1.05</v>
      </c>
      <c r="K444" s="485"/>
      <c r="L444" s="433">
        <v>99</v>
      </c>
      <c r="M444" s="455">
        <v>83</v>
      </c>
      <c r="N444" s="484">
        <f>Weather!M445</f>
        <v>0</v>
      </c>
      <c r="O444" s="481" t="str">
        <f t="shared" si="266"/>
        <v/>
      </c>
      <c r="P444" s="4">
        <f t="shared" si="277"/>
        <v>1.4003264529478212</v>
      </c>
      <c r="Q444" s="169">
        <f t="shared" si="247"/>
        <v>1.2722613642663765</v>
      </c>
      <c r="R444" s="169">
        <f t="shared" si="248"/>
        <v>0.62881142847361471</v>
      </c>
      <c r="S444" s="169">
        <f t="shared" si="249"/>
        <v>1.0559769323410924</v>
      </c>
      <c r="T444" s="169">
        <f t="shared" si="250"/>
        <v>0.62252331418887852</v>
      </c>
      <c r="U444" s="169">
        <f t="shared" si="278"/>
        <v>0.83925012326498538</v>
      </c>
      <c r="V444" s="169">
        <f t="shared" si="279"/>
        <v>1.8398332912033872E-2</v>
      </c>
      <c r="W444" s="439">
        <f t="shared" si="280"/>
        <v>4.4477556899201822</v>
      </c>
      <c r="X444" s="439">
        <f t="shared" si="251"/>
        <v>4.4477556899201822</v>
      </c>
      <c r="Y444" s="169"/>
      <c r="Z444" s="119" t="str">
        <f t="shared" si="252"/>
        <v/>
      </c>
      <c r="AA444" s="4" t="str">
        <f t="shared" si="253"/>
        <v/>
      </c>
      <c r="AB444" s="466"/>
      <c r="AC444" s="466"/>
      <c r="AD444" s="466"/>
      <c r="AE444" s="466"/>
      <c r="AF444" s="466"/>
      <c r="AG444" s="466"/>
      <c r="AH444" s="466"/>
      <c r="AI444" s="466"/>
      <c r="AJ444" s="466"/>
      <c r="AK444" s="466"/>
      <c r="AL444" s="466"/>
      <c r="AM444" s="462">
        <f t="shared" si="282"/>
        <v>74</v>
      </c>
      <c r="AN444" s="32">
        <f t="shared" si="267"/>
        <v>1.0096558110759004</v>
      </c>
      <c r="AO444" s="32">
        <f t="shared" si="268"/>
        <v>-4.7398092634457378E-2</v>
      </c>
      <c r="AP444" s="32">
        <f t="shared" si="269"/>
        <v>1.5247430699487201</v>
      </c>
      <c r="AQ444" s="32">
        <f t="shared" si="270"/>
        <v>11.648179033317618</v>
      </c>
      <c r="AR444" s="32">
        <f t="shared" si="271"/>
        <v>25.263070157127991</v>
      </c>
      <c r="AS444" s="32">
        <f t="shared" si="254"/>
        <v>18.965492028359126</v>
      </c>
      <c r="AT444" s="32">
        <f t="shared" si="255"/>
        <v>12.440736000000001</v>
      </c>
      <c r="AU444" s="32">
        <f t="shared" si="256"/>
        <v>0.85190513253443234</v>
      </c>
      <c r="AV444" s="32">
        <f t="shared" si="257"/>
        <v>0.80007192892148382</v>
      </c>
      <c r="AW444" s="32">
        <f t="shared" si="258"/>
        <v>1.2722613642663765</v>
      </c>
      <c r="AX444" s="32">
        <f t="shared" si="259"/>
        <v>0.62881142847361471</v>
      </c>
      <c r="AY444" s="32">
        <f t="shared" si="260"/>
        <v>0.83925012326498538</v>
      </c>
      <c r="AZ444" s="32">
        <f t="shared" si="272"/>
        <v>0.21174516611061511</v>
      </c>
      <c r="BA444" s="32">
        <f t="shared" si="261"/>
        <v>-5.0120679746577617</v>
      </c>
      <c r="BB444" s="32">
        <f t="shared" si="273"/>
        <v>7.4286680253422395</v>
      </c>
      <c r="BC444" s="32">
        <f t="shared" si="262"/>
        <v>5.4649999999999999</v>
      </c>
      <c r="BD444" s="32">
        <v>0</v>
      </c>
      <c r="BE444" s="32">
        <f t="shared" si="274"/>
        <v>0.95053639636999554</v>
      </c>
      <c r="BF444" s="32">
        <f t="shared" si="275"/>
        <v>0.11128627310501016</v>
      </c>
      <c r="BG444" s="32">
        <f t="shared" si="276"/>
        <v>6.266815342021935E-2</v>
      </c>
      <c r="BH444" s="32">
        <f t="shared" si="263"/>
        <v>1.2354643483689882</v>
      </c>
      <c r="BI444" s="32">
        <f t="shared" si="264"/>
        <v>0.16486210457883305</v>
      </c>
      <c r="BJ444" s="32">
        <f t="shared" si="281"/>
        <v>1.4003264529478212</v>
      </c>
      <c r="BK444" s="457">
        <f t="shared" si="265"/>
        <v>1.7561259455260687</v>
      </c>
    </row>
    <row r="445" spans="1:63" ht="15">
      <c r="A445" s="119"/>
      <c r="B445" s="480">
        <f>Input!B462</f>
        <v>38427</v>
      </c>
      <c r="C445" s="481">
        <v>2</v>
      </c>
      <c r="D445" s="481">
        <f t="shared" si="283"/>
        <v>3</v>
      </c>
      <c r="E445" s="481">
        <f t="shared" si="284"/>
        <v>16</v>
      </c>
      <c r="F445" s="481">
        <f t="shared" si="285"/>
        <v>75</v>
      </c>
      <c r="G445" s="431">
        <v>7.6032000000000002</v>
      </c>
      <c r="H445" s="455">
        <v>11.39</v>
      </c>
      <c r="I445" s="455">
        <v>1.4</v>
      </c>
      <c r="J445" s="455">
        <v>1.75</v>
      </c>
      <c r="K445" s="485"/>
      <c r="L445" s="433">
        <v>98</v>
      </c>
      <c r="M445" s="455">
        <v>84</v>
      </c>
      <c r="N445" s="484">
        <f>Weather!M446</f>
        <v>0</v>
      </c>
      <c r="O445" s="481" t="str">
        <f t="shared" si="266"/>
        <v/>
      </c>
      <c r="P445" s="4">
        <f t="shared" si="277"/>
        <v>0.98386499581817932</v>
      </c>
      <c r="Q445" s="169">
        <f t="shared" si="247"/>
        <v>1.3471350543584519</v>
      </c>
      <c r="R445" s="169">
        <f t="shared" si="248"/>
        <v>0.67590997623515991</v>
      </c>
      <c r="S445" s="169">
        <f t="shared" si="249"/>
        <v>1.1315934456610997</v>
      </c>
      <c r="T445" s="169">
        <f t="shared" si="250"/>
        <v>0.66239177671045668</v>
      </c>
      <c r="U445" s="169">
        <f t="shared" si="278"/>
        <v>0.89699261118577822</v>
      </c>
      <c r="V445" s="169">
        <f t="shared" si="279"/>
        <v>2.2251190007487497E-2</v>
      </c>
      <c r="W445" s="439">
        <f t="shared" si="280"/>
        <v>5.4003720943595104</v>
      </c>
      <c r="X445" s="439">
        <f t="shared" si="251"/>
        <v>5.4003720943595104</v>
      </c>
      <c r="Y445" s="169"/>
      <c r="Z445" s="119" t="str">
        <f t="shared" si="252"/>
        <v/>
      </c>
      <c r="AA445" s="4" t="str">
        <f t="shared" si="253"/>
        <v/>
      </c>
      <c r="AB445" s="466"/>
      <c r="AC445" s="466"/>
      <c r="AD445" s="466"/>
      <c r="AE445" s="466"/>
      <c r="AF445" s="466"/>
      <c r="AG445" s="466"/>
      <c r="AH445" s="466"/>
      <c r="AI445" s="466"/>
      <c r="AJ445" s="466"/>
      <c r="AK445" s="466"/>
      <c r="AL445" s="466"/>
      <c r="AM445" s="462">
        <f t="shared" si="282"/>
        <v>75</v>
      </c>
      <c r="AN445" s="32">
        <f t="shared" si="267"/>
        <v>1.0091112001122164</v>
      </c>
      <c r="AO445" s="32">
        <f t="shared" si="268"/>
        <v>-4.0398242495160601E-2</v>
      </c>
      <c r="AP445" s="32">
        <f t="shared" si="269"/>
        <v>1.5315561604215739</v>
      </c>
      <c r="AQ445" s="32">
        <f t="shared" si="270"/>
        <v>11.700227210588992</v>
      </c>
      <c r="AR445" s="32">
        <f t="shared" si="271"/>
        <v>25.540088534237768</v>
      </c>
      <c r="AS445" s="32">
        <f t="shared" si="254"/>
        <v>19.17345526442298</v>
      </c>
      <c r="AT445" s="32">
        <f t="shared" si="255"/>
        <v>5.8544640000000001</v>
      </c>
      <c r="AU445" s="32">
        <f t="shared" si="256"/>
        <v>0.3965482431384188</v>
      </c>
      <c r="AV445" s="32">
        <f t="shared" si="257"/>
        <v>0.18534012823686541</v>
      </c>
      <c r="AW445" s="32">
        <f t="shared" si="258"/>
        <v>1.3471350543584519</v>
      </c>
      <c r="AX445" s="32">
        <f t="shared" si="259"/>
        <v>0.67590997623515991</v>
      </c>
      <c r="AY445" s="32">
        <f t="shared" si="260"/>
        <v>0.89699261118577822</v>
      </c>
      <c r="AZ445" s="32">
        <f t="shared" si="272"/>
        <v>0.20740642859006606</v>
      </c>
      <c r="BA445" s="32">
        <f t="shared" si="261"/>
        <v>-1.1524600437691126</v>
      </c>
      <c r="BB445" s="32">
        <f t="shared" si="273"/>
        <v>4.7020039562308877</v>
      </c>
      <c r="BC445" s="32">
        <f t="shared" si="262"/>
        <v>6.3950000000000005</v>
      </c>
      <c r="BD445" s="32">
        <v>0</v>
      </c>
      <c r="BE445" s="32">
        <f t="shared" si="274"/>
        <v>1.0115225152968059</v>
      </c>
      <c r="BF445" s="32">
        <f t="shared" si="275"/>
        <v>0.1145299041110277</v>
      </c>
      <c r="BG445" s="32">
        <f t="shared" si="276"/>
        <v>6.6329133198821208E-2</v>
      </c>
      <c r="BH445" s="32">
        <f t="shared" si="263"/>
        <v>0.73394426787382083</v>
      </c>
      <c r="BI445" s="32">
        <f t="shared" si="264"/>
        <v>0.24992072794435852</v>
      </c>
      <c r="BJ445" s="32">
        <f t="shared" si="281"/>
        <v>0.98386499581817932</v>
      </c>
      <c r="BK445" s="457">
        <f t="shared" si="265"/>
        <v>1.8335490000882819</v>
      </c>
    </row>
    <row r="446" spans="1:63" ht="15">
      <c r="A446" s="119"/>
      <c r="B446" s="480">
        <f>Input!B463</f>
        <v>38428</v>
      </c>
      <c r="C446" s="481">
        <v>2</v>
      </c>
      <c r="D446" s="481">
        <f t="shared" si="283"/>
        <v>3</v>
      </c>
      <c r="E446" s="481">
        <f t="shared" si="284"/>
        <v>17</v>
      </c>
      <c r="F446" s="481">
        <f t="shared" si="285"/>
        <v>76</v>
      </c>
      <c r="G446" s="431">
        <v>14.3424</v>
      </c>
      <c r="H446" s="455">
        <v>11.01</v>
      </c>
      <c r="I446" s="455">
        <v>2.2999999999999998</v>
      </c>
      <c r="J446" s="455">
        <v>1.31</v>
      </c>
      <c r="K446" s="485"/>
      <c r="L446" s="433">
        <v>100</v>
      </c>
      <c r="M446" s="455">
        <v>86</v>
      </c>
      <c r="N446" s="484">
        <f>Weather!M447</f>
        <v>0</v>
      </c>
      <c r="O446" s="481" t="str">
        <f t="shared" si="266"/>
        <v/>
      </c>
      <c r="P446" s="4">
        <f t="shared" si="277"/>
        <v>1.3348911220504578</v>
      </c>
      <c r="Q446" s="169">
        <f t="shared" si="247"/>
        <v>1.3135869771207336</v>
      </c>
      <c r="R446" s="169">
        <f t="shared" si="248"/>
        <v>0.72093576428893136</v>
      </c>
      <c r="S446" s="169">
        <f t="shared" si="249"/>
        <v>1.1296848003238309</v>
      </c>
      <c r="T446" s="169">
        <f t="shared" si="250"/>
        <v>0.72093576428893136</v>
      </c>
      <c r="U446" s="169">
        <f t="shared" si="278"/>
        <v>0.92531028230638113</v>
      </c>
      <c r="V446" s="169">
        <f t="shared" si="279"/>
        <v>2.4050929256030158E-2</v>
      </c>
      <c r="W446" s="439">
        <f t="shared" si="280"/>
        <v>5.8479337534542353</v>
      </c>
      <c r="X446" s="439">
        <f t="shared" si="251"/>
        <v>5.8479337534542353</v>
      </c>
      <c r="Y446" s="169"/>
      <c r="Z446" s="119" t="str">
        <f t="shared" si="252"/>
        <v/>
      </c>
      <c r="AA446" s="4" t="str">
        <f t="shared" si="253"/>
        <v/>
      </c>
      <c r="AB446" s="466"/>
      <c r="AC446" s="466"/>
      <c r="AD446" s="466"/>
      <c r="AE446" s="466"/>
      <c r="AF446" s="466"/>
      <c r="AG446" s="466"/>
      <c r="AH446" s="466"/>
      <c r="AI446" s="466"/>
      <c r="AJ446" s="466"/>
      <c r="AK446" s="466"/>
      <c r="AL446" s="466"/>
      <c r="AM446" s="462">
        <f t="shared" si="282"/>
        <v>76</v>
      </c>
      <c r="AN446" s="32">
        <f t="shared" si="267"/>
        <v>1.0085638893033033</v>
      </c>
      <c r="AO446" s="32">
        <f t="shared" si="268"/>
        <v>-3.3386421484746936E-2</v>
      </c>
      <c r="AP446" s="32">
        <f t="shared" si="269"/>
        <v>1.5383752136176176</v>
      </c>
      <c r="AQ446" s="32">
        <f t="shared" si="270"/>
        <v>11.752320939710124</v>
      </c>
      <c r="AR446" s="32">
        <f t="shared" si="271"/>
        <v>25.817229741485157</v>
      </c>
      <c r="AS446" s="32">
        <f t="shared" si="254"/>
        <v>19.381510711527739</v>
      </c>
      <c r="AT446" s="32">
        <f t="shared" si="255"/>
        <v>11.043647999999999</v>
      </c>
      <c r="AU446" s="32">
        <f t="shared" si="256"/>
        <v>0.74000423462704712</v>
      </c>
      <c r="AV446" s="32">
        <f t="shared" si="257"/>
        <v>0.64900571674651375</v>
      </c>
      <c r="AW446" s="32">
        <f t="shared" si="258"/>
        <v>1.3135869771207336</v>
      </c>
      <c r="AX446" s="32">
        <f t="shared" si="259"/>
        <v>0.72093576428893136</v>
      </c>
      <c r="AY446" s="32">
        <f t="shared" si="260"/>
        <v>0.92531028230638113</v>
      </c>
      <c r="AZ446" s="32">
        <f t="shared" si="272"/>
        <v>0.20532973032920346</v>
      </c>
      <c r="BA446" s="32">
        <f t="shared" si="261"/>
        <v>-4.0081977426552537</v>
      </c>
      <c r="BB446" s="32">
        <f t="shared" si="273"/>
        <v>7.0354502573447455</v>
      </c>
      <c r="BC446" s="32">
        <f t="shared" si="262"/>
        <v>6.6549999999999994</v>
      </c>
      <c r="BD446" s="32">
        <v>0</v>
      </c>
      <c r="BE446" s="32">
        <f t="shared" si="274"/>
        <v>1.0172613707048326</v>
      </c>
      <c r="BF446" s="32">
        <f t="shared" si="275"/>
        <v>9.1951088398451453E-2</v>
      </c>
      <c r="BG446" s="32">
        <f t="shared" si="276"/>
        <v>6.738479429819054E-2</v>
      </c>
      <c r="BH446" s="32">
        <f t="shared" si="263"/>
        <v>1.1766281869235231</v>
      </c>
      <c r="BI446" s="32">
        <f t="shared" si="264"/>
        <v>0.15826293512693468</v>
      </c>
      <c r="BJ446" s="32">
        <f t="shared" si="281"/>
        <v>1.3348911220504578</v>
      </c>
      <c r="BK446" s="457">
        <f t="shared" si="265"/>
        <v>1.7492349086710086</v>
      </c>
    </row>
    <row r="447" spans="1:63" ht="15">
      <c r="A447" s="119"/>
      <c r="B447" s="480">
        <f>Input!B464</f>
        <v>38429</v>
      </c>
      <c r="C447" s="481">
        <v>2</v>
      </c>
      <c r="D447" s="481">
        <f t="shared" si="283"/>
        <v>3</v>
      </c>
      <c r="E447" s="481">
        <f t="shared" si="284"/>
        <v>18</v>
      </c>
      <c r="F447" s="481">
        <f t="shared" si="285"/>
        <v>77</v>
      </c>
      <c r="G447" s="431">
        <v>14.0832</v>
      </c>
      <c r="H447" s="455">
        <v>10.25</v>
      </c>
      <c r="I447" s="455">
        <v>5.2</v>
      </c>
      <c r="J447" s="455">
        <v>1.7</v>
      </c>
      <c r="K447" s="485"/>
      <c r="L447" s="433">
        <v>93</v>
      </c>
      <c r="M447" s="455">
        <v>88</v>
      </c>
      <c r="N447" s="484">
        <f>Weather!M448</f>
        <v>0</v>
      </c>
      <c r="O447" s="481" t="str">
        <f t="shared" si="266"/>
        <v/>
      </c>
      <c r="P447" s="4">
        <f t="shared" si="277"/>
        <v>1.3733747862333849</v>
      </c>
      <c r="Q447" s="169">
        <f t="shared" si="247"/>
        <v>1.2486863221792912</v>
      </c>
      <c r="R447" s="169">
        <f t="shared" si="248"/>
        <v>0.88456442308191707</v>
      </c>
      <c r="S447" s="169">
        <f t="shared" si="249"/>
        <v>1.0988439635177762</v>
      </c>
      <c r="T447" s="169">
        <f t="shared" si="250"/>
        <v>0.82264491346618296</v>
      </c>
      <c r="U447" s="169">
        <f t="shared" si="278"/>
        <v>0.96074443849197966</v>
      </c>
      <c r="V447" s="169">
        <f t="shared" si="279"/>
        <v>2.6226917624124716E-2</v>
      </c>
      <c r="W447" s="439">
        <f t="shared" si="280"/>
        <v>6.3912708872789263</v>
      </c>
      <c r="X447" s="439">
        <f t="shared" si="251"/>
        <v>6.3912708872789263</v>
      </c>
      <c r="Y447" s="169"/>
      <c r="Z447" s="119" t="str">
        <f t="shared" si="252"/>
        <v/>
      </c>
      <c r="AA447" s="4" t="str">
        <f t="shared" si="253"/>
        <v/>
      </c>
      <c r="AB447" s="466"/>
      <c r="AC447" s="466"/>
      <c r="AD447" s="466"/>
      <c r="AE447" s="466"/>
      <c r="AF447" s="466"/>
      <c r="AG447" s="466"/>
      <c r="AH447" s="466"/>
      <c r="AI447" s="466"/>
      <c r="AJ447" s="466"/>
      <c r="AK447" s="466"/>
      <c r="AL447" s="466"/>
      <c r="AM447" s="462">
        <f t="shared" si="282"/>
        <v>77</v>
      </c>
      <c r="AN447" s="32">
        <f t="shared" si="267"/>
        <v>1.0080140408291658</v>
      </c>
      <c r="AO447" s="32">
        <f t="shared" si="268"/>
        <v>-2.6364707357109451E-2</v>
      </c>
      <c r="AP447" s="32">
        <f t="shared" si="269"/>
        <v>1.5451991785200399</v>
      </c>
      <c r="AQ447" s="32">
        <f t="shared" si="270"/>
        <v>11.804452191504017</v>
      </c>
      <c r="AR447" s="32">
        <f t="shared" si="271"/>
        <v>26.09439305881957</v>
      </c>
      <c r="AS447" s="32">
        <f t="shared" si="254"/>
        <v>19.589582757117029</v>
      </c>
      <c r="AT447" s="32">
        <f t="shared" si="255"/>
        <v>10.844063999999999</v>
      </c>
      <c r="AU447" s="32">
        <f t="shared" si="256"/>
        <v>0.71891270858658163</v>
      </c>
      <c r="AV447" s="32">
        <f t="shared" si="257"/>
        <v>0.62053215659188532</v>
      </c>
      <c r="AW447" s="32">
        <f t="shared" si="258"/>
        <v>1.2486863221792912</v>
      </c>
      <c r="AX447" s="32">
        <f t="shared" si="259"/>
        <v>0.88456442308191707</v>
      </c>
      <c r="AY447" s="32">
        <f t="shared" si="260"/>
        <v>0.96074443849197977</v>
      </c>
      <c r="AZ447" s="32">
        <f t="shared" si="272"/>
        <v>0.20277539945606401</v>
      </c>
      <c r="BA447" s="32">
        <f t="shared" si="261"/>
        <v>-3.8391803882883018</v>
      </c>
      <c r="BB447" s="32">
        <f t="shared" si="273"/>
        <v>7.0048836117116977</v>
      </c>
      <c r="BC447" s="32">
        <f t="shared" si="262"/>
        <v>7.7249999999999996</v>
      </c>
      <c r="BD447" s="32">
        <v>0</v>
      </c>
      <c r="BE447" s="32">
        <f t="shared" si="274"/>
        <v>1.0666253726306041</v>
      </c>
      <c r="BF447" s="32">
        <f t="shared" si="275"/>
        <v>0.10588093413862432</v>
      </c>
      <c r="BG447" s="32">
        <f t="shared" si="276"/>
        <v>7.1881973427875112E-2</v>
      </c>
      <c r="BH447" s="32">
        <f t="shared" si="263"/>
        <v>1.1555355181544824</v>
      </c>
      <c r="BI447" s="32">
        <f t="shared" si="264"/>
        <v>0.21783926807890247</v>
      </c>
      <c r="BJ447" s="32">
        <f t="shared" si="281"/>
        <v>1.3733747862333849</v>
      </c>
      <c r="BK447" s="457">
        <f t="shared" si="265"/>
        <v>1.405142570086054</v>
      </c>
    </row>
    <row r="448" spans="1:63" ht="15">
      <c r="A448" s="119"/>
      <c r="B448" s="480">
        <f>Input!B465</f>
        <v>38430</v>
      </c>
      <c r="C448" s="481">
        <v>2</v>
      </c>
      <c r="D448" s="481">
        <f t="shared" si="283"/>
        <v>3</v>
      </c>
      <c r="E448" s="481">
        <f t="shared" si="284"/>
        <v>19</v>
      </c>
      <c r="F448" s="481">
        <f t="shared" si="285"/>
        <v>78</v>
      </c>
      <c r="G448" s="431">
        <v>15.0336</v>
      </c>
      <c r="H448" s="455">
        <v>12.83</v>
      </c>
      <c r="I448" s="455">
        <v>5.6</v>
      </c>
      <c r="J448" s="455">
        <v>1.91</v>
      </c>
      <c r="K448" s="485"/>
      <c r="L448" s="433">
        <v>90</v>
      </c>
      <c r="M448" s="455">
        <v>88</v>
      </c>
      <c r="N448" s="484">
        <f>Weather!M449</f>
        <v>5.6</v>
      </c>
      <c r="O448" s="481">
        <f t="shared" si="266"/>
        <v>1</v>
      </c>
      <c r="P448" s="4">
        <f t="shared" si="277"/>
        <v>1.5527441502753514</v>
      </c>
      <c r="Q448" s="169">
        <f t="shared" si="247"/>
        <v>1.481196281758691</v>
      </c>
      <c r="R448" s="169">
        <f t="shared" si="248"/>
        <v>0.90952746275151153</v>
      </c>
      <c r="S448" s="169">
        <f t="shared" si="249"/>
        <v>1.303452727947648</v>
      </c>
      <c r="T448" s="169">
        <f t="shared" si="250"/>
        <v>0.81857471647636038</v>
      </c>
      <c r="U448" s="169">
        <f t="shared" si="278"/>
        <v>1.0610137222120042</v>
      </c>
      <c r="V448" s="169">
        <f t="shared" si="279"/>
        <v>3.1975130195002033E-2</v>
      </c>
      <c r="W448" s="439">
        <f t="shared" si="280"/>
        <v>7.838330018114589</v>
      </c>
      <c r="X448" s="439">
        <f t="shared" si="251"/>
        <v>7.838330018114589</v>
      </c>
      <c r="Y448" s="169"/>
      <c r="Z448" s="119" t="str">
        <f t="shared" si="252"/>
        <v/>
      </c>
      <c r="AA448" s="4" t="str">
        <f t="shared" si="253"/>
        <v/>
      </c>
      <c r="AB448" s="466"/>
      <c r="AC448" s="466"/>
      <c r="AD448" s="466"/>
      <c r="AE448" s="466"/>
      <c r="AF448" s="466"/>
      <c r="AG448" s="466"/>
      <c r="AH448" s="466"/>
      <c r="AI448" s="466"/>
      <c r="AJ448" s="466"/>
      <c r="AK448" s="466"/>
      <c r="AL448" s="466"/>
      <c r="AM448" s="462">
        <f t="shared" si="282"/>
        <v>78</v>
      </c>
      <c r="AN448" s="32">
        <f t="shared" si="267"/>
        <v>1.0074618176217736</v>
      </c>
      <c r="AO448" s="32">
        <f t="shared" si="268"/>
        <v>-1.9335180797684971E-2</v>
      </c>
      <c r="AP448" s="32">
        <f t="shared" si="269"/>
        <v>1.552027011837414</v>
      </c>
      <c r="AQ448" s="32">
        <f t="shared" si="270"/>
        <v>11.856612995811265</v>
      </c>
      <c r="AR448" s="32">
        <f t="shared" si="271"/>
        <v>26.371478191030921</v>
      </c>
      <c r="AS448" s="32">
        <f t="shared" si="254"/>
        <v>19.797596107570733</v>
      </c>
      <c r="AT448" s="32">
        <f t="shared" si="255"/>
        <v>11.575872</v>
      </c>
      <c r="AU448" s="32">
        <f t="shared" si="256"/>
        <v>0.75936492078707729</v>
      </c>
      <c r="AV448" s="32">
        <f t="shared" si="257"/>
        <v>0.67514264306255434</v>
      </c>
      <c r="AW448" s="32">
        <f t="shared" si="258"/>
        <v>1.481196281758691</v>
      </c>
      <c r="AX448" s="32">
        <f t="shared" si="259"/>
        <v>0.90952746275151153</v>
      </c>
      <c r="AY448" s="32">
        <f t="shared" si="260"/>
        <v>1.0610137222120042</v>
      </c>
      <c r="AZ448" s="32">
        <f t="shared" si="272"/>
        <v>0.19579227151308679</v>
      </c>
      <c r="BA448" s="32">
        <f t="shared" si="261"/>
        <v>-4.1215210432128258</v>
      </c>
      <c r="BB448" s="32">
        <f t="shared" si="273"/>
        <v>7.4543509567871746</v>
      </c>
      <c r="BC448" s="32">
        <f t="shared" si="262"/>
        <v>9.2149999999999999</v>
      </c>
      <c r="BD448" s="32">
        <v>0</v>
      </c>
      <c r="BE448" s="32">
        <f t="shared" si="274"/>
        <v>1.1953618722551012</v>
      </c>
      <c r="BF448" s="32">
        <f t="shared" si="275"/>
        <v>0.13434815004309697</v>
      </c>
      <c r="BG448" s="32">
        <f t="shared" si="276"/>
        <v>7.8570292735380312E-2</v>
      </c>
      <c r="BH448" s="32">
        <f t="shared" si="263"/>
        <v>1.2625690805597798</v>
      </c>
      <c r="BI448" s="32">
        <f t="shared" si="264"/>
        <v>0.2901750697155715</v>
      </c>
      <c r="BJ448" s="32">
        <f t="shared" si="281"/>
        <v>1.5527441502753514</v>
      </c>
      <c r="BK448" s="457">
        <f t="shared" si="265"/>
        <v>1.7983339615166272</v>
      </c>
    </row>
    <row r="449" spans="1:63" ht="15">
      <c r="A449" s="119"/>
      <c r="B449" s="480">
        <f>Input!B466</f>
        <v>38431</v>
      </c>
      <c r="C449" s="481">
        <v>2</v>
      </c>
      <c r="D449" s="481">
        <f t="shared" si="283"/>
        <v>3</v>
      </c>
      <c r="E449" s="481">
        <f t="shared" si="284"/>
        <v>20</v>
      </c>
      <c r="F449" s="481">
        <f t="shared" si="285"/>
        <v>79</v>
      </c>
      <c r="G449" s="431">
        <v>11.059200000000001</v>
      </c>
      <c r="H449" s="455">
        <v>11.43</v>
      </c>
      <c r="I449" s="455">
        <v>4.7</v>
      </c>
      <c r="J449" s="455">
        <v>1.89</v>
      </c>
      <c r="K449" s="485"/>
      <c r="L449" s="433">
        <v>91</v>
      </c>
      <c r="M449" s="455">
        <v>88</v>
      </c>
      <c r="N449" s="484">
        <f>Weather!M450</f>
        <v>0</v>
      </c>
      <c r="O449" s="481" t="str">
        <f t="shared" si="266"/>
        <v/>
      </c>
      <c r="P449" s="4">
        <f t="shared" si="277"/>
        <v>1.2539160732494974</v>
      </c>
      <c r="Q449" s="169">
        <f t="shared" si="247"/>
        <v>1.3507098424529123</v>
      </c>
      <c r="R449" s="169">
        <f t="shared" si="248"/>
        <v>0.85421136592944225</v>
      </c>
      <c r="S449" s="169">
        <f t="shared" si="249"/>
        <v>1.1886246613585627</v>
      </c>
      <c r="T449" s="169">
        <f t="shared" si="250"/>
        <v>0.77733234299579246</v>
      </c>
      <c r="U449" s="169">
        <f t="shared" si="278"/>
        <v>0.98297850217717753</v>
      </c>
      <c r="V449" s="169">
        <f t="shared" si="279"/>
        <v>2.7551689459028333E-2</v>
      </c>
      <c r="W449" s="439">
        <f t="shared" si="280"/>
        <v>6.7232528842487618</v>
      </c>
      <c r="X449" s="439">
        <f t="shared" si="251"/>
        <v>6.7232528842487618</v>
      </c>
      <c r="Y449" s="169"/>
      <c r="Z449" s="119" t="str">
        <f t="shared" si="252"/>
        <v/>
      </c>
      <c r="AA449" s="4" t="str">
        <f t="shared" si="253"/>
        <v/>
      </c>
      <c r="AB449" s="466"/>
      <c r="AC449" s="466"/>
      <c r="AD449" s="466"/>
      <c r="AE449" s="466"/>
      <c r="AF449" s="466"/>
      <c r="AG449" s="466"/>
      <c r="AH449" s="466"/>
      <c r="AI449" s="466"/>
      <c r="AJ449" s="466"/>
      <c r="AK449" s="466"/>
      <c r="AL449" s="466"/>
      <c r="AM449" s="462">
        <f t="shared" si="282"/>
        <v>79</v>
      </c>
      <c r="AN449" s="32">
        <f t="shared" si="267"/>
        <v>1.0069073833167805</v>
      </c>
      <c r="AO449" s="32">
        <f t="shared" si="268"/>
        <v>-1.2299924806902849E-2</v>
      </c>
      <c r="AP449" s="32">
        <f t="shared" si="269"/>
        <v>1.5588576763852824</v>
      </c>
      <c r="AQ449" s="32">
        <f t="shared" si="270"/>
        <v>11.908795429126263</v>
      </c>
      <c r="AR449" s="32">
        <f t="shared" si="271"/>
        <v>26.648385344457278</v>
      </c>
      <c r="AS449" s="32">
        <f t="shared" si="254"/>
        <v>20.005475845790968</v>
      </c>
      <c r="AT449" s="32">
        <f t="shared" si="255"/>
        <v>8.5155840000000005</v>
      </c>
      <c r="AU449" s="32">
        <f t="shared" si="256"/>
        <v>0.55280864525533346</v>
      </c>
      <c r="AV449" s="32">
        <f t="shared" si="257"/>
        <v>0.3962916710947002</v>
      </c>
      <c r="AW449" s="32">
        <f t="shared" si="258"/>
        <v>1.3507098424529123</v>
      </c>
      <c r="AX449" s="32">
        <f t="shared" si="259"/>
        <v>0.85421136592944225</v>
      </c>
      <c r="AY449" s="32">
        <f t="shared" si="260"/>
        <v>0.98297850217717764</v>
      </c>
      <c r="AZ449" s="32">
        <f t="shared" si="272"/>
        <v>0.20119661876354497</v>
      </c>
      <c r="BA449" s="32">
        <f t="shared" si="261"/>
        <v>-2.4454488495581943</v>
      </c>
      <c r="BB449" s="32">
        <f t="shared" si="273"/>
        <v>6.0701351504418062</v>
      </c>
      <c r="BC449" s="32">
        <f t="shared" si="262"/>
        <v>8.0649999999999995</v>
      </c>
      <c r="BD449" s="32">
        <v>0</v>
      </c>
      <c r="BE449" s="32">
        <f t="shared" si="274"/>
        <v>1.1024606041911773</v>
      </c>
      <c r="BF449" s="32">
        <f t="shared" si="275"/>
        <v>0.11948210201399967</v>
      </c>
      <c r="BG449" s="32">
        <f t="shared" si="276"/>
        <v>7.3363652316089753E-2</v>
      </c>
      <c r="BH449" s="32">
        <f t="shared" si="263"/>
        <v>0.98959861222212653</v>
      </c>
      <c r="BI449" s="32">
        <f t="shared" si="264"/>
        <v>0.26431746102737091</v>
      </c>
      <c r="BJ449" s="32">
        <f t="shared" si="281"/>
        <v>1.2539160732494974</v>
      </c>
      <c r="BK449" s="457">
        <f t="shared" si="265"/>
        <v>1.6786210553823906</v>
      </c>
    </row>
    <row r="450" spans="1:63" ht="15">
      <c r="A450" s="119"/>
      <c r="B450" s="480">
        <f>Input!B467</f>
        <v>38432</v>
      </c>
      <c r="C450" s="481">
        <v>2</v>
      </c>
      <c r="D450" s="481">
        <f t="shared" si="283"/>
        <v>3</v>
      </c>
      <c r="E450" s="481">
        <f t="shared" si="284"/>
        <v>21</v>
      </c>
      <c r="F450" s="481">
        <f t="shared" si="285"/>
        <v>80</v>
      </c>
      <c r="G450" s="431">
        <v>3.024</v>
      </c>
      <c r="H450" s="455">
        <v>10.64</v>
      </c>
      <c r="I450" s="455">
        <v>4.8</v>
      </c>
      <c r="J450" s="455">
        <v>1.26</v>
      </c>
      <c r="K450" s="485"/>
      <c r="L450" s="433">
        <v>100</v>
      </c>
      <c r="M450" s="455">
        <v>88</v>
      </c>
      <c r="N450" s="484">
        <f>Weather!M451</f>
        <v>1.8</v>
      </c>
      <c r="O450" s="481">
        <f t="shared" si="266"/>
        <v>1</v>
      </c>
      <c r="P450" s="4">
        <f t="shared" si="277"/>
        <v>0.47253029285191905</v>
      </c>
      <c r="Q450" s="169">
        <f t="shared" si="247"/>
        <v>1.2816294892538997</v>
      </c>
      <c r="R450" s="169">
        <f t="shared" si="248"/>
        <v>0.8602074134922596</v>
      </c>
      <c r="S450" s="169">
        <f t="shared" si="249"/>
        <v>1.1278339505434318</v>
      </c>
      <c r="T450" s="169">
        <f t="shared" si="250"/>
        <v>0.8602074134922596</v>
      </c>
      <c r="U450" s="169">
        <f t="shared" si="278"/>
        <v>0.99402068201784566</v>
      </c>
      <c r="V450" s="169">
        <f t="shared" si="279"/>
        <v>2.8198519974211734E-2</v>
      </c>
      <c r="W450" s="439">
        <f t="shared" si="280"/>
        <v>6.8856746232809556</v>
      </c>
      <c r="X450" s="439">
        <f t="shared" si="251"/>
        <v>6.8856746232809556</v>
      </c>
      <c r="Y450" s="169"/>
      <c r="Z450" s="119" t="str">
        <f t="shared" si="252"/>
        <v/>
      </c>
      <c r="AA450" s="4" t="str">
        <f t="shared" si="253"/>
        <v/>
      </c>
      <c r="AB450" s="466"/>
      <c r="AC450" s="466"/>
      <c r="AD450" s="466"/>
      <c r="AE450" s="466"/>
      <c r="AF450" s="466"/>
      <c r="AG450" s="466"/>
      <c r="AH450" s="466"/>
      <c r="AI450" s="466"/>
      <c r="AJ450" s="466"/>
      <c r="AK450" s="466"/>
      <c r="AL450" s="466"/>
      <c r="AM450" s="462">
        <f t="shared" si="282"/>
        <v>80</v>
      </c>
      <c r="AN450" s="32">
        <f t="shared" si="267"/>
        <v>1.0063509022050374</v>
      </c>
      <c r="AO450" s="32">
        <f t="shared" si="268"/>
        <v>-5.2610240829463247E-3</v>
      </c>
      <c r="AP450" s="32">
        <f t="shared" si="269"/>
        <v>1.5656901394614156</v>
      </c>
      <c r="AQ450" s="32">
        <f t="shared" si="270"/>
        <v>11.960991602185116</v>
      </c>
      <c r="AR450" s="32">
        <f t="shared" si="271"/>
        <v>26.925015302142537</v>
      </c>
      <c r="AS450" s="32">
        <f t="shared" si="254"/>
        <v>20.213147487624447</v>
      </c>
      <c r="AT450" s="32">
        <f t="shared" si="255"/>
        <v>2.3284799999999999</v>
      </c>
      <c r="AU450" s="32">
        <f t="shared" si="256"/>
        <v>0.3</v>
      </c>
      <c r="AV450" s="32">
        <f t="shared" si="257"/>
        <v>5.5000000000000049E-2</v>
      </c>
      <c r="AW450" s="32">
        <f t="shared" si="258"/>
        <v>1.2816294892538997</v>
      </c>
      <c r="AX450" s="32">
        <f t="shared" si="259"/>
        <v>0.8602074134922596</v>
      </c>
      <c r="AY450" s="32">
        <f t="shared" si="260"/>
        <v>0.99402068201784566</v>
      </c>
      <c r="AZ450" s="32">
        <f t="shared" si="272"/>
        <v>0.20041917980055507</v>
      </c>
      <c r="BA450" s="32">
        <f t="shared" si="261"/>
        <v>-0.33635742447595607</v>
      </c>
      <c r="BB450" s="32">
        <f t="shared" si="273"/>
        <v>1.9921225755240437</v>
      </c>
      <c r="BC450" s="32">
        <f t="shared" si="262"/>
        <v>7.7200000000000006</v>
      </c>
      <c r="BD450" s="32">
        <v>0</v>
      </c>
      <c r="BE450" s="32">
        <f t="shared" si="274"/>
        <v>1.0709184513730796</v>
      </c>
      <c r="BF450" s="32">
        <f t="shared" si="275"/>
        <v>7.6897769355233958E-2</v>
      </c>
      <c r="BG450" s="32">
        <f t="shared" si="276"/>
        <v>7.1860376374214219E-2</v>
      </c>
      <c r="BH450" s="32">
        <f t="shared" si="263"/>
        <v>0.3482326136201303</v>
      </c>
      <c r="BI450" s="32">
        <f t="shared" si="264"/>
        <v>0.12429767923178878</v>
      </c>
      <c r="BJ450" s="32">
        <f t="shared" si="281"/>
        <v>0.47253029285191905</v>
      </c>
      <c r="BK450" s="457">
        <f t="shared" si="265"/>
        <v>1.5588517112068909</v>
      </c>
    </row>
    <row r="451" spans="1:63" ht="15">
      <c r="A451" s="119"/>
      <c r="B451" s="480">
        <f>Input!B468</f>
        <v>38433</v>
      </c>
      <c r="C451" s="481">
        <v>2</v>
      </c>
      <c r="D451" s="481">
        <f t="shared" si="283"/>
        <v>3</v>
      </c>
      <c r="E451" s="481">
        <f t="shared" si="284"/>
        <v>22</v>
      </c>
      <c r="F451" s="481">
        <f t="shared" si="285"/>
        <v>81</v>
      </c>
      <c r="G451" s="431">
        <v>11.4048</v>
      </c>
      <c r="H451" s="455">
        <v>13.36</v>
      </c>
      <c r="I451" s="455">
        <v>5.3</v>
      </c>
      <c r="J451" s="455">
        <v>1.57</v>
      </c>
      <c r="K451" s="485"/>
      <c r="L451" s="433">
        <v>100</v>
      </c>
      <c r="M451" s="455">
        <v>80</v>
      </c>
      <c r="N451" s="484">
        <f>Weather!M452</f>
        <v>20.8</v>
      </c>
      <c r="O451" s="481">
        <f t="shared" si="266"/>
        <v>1</v>
      </c>
      <c r="P451" s="4">
        <f t="shared" si="277"/>
        <v>1.4014913229730439</v>
      </c>
      <c r="Q451" s="169">
        <f t="shared" si="247"/>
        <v>1.533408492539041</v>
      </c>
      <c r="R451" s="169">
        <f t="shared" si="248"/>
        <v>0.89074786868336131</v>
      </c>
      <c r="S451" s="169">
        <f t="shared" si="249"/>
        <v>1.226726794031233</v>
      </c>
      <c r="T451" s="169">
        <f t="shared" si="250"/>
        <v>0.89074786868336131</v>
      </c>
      <c r="U451" s="169">
        <f t="shared" si="278"/>
        <v>1.0587373313572972</v>
      </c>
      <c r="V451" s="169">
        <f t="shared" si="279"/>
        <v>3.1850764730169644E-2</v>
      </c>
      <c r="W451" s="439">
        <f t="shared" si="280"/>
        <v>7.8068403042871113</v>
      </c>
      <c r="X451" s="439">
        <f t="shared" si="251"/>
        <v>7.8068403042871113</v>
      </c>
      <c r="Y451" s="169"/>
      <c r="Z451" s="119" t="str">
        <f t="shared" si="252"/>
        <v/>
      </c>
      <c r="AA451" s="4" t="str">
        <f t="shared" si="253"/>
        <v/>
      </c>
      <c r="AB451" s="466"/>
      <c r="AC451" s="466"/>
      <c r="AD451" s="466"/>
      <c r="AE451" s="466"/>
      <c r="AF451" s="466"/>
      <c r="AG451" s="466"/>
      <c r="AH451" s="466"/>
      <c r="AI451" s="466"/>
      <c r="AJ451" s="466"/>
      <c r="AK451" s="466"/>
      <c r="AL451" s="466"/>
      <c r="AM451" s="462">
        <f t="shared" si="282"/>
        <v>81</v>
      </c>
      <c r="AN451" s="32">
        <f t="shared" si="267"/>
        <v>1.0057925391839071</v>
      </c>
      <c r="AO451" s="32">
        <f t="shared" si="268"/>
        <v>1.7794355959882655E-3</v>
      </c>
      <c r="AP451" s="32">
        <f t="shared" si="269"/>
        <v>1.5725233712164666</v>
      </c>
      <c r="AQ451" s="32">
        <f t="shared" si="270"/>
        <v>12.013193647518342</v>
      </c>
      <c r="AR451" s="32">
        <f t="shared" si="271"/>
        <v>27.201269497298306</v>
      </c>
      <c r="AS451" s="32">
        <f t="shared" si="254"/>
        <v>20.420537037011787</v>
      </c>
      <c r="AT451" s="32">
        <f t="shared" si="255"/>
        <v>8.7816960000000002</v>
      </c>
      <c r="AU451" s="32">
        <f t="shared" si="256"/>
        <v>0.55849657525309171</v>
      </c>
      <c r="AV451" s="32">
        <f t="shared" si="257"/>
        <v>0.4039703765916739</v>
      </c>
      <c r="AW451" s="32">
        <f t="shared" si="258"/>
        <v>1.533408492539041</v>
      </c>
      <c r="AX451" s="32">
        <f t="shared" si="259"/>
        <v>0.89074786868336131</v>
      </c>
      <c r="AY451" s="32">
        <f t="shared" si="260"/>
        <v>1.0587373313572972</v>
      </c>
      <c r="AZ451" s="32">
        <f t="shared" si="272"/>
        <v>0.19594705246124597</v>
      </c>
      <c r="BA451" s="32">
        <f t="shared" si="261"/>
        <v>-2.4726645708839423</v>
      </c>
      <c r="BB451" s="32">
        <f t="shared" si="273"/>
        <v>6.3090314291160574</v>
      </c>
      <c r="BC451" s="32">
        <f t="shared" si="262"/>
        <v>9.33</v>
      </c>
      <c r="BD451" s="32">
        <v>0</v>
      </c>
      <c r="BE451" s="32">
        <f t="shared" si="274"/>
        <v>1.2120781806112011</v>
      </c>
      <c r="BF451" s="32">
        <f t="shared" si="275"/>
        <v>0.1533408492539039</v>
      </c>
      <c r="BG451" s="32">
        <f t="shared" si="276"/>
        <v>7.9107889835552128E-2</v>
      </c>
      <c r="BH451" s="32">
        <f t="shared" si="263"/>
        <v>1.1185680892368588</v>
      </c>
      <c r="BI451" s="32">
        <f t="shared" si="264"/>
        <v>0.28292323373618505</v>
      </c>
      <c r="BJ451" s="32">
        <f t="shared" si="281"/>
        <v>1.4014913229730439</v>
      </c>
      <c r="BK451" s="457">
        <f t="shared" si="265"/>
        <v>1.9668364110729073</v>
      </c>
    </row>
    <row r="452" spans="1:63" ht="15">
      <c r="A452" s="119"/>
      <c r="B452" s="480">
        <f>Input!B469</f>
        <v>38434</v>
      </c>
      <c r="C452" s="481">
        <v>2</v>
      </c>
      <c r="D452" s="481">
        <f t="shared" si="283"/>
        <v>3</v>
      </c>
      <c r="E452" s="481">
        <f t="shared" si="284"/>
        <v>23</v>
      </c>
      <c r="F452" s="481">
        <f t="shared" si="285"/>
        <v>82</v>
      </c>
      <c r="G452" s="431">
        <v>16.1568</v>
      </c>
      <c r="H452" s="455">
        <v>13.86</v>
      </c>
      <c r="I452" s="455">
        <v>6.2</v>
      </c>
      <c r="J452" s="455">
        <v>1.52</v>
      </c>
      <c r="K452" s="485"/>
      <c r="L452" s="433">
        <v>100</v>
      </c>
      <c r="M452" s="455">
        <v>75</v>
      </c>
      <c r="N452" s="484">
        <f>Weather!M453</f>
        <v>5.2</v>
      </c>
      <c r="O452" s="481">
        <f t="shared" si="266"/>
        <v>1</v>
      </c>
      <c r="P452" s="4">
        <f t="shared" si="277"/>
        <v>1.8243026445582893</v>
      </c>
      <c r="Q452" s="169">
        <f t="shared" si="247"/>
        <v>1.5841390129071271</v>
      </c>
      <c r="R452" s="169">
        <f t="shared" si="248"/>
        <v>0.94813654445332363</v>
      </c>
      <c r="S452" s="169">
        <f t="shared" si="249"/>
        <v>1.1881042596803453</v>
      </c>
      <c r="T452" s="169">
        <f t="shared" si="250"/>
        <v>0.94813654445332363</v>
      </c>
      <c r="U452" s="169">
        <f t="shared" si="278"/>
        <v>1.0681204020668345</v>
      </c>
      <c r="V452" s="169">
        <f t="shared" si="279"/>
        <v>3.23616778134957E-2</v>
      </c>
      <c r="W452" s="439">
        <f t="shared" si="280"/>
        <v>7.9362567284332757</v>
      </c>
      <c r="X452" s="439">
        <f t="shared" si="251"/>
        <v>7.9362567284332757</v>
      </c>
      <c r="Y452" s="169"/>
      <c r="Z452" s="119" t="str">
        <f t="shared" si="252"/>
        <v/>
      </c>
      <c r="AA452" s="4" t="str">
        <f t="shared" si="253"/>
        <v/>
      </c>
      <c r="AB452" s="466"/>
      <c r="AC452" s="466"/>
      <c r="AD452" s="466"/>
      <c r="AE452" s="466"/>
      <c r="AF452" s="466"/>
      <c r="AG452" s="466"/>
      <c r="AH452" s="466"/>
      <c r="AI452" s="466"/>
      <c r="AJ452" s="466"/>
      <c r="AK452" s="466"/>
      <c r="AL452" s="466"/>
      <c r="AM452" s="462">
        <f t="shared" si="282"/>
        <v>82</v>
      </c>
      <c r="AN452" s="32">
        <f t="shared" si="267"/>
        <v>1.0052324597084035</v>
      </c>
      <c r="AO452" s="32">
        <f t="shared" si="268"/>
        <v>8.8193679897523095E-3</v>
      </c>
      <c r="AP452" s="32">
        <f t="shared" si="269"/>
        <v>1.5793563430217132</v>
      </c>
      <c r="AQ452" s="32">
        <f t="shared" si="270"/>
        <v>12.065393706981347</v>
      </c>
      <c r="AR452" s="32">
        <f t="shared" si="271"/>
        <v>27.477050084929527</v>
      </c>
      <c r="AS452" s="32">
        <f t="shared" si="254"/>
        <v>20.627571039758294</v>
      </c>
      <c r="AT452" s="32">
        <f t="shared" si="255"/>
        <v>12.440736000000001</v>
      </c>
      <c r="AU452" s="32">
        <f t="shared" si="256"/>
        <v>0.78326236127650828</v>
      </c>
      <c r="AV452" s="32">
        <f t="shared" si="257"/>
        <v>0.70740418772328628</v>
      </c>
      <c r="AW452" s="32">
        <f t="shared" si="258"/>
        <v>1.5841390129071271</v>
      </c>
      <c r="AX452" s="32">
        <f t="shared" si="259"/>
        <v>0.94813654445332363</v>
      </c>
      <c r="AY452" s="32">
        <f t="shared" si="260"/>
        <v>1.0681204020668345</v>
      </c>
      <c r="AZ452" s="32">
        <f t="shared" si="272"/>
        <v>0.19531012516243595</v>
      </c>
      <c r="BA452" s="32">
        <f t="shared" si="261"/>
        <v>-4.358280587085031</v>
      </c>
      <c r="BB452" s="32">
        <f t="shared" si="273"/>
        <v>8.082455412914971</v>
      </c>
      <c r="BC452" s="32">
        <f t="shared" si="262"/>
        <v>10.029999999999999</v>
      </c>
      <c r="BD452" s="32">
        <v>0</v>
      </c>
      <c r="BE452" s="32">
        <f t="shared" si="274"/>
        <v>1.2661377786802253</v>
      </c>
      <c r="BF452" s="32">
        <f t="shared" si="275"/>
        <v>0.19801737661339081</v>
      </c>
      <c r="BG452" s="32">
        <f t="shared" si="276"/>
        <v>8.2448437693211765E-2</v>
      </c>
      <c r="BH452" s="32">
        <f t="shared" si="263"/>
        <v>1.4756712601934998</v>
      </c>
      <c r="BI452" s="32">
        <f t="shared" si="264"/>
        <v>0.34863138436478941</v>
      </c>
      <c r="BJ452" s="32">
        <f t="shared" si="281"/>
        <v>1.8243026445582893</v>
      </c>
      <c r="BK452" s="457">
        <f t="shared" si="265"/>
        <v>1.9868242320373564</v>
      </c>
    </row>
    <row r="453" spans="1:63" ht="15">
      <c r="A453" s="119"/>
      <c r="B453" s="480">
        <f>Input!B470</f>
        <v>38435</v>
      </c>
      <c r="C453" s="481">
        <v>2</v>
      </c>
      <c r="D453" s="481">
        <f t="shared" si="283"/>
        <v>3</v>
      </c>
      <c r="E453" s="481">
        <f t="shared" si="284"/>
        <v>24</v>
      </c>
      <c r="F453" s="481">
        <f t="shared" si="285"/>
        <v>83</v>
      </c>
      <c r="G453" s="431">
        <v>2.5920000000000001</v>
      </c>
      <c r="H453" s="455">
        <v>13.17</v>
      </c>
      <c r="I453" s="455">
        <v>3.7</v>
      </c>
      <c r="J453" s="455">
        <v>1.05</v>
      </c>
      <c r="K453" s="485"/>
      <c r="L453" s="433">
        <v>99</v>
      </c>
      <c r="M453" s="455">
        <v>82</v>
      </c>
      <c r="N453" s="484">
        <f>Weather!M454</f>
        <v>0</v>
      </c>
      <c r="O453" s="481" t="str">
        <f t="shared" si="266"/>
        <v/>
      </c>
      <c r="P453" s="4">
        <f t="shared" si="277"/>
        <v>0.49590084445667348</v>
      </c>
      <c r="Q453" s="169">
        <f t="shared" ref="Q453:Q516" si="286">IF(H453="","",0.6108*EXP((17.27*H453)/(H453+237.3)))</f>
        <v>1.5145081165520657</v>
      </c>
      <c r="R453" s="169">
        <f t="shared" ref="R453:R516" si="287">IF(I453="","",0.6108*EXP((17.27*I453)/(I453+237.3)))</f>
        <v>0.79624796581976021</v>
      </c>
      <c r="S453" s="169">
        <f t="shared" ref="S453:S516" si="288">IF(OR(M453="",Q453=""),"",M453/100*Q453)</f>
        <v>1.2418966555726938</v>
      </c>
      <c r="T453" s="169">
        <f t="shared" ref="T453:T516" si="289">IF(OR(L453="",R453=""),"",L453/100*R453)</f>
        <v>0.78828548616156258</v>
      </c>
      <c r="U453" s="169">
        <f t="shared" si="278"/>
        <v>1.0150910708671281</v>
      </c>
      <c r="V453" s="169">
        <f t="shared" si="279"/>
        <v>2.941308854074166E-2</v>
      </c>
      <c r="W453" s="439">
        <f t="shared" si="280"/>
        <v>7.1912425650002998</v>
      </c>
      <c r="X453" s="439">
        <f t="shared" ref="X453:X516" si="290">IF(AND(K453="",W453=""),"",IF(K453="",W453,K453))</f>
        <v>7.1912425650002998</v>
      </c>
      <c r="Y453" s="169"/>
      <c r="Z453" s="119" t="str">
        <f t="shared" ref="Z453:Z516" si="291">IF(AND(B453&gt;=H$1,B453&lt;=J$1),3,"")</f>
        <v/>
      </c>
      <c r="AA453" s="4" t="str">
        <f t="shared" ref="AA453:AA516" si="292">IF(Z453=3,$P$1+0.1654*($AA$1-7.3)*($P$1-1),"")</f>
        <v/>
      </c>
      <c r="AB453" s="466"/>
      <c r="AC453" s="466"/>
      <c r="AD453" s="466"/>
      <c r="AE453" s="466"/>
      <c r="AF453" s="466"/>
      <c r="AG453" s="466"/>
      <c r="AH453" s="466"/>
      <c r="AI453" s="466"/>
      <c r="AJ453" s="466"/>
      <c r="AK453" s="466"/>
      <c r="AL453" s="466"/>
      <c r="AM453" s="462">
        <f t="shared" si="282"/>
        <v>83</v>
      </c>
      <c r="AN453" s="32">
        <f t="shared" si="267"/>
        <v>1.0046708297421625</v>
      </c>
      <c r="AO453" s="32">
        <f t="shared" si="268"/>
        <v>1.5856687014443527E-2</v>
      </c>
      <c r="AP453" s="32">
        <f t="shared" si="269"/>
        <v>1.586188025835557</v>
      </c>
      <c r="AQ453" s="32">
        <f t="shared" si="270"/>
        <v>12.117583919275386</v>
      </c>
      <c r="AR453" s="32">
        <f t="shared" si="271"/>
        <v>27.752260011489177</v>
      </c>
      <c r="AS453" s="32">
        <f t="shared" ref="AS453:AS516" si="293">AR453*(0.75+2*10^-5*E$2)</f>
        <v>20.834176635825155</v>
      </c>
      <c r="AT453" s="32">
        <f t="shared" ref="AT453:AT516" si="294">IF(G453="","",(1-AO$1)*G453)</f>
        <v>1.9958400000000001</v>
      </c>
      <c r="AU453" s="32">
        <f t="shared" ref="AU453:AU516" si="295">IF(G453="","",IF(G453/AS453&lt;0.3,0.3,IF(G453/AS453&gt;1,1,G453/AS453)))</f>
        <v>0.3</v>
      </c>
      <c r="AV453" s="32">
        <f t="shared" ref="AV453:AV516" si="296">IF(G453="","",1.35*AU453-0.35)</f>
        <v>5.5000000000000049E-2</v>
      </c>
      <c r="AW453" s="32">
        <f t="shared" ref="AW453:AW516" si="297">IF(H453="","",0.6108*EXP((17.27*H453)/(H453+237.3)))</f>
        <v>1.5145081165520657</v>
      </c>
      <c r="AX453" s="32">
        <f t="shared" ref="AX453:AX516" si="298">IF(I453="","",0.6108*EXP((17.27*I453)/(I453+237.3)))</f>
        <v>0.79624796581976021</v>
      </c>
      <c r="AY453" s="32">
        <f t="shared" ref="AY453:AY516" si="299">IF(X453="","",0.6108*EXP((17.27*X453)/(X453+237.3)))</f>
        <v>1.0150910708671281</v>
      </c>
      <c r="AZ453" s="32">
        <f t="shared" si="272"/>
        <v>0.19894758070491769</v>
      </c>
      <c r="BA453" s="32">
        <f t="shared" ref="BA453:BA516" si="300">IF(AV453="","",IF(AZ453="","",IF(H453="","",IF(I453="","",-AV453*AZ453*BA$1*(((H453+273.15)^4+(I453+273.15)^4)/2)))))</f>
        <v>-0.33765386003520836</v>
      </c>
      <c r="BB453" s="32">
        <f t="shared" si="273"/>
        <v>1.6581861399647917</v>
      </c>
      <c r="BC453" s="32">
        <f t="shared" ref="BC453:BC516" si="301">IF(H453="","",IF(I453="","",(H453+I453)/2))</f>
        <v>8.4350000000000005</v>
      </c>
      <c r="BD453" s="32">
        <v>0</v>
      </c>
      <c r="BE453" s="32">
        <f t="shared" si="274"/>
        <v>1.1553780411859129</v>
      </c>
      <c r="BF453" s="32">
        <f t="shared" si="275"/>
        <v>0.14028697031878479</v>
      </c>
      <c r="BG453" s="32">
        <f t="shared" si="276"/>
        <v>7.5005652271202844E-2</v>
      </c>
      <c r="BH453" s="32">
        <f t="shared" ref="BH453:BH516" si="302">IF($AY453="","",IF($G453="","",0.408*$BG453*($BB453-$BD453)/($BG453+$BA$2*(1+0.34*$J453))))</f>
        <v>0.30554542886609581</v>
      </c>
      <c r="BI453" s="32">
        <f t="shared" ref="BI453:BI516" si="303">IF($BC453="","",IF($BF453="","",IF($BG453="","",IF($J453="","",($BA$2*900/($BC453+273)*$J453*$BF453)/($BG453+$BA$2*(1+0.34*$J453))))))</f>
        <v>0.19035541559057764</v>
      </c>
      <c r="BJ453" s="32">
        <f t="shared" si="281"/>
        <v>0.49590084445667348</v>
      </c>
      <c r="BK453" s="457">
        <f t="shared" ref="BK453:BK516" si="304">IF(OR(H453="",I453=""),"",0.0023*AR453*(H453-I453)^0.5*((H453+I453)/2+17.8)/2.45)</f>
        <v>2.103372373625028</v>
      </c>
    </row>
    <row r="454" spans="1:63" ht="15">
      <c r="A454" s="119"/>
      <c r="B454" s="480">
        <f>Input!B471</f>
        <v>38436</v>
      </c>
      <c r="C454" s="481">
        <v>2</v>
      </c>
      <c r="D454" s="481">
        <f t="shared" si="283"/>
        <v>3</v>
      </c>
      <c r="E454" s="481">
        <f t="shared" si="284"/>
        <v>25</v>
      </c>
      <c r="F454" s="481">
        <f t="shared" si="285"/>
        <v>84</v>
      </c>
      <c r="G454" s="431">
        <v>13.9968</v>
      </c>
      <c r="H454" s="455">
        <v>13.04</v>
      </c>
      <c r="I454" s="455">
        <v>4.5999999999999996</v>
      </c>
      <c r="J454" s="455">
        <v>1.01</v>
      </c>
      <c r="K454" s="485"/>
      <c r="L454" s="433">
        <v>100</v>
      </c>
      <c r="M454" s="455">
        <v>86</v>
      </c>
      <c r="N454" s="484">
        <f>Weather!M455</f>
        <v>0</v>
      </c>
      <c r="O454" s="481" t="str">
        <f t="shared" ref="O454:O517" si="305">IF(AND(N454&lt;&gt;"",P454&lt;&gt;"",N454&gt;(P454*2)),1,"")</f>
        <v/>
      </c>
      <c r="P454" s="4">
        <f t="shared" si="277"/>
        <v>1.5357753584385381</v>
      </c>
      <c r="Q454" s="169">
        <f t="shared" si="286"/>
        <v>1.5016943929164366</v>
      </c>
      <c r="R454" s="169">
        <f t="shared" si="287"/>
        <v>0.84825220792722944</v>
      </c>
      <c r="S454" s="169">
        <f t="shared" si="288"/>
        <v>1.2914571779081354</v>
      </c>
      <c r="T454" s="169">
        <f t="shared" si="289"/>
        <v>0.84825220792722944</v>
      </c>
      <c r="U454" s="169">
        <f t="shared" si="278"/>
        <v>1.0698546929176824</v>
      </c>
      <c r="V454" s="169">
        <f t="shared" si="279"/>
        <v>3.2455619217033611E-2</v>
      </c>
      <c r="W454" s="439">
        <f t="shared" si="280"/>
        <v>7.9600673552252053</v>
      </c>
      <c r="X454" s="439">
        <f t="shared" si="290"/>
        <v>7.9600673552252053</v>
      </c>
      <c r="Y454" s="169"/>
      <c r="Z454" s="119" t="str">
        <f t="shared" si="291"/>
        <v/>
      </c>
      <c r="AA454" s="4" t="str">
        <f t="shared" si="292"/>
        <v/>
      </c>
      <c r="AB454" s="466"/>
      <c r="AC454" s="466"/>
      <c r="AD454" s="466"/>
      <c r="AE454" s="466"/>
      <c r="AF454" s="466"/>
      <c r="AG454" s="466"/>
      <c r="AH454" s="466"/>
      <c r="AI454" s="466"/>
      <c r="AJ454" s="466"/>
      <c r="AK454" s="466"/>
      <c r="AL454" s="466"/>
      <c r="AM454" s="462">
        <f t="shared" si="282"/>
        <v>84</v>
      </c>
      <c r="AN454" s="32">
        <f t="shared" ref="AN454:AN517" si="306">1+0.033*COS(2*PI()/365*AM454)</f>
        <v>1.0041078157082641</v>
      </c>
      <c r="AO454" s="32">
        <f t="shared" ref="AO454:AO517" si="307">0.409*SIN(2*PI()/365*AM454-1.39)</f>
        <v>2.2889307360556943E-2</v>
      </c>
      <c r="AP454" s="32">
        <f t="shared" ref="AP454:AP517" si="308">ACOS(-TAN(AS$2)*TAN(AO454))</f>
        <v>1.5930173885704422</v>
      </c>
      <c r="AQ454" s="32">
        <f t="shared" ref="AQ454:AQ517" si="309">AP454*24/PI()</f>
        <v>12.169756407471766</v>
      </c>
      <c r="AR454" s="32">
        <f t="shared" ref="AR454:AR517" si="310">(24*60/PI())*AS$1*AN454*(AP454*SIN(AS$2)*SIN(AO454)+COS(AS$2)*COS(AO454)*SIN(AP454))</f>
        <v>28.026803082433435</v>
      </c>
      <c r="AS454" s="32">
        <f t="shared" si="293"/>
        <v>21.040281610044431</v>
      </c>
      <c r="AT454" s="32">
        <f t="shared" si="294"/>
        <v>10.777536000000001</v>
      </c>
      <c r="AU454" s="32">
        <f t="shared" si="295"/>
        <v>0.66523824440249224</v>
      </c>
      <c r="AV454" s="32">
        <f t="shared" si="296"/>
        <v>0.54807162994336456</v>
      </c>
      <c r="AW454" s="32">
        <f t="shared" si="297"/>
        <v>1.5016943929164366</v>
      </c>
      <c r="AX454" s="32">
        <f t="shared" si="298"/>
        <v>0.84825220792722944</v>
      </c>
      <c r="AY454" s="32">
        <f t="shared" si="299"/>
        <v>1.0698546929176824</v>
      </c>
      <c r="AZ454" s="32">
        <f t="shared" ref="AZ454:AZ517" si="311">IF(AY454="","",0.34-0.14*SQRT(AY454))</f>
        <v>0.19519270743092193</v>
      </c>
      <c r="BA454" s="32">
        <f t="shared" si="300"/>
        <v>-3.3181184871678759</v>
      </c>
      <c r="BB454" s="32">
        <f t="shared" ref="BB454:BB517" si="312">IF(AT454="","",IF(BA454="","",AT454+BA454))</f>
        <v>7.4594175128321254</v>
      </c>
      <c r="BC454" s="32">
        <f t="shared" si="301"/>
        <v>8.82</v>
      </c>
      <c r="BD454" s="32">
        <v>0</v>
      </c>
      <c r="BE454" s="32">
        <f t="shared" ref="BE454:BE517" si="313">IF(AW454="","",IF(AX454="","",(AW454+AX454)/2))</f>
        <v>1.174973300421833</v>
      </c>
      <c r="BF454" s="32">
        <f t="shared" ref="BF454:BF517" si="314">IF(BE454="","",IF(AY454="","",BE454-AY454))</f>
        <v>0.10511860750415059</v>
      </c>
      <c r="BG454" s="32">
        <f t="shared" ref="BG454:BG517" si="315">IF(BE454="","",IF(BC454="","",4099*0.6108*EXP((17.27*BC454)/(BC454+237.3))/(BC454+237.3)^2))</f>
        <v>7.6747455673748785E-2</v>
      </c>
      <c r="BH454" s="32">
        <f t="shared" si="302"/>
        <v>1.3994416508093652</v>
      </c>
      <c r="BI454" s="32">
        <f t="shared" si="303"/>
        <v>0.13633370762917274</v>
      </c>
      <c r="BJ454" s="32">
        <f t="shared" si="281"/>
        <v>1.5357753584385381</v>
      </c>
      <c r="BK454" s="457">
        <f t="shared" si="304"/>
        <v>2.0347665439827307</v>
      </c>
    </row>
    <row r="455" spans="1:63" ht="15">
      <c r="A455" s="119"/>
      <c r="B455" s="480">
        <f>Input!B472</f>
        <v>38437</v>
      </c>
      <c r="C455" s="481">
        <v>2</v>
      </c>
      <c r="D455" s="481">
        <f t="shared" si="283"/>
        <v>3</v>
      </c>
      <c r="E455" s="481">
        <f t="shared" si="284"/>
        <v>26</v>
      </c>
      <c r="F455" s="481">
        <f t="shared" si="285"/>
        <v>85</v>
      </c>
      <c r="G455" s="431">
        <v>17.107199999999999</v>
      </c>
      <c r="H455" s="455">
        <v>13.91</v>
      </c>
      <c r="I455" s="455">
        <v>5.9</v>
      </c>
      <c r="J455" s="455">
        <v>1.49</v>
      </c>
      <c r="K455" s="485"/>
      <c r="L455" s="433">
        <v>100</v>
      </c>
      <c r="M455" s="455">
        <v>85</v>
      </c>
      <c r="N455" s="484">
        <f>Weather!M456</f>
        <v>0</v>
      </c>
      <c r="O455" s="481" t="str">
        <f t="shared" si="305"/>
        <v/>
      </c>
      <c r="P455" s="4">
        <f t="shared" si="277"/>
        <v>1.8042864664435185</v>
      </c>
      <c r="Q455" s="169">
        <f t="shared" si="286"/>
        <v>1.589292146321861</v>
      </c>
      <c r="R455" s="169">
        <f t="shared" si="287"/>
        <v>0.92865518405702308</v>
      </c>
      <c r="S455" s="169">
        <f t="shared" si="288"/>
        <v>1.3508983243735817</v>
      </c>
      <c r="T455" s="169">
        <f t="shared" si="289"/>
        <v>0.92865518405702308</v>
      </c>
      <c r="U455" s="169">
        <f t="shared" si="278"/>
        <v>1.1397767542153023</v>
      </c>
      <c r="V455" s="169">
        <f t="shared" si="279"/>
        <v>3.612148924326794E-2</v>
      </c>
      <c r="W455" s="439">
        <f t="shared" si="280"/>
        <v>8.8928524723494213</v>
      </c>
      <c r="X455" s="439">
        <f t="shared" si="290"/>
        <v>8.8928524723494213</v>
      </c>
      <c r="Y455" s="169"/>
      <c r="Z455" s="119" t="str">
        <f t="shared" si="291"/>
        <v/>
      </c>
      <c r="AA455" s="4" t="str">
        <f t="shared" si="292"/>
        <v/>
      </c>
      <c r="AB455" s="466"/>
      <c r="AC455" s="466"/>
      <c r="AD455" s="466"/>
      <c r="AE455" s="466"/>
      <c r="AF455" s="466"/>
      <c r="AG455" s="466"/>
      <c r="AH455" s="466"/>
      <c r="AI455" s="466"/>
      <c r="AJ455" s="466"/>
      <c r="AK455" s="466"/>
      <c r="AL455" s="466"/>
      <c r="AM455" s="462">
        <f t="shared" si="282"/>
        <v>85</v>
      </c>
      <c r="AN455" s="32">
        <f t="shared" si="306"/>
        <v>1.0035435844399174</v>
      </c>
      <c r="AO455" s="32">
        <f t="shared" si="307"/>
        <v>2.9915145110907808E-2</v>
      </c>
      <c r="AP455" s="32">
        <f t="shared" si="308"/>
        <v>1.5998433964618612</v>
      </c>
      <c r="AQ455" s="32">
        <f t="shared" si="309"/>
        <v>12.221903266551939</v>
      </c>
      <c r="AR455" s="32">
        <f t="shared" si="310"/>
        <v>28.300584027555189</v>
      </c>
      <c r="AS455" s="32">
        <f t="shared" si="293"/>
        <v>21.245814441166232</v>
      </c>
      <c r="AT455" s="32">
        <f t="shared" si="294"/>
        <v>13.172544</v>
      </c>
      <c r="AU455" s="32">
        <f t="shared" si="295"/>
        <v>0.80520330474377166</v>
      </c>
      <c r="AV455" s="32">
        <f t="shared" si="296"/>
        <v>0.73702446140409184</v>
      </c>
      <c r="AW455" s="32">
        <f t="shared" si="297"/>
        <v>1.589292146321861</v>
      </c>
      <c r="AX455" s="32">
        <f t="shared" si="298"/>
        <v>0.92865518405702308</v>
      </c>
      <c r="AY455" s="32">
        <f t="shared" si="299"/>
        <v>1.1397767542153023</v>
      </c>
      <c r="AZ455" s="32">
        <f t="shared" si="311"/>
        <v>0.19053554140659418</v>
      </c>
      <c r="BA455" s="32">
        <f t="shared" si="300"/>
        <v>-4.4224067259500561</v>
      </c>
      <c r="BB455" s="32">
        <f t="shared" si="312"/>
        <v>8.7501372740499441</v>
      </c>
      <c r="BC455" s="32">
        <f t="shared" si="301"/>
        <v>9.9050000000000011</v>
      </c>
      <c r="BD455" s="32">
        <v>0</v>
      </c>
      <c r="BE455" s="32">
        <f t="shared" si="313"/>
        <v>1.2589736651894421</v>
      </c>
      <c r="BF455" s="32">
        <f t="shared" si="314"/>
        <v>0.11919691097413976</v>
      </c>
      <c r="BG455" s="32">
        <f t="shared" si="315"/>
        <v>8.184323552277141E-2</v>
      </c>
      <c r="BH455" s="32">
        <f t="shared" si="302"/>
        <v>1.5970273960012433</v>
      </c>
      <c r="BI455" s="32">
        <f t="shared" si="303"/>
        <v>0.20725907044227515</v>
      </c>
      <c r="BJ455" s="32">
        <f t="shared" si="281"/>
        <v>1.8042864664435185</v>
      </c>
      <c r="BK455" s="457">
        <f t="shared" si="304"/>
        <v>2.0832028553942026</v>
      </c>
    </row>
    <row r="456" spans="1:63" ht="15">
      <c r="A456" s="119"/>
      <c r="B456" s="480">
        <f>Input!B473</f>
        <v>38438</v>
      </c>
      <c r="C456" s="481">
        <v>2</v>
      </c>
      <c r="D456" s="481">
        <f t="shared" si="283"/>
        <v>3</v>
      </c>
      <c r="E456" s="481">
        <f t="shared" si="284"/>
        <v>27</v>
      </c>
      <c r="F456" s="481">
        <f t="shared" si="285"/>
        <v>86</v>
      </c>
      <c r="G456" s="431">
        <v>4.0608000000000004</v>
      </c>
      <c r="H456" s="455">
        <v>14.98</v>
      </c>
      <c r="I456" s="455">
        <v>8.6</v>
      </c>
      <c r="J456" s="455">
        <v>1.38</v>
      </c>
      <c r="K456" s="485"/>
      <c r="L456" s="433">
        <v>90</v>
      </c>
      <c r="M456" s="455">
        <v>67</v>
      </c>
      <c r="N456" s="484">
        <f>Weather!M457</f>
        <v>0</v>
      </c>
      <c r="O456" s="481" t="str">
        <f t="shared" si="305"/>
        <v/>
      </c>
      <c r="P456" s="4">
        <f t="shared" si="277"/>
        <v>1.0646170170755511</v>
      </c>
      <c r="Q456" s="169">
        <f t="shared" si="286"/>
        <v>1.7031516442646557</v>
      </c>
      <c r="R456" s="169">
        <f t="shared" si="287"/>
        <v>1.1174036087713535</v>
      </c>
      <c r="S456" s="169">
        <f t="shared" si="288"/>
        <v>1.1411116016573193</v>
      </c>
      <c r="T456" s="169">
        <f t="shared" si="289"/>
        <v>1.0056632478942182</v>
      </c>
      <c r="U456" s="169">
        <f t="shared" si="278"/>
        <v>1.0733874247757687</v>
      </c>
      <c r="V456" s="169">
        <f t="shared" si="279"/>
        <v>3.2646506717421267E-2</v>
      </c>
      <c r="W456" s="439">
        <f t="shared" si="280"/>
        <v>8.0084644319168721</v>
      </c>
      <c r="X456" s="439">
        <f t="shared" si="290"/>
        <v>8.0084644319168721</v>
      </c>
      <c r="Y456" s="169"/>
      <c r="Z456" s="119" t="str">
        <f t="shared" si="291"/>
        <v/>
      </c>
      <c r="AA456" s="4" t="str">
        <f t="shared" si="292"/>
        <v/>
      </c>
      <c r="AB456" s="466"/>
      <c r="AC456" s="466"/>
      <c r="AD456" s="466"/>
      <c r="AE456" s="466"/>
      <c r="AF456" s="466"/>
      <c r="AG456" s="466"/>
      <c r="AH456" s="466"/>
      <c r="AI456" s="466"/>
      <c r="AJ456" s="466"/>
      <c r="AK456" s="466"/>
      <c r="AL456" s="466"/>
      <c r="AM456" s="462">
        <f t="shared" si="282"/>
        <v>86</v>
      </c>
      <c r="AN456" s="32">
        <f t="shared" si="306"/>
        <v>1.0029783031310244</v>
      </c>
      <c r="AO456" s="32">
        <f t="shared" si="307"/>
        <v>3.693211835814051E-2</v>
      </c>
      <c r="AP456" s="32">
        <f t="shared" si="308"/>
        <v>1.6066650094411223</v>
      </c>
      <c r="AQ456" s="32">
        <f t="shared" si="309"/>
        <v>12.274016550976384</v>
      </c>
      <c r="AR456" s="32">
        <f t="shared" si="310"/>
        <v>28.573508563980408</v>
      </c>
      <c r="AS456" s="32">
        <f t="shared" si="293"/>
        <v>21.450704349151373</v>
      </c>
      <c r="AT456" s="32">
        <f t="shared" si="294"/>
        <v>3.1268160000000003</v>
      </c>
      <c r="AU456" s="32">
        <f t="shared" si="295"/>
        <v>0.3</v>
      </c>
      <c r="AV456" s="32">
        <f t="shared" si="296"/>
        <v>5.5000000000000049E-2</v>
      </c>
      <c r="AW456" s="32">
        <f t="shared" si="297"/>
        <v>1.7031516442646557</v>
      </c>
      <c r="AX456" s="32">
        <f t="shared" si="298"/>
        <v>1.1174036087713535</v>
      </c>
      <c r="AY456" s="32">
        <f t="shared" si="299"/>
        <v>1.0733874247757687</v>
      </c>
      <c r="AZ456" s="32">
        <f t="shared" si="311"/>
        <v>0.19495382278182902</v>
      </c>
      <c r="BA456" s="32">
        <f t="shared" si="300"/>
        <v>-0.34660169674535901</v>
      </c>
      <c r="BB456" s="32">
        <f t="shared" si="312"/>
        <v>2.7802143032546414</v>
      </c>
      <c r="BC456" s="32">
        <f t="shared" si="301"/>
        <v>11.79</v>
      </c>
      <c r="BD456" s="32">
        <v>0</v>
      </c>
      <c r="BE456" s="32">
        <f t="shared" si="313"/>
        <v>1.4102776265180046</v>
      </c>
      <c r="BF456" s="32">
        <f t="shared" si="314"/>
        <v>0.33689020174223594</v>
      </c>
      <c r="BG456" s="32">
        <f t="shared" si="315"/>
        <v>9.1383778100140353E-2</v>
      </c>
      <c r="BH456" s="32">
        <f t="shared" si="302"/>
        <v>0.54561451357825197</v>
      </c>
      <c r="BI456" s="32">
        <f t="shared" si="303"/>
        <v>0.51900250349729915</v>
      </c>
      <c r="BJ456" s="32">
        <f t="shared" si="281"/>
        <v>1.0646170170755511</v>
      </c>
      <c r="BK456" s="457">
        <f t="shared" si="304"/>
        <v>2.0048441941166635</v>
      </c>
    </row>
    <row r="457" spans="1:63" ht="15">
      <c r="A457" s="119"/>
      <c r="B457" s="480">
        <f>Input!B474</f>
        <v>38439</v>
      </c>
      <c r="C457" s="481">
        <v>2</v>
      </c>
      <c r="D457" s="481">
        <f t="shared" si="283"/>
        <v>3</v>
      </c>
      <c r="E457" s="481">
        <f t="shared" si="284"/>
        <v>28</v>
      </c>
      <c r="F457" s="481">
        <f t="shared" si="285"/>
        <v>87</v>
      </c>
      <c r="G457" s="431">
        <v>3.8016000000000001</v>
      </c>
      <c r="H457" s="455">
        <v>14.03</v>
      </c>
      <c r="I457" s="455">
        <v>3.3</v>
      </c>
      <c r="J457" s="455">
        <v>1.52</v>
      </c>
      <c r="K457" s="485"/>
      <c r="L457" s="433">
        <v>100</v>
      </c>
      <c r="M457" s="455">
        <v>84</v>
      </c>
      <c r="N457" s="484">
        <f>Weather!M458</f>
        <v>0</v>
      </c>
      <c r="O457" s="481" t="str">
        <f t="shared" si="305"/>
        <v/>
      </c>
      <c r="P457" s="4">
        <f t="shared" ref="P457:P520" si="316">BJ457</f>
        <v>0.68732022495647926</v>
      </c>
      <c r="Q457" s="169">
        <f t="shared" si="286"/>
        <v>1.6017197185144811</v>
      </c>
      <c r="R457" s="169">
        <f t="shared" si="287"/>
        <v>0.77405265232365905</v>
      </c>
      <c r="S457" s="169">
        <f t="shared" si="288"/>
        <v>1.3454445635521641</v>
      </c>
      <c r="T457" s="169">
        <f t="shared" si="289"/>
        <v>0.77405265232365905</v>
      </c>
      <c r="U457" s="169">
        <f t="shared" si="278"/>
        <v>1.0597486079379115</v>
      </c>
      <c r="V457" s="169">
        <f t="shared" si="279"/>
        <v>3.1906046514851155E-2</v>
      </c>
      <c r="W457" s="439">
        <f t="shared" si="280"/>
        <v>7.8208368213822625</v>
      </c>
      <c r="X457" s="439">
        <f t="shared" si="290"/>
        <v>7.8208368213822625</v>
      </c>
      <c r="Y457" s="169"/>
      <c r="Z457" s="119" t="str">
        <f t="shared" si="291"/>
        <v/>
      </c>
      <c r="AA457" s="4" t="str">
        <f t="shared" si="292"/>
        <v/>
      </c>
      <c r="AB457" s="466"/>
      <c r="AC457" s="466"/>
      <c r="AD457" s="466"/>
      <c r="AE457" s="466"/>
      <c r="AF457" s="466"/>
      <c r="AG457" s="466"/>
      <c r="AH457" s="466"/>
      <c r="AI457" s="466"/>
      <c r="AJ457" s="466"/>
      <c r="AK457" s="466"/>
      <c r="AL457" s="466"/>
      <c r="AM457" s="462">
        <f t="shared" si="282"/>
        <v>87</v>
      </c>
      <c r="AN457" s="32">
        <f t="shared" si="306"/>
        <v>1.0024121392866365</v>
      </c>
      <c r="AO457" s="32">
        <f t="shared" si="307"/>
        <v>4.3938147821643299E-2</v>
      </c>
      <c r="AP457" s="32">
        <f t="shared" si="308"/>
        <v>1.6134811805135896</v>
      </c>
      <c r="AQ457" s="32">
        <f t="shared" si="309"/>
        <v>12.326088262295253</v>
      </c>
      <c r="AR457" s="32">
        <f t="shared" si="310"/>
        <v>28.845483456719244</v>
      </c>
      <c r="AS457" s="32">
        <f t="shared" si="293"/>
        <v>21.654881340628272</v>
      </c>
      <c r="AT457" s="32">
        <f t="shared" si="294"/>
        <v>2.9272320000000001</v>
      </c>
      <c r="AU457" s="32">
        <f t="shared" si="295"/>
        <v>0.3</v>
      </c>
      <c r="AV457" s="32">
        <f t="shared" si="296"/>
        <v>5.5000000000000049E-2</v>
      </c>
      <c r="AW457" s="32">
        <f t="shared" si="297"/>
        <v>1.6017197185144811</v>
      </c>
      <c r="AX457" s="32">
        <f t="shared" si="298"/>
        <v>0.77405265232365905</v>
      </c>
      <c r="AY457" s="32">
        <f t="shared" si="299"/>
        <v>1.0597486079379115</v>
      </c>
      <c r="AZ457" s="32">
        <f t="shared" si="311"/>
        <v>0.1958782711886127</v>
      </c>
      <c r="BA457" s="32">
        <f t="shared" si="300"/>
        <v>-0.33369128533533166</v>
      </c>
      <c r="BB457" s="32">
        <f t="shared" si="312"/>
        <v>2.5935407146646683</v>
      </c>
      <c r="BC457" s="32">
        <f t="shared" si="301"/>
        <v>8.6649999999999991</v>
      </c>
      <c r="BD457" s="32">
        <v>0</v>
      </c>
      <c r="BE457" s="32">
        <f t="shared" si="313"/>
        <v>1.1878861854190701</v>
      </c>
      <c r="BF457" s="32">
        <f t="shared" si="314"/>
        <v>0.12813757748115862</v>
      </c>
      <c r="BG457" s="32">
        <f t="shared" si="315"/>
        <v>7.604210002337207E-2</v>
      </c>
      <c r="BH457" s="32">
        <f t="shared" si="302"/>
        <v>0.45246037403206724</v>
      </c>
      <c r="BI457" s="32">
        <f t="shared" si="303"/>
        <v>0.23485985092441206</v>
      </c>
      <c r="BJ457" s="32">
        <f t="shared" si="281"/>
        <v>0.68732022495647926</v>
      </c>
      <c r="BK457" s="457">
        <f t="shared" si="304"/>
        <v>2.347530984854767</v>
      </c>
    </row>
    <row r="458" spans="1:63" ht="15">
      <c r="A458" s="119"/>
      <c r="B458" s="480">
        <f>Input!B475</f>
        <v>38440</v>
      </c>
      <c r="C458" s="481">
        <v>2</v>
      </c>
      <c r="D458" s="481">
        <f t="shared" si="283"/>
        <v>3</v>
      </c>
      <c r="E458" s="481">
        <f t="shared" si="284"/>
        <v>29</v>
      </c>
      <c r="F458" s="481">
        <f t="shared" si="285"/>
        <v>88</v>
      </c>
      <c r="G458" s="431">
        <v>20.217600000000001</v>
      </c>
      <c r="H458" s="455">
        <v>15.86</v>
      </c>
      <c r="I458" s="455">
        <v>6.5</v>
      </c>
      <c r="J458" s="455">
        <v>1.81</v>
      </c>
      <c r="K458" s="485"/>
      <c r="L458" s="433">
        <v>100</v>
      </c>
      <c r="M458" s="455">
        <v>68</v>
      </c>
      <c r="N458" s="484">
        <f>Weather!M459</f>
        <v>2.6</v>
      </c>
      <c r="O458" s="481" t="str">
        <f t="shared" si="305"/>
        <v/>
      </c>
      <c r="P458" s="4">
        <f t="shared" si="316"/>
        <v>2.3931185072781882</v>
      </c>
      <c r="Q458" s="169">
        <f t="shared" si="286"/>
        <v>1.8020906428312817</v>
      </c>
      <c r="R458" s="169">
        <f t="shared" si="287"/>
        <v>0.96797712681678449</v>
      </c>
      <c r="S458" s="169">
        <f t="shared" si="288"/>
        <v>1.2254216371252717</v>
      </c>
      <c r="T458" s="169">
        <f t="shared" si="289"/>
        <v>0.96797712681678449</v>
      </c>
      <c r="U458" s="169">
        <f t="shared" si="278"/>
        <v>1.0966993819710282</v>
      </c>
      <c r="V458" s="169">
        <f t="shared" si="279"/>
        <v>3.3890608736908037E-2</v>
      </c>
      <c r="W458" s="439">
        <f t="shared" si="280"/>
        <v>8.3243590487758823</v>
      </c>
      <c r="X458" s="439">
        <f t="shared" si="290"/>
        <v>8.3243590487758823</v>
      </c>
      <c r="Y458" s="169"/>
      <c r="Z458" s="119" t="str">
        <f t="shared" si="291"/>
        <v/>
      </c>
      <c r="AA458" s="4" t="str">
        <f t="shared" si="292"/>
        <v/>
      </c>
      <c r="AB458" s="466"/>
      <c r="AC458" s="466"/>
      <c r="AD458" s="466"/>
      <c r="AE458" s="466"/>
      <c r="AF458" s="466"/>
      <c r="AG458" s="466"/>
      <c r="AH458" s="466"/>
      <c r="AI458" s="466"/>
      <c r="AJ458" s="466"/>
      <c r="AK458" s="466"/>
      <c r="AL458" s="466"/>
      <c r="AM458" s="462">
        <f t="shared" si="282"/>
        <v>88</v>
      </c>
      <c r="AN458" s="32">
        <f t="shared" si="306"/>
        <v>1.0018452606733199</v>
      </c>
      <c r="AO458" s="32">
        <f t="shared" si="307"/>
        <v>5.0931157463683728E-2</v>
      </c>
      <c r="AP458" s="32">
        <f t="shared" si="308"/>
        <v>1.6202908541441341</v>
      </c>
      <c r="AQ458" s="32">
        <f t="shared" si="309"/>
        <v>12.378110336814153</v>
      </c>
      <c r="AR458" s="32">
        <f t="shared" si="310"/>
        <v>29.116416576670758</v>
      </c>
      <c r="AS458" s="32">
        <f t="shared" si="293"/>
        <v>21.858276252438273</v>
      </c>
      <c r="AT458" s="32">
        <f t="shared" si="294"/>
        <v>15.567552000000001</v>
      </c>
      <c r="AU458" s="32">
        <f t="shared" si="295"/>
        <v>0.92494027280603808</v>
      </c>
      <c r="AV458" s="32">
        <f t="shared" si="296"/>
        <v>0.89866936828815158</v>
      </c>
      <c r="AW458" s="32">
        <f t="shared" si="297"/>
        <v>1.8020906428312817</v>
      </c>
      <c r="AX458" s="32">
        <f t="shared" si="298"/>
        <v>0.96797712681678449</v>
      </c>
      <c r="AY458" s="32">
        <f t="shared" si="299"/>
        <v>1.0966993819710285</v>
      </c>
      <c r="AZ458" s="32">
        <f t="shared" si="311"/>
        <v>0.19338721786067847</v>
      </c>
      <c r="BA458" s="32">
        <f t="shared" si="300"/>
        <v>-5.574680040589298</v>
      </c>
      <c r="BB458" s="32">
        <f t="shared" si="312"/>
        <v>9.9928719594107029</v>
      </c>
      <c r="BC458" s="32">
        <f t="shared" si="301"/>
        <v>11.18</v>
      </c>
      <c r="BD458" s="32">
        <v>0</v>
      </c>
      <c r="BE458" s="32">
        <f t="shared" si="313"/>
        <v>1.3850338848240331</v>
      </c>
      <c r="BF458" s="32">
        <f t="shared" si="314"/>
        <v>0.28833450285300466</v>
      </c>
      <c r="BG458" s="32">
        <f t="shared" si="315"/>
        <v>8.8197795725582465E-2</v>
      </c>
      <c r="BH458" s="32">
        <f t="shared" si="302"/>
        <v>1.8289352975732052</v>
      </c>
      <c r="BI458" s="32">
        <f t="shared" si="303"/>
        <v>0.56418320970498292</v>
      </c>
      <c r="BJ458" s="32">
        <f t="shared" si="281"/>
        <v>2.3931185072781882</v>
      </c>
      <c r="BK458" s="457">
        <f t="shared" si="304"/>
        <v>2.4234607005199256</v>
      </c>
    </row>
    <row r="459" spans="1:63" ht="15">
      <c r="A459" s="119"/>
      <c r="B459" s="480">
        <f>Input!B476</f>
        <v>38441</v>
      </c>
      <c r="C459" s="481">
        <v>2</v>
      </c>
      <c r="D459" s="481">
        <f t="shared" si="283"/>
        <v>3</v>
      </c>
      <c r="E459" s="481">
        <f t="shared" si="284"/>
        <v>30</v>
      </c>
      <c r="F459" s="481">
        <f t="shared" si="285"/>
        <v>89</v>
      </c>
      <c r="G459" s="431">
        <v>11.3184</v>
      </c>
      <c r="H459" s="455">
        <v>17.48</v>
      </c>
      <c r="I459" s="455">
        <v>6</v>
      </c>
      <c r="J459" s="455">
        <v>3.35</v>
      </c>
      <c r="K459" s="485"/>
      <c r="L459" s="433">
        <v>92</v>
      </c>
      <c r="M459" s="455">
        <v>67</v>
      </c>
      <c r="N459" s="484">
        <f>Weather!M460</f>
        <v>2.2000000000000002</v>
      </c>
      <c r="O459" s="481" t="str">
        <f t="shared" si="305"/>
        <v/>
      </c>
      <c r="P459" s="4">
        <f t="shared" si="316"/>
        <v>2.1526092770776621</v>
      </c>
      <c r="Q459" s="169">
        <f t="shared" si="286"/>
        <v>1.9974634456256537</v>
      </c>
      <c r="R459" s="169">
        <f t="shared" si="287"/>
        <v>0.93510940339373394</v>
      </c>
      <c r="S459" s="169">
        <f t="shared" si="288"/>
        <v>1.3383005085691881</v>
      </c>
      <c r="T459" s="169">
        <f t="shared" si="289"/>
        <v>0.8603006511222353</v>
      </c>
      <c r="U459" s="169">
        <f t="shared" si="278"/>
        <v>1.0993005798457118</v>
      </c>
      <c r="V459" s="169">
        <f t="shared" si="279"/>
        <v>3.4027784986006282E-2</v>
      </c>
      <c r="W459" s="439">
        <f t="shared" si="280"/>
        <v>8.3592397914491912</v>
      </c>
      <c r="X459" s="439">
        <f t="shared" si="290"/>
        <v>8.3592397914491912</v>
      </c>
      <c r="Y459" s="169"/>
      <c r="Z459" s="119" t="str">
        <f t="shared" si="291"/>
        <v/>
      </c>
      <c r="AA459" s="4" t="str">
        <f t="shared" si="292"/>
        <v/>
      </c>
      <c r="AB459" s="466"/>
      <c r="AC459" s="466"/>
      <c r="AD459" s="466"/>
      <c r="AE459" s="466"/>
      <c r="AF459" s="466"/>
      <c r="AG459" s="466"/>
      <c r="AH459" s="466"/>
      <c r="AI459" s="466"/>
      <c r="AJ459" s="466"/>
      <c r="AK459" s="466"/>
      <c r="AL459" s="466"/>
      <c r="AM459" s="462">
        <f t="shared" si="282"/>
        <v>89</v>
      </c>
      <c r="AN459" s="32">
        <f t="shared" si="306"/>
        <v>1.0012778352694418</v>
      </c>
      <c r="AO459" s="32">
        <f t="shared" si="307"/>
        <v>5.7909075104583187E-2</v>
      </c>
      <c r="AP459" s="32">
        <f t="shared" si="308"/>
        <v>1.627092964651589</v>
      </c>
      <c r="AQ459" s="32">
        <f t="shared" si="309"/>
        <v>12.430074633328653</v>
      </c>
      <c r="AR459" s="32">
        <f t="shared" si="310"/>
        <v>29.386216955988075</v>
      </c>
      <c r="AS459" s="32">
        <f t="shared" si="293"/>
        <v>22.060820793199369</v>
      </c>
      <c r="AT459" s="32">
        <f t="shared" si="294"/>
        <v>8.7151680000000002</v>
      </c>
      <c r="AU459" s="32">
        <f t="shared" si="295"/>
        <v>0.51305434671266148</v>
      </c>
      <c r="AV459" s="32">
        <f t="shared" si="296"/>
        <v>0.34262336806209304</v>
      </c>
      <c r="AW459" s="32">
        <f t="shared" si="297"/>
        <v>1.9974634456256537</v>
      </c>
      <c r="AX459" s="32">
        <f t="shared" si="298"/>
        <v>0.93510940339373394</v>
      </c>
      <c r="AY459" s="32">
        <f t="shared" si="299"/>
        <v>1.0993005798457116</v>
      </c>
      <c r="AZ459" s="32">
        <f t="shared" si="311"/>
        <v>0.19321344964549395</v>
      </c>
      <c r="BA459" s="32">
        <f t="shared" si="300"/>
        <v>-2.1419820346862046</v>
      </c>
      <c r="BB459" s="32">
        <f t="shared" si="312"/>
        <v>6.5731859653137956</v>
      </c>
      <c r="BC459" s="32">
        <f t="shared" si="301"/>
        <v>11.74</v>
      </c>
      <c r="BD459" s="32">
        <v>0</v>
      </c>
      <c r="BE459" s="32">
        <f t="shared" si="313"/>
        <v>1.4662864245096938</v>
      </c>
      <c r="BF459" s="32">
        <f t="shared" si="314"/>
        <v>0.36698584466398221</v>
      </c>
      <c r="BG459" s="32">
        <f t="shared" si="315"/>
        <v>9.1118994417921359E-2</v>
      </c>
      <c r="BH459" s="32">
        <f t="shared" si="302"/>
        <v>1.0413124765021391</v>
      </c>
      <c r="BI459" s="32">
        <f t="shared" si="303"/>
        <v>1.1112968005755228</v>
      </c>
      <c r="BJ459" s="32">
        <f t="shared" si="281"/>
        <v>2.1526092770776621</v>
      </c>
      <c r="BK459" s="457">
        <f t="shared" si="304"/>
        <v>2.7611300803863159</v>
      </c>
    </row>
    <row r="460" spans="1:63" ht="15">
      <c r="A460" s="119"/>
      <c r="B460" s="480">
        <f>Input!B477</f>
        <v>38442</v>
      </c>
      <c r="C460" s="481">
        <v>2</v>
      </c>
      <c r="D460" s="481">
        <f t="shared" si="283"/>
        <v>3</v>
      </c>
      <c r="E460" s="481">
        <f t="shared" si="284"/>
        <v>31</v>
      </c>
      <c r="F460" s="481">
        <f t="shared" si="285"/>
        <v>90</v>
      </c>
      <c r="G460" s="431">
        <v>17.712</v>
      </c>
      <c r="H460" s="455">
        <v>18.34</v>
      </c>
      <c r="I460" s="455">
        <v>11</v>
      </c>
      <c r="J460" s="455">
        <v>2.1</v>
      </c>
      <c r="K460" s="485"/>
      <c r="L460" s="433">
        <v>97</v>
      </c>
      <c r="M460" s="455">
        <v>70</v>
      </c>
      <c r="N460" s="484">
        <f>Weather!M461</f>
        <v>5.6</v>
      </c>
      <c r="O460" s="481">
        <f t="shared" si="305"/>
        <v>1</v>
      </c>
      <c r="P460" s="4">
        <f t="shared" si="316"/>
        <v>2.5106888403813876</v>
      </c>
      <c r="Q460" s="169">
        <f t="shared" si="286"/>
        <v>2.1085282620433463</v>
      </c>
      <c r="R460" s="169">
        <f t="shared" si="287"/>
        <v>1.3127141391058279</v>
      </c>
      <c r="S460" s="169">
        <f t="shared" si="288"/>
        <v>1.4759697834303422</v>
      </c>
      <c r="T460" s="169">
        <f t="shared" si="289"/>
        <v>1.273332714932653</v>
      </c>
      <c r="U460" s="169">
        <f t="shared" si="278"/>
        <v>1.3746512491814977</v>
      </c>
      <c r="V460" s="169">
        <f t="shared" si="279"/>
        <v>4.6970802989345112E-2</v>
      </c>
      <c r="W460" s="439">
        <f t="shared" si="280"/>
        <v>11.695519491253298</v>
      </c>
      <c r="X460" s="439">
        <f t="shared" si="290"/>
        <v>11.695519491253298</v>
      </c>
      <c r="Y460" s="169"/>
      <c r="Z460" s="119" t="str">
        <f t="shared" si="291"/>
        <v/>
      </c>
      <c r="AA460" s="4" t="str">
        <f t="shared" si="292"/>
        <v/>
      </c>
      <c r="AB460" s="466"/>
      <c r="AC460" s="466"/>
      <c r="AD460" s="466"/>
      <c r="AE460" s="466"/>
      <c r="AF460" s="466"/>
      <c r="AG460" s="466"/>
      <c r="AH460" s="466"/>
      <c r="AI460" s="466"/>
      <c r="AJ460" s="466"/>
      <c r="AK460" s="466"/>
      <c r="AL460" s="466"/>
      <c r="AM460" s="462">
        <f t="shared" si="282"/>
        <v>90</v>
      </c>
      <c r="AN460" s="32">
        <f t="shared" si="306"/>
        <v>1.0007100312153954</v>
      </c>
      <c r="AO460" s="32">
        <f t="shared" si="307"/>
        <v>6.4869833036749036E-2</v>
      </c>
      <c r="AP460" s="32">
        <f t="shared" si="308"/>
        <v>1.6338864346140609</v>
      </c>
      <c r="AQ460" s="32">
        <f t="shared" si="309"/>
        <v>12.481972920941791</v>
      </c>
      <c r="AR460" s="32">
        <f t="shared" si="310"/>
        <v>29.654794840718701</v>
      </c>
      <c r="AS460" s="32">
        <f t="shared" si="293"/>
        <v>22.262447582824343</v>
      </c>
      <c r="AT460" s="32">
        <f t="shared" si="294"/>
        <v>13.63824</v>
      </c>
      <c r="AU460" s="32">
        <f t="shared" si="295"/>
        <v>0.7955998519077907</v>
      </c>
      <c r="AV460" s="32">
        <f t="shared" si="296"/>
        <v>0.72405980007551751</v>
      </c>
      <c r="AW460" s="32">
        <f t="shared" si="297"/>
        <v>2.1085282620433463</v>
      </c>
      <c r="AX460" s="32">
        <f t="shared" si="298"/>
        <v>1.3127141391058279</v>
      </c>
      <c r="AY460" s="32">
        <f t="shared" si="299"/>
        <v>1.3746512491814977</v>
      </c>
      <c r="AZ460" s="32">
        <f t="shared" si="311"/>
        <v>0.17585626882528424</v>
      </c>
      <c r="BA460" s="32">
        <f t="shared" si="300"/>
        <v>-4.2858376819232422</v>
      </c>
      <c r="BB460" s="32">
        <f t="shared" si="312"/>
        <v>9.3524023180767575</v>
      </c>
      <c r="BC460" s="32">
        <f t="shared" si="301"/>
        <v>14.67</v>
      </c>
      <c r="BD460" s="32">
        <v>0</v>
      </c>
      <c r="BE460" s="32">
        <f t="shared" si="313"/>
        <v>1.7106212005745871</v>
      </c>
      <c r="BF460" s="32">
        <f t="shared" si="314"/>
        <v>0.33596995139308938</v>
      </c>
      <c r="BG460" s="32">
        <f t="shared" si="315"/>
        <v>0.10778389416899209</v>
      </c>
      <c r="BH460" s="32">
        <f t="shared" si="302"/>
        <v>1.8458316325989841</v>
      </c>
      <c r="BI460" s="32">
        <f t="shared" si="303"/>
        <v>0.66485720778240343</v>
      </c>
      <c r="BJ460" s="32">
        <f t="shared" si="281"/>
        <v>2.5106888403813876</v>
      </c>
      <c r="BK460" s="457">
        <f t="shared" si="304"/>
        <v>2.4489899001464401</v>
      </c>
    </row>
    <row r="461" spans="1:63" ht="15">
      <c r="A461" s="119"/>
      <c r="B461" s="480">
        <f>Input!B478</f>
        <v>38443</v>
      </c>
      <c r="C461" s="481">
        <v>2</v>
      </c>
      <c r="D461" s="481">
        <f t="shared" si="283"/>
        <v>4</v>
      </c>
      <c r="E461" s="481">
        <f t="shared" si="284"/>
        <v>1</v>
      </c>
      <c r="F461" s="481">
        <f t="shared" si="285"/>
        <v>91</v>
      </c>
      <c r="G461" s="431">
        <v>5.6159999999999997</v>
      </c>
      <c r="H461" s="455">
        <v>15.09</v>
      </c>
      <c r="I461" s="455">
        <v>6.6</v>
      </c>
      <c r="J461" s="455">
        <v>1.31</v>
      </c>
      <c r="K461" s="485"/>
      <c r="L461" s="433">
        <v>100</v>
      </c>
      <c r="M461" s="455">
        <v>87</v>
      </c>
      <c r="N461" s="484">
        <f>Weather!M462</f>
        <v>9.1999999999999993</v>
      </c>
      <c r="O461" s="481">
        <f t="shared" si="305"/>
        <v>1</v>
      </c>
      <c r="P461" s="4">
        <f t="shared" si="316"/>
        <v>0.93869359143232689</v>
      </c>
      <c r="Q461" s="169">
        <f t="shared" si="286"/>
        <v>1.7152525925046267</v>
      </c>
      <c r="R461" s="169">
        <f t="shared" si="287"/>
        <v>0.9746714566306458</v>
      </c>
      <c r="S461" s="169">
        <f t="shared" si="288"/>
        <v>1.4922697554790252</v>
      </c>
      <c r="T461" s="169">
        <f t="shared" si="289"/>
        <v>0.9746714566306458</v>
      </c>
      <c r="U461" s="169">
        <f t="shared" si="278"/>
        <v>1.2334706060548355</v>
      </c>
      <c r="V461" s="169">
        <f t="shared" si="279"/>
        <v>4.0695861762172617E-2</v>
      </c>
      <c r="W461" s="439">
        <f t="shared" si="280"/>
        <v>10.066805313592218</v>
      </c>
      <c r="X461" s="439">
        <f t="shared" si="290"/>
        <v>10.066805313592218</v>
      </c>
      <c r="Y461" s="169"/>
      <c r="Z461" s="119" t="str">
        <f t="shared" si="291"/>
        <v/>
      </c>
      <c r="AA461" s="4" t="str">
        <f t="shared" si="292"/>
        <v/>
      </c>
      <c r="AB461" s="466"/>
      <c r="AC461" s="466"/>
      <c r="AD461" s="466"/>
      <c r="AE461" s="466"/>
      <c r="AF461" s="466"/>
      <c r="AG461" s="466"/>
      <c r="AH461" s="466"/>
      <c r="AI461" s="466"/>
      <c r="AJ461" s="466"/>
      <c r="AK461" s="466"/>
      <c r="AL461" s="466"/>
      <c r="AM461" s="462">
        <f t="shared" si="282"/>
        <v>91</v>
      </c>
      <c r="AN461" s="32">
        <f t="shared" si="306"/>
        <v>1.000142016763776</v>
      </c>
      <c r="AO461" s="32">
        <f t="shared" si="307"/>
        <v>7.1811368637380357E-2</v>
      </c>
      <c r="AP461" s="32">
        <f t="shared" si="308"/>
        <v>1.6406701732870161</v>
      </c>
      <c r="AQ461" s="32">
        <f t="shared" si="309"/>
        <v>12.533796866979127</v>
      </c>
      <c r="AR461" s="32">
        <f t="shared" si="310"/>
        <v>29.922061740642615</v>
      </c>
      <c r="AS461" s="32">
        <f t="shared" si="293"/>
        <v>22.463090189935226</v>
      </c>
      <c r="AT461" s="32">
        <f t="shared" si="294"/>
        <v>4.3243200000000002</v>
      </c>
      <c r="AU461" s="32">
        <f t="shared" si="295"/>
        <v>0.3</v>
      </c>
      <c r="AV461" s="32">
        <f t="shared" si="296"/>
        <v>5.5000000000000049E-2</v>
      </c>
      <c r="AW461" s="32">
        <f t="shared" si="297"/>
        <v>1.7152525925046267</v>
      </c>
      <c r="AX461" s="32">
        <f t="shared" si="298"/>
        <v>0.9746714566306458</v>
      </c>
      <c r="AY461" s="32">
        <f t="shared" si="299"/>
        <v>1.2334706060548355</v>
      </c>
      <c r="AZ461" s="32">
        <f t="shared" si="311"/>
        <v>0.18451358940835128</v>
      </c>
      <c r="BA461" s="32">
        <f t="shared" si="300"/>
        <v>-0.32390058393940496</v>
      </c>
      <c r="BB461" s="32">
        <f t="shared" si="312"/>
        <v>4.0004194160605948</v>
      </c>
      <c r="BC461" s="32">
        <f t="shared" si="301"/>
        <v>10.844999999999999</v>
      </c>
      <c r="BD461" s="32">
        <v>0</v>
      </c>
      <c r="BE461" s="32">
        <f t="shared" si="313"/>
        <v>1.3449620245676361</v>
      </c>
      <c r="BF461" s="32">
        <f t="shared" si="314"/>
        <v>0.11149141851280064</v>
      </c>
      <c r="BG461" s="32">
        <f t="shared" si="315"/>
        <v>8.6488754886232797E-2</v>
      </c>
      <c r="BH461" s="32">
        <f t="shared" si="302"/>
        <v>0.76931493907940907</v>
      </c>
      <c r="BI461" s="32">
        <f t="shared" si="303"/>
        <v>0.1693786523529178</v>
      </c>
      <c r="BJ461" s="32">
        <f t="shared" si="281"/>
        <v>0.93869359143232689</v>
      </c>
      <c r="BK461" s="457">
        <f t="shared" si="304"/>
        <v>2.3445307765640049</v>
      </c>
    </row>
    <row r="462" spans="1:63" ht="15">
      <c r="A462" s="119"/>
      <c r="B462" s="480">
        <f>Input!B479</f>
        <v>38444</v>
      </c>
      <c r="C462" s="481">
        <v>2</v>
      </c>
      <c r="D462" s="481">
        <f t="shared" si="283"/>
        <v>4</v>
      </c>
      <c r="E462" s="481">
        <f t="shared" si="284"/>
        <v>2</v>
      </c>
      <c r="F462" s="481">
        <f t="shared" si="285"/>
        <v>92</v>
      </c>
      <c r="G462" s="431">
        <v>19.526399999999999</v>
      </c>
      <c r="H462" s="455">
        <v>10.37</v>
      </c>
      <c r="I462" s="455">
        <v>4.7</v>
      </c>
      <c r="J462" s="455">
        <v>3.3</v>
      </c>
      <c r="K462" s="485"/>
      <c r="L462" s="433">
        <v>100</v>
      </c>
      <c r="M462" s="455">
        <v>88</v>
      </c>
      <c r="N462" s="484">
        <f>Weather!M463</f>
        <v>0.6</v>
      </c>
      <c r="O462" s="481" t="str">
        <f t="shared" si="305"/>
        <v/>
      </c>
      <c r="P462" s="4">
        <f t="shared" si="316"/>
        <v>1.6167318103592816</v>
      </c>
      <c r="Q462" s="169">
        <f t="shared" si="286"/>
        <v>1.2587424612278404</v>
      </c>
      <c r="R462" s="169">
        <f t="shared" si="287"/>
        <v>0.85421136592944225</v>
      </c>
      <c r="S462" s="169">
        <f t="shared" si="288"/>
        <v>1.1076933658804995</v>
      </c>
      <c r="T462" s="169">
        <f t="shared" si="289"/>
        <v>0.85421136592944225</v>
      </c>
      <c r="U462" s="169">
        <f t="shared" si="278"/>
        <v>0.98095236590497081</v>
      </c>
      <c r="V462" s="169">
        <f t="shared" si="279"/>
        <v>2.7432213570942623E-2</v>
      </c>
      <c r="W462" s="439">
        <f t="shared" si="280"/>
        <v>6.6932756474342918</v>
      </c>
      <c r="X462" s="439">
        <f t="shared" si="290"/>
        <v>6.6932756474342918</v>
      </c>
      <c r="Y462" s="169"/>
      <c r="Z462" s="119" t="str">
        <f t="shared" si="291"/>
        <v/>
      </c>
      <c r="AA462" s="4" t="str">
        <f t="shared" si="292"/>
        <v/>
      </c>
      <c r="AB462" s="466"/>
      <c r="AC462" s="466"/>
      <c r="AD462" s="466"/>
      <c r="AE462" s="466"/>
      <c r="AF462" s="466"/>
      <c r="AG462" s="466"/>
      <c r="AH462" s="466"/>
      <c r="AI462" s="466"/>
      <c r="AJ462" s="466"/>
      <c r="AK462" s="466"/>
      <c r="AL462" s="466"/>
      <c r="AM462" s="462">
        <f t="shared" si="282"/>
        <v>92</v>
      </c>
      <c r="AN462" s="32">
        <f t="shared" si="306"/>
        <v>0.99957396022952472</v>
      </c>
      <c r="AO462" s="32">
        <f t="shared" si="307"/>
        <v>7.8731624979668152E-2</v>
      </c>
      <c r="AP462" s="32">
        <f t="shared" si="308"/>
        <v>1.6474430750361484</v>
      </c>
      <c r="AQ462" s="32">
        <f t="shared" si="309"/>
        <v>12.585538025016731</v>
      </c>
      <c r="AR462" s="32">
        <f t="shared" si="310"/>
        <v>30.187930476239487</v>
      </c>
      <c r="AS462" s="32">
        <f t="shared" si="293"/>
        <v>22.662683167122509</v>
      </c>
      <c r="AT462" s="32">
        <f t="shared" si="294"/>
        <v>15.035328</v>
      </c>
      <c r="AU462" s="32">
        <f t="shared" si="295"/>
        <v>0.86161024517730456</v>
      </c>
      <c r="AV462" s="32">
        <f t="shared" si="296"/>
        <v>0.81317383098936136</v>
      </c>
      <c r="AW462" s="32">
        <f t="shared" si="297"/>
        <v>1.2587424612278404</v>
      </c>
      <c r="AX462" s="32">
        <f t="shared" si="298"/>
        <v>0.85421136592944225</v>
      </c>
      <c r="AY462" s="32">
        <f t="shared" si="299"/>
        <v>0.98095236590497081</v>
      </c>
      <c r="AZ462" s="32">
        <f t="shared" si="311"/>
        <v>0.20133974480141245</v>
      </c>
      <c r="BA462" s="32">
        <f t="shared" si="300"/>
        <v>-4.9825487620329447</v>
      </c>
      <c r="BB462" s="32">
        <f t="shared" si="312"/>
        <v>10.052779237967055</v>
      </c>
      <c r="BC462" s="32">
        <f t="shared" si="301"/>
        <v>7.5350000000000001</v>
      </c>
      <c r="BD462" s="32">
        <v>0</v>
      </c>
      <c r="BE462" s="32">
        <f t="shared" si="313"/>
        <v>1.0564769135786414</v>
      </c>
      <c r="BF462" s="32">
        <f t="shared" si="314"/>
        <v>7.5524547673670561E-2</v>
      </c>
      <c r="BG462" s="32">
        <f t="shared" si="315"/>
        <v>7.1065175840861097E-2</v>
      </c>
      <c r="BH462" s="32">
        <f t="shared" si="302"/>
        <v>1.3653644809047147</v>
      </c>
      <c r="BI462" s="32">
        <f t="shared" si="303"/>
        <v>0.2513673294545668</v>
      </c>
      <c r="BJ462" s="32">
        <f t="shared" si="281"/>
        <v>1.6167318103592816</v>
      </c>
      <c r="BK462" s="457">
        <f t="shared" si="304"/>
        <v>1.7096512606708989</v>
      </c>
    </row>
    <row r="463" spans="1:63" ht="15">
      <c r="A463" s="119"/>
      <c r="B463" s="480">
        <f>Input!B480</f>
        <v>38445</v>
      </c>
      <c r="C463" s="481">
        <v>2</v>
      </c>
      <c r="D463" s="481">
        <f t="shared" si="283"/>
        <v>4</v>
      </c>
      <c r="E463" s="481">
        <f t="shared" si="284"/>
        <v>3</v>
      </c>
      <c r="F463" s="481">
        <f t="shared" si="285"/>
        <v>93</v>
      </c>
      <c r="G463" s="431">
        <v>21.427199999999999</v>
      </c>
      <c r="H463" s="455">
        <v>10.85</v>
      </c>
      <c r="I463" s="455">
        <v>1.7</v>
      </c>
      <c r="J463" s="455">
        <v>1.82</v>
      </c>
      <c r="K463" s="485"/>
      <c r="L463" s="433">
        <v>100</v>
      </c>
      <c r="M463" s="455">
        <v>84</v>
      </c>
      <c r="N463" s="484">
        <f>Weather!M464</f>
        <v>0</v>
      </c>
      <c r="O463" s="481" t="str">
        <f t="shared" si="305"/>
        <v/>
      </c>
      <c r="P463" s="4">
        <f t="shared" si="316"/>
        <v>1.8984918973670475</v>
      </c>
      <c r="Q463" s="169">
        <f t="shared" si="286"/>
        <v>1.2996825952484532</v>
      </c>
      <c r="R463" s="169">
        <f t="shared" si="287"/>
        <v>0.6906343876068135</v>
      </c>
      <c r="S463" s="169">
        <f t="shared" si="288"/>
        <v>1.0917333800087006</v>
      </c>
      <c r="T463" s="169">
        <f t="shared" si="289"/>
        <v>0.6906343876068135</v>
      </c>
      <c r="U463" s="169">
        <f t="shared" si="278"/>
        <v>0.89118388380775704</v>
      </c>
      <c r="V463" s="169">
        <f t="shared" si="279"/>
        <v>2.1874997797705461E-2</v>
      </c>
      <c r="W463" s="439">
        <f t="shared" si="280"/>
        <v>5.3070282077524515</v>
      </c>
      <c r="X463" s="439">
        <f t="shared" si="290"/>
        <v>5.3070282077524515</v>
      </c>
      <c r="Y463" s="169"/>
      <c r="Z463" s="119" t="str">
        <f t="shared" si="291"/>
        <v/>
      </c>
      <c r="AA463" s="4" t="str">
        <f t="shared" si="292"/>
        <v/>
      </c>
      <c r="AB463" s="466"/>
      <c r="AC463" s="466"/>
      <c r="AD463" s="466"/>
      <c r="AE463" s="466"/>
      <c r="AF463" s="466"/>
      <c r="AG463" s="466"/>
      <c r="AH463" s="466"/>
      <c r="AI463" s="466"/>
      <c r="AJ463" s="466"/>
      <c r="AK463" s="466"/>
      <c r="AL463" s="466"/>
      <c r="AM463" s="462">
        <f t="shared" si="282"/>
        <v>93</v>
      </c>
      <c r="AN463" s="32">
        <f t="shared" si="306"/>
        <v>0.99900602994005205</v>
      </c>
      <c r="AO463" s="32">
        <f t="shared" si="307"/>
        <v>8.5628551442306938E-2</v>
      </c>
      <c r="AP463" s="32">
        <f t="shared" si="308"/>
        <v>1.6542040177871224</v>
      </c>
      <c r="AQ463" s="32">
        <f t="shared" si="309"/>
        <v>12.637187823038117</v>
      </c>
      <c r="AR463" s="32">
        <f t="shared" si="310"/>
        <v>30.45231522272455</v>
      </c>
      <c r="AS463" s="32">
        <f t="shared" si="293"/>
        <v>22.861162084003777</v>
      </c>
      <c r="AT463" s="32">
        <f t="shared" si="294"/>
        <v>16.498943999999998</v>
      </c>
      <c r="AU463" s="32">
        <f t="shared" si="295"/>
        <v>0.93727518842941338</v>
      </c>
      <c r="AV463" s="32">
        <f t="shared" si="296"/>
        <v>0.91532150437970816</v>
      </c>
      <c r="AW463" s="32">
        <f t="shared" si="297"/>
        <v>1.2996825952484532</v>
      </c>
      <c r="AX463" s="32">
        <f t="shared" si="298"/>
        <v>0.6906343876068135</v>
      </c>
      <c r="AY463" s="32">
        <f t="shared" si="299"/>
        <v>0.89118388380775704</v>
      </c>
      <c r="AZ463" s="32">
        <f t="shared" si="311"/>
        <v>0.20783644934161297</v>
      </c>
      <c r="BA463" s="32">
        <f t="shared" si="300"/>
        <v>-5.6918114107938305</v>
      </c>
      <c r="BB463" s="32">
        <f t="shared" si="312"/>
        <v>10.807132589206168</v>
      </c>
      <c r="BC463" s="32">
        <f t="shared" si="301"/>
        <v>6.2749999999999995</v>
      </c>
      <c r="BD463" s="32">
        <v>0</v>
      </c>
      <c r="BE463" s="32">
        <f t="shared" si="313"/>
        <v>0.99515849142763335</v>
      </c>
      <c r="BF463" s="32">
        <f t="shared" si="314"/>
        <v>0.10397460761987631</v>
      </c>
      <c r="BG463" s="32">
        <f t="shared" si="315"/>
        <v>6.5846699506034931E-2</v>
      </c>
      <c r="BH463" s="32">
        <f t="shared" si="302"/>
        <v>1.6639357263480206</v>
      </c>
      <c r="BI463" s="32">
        <f t="shared" si="303"/>
        <v>0.2345561710190269</v>
      </c>
      <c r="BJ463" s="32">
        <f t="shared" si="281"/>
        <v>1.8984918973670475</v>
      </c>
      <c r="BK463" s="457">
        <f t="shared" si="304"/>
        <v>2.081895426647737</v>
      </c>
    </row>
    <row r="464" spans="1:63" ht="15">
      <c r="A464" s="119"/>
      <c r="B464" s="480">
        <f>Input!B481</f>
        <v>38446</v>
      </c>
      <c r="C464" s="481">
        <v>2</v>
      </c>
      <c r="D464" s="481">
        <f t="shared" si="283"/>
        <v>4</v>
      </c>
      <c r="E464" s="481">
        <f t="shared" si="284"/>
        <v>4</v>
      </c>
      <c r="F464" s="481">
        <f t="shared" si="285"/>
        <v>94</v>
      </c>
      <c r="G464" s="431">
        <v>21.6</v>
      </c>
      <c r="H464" s="455">
        <v>11.95</v>
      </c>
      <c r="I464" s="455">
        <v>6.3</v>
      </c>
      <c r="J464" s="455">
        <v>1.64</v>
      </c>
      <c r="K464" s="485"/>
      <c r="L464" s="433">
        <v>100</v>
      </c>
      <c r="M464" s="455">
        <v>87</v>
      </c>
      <c r="N464" s="484">
        <f>Weather!M465</f>
        <v>0</v>
      </c>
      <c r="O464" s="481" t="str">
        <f t="shared" si="305"/>
        <v/>
      </c>
      <c r="P464" s="4">
        <f t="shared" si="316"/>
        <v>2.1128725013730758</v>
      </c>
      <c r="Q464" s="169">
        <f t="shared" si="286"/>
        <v>1.3979463464333168</v>
      </c>
      <c r="R464" s="169">
        <f t="shared" si="287"/>
        <v>0.95470988059941519</v>
      </c>
      <c r="S464" s="169">
        <f t="shared" si="288"/>
        <v>1.2162133213969857</v>
      </c>
      <c r="T464" s="169">
        <f t="shared" si="289"/>
        <v>0.95470988059941519</v>
      </c>
      <c r="U464" s="169">
        <f t="shared" si="278"/>
        <v>1.0854616009982005</v>
      </c>
      <c r="V464" s="169">
        <f t="shared" si="279"/>
        <v>3.329421197826949E-2</v>
      </c>
      <c r="W464" s="439">
        <f t="shared" si="280"/>
        <v>8.1728242453284565</v>
      </c>
      <c r="X464" s="439">
        <f t="shared" si="290"/>
        <v>8.1728242453284565</v>
      </c>
      <c r="Y464" s="169"/>
      <c r="Z464" s="119" t="str">
        <f t="shared" si="291"/>
        <v/>
      </c>
      <c r="AA464" s="4" t="str">
        <f t="shared" si="292"/>
        <v/>
      </c>
      <c r="AB464" s="466"/>
      <c r="AC464" s="466"/>
      <c r="AD464" s="466"/>
      <c r="AE464" s="466"/>
      <c r="AF464" s="466"/>
      <c r="AG464" s="466"/>
      <c r="AH464" s="466"/>
      <c r="AI464" s="466"/>
      <c r="AJ464" s="466"/>
      <c r="AK464" s="466"/>
      <c r="AL464" s="466"/>
      <c r="AM464" s="462">
        <f t="shared" si="282"/>
        <v>94</v>
      </c>
      <c r="AN464" s="32">
        <f t="shared" si="306"/>
        <v>0.99843839418535973</v>
      </c>
      <c r="AO464" s="32">
        <f t="shared" si="307"/>
        <v>9.2500104317137774E-2</v>
      </c>
      <c r="AP464" s="32">
        <f t="shared" si="308"/>
        <v>1.6609518614943934</v>
      </c>
      <c r="AQ464" s="32">
        <f t="shared" si="309"/>
        <v>12.688737551736857</v>
      </c>
      <c r="AR464" s="32">
        <f t="shared" si="310"/>
        <v>30.715131551101813</v>
      </c>
      <c r="AS464" s="32">
        <f t="shared" si="293"/>
        <v>23.058463558043155</v>
      </c>
      <c r="AT464" s="32">
        <f t="shared" si="294"/>
        <v>16.632000000000001</v>
      </c>
      <c r="AU464" s="32">
        <f t="shared" si="295"/>
        <v>0.93674931747417234</v>
      </c>
      <c r="AV464" s="32">
        <f t="shared" si="296"/>
        <v>0.91461157859013287</v>
      </c>
      <c r="AW464" s="32">
        <f t="shared" si="297"/>
        <v>1.3979463464333168</v>
      </c>
      <c r="AX464" s="32">
        <f t="shared" si="298"/>
        <v>0.95470988059941519</v>
      </c>
      <c r="AY464" s="32">
        <f t="shared" si="299"/>
        <v>1.0854616009982005</v>
      </c>
      <c r="AZ464" s="32">
        <f t="shared" si="311"/>
        <v>0.19414031612688609</v>
      </c>
      <c r="BA464" s="32">
        <f t="shared" si="300"/>
        <v>-5.5271224992578372</v>
      </c>
      <c r="BB464" s="32">
        <f t="shared" si="312"/>
        <v>11.104877500742164</v>
      </c>
      <c r="BC464" s="32">
        <f t="shared" si="301"/>
        <v>9.125</v>
      </c>
      <c r="BD464" s="32">
        <v>0</v>
      </c>
      <c r="BE464" s="32">
        <f t="shared" si="313"/>
        <v>1.1763281135163659</v>
      </c>
      <c r="BF464" s="32">
        <f t="shared" si="314"/>
        <v>9.0866512518165354E-2</v>
      </c>
      <c r="BG464" s="32">
        <f t="shared" si="315"/>
        <v>7.8151743522675995E-2</v>
      </c>
      <c r="BH464" s="32">
        <f t="shared" si="302"/>
        <v>1.9382310140643806</v>
      </c>
      <c r="BI464" s="32">
        <f t="shared" si="303"/>
        <v>0.17464148730869522</v>
      </c>
      <c r="BJ464" s="32">
        <f t="shared" si="281"/>
        <v>2.1128725013730758</v>
      </c>
      <c r="BK464" s="457">
        <f t="shared" si="304"/>
        <v>1.8454150888306304</v>
      </c>
    </row>
    <row r="465" spans="1:63" ht="15">
      <c r="A465" s="119"/>
      <c r="B465" s="480">
        <f>Input!B482</f>
        <v>38447</v>
      </c>
      <c r="C465" s="481">
        <v>2</v>
      </c>
      <c r="D465" s="481">
        <f t="shared" si="283"/>
        <v>4</v>
      </c>
      <c r="E465" s="481">
        <f t="shared" si="284"/>
        <v>5</v>
      </c>
      <c r="F465" s="481">
        <f t="shared" si="285"/>
        <v>95</v>
      </c>
      <c r="G465" s="431">
        <v>1.9008</v>
      </c>
      <c r="H465" s="455">
        <v>13.88</v>
      </c>
      <c r="I465" s="455">
        <v>11.9</v>
      </c>
      <c r="J465" s="455">
        <v>2.36</v>
      </c>
      <c r="K465" s="485"/>
      <c r="L465" s="433">
        <v>100</v>
      </c>
      <c r="M465" s="455">
        <v>87</v>
      </c>
      <c r="N465" s="484">
        <f>Weather!M466</f>
        <v>0</v>
      </c>
      <c r="O465" s="481" t="str">
        <f t="shared" si="305"/>
        <v/>
      </c>
      <c r="P465" s="4">
        <f t="shared" si="316"/>
        <v>0.44427184411836929</v>
      </c>
      <c r="Q465" s="169">
        <f t="shared" si="286"/>
        <v>1.5861985043143554</v>
      </c>
      <c r="R465" s="169">
        <f t="shared" si="287"/>
        <v>1.3933421778648425</v>
      </c>
      <c r="S465" s="169">
        <f t="shared" si="288"/>
        <v>1.3799926987534892</v>
      </c>
      <c r="T465" s="169">
        <f t="shared" si="289"/>
        <v>1.3933421778648425</v>
      </c>
      <c r="U465" s="169">
        <f t="shared" si="278"/>
        <v>1.3866674383091659</v>
      </c>
      <c r="V465" s="169">
        <f t="shared" si="279"/>
        <v>4.7474756671425783E-2</v>
      </c>
      <c r="W465" s="439">
        <f t="shared" si="280"/>
        <v>11.827255851783455</v>
      </c>
      <c r="X465" s="439">
        <f t="shared" si="290"/>
        <v>11.827255851783455</v>
      </c>
      <c r="Y465" s="169"/>
      <c r="Z465" s="119" t="str">
        <f t="shared" si="291"/>
        <v/>
      </c>
      <c r="AA465" s="4" t="str">
        <f t="shared" si="292"/>
        <v/>
      </c>
      <c r="AB465" s="466"/>
      <c r="AC465" s="466"/>
      <c r="AD465" s="466"/>
      <c r="AE465" s="466"/>
      <c r="AF465" s="466"/>
      <c r="AG465" s="466"/>
      <c r="AH465" s="466"/>
      <c r="AI465" s="466"/>
      <c r="AJ465" s="466"/>
      <c r="AK465" s="466"/>
      <c r="AL465" s="466"/>
      <c r="AM465" s="462">
        <f t="shared" si="282"/>
        <v>95</v>
      </c>
      <c r="AN465" s="32">
        <f t="shared" si="306"/>
        <v>0.99787122116817262</v>
      </c>
      <c r="AO465" s="32">
        <f t="shared" si="307"/>
        <v>9.9344247414743778E-2</v>
      </c>
      <c r="AP465" s="32">
        <f t="shared" si="308"/>
        <v>1.6676854466314133</v>
      </c>
      <c r="AQ465" s="32">
        <f t="shared" si="309"/>
        <v>12.740178352982623</v>
      </c>
      <c r="AR465" s="32">
        <f t="shared" si="310"/>
        <v>30.976296466191748</v>
      </c>
      <c r="AS465" s="32">
        <f t="shared" si="293"/>
        <v>23.254525283099472</v>
      </c>
      <c r="AT465" s="32">
        <f t="shared" si="294"/>
        <v>1.463616</v>
      </c>
      <c r="AU465" s="32">
        <f t="shared" si="295"/>
        <v>0.3</v>
      </c>
      <c r="AV465" s="32">
        <f t="shared" si="296"/>
        <v>5.5000000000000049E-2</v>
      </c>
      <c r="AW465" s="32">
        <f t="shared" si="297"/>
        <v>1.5861985043143554</v>
      </c>
      <c r="AX465" s="32">
        <f t="shared" si="298"/>
        <v>1.3933421778648425</v>
      </c>
      <c r="AY465" s="32">
        <f t="shared" si="299"/>
        <v>1.3866674383091659</v>
      </c>
      <c r="AZ465" s="32">
        <f t="shared" si="311"/>
        <v>0.17514041795861654</v>
      </c>
      <c r="BA465" s="32">
        <f t="shared" si="300"/>
        <v>-0.31599735098860343</v>
      </c>
      <c r="BB465" s="32">
        <f t="shared" si="312"/>
        <v>1.1476186490113967</v>
      </c>
      <c r="BC465" s="32">
        <f t="shared" si="301"/>
        <v>12.89</v>
      </c>
      <c r="BD465" s="32">
        <v>0</v>
      </c>
      <c r="BE465" s="32">
        <f t="shared" si="313"/>
        <v>1.4897703410895988</v>
      </c>
      <c r="BF465" s="32">
        <f t="shared" si="314"/>
        <v>0.10310290278043288</v>
      </c>
      <c r="BG465" s="32">
        <f t="shared" si="315"/>
        <v>9.7377152971143494E-2</v>
      </c>
      <c r="BH465" s="32">
        <f t="shared" si="302"/>
        <v>0.20882319893189955</v>
      </c>
      <c r="BI465" s="32">
        <f t="shared" si="303"/>
        <v>0.23544864518646971</v>
      </c>
      <c r="BJ465" s="32">
        <f t="shared" si="281"/>
        <v>0.44427184411836929</v>
      </c>
      <c r="BK465" s="457">
        <f t="shared" si="304"/>
        <v>1.2558007190297333</v>
      </c>
    </row>
    <row r="466" spans="1:63" ht="15">
      <c r="A466" s="119"/>
      <c r="B466" s="480">
        <f>Input!B483</f>
        <v>38448</v>
      </c>
      <c r="C466" s="481">
        <v>2</v>
      </c>
      <c r="D466" s="481">
        <f t="shared" si="283"/>
        <v>4</v>
      </c>
      <c r="E466" s="481">
        <f t="shared" si="284"/>
        <v>6</v>
      </c>
      <c r="F466" s="481">
        <f t="shared" si="285"/>
        <v>96</v>
      </c>
      <c r="G466" s="431">
        <v>8.8992000000000004</v>
      </c>
      <c r="H466" s="455">
        <v>13.86</v>
      </c>
      <c r="I466" s="455">
        <v>8.1999999999999993</v>
      </c>
      <c r="J466" s="455">
        <v>1.52</v>
      </c>
      <c r="K466" s="485"/>
      <c r="L466" s="433">
        <v>100</v>
      </c>
      <c r="M466" s="455">
        <v>87</v>
      </c>
      <c r="N466" s="484">
        <f>Weather!M467</f>
        <v>0</v>
      </c>
      <c r="O466" s="481" t="str">
        <f t="shared" si="305"/>
        <v/>
      </c>
      <c r="P466" s="4">
        <f t="shared" si="316"/>
        <v>1.2870475400541517</v>
      </c>
      <c r="Q466" s="169">
        <f t="shared" si="286"/>
        <v>1.5841390129071271</v>
      </c>
      <c r="R466" s="169">
        <f t="shared" si="287"/>
        <v>1.087469457177191</v>
      </c>
      <c r="S466" s="169">
        <f t="shared" si="288"/>
        <v>1.3782009412292007</v>
      </c>
      <c r="T466" s="169">
        <f t="shared" si="289"/>
        <v>1.087469457177191</v>
      </c>
      <c r="U466" s="169">
        <f t="shared" si="278"/>
        <v>1.2328351992031958</v>
      </c>
      <c r="V466" s="169">
        <f t="shared" si="279"/>
        <v>4.0666025622189891E-2</v>
      </c>
      <c r="W466" s="439">
        <f t="shared" si="280"/>
        <v>10.059111985900781</v>
      </c>
      <c r="X466" s="439">
        <f t="shared" si="290"/>
        <v>10.059111985900781</v>
      </c>
      <c r="Y466" s="169"/>
      <c r="Z466" s="119" t="str">
        <f t="shared" si="291"/>
        <v/>
      </c>
      <c r="AA466" s="4" t="str">
        <f t="shared" si="292"/>
        <v/>
      </c>
      <c r="AB466" s="466"/>
      <c r="AC466" s="466"/>
      <c r="AD466" s="466"/>
      <c r="AE466" s="466"/>
      <c r="AF466" s="466"/>
      <c r="AG466" s="466"/>
      <c r="AH466" s="466"/>
      <c r="AI466" s="466"/>
      <c r="AJ466" s="466"/>
      <c r="AK466" s="466"/>
      <c r="AL466" s="466"/>
      <c r="AM466" s="462">
        <f t="shared" si="282"/>
        <v>96</v>
      </c>
      <c r="AN466" s="32">
        <f t="shared" si="306"/>
        <v>0.99730467895409602</v>
      </c>
      <c r="AO466" s="32">
        <f t="shared" si="307"/>
        <v>0.10615895266781625</v>
      </c>
      <c r="AP466" s="32">
        <f t="shared" si="308"/>
        <v>1.674403592704659</v>
      </c>
      <c r="AQ466" s="32">
        <f t="shared" si="309"/>
        <v>12.791501208469207</v>
      </c>
      <c r="AR466" s="32">
        <f t="shared" si="310"/>
        <v>31.235728441599793</v>
      </c>
      <c r="AS466" s="32">
        <f t="shared" si="293"/>
        <v>23.449286055677799</v>
      </c>
      <c r="AT466" s="32">
        <f t="shared" si="294"/>
        <v>6.8523840000000007</v>
      </c>
      <c r="AU466" s="32">
        <f t="shared" si="295"/>
        <v>0.37950835598447691</v>
      </c>
      <c r="AV466" s="32">
        <f t="shared" si="296"/>
        <v>0.16233628057904392</v>
      </c>
      <c r="AW466" s="32">
        <f t="shared" si="297"/>
        <v>1.5841390129071271</v>
      </c>
      <c r="AX466" s="32">
        <f t="shared" si="298"/>
        <v>1.087469457177191</v>
      </c>
      <c r="AY466" s="32">
        <f t="shared" si="299"/>
        <v>1.2328351992031961</v>
      </c>
      <c r="AZ466" s="32">
        <f t="shared" si="311"/>
        <v>0.18455364300060731</v>
      </c>
      <c r="BA466" s="32">
        <f t="shared" si="300"/>
        <v>-0.95800257843608461</v>
      </c>
      <c r="BB466" s="32">
        <f t="shared" si="312"/>
        <v>5.8943814215639163</v>
      </c>
      <c r="BC466" s="32">
        <f t="shared" si="301"/>
        <v>11.03</v>
      </c>
      <c r="BD466" s="32">
        <v>0</v>
      </c>
      <c r="BE466" s="32">
        <f t="shared" si="313"/>
        <v>1.3358042350421591</v>
      </c>
      <c r="BF466" s="32">
        <f t="shared" si="314"/>
        <v>0.102969035838963</v>
      </c>
      <c r="BG466" s="32">
        <f t="shared" si="315"/>
        <v>8.7429027598104933E-2</v>
      </c>
      <c r="BH466" s="32">
        <f t="shared" si="302"/>
        <v>1.1111523595537665</v>
      </c>
      <c r="BI466" s="32">
        <f t="shared" si="303"/>
        <v>0.17589518050038513</v>
      </c>
      <c r="BJ466" s="32">
        <f t="shared" si="281"/>
        <v>1.2870475400541517</v>
      </c>
      <c r="BK466" s="457">
        <f t="shared" si="304"/>
        <v>2.0112508846057815</v>
      </c>
    </row>
    <row r="467" spans="1:63" ht="15">
      <c r="A467" s="119"/>
      <c r="B467" s="480">
        <f>Input!B484</f>
        <v>38449</v>
      </c>
      <c r="C467" s="481">
        <v>2</v>
      </c>
      <c r="D467" s="481">
        <f t="shared" si="283"/>
        <v>4</v>
      </c>
      <c r="E467" s="481">
        <f t="shared" si="284"/>
        <v>7</v>
      </c>
      <c r="F467" s="481">
        <f t="shared" si="285"/>
        <v>97</v>
      </c>
      <c r="G467" s="431">
        <v>15.552</v>
      </c>
      <c r="H467" s="455">
        <v>15.1</v>
      </c>
      <c r="I467" s="455">
        <v>8.8000000000000007</v>
      </c>
      <c r="J467" s="455">
        <v>2.27</v>
      </c>
      <c r="K467" s="485"/>
      <c r="L467" s="433">
        <v>95</v>
      </c>
      <c r="M467" s="455">
        <v>88</v>
      </c>
      <c r="N467" s="484">
        <f>Weather!M468</f>
        <v>0</v>
      </c>
      <c r="O467" s="481" t="str">
        <f t="shared" si="305"/>
        <v/>
      </c>
      <c r="P467" s="4">
        <f t="shared" si="316"/>
        <v>1.8718532351116166</v>
      </c>
      <c r="Q467" s="169">
        <f t="shared" si="286"/>
        <v>1.7163564077019398</v>
      </c>
      <c r="R467" s="169">
        <f t="shared" si="287"/>
        <v>1.1326407811431278</v>
      </c>
      <c r="S467" s="169">
        <f t="shared" si="288"/>
        <v>1.510393638777707</v>
      </c>
      <c r="T467" s="169">
        <f t="shared" si="289"/>
        <v>1.0760087420859714</v>
      </c>
      <c r="U467" s="169">
        <f t="shared" si="278"/>
        <v>1.2932011904318392</v>
      </c>
      <c r="V467" s="169">
        <f t="shared" si="279"/>
        <v>4.3434070239621675E-2</v>
      </c>
      <c r="W467" s="439">
        <f t="shared" si="280"/>
        <v>10.774902750763999</v>
      </c>
      <c r="X467" s="439">
        <f t="shared" si="290"/>
        <v>10.774902750763999</v>
      </c>
      <c r="Y467" s="169"/>
      <c r="Z467" s="119" t="str">
        <f t="shared" si="291"/>
        <v/>
      </c>
      <c r="AA467" s="4" t="str">
        <f t="shared" si="292"/>
        <v/>
      </c>
      <c r="AB467" s="466"/>
      <c r="AC467" s="466"/>
      <c r="AD467" s="466"/>
      <c r="AE467" s="466"/>
      <c r="AF467" s="466"/>
      <c r="AG467" s="466"/>
      <c r="AH467" s="466"/>
      <c r="AI467" s="466"/>
      <c r="AJ467" s="466"/>
      <c r="AK467" s="466"/>
      <c r="AL467" s="466"/>
      <c r="AM467" s="462">
        <f t="shared" si="282"/>
        <v>97</v>
      </c>
      <c r="AN467" s="32">
        <f t="shared" si="306"/>
        <v>0.99673893542181524</v>
      </c>
      <c r="AO467" s="32">
        <f t="shared" si="307"/>
        <v>0.11294220073211542</v>
      </c>
      <c r="AP467" s="32">
        <f t="shared" si="308"/>
        <v>1.6811050967940502</v>
      </c>
      <c r="AQ467" s="32">
        <f t="shared" si="309"/>
        <v>12.842696928564107</v>
      </c>
      <c r="AR467" s="32">
        <f t="shared" si="310"/>
        <v>31.49334745160132</v>
      </c>
      <c r="AS467" s="32">
        <f t="shared" si="293"/>
        <v>23.642685798866143</v>
      </c>
      <c r="AT467" s="32">
        <f t="shared" si="294"/>
        <v>11.97504</v>
      </c>
      <c r="AU467" s="32">
        <f t="shared" si="295"/>
        <v>0.65779328678241133</v>
      </c>
      <c r="AV467" s="32">
        <f t="shared" si="296"/>
        <v>0.53802093715625543</v>
      </c>
      <c r="AW467" s="32">
        <f t="shared" si="297"/>
        <v>1.7163564077019398</v>
      </c>
      <c r="AX467" s="32">
        <f t="shared" si="298"/>
        <v>1.1326407811431278</v>
      </c>
      <c r="AY467" s="32">
        <f t="shared" si="299"/>
        <v>1.293201190431839</v>
      </c>
      <c r="AZ467" s="32">
        <f t="shared" si="311"/>
        <v>0.18079339419338142</v>
      </c>
      <c r="BA467" s="32">
        <f t="shared" si="300"/>
        <v>-3.1512631654506413</v>
      </c>
      <c r="BB467" s="32">
        <f t="shared" si="312"/>
        <v>8.8237768345493581</v>
      </c>
      <c r="BC467" s="32">
        <f t="shared" si="301"/>
        <v>11.95</v>
      </c>
      <c r="BD467" s="32">
        <v>0</v>
      </c>
      <c r="BE467" s="32">
        <f t="shared" si="313"/>
        <v>1.4244985944225337</v>
      </c>
      <c r="BF467" s="32">
        <f t="shared" si="314"/>
        <v>0.13129740399069467</v>
      </c>
      <c r="BG467" s="32">
        <f t="shared" si="315"/>
        <v>9.2235496041265852E-2</v>
      </c>
      <c r="BH467" s="32">
        <f t="shared" si="302"/>
        <v>1.5726414817983094</v>
      </c>
      <c r="BI467" s="32">
        <f t="shared" si="303"/>
        <v>0.29921175331330718</v>
      </c>
      <c r="BJ467" s="32">
        <f t="shared" si="281"/>
        <v>1.8718532351116166</v>
      </c>
      <c r="BK467" s="457">
        <f t="shared" si="304"/>
        <v>2.2076886303366243</v>
      </c>
    </row>
    <row r="468" spans="1:63" ht="15">
      <c r="A468" s="119"/>
      <c r="B468" s="480">
        <f>Input!B485</f>
        <v>38450</v>
      </c>
      <c r="C468" s="481">
        <v>2</v>
      </c>
      <c r="D468" s="481">
        <f t="shared" si="283"/>
        <v>4</v>
      </c>
      <c r="E468" s="481">
        <f t="shared" si="284"/>
        <v>8</v>
      </c>
      <c r="F468" s="481">
        <f t="shared" si="285"/>
        <v>98</v>
      </c>
      <c r="G468" s="431">
        <v>21.167999999999999</v>
      </c>
      <c r="H468" s="455">
        <v>15.11</v>
      </c>
      <c r="I468" s="455">
        <v>8.5</v>
      </c>
      <c r="J468" s="455">
        <v>2.42</v>
      </c>
      <c r="K468" s="485"/>
      <c r="L468" s="433">
        <v>100</v>
      </c>
      <c r="M468" s="455">
        <v>76</v>
      </c>
      <c r="N468" s="484">
        <f>Weather!M469</f>
        <v>0</v>
      </c>
      <c r="O468" s="481" t="str">
        <f t="shared" si="305"/>
        <v/>
      </c>
      <c r="P468" s="4">
        <f t="shared" si="316"/>
        <v>2.4478030510786795</v>
      </c>
      <c r="Q468" s="169">
        <f t="shared" si="286"/>
        <v>1.7174608456900899</v>
      </c>
      <c r="R468" s="169">
        <f t="shared" si="287"/>
        <v>1.109852890889037</v>
      </c>
      <c r="S468" s="169">
        <f t="shared" si="288"/>
        <v>1.3052702427244685</v>
      </c>
      <c r="T468" s="169">
        <f t="shared" si="289"/>
        <v>1.109852890889037</v>
      </c>
      <c r="U468" s="169">
        <f t="shared" si="278"/>
        <v>1.2075615668067528</v>
      </c>
      <c r="V468" s="169">
        <f t="shared" si="279"/>
        <v>3.9466635662187569E-2</v>
      </c>
      <c r="W468" s="439">
        <f t="shared" si="280"/>
        <v>9.7502418868017138</v>
      </c>
      <c r="X468" s="439">
        <f t="shared" si="290"/>
        <v>9.7502418868017138</v>
      </c>
      <c r="Y468" s="169"/>
      <c r="Z468" s="119" t="str">
        <f t="shared" si="291"/>
        <v/>
      </c>
      <c r="AA468" s="4" t="str">
        <f t="shared" si="292"/>
        <v/>
      </c>
      <c r="AB468" s="466"/>
      <c r="AC468" s="466"/>
      <c r="AD468" s="466"/>
      <c r="AE468" s="466"/>
      <c r="AF468" s="466"/>
      <c r="AG468" s="466"/>
      <c r="AH468" s="466"/>
      <c r="AI468" s="466"/>
      <c r="AJ468" s="466"/>
      <c r="AK468" s="466"/>
      <c r="AL468" s="466"/>
      <c r="AM468" s="462">
        <f t="shared" si="282"/>
        <v>98</v>
      </c>
      <c r="AN468" s="32">
        <f t="shared" si="306"/>
        <v>0.99617415821334854</v>
      </c>
      <c r="AO468" s="32">
        <f t="shared" si="307"/>
        <v>0.11969198158484542</v>
      </c>
      <c r="AP468" s="32">
        <f t="shared" si="308"/>
        <v>1.6877887321224638</v>
      </c>
      <c r="AQ468" s="32">
        <f t="shared" si="309"/>
        <v>12.893756141380461</v>
      </c>
      <c r="AR468" s="32">
        <f t="shared" si="310"/>
        <v>31.749074999927338</v>
      </c>
      <c r="AS468" s="32">
        <f t="shared" si="293"/>
        <v>23.834665583945451</v>
      </c>
      <c r="AT468" s="32">
        <f t="shared" si="294"/>
        <v>16.29936</v>
      </c>
      <c r="AU468" s="32">
        <f t="shared" si="295"/>
        <v>0.88811818758045991</v>
      </c>
      <c r="AV468" s="32">
        <f t="shared" si="296"/>
        <v>0.84895955323362104</v>
      </c>
      <c r="AW468" s="32">
        <f t="shared" si="297"/>
        <v>1.7174608456900899</v>
      </c>
      <c r="AX468" s="32">
        <f t="shared" si="298"/>
        <v>1.109852890889037</v>
      </c>
      <c r="AY468" s="32">
        <f t="shared" si="299"/>
        <v>1.2075615668067528</v>
      </c>
      <c r="AZ468" s="32">
        <f t="shared" si="311"/>
        <v>0.18615525127774965</v>
      </c>
      <c r="BA468" s="32">
        <f t="shared" si="300"/>
        <v>-5.1099175857681294</v>
      </c>
      <c r="BB468" s="32">
        <f t="shared" si="312"/>
        <v>11.18944241423187</v>
      </c>
      <c r="BC468" s="32">
        <f t="shared" si="301"/>
        <v>11.805</v>
      </c>
      <c r="BD468" s="32">
        <v>0</v>
      </c>
      <c r="BE468" s="32">
        <f t="shared" si="313"/>
        <v>1.4136568682895634</v>
      </c>
      <c r="BF468" s="32">
        <f t="shared" si="314"/>
        <v>0.20609530148281063</v>
      </c>
      <c r="BG468" s="32">
        <f t="shared" si="315"/>
        <v>9.1463340930821646E-2</v>
      </c>
      <c r="BH468" s="32">
        <f t="shared" si="302"/>
        <v>1.9530559883074181</v>
      </c>
      <c r="BI468" s="32">
        <f t="shared" si="303"/>
        <v>0.49474706277126157</v>
      </c>
      <c r="BJ468" s="32">
        <f t="shared" si="281"/>
        <v>2.4478030510786795</v>
      </c>
      <c r="BK468" s="457">
        <f t="shared" si="304"/>
        <v>2.2686036348055745</v>
      </c>
    </row>
    <row r="469" spans="1:63" ht="15">
      <c r="A469" s="119"/>
      <c r="B469" s="480">
        <f>Input!B486</f>
        <v>38451</v>
      </c>
      <c r="C469" s="481">
        <v>2</v>
      </c>
      <c r="D469" s="481">
        <f t="shared" si="283"/>
        <v>4</v>
      </c>
      <c r="E469" s="481">
        <f t="shared" si="284"/>
        <v>9</v>
      </c>
      <c r="F469" s="481">
        <f t="shared" si="285"/>
        <v>99</v>
      </c>
      <c r="G469" s="431">
        <v>2.6783999999999999</v>
      </c>
      <c r="H469" s="455">
        <v>8.58</v>
      </c>
      <c r="I469" s="455">
        <v>3.5</v>
      </c>
      <c r="J469" s="455">
        <v>2.1</v>
      </c>
      <c r="K469" s="485"/>
      <c r="L469" s="433">
        <v>97</v>
      </c>
      <c r="M469" s="455">
        <v>87</v>
      </c>
      <c r="N469" s="484">
        <f>Weather!M470</f>
        <v>0</v>
      </c>
      <c r="O469" s="481" t="str">
        <f t="shared" si="305"/>
        <v/>
      </c>
      <c r="P469" s="4">
        <f t="shared" si="316"/>
        <v>0.46595535146604128</v>
      </c>
      <c r="Q469" s="169">
        <f t="shared" si="286"/>
        <v>1.1158898590655459</v>
      </c>
      <c r="R469" s="169">
        <f t="shared" si="287"/>
        <v>0.78508109266494874</v>
      </c>
      <c r="S469" s="169">
        <f t="shared" si="288"/>
        <v>0.97082417738702498</v>
      </c>
      <c r="T469" s="169">
        <f t="shared" si="289"/>
        <v>0.76152865988500029</v>
      </c>
      <c r="U469" s="169">
        <f t="shared" si="278"/>
        <v>0.86617641863601258</v>
      </c>
      <c r="V469" s="169">
        <f t="shared" si="279"/>
        <v>2.0226927107139272E-2</v>
      </c>
      <c r="W469" s="439">
        <f t="shared" si="280"/>
        <v>4.8989403110989747</v>
      </c>
      <c r="X469" s="439">
        <f t="shared" si="290"/>
        <v>4.8989403110989747</v>
      </c>
      <c r="Y469" s="169"/>
      <c r="Z469" s="119" t="str">
        <f t="shared" si="291"/>
        <v/>
      </c>
      <c r="AA469" s="4" t="str">
        <f t="shared" si="292"/>
        <v/>
      </c>
      <c r="AB469" s="466"/>
      <c r="AC469" s="466"/>
      <c r="AD469" s="466"/>
      <c r="AE469" s="466"/>
      <c r="AF469" s="466"/>
      <c r="AG469" s="466"/>
      <c r="AH469" s="466"/>
      <c r="AI469" s="466"/>
      <c r="AJ469" s="466"/>
      <c r="AK469" s="466"/>
      <c r="AL469" s="466"/>
      <c r="AM469" s="462">
        <f t="shared" si="282"/>
        <v>99</v>
      </c>
      <c r="AN469" s="32">
        <f t="shared" si="306"/>
        <v>0.99561051468437156</v>
      </c>
      <c r="AO469" s="32">
        <f t="shared" si="307"/>
        <v>0.12640629512026721</v>
      </c>
      <c r="AP469" s="32">
        <f t="shared" si="308"/>
        <v>1.6944532466572033</v>
      </c>
      <c r="AQ469" s="32">
        <f t="shared" si="309"/>
        <v>12.944669282093015</v>
      </c>
      <c r="AR469" s="32">
        <f t="shared" si="310"/>
        <v>32.002834145444879</v>
      </c>
      <c r="AS469" s="32">
        <f t="shared" si="293"/>
        <v>24.025167649668383</v>
      </c>
      <c r="AT469" s="32">
        <f t="shared" si="294"/>
        <v>2.0623679999999998</v>
      </c>
      <c r="AU469" s="32">
        <f t="shared" si="295"/>
        <v>0.3</v>
      </c>
      <c r="AV469" s="32">
        <f t="shared" si="296"/>
        <v>5.5000000000000049E-2</v>
      </c>
      <c r="AW469" s="32">
        <f t="shared" si="297"/>
        <v>1.1158898590655459</v>
      </c>
      <c r="AX469" s="32">
        <f t="shared" si="298"/>
        <v>0.78508109266494874</v>
      </c>
      <c r="AY469" s="32">
        <f t="shared" si="299"/>
        <v>0.86617641863601258</v>
      </c>
      <c r="AZ469" s="32">
        <f t="shared" si="311"/>
        <v>0.2097039608995506</v>
      </c>
      <c r="BA469" s="32">
        <f t="shared" si="300"/>
        <v>-0.34354249391934494</v>
      </c>
      <c r="BB469" s="32">
        <f t="shared" si="312"/>
        <v>1.7188255060806548</v>
      </c>
      <c r="BC469" s="32">
        <f t="shared" si="301"/>
        <v>6.04</v>
      </c>
      <c r="BD469" s="32">
        <v>0</v>
      </c>
      <c r="BE469" s="32">
        <f t="shared" si="313"/>
        <v>0.95048547586524734</v>
      </c>
      <c r="BF469" s="32">
        <f t="shared" si="314"/>
        <v>8.4309057229234763E-2</v>
      </c>
      <c r="BG469" s="32">
        <f t="shared" si="315"/>
        <v>6.4910629009970439E-2</v>
      </c>
      <c r="BH469" s="32">
        <f t="shared" si="302"/>
        <v>0.25297347903031103</v>
      </c>
      <c r="BI469" s="32">
        <f t="shared" si="303"/>
        <v>0.21298187243573025</v>
      </c>
      <c r="BJ469" s="32">
        <f t="shared" si="281"/>
        <v>0.46595535146604128</v>
      </c>
      <c r="BK469" s="457">
        <f t="shared" si="304"/>
        <v>1.6143150649283642</v>
      </c>
    </row>
    <row r="470" spans="1:63" ht="15">
      <c r="A470" s="119"/>
      <c r="B470" s="480">
        <f>Input!B487</f>
        <v>38452</v>
      </c>
      <c r="C470" s="481">
        <v>2</v>
      </c>
      <c r="D470" s="481">
        <f t="shared" si="283"/>
        <v>4</v>
      </c>
      <c r="E470" s="481">
        <f t="shared" si="284"/>
        <v>10</v>
      </c>
      <c r="F470" s="481">
        <f t="shared" si="285"/>
        <v>100</v>
      </c>
      <c r="G470" s="431">
        <v>3.9744000000000002</v>
      </c>
      <c r="H470" s="455">
        <v>7.48</v>
      </c>
      <c r="I470" s="455">
        <v>0.4</v>
      </c>
      <c r="J470" s="455">
        <v>1.7</v>
      </c>
      <c r="K470" s="485"/>
      <c r="L470" s="433">
        <v>99</v>
      </c>
      <c r="M470" s="455">
        <v>87</v>
      </c>
      <c r="N470" s="484">
        <f>Weather!M471</f>
        <v>0</v>
      </c>
      <c r="O470" s="481" t="str">
        <f t="shared" si="305"/>
        <v/>
      </c>
      <c r="P470" s="4">
        <f t="shared" si="316"/>
        <v>0.54789851191428862</v>
      </c>
      <c r="Q470" s="169">
        <f t="shared" si="286"/>
        <v>1.0353627564360872</v>
      </c>
      <c r="R470" s="169">
        <f t="shared" si="287"/>
        <v>0.62881142847361471</v>
      </c>
      <c r="S470" s="169">
        <f t="shared" si="288"/>
        <v>0.90076559809939583</v>
      </c>
      <c r="T470" s="169">
        <f t="shared" si="289"/>
        <v>0.62252331418887852</v>
      </c>
      <c r="U470" s="169">
        <f t="shared" si="278"/>
        <v>0.76164445614413712</v>
      </c>
      <c r="V470" s="169">
        <f t="shared" si="279"/>
        <v>1.2779981497804994E-2</v>
      </c>
      <c r="W470" s="439">
        <f t="shared" si="280"/>
        <v>3.0719490615985543</v>
      </c>
      <c r="X470" s="439">
        <f t="shared" si="290"/>
        <v>3.0719490615985543</v>
      </c>
      <c r="Y470" s="169"/>
      <c r="Z470" s="119" t="str">
        <f t="shared" si="291"/>
        <v/>
      </c>
      <c r="AA470" s="4" t="str">
        <f t="shared" si="292"/>
        <v/>
      </c>
      <c r="AB470" s="466"/>
      <c r="AC470" s="466"/>
      <c r="AD470" s="466"/>
      <c r="AE470" s="466"/>
      <c r="AF470" s="466"/>
      <c r="AG470" s="466"/>
      <c r="AH470" s="466"/>
      <c r="AI470" s="466"/>
      <c r="AJ470" s="466"/>
      <c r="AK470" s="466"/>
      <c r="AL470" s="466"/>
      <c r="AM470" s="462">
        <f t="shared" si="282"/>
        <v>100</v>
      </c>
      <c r="AN470" s="32">
        <f t="shared" si="306"/>
        <v>0.99504817185462646</v>
      </c>
      <c r="AO470" s="32">
        <f t="shared" si="307"/>
        <v>0.13308315174237367</v>
      </c>
      <c r="AP470" s="32">
        <f t="shared" si="308"/>
        <v>1.7010973617464389</v>
      </c>
      <c r="AQ470" s="32">
        <f t="shared" si="309"/>
        <v>12.995426582521334</v>
      </c>
      <c r="AR470" s="32">
        <f t="shared" si="310"/>
        <v>32.254549524735133</v>
      </c>
      <c r="AS470" s="32">
        <f t="shared" si="293"/>
        <v>24.21413541920916</v>
      </c>
      <c r="AT470" s="32">
        <f t="shared" si="294"/>
        <v>3.0602880000000003</v>
      </c>
      <c r="AU470" s="32">
        <f t="shared" si="295"/>
        <v>0.3</v>
      </c>
      <c r="AV470" s="32">
        <f t="shared" si="296"/>
        <v>5.5000000000000049E-2</v>
      </c>
      <c r="AW470" s="32">
        <f t="shared" si="297"/>
        <v>1.0353627564360872</v>
      </c>
      <c r="AX470" s="32">
        <f t="shared" si="298"/>
        <v>0.62881142847361471</v>
      </c>
      <c r="AY470" s="32">
        <f t="shared" si="299"/>
        <v>0.76164445614413712</v>
      </c>
      <c r="AZ470" s="32">
        <f t="shared" si="311"/>
        <v>0.21781885849107038</v>
      </c>
      <c r="BA470" s="32">
        <f t="shared" si="300"/>
        <v>-0.34638794255652677</v>
      </c>
      <c r="BB470" s="32">
        <f t="shared" si="312"/>
        <v>2.7139000574434737</v>
      </c>
      <c r="BC470" s="32">
        <f t="shared" si="301"/>
        <v>3.9400000000000004</v>
      </c>
      <c r="BD470" s="32">
        <v>0</v>
      </c>
      <c r="BE470" s="32">
        <f t="shared" si="313"/>
        <v>0.83208709245485091</v>
      </c>
      <c r="BF470" s="32">
        <f t="shared" si="314"/>
        <v>7.0442636310713791E-2</v>
      </c>
      <c r="BG470" s="32">
        <f t="shared" si="315"/>
        <v>5.7039376641809754E-2</v>
      </c>
      <c r="BH470" s="32">
        <f t="shared" si="302"/>
        <v>0.38760713309548328</v>
      </c>
      <c r="BI470" s="32">
        <f t="shared" si="303"/>
        <v>0.16029137881880537</v>
      </c>
      <c r="BJ470" s="32">
        <f t="shared" si="281"/>
        <v>0.54789851191428862</v>
      </c>
      <c r="BK470" s="457">
        <f t="shared" si="304"/>
        <v>1.7515756578753028</v>
      </c>
    </row>
    <row r="471" spans="1:63" ht="15">
      <c r="A471" s="119"/>
      <c r="B471" s="480">
        <f>Input!B488</f>
        <v>38453</v>
      </c>
      <c r="C471" s="481">
        <v>2</v>
      </c>
      <c r="D471" s="481">
        <f t="shared" si="283"/>
        <v>4</v>
      </c>
      <c r="E471" s="481">
        <f t="shared" si="284"/>
        <v>11</v>
      </c>
      <c r="F471" s="481">
        <f t="shared" si="285"/>
        <v>101</v>
      </c>
      <c r="G471" s="431">
        <v>13.5648</v>
      </c>
      <c r="H471" s="455">
        <v>9.65</v>
      </c>
      <c r="I471" s="455">
        <v>2.5</v>
      </c>
      <c r="J471" s="455">
        <v>2.4700000000000002</v>
      </c>
      <c r="K471" s="485"/>
      <c r="L471" s="433">
        <v>92</v>
      </c>
      <c r="M471" s="455">
        <v>82</v>
      </c>
      <c r="N471" s="484">
        <f>Weather!M472</f>
        <v>0</v>
      </c>
      <c r="O471" s="481" t="str">
        <f t="shared" si="305"/>
        <v/>
      </c>
      <c r="P471" s="4">
        <f t="shared" si="316"/>
        <v>1.5021347877701818</v>
      </c>
      <c r="Q471" s="169">
        <f t="shared" si="286"/>
        <v>1.1994576882851018</v>
      </c>
      <c r="R471" s="169">
        <f t="shared" si="287"/>
        <v>0.73129391021763079</v>
      </c>
      <c r="S471" s="169">
        <f t="shared" si="288"/>
        <v>0.98355530439378347</v>
      </c>
      <c r="T471" s="169">
        <f t="shared" si="289"/>
        <v>0.6727903974002204</v>
      </c>
      <c r="U471" s="169">
        <f t="shared" si="278"/>
        <v>0.82817285089700188</v>
      </c>
      <c r="V471" s="169">
        <f t="shared" si="279"/>
        <v>1.7628970259179456E-2</v>
      </c>
      <c r="W471" s="439">
        <f t="shared" si="280"/>
        <v>4.2584263133319205</v>
      </c>
      <c r="X471" s="439">
        <f t="shared" si="290"/>
        <v>4.2584263133319205</v>
      </c>
      <c r="Y471" s="169"/>
      <c r="Z471" s="119" t="str">
        <f t="shared" si="291"/>
        <v/>
      </c>
      <c r="AA471" s="4" t="str">
        <f t="shared" si="292"/>
        <v/>
      </c>
      <c r="AB471" s="466"/>
      <c r="AC471" s="466"/>
      <c r="AD471" s="466"/>
      <c r="AE471" s="466"/>
      <c r="AF471" s="466"/>
      <c r="AG471" s="466"/>
      <c r="AH471" s="466"/>
      <c r="AI471" s="466"/>
      <c r="AJ471" s="466"/>
      <c r="AK471" s="466"/>
      <c r="AL471" s="466"/>
      <c r="AM471" s="462">
        <f t="shared" si="282"/>
        <v>101</v>
      </c>
      <c r="AN471" s="32">
        <f t="shared" si="306"/>
        <v>0.99448729635843003</v>
      </c>
      <c r="AO471" s="32">
        <f t="shared" si="307"/>
        <v>0.13972057295444912</v>
      </c>
      <c r="AP471" s="32">
        <f t="shared" si="308"/>
        <v>1.7077197707937959</v>
      </c>
      <c r="AQ471" s="32">
        <f t="shared" si="309"/>
        <v>13.046018061004375</v>
      </c>
      <c r="AR471" s="32">
        <f t="shared" si="310"/>
        <v>32.50414737158129</v>
      </c>
      <c r="AS471" s="32">
        <f t="shared" si="293"/>
        <v>24.401513514793507</v>
      </c>
      <c r="AT471" s="32">
        <f t="shared" si="294"/>
        <v>10.444896</v>
      </c>
      <c r="AU471" s="32">
        <f t="shared" si="295"/>
        <v>0.55589994414798449</v>
      </c>
      <c r="AV471" s="32">
        <f t="shared" si="296"/>
        <v>0.40046492459977912</v>
      </c>
      <c r="AW471" s="32">
        <f t="shared" si="297"/>
        <v>1.1994576882851018</v>
      </c>
      <c r="AX471" s="32">
        <f t="shared" si="298"/>
        <v>0.73129391021763079</v>
      </c>
      <c r="AY471" s="32">
        <f t="shared" si="299"/>
        <v>0.82817285089700177</v>
      </c>
      <c r="AZ471" s="32">
        <f t="shared" si="311"/>
        <v>0.2125943962080897</v>
      </c>
      <c r="BA471" s="32">
        <f t="shared" si="300"/>
        <v>-2.5383793453358106</v>
      </c>
      <c r="BB471" s="32">
        <f t="shared" si="312"/>
        <v>7.9065166546641894</v>
      </c>
      <c r="BC471" s="32">
        <f t="shared" si="301"/>
        <v>6.0750000000000002</v>
      </c>
      <c r="BD471" s="32">
        <v>0</v>
      </c>
      <c r="BE471" s="32">
        <f t="shared" si="313"/>
        <v>0.9653757992513663</v>
      </c>
      <c r="BF471" s="32">
        <f t="shared" si="314"/>
        <v>0.13720294835436453</v>
      </c>
      <c r="BG471" s="32">
        <f t="shared" si="315"/>
        <v>6.5049317451382829E-2</v>
      </c>
      <c r="BH471" s="32">
        <f t="shared" si="302"/>
        <v>1.1130698202005924</v>
      </c>
      <c r="BI471" s="32">
        <f t="shared" si="303"/>
        <v>0.3890649675695893</v>
      </c>
      <c r="BJ471" s="32">
        <f t="shared" si="281"/>
        <v>1.5021347877701818</v>
      </c>
      <c r="BK471" s="457">
        <f t="shared" si="304"/>
        <v>1.9480357880556527</v>
      </c>
    </row>
    <row r="472" spans="1:63" ht="15">
      <c r="A472" s="119"/>
      <c r="B472" s="480">
        <f>Input!B489</f>
        <v>38454</v>
      </c>
      <c r="C472" s="481">
        <v>2</v>
      </c>
      <c r="D472" s="481">
        <f t="shared" si="283"/>
        <v>4</v>
      </c>
      <c r="E472" s="481">
        <f t="shared" si="284"/>
        <v>12</v>
      </c>
      <c r="F472" s="481">
        <f t="shared" si="285"/>
        <v>102</v>
      </c>
      <c r="G472" s="431">
        <v>16.416</v>
      </c>
      <c r="H472" s="455">
        <v>8.93</v>
      </c>
      <c r="I472" s="455">
        <v>6.5</v>
      </c>
      <c r="J472" s="455">
        <v>3.72</v>
      </c>
      <c r="K472" s="485"/>
      <c r="L472" s="433">
        <v>100</v>
      </c>
      <c r="M472" s="455">
        <v>87</v>
      </c>
      <c r="N472" s="484">
        <f>Weather!M473</f>
        <v>0</v>
      </c>
      <c r="O472" s="481" t="str">
        <f t="shared" si="305"/>
        <v/>
      </c>
      <c r="P472" s="4">
        <f t="shared" si="316"/>
        <v>1.4775161847336267</v>
      </c>
      <c r="Q472" s="169">
        <f t="shared" si="286"/>
        <v>1.1426427056228727</v>
      </c>
      <c r="R472" s="169">
        <f t="shared" si="287"/>
        <v>0.96797712681678449</v>
      </c>
      <c r="S472" s="169">
        <f t="shared" si="288"/>
        <v>0.99409915389189929</v>
      </c>
      <c r="T472" s="169">
        <f t="shared" si="289"/>
        <v>0.96797712681678449</v>
      </c>
      <c r="U472" s="169">
        <f t="shared" si="278"/>
        <v>0.98103814035434189</v>
      </c>
      <c r="V472" s="169">
        <f t="shared" si="279"/>
        <v>2.7437276463319546E-2</v>
      </c>
      <c r="W472" s="439">
        <f t="shared" si="280"/>
        <v>6.6945458089008998</v>
      </c>
      <c r="X472" s="439">
        <f t="shared" si="290"/>
        <v>6.6945458089008998</v>
      </c>
      <c r="Y472" s="169"/>
      <c r="Z472" s="119" t="str">
        <f t="shared" si="291"/>
        <v/>
      </c>
      <c r="AA472" s="4" t="str">
        <f t="shared" si="292"/>
        <v/>
      </c>
      <c r="AB472" s="466"/>
      <c r="AC472" s="466"/>
      <c r="AD472" s="466"/>
      <c r="AE472" s="466"/>
      <c r="AF472" s="466"/>
      <c r="AG472" s="466"/>
      <c r="AH472" s="466"/>
      <c r="AI472" s="466"/>
      <c r="AJ472" s="466"/>
      <c r="AK472" s="466"/>
      <c r="AL472" s="466"/>
      <c r="AM472" s="462">
        <f t="shared" si="282"/>
        <v>102</v>
      </c>
      <c r="AN472" s="32">
        <f t="shared" si="306"/>
        <v>0.99392805439529652</v>
      </c>
      <c r="AO472" s="32">
        <f t="shared" si="307"/>
        <v>0.14631659194534127</v>
      </c>
      <c r="AP472" s="32">
        <f t="shared" si="308"/>
        <v>1.714319137974446</v>
      </c>
      <c r="AQ472" s="32">
        <f t="shared" si="309"/>
        <v>13.096433512592162</v>
      </c>
      <c r="AR472" s="32">
        <f t="shared" si="310"/>
        <v>32.751555533387659</v>
      </c>
      <c r="AS472" s="32">
        <f t="shared" si="293"/>
        <v>24.587247770024785</v>
      </c>
      <c r="AT472" s="32">
        <f t="shared" si="294"/>
        <v>12.640320000000001</v>
      </c>
      <c r="AU472" s="32">
        <f t="shared" si="295"/>
        <v>0.66766317863414337</v>
      </c>
      <c r="AV472" s="32">
        <f t="shared" si="296"/>
        <v>0.55134529115609365</v>
      </c>
      <c r="AW472" s="32">
        <f t="shared" si="297"/>
        <v>1.1426427056228727</v>
      </c>
      <c r="AX472" s="32">
        <f t="shared" si="298"/>
        <v>0.96797712681678449</v>
      </c>
      <c r="AY472" s="32">
        <f t="shared" si="299"/>
        <v>0.98103814035434189</v>
      </c>
      <c r="AZ472" s="32">
        <f t="shared" si="311"/>
        <v>0.20133368270937207</v>
      </c>
      <c r="BA472" s="32">
        <f t="shared" si="300"/>
        <v>-3.3851306873388998</v>
      </c>
      <c r="BB472" s="32">
        <f t="shared" si="312"/>
        <v>9.255189312661102</v>
      </c>
      <c r="BC472" s="32">
        <f t="shared" si="301"/>
        <v>7.7149999999999999</v>
      </c>
      <c r="BD472" s="32">
        <v>0</v>
      </c>
      <c r="BE472" s="32">
        <f t="shared" si="313"/>
        <v>1.0553099162198287</v>
      </c>
      <c r="BF472" s="32">
        <f t="shared" si="314"/>
        <v>7.4271775865486833E-2</v>
      </c>
      <c r="BG472" s="32">
        <f t="shared" si="315"/>
        <v>7.1838784868529196E-2</v>
      </c>
      <c r="BH472" s="32">
        <f t="shared" si="302"/>
        <v>1.2119214272729717</v>
      </c>
      <c r="BI472" s="32">
        <f t="shared" si="303"/>
        <v>0.26559475746065508</v>
      </c>
      <c r="BJ472" s="32">
        <f t="shared" si="281"/>
        <v>1.4775161847336267</v>
      </c>
      <c r="BK472" s="457">
        <f t="shared" si="304"/>
        <v>1.2229040765822077</v>
      </c>
    </row>
    <row r="473" spans="1:63" ht="15">
      <c r="A473" s="119"/>
      <c r="B473" s="480">
        <f>Input!B490</f>
        <v>38455</v>
      </c>
      <c r="C473" s="481">
        <v>2</v>
      </c>
      <c r="D473" s="481">
        <f t="shared" si="283"/>
        <v>4</v>
      </c>
      <c r="E473" s="481">
        <f t="shared" si="284"/>
        <v>13</v>
      </c>
      <c r="F473" s="481">
        <f t="shared" si="285"/>
        <v>103</v>
      </c>
      <c r="G473" s="431">
        <v>23.846399999999999</v>
      </c>
      <c r="H473" s="455">
        <v>11.36</v>
      </c>
      <c r="I473" s="455">
        <v>3.5</v>
      </c>
      <c r="J473" s="455">
        <v>1.84</v>
      </c>
      <c r="K473" s="485"/>
      <c r="L473" s="433">
        <v>86</v>
      </c>
      <c r="M473" s="455">
        <v>86</v>
      </c>
      <c r="N473" s="484">
        <f>Weather!M474</f>
        <v>0</v>
      </c>
      <c r="O473" s="481" t="str">
        <f t="shared" si="305"/>
        <v/>
      </c>
      <c r="P473" s="4">
        <f t="shared" si="316"/>
        <v>2.3188094411304103</v>
      </c>
      <c r="Q473" s="169">
        <f t="shared" si="286"/>
        <v>1.3444594212063117</v>
      </c>
      <c r="R473" s="169">
        <f t="shared" si="287"/>
        <v>0.78508109266494874</v>
      </c>
      <c r="S473" s="169">
        <f t="shared" si="288"/>
        <v>1.156235102237428</v>
      </c>
      <c r="T473" s="169">
        <f t="shared" si="289"/>
        <v>0.6751697396918559</v>
      </c>
      <c r="U473" s="169">
        <f t="shared" si="278"/>
        <v>0.91570242096464194</v>
      </c>
      <c r="V473" s="169">
        <f t="shared" si="279"/>
        <v>2.344654722675742E-2</v>
      </c>
      <c r="W473" s="439">
        <f t="shared" si="280"/>
        <v>5.697451215915649</v>
      </c>
      <c r="X473" s="439">
        <f t="shared" si="290"/>
        <v>5.697451215915649</v>
      </c>
      <c r="Y473" s="169"/>
      <c r="Z473" s="119" t="str">
        <f t="shared" si="291"/>
        <v/>
      </c>
      <c r="AA473" s="4" t="str">
        <f t="shared" si="292"/>
        <v/>
      </c>
      <c r="AB473" s="466"/>
      <c r="AC473" s="466"/>
      <c r="AD473" s="466"/>
      <c r="AE473" s="466"/>
      <c r="AF473" s="466"/>
      <c r="AG473" s="466"/>
      <c r="AH473" s="466"/>
      <c r="AI473" s="466"/>
      <c r="AJ473" s="466"/>
      <c r="AK473" s="466"/>
      <c r="AL473" s="466"/>
      <c r="AM473" s="462">
        <f t="shared" si="282"/>
        <v>103</v>
      </c>
      <c r="AN473" s="32">
        <f t="shared" si="306"/>
        <v>0.99337061168068908</v>
      </c>
      <c r="AO473" s="32">
        <f t="shared" si="307"/>
        <v>0.1528692541722694</v>
      </c>
      <c r="AP473" s="32">
        <f t="shared" si="308"/>
        <v>1.7208940969962245</v>
      </c>
      <c r="AQ473" s="32">
        <f t="shared" si="309"/>
        <v>13.14666249958141</v>
      </c>
      <c r="AR473" s="32">
        <f t="shared" si="310"/>
        <v>32.996703484560335</v>
      </c>
      <c r="AS473" s="32">
        <f t="shared" si="293"/>
        <v>24.771285239929135</v>
      </c>
      <c r="AT473" s="32">
        <f t="shared" si="294"/>
        <v>18.361727999999999</v>
      </c>
      <c r="AU473" s="32">
        <f t="shared" si="295"/>
        <v>0.96266300957052076</v>
      </c>
      <c r="AV473" s="32">
        <f t="shared" si="296"/>
        <v>0.94959506292020313</v>
      </c>
      <c r="AW473" s="32">
        <f t="shared" si="297"/>
        <v>1.3444594212063117</v>
      </c>
      <c r="AX473" s="32">
        <f t="shared" si="298"/>
        <v>0.78508109266494874</v>
      </c>
      <c r="AY473" s="32">
        <f t="shared" si="299"/>
        <v>0.91570242096464205</v>
      </c>
      <c r="AZ473" s="32">
        <f t="shared" si="311"/>
        <v>0.20603072198855821</v>
      </c>
      <c r="BA473" s="32">
        <f t="shared" si="300"/>
        <v>-5.9484565181102118</v>
      </c>
      <c r="BB473" s="32">
        <f t="shared" si="312"/>
        <v>12.413271481889787</v>
      </c>
      <c r="BC473" s="32">
        <f t="shared" si="301"/>
        <v>7.43</v>
      </c>
      <c r="BD473" s="32">
        <v>0</v>
      </c>
      <c r="BE473" s="32">
        <f t="shared" si="313"/>
        <v>1.0647702569356303</v>
      </c>
      <c r="BF473" s="32">
        <f t="shared" si="314"/>
        <v>0.14906783597098827</v>
      </c>
      <c r="BG473" s="32">
        <f t="shared" si="315"/>
        <v>7.0617202210339916E-2</v>
      </c>
      <c r="BH473" s="32">
        <f t="shared" si="302"/>
        <v>1.9900795705860668</v>
      </c>
      <c r="BI473" s="32">
        <f t="shared" si="303"/>
        <v>0.32872987054434333</v>
      </c>
      <c r="BJ473" s="32">
        <f t="shared" si="281"/>
        <v>2.3188094411304103</v>
      </c>
      <c r="BK473" s="457">
        <f t="shared" si="304"/>
        <v>2.1910930903941281</v>
      </c>
    </row>
    <row r="474" spans="1:63" ht="15">
      <c r="A474" s="119"/>
      <c r="B474" s="480">
        <f>Input!B491</f>
        <v>38456</v>
      </c>
      <c r="C474" s="481">
        <v>2</v>
      </c>
      <c r="D474" s="481">
        <f t="shared" si="283"/>
        <v>4</v>
      </c>
      <c r="E474" s="481">
        <f t="shared" si="284"/>
        <v>14</v>
      </c>
      <c r="F474" s="481">
        <f t="shared" si="285"/>
        <v>104</v>
      </c>
      <c r="G474" s="431">
        <v>23.587199999999999</v>
      </c>
      <c r="H474" s="455">
        <v>10.53</v>
      </c>
      <c r="I474" s="455">
        <v>8.8000000000000007</v>
      </c>
      <c r="J474" s="455">
        <v>2.93</v>
      </c>
      <c r="K474" s="485"/>
      <c r="L474" s="433">
        <v>87</v>
      </c>
      <c r="M474" s="455">
        <v>86</v>
      </c>
      <c r="N474" s="484">
        <f>Weather!M475</f>
        <v>0</v>
      </c>
      <c r="O474" s="481" t="str">
        <f t="shared" si="305"/>
        <v/>
      </c>
      <c r="P474" s="4">
        <f t="shared" si="316"/>
        <v>2.3817274499732548</v>
      </c>
      <c r="Q474" s="169">
        <f t="shared" si="286"/>
        <v>1.2722613642663765</v>
      </c>
      <c r="R474" s="169">
        <f t="shared" si="287"/>
        <v>1.1326407811431278</v>
      </c>
      <c r="S474" s="169">
        <f t="shared" si="288"/>
        <v>1.0941447732690837</v>
      </c>
      <c r="T474" s="169">
        <f t="shared" si="289"/>
        <v>0.98539747959452118</v>
      </c>
      <c r="U474" s="169">
        <f t="shared" si="278"/>
        <v>1.0397711264318024</v>
      </c>
      <c r="V474" s="169">
        <f t="shared" si="279"/>
        <v>3.0804072022766128E-2</v>
      </c>
      <c r="W474" s="439">
        <f t="shared" si="280"/>
        <v>7.5421347531436469</v>
      </c>
      <c r="X474" s="439">
        <f t="shared" si="290"/>
        <v>7.5421347531436469</v>
      </c>
      <c r="Y474" s="169"/>
      <c r="Z474" s="119" t="str">
        <f t="shared" si="291"/>
        <v/>
      </c>
      <c r="AA474" s="4" t="str">
        <f t="shared" si="292"/>
        <v/>
      </c>
      <c r="AB474" s="466"/>
      <c r="AC474" s="466"/>
      <c r="AD474" s="466"/>
      <c r="AE474" s="466"/>
      <c r="AF474" s="466"/>
      <c r="AG474" s="466"/>
      <c r="AH474" s="466"/>
      <c r="AI474" s="466"/>
      <c r="AJ474" s="466"/>
      <c r="AK474" s="466"/>
      <c r="AL474" s="466"/>
      <c r="AM474" s="462">
        <f t="shared" si="282"/>
        <v>104</v>
      </c>
      <c r="AN474" s="32">
        <f t="shared" si="306"/>
        <v>0.99281513339691441</v>
      </c>
      <c r="AO474" s="32">
        <f t="shared" si="307"/>
        <v>0.15937661793999749</v>
      </c>
      <c r="AP474" s="32">
        <f t="shared" si="308"/>
        <v>1.7274432499094841</v>
      </c>
      <c r="AQ474" s="32">
        <f t="shared" si="309"/>
        <v>13.196694342423488</v>
      </c>
      <c r="AR474" s="32">
        <f t="shared" si="310"/>
        <v>33.23952233688879</v>
      </c>
      <c r="AS474" s="32">
        <f t="shared" si="293"/>
        <v>24.953574208749153</v>
      </c>
      <c r="AT474" s="32">
        <f t="shared" si="294"/>
        <v>18.162144000000001</v>
      </c>
      <c r="AU474" s="32">
        <f t="shared" si="295"/>
        <v>0.94524334681201383</v>
      </c>
      <c r="AV474" s="32">
        <f t="shared" si="296"/>
        <v>0.92607851819621867</v>
      </c>
      <c r="AW474" s="32">
        <f t="shared" si="297"/>
        <v>1.2722613642663765</v>
      </c>
      <c r="AX474" s="32">
        <f t="shared" si="298"/>
        <v>1.1326407811431278</v>
      </c>
      <c r="AY474" s="32">
        <f t="shared" si="299"/>
        <v>1.0397711264318024</v>
      </c>
      <c r="AZ474" s="32">
        <f t="shared" si="311"/>
        <v>0.19724316451369719</v>
      </c>
      <c r="BA474" s="32">
        <f t="shared" si="300"/>
        <v>-5.7263776626227392</v>
      </c>
      <c r="BB474" s="32">
        <f t="shared" si="312"/>
        <v>12.435766337377263</v>
      </c>
      <c r="BC474" s="32">
        <f t="shared" si="301"/>
        <v>9.6649999999999991</v>
      </c>
      <c r="BD474" s="32">
        <v>0</v>
      </c>
      <c r="BE474" s="32">
        <f t="shared" si="313"/>
        <v>1.2024510727047522</v>
      </c>
      <c r="BF474" s="32">
        <f t="shared" si="314"/>
        <v>0.16267994627294979</v>
      </c>
      <c r="BG474" s="32">
        <f t="shared" si="315"/>
        <v>8.0691869497284879E-2</v>
      </c>
      <c r="BH474" s="32">
        <f t="shared" si="302"/>
        <v>1.9072434296378316</v>
      </c>
      <c r="BI474" s="32">
        <f t="shared" si="303"/>
        <v>0.47448402033542314</v>
      </c>
      <c r="BJ474" s="32">
        <f t="shared" si="281"/>
        <v>2.3817274499732548</v>
      </c>
      <c r="BK474" s="457">
        <f t="shared" si="304"/>
        <v>1.1272472403612335</v>
      </c>
    </row>
    <row r="475" spans="1:63" ht="15">
      <c r="A475" s="119"/>
      <c r="B475" s="480">
        <f>Input!B492</f>
        <v>38457</v>
      </c>
      <c r="C475" s="481">
        <v>2</v>
      </c>
      <c r="D475" s="481">
        <f t="shared" si="283"/>
        <v>4</v>
      </c>
      <c r="E475" s="481">
        <f t="shared" si="284"/>
        <v>15</v>
      </c>
      <c r="F475" s="481">
        <f t="shared" si="285"/>
        <v>105</v>
      </c>
      <c r="G475" s="431">
        <v>8.8127999999999993</v>
      </c>
      <c r="H475" s="455">
        <v>11.32</v>
      </c>
      <c r="I475" s="455">
        <v>8.6</v>
      </c>
      <c r="J475" s="455">
        <v>1.83</v>
      </c>
      <c r="K475" s="485"/>
      <c r="L475" s="433">
        <v>98</v>
      </c>
      <c r="M475" s="455">
        <v>86</v>
      </c>
      <c r="N475" s="484">
        <f>Weather!M476</f>
        <v>0</v>
      </c>
      <c r="O475" s="481" t="str">
        <f t="shared" si="305"/>
        <v/>
      </c>
      <c r="P475" s="4">
        <f t="shared" si="316"/>
        <v>1.2746820392788025</v>
      </c>
      <c r="Q475" s="169">
        <f t="shared" si="286"/>
        <v>1.3408991743307455</v>
      </c>
      <c r="R475" s="169">
        <f t="shared" si="287"/>
        <v>1.1174036087713535</v>
      </c>
      <c r="S475" s="169">
        <f t="shared" si="288"/>
        <v>1.1531732899244411</v>
      </c>
      <c r="T475" s="169">
        <f t="shared" si="289"/>
        <v>1.0950555365959265</v>
      </c>
      <c r="U475" s="169">
        <f t="shared" si="278"/>
        <v>1.1241144132601839</v>
      </c>
      <c r="V475" s="169">
        <f t="shared" si="279"/>
        <v>3.5320280433441695E-2</v>
      </c>
      <c r="W475" s="439">
        <f t="shared" si="280"/>
        <v>8.6883785124265085</v>
      </c>
      <c r="X475" s="439">
        <f t="shared" si="290"/>
        <v>8.6883785124265085</v>
      </c>
      <c r="Y475" s="169"/>
      <c r="Z475" s="119" t="str">
        <f t="shared" si="291"/>
        <v/>
      </c>
      <c r="AA475" s="4" t="str">
        <f t="shared" si="292"/>
        <v/>
      </c>
      <c r="AB475" s="466"/>
      <c r="AC475" s="466"/>
      <c r="AD475" s="466"/>
      <c r="AE475" s="466"/>
      <c r="AF475" s="466"/>
      <c r="AG475" s="466"/>
      <c r="AH475" s="466"/>
      <c r="AI475" s="466"/>
      <c r="AJ475" s="466"/>
      <c r="AK475" s="466"/>
      <c r="AL475" s="466"/>
      <c r="AM475" s="462">
        <f t="shared" si="282"/>
        <v>105</v>
      </c>
      <c r="AN475" s="32">
        <f t="shared" si="306"/>
        <v>0.99226178414417643</v>
      </c>
      <c r="AO475" s="32">
        <f t="shared" si="307"/>
        <v>0.16583675497620093</v>
      </c>
      <c r="AP475" s="32">
        <f t="shared" si="308"/>
        <v>1.7339651659695794</v>
      </c>
      <c r="AQ475" s="32">
        <f t="shared" si="309"/>
        <v>13.24651811103443</v>
      </c>
      <c r="AR475" s="32">
        <f t="shared" si="310"/>
        <v>33.479944846976693</v>
      </c>
      <c r="AS475" s="32">
        <f t="shared" si="293"/>
        <v>25.134064195522345</v>
      </c>
      <c r="AT475" s="32">
        <f t="shared" si="294"/>
        <v>6.7858559999999999</v>
      </c>
      <c r="AU475" s="32">
        <f t="shared" si="295"/>
        <v>0.35063171365536683</v>
      </c>
      <c r="AV475" s="32">
        <f t="shared" si="296"/>
        <v>0.12335281343474525</v>
      </c>
      <c r="AW475" s="32">
        <f t="shared" si="297"/>
        <v>1.3408991743307455</v>
      </c>
      <c r="AX475" s="32">
        <f t="shared" si="298"/>
        <v>1.1174036087713535</v>
      </c>
      <c r="AY475" s="32">
        <f t="shared" si="299"/>
        <v>1.1241144132601841</v>
      </c>
      <c r="AZ475" s="32">
        <f t="shared" si="311"/>
        <v>0.19156603320028259</v>
      </c>
      <c r="BA475" s="32">
        <f t="shared" si="300"/>
        <v>-0.74395148060770988</v>
      </c>
      <c r="BB475" s="32">
        <f t="shared" si="312"/>
        <v>6.0419045193922898</v>
      </c>
      <c r="BC475" s="32">
        <f t="shared" si="301"/>
        <v>9.9600000000000009</v>
      </c>
      <c r="BD475" s="32">
        <v>0</v>
      </c>
      <c r="BE475" s="32">
        <f t="shared" si="313"/>
        <v>1.2291513915510495</v>
      </c>
      <c r="BF475" s="32">
        <f t="shared" si="314"/>
        <v>0.10503697829086533</v>
      </c>
      <c r="BG475" s="32">
        <f t="shared" si="315"/>
        <v>8.2109055760187857E-2</v>
      </c>
      <c r="BH475" s="32">
        <f t="shared" si="302"/>
        <v>1.059834826689519</v>
      </c>
      <c r="BI475" s="32">
        <f t="shared" si="303"/>
        <v>0.21484721258928355</v>
      </c>
      <c r="BJ475" s="32">
        <f t="shared" si="281"/>
        <v>1.2746820392788025</v>
      </c>
      <c r="BK475" s="457">
        <f t="shared" si="304"/>
        <v>1.4389655587547092</v>
      </c>
    </row>
    <row r="476" spans="1:63" ht="15">
      <c r="A476" s="119"/>
      <c r="B476" s="480">
        <f>Input!B493</f>
        <v>38458</v>
      </c>
      <c r="C476" s="481">
        <v>2</v>
      </c>
      <c r="D476" s="481">
        <f t="shared" si="283"/>
        <v>4</v>
      </c>
      <c r="E476" s="481">
        <f t="shared" si="284"/>
        <v>16</v>
      </c>
      <c r="F476" s="481">
        <f t="shared" si="285"/>
        <v>106</v>
      </c>
      <c r="G476" s="431">
        <v>15.0336</v>
      </c>
      <c r="H476" s="455">
        <v>11.31</v>
      </c>
      <c r="I476" s="455">
        <v>7</v>
      </c>
      <c r="J476" s="455">
        <v>1.9</v>
      </c>
      <c r="K476" s="485"/>
      <c r="L476" s="433">
        <v>98</v>
      </c>
      <c r="M476" s="455">
        <v>87</v>
      </c>
      <c r="N476" s="484">
        <f>Weather!M477</f>
        <v>0</v>
      </c>
      <c r="O476" s="481" t="str">
        <f t="shared" si="305"/>
        <v/>
      </c>
      <c r="P476" s="4">
        <f t="shared" si="316"/>
        <v>1.7042348255788369</v>
      </c>
      <c r="Q476" s="169">
        <f t="shared" si="286"/>
        <v>1.3400104080373922</v>
      </c>
      <c r="R476" s="169">
        <f t="shared" si="287"/>
        <v>1.001858425976152</v>
      </c>
      <c r="S476" s="169">
        <f t="shared" si="288"/>
        <v>1.1658090549925313</v>
      </c>
      <c r="T476" s="169">
        <f t="shared" si="289"/>
        <v>0.98182125745662896</v>
      </c>
      <c r="U476" s="169">
        <f t="shared" si="278"/>
        <v>1.0738151562245801</v>
      </c>
      <c r="V476" s="169">
        <f t="shared" si="279"/>
        <v>3.2669576092283929E-2</v>
      </c>
      <c r="W476" s="439">
        <f t="shared" si="280"/>
        <v>8.0143146696258238</v>
      </c>
      <c r="X476" s="439">
        <f t="shared" si="290"/>
        <v>8.0143146696258238</v>
      </c>
      <c r="Y476" s="169"/>
      <c r="Z476" s="119" t="str">
        <f t="shared" si="291"/>
        <v/>
      </c>
      <c r="AA476" s="4" t="str">
        <f t="shared" si="292"/>
        <v/>
      </c>
      <c r="AB476" s="466"/>
      <c r="AC476" s="466"/>
      <c r="AD476" s="466"/>
      <c r="AE476" s="466"/>
      <c r="AF476" s="466"/>
      <c r="AG476" s="466"/>
      <c r="AH476" s="466"/>
      <c r="AI476" s="466"/>
      <c r="AJ476" s="466"/>
      <c r="AK476" s="466"/>
      <c r="AL476" s="466"/>
      <c r="AM476" s="462">
        <f t="shared" si="282"/>
        <v>106</v>
      </c>
      <c r="AN476" s="32">
        <f t="shared" si="306"/>
        <v>0.99171072789180092</v>
      </c>
      <c r="AO476" s="32">
        <f t="shared" si="307"/>
        <v>0.17224775100285453</v>
      </c>
      <c r="AP476" s="32">
        <f t="shared" si="308"/>
        <v>1.7404583805560592</v>
      </c>
      <c r="AQ476" s="32">
        <f t="shared" si="309"/>
        <v>13.296122616538172</v>
      </c>
      <c r="AR476" s="32">
        <f t="shared" si="310"/>
        <v>33.717905420778628</v>
      </c>
      <c r="AS476" s="32">
        <f t="shared" si="293"/>
        <v>25.312705957486934</v>
      </c>
      <c r="AT476" s="32">
        <f t="shared" si="294"/>
        <v>11.575872</v>
      </c>
      <c r="AU476" s="32">
        <f t="shared" si="295"/>
        <v>0.59391516755455365</v>
      </c>
      <c r="AV476" s="32">
        <f t="shared" si="296"/>
        <v>0.45178547619864751</v>
      </c>
      <c r="AW476" s="32">
        <f t="shared" si="297"/>
        <v>1.3400104080373922</v>
      </c>
      <c r="AX476" s="32">
        <f t="shared" si="298"/>
        <v>1.001858425976152</v>
      </c>
      <c r="AY476" s="32">
        <f t="shared" si="299"/>
        <v>1.0738151562245801</v>
      </c>
      <c r="AZ476" s="32">
        <f t="shared" si="311"/>
        <v>0.19492492611753814</v>
      </c>
      <c r="BA476" s="32">
        <f t="shared" si="300"/>
        <v>-2.7417119283040088</v>
      </c>
      <c r="BB476" s="32">
        <f t="shared" si="312"/>
        <v>8.834160071695992</v>
      </c>
      <c r="BC476" s="32">
        <f t="shared" si="301"/>
        <v>9.1550000000000011</v>
      </c>
      <c r="BD476" s="32">
        <v>0</v>
      </c>
      <c r="BE476" s="32">
        <f t="shared" si="313"/>
        <v>1.1709344170067721</v>
      </c>
      <c r="BF476" s="32">
        <f t="shared" si="314"/>
        <v>9.7119260782192018E-2</v>
      </c>
      <c r="BG476" s="32">
        <f t="shared" si="315"/>
        <v>7.8291047856130058E-2</v>
      </c>
      <c r="BH476" s="32">
        <f t="shared" si="302"/>
        <v>1.4949622730071457</v>
      </c>
      <c r="BI476" s="32">
        <f t="shared" si="303"/>
        <v>0.20927255257169111</v>
      </c>
      <c r="BJ476" s="32">
        <f t="shared" si="281"/>
        <v>1.7042348255788369</v>
      </c>
      <c r="BK476" s="457">
        <f t="shared" si="304"/>
        <v>1.771333397227264</v>
      </c>
    </row>
    <row r="477" spans="1:63" ht="15">
      <c r="A477" s="119"/>
      <c r="B477" s="480">
        <f>Input!B494</f>
        <v>38459</v>
      </c>
      <c r="C477" s="481">
        <v>2</v>
      </c>
      <c r="D477" s="481">
        <f t="shared" si="283"/>
        <v>4</v>
      </c>
      <c r="E477" s="481">
        <f t="shared" si="284"/>
        <v>17</v>
      </c>
      <c r="F477" s="481">
        <f t="shared" si="285"/>
        <v>107</v>
      </c>
      <c r="G477" s="431">
        <v>4.8384</v>
      </c>
      <c r="H477" s="455">
        <v>11.22</v>
      </c>
      <c r="I477" s="455">
        <v>8.1</v>
      </c>
      <c r="J477" s="455">
        <v>1.75</v>
      </c>
      <c r="K477" s="485"/>
      <c r="L477" s="433">
        <v>100</v>
      </c>
      <c r="M477" s="455">
        <v>88</v>
      </c>
      <c r="N477" s="484">
        <f>Weather!M478</f>
        <v>0</v>
      </c>
      <c r="O477" s="481" t="str">
        <f t="shared" si="305"/>
        <v/>
      </c>
      <c r="P477" s="4">
        <f t="shared" si="316"/>
        <v>0.75456294317937433</v>
      </c>
      <c r="Q477" s="169">
        <f t="shared" si="286"/>
        <v>1.3320347750876735</v>
      </c>
      <c r="R477" s="169">
        <f t="shared" si="287"/>
        <v>1.0800971266534045</v>
      </c>
      <c r="S477" s="169">
        <f t="shared" si="288"/>
        <v>1.1721906020771526</v>
      </c>
      <c r="T477" s="169">
        <f t="shared" si="289"/>
        <v>1.0800971266534045</v>
      </c>
      <c r="U477" s="169">
        <f t="shared" si="278"/>
        <v>1.1261438643652786</v>
      </c>
      <c r="V477" s="169">
        <f t="shared" si="279"/>
        <v>3.5424724554715667E-2</v>
      </c>
      <c r="W477" s="439">
        <f t="shared" si="280"/>
        <v>8.7150141112142538</v>
      </c>
      <c r="X477" s="439">
        <f t="shared" si="290"/>
        <v>8.7150141112142538</v>
      </c>
      <c r="Y477" s="169"/>
      <c r="Z477" s="119" t="str">
        <f t="shared" si="291"/>
        <v/>
      </c>
      <c r="AA477" s="4" t="str">
        <f t="shared" si="292"/>
        <v/>
      </c>
      <c r="AB477" s="466"/>
      <c r="AC477" s="466"/>
      <c r="AD477" s="466"/>
      <c r="AE477" s="466"/>
      <c r="AF477" s="466"/>
      <c r="AG477" s="466"/>
      <c r="AH477" s="466"/>
      <c r="AI477" s="466"/>
      <c r="AJ477" s="466"/>
      <c r="AK477" s="466"/>
      <c r="AL477" s="466"/>
      <c r="AM477" s="462">
        <f t="shared" si="282"/>
        <v>107</v>
      </c>
      <c r="AN477" s="32">
        <f t="shared" si="306"/>
        <v>0.99116212792964831</v>
      </c>
      <c r="AO477" s="32">
        <f t="shared" si="307"/>
        <v>0.17860770630347506</v>
      </c>
      <c r="AP477" s="32">
        <f t="shared" si="308"/>
        <v>1.746921394152837</v>
      </c>
      <c r="AQ477" s="32">
        <f t="shared" si="309"/>
        <v>13.345496403475643</v>
      </c>
      <c r="AR477" s="32">
        <f t="shared" si="310"/>
        <v>33.953340115308229</v>
      </c>
      <c r="AS477" s="32">
        <f t="shared" si="293"/>
        <v>25.489451491364196</v>
      </c>
      <c r="AT477" s="32">
        <f t="shared" si="294"/>
        <v>3.725568</v>
      </c>
      <c r="AU477" s="32">
        <f t="shared" si="295"/>
        <v>0.3</v>
      </c>
      <c r="AV477" s="32">
        <f t="shared" si="296"/>
        <v>5.5000000000000049E-2</v>
      </c>
      <c r="AW477" s="32">
        <f t="shared" si="297"/>
        <v>1.3320347750876735</v>
      </c>
      <c r="AX477" s="32">
        <f t="shared" si="298"/>
        <v>1.0800971266534045</v>
      </c>
      <c r="AY477" s="32">
        <f t="shared" si="299"/>
        <v>1.1261438643652786</v>
      </c>
      <c r="AZ477" s="32">
        <f t="shared" si="311"/>
        <v>0.19143210393372512</v>
      </c>
      <c r="BA477" s="32">
        <f t="shared" si="300"/>
        <v>-0.33008962032058536</v>
      </c>
      <c r="BB477" s="32">
        <f t="shared" si="312"/>
        <v>3.3954783796794148</v>
      </c>
      <c r="BC477" s="32">
        <f t="shared" si="301"/>
        <v>9.66</v>
      </c>
      <c r="BD477" s="32">
        <v>0</v>
      </c>
      <c r="BE477" s="32">
        <f t="shared" si="313"/>
        <v>1.2060659508705389</v>
      </c>
      <c r="BF477" s="32">
        <f t="shared" si="314"/>
        <v>7.9922086505260337E-2</v>
      </c>
      <c r="BG477" s="32">
        <f t="shared" si="315"/>
        <v>8.0668030497976273E-2</v>
      </c>
      <c r="BH477" s="32">
        <f t="shared" si="302"/>
        <v>0.59534413926171059</v>
      </c>
      <c r="BI477" s="32">
        <f t="shared" si="303"/>
        <v>0.15921880391766374</v>
      </c>
      <c r="BJ477" s="32">
        <f t="shared" si="281"/>
        <v>0.75456294317937433</v>
      </c>
      <c r="BK477" s="457">
        <f t="shared" si="304"/>
        <v>1.5460448393098147</v>
      </c>
    </row>
    <row r="478" spans="1:63" ht="15">
      <c r="A478" s="119"/>
      <c r="B478" s="480">
        <f>Input!B495</f>
        <v>38460</v>
      </c>
      <c r="C478" s="481">
        <v>2</v>
      </c>
      <c r="D478" s="481">
        <f t="shared" si="283"/>
        <v>4</v>
      </c>
      <c r="E478" s="481">
        <f t="shared" si="284"/>
        <v>18</v>
      </c>
      <c r="F478" s="481">
        <f t="shared" si="285"/>
        <v>108</v>
      </c>
      <c r="G478" s="431">
        <v>13.824</v>
      </c>
      <c r="H478" s="455">
        <v>12.44</v>
      </c>
      <c r="I478" s="455">
        <v>7.4</v>
      </c>
      <c r="J478" s="455">
        <v>1.72</v>
      </c>
      <c r="K478" s="485"/>
      <c r="L478" s="433">
        <v>100</v>
      </c>
      <c r="M478" s="455">
        <v>87</v>
      </c>
      <c r="N478" s="484">
        <f>Weather!M479</f>
        <v>0</v>
      </c>
      <c r="O478" s="481" t="str">
        <f t="shared" si="305"/>
        <v/>
      </c>
      <c r="P478" s="4">
        <f t="shared" si="316"/>
        <v>1.6714663384207553</v>
      </c>
      <c r="Q478" s="169">
        <f t="shared" si="286"/>
        <v>1.4437792491244752</v>
      </c>
      <c r="R478" s="169">
        <f t="shared" si="287"/>
        <v>1.0297111140367921</v>
      </c>
      <c r="S478" s="169">
        <f t="shared" si="288"/>
        <v>1.2560879467382935</v>
      </c>
      <c r="T478" s="169">
        <f t="shared" si="289"/>
        <v>1.0297111140367921</v>
      </c>
      <c r="U478" s="169">
        <f t="shared" si="278"/>
        <v>1.1428995303875427</v>
      </c>
      <c r="V478" s="169">
        <f t="shared" si="279"/>
        <v>3.6279918162333467E-2</v>
      </c>
      <c r="W478" s="439">
        <f t="shared" si="280"/>
        <v>8.9333248753157246</v>
      </c>
      <c r="X478" s="439">
        <f t="shared" si="290"/>
        <v>8.9333248753157246</v>
      </c>
      <c r="Y478" s="169"/>
      <c r="Z478" s="119" t="str">
        <f t="shared" si="291"/>
        <v/>
      </c>
      <c r="AA478" s="4" t="str">
        <f t="shared" si="292"/>
        <v/>
      </c>
      <c r="AB478" s="466"/>
      <c r="AC478" s="466"/>
      <c r="AD478" s="466"/>
      <c r="AE478" s="466"/>
      <c r="AF478" s="466"/>
      <c r="AG478" s="466"/>
      <c r="AH478" s="466"/>
      <c r="AI478" s="466"/>
      <c r="AJ478" s="466"/>
      <c r="AK478" s="466"/>
      <c r="AL478" s="466"/>
      <c r="AM478" s="462">
        <f t="shared" si="282"/>
        <v>108</v>
      </c>
      <c r="AN478" s="32">
        <f t="shared" si="306"/>
        <v>0.99061614681972687</v>
      </c>
      <c r="AO478" s="32">
        <f t="shared" si="307"/>
        <v>0.18491473628604796</v>
      </c>
      <c r="AP478" s="32">
        <f t="shared" si="308"/>
        <v>1.7533526713937946</v>
      </c>
      <c r="AQ478" s="32">
        <f t="shared" si="309"/>
        <v>13.394627742513698</v>
      </c>
      <c r="AR478" s="32">
        <f t="shared" si="310"/>
        <v>34.186186637591128</v>
      </c>
      <c r="AS478" s="32">
        <f t="shared" si="293"/>
        <v>25.664254032572412</v>
      </c>
      <c r="AT478" s="32">
        <f t="shared" si="294"/>
        <v>10.64448</v>
      </c>
      <c r="AU478" s="32">
        <f t="shared" si="295"/>
        <v>0.53864803482910251</v>
      </c>
      <c r="AV478" s="32">
        <f t="shared" si="296"/>
        <v>0.37717484701928849</v>
      </c>
      <c r="AW478" s="32">
        <f t="shared" si="297"/>
        <v>1.4437792491244752</v>
      </c>
      <c r="AX478" s="32">
        <f t="shared" si="298"/>
        <v>1.0297111140367921</v>
      </c>
      <c r="AY478" s="32">
        <f t="shared" si="299"/>
        <v>1.1428995303875427</v>
      </c>
      <c r="AZ478" s="32">
        <f t="shared" si="311"/>
        <v>0.19033092906149301</v>
      </c>
      <c r="BA478" s="32">
        <f t="shared" si="300"/>
        <v>-2.2595919425376239</v>
      </c>
      <c r="BB478" s="32">
        <f t="shared" si="312"/>
        <v>8.3848880574623763</v>
      </c>
      <c r="BC478" s="32">
        <f t="shared" si="301"/>
        <v>9.92</v>
      </c>
      <c r="BD478" s="32">
        <v>0</v>
      </c>
      <c r="BE478" s="32">
        <f t="shared" si="313"/>
        <v>1.2367451815806336</v>
      </c>
      <c r="BF478" s="32">
        <f t="shared" si="314"/>
        <v>9.3845651193090962E-2</v>
      </c>
      <c r="BG478" s="32">
        <f t="shared" si="315"/>
        <v>8.1915659013538075E-2</v>
      </c>
      <c r="BH478" s="32">
        <f t="shared" si="302"/>
        <v>1.4884322378833419</v>
      </c>
      <c r="BI478" s="32">
        <f t="shared" si="303"/>
        <v>0.18303410053741337</v>
      </c>
      <c r="BJ478" s="32">
        <f t="shared" si="281"/>
        <v>1.6714663384207553</v>
      </c>
      <c r="BK478" s="457">
        <f t="shared" si="304"/>
        <v>1.997197000425363</v>
      </c>
    </row>
    <row r="479" spans="1:63" ht="15">
      <c r="A479" s="119"/>
      <c r="B479" s="480">
        <f>Input!B496</f>
        <v>38461</v>
      </c>
      <c r="C479" s="481">
        <v>2</v>
      </c>
      <c r="D479" s="481">
        <f t="shared" si="283"/>
        <v>4</v>
      </c>
      <c r="E479" s="481">
        <f t="shared" si="284"/>
        <v>19</v>
      </c>
      <c r="F479" s="481">
        <f t="shared" si="285"/>
        <v>109</v>
      </c>
      <c r="G479" s="431">
        <v>23.414400000000001</v>
      </c>
      <c r="H479" s="455">
        <v>11.4</v>
      </c>
      <c r="I479" s="455">
        <v>7.1</v>
      </c>
      <c r="J479" s="455">
        <v>2.35</v>
      </c>
      <c r="K479" s="485"/>
      <c r="L479" s="433">
        <v>100</v>
      </c>
      <c r="M479" s="455">
        <v>82</v>
      </c>
      <c r="N479" s="484">
        <f>Weather!M480</f>
        <v>0</v>
      </c>
      <c r="O479" s="481" t="str">
        <f t="shared" si="305"/>
        <v/>
      </c>
      <c r="P479" s="4">
        <f t="shared" si="316"/>
        <v>2.3496203991815219</v>
      </c>
      <c r="Q479" s="169">
        <f t="shared" si="286"/>
        <v>1.3480279711634873</v>
      </c>
      <c r="R479" s="169">
        <f t="shared" si="287"/>
        <v>1.0087586481243795</v>
      </c>
      <c r="S479" s="169">
        <f t="shared" si="288"/>
        <v>1.1053829363540595</v>
      </c>
      <c r="T479" s="169">
        <f t="shared" si="289"/>
        <v>1.0087586481243795</v>
      </c>
      <c r="U479" s="169">
        <f t="shared" si="278"/>
        <v>1.0570707922392195</v>
      </c>
      <c r="V479" s="169">
        <f t="shared" si="279"/>
        <v>3.1759547479176801E-2</v>
      </c>
      <c r="W479" s="439">
        <f t="shared" si="280"/>
        <v>7.7837489615179791</v>
      </c>
      <c r="X479" s="439">
        <f t="shared" si="290"/>
        <v>7.7837489615179791</v>
      </c>
      <c r="Y479" s="169"/>
      <c r="Z479" s="119" t="str">
        <f t="shared" si="291"/>
        <v/>
      </c>
      <c r="AA479" s="4" t="str">
        <f t="shared" si="292"/>
        <v/>
      </c>
      <c r="AB479" s="466"/>
      <c r="AC479" s="466"/>
      <c r="AD479" s="466"/>
      <c r="AE479" s="466"/>
      <c r="AF479" s="466"/>
      <c r="AG479" s="466"/>
      <c r="AH479" s="466"/>
      <c r="AI479" s="466"/>
      <c r="AJ479" s="466"/>
      <c r="AK479" s="466"/>
      <c r="AL479" s="466"/>
      <c r="AM479" s="462">
        <f t="shared" si="282"/>
        <v>109</v>
      </c>
      <c r="AN479" s="32">
        <f t="shared" si="306"/>
        <v>0.99007294634802301</v>
      </c>
      <c r="AO479" s="32">
        <f t="shared" si="307"/>
        <v>0.19116697204147237</v>
      </c>
      <c r="AP479" s="32">
        <f t="shared" si="308"/>
        <v>1.7597506401784617</v>
      </c>
      <c r="AQ479" s="32">
        <f t="shared" si="309"/>
        <v>13.443504623689414</v>
      </c>
      <c r="AR479" s="32">
        <f t="shared" si="310"/>
        <v>34.416384340944184</v>
      </c>
      <c r="AS479" s="32">
        <f t="shared" si="293"/>
        <v>25.837068052433619</v>
      </c>
      <c r="AT479" s="32">
        <f t="shared" si="294"/>
        <v>18.029088000000002</v>
      </c>
      <c r="AU479" s="32">
        <f t="shared" si="295"/>
        <v>0.90623285709055423</v>
      </c>
      <c r="AV479" s="32">
        <f t="shared" si="296"/>
        <v>0.87341435707224824</v>
      </c>
      <c r="AW479" s="32">
        <f t="shared" si="297"/>
        <v>1.3480279711634873</v>
      </c>
      <c r="AX479" s="32">
        <f t="shared" si="298"/>
        <v>1.0087586481243795</v>
      </c>
      <c r="AY479" s="32">
        <f t="shared" si="299"/>
        <v>1.0570707922392195</v>
      </c>
      <c r="AZ479" s="32">
        <f t="shared" si="311"/>
        <v>0.19606047267033042</v>
      </c>
      <c r="BA479" s="32">
        <f t="shared" si="300"/>
        <v>-5.3384629563793755</v>
      </c>
      <c r="BB479" s="32">
        <f t="shared" si="312"/>
        <v>12.690625043620626</v>
      </c>
      <c r="BC479" s="32">
        <f t="shared" si="301"/>
        <v>9.25</v>
      </c>
      <c r="BD479" s="32">
        <v>0</v>
      </c>
      <c r="BE479" s="32">
        <f t="shared" si="313"/>
        <v>1.1783933096439334</v>
      </c>
      <c r="BF479" s="32">
        <f t="shared" si="314"/>
        <v>0.12132251740471389</v>
      </c>
      <c r="BG479" s="32">
        <f t="shared" si="315"/>
        <v>7.8733577995933141E-2</v>
      </c>
      <c r="BH479" s="32">
        <f t="shared" si="302"/>
        <v>2.0437433626144439</v>
      </c>
      <c r="BI479" s="32">
        <f t="shared" si="303"/>
        <v>0.30587703656707788</v>
      </c>
      <c r="BJ479" s="32">
        <f t="shared" si="281"/>
        <v>2.3496203991815219</v>
      </c>
      <c r="BK479" s="457">
        <f t="shared" si="304"/>
        <v>1.8122933292596652</v>
      </c>
    </row>
    <row r="480" spans="1:63" ht="15">
      <c r="A480" s="119"/>
      <c r="B480" s="480">
        <f>Input!B497</f>
        <v>38462</v>
      </c>
      <c r="C480" s="481">
        <v>2</v>
      </c>
      <c r="D480" s="481">
        <f t="shared" si="283"/>
        <v>4</v>
      </c>
      <c r="E480" s="481">
        <f t="shared" si="284"/>
        <v>20</v>
      </c>
      <c r="F480" s="481">
        <f t="shared" si="285"/>
        <v>110</v>
      </c>
      <c r="G480" s="431">
        <v>21.081600000000002</v>
      </c>
      <c r="H480" s="455">
        <v>11.37</v>
      </c>
      <c r="I480" s="455">
        <v>5.8</v>
      </c>
      <c r="J480" s="455">
        <v>2.12</v>
      </c>
      <c r="K480" s="485"/>
      <c r="L480" s="433">
        <v>99</v>
      </c>
      <c r="M480" s="455">
        <v>86</v>
      </c>
      <c r="N480" s="484">
        <f>Weather!M481</f>
        <v>0</v>
      </c>
      <c r="O480" s="481" t="str">
        <f t="shared" si="305"/>
        <v/>
      </c>
      <c r="P480" s="4">
        <f t="shared" si="316"/>
        <v>2.1232463360499847</v>
      </c>
      <c r="Q480" s="169">
        <f t="shared" si="286"/>
        <v>1.3453507796376623</v>
      </c>
      <c r="R480" s="169">
        <f t="shared" si="287"/>
        <v>0.92224025736807469</v>
      </c>
      <c r="S480" s="169">
        <f t="shared" si="288"/>
        <v>1.1570016704883894</v>
      </c>
      <c r="T480" s="169">
        <f t="shared" si="289"/>
        <v>0.9130178547943939</v>
      </c>
      <c r="U480" s="169">
        <f t="shared" si="278"/>
        <v>1.0350097626413917</v>
      </c>
      <c r="V480" s="169">
        <f t="shared" si="279"/>
        <v>3.0538307169326366E-2</v>
      </c>
      <c r="W480" s="439">
        <f t="shared" si="280"/>
        <v>7.475014582702924</v>
      </c>
      <c r="X480" s="439">
        <f t="shared" si="290"/>
        <v>7.475014582702924</v>
      </c>
      <c r="Y480" s="169"/>
      <c r="Z480" s="119" t="str">
        <f t="shared" si="291"/>
        <v/>
      </c>
      <c r="AA480" s="4" t="str">
        <f t="shared" si="292"/>
        <v/>
      </c>
      <c r="AB480" s="466"/>
      <c r="AC480" s="466"/>
      <c r="AD480" s="466"/>
      <c r="AE480" s="466"/>
      <c r="AF480" s="466"/>
      <c r="AG480" s="466"/>
      <c r="AH480" s="466"/>
      <c r="AI480" s="466"/>
      <c r="AJ480" s="466"/>
      <c r="AK480" s="466"/>
      <c r="AL480" s="466"/>
      <c r="AM480" s="462">
        <f t="shared" si="282"/>
        <v>110</v>
      </c>
      <c r="AN480" s="32">
        <f t="shared" si="306"/>
        <v>0.98953268747655954</v>
      </c>
      <c r="AO480" s="32">
        <f t="shared" si="307"/>
        <v>0.19736256089735976</v>
      </c>
      <c r="AP480" s="32">
        <f t="shared" si="308"/>
        <v>1.7661136908625921</v>
      </c>
      <c r="AQ480" s="32">
        <f t="shared" si="309"/>
        <v>13.492114750226548</v>
      </c>
      <c r="AR480" s="32">
        <f t="shared" si="310"/>
        <v>34.64387421867044</v>
      </c>
      <c r="AS480" s="32">
        <f t="shared" si="293"/>
        <v>26.007849253440273</v>
      </c>
      <c r="AT480" s="32">
        <f t="shared" si="294"/>
        <v>16.232832000000002</v>
      </c>
      <c r="AU480" s="32">
        <f t="shared" si="295"/>
        <v>0.81058605786910132</v>
      </c>
      <c r="AV480" s="32">
        <f t="shared" si="296"/>
        <v>0.74429117812328693</v>
      </c>
      <c r="AW480" s="32">
        <f t="shared" si="297"/>
        <v>1.3453507796376623</v>
      </c>
      <c r="AX480" s="32">
        <f t="shared" si="298"/>
        <v>0.92224025736807469</v>
      </c>
      <c r="AY480" s="32">
        <f t="shared" si="299"/>
        <v>1.0350097626413917</v>
      </c>
      <c r="AZ480" s="32">
        <f t="shared" si="311"/>
        <v>0.1975703986252462</v>
      </c>
      <c r="BA480" s="32">
        <f t="shared" si="300"/>
        <v>-4.5423290889128527</v>
      </c>
      <c r="BB480" s="32">
        <f t="shared" si="312"/>
        <v>11.690502911087149</v>
      </c>
      <c r="BC480" s="32">
        <f t="shared" si="301"/>
        <v>8.5849999999999991</v>
      </c>
      <c r="BD480" s="32">
        <v>0</v>
      </c>
      <c r="BE480" s="32">
        <f t="shared" si="313"/>
        <v>1.1337955185028685</v>
      </c>
      <c r="BF480" s="32">
        <f t="shared" si="314"/>
        <v>9.8785755861476865E-2</v>
      </c>
      <c r="BG480" s="32">
        <f t="shared" si="315"/>
        <v>7.5680217451059198E-2</v>
      </c>
      <c r="BH480" s="32">
        <f t="shared" si="302"/>
        <v>1.8882539945600922</v>
      </c>
      <c r="BI480" s="32">
        <f t="shared" si="303"/>
        <v>0.23499234148989243</v>
      </c>
      <c r="BJ480" s="32">
        <f t="shared" si="281"/>
        <v>2.1232463360499847</v>
      </c>
      <c r="BK480" s="457">
        <f t="shared" si="304"/>
        <v>2.0252232330062245</v>
      </c>
    </row>
    <row r="481" spans="1:63" ht="15">
      <c r="A481" s="119"/>
      <c r="B481" s="480">
        <f>Input!B498</f>
        <v>38463</v>
      </c>
      <c r="C481" s="481">
        <v>2</v>
      </c>
      <c r="D481" s="481">
        <f t="shared" si="283"/>
        <v>4</v>
      </c>
      <c r="E481" s="481">
        <f t="shared" si="284"/>
        <v>21</v>
      </c>
      <c r="F481" s="481">
        <f t="shared" si="285"/>
        <v>111</v>
      </c>
      <c r="G481" s="431">
        <v>22.118400000000001</v>
      </c>
      <c r="H481" s="455">
        <v>11.97</v>
      </c>
      <c r="I481" s="455">
        <v>8.3000000000000007</v>
      </c>
      <c r="J481" s="455">
        <v>1.73</v>
      </c>
      <c r="K481" s="485"/>
      <c r="L481" s="433">
        <v>100</v>
      </c>
      <c r="M481" s="455">
        <v>86</v>
      </c>
      <c r="N481" s="484">
        <f>Weather!M482</f>
        <v>0</v>
      </c>
      <c r="O481" s="481" t="str">
        <f t="shared" si="305"/>
        <v/>
      </c>
      <c r="P481" s="4">
        <f t="shared" si="316"/>
        <v>2.3856445539884792</v>
      </c>
      <c r="Q481" s="169">
        <f t="shared" si="286"/>
        <v>1.3997917522667138</v>
      </c>
      <c r="R481" s="169">
        <f t="shared" si="287"/>
        <v>1.0948860433443903</v>
      </c>
      <c r="S481" s="169">
        <f t="shared" si="288"/>
        <v>1.2038209069493739</v>
      </c>
      <c r="T481" s="169">
        <f t="shared" si="289"/>
        <v>1.0948860433443903</v>
      </c>
      <c r="U481" s="169">
        <f t="shared" si="278"/>
        <v>1.1493534751468821</v>
      </c>
      <c r="V481" s="169">
        <f t="shared" si="279"/>
        <v>3.6605981146335224E-2</v>
      </c>
      <c r="W481" s="439">
        <f t="shared" si="280"/>
        <v>9.0166631264344641</v>
      </c>
      <c r="X481" s="439">
        <f t="shared" si="290"/>
        <v>9.0166631264344641</v>
      </c>
      <c r="Y481" s="169"/>
      <c r="Z481" s="119" t="str">
        <f t="shared" si="291"/>
        <v/>
      </c>
      <c r="AA481" s="4" t="str">
        <f t="shared" si="292"/>
        <v/>
      </c>
      <c r="AB481" s="466"/>
      <c r="AC481" s="466"/>
      <c r="AD481" s="466"/>
      <c r="AE481" s="466"/>
      <c r="AF481" s="466"/>
      <c r="AG481" s="466"/>
      <c r="AH481" s="466"/>
      <c r="AI481" s="466"/>
      <c r="AJ481" s="466"/>
      <c r="AK481" s="466"/>
      <c r="AL481" s="466"/>
      <c r="AM481" s="462">
        <f t="shared" si="282"/>
        <v>111</v>
      </c>
      <c r="AN481" s="32">
        <f t="shared" si="306"/>
        <v>0.98899553029569987</v>
      </c>
      <c r="AO481" s="32">
        <f t="shared" si="307"/>
        <v>0.20349966696702032</v>
      </c>
      <c r="AP481" s="32">
        <f t="shared" si="308"/>
        <v>1.7724401755286394</v>
      </c>
      <c r="AQ481" s="32">
        <f t="shared" si="309"/>
        <v>13.540445532962382</v>
      </c>
      <c r="AR481" s="32">
        <f t="shared" si="310"/>
        <v>34.868598895265869</v>
      </c>
      <c r="AS481" s="32">
        <f t="shared" si="293"/>
        <v>26.176554562653994</v>
      </c>
      <c r="AT481" s="32">
        <f t="shared" si="294"/>
        <v>17.031168000000001</v>
      </c>
      <c r="AU481" s="32">
        <f t="shared" si="295"/>
        <v>0.84496987359659059</v>
      </c>
      <c r="AV481" s="32">
        <f t="shared" si="296"/>
        <v>0.79070932935539739</v>
      </c>
      <c r="AW481" s="32">
        <f t="shared" si="297"/>
        <v>1.3997917522667138</v>
      </c>
      <c r="AX481" s="32">
        <f t="shared" si="298"/>
        <v>1.0948860433443903</v>
      </c>
      <c r="AY481" s="32">
        <f t="shared" si="299"/>
        <v>1.1493534751468821</v>
      </c>
      <c r="AZ481" s="32">
        <f t="shared" si="311"/>
        <v>0.18990893393383174</v>
      </c>
      <c r="BA481" s="32">
        <f t="shared" si="300"/>
        <v>-4.7398214032159709</v>
      </c>
      <c r="BB481" s="32">
        <f t="shared" si="312"/>
        <v>12.291346596784031</v>
      </c>
      <c r="BC481" s="32">
        <f t="shared" si="301"/>
        <v>10.135000000000002</v>
      </c>
      <c r="BD481" s="32">
        <v>0</v>
      </c>
      <c r="BE481" s="32">
        <f t="shared" si="313"/>
        <v>1.2473388978055522</v>
      </c>
      <c r="BF481" s="32">
        <f t="shared" si="314"/>
        <v>9.7985422658670052E-2</v>
      </c>
      <c r="BG481" s="32">
        <f t="shared" si="315"/>
        <v>8.2959754662512625E-2</v>
      </c>
      <c r="BH481" s="32">
        <f t="shared" si="302"/>
        <v>2.1948604471247952</v>
      </c>
      <c r="BI481" s="32">
        <f t="shared" si="303"/>
        <v>0.19078410686368377</v>
      </c>
      <c r="BJ481" s="32">
        <f t="shared" si="281"/>
        <v>2.3856445539884792</v>
      </c>
      <c r="BK481" s="457">
        <f t="shared" si="304"/>
        <v>1.7517735159049597</v>
      </c>
    </row>
    <row r="482" spans="1:63" ht="15">
      <c r="A482" s="119"/>
      <c r="B482" s="480">
        <f>Input!B499</f>
        <v>38464</v>
      </c>
      <c r="C482" s="481">
        <v>2</v>
      </c>
      <c r="D482" s="481">
        <f t="shared" si="283"/>
        <v>4</v>
      </c>
      <c r="E482" s="481">
        <f t="shared" si="284"/>
        <v>22</v>
      </c>
      <c r="F482" s="481">
        <f t="shared" si="285"/>
        <v>112</v>
      </c>
      <c r="G482" s="431">
        <v>24.019200000000001</v>
      </c>
      <c r="H482" s="455">
        <v>13.45</v>
      </c>
      <c r="I482" s="455">
        <v>5.6</v>
      </c>
      <c r="J482" s="455">
        <v>1.77</v>
      </c>
      <c r="K482" s="485"/>
      <c r="L482" s="433">
        <v>100</v>
      </c>
      <c r="M482" s="455">
        <v>82</v>
      </c>
      <c r="N482" s="484">
        <f>Weather!M483</f>
        <v>1.2</v>
      </c>
      <c r="O482" s="481" t="str">
        <f t="shared" si="305"/>
        <v/>
      </c>
      <c r="P482" s="4">
        <f t="shared" si="316"/>
        <v>2.5681773320425307</v>
      </c>
      <c r="Q482" s="169">
        <f t="shared" si="286"/>
        <v>1.5424333294814421</v>
      </c>
      <c r="R482" s="169">
        <f t="shared" si="287"/>
        <v>0.90952746275151153</v>
      </c>
      <c r="S482" s="169">
        <f t="shared" si="288"/>
        <v>1.2647953301747825</v>
      </c>
      <c r="T482" s="169">
        <f t="shared" si="289"/>
        <v>0.90952746275151153</v>
      </c>
      <c r="U482" s="169">
        <f t="shared" si="278"/>
        <v>1.087161396463147</v>
      </c>
      <c r="V482" s="169">
        <f t="shared" si="279"/>
        <v>3.3384816535135378E-2</v>
      </c>
      <c r="W482" s="439">
        <f t="shared" si="280"/>
        <v>8.1958333567554487</v>
      </c>
      <c r="X482" s="439">
        <f t="shared" si="290"/>
        <v>8.1958333567554487</v>
      </c>
      <c r="Y482" s="169"/>
      <c r="Z482" s="119" t="str">
        <f t="shared" si="291"/>
        <v/>
      </c>
      <c r="AA482" s="4" t="str">
        <f t="shared" si="292"/>
        <v/>
      </c>
      <c r="AB482" s="466"/>
      <c r="AC482" s="466"/>
      <c r="AD482" s="466"/>
      <c r="AE482" s="466"/>
      <c r="AF482" s="466"/>
      <c r="AG482" s="466"/>
      <c r="AH482" s="466"/>
      <c r="AI482" s="466"/>
      <c r="AJ482" s="466"/>
      <c r="AK482" s="466"/>
      <c r="AL482" s="466"/>
      <c r="AM482" s="462">
        <f t="shared" si="282"/>
        <v>112</v>
      </c>
      <c r="AN482" s="32">
        <f t="shared" si="306"/>
        <v>0.9884616339767095</v>
      </c>
      <c r="AO482" s="32">
        <f t="shared" si="307"/>
        <v>0.2095764716934761</v>
      </c>
      <c r="AP482" s="32">
        <f t="shared" si="308"/>
        <v>1.7787284073413006</v>
      </c>
      <c r="AQ482" s="32">
        <f t="shared" si="309"/>
        <v>13.588484085424433</v>
      </c>
      <c r="AR482" s="32">
        <f t="shared" si="310"/>
        <v>35.090502615241888</v>
      </c>
      <c r="AS482" s="32">
        <f t="shared" si="293"/>
        <v>26.343142123314394</v>
      </c>
      <c r="AT482" s="32">
        <f t="shared" si="294"/>
        <v>18.494784000000003</v>
      </c>
      <c r="AU482" s="32">
        <f t="shared" si="295"/>
        <v>0.91178189327469628</v>
      </c>
      <c r="AV482" s="32">
        <f t="shared" si="296"/>
        <v>0.88090555592083997</v>
      </c>
      <c r="AW482" s="32">
        <f t="shared" si="297"/>
        <v>1.5424333294814421</v>
      </c>
      <c r="AX482" s="32">
        <f t="shared" si="298"/>
        <v>0.90952746275151153</v>
      </c>
      <c r="AY482" s="32">
        <f t="shared" si="299"/>
        <v>1.087161396463147</v>
      </c>
      <c r="AZ482" s="32">
        <f t="shared" si="311"/>
        <v>0.19402615518293123</v>
      </c>
      <c r="BA482" s="32">
        <f t="shared" si="300"/>
        <v>-5.3534952913234513</v>
      </c>
      <c r="BB482" s="32">
        <f t="shared" si="312"/>
        <v>13.141288708676552</v>
      </c>
      <c r="BC482" s="32">
        <f t="shared" si="301"/>
        <v>9.5249999999999986</v>
      </c>
      <c r="BD482" s="32">
        <v>0</v>
      </c>
      <c r="BE482" s="32">
        <f t="shared" si="313"/>
        <v>1.2259803961164768</v>
      </c>
      <c r="BF482" s="32">
        <f t="shared" si="314"/>
        <v>0.13881899965332978</v>
      </c>
      <c r="BG482" s="32">
        <f t="shared" si="315"/>
        <v>8.0026645952548103E-2</v>
      </c>
      <c r="BH482" s="32">
        <f t="shared" si="302"/>
        <v>2.288055207946007</v>
      </c>
      <c r="BI482" s="32">
        <f t="shared" si="303"/>
        <v>0.28012212409652371</v>
      </c>
      <c r="BJ482" s="32">
        <f t="shared" si="281"/>
        <v>2.5681773320425307</v>
      </c>
      <c r="BK482" s="457">
        <f t="shared" si="304"/>
        <v>2.5220073009717363</v>
      </c>
    </row>
    <row r="483" spans="1:63" ht="15">
      <c r="A483" s="119"/>
      <c r="B483" s="480">
        <f>Input!B500</f>
        <v>38465</v>
      </c>
      <c r="C483" s="481">
        <v>2</v>
      </c>
      <c r="D483" s="481">
        <f t="shared" si="283"/>
        <v>4</v>
      </c>
      <c r="E483" s="481">
        <f t="shared" si="284"/>
        <v>23</v>
      </c>
      <c r="F483" s="481">
        <f t="shared" si="285"/>
        <v>113</v>
      </c>
      <c r="G483" s="431">
        <v>23.9328</v>
      </c>
      <c r="H483" s="455">
        <v>14.15</v>
      </c>
      <c r="I483" s="455">
        <v>7.3</v>
      </c>
      <c r="J483" s="455">
        <v>2.62</v>
      </c>
      <c r="K483" s="485"/>
      <c r="L483" s="433">
        <v>94</v>
      </c>
      <c r="M483" s="455">
        <v>80</v>
      </c>
      <c r="N483" s="484">
        <f>Weather!M484</f>
        <v>11.6</v>
      </c>
      <c r="O483" s="481">
        <f t="shared" si="305"/>
        <v>1</v>
      </c>
      <c r="P483" s="4">
        <f t="shared" si="316"/>
        <v>2.6660228759485736</v>
      </c>
      <c r="Q483" s="169">
        <f t="shared" si="286"/>
        <v>1.6142324679094995</v>
      </c>
      <c r="R483" s="169">
        <f t="shared" si="287"/>
        <v>1.0226847750674277</v>
      </c>
      <c r="S483" s="169">
        <f t="shared" si="288"/>
        <v>1.2913859743275997</v>
      </c>
      <c r="T483" s="169">
        <f t="shared" si="289"/>
        <v>0.96132368856338202</v>
      </c>
      <c r="U483" s="169">
        <f t="shared" si="278"/>
        <v>1.1263548314454908</v>
      </c>
      <c r="V483" s="169">
        <f t="shared" si="279"/>
        <v>3.5435571009332631E-2</v>
      </c>
      <c r="W483" s="439">
        <f t="shared" si="280"/>
        <v>8.7177805315854044</v>
      </c>
      <c r="X483" s="439">
        <f t="shared" si="290"/>
        <v>8.7177805315854044</v>
      </c>
      <c r="Y483" s="169"/>
      <c r="Z483" s="119" t="str">
        <f t="shared" si="291"/>
        <v/>
      </c>
      <c r="AA483" s="4" t="str">
        <f t="shared" si="292"/>
        <v/>
      </c>
      <c r="AB483" s="466"/>
      <c r="AC483" s="466"/>
      <c r="AD483" s="466"/>
      <c r="AE483" s="466"/>
      <c r="AF483" s="466"/>
      <c r="AG483" s="466"/>
      <c r="AH483" s="466"/>
      <c r="AI483" s="466"/>
      <c r="AJ483" s="466"/>
      <c r="AK483" s="466"/>
      <c r="AL483" s="466"/>
      <c r="AM483" s="462">
        <f t="shared" si="282"/>
        <v>113</v>
      </c>
      <c r="AN483" s="32">
        <f t="shared" si="306"/>
        <v>0.98793115672459009</v>
      </c>
      <c r="AO483" s="32">
        <f t="shared" si="307"/>
        <v>0.21559117438833836</v>
      </c>
      <c r="AP483" s="32">
        <f t="shared" si="308"/>
        <v>1.7849766599934525</v>
      </c>
      <c r="AQ483" s="32">
        <f t="shared" si="309"/>
        <v>13.636217219597729</v>
      </c>
      <c r="AR483" s="32">
        <f t="shared" si="310"/>
        <v>35.309531229673347</v>
      </c>
      <c r="AS483" s="32">
        <f t="shared" si="293"/>
        <v>26.507571284740376</v>
      </c>
      <c r="AT483" s="32">
        <f t="shared" si="294"/>
        <v>18.428256000000001</v>
      </c>
      <c r="AU483" s="32">
        <f t="shared" si="295"/>
        <v>0.90286657132475223</v>
      </c>
      <c r="AV483" s="32">
        <f t="shared" si="296"/>
        <v>0.86886987128841564</v>
      </c>
      <c r="AW483" s="32">
        <f t="shared" si="297"/>
        <v>1.6142324679094995</v>
      </c>
      <c r="AX483" s="32">
        <f t="shared" si="298"/>
        <v>1.0226847750674277</v>
      </c>
      <c r="AY483" s="32">
        <f t="shared" si="299"/>
        <v>1.1263548314454908</v>
      </c>
      <c r="AZ483" s="32">
        <f t="shared" si="311"/>
        <v>0.19141818854135739</v>
      </c>
      <c r="BA483" s="32">
        <f t="shared" si="300"/>
        <v>-5.2968999478578187</v>
      </c>
      <c r="BB483" s="32">
        <f t="shared" si="312"/>
        <v>13.131356052142182</v>
      </c>
      <c r="BC483" s="32">
        <f t="shared" si="301"/>
        <v>10.725</v>
      </c>
      <c r="BD483" s="32">
        <v>0</v>
      </c>
      <c r="BE483" s="32">
        <f t="shared" si="313"/>
        <v>1.3184586214884635</v>
      </c>
      <c r="BF483" s="32">
        <f t="shared" si="314"/>
        <v>0.19210379004297273</v>
      </c>
      <c r="BG483" s="32">
        <f t="shared" si="315"/>
        <v>8.5883470323519367E-2</v>
      </c>
      <c r="BH483" s="32">
        <f t="shared" si="302"/>
        <v>2.1624571543275564</v>
      </c>
      <c r="BI483" s="32">
        <f t="shared" si="303"/>
        <v>0.50356572162101709</v>
      </c>
      <c r="BJ483" s="32">
        <f t="shared" si="281"/>
        <v>2.6660228759485736</v>
      </c>
      <c r="BK483" s="457">
        <f t="shared" si="304"/>
        <v>2.4747118754437945</v>
      </c>
    </row>
    <row r="484" spans="1:63" ht="15">
      <c r="A484" s="119"/>
      <c r="B484" s="480">
        <f>Input!B501</f>
        <v>38466</v>
      </c>
      <c r="C484" s="481">
        <v>2</v>
      </c>
      <c r="D484" s="481">
        <f t="shared" si="283"/>
        <v>4</v>
      </c>
      <c r="E484" s="481">
        <f t="shared" si="284"/>
        <v>24</v>
      </c>
      <c r="F484" s="481">
        <f t="shared" si="285"/>
        <v>114</v>
      </c>
      <c r="G484" s="431">
        <v>22.5504</v>
      </c>
      <c r="H484" s="455">
        <v>12</v>
      </c>
      <c r="I484" s="455">
        <v>5</v>
      </c>
      <c r="J484" s="455">
        <v>2.12</v>
      </c>
      <c r="K484" s="485"/>
      <c r="L484" s="433">
        <v>96</v>
      </c>
      <c r="M484" s="455">
        <v>86</v>
      </c>
      <c r="N484" s="484">
        <f>Weather!M485</f>
        <v>10.6</v>
      </c>
      <c r="O484" s="481">
        <f t="shared" si="305"/>
        <v>1</v>
      </c>
      <c r="P484" s="4">
        <f t="shared" si="316"/>
        <v>2.2909912187436534</v>
      </c>
      <c r="Q484" s="169">
        <f t="shared" si="286"/>
        <v>1.4025638730469563</v>
      </c>
      <c r="R484" s="169">
        <f t="shared" si="287"/>
        <v>0.87231096034971234</v>
      </c>
      <c r="S484" s="169">
        <f t="shared" si="288"/>
        <v>1.2062049308203824</v>
      </c>
      <c r="T484" s="169">
        <f t="shared" si="289"/>
        <v>0.83741852193572386</v>
      </c>
      <c r="U484" s="169">
        <f t="shared" si="278"/>
        <v>1.0218117263780531</v>
      </c>
      <c r="V484" s="169">
        <f t="shared" si="279"/>
        <v>2.9795191643504838E-2</v>
      </c>
      <c r="W484" s="439">
        <f t="shared" si="280"/>
        <v>7.2875324015150911</v>
      </c>
      <c r="X484" s="439">
        <f t="shared" si="290"/>
        <v>7.2875324015150911</v>
      </c>
      <c r="Y484" s="169"/>
      <c r="Z484" s="119" t="str">
        <f t="shared" si="291"/>
        <v/>
      </c>
      <c r="AA484" s="4" t="str">
        <f t="shared" si="292"/>
        <v/>
      </c>
      <c r="AB484" s="466"/>
      <c r="AC484" s="466"/>
      <c r="AD484" s="466"/>
      <c r="AE484" s="466"/>
      <c r="AF484" s="466"/>
      <c r="AG484" s="466"/>
      <c r="AH484" s="466"/>
      <c r="AI484" s="466"/>
      <c r="AJ484" s="466"/>
      <c r="AK484" s="466"/>
      <c r="AL484" s="466"/>
      <c r="AM484" s="462">
        <f t="shared" si="282"/>
        <v>114</v>
      </c>
      <c r="AN484" s="32">
        <f t="shared" si="306"/>
        <v>0.98740425573120028</v>
      </c>
      <c r="AO484" s="32">
        <f t="shared" si="307"/>
        <v>0.22154199276539069</v>
      </c>
      <c r="AP484" s="32">
        <f t="shared" si="308"/>
        <v>1.7911831672479623</v>
      </c>
      <c r="AQ484" s="32">
        <f t="shared" si="309"/>
        <v>13.683631442424495</v>
      </c>
      <c r="AR484" s="32">
        <f t="shared" si="310"/>
        <v>35.525632180588623</v>
      </c>
      <c r="AS484" s="32">
        <f t="shared" si="293"/>
        <v>26.669802590611493</v>
      </c>
      <c r="AT484" s="32">
        <f t="shared" si="294"/>
        <v>17.363807999999999</v>
      </c>
      <c r="AU484" s="32">
        <f t="shared" si="295"/>
        <v>0.84554056684087953</v>
      </c>
      <c r="AV484" s="32">
        <f t="shared" si="296"/>
        <v>0.79147976523518737</v>
      </c>
      <c r="AW484" s="32">
        <f t="shared" si="297"/>
        <v>1.4025638730469563</v>
      </c>
      <c r="AX484" s="32">
        <f t="shared" si="298"/>
        <v>0.87231096034971234</v>
      </c>
      <c r="AY484" s="32">
        <f t="shared" si="299"/>
        <v>1.0218117263780531</v>
      </c>
      <c r="AZ484" s="32">
        <f t="shared" si="311"/>
        <v>0.19848141522397195</v>
      </c>
      <c r="BA484" s="32">
        <f t="shared" si="300"/>
        <v>-4.8483837296399868</v>
      </c>
      <c r="BB484" s="32">
        <f t="shared" si="312"/>
        <v>12.515424270360011</v>
      </c>
      <c r="BC484" s="32">
        <f t="shared" si="301"/>
        <v>8.5</v>
      </c>
      <c r="BD484" s="32">
        <v>0</v>
      </c>
      <c r="BE484" s="32">
        <f t="shared" si="313"/>
        <v>1.1374374166983343</v>
      </c>
      <c r="BF484" s="32">
        <f t="shared" si="314"/>
        <v>0.11562569032028125</v>
      </c>
      <c r="BG484" s="32">
        <f t="shared" si="315"/>
        <v>7.529733037824983E-2</v>
      </c>
      <c r="BH484" s="32">
        <f t="shared" si="302"/>
        <v>2.0153046868523896</v>
      </c>
      <c r="BI484" s="32">
        <f t="shared" si="303"/>
        <v>0.27568653189126396</v>
      </c>
      <c r="BJ484" s="32">
        <f t="shared" si="281"/>
        <v>2.2909912187436534</v>
      </c>
      <c r="BK484" s="457">
        <f t="shared" si="304"/>
        <v>2.320642999661779</v>
      </c>
    </row>
    <row r="485" spans="1:63" ht="15">
      <c r="A485" s="119"/>
      <c r="B485" s="480">
        <f>Input!B502</f>
        <v>38467</v>
      </c>
      <c r="C485" s="481">
        <v>2</v>
      </c>
      <c r="D485" s="481">
        <f t="shared" si="283"/>
        <v>4</v>
      </c>
      <c r="E485" s="481">
        <f t="shared" si="284"/>
        <v>25</v>
      </c>
      <c r="F485" s="481">
        <f t="shared" si="285"/>
        <v>115</v>
      </c>
      <c r="G485" s="431">
        <v>8.2943999999999996</v>
      </c>
      <c r="H485" s="455">
        <v>14.41</v>
      </c>
      <c r="I485" s="455">
        <v>9.5</v>
      </c>
      <c r="J485" s="455">
        <v>3.26</v>
      </c>
      <c r="K485" s="485"/>
      <c r="L485" s="433">
        <v>97</v>
      </c>
      <c r="M485" s="455">
        <v>70</v>
      </c>
      <c r="N485" s="484">
        <f>Weather!M486</f>
        <v>7</v>
      </c>
      <c r="O485" s="481">
        <f t="shared" si="305"/>
        <v>1</v>
      </c>
      <c r="P485" s="4">
        <f t="shared" si="316"/>
        <v>1.7423348114641519</v>
      </c>
      <c r="Q485" s="169">
        <f t="shared" si="286"/>
        <v>1.6416379962791174</v>
      </c>
      <c r="R485" s="169">
        <f t="shared" si="287"/>
        <v>1.1874205365788533</v>
      </c>
      <c r="S485" s="169">
        <f t="shared" si="288"/>
        <v>1.1491465973953821</v>
      </c>
      <c r="T485" s="169">
        <f t="shared" si="289"/>
        <v>1.1517979204814877</v>
      </c>
      <c r="U485" s="169">
        <f t="shared" si="278"/>
        <v>1.1504722589384349</v>
      </c>
      <c r="V485" s="169">
        <f t="shared" si="279"/>
        <v>3.6662317525278827E-2</v>
      </c>
      <c r="W485" s="439">
        <f t="shared" si="280"/>
        <v>9.0310678249389049</v>
      </c>
      <c r="X485" s="439">
        <f t="shared" si="290"/>
        <v>9.0310678249389049</v>
      </c>
      <c r="Y485" s="169"/>
      <c r="Z485" s="119" t="str">
        <f t="shared" si="291"/>
        <v/>
      </c>
      <c r="AA485" s="4" t="str">
        <f t="shared" si="292"/>
        <v/>
      </c>
      <c r="AB485" s="466"/>
      <c r="AC485" s="466"/>
      <c r="AD485" s="466"/>
      <c r="AE485" s="466"/>
      <c r="AF485" s="466"/>
      <c r="AG485" s="466"/>
      <c r="AH485" s="466"/>
      <c r="AI485" s="466"/>
      <c r="AJ485" s="466"/>
      <c r="AK485" s="466"/>
      <c r="AL485" s="466"/>
      <c r="AM485" s="462">
        <f t="shared" si="282"/>
        <v>115</v>
      </c>
      <c r="AN485" s="32">
        <f t="shared" si="306"/>
        <v>0.98688108712867562</v>
      </c>
      <c r="AO485" s="32">
        <f t="shared" si="307"/>
        <v>0.22742716346871891</v>
      </c>
      <c r="AP485" s="32">
        <f t="shared" si="308"/>
        <v>1.7973461225809726</v>
      </c>
      <c r="AQ485" s="32">
        <f t="shared" si="309"/>
        <v>13.730712953079045</v>
      </c>
      <c r="AR485" s="32">
        <f t="shared" si="310"/>
        <v>35.738754483323483</v>
      </c>
      <c r="AS485" s="32">
        <f t="shared" si="293"/>
        <v>26.829797765720606</v>
      </c>
      <c r="AT485" s="32">
        <f t="shared" si="294"/>
        <v>6.3866879999999995</v>
      </c>
      <c r="AU485" s="32">
        <f t="shared" si="295"/>
        <v>0.30914880806881939</v>
      </c>
      <c r="AV485" s="32">
        <f t="shared" si="296"/>
        <v>6.7350890892906246E-2</v>
      </c>
      <c r="AW485" s="32">
        <f t="shared" si="297"/>
        <v>1.6416379962791174</v>
      </c>
      <c r="AX485" s="32">
        <f t="shared" si="298"/>
        <v>1.1874205365788533</v>
      </c>
      <c r="AY485" s="32">
        <f t="shared" si="299"/>
        <v>1.1504722589384349</v>
      </c>
      <c r="AZ485" s="32">
        <f t="shared" si="311"/>
        <v>0.18983590217634136</v>
      </c>
      <c r="BA485" s="32">
        <f t="shared" si="300"/>
        <v>-0.41412388499189029</v>
      </c>
      <c r="BB485" s="32">
        <f t="shared" si="312"/>
        <v>5.972564115008109</v>
      </c>
      <c r="BC485" s="32">
        <f t="shared" si="301"/>
        <v>11.955</v>
      </c>
      <c r="BD485" s="32">
        <v>0</v>
      </c>
      <c r="BE485" s="32">
        <f t="shared" si="313"/>
        <v>1.4145292664289855</v>
      </c>
      <c r="BF485" s="32">
        <f t="shared" si="314"/>
        <v>0.26405700749055061</v>
      </c>
      <c r="BG485" s="32">
        <f t="shared" si="315"/>
        <v>9.2262220822692587E-2</v>
      </c>
      <c r="BH485" s="32">
        <f t="shared" si="302"/>
        <v>0.96176529912058739</v>
      </c>
      <c r="BI485" s="32">
        <f t="shared" si="303"/>
        <v>0.78056951234356442</v>
      </c>
      <c r="BJ485" s="32">
        <f t="shared" si="281"/>
        <v>1.7423348114641519</v>
      </c>
      <c r="BK485" s="457">
        <f t="shared" si="304"/>
        <v>2.2120852775283963</v>
      </c>
    </row>
    <row r="486" spans="1:63" ht="15">
      <c r="A486" s="119"/>
      <c r="B486" s="480">
        <f>Input!B503</f>
        <v>38468</v>
      </c>
      <c r="C486" s="481">
        <v>2</v>
      </c>
      <c r="D486" s="481">
        <f t="shared" si="283"/>
        <v>4</v>
      </c>
      <c r="E486" s="481">
        <f t="shared" si="284"/>
        <v>26</v>
      </c>
      <c r="F486" s="481">
        <f t="shared" si="285"/>
        <v>116</v>
      </c>
      <c r="G486" s="432">
        <v>0</v>
      </c>
      <c r="H486" s="455">
        <v>14.18</v>
      </c>
      <c r="I486" s="455">
        <v>6.9</v>
      </c>
      <c r="J486" s="455">
        <v>1.82</v>
      </c>
      <c r="K486" s="485"/>
      <c r="L486" s="434">
        <v>99</v>
      </c>
      <c r="M486" s="455">
        <v>78</v>
      </c>
      <c r="N486" s="484">
        <f>Weather!M487</f>
        <v>4.4000000000000004</v>
      </c>
      <c r="O486" s="481">
        <f t="shared" si="305"/>
        <v>1</v>
      </c>
      <c r="P486" s="4">
        <f t="shared" si="316"/>
        <v>0.3063071784918493</v>
      </c>
      <c r="Q486" s="169">
        <f t="shared" si="286"/>
        <v>1.6173740222631401</v>
      </c>
      <c r="R486" s="169">
        <f t="shared" si="287"/>
        <v>0.99499981011308136</v>
      </c>
      <c r="S486" s="169">
        <f t="shared" si="288"/>
        <v>1.2615517373652494</v>
      </c>
      <c r="T486" s="169">
        <f t="shared" si="289"/>
        <v>0.98504981201195052</v>
      </c>
      <c r="U486" s="169">
        <f t="shared" si="278"/>
        <v>1.1233007746885999</v>
      </c>
      <c r="V486" s="169">
        <f t="shared" si="279"/>
        <v>3.5278354195543801E-2</v>
      </c>
      <c r="W486" s="439">
        <f t="shared" si="280"/>
        <v>8.6776880015185363</v>
      </c>
      <c r="X486" s="439">
        <f t="shared" si="290"/>
        <v>8.6776880015185363</v>
      </c>
      <c r="Y486" s="169"/>
      <c r="Z486" s="119" t="str">
        <f t="shared" si="291"/>
        <v/>
      </c>
      <c r="AA486" s="4" t="str">
        <f t="shared" si="292"/>
        <v/>
      </c>
      <c r="AB486" s="466"/>
      <c r="AC486" s="466"/>
      <c r="AD486" s="466"/>
      <c r="AE486" s="466"/>
      <c r="AF486" s="466"/>
      <c r="AG486" s="466"/>
      <c r="AH486" s="466"/>
      <c r="AI486" s="466"/>
      <c r="AJ486" s="466"/>
      <c r="AK486" s="466"/>
      <c r="AL486" s="466"/>
      <c r="AM486" s="462">
        <f t="shared" si="282"/>
        <v>116</v>
      </c>
      <c r="AN486" s="32">
        <f t="shared" si="306"/>
        <v>0.98636180594316414</v>
      </c>
      <c r="AO486" s="32">
        <f t="shared" si="307"/>
        <v>0.23324494259523115</v>
      </c>
      <c r="AP486" s="32">
        <f t="shared" si="308"/>
        <v>1.803463678932389</v>
      </c>
      <c r="AQ486" s="32">
        <f t="shared" si="309"/>
        <v>13.777447641061659</v>
      </c>
      <c r="AR486" s="32">
        <f t="shared" si="310"/>
        <v>35.948848706966366</v>
      </c>
      <c r="AS486" s="32">
        <f t="shared" si="293"/>
        <v>26.987519701293792</v>
      </c>
      <c r="AT486" s="32">
        <f t="shared" si="294"/>
        <v>0</v>
      </c>
      <c r="AU486" s="32">
        <f t="shared" si="295"/>
        <v>0.3</v>
      </c>
      <c r="AV486" s="32">
        <f t="shared" si="296"/>
        <v>5.5000000000000049E-2</v>
      </c>
      <c r="AW486" s="32">
        <f t="shared" si="297"/>
        <v>1.6173740222631401</v>
      </c>
      <c r="AX486" s="32">
        <f t="shared" si="298"/>
        <v>0.99499981011308136</v>
      </c>
      <c r="AY486" s="32">
        <f t="shared" si="299"/>
        <v>1.1233007746886001</v>
      </c>
      <c r="AZ486" s="32">
        <f t="shared" si="311"/>
        <v>0.19161976147782833</v>
      </c>
      <c r="BA486" s="32">
        <f t="shared" si="300"/>
        <v>-0.33481427570779276</v>
      </c>
      <c r="BB486" s="32">
        <f t="shared" si="312"/>
        <v>-0.33481427570779276</v>
      </c>
      <c r="BC486" s="32">
        <f t="shared" si="301"/>
        <v>10.54</v>
      </c>
      <c r="BD486" s="32">
        <v>0</v>
      </c>
      <c r="BE486" s="32">
        <f t="shared" si="313"/>
        <v>1.3061869161881108</v>
      </c>
      <c r="BF486" s="32">
        <f t="shared" si="314"/>
        <v>0.18288614149951066</v>
      </c>
      <c r="BG486" s="32">
        <f t="shared" si="315"/>
        <v>8.4957402046016206E-2</v>
      </c>
      <c r="BH486" s="32">
        <f t="shared" si="302"/>
        <v>-5.9946056590784759E-2</v>
      </c>
      <c r="BI486" s="32">
        <f t="shared" si="303"/>
        <v>0.36625323508263408</v>
      </c>
      <c r="BJ486" s="32">
        <f t="shared" si="281"/>
        <v>0.3063071784918493</v>
      </c>
      <c r="BK486" s="457">
        <f t="shared" si="304"/>
        <v>2.5805499717883573</v>
      </c>
    </row>
    <row r="487" spans="1:63" ht="15">
      <c r="A487" s="119"/>
      <c r="B487" s="480">
        <f>Input!B504</f>
        <v>38469</v>
      </c>
      <c r="C487" s="481">
        <v>2</v>
      </c>
      <c r="D487" s="481">
        <f t="shared" si="283"/>
        <v>4</v>
      </c>
      <c r="E487" s="481">
        <f t="shared" si="284"/>
        <v>27</v>
      </c>
      <c r="F487" s="481">
        <f t="shared" si="285"/>
        <v>117</v>
      </c>
      <c r="G487" s="432">
        <v>0</v>
      </c>
      <c r="H487" s="455">
        <v>14.88</v>
      </c>
      <c r="I487" s="455">
        <v>5.8</v>
      </c>
      <c r="J487" s="455">
        <v>1.61</v>
      </c>
      <c r="K487" s="485"/>
      <c r="L487" s="434">
        <v>99</v>
      </c>
      <c r="M487" s="455">
        <v>83</v>
      </c>
      <c r="N487" s="484">
        <f>Weather!M488</f>
        <v>2.6</v>
      </c>
      <c r="O487" s="481">
        <f t="shared" si="305"/>
        <v>1</v>
      </c>
      <c r="P487" s="4">
        <f t="shared" si="316"/>
        <v>0.21108337461382062</v>
      </c>
      <c r="Q487" s="169">
        <f t="shared" si="286"/>
        <v>1.6922158105676843</v>
      </c>
      <c r="R487" s="169">
        <f t="shared" si="287"/>
        <v>0.92224025736807469</v>
      </c>
      <c r="S487" s="169">
        <f t="shared" si="288"/>
        <v>1.4045391227711779</v>
      </c>
      <c r="T487" s="169">
        <f t="shared" si="289"/>
        <v>0.9130178547943939</v>
      </c>
      <c r="U487" s="169">
        <f t="shared" si="278"/>
        <v>1.1587784887827859</v>
      </c>
      <c r="V487" s="169">
        <f t="shared" si="279"/>
        <v>3.7078872554845044E-2</v>
      </c>
      <c r="W487" s="439">
        <f t="shared" si="280"/>
        <v>9.1376294552908561</v>
      </c>
      <c r="X487" s="439">
        <f t="shared" si="290"/>
        <v>9.1376294552908561</v>
      </c>
      <c r="Y487" s="169"/>
      <c r="Z487" s="119" t="str">
        <f t="shared" si="291"/>
        <v/>
      </c>
      <c r="AA487" s="4" t="str">
        <f t="shared" si="292"/>
        <v/>
      </c>
      <c r="AB487" s="466"/>
      <c r="AC487" s="466"/>
      <c r="AD487" s="466"/>
      <c r="AE487" s="466"/>
      <c r="AF487" s="466"/>
      <c r="AG487" s="466"/>
      <c r="AH487" s="466"/>
      <c r="AI487" s="466"/>
      <c r="AJ487" s="466"/>
      <c r="AK487" s="466"/>
      <c r="AL487" s="466"/>
      <c r="AM487" s="462">
        <f t="shared" si="282"/>
        <v>117</v>
      </c>
      <c r="AN487" s="32">
        <f t="shared" si="306"/>
        <v>0.9858465660488881</v>
      </c>
      <c r="AO487" s="32">
        <f t="shared" si="307"/>
        <v>0.23899360621141433</v>
      </c>
      <c r="AP487" s="32">
        <f t="shared" si="308"/>
        <v>1.8095339485693844</v>
      </c>
      <c r="AQ487" s="32">
        <f t="shared" si="309"/>
        <v>13.823821085155826</v>
      </c>
      <c r="AR487" s="32">
        <f t="shared" si="310"/>
        <v>36.155866953026802</v>
      </c>
      <c r="AS487" s="32">
        <f t="shared" si="293"/>
        <v>27.142932438976281</v>
      </c>
      <c r="AT487" s="32">
        <f t="shared" si="294"/>
        <v>0</v>
      </c>
      <c r="AU487" s="32">
        <f t="shared" si="295"/>
        <v>0.3</v>
      </c>
      <c r="AV487" s="32">
        <f t="shared" si="296"/>
        <v>5.5000000000000049E-2</v>
      </c>
      <c r="AW487" s="32">
        <f t="shared" si="297"/>
        <v>1.6922158105676843</v>
      </c>
      <c r="AX487" s="32">
        <f t="shared" si="298"/>
        <v>0.92224025736807469</v>
      </c>
      <c r="AY487" s="32">
        <f t="shared" si="299"/>
        <v>1.1587784887827857</v>
      </c>
      <c r="AZ487" s="32">
        <f t="shared" si="311"/>
        <v>0.18929479643972941</v>
      </c>
      <c r="BA487" s="32">
        <f t="shared" si="300"/>
        <v>-0.3300017449543563</v>
      </c>
      <c r="BB487" s="32">
        <f t="shared" si="312"/>
        <v>-0.3300017449543563</v>
      </c>
      <c r="BC487" s="32">
        <f t="shared" si="301"/>
        <v>10.34</v>
      </c>
      <c r="BD487" s="32">
        <v>0</v>
      </c>
      <c r="BE487" s="32">
        <f t="shared" si="313"/>
        <v>1.3072280339678795</v>
      </c>
      <c r="BF487" s="32">
        <f t="shared" si="314"/>
        <v>0.14844954518509379</v>
      </c>
      <c r="BG487" s="32">
        <f t="shared" si="315"/>
        <v>8.3965841474536493E-2</v>
      </c>
      <c r="BH487" s="32">
        <f t="shared" si="302"/>
        <v>-6.0192967355963668E-2</v>
      </c>
      <c r="BI487" s="32">
        <f t="shared" si="303"/>
        <v>0.27127634196978428</v>
      </c>
      <c r="BJ487" s="32">
        <f t="shared" si="281"/>
        <v>0.21108337461382062</v>
      </c>
      <c r="BK487" s="457">
        <f t="shared" si="304"/>
        <v>2.8781110614286276</v>
      </c>
    </row>
    <row r="488" spans="1:63" ht="15">
      <c r="A488" s="119"/>
      <c r="B488" s="480">
        <f>Input!B505</f>
        <v>38470</v>
      </c>
      <c r="C488" s="481">
        <v>2</v>
      </c>
      <c r="D488" s="481">
        <f t="shared" si="283"/>
        <v>4</v>
      </c>
      <c r="E488" s="481">
        <f t="shared" si="284"/>
        <v>28</v>
      </c>
      <c r="F488" s="481">
        <f t="shared" si="285"/>
        <v>118</v>
      </c>
      <c r="G488" s="432">
        <v>0</v>
      </c>
      <c r="H488" s="455">
        <v>16.829999999999998</v>
      </c>
      <c r="I488" s="455">
        <v>8.3000000000000007</v>
      </c>
      <c r="J488" s="455">
        <v>1.45</v>
      </c>
      <c r="K488" s="485"/>
      <c r="L488" s="434">
        <v>99</v>
      </c>
      <c r="M488" s="455">
        <v>86</v>
      </c>
      <c r="N488" s="484">
        <f>Weather!M489</f>
        <v>0.6</v>
      </c>
      <c r="O488" s="481">
        <f t="shared" si="305"/>
        <v>1</v>
      </c>
      <c r="P488" s="4">
        <f t="shared" si="316"/>
        <v>0.15562453823735539</v>
      </c>
      <c r="Q488" s="169">
        <f t="shared" si="286"/>
        <v>1.9169519625555558</v>
      </c>
      <c r="R488" s="169">
        <f t="shared" si="287"/>
        <v>1.0948860433443903</v>
      </c>
      <c r="S488" s="169">
        <f t="shared" si="288"/>
        <v>1.6485786877977779</v>
      </c>
      <c r="T488" s="169">
        <f t="shared" si="289"/>
        <v>1.0839371829109463</v>
      </c>
      <c r="U488" s="169">
        <f t="shared" si="278"/>
        <v>1.366257935354362</v>
      </c>
      <c r="V488" s="169">
        <f t="shared" si="279"/>
        <v>4.6616171062942947E-2</v>
      </c>
      <c r="W488" s="439">
        <f t="shared" si="280"/>
        <v>11.602900172504061</v>
      </c>
      <c r="X488" s="439">
        <f t="shared" si="290"/>
        <v>11.602900172504061</v>
      </c>
      <c r="Y488" s="169"/>
      <c r="Z488" s="119" t="str">
        <f t="shared" si="291"/>
        <v/>
      </c>
      <c r="AA488" s="4" t="str">
        <f t="shared" si="292"/>
        <v/>
      </c>
      <c r="AB488" s="466"/>
      <c r="AC488" s="466"/>
      <c r="AD488" s="466"/>
      <c r="AE488" s="466"/>
      <c r="AF488" s="466"/>
      <c r="AG488" s="466"/>
      <c r="AH488" s="466"/>
      <c r="AI488" s="466"/>
      <c r="AJ488" s="466"/>
      <c r="AK488" s="466"/>
      <c r="AL488" s="466"/>
      <c r="AM488" s="462">
        <f t="shared" si="282"/>
        <v>118</v>
      </c>
      <c r="AN488" s="32">
        <f t="shared" si="306"/>
        <v>0.98533552012254777</v>
      </c>
      <c r="AO488" s="32">
        <f t="shared" si="307"/>
        <v>0.2446714508641725</v>
      </c>
      <c r="AP488" s="32">
        <f t="shared" si="308"/>
        <v>1.8155550030688115</v>
      </c>
      <c r="AQ488" s="32">
        <f t="shared" si="309"/>
        <v>13.869818553293882</v>
      </c>
      <c r="AR488" s="32">
        <f t="shared" si="310"/>
        <v>36.359762832463552</v>
      </c>
      <c r="AS488" s="32">
        <f t="shared" si="293"/>
        <v>27.296001153587039</v>
      </c>
      <c r="AT488" s="32">
        <f t="shared" si="294"/>
        <v>0</v>
      </c>
      <c r="AU488" s="32">
        <f t="shared" si="295"/>
        <v>0.3</v>
      </c>
      <c r="AV488" s="32">
        <f t="shared" si="296"/>
        <v>5.5000000000000049E-2</v>
      </c>
      <c r="AW488" s="32">
        <f t="shared" si="297"/>
        <v>1.9169519625555558</v>
      </c>
      <c r="AX488" s="32">
        <f t="shared" si="298"/>
        <v>1.0948860433443903</v>
      </c>
      <c r="AY488" s="32">
        <f t="shared" si="299"/>
        <v>1.366257935354362</v>
      </c>
      <c r="AZ488" s="32">
        <f t="shared" si="311"/>
        <v>0.17635814858983814</v>
      </c>
      <c r="BA488" s="32">
        <f t="shared" si="300"/>
        <v>-0.31715147864902404</v>
      </c>
      <c r="BB488" s="32">
        <f t="shared" si="312"/>
        <v>-0.31715147864902404</v>
      </c>
      <c r="BC488" s="32">
        <f t="shared" si="301"/>
        <v>12.565</v>
      </c>
      <c r="BD488" s="32">
        <v>0</v>
      </c>
      <c r="BE488" s="32">
        <f t="shared" si="313"/>
        <v>1.5059190029499732</v>
      </c>
      <c r="BF488" s="32">
        <f t="shared" si="314"/>
        <v>0.13966106759561114</v>
      </c>
      <c r="BG488" s="32">
        <f t="shared" si="315"/>
        <v>9.5572537847446418E-2</v>
      </c>
      <c r="BH488" s="32">
        <f t="shared" si="302"/>
        <v>-6.3169772202486291E-2</v>
      </c>
      <c r="BI488" s="32">
        <f t="shared" si="303"/>
        <v>0.21879431043984168</v>
      </c>
      <c r="BJ488" s="32">
        <f t="shared" si="281"/>
        <v>0.15562453823735539</v>
      </c>
      <c r="BK488" s="457">
        <f t="shared" si="304"/>
        <v>3.0271266704516195</v>
      </c>
    </row>
    <row r="489" spans="1:63" ht="15">
      <c r="A489" s="119"/>
      <c r="B489" s="480">
        <f>Input!B506</f>
        <v>38471</v>
      </c>
      <c r="C489" s="481">
        <v>2</v>
      </c>
      <c r="D489" s="481">
        <f t="shared" si="283"/>
        <v>4</v>
      </c>
      <c r="E489" s="481">
        <f t="shared" si="284"/>
        <v>29</v>
      </c>
      <c r="F489" s="481">
        <f t="shared" si="285"/>
        <v>119</v>
      </c>
      <c r="G489" s="432">
        <v>0</v>
      </c>
      <c r="H489" s="455">
        <v>18.48</v>
      </c>
      <c r="I489" s="455">
        <v>8.6</v>
      </c>
      <c r="J489" s="455">
        <v>1.65</v>
      </c>
      <c r="K489" s="485"/>
      <c r="L489" s="434">
        <v>99</v>
      </c>
      <c r="M489" s="455">
        <v>86</v>
      </c>
      <c r="N489" s="484">
        <f>Weather!M490</f>
        <v>4.5999999999999996</v>
      </c>
      <c r="O489" s="481">
        <f t="shared" si="305"/>
        <v>1</v>
      </c>
      <c r="P489" s="4">
        <f t="shared" si="316"/>
        <v>0.19878373475728461</v>
      </c>
      <c r="Q489" s="169">
        <f t="shared" si="286"/>
        <v>2.1271109656199467</v>
      </c>
      <c r="R489" s="169">
        <f t="shared" si="287"/>
        <v>1.1174036087713535</v>
      </c>
      <c r="S489" s="169">
        <f t="shared" si="288"/>
        <v>1.8293154304331543</v>
      </c>
      <c r="T489" s="169">
        <f t="shared" si="289"/>
        <v>1.10622957268364</v>
      </c>
      <c r="U489" s="169">
        <f t="shared" si="278"/>
        <v>1.4677725015583971</v>
      </c>
      <c r="V489" s="169">
        <f t="shared" si="279"/>
        <v>5.0766163991323977E-2</v>
      </c>
      <c r="W489" s="439">
        <f t="shared" si="280"/>
        <v>12.691088600249888</v>
      </c>
      <c r="X489" s="439">
        <f t="shared" si="290"/>
        <v>12.691088600249888</v>
      </c>
      <c r="Y489" s="169"/>
      <c r="Z489" s="119" t="str">
        <f t="shared" si="291"/>
        <v/>
      </c>
      <c r="AA489" s="4" t="str">
        <f t="shared" si="292"/>
        <v/>
      </c>
      <c r="AB489" s="466"/>
      <c r="AC489" s="466"/>
      <c r="AD489" s="466"/>
      <c r="AE489" s="466"/>
      <c r="AF489" s="466"/>
      <c r="AG489" s="466"/>
      <c r="AH489" s="466"/>
      <c r="AI489" s="466"/>
      <c r="AJ489" s="466"/>
      <c r="AK489" s="466"/>
      <c r="AL489" s="466"/>
      <c r="AM489" s="462">
        <f t="shared" si="282"/>
        <v>119</v>
      </c>
      <c r="AN489" s="32">
        <f t="shared" si="306"/>
        <v>0.98482881959808055</v>
      </c>
      <c r="AO489" s="32">
        <f t="shared" si="307"/>
        <v>0.25027679408559728</v>
      </c>
      <c r="AP489" s="32">
        <f t="shared" si="308"/>
        <v>1.8215248734244569</v>
      </c>
      <c r="AQ489" s="32">
        <f t="shared" si="309"/>
        <v>13.915425003376384</v>
      </c>
      <c r="AR489" s="32">
        <f t="shared" si="310"/>
        <v>36.560491441212079</v>
      </c>
      <c r="AS489" s="32">
        <f t="shared" si="293"/>
        <v>27.446692134746733</v>
      </c>
      <c r="AT489" s="32">
        <f t="shared" si="294"/>
        <v>0</v>
      </c>
      <c r="AU489" s="32">
        <f t="shared" si="295"/>
        <v>0.3</v>
      </c>
      <c r="AV489" s="32">
        <f t="shared" si="296"/>
        <v>5.5000000000000049E-2</v>
      </c>
      <c r="AW489" s="32">
        <f t="shared" si="297"/>
        <v>2.1271109656199467</v>
      </c>
      <c r="AX489" s="32">
        <f t="shared" si="298"/>
        <v>1.1174036087713535</v>
      </c>
      <c r="AY489" s="32">
        <f t="shared" si="299"/>
        <v>1.4677725015583969</v>
      </c>
      <c r="AZ489" s="32">
        <f t="shared" si="311"/>
        <v>0.17038767429651649</v>
      </c>
      <c r="BA489" s="32">
        <f t="shared" si="300"/>
        <v>-0.31075645488076786</v>
      </c>
      <c r="BB489" s="32">
        <f t="shared" si="312"/>
        <v>-0.31075645488076786</v>
      </c>
      <c r="BC489" s="32">
        <f t="shared" si="301"/>
        <v>13.54</v>
      </c>
      <c r="BD489" s="32">
        <v>0</v>
      </c>
      <c r="BE489" s="32">
        <f t="shared" si="313"/>
        <v>1.6222572871956502</v>
      </c>
      <c r="BF489" s="32">
        <f t="shared" si="314"/>
        <v>0.15448478563725332</v>
      </c>
      <c r="BG489" s="32">
        <f t="shared" si="315"/>
        <v>0.10107353221055707</v>
      </c>
      <c r="BH489" s="32">
        <f t="shared" si="302"/>
        <v>-6.2257960624605521E-2</v>
      </c>
      <c r="BI489" s="32">
        <f t="shared" si="303"/>
        <v>0.26104169538189015</v>
      </c>
      <c r="BJ489" s="32">
        <f t="shared" si="281"/>
        <v>0.19878373475728461</v>
      </c>
      <c r="BK489" s="457">
        <f t="shared" si="304"/>
        <v>3.3810472566356613</v>
      </c>
    </row>
    <row r="490" spans="1:63" ht="15">
      <c r="A490" s="119"/>
      <c r="B490" s="480">
        <f>Input!B507</f>
        <v>38472</v>
      </c>
      <c r="C490" s="481">
        <v>2</v>
      </c>
      <c r="D490" s="481">
        <f t="shared" si="283"/>
        <v>4</v>
      </c>
      <c r="E490" s="481">
        <f t="shared" si="284"/>
        <v>30</v>
      </c>
      <c r="F490" s="481">
        <f t="shared" si="285"/>
        <v>120</v>
      </c>
      <c r="G490" s="432">
        <v>0</v>
      </c>
      <c r="H490" s="455">
        <v>17.48</v>
      </c>
      <c r="I490" s="455">
        <v>13.4</v>
      </c>
      <c r="J490" s="455">
        <v>1.76</v>
      </c>
      <c r="K490" s="485"/>
      <c r="L490" s="434">
        <v>99</v>
      </c>
      <c r="M490" s="455">
        <v>86</v>
      </c>
      <c r="N490" s="484">
        <f>Weather!M491</f>
        <v>6</v>
      </c>
      <c r="O490" s="481">
        <f t="shared" si="305"/>
        <v>1</v>
      </c>
      <c r="P490" s="4">
        <f t="shared" si="316"/>
        <v>0.18408138027917034</v>
      </c>
      <c r="Q490" s="169">
        <f t="shared" si="286"/>
        <v>1.9974634456256537</v>
      </c>
      <c r="R490" s="169">
        <f t="shared" si="287"/>
        <v>1.537413793359947</v>
      </c>
      <c r="S490" s="169">
        <f t="shared" si="288"/>
        <v>1.7178185632380623</v>
      </c>
      <c r="T490" s="169">
        <f t="shared" si="289"/>
        <v>1.5220396554263476</v>
      </c>
      <c r="U490" s="169">
        <f t="shared" si="278"/>
        <v>1.619929109332205</v>
      </c>
      <c r="V490" s="169">
        <f t="shared" si="279"/>
        <v>5.6477596656224177E-2</v>
      </c>
      <c r="W490" s="439">
        <f t="shared" si="280"/>
        <v>14.204361909188162</v>
      </c>
      <c r="X490" s="439">
        <f t="shared" si="290"/>
        <v>14.204361909188162</v>
      </c>
      <c r="Y490" s="169"/>
      <c r="Z490" s="119" t="str">
        <f t="shared" si="291"/>
        <v/>
      </c>
      <c r="AA490" s="4" t="str">
        <f t="shared" si="292"/>
        <v/>
      </c>
      <c r="AB490" s="466"/>
      <c r="AC490" s="466"/>
      <c r="AD490" s="466"/>
      <c r="AE490" s="466"/>
      <c r="AF490" s="466"/>
      <c r="AG490" s="466"/>
      <c r="AH490" s="466"/>
      <c r="AI490" s="466"/>
      <c r="AJ490" s="466"/>
      <c r="AK490" s="466"/>
      <c r="AL490" s="466"/>
      <c r="AM490" s="462">
        <f t="shared" si="282"/>
        <v>120</v>
      </c>
      <c r="AN490" s="32">
        <f t="shared" si="306"/>
        <v>0.98432661462178739</v>
      </c>
      <c r="AO490" s="32">
        <f t="shared" si="307"/>
        <v>0.25580797489151891</v>
      </c>
      <c r="AP490" s="32">
        <f t="shared" si="308"/>
        <v>1.8274415502850907</v>
      </c>
      <c r="AQ490" s="32">
        <f t="shared" si="309"/>
        <v>13.960625085090653</v>
      </c>
      <c r="AR490" s="32">
        <f t="shared" si="310"/>
        <v>36.758009334354661</v>
      </c>
      <c r="AS490" s="32">
        <f t="shared" si="293"/>
        <v>27.594972767486734</v>
      </c>
      <c r="AT490" s="32">
        <f t="shared" si="294"/>
        <v>0</v>
      </c>
      <c r="AU490" s="32">
        <f t="shared" si="295"/>
        <v>0.3</v>
      </c>
      <c r="AV490" s="32">
        <f t="shared" si="296"/>
        <v>5.5000000000000049E-2</v>
      </c>
      <c r="AW490" s="32">
        <f t="shared" si="297"/>
        <v>1.9974634456256537</v>
      </c>
      <c r="AX490" s="32">
        <f t="shared" si="298"/>
        <v>1.537413793359947</v>
      </c>
      <c r="AY490" s="32">
        <f t="shared" si="299"/>
        <v>1.619929109332205</v>
      </c>
      <c r="AZ490" s="32">
        <f t="shared" si="311"/>
        <v>0.16181298997145943</v>
      </c>
      <c r="BA490" s="32">
        <f t="shared" si="300"/>
        <v>-0.3025711064038617</v>
      </c>
      <c r="BB490" s="32">
        <f t="shared" si="312"/>
        <v>-0.3025711064038617</v>
      </c>
      <c r="BC490" s="32">
        <f t="shared" si="301"/>
        <v>15.440000000000001</v>
      </c>
      <c r="BD490" s="32">
        <v>0</v>
      </c>
      <c r="BE490" s="32">
        <f t="shared" si="313"/>
        <v>1.7674386194928005</v>
      </c>
      <c r="BF490" s="32">
        <f t="shared" si="314"/>
        <v>0.14750951016059544</v>
      </c>
      <c r="BG490" s="32">
        <f t="shared" si="315"/>
        <v>0.11257023724904235</v>
      </c>
      <c r="BH490" s="32">
        <f t="shared" si="302"/>
        <v>-6.3211726698964465E-2</v>
      </c>
      <c r="BI490" s="32">
        <f t="shared" si="303"/>
        <v>0.24729310697813481</v>
      </c>
      <c r="BJ490" s="32">
        <f t="shared" si="281"/>
        <v>0.18408138027917034</v>
      </c>
      <c r="BK490" s="457">
        <f t="shared" si="304"/>
        <v>2.3168868894285173</v>
      </c>
    </row>
    <row r="491" spans="1:63" ht="15">
      <c r="A491" s="119"/>
      <c r="B491" s="480">
        <f>Input!B508</f>
        <v>38473</v>
      </c>
      <c r="C491" s="481">
        <v>2</v>
      </c>
      <c r="D491" s="481">
        <f t="shared" si="283"/>
        <v>5</v>
      </c>
      <c r="E491" s="481">
        <f t="shared" si="284"/>
        <v>1</v>
      </c>
      <c r="F491" s="481">
        <f t="shared" si="285"/>
        <v>121</v>
      </c>
      <c r="G491" s="432">
        <v>0</v>
      </c>
      <c r="H491" s="455">
        <v>17.45</v>
      </c>
      <c r="I491" s="455">
        <v>12.8</v>
      </c>
      <c r="J491" s="455">
        <v>1.55</v>
      </c>
      <c r="K491" s="485"/>
      <c r="L491" s="434">
        <v>99</v>
      </c>
      <c r="M491" s="455">
        <v>88</v>
      </c>
      <c r="N491" s="484">
        <f>Weather!M492</f>
        <v>0</v>
      </c>
      <c r="O491" s="481" t="str">
        <f t="shared" si="305"/>
        <v/>
      </c>
      <c r="P491" s="4">
        <f t="shared" si="316"/>
        <v>0.12965692950090307</v>
      </c>
      <c r="Q491" s="169">
        <f t="shared" si="286"/>
        <v>1.9936833796158651</v>
      </c>
      <c r="R491" s="169">
        <f t="shared" si="287"/>
        <v>1.4782881252432811</v>
      </c>
      <c r="S491" s="169">
        <f t="shared" si="288"/>
        <v>1.7544413740619613</v>
      </c>
      <c r="T491" s="169">
        <f t="shared" si="289"/>
        <v>1.4635052439908482</v>
      </c>
      <c r="U491" s="169">
        <f t="shared" si="278"/>
        <v>1.6089733090264047</v>
      </c>
      <c r="V491" s="169">
        <f t="shared" si="279"/>
        <v>5.6084654601181193E-2</v>
      </c>
      <c r="W491" s="439">
        <f t="shared" si="280"/>
        <v>14.099663282025665</v>
      </c>
      <c r="X491" s="439">
        <f t="shared" si="290"/>
        <v>14.099663282025665</v>
      </c>
      <c r="Y491" s="169"/>
      <c r="Z491" s="119" t="str">
        <f t="shared" si="291"/>
        <v/>
      </c>
      <c r="AA491" s="4" t="str">
        <f t="shared" si="292"/>
        <v/>
      </c>
      <c r="AB491" s="466"/>
      <c r="AC491" s="466"/>
      <c r="AD491" s="466"/>
      <c r="AE491" s="466"/>
      <c r="AF491" s="466"/>
      <c r="AG491" s="466"/>
      <c r="AH491" s="466"/>
      <c r="AI491" s="466"/>
      <c r="AJ491" s="466"/>
      <c r="AK491" s="466"/>
      <c r="AL491" s="466"/>
      <c r="AM491" s="462">
        <f t="shared" si="282"/>
        <v>121</v>
      </c>
      <c r="AN491" s="32">
        <f t="shared" si="306"/>
        <v>0.98382905400784104</v>
      </c>
      <c r="AO491" s="32">
        <f t="shared" si="307"/>
        <v>0.26126335427369202</v>
      </c>
      <c r="AP491" s="32">
        <f t="shared" si="308"/>
        <v>1.833302984329243</v>
      </c>
      <c r="AQ491" s="32">
        <f t="shared" si="309"/>
        <v>14.005403142773885</v>
      </c>
      <c r="AR491" s="32">
        <f t="shared" si="310"/>
        <v>36.952274499078584</v>
      </c>
      <c r="AS491" s="32">
        <f t="shared" si="293"/>
        <v>27.740811511948277</v>
      </c>
      <c r="AT491" s="32">
        <f t="shared" si="294"/>
        <v>0</v>
      </c>
      <c r="AU491" s="32">
        <f t="shared" si="295"/>
        <v>0.3</v>
      </c>
      <c r="AV491" s="32">
        <f t="shared" si="296"/>
        <v>5.5000000000000049E-2</v>
      </c>
      <c r="AW491" s="32">
        <f t="shared" si="297"/>
        <v>1.9936833796158651</v>
      </c>
      <c r="AX491" s="32">
        <f t="shared" si="298"/>
        <v>1.4782881252432811</v>
      </c>
      <c r="AY491" s="32">
        <f t="shared" si="299"/>
        <v>1.6089733090264047</v>
      </c>
      <c r="AZ491" s="32">
        <f t="shared" si="311"/>
        <v>0.16241656367521906</v>
      </c>
      <c r="BA491" s="32">
        <f t="shared" si="300"/>
        <v>-0.3024032667357226</v>
      </c>
      <c r="BB491" s="32">
        <f t="shared" si="312"/>
        <v>-0.3024032667357226</v>
      </c>
      <c r="BC491" s="32">
        <f t="shared" si="301"/>
        <v>15.125</v>
      </c>
      <c r="BD491" s="32">
        <v>0</v>
      </c>
      <c r="BE491" s="32">
        <f t="shared" si="313"/>
        <v>1.7359857524295732</v>
      </c>
      <c r="BF491" s="32">
        <f t="shared" si="314"/>
        <v>0.12701244340316853</v>
      </c>
      <c r="BG491" s="32">
        <f t="shared" si="315"/>
        <v>0.11059081168649175</v>
      </c>
      <c r="BH491" s="32">
        <f t="shared" si="302"/>
        <v>-6.4038176131981164E-2</v>
      </c>
      <c r="BI491" s="32">
        <f t="shared" si="303"/>
        <v>0.19369510563288422</v>
      </c>
      <c r="BJ491" s="32">
        <f t="shared" si="281"/>
        <v>0.12965692950090307</v>
      </c>
      <c r="BK491" s="457">
        <f t="shared" si="304"/>
        <v>2.4629476847574407</v>
      </c>
    </row>
    <row r="492" spans="1:63" ht="15">
      <c r="A492" s="119"/>
      <c r="B492" s="480">
        <f>Input!B509</f>
        <v>38474</v>
      </c>
      <c r="C492" s="481">
        <v>2</v>
      </c>
      <c r="D492" s="481">
        <f t="shared" si="283"/>
        <v>5</v>
      </c>
      <c r="E492" s="481">
        <f t="shared" si="284"/>
        <v>2</v>
      </c>
      <c r="F492" s="481">
        <f t="shared" si="285"/>
        <v>122</v>
      </c>
      <c r="G492" s="432">
        <v>0</v>
      </c>
      <c r="H492" s="455">
        <v>15.65</v>
      </c>
      <c r="I492" s="455">
        <v>9.8000000000000007</v>
      </c>
      <c r="J492" s="455">
        <v>1.78</v>
      </c>
      <c r="K492" s="485"/>
      <c r="L492" s="434">
        <v>99</v>
      </c>
      <c r="M492" s="455">
        <v>88</v>
      </c>
      <c r="N492" s="484">
        <f>Weather!M493</f>
        <v>11.4</v>
      </c>
      <c r="O492" s="481">
        <f t="shared" si="305"/>
        <v>1</v>
      </c>
      <c r="P492" s="4">
        <f t="shared" si="316"/>
        <v>0.1468710709433419</v>
      </c>
      <c r="Q492" s="169">
        <f t="shared" si="286"/>
        <v>1.7780336591807981</v>
      </c>
      <c r="R492" s="169">
        <f t="shared" si="287"/>
        <v>1.2116020265985501</v>
      </c>
      <c r="S492" s="169">
        <f t="shared" si="288"/>
        <v>1.5646696200791024</v>
      </c>
      <c r="T492" s="169">
        <f t="shared" si="289"/>
        <v>1.1994860063325645</v>
      </c>
      <c r="U492" s="169">
        <f t="shared" si="278"/>
        <v>1.3820778132058336</v>
      </c>
      <c r="V492" s="169">
        <f t="shared" si="279"/>
        <v>4.7282787155645149E-2</v>
      </c>
      <c r="W492" s="439">
        <f t="shared" si="280"/>
        <v>11.777057494885039</v>
      </c>
      <c r="X492" s="439">
        <f t="shared" si="290"/>
        <v>11.777057494885039</v>
      </c>
      <c r="Y492" s="169"/>
      <c r="Z492" s="119" t="str">
        <f t="shared" si="291"/>
        <v/>
      </c>
      <c r="AA492" s="4" t="str">
        <f t="shared" si="292"/>
        <v/>
      </c>
      <c r="AB492" s="466"/>
      <c r="AC492" s="466"/>
      <c r="AD492" s="466"/>
      <c r="AE492" s="466"/>
      <c r="AF492" s="466"/>
      <c r="AG492" s="466"/>
      <c r="AH492" s="466"/>
      <c r="AI492" s="466"/>
      <c r="AJ492" s="466"/>
      <c r="AK492" s="466"/>
      <c r="AL492" s="466"/>
      <c r="AM492" s="462">
        <f t="shared" si="282"/>
        <v>122</v>
      </c>
      <c r="AN492" s="32">
        <f t="shared" si="306"/>
        <v>0.98333628519418981</v>
      </c>
      <c r="AO492" s="32">
        <f t="shared" si="307"/>
        <v>0.26664131568546878</v>
      </c>
      <c r="AP492" s="32">
        <f t="shared" si="308"/>
        <v>1.8391070867825916</v>
      </c>
      <c r="AQ492" s="32">
        <f t="shared" si="309"/>
        <v>14.049743219365668</v>
      </c>
      <c r="AR492" s="32">
        <f t="shared" si="310"/>
        <v>37.143246326569709</v>
      </c>
      <c r="AS492" s="32">
        <f t="shared" si="293"/>
        <v>27.884177882282415</v>
      </c>
      <c r="AT492" s="32">
        <f t="shared" si="294"/>
        <v>0</v>
      </c>
      <c r="AU492" s="32">
        <f t="shared" si="295"/>
        <v>0.3</v>
      </c>
      <c r="AV492" s="32">
        <f t="shared" si="296"/>
        <v>5.5000000000000049E-2</v>
      </c>
      <c r="AW492" s="32">
        <f t="shared" si="297"/>
        <v>1.7780336591807981</v>
      </c>
      <c r="AX492" s="32">
        <f t="shared" si="298"/>
        <v>1.2116020265985501</v>
      </c>
      <c r="AY492" s="32">
        <f t="shared" si="299"/>
        <v>1.3820778132058336</v>
      </c>
      <c r="AZ492" s="32">
        <f t="shared" si="311"/>
        <v>0.17541347218306616</v>
      </c>
      <c r="BA492" s="32">
        <f t="shared" si="300"/>
        <v>-0.31593601675866534</v>
      </c>
      <c r="BB492" s="32">
        <f t="shared" si="312"/>
        <v>-0.31593601675866534</v>
      </c>
      <c r="BC492" s="32">
        <f t="shared" si="301"/>
        <v>12.725000000000001</v>
      </c>
      <c r="BD492" s="32">
        <v>0</v>
      </c>
      <c r="BE492" s="32">
        <f t="shared" si="313"/>
        <v>1.4948178428896741</v>
      </c>
      <c r="BF492" s="32">
        <f t="shared" si="314"/>
        <v>0.11274002968384056</v>
      </c>
      <c r="BG492" s="32">
        <f t="shared" si="315"/>
        <v>9.6457372269808356E-2</v>
      </c>
      <c r="BH492" s="32">
        <f t="shared" si="302"/>
        <v>-6.0892909614043096E-2</v>
      </c>
      <c r="BI492" s="32">
        <f t="shared" si="303"/>
        <v>0.20776398055738499</v>
      </c>
      <c r="BJ492" s="32">
        <f t="shared" si="281"/>
        <v>0.1468710709433419</v>
      </c>
      <c r="BK492" s="457">
        <f t="shared" si="304"/>
        <v>2.5743951927948059</v>
      </c>
    </row>
    <row r="493" spans="1:63" ht="15">
      <c r="A493" s="119"/>
      <c r="B493" s="480">
        <f>Input!B510</f>
        <v>38475</v>
      </c>
      <c r="C493" s="481">
        <v>2</v>
      </c>
      <c r="D493" s="481">
        <f t="shared" si="283"/>
        <v>5</v>
      </c>
      <c r="E493" s="481">
        <f t="shared" si="284"/>
        <v>3</v>
      </c>
      <c r="F493" s="481">
        <f t="shared" si="285"/>
        <v>123</v>
      </c>
      <c r="G493" s="431">
        <v>23.76</v>
      </c>
      <c r="H493" s="455">
        <v>15.85</v>
      </c>
      <c r="I493" s="455">
        <v>9.3000000000000007</v>
      </c>
      <c r="J493" s="455">
        <v>2.39</v>
      </c>
      <c r="K493" s="485"/>
      <c r="L493" s="433">
        <v>100</v>
      </c>
      <c r="M493" s="455">
        <v>88</v>
      </c>
      <c r="N493" s="484">
        <f>Weather!M494</f>
        <v>0</v>
      </c>
      <c r="O493" s="481" t="str">
        <f t="shared" si="305"/>
        <v/>
      </c>
      <c r="P493" s="4">
        <f t="shared" si="316"/>
        <v>2.7175793432871416</v>
      </c>
      <c r="Q493" s="169">
        <f t="shared" si="286"/>
        <v>1.800938636574188</v>
      </c>
      <c r="R493" s="169">
        <f t="shared" si="287"/>
        <v>1.1715363388062088</v>
      </c>
      <c r="S493" s="169">
        <f t="shared" si="288"/>
        <v>1.5848260001852854</v>
      </c>
      <c r="T493" s="169">
        <f t="shared" si="289"/>
        <v>1.1715363388062088</v>
      </c>
      <c r="U493" s="169">
        <f t="shared" si="278"/>
        <v>1.3781811694957471</v>
      </c>
      <c r="V493" s="169">
        <f t="shared" si="279"/>
        <v>4.7119301816496727E-2</v>
      </c>
      <c r="W493" s="439">
        <f t="shared" si="280"/>
        <v>11.734323449273381</v>
      </c>
      <c r="X493" s="439">
        <f t="shared" si="290"/>
        <v>11.734323449273381</v>
      </c>
      <c r="Y493" s="169"/>
      <c r="Z493" s="119" t="str">
        <f t="shared" si="291"/>
        <v/>
      </c>
      <c r="AA493" s="4" t="str">
        <f t="shared" si="292"/>
        <v/>
      </c>
      <c r="AB493" s="466"/>
      <c r="AC493" s="466"/>
      <c r="AD493" s="466"/>
      <c r="AE493" s="466"/>
      <c r="AF493" s="466"/>
      <c r="AG493" s="466"/>
      <c r="AH493" s="466"/>
      <c r="AI493" s="466"/>
      <c r="AJ493" s="466"/>
      <c r="AK493" s="466"/>
      <c r="AL493" s="466"/>
      <c r="AM493" s="462">
        <f t="shared" si="282"/>
        <v>123</v>
      </c>
      <c r="AN493" s="32">
        <f t="shared" si="306"/>
        <v>0.98284845419886802</v>
      </c>
      <c r="AO493" s="32">
        <f t="shared" si="307"/>
        <v>0.27194026552081696</v>
      </c>
      <c r="AP493" s="32">
        <f t="shared" si="308"/>
        <v>1.8448517300837513</v>
      </c>
      <c r="AQ493" s="32">
        <f t="shared" si="309"/>
        <v>14.093629061494276</v>
      </c>
      <c r="AR493" s="32">
        <f t="shared" si="310"/>
        <v>37.330885582990128</v>
      </c>
      <c r="AS493" s="32">
        <f t="shared" si="293"/>
        <v>28.025042424862349</v>
      </c>
      <c r="AT493" s="32">
        <f t="shared" si="294"/>
        <v>18.295200000000001</v>
      </c>
      <c r="AU493" s="32">
        <f t="shared" si="295"/>
        <v>0.84781316794444439</v>
      </c>
      <c r="AV493" s="32">
        <f t="shared" si="296"/>
        <v>0.7945477767250001</v>
      </c>
      <c r="AW493" s="32">
        <f t="shared" si="297"/>
        <v>1.800938636574188</v>
      </c>
      <c r="AX493" s="32">
        <f t="shared" si="298"/>
        <v>1.1715363388062088</v>
      </c>
      <c r="AY493" s="32">
        <f t="shared" si="299"/>
        <v>1.3781811694957471</v>
      </c>
      <c r="AZ493" s="32">
        <f t="shared" si="311"/>
        <v>0.17564565438627233</v>
      </c>
      <c r="BA493" s="32">
        <f t="shared" si="300"/>
        <v>-4.5613005313020647</v>
      </c>
      <c r="BB493" s="32">
        <f t="shared" si="312"/>
        <v>13.733899468697937</v>
      </c>
      <c r="BC493" s="32">
        <f t="shared" si="301"/>
        <v>12.574999999999999</v>
      </c>
      <c r="BD493" s="32">
        <v>0</v>
      </c>
      <c r="BE493" s="32">
        <f t="shared" si="313"/>
        <v>1.4862374876901985</v>
      </c>
      <c r="BF493" s="32">
        <f t="shared" si="314"/>
        <v>0.10805631819445138</v>
      </c>
      <c r="BG493" s="32">
        <f t="shared" si="315"/>
        <v>9.5627636784791123E-2</v>
      </c>
      <c r="BH493" s="32">
        <f t="shared" si="302"/>
        <v>2.4661803064356604</v>
      </c>
      <c r="BI493" s="32">
        <f t="shared" si="303"/>
        <v>0.25139903685148091</v>
      </c>
      <c r="BJ493" s="32">
        <f t="shared" si="281"/>
        <v>2.7175793432871416</v>
      </c>
      <c r="BK493" s="457">
        <f t="shared" si="304"/>
        <v>2.7243755928412043</v>
      </c>
    </row>
    <row r="494" spans="1:63" ht="15">
      <c r="A494" s="119"/>
      <c r="B494" s="480">
        <f>Input!B511</f>
        <v>38476</v>
      </c>
      <c r="C494" s="481">
        <v>2</v>
      </c>
      <c r="D494" s="481">
        <f t="shared" si="283"/>
        <v>5</v>
      </c>
      <c r="E494" s="481">
        <f t="shared" si="284"/>
        <v>4</v>
      </c>
      <c r="F494" s="481">
        <f t="shared" si="285"/>
        <v>124</v>
      </c>
      <c r="G494" s="431">
        <v>25.056000000000001</v>
      </c>
      <c r="H494" s="455">
        <v>17.18</v>
      </c>
      <c r="I494" s="455">
        <v>10.7</v>
      </c>
      <c r="J494" s="455">
        <v>1.96</v>
      </c>
      <c r="K494" s="485"/>
      <c r="L494" s="433">
        <v>100</v>
      </c>
      <c r="M494" s="455">
        <v>74</v>
      </c>
      <c r="N494" s="484">
        <f>Weather!M495</f>
        <v>4.4000000000000004</v>
      </c>
      <c r="O494" s="481" t="str">
        <f t="shared" si="305"/>
        <v/>
      </c>
      <c r="P494" s="4">
        <f t="shared" si="316"/>
        <v>3.2908053176774832</v>
      </c>
      <c r="Q494" s="169">
        <f t="shared" si="286"/>
        <v>1.9599436845329137</v>
      </c>
      <c r="R494" s="169">
        <f t="shared" si="287"/>
        <v>1.2867648881638445</v>
      </c>
      <c r="S494" s="169">
        <f t="shared" si="288"/>
        <v>1.450358326554356</v>
      </c>
      <c r="T494" s="169">
        <f t="shared" si="289"/>
        <v>1.2867648881638445</v>
      </c>
      <c r="U494" s="169">
        <f t="shared" si="278"/>
        <v>1.3685616073591003</v>
      </c>
      <c r="V494" s="169">
        <f t="shared" si="279"/>
        <v>4.6713721614834218E-2</v>
      </c>
      <c r="W494" s="439">
        <f t="shared" si="280"/>
        <v>11.628370606548591</v>
      </c>
      <c r="X494" s="439">
        <f t="shared" si="290"/>
        <v>11.628370606548591</v>
      </c>
      <c r="Y494" s="169"/>
      <c r="Z494" s="119" t="str">
        <f t="shared" si="291"/>
        <v/>
      </c>
      <c r="AA494" s="4" t="str">
        <f t="shared" si="292"/>
        <v/>
      </c>
      <c r="AB494" s="466"/>
      <c r="AC494" s="466"/>
      <c r="AD494" s="466"/>
      <c r="AE494" s="466"/>
      <c r="AF494" s="466"/>
      <c r="AG494" s="466"/>
      <c r="AH494" s="466"/>
      <c r="AI494" s="466"/>
      <c r="AJ494" s="466"/>
      <c r="AK494" s="466"/>
      <c r="AL494" s="466"/>
      <c r="AM494" s="462">
        <f t="shared" si="282"/>
        <v>124</v>
      </c>
      <c r="AN494" s="32">
        <f t="shared" si="306"/>
        <v>0.98236570557672775</v>
      </c>
      <c r="AO494" s="32">
        <f t="shared" si="307"/>
        <v>0.27715863358653975</v>
      </c>
      <c r="AP494" s="32">
        <f t="shared" si="308"/>
        <v>1.8505347487041148</v>
      </c>
      <c r="AQ494" s="32">
        <f t="shared" si="309"/>
        <v>14.137044125739754</v>
      </c>
      <c r="AR494" s="32">
        <f t="shared" si="310"/>
        <v>37.515154379689164</v>
      </c>
      <c r="AS494" s="32">
        <f t="shared" si="293"/>
        <v>28.163376695920253</v>
      </c>
      <c r="AT494" s="32">
        <f t="shared" si="294"/>
        <v>19.293120000000002</v>
      </c>
      <c r="AU494" s="32">
        <f t="shared" si="295"/>
        <v>0.8896660464591809</v>
      </c>
      <c r="AV494" s="32">
        <f t="shared" si="296"/>
        <v>0.85104916271989428</v>
      </c>
      <c r="AW494" s="32">
        <f t="shared" si="297"/>
        <v>1.9599436845329137</v>
      </c>
      <c r="AX494" s="32">
        <f t="shared" si="298"/>
        <v>1.2867648881638445</v>
      </c>
      <c r="AY494" s="32">
        <f t="shared" si="299"/>
        <v>1.3685616073591003</v>
      </c>
      <c r="AZ494" s="32">
        <f t="shared" si="311"/>
        <v>0.17622024696489993</v>
      </c>
      <c r="BA494" s="32">
        <f t="shared" si="300"/>
        <v>-4.9958634816921217</v>
      </c>
      <c r="BB494" s="32">
        <f t="shared" si="312"/>
        <v>14.297256518307879</v>
      </c>
      <c r="BC494" s="32">
        <f t="shared" si="301"/>
        <v>13.94</v>
      </c>
      <c r="BD494" s="32">
        <v>0</v>
      </c>
      <c r="BE494" s="32">
        <f t="shared" si="313"/>
        <v>1.6233542863483792</v>
      </c>
      <c r="BF494" s="32">
        <f t="shared" si="314"/>
        <v>0.25479267898927893</v>
      </c>
      <c r="BG494" s="32">
        <f t="shared" si="315"/>
        <v>0.10340703489438488</v>
      </c>
      <c r="BH494" s="32">
        <f t="shared" si="302"/>
        <v>2.8024123935305782</v>
      </c>
      <c r="BI494" s="32">
        <f t="shared" si="303"/>
        <v>0.48839292414690488</v>
      </c>
      <c r="BJ494" s="32">
        <f t="shared" si="281"/>
        <v>3.2908053176774832</v>
      </c>
      <c r="BK494" s="457">
        <f t="shared" si="304"/>
        <v>2.8455283377657148</v>
      </c>
    </row>
    <row r="495" spans="1:63" ht="15">
      <c r="A495" s="119"/>
      <c r="B495" s="480">
        <f>Input!B512</f>
        <v>38477</v>
      </c>
      <c r="C495" s="481">
        <v>2</v>
      </c>
      <c r="D495" s="481">
        <f t="shared" si="283"/>
        <v>5</v>
      </c>
      <c r="E495" s="481">
        <f t="shared" si="284"/>
        <v>5</v>
      </c>
      <c r="F495" s="481">
        <f t="shared" si="285"/>
        <v>125</v>
      </c>
      <c r="G495" s="431">
        <v>9.5039999999999996</v>
      </c>
      <c r="H495" s="455">
        <v>17.45</v>
      </c>
      <c r="I495" s="455">
        <v>10.7</v>
      </c>
      <c r="J495" s="455">
        <v>2.08</v>
      </c>
      <c r="K495" s="485"/>
      <c r="L495" s="433">
        <v>87</v>
      </c>
      <c r="M495" s="455">
        <v>74</v>
      </c>
      <c r="N495" s="484">
        <f>Weather!M496</f>
        <v>0</v>
      </c>
      <c r="O495" s="481" t="str">
        <f t="shared" si="305"/>
        <v/>
      </c>
      <c r="P495" s="4">
        <f t="shared" si="316"/>
        <v>1.9868260661321759</v>
      </c>
      <c r="Q495" s="169">
        <f t="shared" si="286"/>
        <v>1.9936833796158651</v>
      </c>
      <c r="R495" s="169">
        <f t="shared" si="287"/>
        <v>1.2867648881638445</v>
      </c>
      <c r="S495" s="169">
        <f t="shared" si="288"/>
        <v>1.4753257009157401</v>
      </c>
      <c r="T495" s="169">
        <f t="shared" si="289"/>
        <v>1.1194854527025446</v>
      </c>
      <c r="U495" s="169">
        <f t="shared" si="278"/>
        <v>1.2974055768091424</v>
      </c>
      <c r="V495" s="169">
        <f t="shared" si="279"/>
        <v>4.3622018869445632E-2</v>
      </c>
      <c r="W495" s="439">
        <f t="shared" si="280"/>
        <v>10.823654749435697</v>
      </c>
      <c r="X495" s="439">
        <f t="shared" si="290"/>
        <v>10.823654749435697</v>
      </c>
      <c r="Y495" s="169"/>
      <c r="Z495" s="119" t="str">
        <f t="shared" si="291"/>
        <v/>
      </c>
      <c r="AA495" s="4" t="str">
        <f t="shared" si="292"/>
        <v/>
      </c>
      <c r="AB495" s="466"/>
      <c r="AC495" s="466"/>
      <c r="AD495" s="466"/>
      <c r="AE495" s="466"/>
      <c r="AF495" s="466"/>
      <c r="AG495" s="466"/>
      <c r="AH495" s="466"/>
      <c r="AI495" s="466"/>
      <c r="AJ495" s="466"/>
      <c r="AK495" s="466"/>
      <c r="AL495" s="466"/>
      <c r="AM495" s="462">
        <f t="shared" si="282"/>
        <v>125</v>
      </c>
      <c r="AN495" s="32">
        <f t="shared" si="306"/>
        <v>0.98188818237660425</v>
      </c>
      <c r="AO495" s="32">
        <f t="shared" si="307"/>
        <v>0.28229487356755767</v>
      </c>
      <c r="AP495" s="32">
        <f t="shared" si="308"/>
        <v>1.8561539401272209</v>
      </c>
      <c r="AQ495" s="32">
        <f t="shared" si="309"/>
        <v>14.179971586115766</v>
      </c>
      <c r="AR495" s="32">
        <f t="shared" si="310"/>
        <v>37.696016142796594</v>
      </c>
      <c r="AS495" s="32">
        <f t="shared" si="293"/>
        <v>28.299153238720262</v>
      </c>
      <c r="AT495" s="32">
        <f t="shared" si="294"/>
        <v>7.3180800000000001</v>
      </c>
      <c r="AU495" s="32">
        <f t="shared" si="295"/>
        <v>0.33584043733846319</v>
      </c>
      <c r="AV495" s="32">
        <f t="shared" si="296"/>
        <v>0.10338459040692538</v>
      </c>
      <c r="AW495" s="32">
        <f t="shared" si="297"/>
        <v>1.9936833796158651</v>
      </c>
      <c r="AX495" s="32">
        <f t="shared" si="298"/>
        <v>1.2867648881638445</v>
      </c>
      <c r="AY495" s="32">
        <f t="shared" si="299"/>
        <v>1.2974055768091424</v>
      </c>
      <c r="AZ495" s="32">
        <f t="shared" si="311"/>
        <v>0.18053480221233478</v>
      </c>
      <c r="BA495" s="32">
        <f t="shared" si="300"/>
        <v>-0.62296180370720822</v>
      </c>
      <c r="BB495" s="32">
        <f t="shared" si="312"/>
        <v>6.6951181962927917</v>
      </c>
      <c r="BC495" s="32">
        <f t="shared" si="301"/>
        <v>14.074999999999999</v>
      </c>
      <c r="BD495" s="32">
        <v>0</v>
      </c>
      <c r="BE495" s="32">
        <f t="shared" si="313"/>
        <v>1.6402241338898547</v>
      </c>
      <c r="BF495" s="32">
        <f t="shared" si="314"/>
        <v>0.34281855708071229</v>
      </c>
      <c r="BG495" s="32">
        <f t="shared" si="315"/>
        <v>0.10420486250927824</v>
      </c>
      <c r="BH495" s="32">
        <f t="shared" si="302"/>
        <v>1.3010645755364236</v>
      </c>
      <c r="BI495" s="32">
        <f t="shared" si="303"/>
        <v>0.6857614905957522</v>
      </c>
      <c r="BJ495" s="32">
        <f t="shared" si="281"/>
        <v>1.9868260661321759</v>
      </c>
      <c r="BK495" s="457">
        <f t="shared" si="304"/>
        <v>2.9306184961320652</v>
      </c>
    </row>
    <row r="496" spans="1:63" ht="15">
      <c r="A496" s="119"/>
      <c r="B496" s="480">
        <f>Input!B513</f>
        <v>38478</v>
      </c>
      <c r="C496" s="481">
        <v>2</v>
      </c>
      <c r="D496" s="481">
        <f t="shared" si="283"/>
        <v>5</v>
      </c>
      <c r="E496" s="481">
        <f t="shared" si="284"/>
        <v>6</v>
      </c>
      <c r="F496" s="481">
        <f t="shared" si="285"/>
        <v>126</v>
      </c>
      <c r="G496" s="431">
        <v>21.2544</v>
      </c>
      <c r="H496" s="455">
        <v>17.649999999999999</v>
      </c>
      <c r="I496" s="455">
        <v>10.5</v>
      </c>
      <c r="J496" s="455">
        <v>1.99</v>
      </c>
      <c r="K496" s="485"/>
      <c r="L496" s="433">
        <v>100</v>
      </c>
      <c r="M496" s="455">
        <v>75</v>
      </c>
      <c r="N496" s="484">
        <f>Weather!M497</f>
        <v>0</v>
      </c>
      <c r="O496" s="481" t="str">
        <f t="shared" si="305"/>
        <v/>
      </c>
      <c r="P496" s="4">
        <f t="shared" si="316"/>
        <v>2.9434706790229859</v>
      </c>
      <c r="Q496" s="169">
        <f t="shared" si="286"/>
        <v>2.0190025969869776</v>
      </c>
      <c r="R496" s="169">
        <f t="shared" si="287"/>
        <v>1.2697168912941836</v>
      </c>
      <c r="S496" s="169">
        <f t="shared" si="288"/>
        <v>1.5142519477402332</v>
      </c>
      <c r="T496" s="169">
        <f t="shared" si="289"/>
        <v>1.2697168912941836</v>
      </c>
      <c r="U496" s="169">
        <f t="shared" si="278"/>
        <v>1.3919844195172084</v>
      </c>
      <c r="V496" s="169">
        <f t="shared" si="279"/>
        <v>4.7696356375893353E-2</v>
      </c>
      <c r="W496" s="439">
        <f t="shared" si="280"/>
        <v>11.885227410163171</v>
      </c>
      <c r="X496" s="439">
        <f t="shared" si="290"/>
        <v>11.885227410163171</v>
      </c>
      <c r="Y496" s="169"/>
      <c r="Z496" s="119" t="str">
        <f t="shared" si="291"/>
        <v/>
      </c>
      <c r="AA496" s="4" t="str">
        <f t="shared" si="292"/>
        <v/>
      </c>
      <c r="AB496" s="466"/>
      <c r="AC496" s="466"/>
      <c r="AD496" s="466"/>
      <c r="AE496" s="466"/>
      <c r="AF496" s="466"/>
      <c r="AG496" s="466"/>
      <c r="AH496" s="466"/>
      <c r="AI496" s="466"/>
      <c r="AJ496" s="466"/>
      <c r="AK496" s="466"/>
      <c r="AL496" s="466"/>
      <c r="AM496" s="462">
        <f t="shared" si="282"/>
        <v>126</v>
      </c>
      <c r="AN496" s="32">
        <f t="shared" si="306"/>
        <v>0.98141602609892764</v>
      </c>
      <c r="AO496" s="32">
        <f t="shared" si="307"/>
        <v>0.28734746348511525</v>
      </c>
      <c r="AP496" s="32">
        <f t="shared" si="308"/>
        <v>1.8617070659928832</v>
      </c>
      <c r="AQ496" s="32">
        <f t="shared" si="309"/>
        <v>14.222394342810084</v>
      </c>
      <c r="AR496" s="32">
        <f t="shared" si="310"/>
        <v>37.873435582346566</v>
      </c>
      <c r="AS496" s="32">
        <f t="shared" si="293"/>
        <v>28.432345560379215</v>
      </c>
      <c r="AT496" s="32">
        <f t="shared" si="294"/>
        <v>16.365888000000002</v>
      </c>
      <c r="AU496" s="32">
        <f t="shared" si="295"/>
        <v>0.74754296844289347</v>
      </c>
      <c r="AV496" s="32">
        <f t="shared" si="296"/>
        <v>0.65918300739790625</v>
      </c>
      <c r="AW496" s="32">
        <f t="shared" si="297"/>
        <v>2.0190025969869776</v>
      </c>
      <c r="AX496" s="32">
        <f t="shared" si="298"/>
        <v>1.2697168912941836</v>
      </c>
      <c r="AY496" s="32">
        <f t="shared" si="299"/>
        <v>1.3919844195172084</v>
      </c>
      <c r="AZ496" s="32">
        <f t="shared" si="311"/>
        <v>0.1748246549192729</v>
      </c>
      <c r="BA496" s="32">
        <f t="shared" si="300"/>
        <v>-3.8467788895779771</v>
      </c>
      <c r="BB496" s="32">
        <f t="shared" si="312"/>
        <v>12.519109110422026</v>
      </c>
      <c r="BC496" s="32">
        <f t="shared" si="301"/>
        <v>14.074999999999999</v>
      </c>
      <c r="BD496" s="32">
        <v>0</v>
      </c>
      <c r="BE496" s="32">
        <f t="shared" si="313"/>
        <v>1.6443597441405806</v>
      </c>
      <c r="BF496" s="32">
        <f t="shared" si="314"/>
        <v>0.2523753246233722</v>
      </c>
      <c r="BG496" s="32">
        <f t="shared" si="315"/>
        <v>0.10420486250927824</v>
      </c>
      <c r="BH496" s="32">
        <f t="shared" si="302"/>
        <v>2.4558958102693755</v>
      </c>
      <c r="BI496" s="32">
        <f t="shared" si="303"/>
        <v>0.48757486875361039</v>
      </c>
      <c r="BJ496" s="32">
        <f t="shared" si="281"/>
        <v>2.9434706790229859</v>
      </c>
      <c r="BK496" s="457">
        <f t="shared" si="304"/>
        <v>3.0303979861125883</v>
      </c>
    </row>
    <row r="497" spans="1:63" ht="15">
      <c r="A497" s="119"/>
      <c r="B497" s="480">
        <f>Input!B514</f>
        <v>38479</v>
      </c>
      <c r="C497" s="481">
        <v>2</v>
      </c>
      <c r="D497" s="481">
        <f t="shared" si="283"/>
        <v>5</v>
      </c>
      <c r="E497" s="481">
        <f t="shared" si="284"/>
        <v>7</v>
      </c>
      <c r="F497" s="481">
        <f t="shared" si="285"/>
        <v>127</v>
      </c>
      <c r="G497" s="431">
        <v>25.401599999999998</v>
      </c>
      <c r="H497" s="455">
        <v>16.75</v>
      </c>
      <c r="I497" s="455">
        <v>13</v>
      </c>
      <c r="J497" s="455">
        <v>1.9</v>
      </c>
      <c r="K497" s="485"/>
      <c r="L497" s="433">
        <v>100</v>
      </c>
      <c r="M497" s="455">
        <v>78</v>
      </c>
      <c r="N497" s="484">
        <f>Weather!M498</f>
        <v>0</v>
      </c>
      <c r="O497" s="481" t="str">
        <f t="shared" si="305"/>
        <v/>
      </c>
      <c r="P497" s="4">
        <f t="shared" si="316"/>
        <v>3.3627214264420116</v>
      </c>
      <c r="Q497" s="169">
        <f t="shared" si="286"/>
        <v>1.9072420812994948</v>
      </c>
      <c r="R497" s="169">
        <f t="shared" si="287"/>
        <v>1.4977709027569757</v>
      </c>
      <c r="S497" s="169">
        <f t="shared" si="288"/>
        <v>1.487648823413606</v>
      </c>
      <c r="T497" s="169">
        <f t="shared" si="289"/>
        <v>1.4977709027569757</v>
      </c>
      <c r="U497" s="169">
        <f t="shared" si="278"/>
        <v>1.4927098630852909</v>
      </c>
      <c r="V497" s="169">
        <f t="shared" si="279"/>
        <v>5.174168348696058E-2</v>
      </c>
      <c r="W497" s="439">
        <f t="shared" si="280"/>
        <v>12.948266603772948</v>
      </c>
      <c r="X497" s="439">
        <f t="shared" si="290"/>
        <v>12.948266603772948</v>
      </c>
      <c r="Y497" s="169"/>
      <c r="Z497" s="119" t="str">
        <f t="shared" si="291"/>
        <v/>
      </c>
      <c r="AA497" s="4" t="str">
        <f t="shared" si="292"/>
        <v/>
      </c>
      <c r="AB497" s="466"/>
      <c r="AC497" s="466"/>
      <c r="AD497" s="466"/>
      <c r="AE497" s="466"/>
      <c r="AF497" s="466"/>
      <c r="AG497" s="466"/>
      <c r="AH497" s="466"/>
      <c r="AI497" s="466"/>
      <c r="AJ497" s="466"/>
      <c r="AK497" s="466"/>
      <c r="AL497" s="466"/>
      <c r="AM497" s="462">
        <f t="shared" si="282"/>
        <v>127</v>
      </c>
      <c r="AN497" s="32">
        <f t="shared" si="306"/>
        <v>0.980949376653793</v>
      </c>
      <c r="AO497" s="32">
        <f t="shared" si="307"/>
        <v>0.29231490614777594</v>
      </c>
      <c r="AP497" s="32">
        <f t="shared" si="308"/>
        <v>1.8671918534110354</v>
      </c>
      <c r="AQ497" s="32">
        <f t="shared" si="309"/>
        <v>14.264295032221629</v>
      </c>
      <c r="AR497" s="32">
        <f t="shared" si="310"/>
        <v>38.047378661078788</v>
      </c>
      <c r="AS497" s="32">
        <f t="shared" si="293"/>
        <v>28.562928108445071</v>
      </c>
      <c r="AT497" s="32">
        <f t="shared" si="294"/>
        <v>19.559231999999998</v>
      </c>
      <c r="AU497" s="32">
        <f t="shared" si="295"/>
        <v>0.889320587285644</v>
      </c>
      <c r="AV497" s="32">
        <f t="shared" si="296"/>
        <v>0.85058279283561944</v>
      </c>
      <c r="AW497" s="32">
        <f t="shared" si="297"/>
        <v>1.9072420812994948</v>
      </c>
      <c r="AX497" s="32">
        <f t="shared" si="298"/>
        <v>1.4977709027569757</v>
      </c>
      <c r="AY497" s="32">
        <f t="shared" si="299"/>
        <v>1.4927098630852911</v>
      </c>
      <c r="AZ497" s="32">
        <f t="shared" si="311"/>
        <v>0.16895289152846896</v>
      </c>
      <c r="BA497" s="32">
        <f t="shared" si="300"/>
        <v>-4.8474066823178301</v>
      </c>
      <c r="BB497" s="32">
        <f t="shared" si="312"/>
        <v>14.711825317682168</v>
      </c>
      <c r="BC497" s="32">
        <f t="shared" si="301"/>
        <v>14.875</v>
      </c>
      <c r="BD497" s="32">
        <v>0</v>
      </c>
      <c r="BE497" s="32">
        <f t="shared" si="313"/>
        <v>1.7025064920282351</v>
      </c>
      <c r="BF497" s="32">
        <f t="shared" si="314"/>
        <v>0.20979662894294404</v>
      </c>
      <c r="BG497" s="32">
        <f t="shared" si="315"/>
        <v>0.10904096115422553</v>
      </c>
      <c r="BH497" s="32">
        <f t="shared" si="302"/>
        <v>2.9817041525552406</v>
      </c>
      <c r="BI497" s="32">
        <f t="shared" si="303"/>
        <v>0.38101727388677098</v>
      </c>
      <c r="BJ497" s="32">
        <f t="shared" si="281"/>
        <v>3.3627214264420116</v>
      </c>
      <c r="BK497" s="457">
        <f t="shared" si="304"/>
        <v>2.2600483093547759</v>
      </c>
    </row>
    <row r="498" spans="1:63" ht="15">
      <c r="A498" s="119"/>
      <c r="B498" s="480">
        <f>Input!B515</f>
        <v>38480</v>
      </c>
      <c r="C498" s="481">
        <v>2</v>
      </c>
      <c r="D498" s="481">
        <f t="shared" si="283"/>
        <v>5</v>
      </c>
      <c r="E498" s="481">
        <f t="shared" si="284"/>
        <v>8</v>
      </c>
      <c r="F498" s="481">
        <f t="shared" si="285"/>
        <v>128</v>
      </c>
      <c r="G498" s="431">
        <v>10.281599999999999</v>
      </c>
      <c r="H498" s="455">
        <v>16.79</v>
      </c>
      <c r="I498" s="455">
        <v>11.4</v>
      </c>
      <c r="J498" s="455">
        <v>2</v>
      </c>
      <c r="K498" s="485"/>
      <c r="L498" s="433">
        <v>86</v>
      </c>
      <c r="M498" s="455">
        <v>86</v>
      </c>
      <c r="N498" s="484">
        <f>Weather!M499</f>
        <v>0</v>
      </c>
      <c r="O498" s="481" t="str">
        <f t="shared" si="305"/>
        <v/>
      </c>
      <c r="P498" s="4">
        <f t="shared" si="316"/>
        <v>1.8421522137245261</v>
      </c>
      <c r="Q498" s="169">
        <f t="shared" si="286"/>
        <v>1.9120916226962363</v>
      </c>
      <c r="R498" s="169">
        <f t="shared" si="287"/>
        <v>1.3480279711634873</v>
      </c>
      <c r="S498" s="169">
        <f t="shared" si="288"/>
        <v>1.6443987955187633</v>
      </c>
      <c r="T498" s="169">
        <f t="shared" si="289"/>
        <v>1.1593040552005991</v>
      </c>
      <c r="U498" s="169">
        <f t="shared" ref="U498:U561" si="317">IF(OR(S498="",T498=""),"",(S498+T498)/2)</f>
        <v>1.4018514253596812</v>
      </c>
      <c r="V498" s="169">
        <f t="shared" ref="V498:V561" si="318">IF(U498="","",LN(U498/0.6108)/17.27)</f>
        <v>4.8105356993740848E-2</v>
      </c>
      <c r="W498" s="439">
        <f t="shared" ref="W498:W561" si="319">IF(ISNUMBER(V498),237.3*(V498/(1-V498)),"")</f>
        <v>11.992294839019953</v>
      </c>
      <c r="X498" s="439">
        <f t="shared" si="290"/>
        <v>11.992294839019953</v>
      </c>
      <c r="Y498" s="169"/>
      <c r="Z498" s="119" t="str">
        <f t="shared" si="291"/>
        <v/>
      </c>
      <c r="AA498" s="4" t="str">
        <f t="shared" si="292"/>
        <v/>
      </c>
      <c r="AB498" s="466"/>
      <c r="AC498" s="466"/>
      <c r="AD498" s="466"/>
      <c r="AE498" s="466"/>
      <c r="AF498" s="466"/>
      <c r="AG498" s="466"/>
      <c r="AH498" s="466"/>
      <c r="AI498" s="466"/>
      <c r="AJ498" s="466"/>
      <c r="AK498" s="466"/>
      <c r="AL498" s="466"/>
      <c r="AM498" s="462">
        <f t="shared" si="282"/>
        <v>128</v>
      </c>
      <c r="AN498" s="32">
        <f t="shared" si="306"/>
        <v>0.98048837231950192</v>
      </c>
      <c r="AO498" s="32">
        <f t="shared" si="307"/>
        <v>0.29719572959507262</v>
      </c>
      <c r="AP498" s="32">
        <f t="shared" si="308"/>
        <v>1.8726059964499007</v>
      </c>
      <c r="AQ498" s="32">
        <f t="shared" si="309"/>
        <v>14.305656038329245</v>
      </c>
      <c r="AR498" s="32">
        <f t="shared" si="310"/>
        <v>38.217812563062012</v>
      </c>
      <c r="AS498" s="32">
        <f t="shared" si="293"/>
        <v>28.690876247341915</v>
      </c>
      <c r="AT498" s="32">
        <f t="shared" si="294"/>
        <v>7.9168319999999994</v>
      </c>
      <c r="AU498" s="32">
        <f t="shared" si="295"/>
        <v>0.3583578246744048</v>
      </c>
      <c r="AV498" s="32">
        <f t="shared" si="296"/>
        <v>0.13378306331044654</v>
      </c>
      <c r="AW498" s="32">
        <f t="shared" si="297"/>
        <v>1.9120916226962363</v>
      </c>
      <c r="AX498" s="32">
        <f t="shared" si="298"/>
        <v>1.3480279711634873</v>
      </c>
      <c r="AY498" s="32">
        <f t="shared" si="299"/>
        <v>1.4018514253596812</v>
      </c>
      <c r="AZ498" s="32">
        <f t="shared" si="311"/>
        <v>0.17424027046037466</v>
      </c>
      <c r="BA498" s="32">
        <f t="shared" si="300"/>
        <v>-0.7780096478831996</v>
      </c>
      <c r="BB498" s="32">
        <f t="shared" si="312"/>
        <v>7.1388223521167999</v>
      </c>
      <c r="BC498" s="32">
        <f t="shared" si="301"/>
        <v>14.094999999999999</v>
      </c>
      <c r="BD498" s="32">
        <v>0</v>
      </c>
      <c r="BE498" s="32">
        <f t="shared" si="313"/>
        <v>1.6300597969298618</v>
      </c>
      <c r="BF498" s="32">
        <f t="shared" si="314"/>
        <v>0.22820837157018059</v>
      </c>
      <c r="BG498" s="32">
        <f t="shared" si="315"/>
        <v>0.10432350321143202</v>
      </c>
      <c r="BH498" s="32">
        <f t="shared" si="302"/>
        <v>1.3997898020820296</v>
      </c>
      <c r="BI498" s="32">
        <f t="shared" si="303"/>
        <v>0.44236241164249657</v>
      </c>
      <c r="BJ498" s="32">
        <f t="shared" ref="BJ498:BJ561" si="320">IF(BH498="","",IF(BI498="","",BH498+BI498))</f>
        <v>1.8421522137245261</v>
      </c>
      <c r="BK498" s="457">
        <f t="shared" si="304"/>
        <v>2.6567125471879449</v>
      </c>
    </row>
    <row r="499" spans="1:63" ht="15">
      <c r="A499" s="119"/>
      <c r="B499" s="480">
        <f>Input!B516</f>
        <v>38481</v>
      </c>
      <c r="C499" s="481">
        <v>2</v>
      </c>
      <c r="D499" s="481">
        <f t="shared" si="283"/>
        <v>5</v>
      </c>
      <c r="E499" s="481">
        <f t="shared" si="284"/>
        <v>9</v>
      </c>
      <c r="F499" s="481">
        <f t="shared" si="285"/>
        <v>129</v>
      </c>
      <c r="G499" s="431">
        <v>9.5039999999999996</v>
      </c>
      <c r="H499" s="455">
        <v>18.03</v>
      </c>
      <c r="I499" s="455">
        <v>9.5</v>
      </c>
      <c r="J499" s="455">
        <v>1.7</v>
      </c>
      <c r="K499" s="485"/>
      <c r="L499" s="433">
        <v>96</v>
      </c>
      <c r="M499" s="455">
        <v>86</v>
      </c>
      <c r="N499" s="484">
        <f>Weather!M500</f>
        <v>2.6</v>
      </c>
      <c r="O499" s="481" t="str">
        <f t="shared" si="305"/>
        <v/>
      </c>
      <c r="P499" s="4">
        <f t="shared" si="316"/>
        <v>1.6487735550847691</v>
      </c>
      <c r="Q499" s="169">
        <f t="shared" si="286"/>
        <v>2.0678857119107374</v>
      </c>
      <c r="R499" s="169">
        <f t="shared" si="287"/>
        <v>1.1874205365788533</v>
      </c>
      <c r="S499" s="169">
        <f t="shared" si="288"/>
        <v>1.7783817122432342</v>
      </c>
      <c r="T499" s="169">
        <f t="shared" si="289"/>
        <v>1.1399237151156991</v>
      </c>
      <c r="U499" s="169">
        <f t="shared" si="317"/>
        <v>1.4591527136794666</v>
      </c>
      <c r="V499" s="169">
        <f t="shared" si="318"/>
        <v>5.0425109426938036E-2</v>
      </c>
      <c r="W499" s="439">
        <f t="shared" si="319"/>
        <v>12.601300419592045</v>
      </c>
      <c r="X499" s="439">
        <f t="shared" si="290"/>
        <v>12.601300419592045</v>
      </c>
      <c r="Y499" s="169"/>
      <c r="Z499" s="119" t="str">
        <f t="shared" si="291"/>
        <v/>
      </c>
      <c r="AA499" s="4" t="str">
        <f t="shared" si="292"/>
        <v/>
      </c>
      <c r="AB499" s="466"/>
      <c r="AC499" s="466"/>
      <c r="AD499" s="466"/>
      <c r="AE499" s="466"/>
      <c r="AF499" s="466"/>
      <c r="AG499" s="466"/>
      <c r="AH499" s="466"/>
      <c r="AI499" s="466"/>
      <c r="AJ499" s="466"/>
      <c r="AK499" s="466"/>
      <c r="AL499" s="466"/>
      <c r="AM499" s="462">
        <f t="shared" ref="AM499:AM562" si="321">F499</f>
        <v>129</v>
      </c>
      <c r="AN499" s="32">
        <f t="shared" si="306"/>
        <v>0.98003314970158795</v>
      </c>
      <c r="AO499" s="32">
        <f t="shared" si="307"/>
        <v>0.30198848753368118</v>
      </c>
      <c r="AP499" s="32">
        <f t="shared" si="308"/>
        <v>1.8779471578026852</v>
      </c>
      <c r="AQ499" s="32">
        <f t="shared" si="309"/>
        <v>14.346459505424301</v>
      </c>
      <c r="AR499" s="32">
        <f t="shared" si="310"/>
        <v>38.384705662281036</v>
      </c>
      <c r="AS499" s="32">
        <f t="shared" si="293"/>
        <v>28.81616623478762</v>
      </c>
      <c r="AT499" s="32">
        <f t="shared" si="294"/>
        <v>7.3180800000000001</v>
      </c>
      <c r="AU499" s="32">
        <f t="shared" si="295"/>
        <v>0.32981486581398622</v>
      </c>
      <c r="AV499" s="32">
        <f t="shared" si="296"/>
        <v>9.5250068848881431E-2</v>
      </c>
      <c r="AW499" s="32">
        <f t="shared" si="297"/>
        <v>2.0678857119107374</v>
      </c>
      <c r="AX499" s="32">
        <f t="shared" si="298"/>
        <v>1.1874205365788533</v>
      </c>
      <c r="AY499" s="32">
        <f t="shared" si="299"/>
        <v>1.4591527136794666</v>
      </c>
      <c r="AZ499" s="32">
        <f t="shared" si="311"/>
        <v>0.17088644883357942</v>
      </c>
      <c r="BA499" s="32">
        <f t="shared" si="300"/>
        <v>-0.54119958198919338</v>
      </c>
      <c r="BB499" s="32">
        <f t="shared" si="312"/>
        <v>6.7768804180108067</v>
      </c>
      <c r="BC499" s="32">
        <f t="shared" si="301"/>
        <v>13.765000000000001</v>
      </c>
      <c r="BD499" s="32">
        <v>0</v>
      </c>
      <c r="BE499" s="32">
        <f t="shared" si="313"/>
        <v>1.6276531242447954</v>
      </c>
      <c r="BF499" s="32">
        <f t="shared" si="314"/>
        <v>0.16850041056532872</v>
      </c>
      <c r="BG499" s="32">
        <f t="shared" si="315"/>
        <v>0.10238055092978222</v>
      </c>
      <c r="BH499" s="32">
        <f t="shared" si="302"/>
        <v>1.3590960360818554</v>
      </c>
      <c r="BI499" s="32">
        <f t="shared" si="303"/>
        <v>0.28967751900291372</v>
      </c>
      <c r="BJ499" s="32">
        <f t="shared" si="320"/>
        <v>1.6487735550847691</v>
      </c>
      <c r="BK499" s="457">
        <f t="shared" si="304"/>
        <v>3.3220049530624416</v>
      </c>
    </row>
    <row r="500" spans="1:63" ht="15">
      <c r="A500" s="119"/>
      <c r="B500" s="480">
        <f>Input!B517</f>
        <v>38482</v>
      </c>
      <c r="C500" s="481">
        <v>2</v>
      </c>
      <c r="D500" s="481">
        <f t="shared" ref="D500:D563" si="322">MONTH(B500)</f>
        <v>5</v>
      </c>
      <c r="E500" s="481">
        <f t="shared" ref="E500:E563" si="323">DAY(B500)</f>
        <v>10</v>
      </c>
      <c r="F500" s="481">
        <f t="shared" ref="F500:F563" si="324">B500-DATE(YEAR(B500)-1,12,31)</f>
        <v>130</v>
      </c>
      <c r="G500" s="431">
        <v>19.440000000000001</v>
      </c>
      <c r="H500" s="455">
        <v>19.100000000000001</v>
      </c>
      <c r="I500" s="455">
        <v>12.9</v>
      </c>
      <c r="J500" s="455">
        <v>1.85</v>
      </c>
      <c r="K500" s="485"/>
      <c r="L500" s="433">
        <v>98</v>
      </c>
      <c r="M500" s="455">
        <v>77</v>
      </c>
      <c r="N500" s="484">
        <f>Weather!M501</f>
        <v>26</v>
      </c>
      <c r="O500" s="481">
        <f t="shared" si="305"/>
        <v>1</v>
      </c>
      <c r="P500" s="4">
        <f t="shared" si="316"/>
        <v>2.9498016282126498</v>
      </c>
      <c r="Q500" s="169">
        <f t="shared" si="286"/>
        <v>2.2111396340059919</v>
      </c>
      <c r="R500" s="169">
        <f t="shared" si="287"/>
        <v>1.4880015210641748</v>
      </c>
      <c r="S500" s="169">
        <f t="shared" si="288"/>
        <v>1.7025775181846139</v>
      </c>
      <c r="T500" s="169">
        <f t="shared" si="289"/>
        <v>1.4582414906428913</v>
      </c>
      <c r="U500" s="169">
        <f t="shared" si="317"/>
        <v>1.5804095044137525</v>
      </c>
      <c r="V500" s="169">
        <f t="shared" si="318"/>
        <v>5.5047463758187781E-2</v>
      </c>
      <c r="W500" s="439">
        <f t="shared" si="319"/>
        <v>13.823724101286729</v>
      </c>
      <c r="X500" s="439">
        <f t="shared" si="290"/>
        <v>13.823724101286729</v>
      </c>
      <c r="Y500" s="169"/>
      <c r="Z500" s="119" t="str">
        <f t="shared" si="291"/>
        <v/>
      </c>
      <c r="AA500" s="4" t="str">
        <f t="shared" si="292"/>
        <v/>
      </c>
      <c r="AB500" s="466"/>
      <c r="AC500" s="466"/>
      <c r="AD500" s="466"/>
      <c r="AE500" s="466"/>
      <c r="AF500" s="466"/>
      <c r="AG500" s="466"/>
      <c r="AH500" s="466"/>
      <c r="AI500" s="466"/>
      <c r="AJ500" s="466"/>
      <c r="AK500" s="466"/>
      <c r="AL500" s="466"/>
      <c r="AM500" s="462">
        <f t="shared" si="321"/>
        <v>130</v>
      </c>
      <c r="AN500" s="32">
        <f t="shared" si="306"/>
        <v>0.97958384369233742</v>
      </c>
      <c r="AO500" s="32">
        <f t="shared" si="307"/>
        <v>0.30669175976598817</v>
      </c>
      <c r="AP500" s="32">
        <f t="shared" si="308"/>
        <v>1.883212970636543</v>
      </c>
      <c r="AQ500" s="32">
        <f t="shared" si="309"/>
        <v>14.386687352235752</v>
      </c>
      <c r="AR500" s="32">
        <f t="shared" si="310"/>
        <v>38.54802749132584</v>
      </c>
      <c r="AS500" s="32">
        <f t="shared" si="293"/>
        <v>28.938775198288138</v>
      </c>
      <c r="AT500" s="32">
        <f t="shared" si="294"/>
        <v>14.968800000000002</v>
      </c>
      <c r="AU500" s="32">
        <f t="shared" si="295"/>
        <v>0.67176305378501189</v>
      </c>
      <c r="AV500" s="32">
        <f t="shared" si="296"/>
        <v>0.55688012260976616</v>
      </c>
      <c r="AW500" s="32">
        <f t="shared" si="297"/>
        <v>2.2111396340059919</v>
      </c>
      <c r="AX500" s="32">
        <f t="shared" si="298"/>
        <v>1.4880015210641748</v>
      </c>
      <c r="AY500" s="32">
        <f t="shared" si="299"/>
        <v>1.5804095044137521</v>
      </c>
      <c r="AZ500" s="32">
        <f t="shared" si="311"/>
        <v>0.16399992532243193</v>
      </c>
      <c r="BA500" s="32">
        <f t="shared" si="300"/>
        <v>-3.1303553950332028</v>
      </c>
      <c r="BB500" s="32">
        <f t="shared" si="312"/>
        <v>11.838444604966799</v>
      </c>
      <c r="BC500" s="32">
        <f t="shared" si="301"/>
        <v>16</v>
      </c>
      <c r="BD500" s="32">
        <v>0</v>
      </c>
      <c r="BE500" s="32">
        <f t="shared" si="313"/>
        <v>1.8495705775350832</v>
      </c>
      <c r="BF500" s="32">
        <f t="shared" si="314"/>
        <v>0.2691610731213312</v>
      </c>
      <c r="BG500" s="32">
        <f t="shared" si="315"/>
        <v>0.11616355545115212</v>
      </c>
      <c r="BH500" s="32">
        <f t="shared" si="302"/>
        <v>2.4882647826563491</v>
      </c>
      <c r="BI500" s="32">
        <f t="shared" si="303"/>
        <v>0.46153684555630076</v>
      </c>
      <c r="BJ500" s="32">
        <f t="shared" si="320"/>
        <v>2.9498016282126498</v>
      </c>
      <c r="BK500" s="457">
        <f t="shared" si="304"/>
        <v>3.0456251963065064</v>
      </c>
    </row>
    <row r="501" spans="1:63" ht="15">
      <c r="A501" s="119"/>
      <c r="B501" s="480">
        <f>Input!B518</f>
        <v>38483</v>
      </c>
      <c r="C501" s="481">
        <v>2</v>
      </c>
      <c r="D501" s="481">
        <f t="shared" si="322"/>
        <v>5</v>
      </c>
      <c r="E501" s="481">
        <f t="shared" si="323"/>
        <v>11</v>
      </c>
      <c r="F501" s="481">
        <f t="shared" si="324"/>
        <v>131</v>
      </c>
      <c r="G501" s="431">
        <v>26.438400000000001</v>
      </c>
      <c r="H501" s="455">
        <v>20.79</v>
      </c>
      <c r="I501" s="455">
        <v>12.9</v>
      </c>
      <c r="J501" s="455">
        <v>1.2</v>
      </c>
      <c r="K501" s="485"/>
      <c r="L501" s="433">
        <v>100</v>
      </c>
      <c r="M501" s="455">
        <v>81</v>
      </c>
      <c r="N501" s="484">
        <f>Weather!M502</f>
        <v>7.2</v>
      </c>
      <c r="O501" s="481" t="str">
        <f t="shared" si="305"/>
        <v/>
      </c>
      <c r="P501" s="4">
        <f t="shared" si="316"/>
        <v>3.8585248973018555</v>
      </c>
      <c r="Q501" s="169">
        <f t="shared" si="286"/>
        <v>2.4551054298304917</v>
      </c>
      <c r="R501" s="169">
        <f t="shared" si="287"/>
        <v>1.4880015210641748</v>
      </c>
      <c r="S501" s="169">
        <f t="shared" si="288"/>
        <v>1.9886353981626985</v>
      </c>
      <c r="T501" s="169">
        <f t="shared" si="289"/>
        <v>1.4880015210641748</v>
      </c>
      <c r="U501" s="169">
        <f t="shared" si="317"/>
        <v>1.7383184596134367</v>
      </c>
      <c r="V501" s="169">
        <f t="shared" si="318"/>
        <v>6.0561896298500145E-2</v>
      </c>
      <c r="W501" s="439">
        <f t="shared" si="319"/>
        <v>15.297801882858778</v>
      </c>
      <c r="X501" s="439">
        <f t="shared" si="290"/>
        <v>15.297801882858778</v>
      </c>
      <c r="Y501" s="169"/>
      <c r="Z501" s="119" t="str">
        <f t="shared" si="291"/>
        <v/>
      </c>
      <c r="AA501" s="4" t="str">
        <f t="shared" si="292"/>
        <v/>
      </c>
      <c r="AB501" s="466"/>
      <c r="AC501" s="466"/>
      <c r="AD501" s="466"/>
      <c r="AE501" s="466"/>
      <c r="AF501" s="466"/>
      <c r="AG501" s="466"/>
      <c r="AH501" s="466"/>
      <c r="AI501" s="466"/>
      <c r="AJ501" s="466"/>
      <c r="AK501" s="466"/>
      <c r="AL501" s="466"/>
      <c r="AM501" s="462">
        <f t="shared" si="321"/>
        <v>131</v>
      </c>
      <c r="AN501" s="32">
        <f t="shared" si="306"/>
        <v>0.97914058743081744</v>
      </c>
      <c r="AO501" s="32">
        <f t="shared" si="307"/>
        <v>0.31130415261092631</v>
      </c>
      <c r="AP501" s="32">
        <f t="shared" si="308"/>
        <v>1.888401040627012</v>
      </c>
      <c r="AQ501" s="32">
        <f t="shared" si="309"/>
        <v>14.426321287472065</v>
      </c>
      <c r="AR501" s="32">
        <f t="shared" si="310"/>
        <v>38.707748710316466</v>
      </c>
      <c r="AS501" s="32">
        <f t="shared" si="293"/>
        <v>29.058681111808781</v>
      </c>
      <c r="AT501" s="32">
        <f t="shared" si="294"/>
        <v>20.357568000000001</v>
      </c>
      <c r="AU501" s="32">
        <f t="shared" si="295"/>
        <v>0.90982794085778529</v>
      </c>
      <c r="AV501" s="32">
        <f t="shared" si="296"/>
        <v>0.87826772015801013</v>
      </c>
      <c r="AW501" s="32">
        <f t="shared" si="297"/>
        <v>2.4551054298304917</v>
      </c>
      <c r="AX501" s="32">
        <f t="shared" si="298"/>
        <v>1.4880015210641748</v>
      </c>
      <c r="AY501" s="32">
        <f t="shared" si="299"/>
        <v>1.7383184596134367</v>
      </c>
      <c r="AZ501" s="32">
        <f t="shared" si="311"/>
        <v>0.15541657222701882</v>
      </c>
      <c r="BA501" s="32">
        <f t="shared" si="300"/>
        <v>-4.7354836147685884</v>
      </c>
      <c r="BB501" s="32">
        <f t="shared" si="312"/>
        <v>15.622084385231412</v>
      </c>
      <c r="BC501" s="32">
        <f t="shared" si="301"/>
        <v>16.844999999999999</v>
      </c>
      <c r="BD501" s="32">
        <v>0</v>
      </c>
      <c r="BE501" s="32">
        <f t="shared" si="313"/>
        <v>1.9715534754473332</v>
      </c>
      <c r="BF501" s="32">
        <f t="shared" si="314"/>
        <v>0.2332350158338965</v>
      </c>
      <c r="BG501" s="32">
        <f t="shared" si="315"/>
        <v>0.12176973702599238</v>
      </c>
      <c r="BH501" s="32">
        <f t="shared" si="302"/>
        <v>3.5888304707045435</v>
      </c>
      <c r="BI501" s="32">
        <f t="shared" si="303"/>
        <v>0.26969442659731196</v>
      </c>
      <c r="BJ501" s="32">
        <f t="shared" si="320"/>
        <v>3.8585248973018555</v>
      </c>
      <c r="BK501" s="457">
        <f t="shared" si="304"/>
        <v>3.5362155688933563</v>
      </c>
    </row>
    <row r="502" spans="1:63" ht="15">
      <c r="A502" s="119"/>
      <c r="B502" s="480">
        <f>Input!B519</f>
        <v>38484</v>
      </c>
      <c r="C502" s="481">
        <v>2</v>
      </c>
      <c r="D502" s="481">
        <f t="shared" si="322"/>
        <v>5</v>
      </c>
      <c r="E502" s="481">
        <f t="shared" si="323"/>
        <v>12</v>
      </c>
      <c r="F502" s="481">
        <f t="shared" si="324"/>
        <v>132</v>
      </c>
      <c r="G502" s="431">
        <v>23.0688</v>
      </c>
      <c r="H502" s="455">
        <v>23</v>
      </c>
      <c r="I502" s="455">
        <v>14.7</v>
      </c>
      <c r="J502" s="455">
        <v>1.27</v>
      </c>
      <c r="K502" s="485"/>
      <c r="L502" s="433">
        <v>100</v>
      </c>
      <c r="M502" s="455">
        <v>81</v>
      </c>
      <c r="N502" s="484">
        <f>Weather!M503</f>
        <v>0.2</v>
      </c>
      <c r="O502" s="481" t="str">
        <f t="shared" si="305"/>
        <v/>
      </c>
      <c r="P502" s="4">
        <f t="shared" si="316"/>
        <v>3.672381118675212</v>
      </c>
      <c r="Q502" s="169">
        <f t="shared" si="286"/>
        <v>2.809437622397069</v>
      </c>
      <c r="R502" s="169">
        <f t="shared" si="287"/>
        <v>1.6726864071818137</v>
      </c>
      <c r="S502" s="169">
        <f t="shared" si="288"/>
        <v>2.2756444741416262</v>
      </c>
      <c r="T502" s="169">
        <f t="shared" si="289"/>
        <v>1.6726864071818137</v>
      </c>
      <c r="U502" s="169">
        <f t="shared" si="317"/>
        <v>1.97416544066172</v>
      </c>
      <c r="V502" s="169">
        <f t="shared" si="318"/>
        <v>6.7928862362254011E-2</v>
      </c>
      <c r="W502" s="439">
        <f t="shared" si="319"/>
        <v>17.294301247667008</v>
      </c>
      <c r="X502" s="439">
        <f t="shared" si="290"/>
        <v>17.294301247667008</v>
      </c>
      <c r="Y502" s="169"/>
      <c r="Z502" s="119" t="str">
        <f t="shared" si="291"/>
        <v/>
      </c>
      <c r="AA502" s="4" t="str">
        <f t="shared" si="292"/>
        <v/>
      </c>
      <c r="AB502" s="466"/>
      <c r="AC502" s="466"/>
      <c r="AD502" s="466"/>
      <c r="AE502" s="466"/>
      <c r="AF502" s="466"/>
      <c r="AG502" s="466"/>
      <c r="AH502" s="466"/>
      <c r="AI502" s="466"/>
      <c r="AJ502" s="466"/>
      <c r="AK502" s="466"/>
      <c r="AL502" s="466"/>
      <c r="AM502" s="462">
        <f t="shared" si="321"/>
        <v>132</v>
      </c>
      <c r="AN502" s="32">
        <f t="shared" si="306"/>
        <v>0.97870351226342489</v>
      </c>
      <c r="AO502" s="32">
        <f t="shared" si="307"/>
        <v>0.31582429931695188</v>
      </c>
      <c r="AP502" s="32">
        <f t="shared" si="308"/>
        <v>1.8935089481805343</v>
      </c>
      <c r="AQ502" s="32">
        <f t="shared" si="309"/>
        <v>14.465342826800043</v>
      </c>
      <c r="AR502" s="32">
        <f t="shared" si="310"/>
        <v>38.863841076192855</v>
      </c>
      <c r="AS502" s="32">
        <f t="shared" si="293"/>
        <v>29.175862772719501</v>
      </c>
      <c r="AT502" s="32">
        <f t="shared" si="294"/>
        <v>17.762975999999998</v>
      </c>
      <c r="AU502" s="32">
        <f t="shared" si="295"/>
        <v>0.79068098790107322</v>
      </c>
      <c r="AV502" s="32">
        <f t="shared" si="296"/>
        <v>0.71741933366644883</v>
      </c>
      <c r="AW502" s="32">
        <f t="shared" si="297"/>
        <v>2.809437622397069</v>
      </c>
      <c r="AX502" s="32">
        <f t="shared" si="298"/>
        <v>1.6726864071818137</v>
      </c>
      <c r="AY502" s="32">
        <f t="shared" si="299"/>
        <v>1.9741654406617197</v>
      </c>
      <c r="AZ502" s="32">
        <f t="shared" si="311"/>
        <v>0.14329300308080115</v>
      </c>
      <c r="BA502" s="32">
        <f t="shared" si="300"/>
        <v>-3.6664991212962419</v>
      </c>
      <c r="BB502" s="32">
        <f t="shared" si="312"/>
        <v>14.096476878703756</v>
      </c>
      <c r="BC502" s="32">
        <f t="shared" si="301"/>
        <v>18.850000000000001</v>
      </c>
      <c r="BD502" s="32">
        <v>0</v>
      </c>
      <c r="BE502" s="32">
        <f t="shared" si="313"/>
        <v>2.2410620147894411</v>
      </c>
      <c r="BF502" s="32">
        <f t="shared" si="314"/>
        <v>0.26689657412772139</v>
      </c>
      <c r="BG502" s="32">
        <f t="shared" si="315"/>
        <v>0.13599736091294831</v>
      </c>
      <c r="BH502" s="32">
        <f t="shared" si="302"/>
        <v>3.3701217701763002</v>
      </c>
      <c r="BI502" s="32">
        <f t="shared" si="303"/>
        <v>0.30225934849891184</v>
      </c>
      <c r="BJ502" s="32">
        <f t="shared" si="320"/>
        <v>3.672381118675212</v>
      </c>
      <c r="BK502" s="457">
        <f t="shared" si="304"/>
        <v>3.8523035272801063</v>
      </c>
    </row>
    <row r="503" spans="1:63" ht="15">
      <c r="A503" s="119"/>
      <c r="B503" s="480">
        <f>Input!B520</f>
        <v>38485</v>
      </c>
      <c r="C503" s="481">
        <v>2</v>
      </c>
      <c r="D503" s="481">
        <f t="shared" si="322"/>
        <v>5</v>
      </c>
      <c r="E503" s="481">
        <f t="shared" si="323"/>
        <v>13</v>
      </c>
      <c r="F503" s="481">
        <f t="shared" si="324"/>
        <v>133</v>
      </c>
      <c r="G503" s="431">
        <v>23.6736</v>
      </c>
      <c r="H503" s="455">
        <v>24.29</v>
      </c>
      <c r="I503" s="455">
        <v>15.6</v>
      </c>
      <c r="J503" s="455">
        <v>1.47</v>
      </c>
      <c r="K503" s="485"/>
      <c r="L503" s="433">
        <v>90</v>
      </c>
      <c r="M503" s="455">
        <v>79</v>
      </c>
      <c r="N503" s="484">
        <f>Weather!M504</f>
        <v>0</v>
      </c>
      <c r="O503" s="481" t="str">
        <f t="shared" si="305"/>
        <v/>
      </c>
      <c r="P503" s="4">
        <f t="shared" si="316"/>
        <v>3.9687784154374723</v>
      </c>
      <c r="Q503" s="169">
        <f t="shared" si="286"/>
        <v>3.0362528555924286</v>
      </c>
      <c r="R503" s="169">
        <f t="shared" si="287"/>
        <v>1.7723474716742158</v>
      </c>
      <c r="S503" s="169">
        <f t="shared" si="288"/>
        <v>2.3986397559180186</v>
      </c>
      <c r="T503" s="169">
        <f t="shared" si="289"/>
        <v>1.5951127245067942</v>
      </c>
      <c r="U503" s="169">
        <f t="shared" si="317"/>
        <v>1.9968762402124063</v>
      </c>
      <c r="V503" s="169">
        <f t="shared" si="318"/>
        <v>6.8591186178220312E-2</v>
      </c>
      <c r="W503" s="439">
        <f t="shared" si="319"/>
        <v>17.475342984252823</v>
      </c>
      <c r="X503" s="439">
        <f t="shared" si="290"/>
        <v>17.475342984252823</v>
      </c>
      <c r="Y503" s="169"/>
      <c r="Z503" s="119" t="str">
        <f t="shared" si="291"/>
        <v/>
      </c>
      <c r="AA503" s="4" t="str">
        <f t="shared" si="292"/>
        <v/>
      </c>
      <c r="AB503" s="466"/>
      <c r="AC503" s="466"/>
      <c r="AD503" s="466"/>
      <c r="AE503" s="466"/>
      <c r="AF503" s="466"/>
      <c r="AG503" s="466"/>
      <c r="AH503" s="466"/>
      <c r="AI503" s="466"/>
      <c r="AJ503" s="466"/>
      <c r="AK503" s="466"/>
      <c r="AL503" s="466"/>
      <c r="AM503" s="462">
        <f t="shared" si="321"/>
        <v>133</v>
      </c>
      <c r="AN503" s="32">
        <f t="shared" si="306"/>
        <v>0.97827274770496442</v>
      </c>
      <c r="AO503" s="32">
        <f t="shared" si="307"/>
        <v>0.32025086046704321</v>
      </c>
      <c r="AP503" s="32">
        <f t="shared" si="308"/>
        <v>1.898534250847004</v>
      </c>
      <c r="AQ503" s="32">
        <f t="shared" si="309"/>
        <v>14.503733311275315</v>
      </c>
      <c r="AR503" s="32">
        <f t="shared" si="310"/>
        <v>39.016277412492776</v>
      </c>
      <c r="AS503" s="32">
        <f t="shared" si="293"/>
        <v>29.290299779106579</v>
      </c>
      <c r="AT503" s="32">
        <f t="shared" si="294"/>
        <v>18.228672</v>
      </c>
      <c r="AU503" s="32">
        <f t="shared" si="295"/>
        <v>0.8082402767651734</v>
      </c>
      <c r="AV503" s="32">
        <f t="shared" si="296"/>
        <v>0.74112437363298411</v>
      </c>
      <c r="AW503" s="32">
        <f t="shared" si="297"/>
        <v>3.0362528555924286</v>
      </c>
      <c r="AX503" s="32">
        <f t="shared" si="298"/>
        <v>1.7723474716742158</v>
      </c>
      <c r="AY503" s="32">
        <f t="shared" si="299"/>
        <v>1.9968762402124061</v>
      </c>
      <c r="AZ503" s="32">
        <f t="shared" si="311"/>
        <v>0.14216477990973611</v>
      </c>
      <c r="BA503" s="32">
        <f t="shared" si="300"/>
        <v>-3.8149173897290747</v>
      </c>
      <c r="BB503" s="32">
        <f t="shared" si="312"/>
        <v>14.413754610270924</v>
      </c>
      <c r="BC503" s="32">
        <f t="shared" si="301"/>
        <v>19.945</v>
      </c>
      <c r="BD503" s="32">
        <v>0</v>
      </c>
      <c r="BE503" s="32">
        <f t="shared" si="313"/>
        <v>2.4043001636333221</v>
      </c>
      <c r="BF503" s="32">
        <f t="shared" si="314"/>
        <v>0.40742392342091605</v>
      </c>
      <c r="BG503" s="32">
        <f t="shared" si="315"/>
        <v>0.14434503348324229</v>
      </c>
      <c r="BH503" s="32">
        <f t="shared" si="302"/>
        <v>3.4647460745161518</v>
      </c>
      <c r="BI503" s="32">
        <f t="shared" si="303"/>
        <v>0.50403234092132032</v>
      </c>
      <c r="BJ503" s="32">
        <f t="shared" si="320"/>
        <v>3.9687784154374723</v>
      </c>
      <c r="BK503" s="457">
        <f t="shared" si="304"/>
        <v>4.0754624879684904</v>
      </c>
    </row>
    <row r="504" spans="1:63" ht="15">
      <c r="A504" s="119"/>
      <c r="B504" s="480">
        <f>Input!B521</f>
        <v>38486</v>
      </c>
      <c r="C504" s="481">
        <v>2</v>
      </c>
      <c r="D504" s="481">
        <f t="shared" si="322"/>
        <v>5</v>
      </c>
      <c r="E504" s="481">
        <f t="shared" si="323"/>
        <v>14</v>
      </c>
      <c r="F504" s="481">
        <f t="shared" si="324"/>
        <v>134</v>
      </c>
      <c r="G504" s="431">
        <v>27.3888</v>
      </c>
      <c r="H504" s="455">
        <v>13.66</v>
      </c>
      <c r="I504" s="455">
        <v>10.3</v>
      </c>
      <c r="J504" s="455">
        <v>4.12</v>
      </c>
      <c r="K504" s="485"/>
      <c r="L504" s="433">
        <v>100</v>
      </c>
      <c r="M504" s="455">
        <v>84</v>
      </c>
      <c r="N504" s="484">
        <f>Weather!M505</f>
        <v>8.4</v>
      </c>
      <c r="O504" s="481">
        <f t="shared" si="305"/>
        <v>1</v>
      </c>
      <c r="P504" s="4">
        <f t="shared" si="316"/>
        <v>2.7737374970843311</v>
      </c>
      <c r="Q504" s="169">
        <f t="shared" si="286"/>
        <v>1.5636727883350108</v>
      </c>
      <c r="R504" s="169">
        <f t="shared" si="287"/>
        <v>1.2528677634951673</v>
      </c>
      <c r="S504" s="169">
        <f t="shared" si="288"/>
        <v>1.3134851422014091</v>
      </c>
      <c r="T504" s="169">
        <f t="shared" si="289"/>
        <v>1.2528677634951673</v>
      </c>
      <c r="U504" s="169">
        <f t="shared" si="317"/>
        <v>1.2831764528482883</v>
      </c>
      <c r="V504" s="169">
        <f t="shared" si="318"/>
        <v>4.2983457629587114E-2</v>
      </c>
      <c r="W504" s="439">
        <f t="shared" si="319"/>
        <v>10.658096327401962</v>
      </c>
      <c r="X504" s="439">
        <f t="shared" si="290"/>
        <v>10.658096327401962</v>
      </c>
      <c r="Y504" s="169"/>
      <c r="Z504" s="119" t="str">
        <f t="shared" si="291"/>
        <v/>
      </c>
      <c r="AA504" s="4" t="str">
        <f t="shared" si="292"/>
        <v/>
      </c>
      <c r="AB504" s="466"/>
      <c r="AC504" s="466"/>
      <c r="AD504" s="466"/>
      <c r="AE504" s="466"/>
      <c r="AF504" s="466"/>
      <c r="AG504" s="466"/>
      <c r="AH504" s="466"/>
      <c r="AI504" s="466"/>
      <c r="AJ504" s="466"/>
      <c r="AK504" s="466"/>
      <c r="AL504" s="466"/>
      <c r="AM504" s="462">
        <f t="shared" si="321"/>
        <v>134</v>
      </c>
      <c r="AN504" s="32">
        <f t="shared" si="306"/>
        <v>0.97784842140027151</v>
      </c>
      <c r="AO504" s="32">
        <f t="shared" si="307"/>
        <v>0.32458252437559854</v>
      </c>
      <c r="AP504" s="32">
        <f t="shared" si="308"/>
        <v>1.903474485923546</v>
      </c>
      <c r="AQ504" s="32">
        <f t="shared" si="309"/>
        <v>14.541473927233762</v>
      </c>
      <c r="AR504" s="32">
        <f t="shared" si="310"/>
        <v>39.165031579735157</v>
      </c>
      <c r="AS504" s="32">
        <f t="shared" si="293"/>
        <v>29.40197250753878</v>
      </c>
      <c r="AT504" s="32">
        <f t="shared" si="294"/>
        <v>21.089376000000001</v>
      </c>
      <c r="AU504" s="32">
        <f t="shared" si="295"/>
        <v>0.93152933848153918</v>
      </c>
      <c r="AV504" s="32">
        <f t="shared" si="296"/>
        <v>0.9075646069500779</v>
      </c>
      <c r="AW504" s="32">
        <f t="shared" si="297"/>
        <v>1.5636727883350108</v>
      </c>
      <c r="AX504" s="32">
        <f t="shared" si="298"/>
        <v>1.2528677634951673</v>
      </c>
      <c r="AY504" s="32">
        <f t="shared" si="299"/>
        <v>1.2831764528482883</v>
      </c>
      <c r="AZ504" s="32">
        <f t="shared" si="311"/>
        <v>0.18141166979936246</v>
      </c>
      <c r="BA504" s="32">
        <f t="shared" si="300"/>
        <v>-5.3333607648622081</v>
      </c>
      <c r="BB504" s="32">
        <f t="shared" si="312"/>
        <v>15.756015235137793</v>
      </c>
      <c r="BC504" s="32">
        <f t="shared" si="301"/>
        <v>11.98</v>
      </c>
      <c r="BD504" s="32">
        <v>0</v>
      </c>
      <c r="BE504" s="32">
        <f t="shared" si="313"/>
        <v>1.4082702759150889</v>
      </c>
      <c r="BF504" s="32">
        <f t="shared" si="314"/>
        <v>0.12509382306680061</v>
      </c>
      <c r="BG504" s="32">
        <f t="shared" si="315"/>
        <v>9.2395943703245942E-2</v>
      </c>
      <c r="BH504" s="32">
        <f t="shared" si="302"/>
        <v>2.3428599024983523</v>
      </c>
      <c r="BI504" s="32">
        <f t="shared" si="303"/>
        <v>0.43087759458597868</v>
      </c>
      <c r="BJ504" s="32">
        <f t="shared" si="320"/>
        <v>2.7737374970843311</v>
      </c>
      <c r="BK504" s="457">
        <f t="shared" si="304"/>
        <v>2.0070332381417129</v>
      </c>
    </row>
    <row r="505" spans="1:63" ht="15">
      <c r="A505" s="119"/>
      <c r="B505" s="480">
        <f>Input!B522</f>
        <v>38487</v>
      </c>
      <c r="C505" s="481">
        <v>2</v>
      </c>
      <c r="D505" s="481">
        <f t="shared" si="322"/>
        <v>5</v>
      </c>
      <c r="E505" s="481">
        <f t="shared" si="323"/>
        <v>15</v>
      </c>
      <c r="F505" s="481">
        <f t="shared" si="324"/>
        <v>135</v>
      </c>
      <c r="G505" s="431">
        <v>21.427199999999999</v>
      </c>
      <c r="H505" s="455">
        <v>13.97</v>
      </c>
      <c r="I505" s="455">
        <v>7.5</v>
      </c>
      <c r="J505" s="455">
        <v>2.13</v>
      </c>
      <c r="K505" s="485"/>
      <c r="L505" s="433">
        <v>99</v>
      </c>
      <c r="M505" s="455">
        <v>84</v>
      </c>
      <c r="N505" s="484">
        <f>Weather!M506</f>
        <v>0.8</v>
      </c>
      <c r="O505" s="481" t="str">
        <f t="shared" si="305"/>
        <v/>
      </c>
      <c r="P505" s="4">
        <f t="shared" si="316"/>
        <v>2.5122717623350574</v>
      </c>
      <c r="Q505" s="169">
        <f t="shared" si="286"/>
        <v>1.5954953161735252</v>
      </c>
      <c r="R505" s="169">
        <f t="shared" si="287"/>
        <v>1.0367799276460743</v>
      </c>
      <c r="S505" s="169">
        <f t="shared" si="288"/>
        <v>1.3402160655857611</v>
      </c>
      <c r="T505" s="169">
        <f t="shared" si="289"/>
        <v>1.0264121283696135</v>
      </c>
      <c r="U505" s="169">
        <f t="shared" si="317"/>
        <v>1.1833140969776874</v>
      </c>
      <c r="V505" s="169">
        <f t="shared" si="318"/>
        <v>3.829211142151414E-2</v>
      </c>
      <c r="W505" s="439">
        <f t="shared" si="319"/>
        <v>9.4485218934374267</v>
      </c>
      <c r="X505" s="439">
        <f t="shared" si="290"/>
        <v>9.4485218934374267</v>
      </c>
      <c r="Y505" s="169"/>
      <c r="Z505" s="119" t="str">
        <f t="shared" si="291"/>
        <v/>
      </c>
      <c r="AA505" s="4" t="str">
        <f t="shared" si="292"/>
        <v/>
      </c>
      <c r="AB505" s="466"/>
      <c r="AC505" s="466"/>
      <c r="AD505" s="466"/>
      <c r="AE505" s="466"/>
      <c r="AF505" s="466"/>
      <c r="AG505" s="466"/>
      <c r="AH505" s="466"/>
      <c r="AI505" s="466"/>
      <c r="AJ505" s="466"/>
      <c r="AK505" s="466"/>
      <c r="AL505" s="466"/>
      <c r="AM505" s="462">
        <f t="shared" si="321"/>
        <v>135</v>
      </c>
      <c r="AN505" s="32">
        <f t="shared" si="306"/>
        <v>0.97743065908638782</v>
      </c>
      <c r="AO505" s="32">
        <f t="shared" si="307"/>
        <v>0.3288180074771167</v>
      </c>
      <c r="AP505" s="32">
        <f t="shared" si="308"/>
        <v>1.9083271732499241</v>
      </c>
      <c r="AQ505" s="32">
        <f t="shared" si="309"/>
        <v>14.578545727646839</v>
      </c>
      <c r="AR505" s="32">
        <f t="shared" si="310"/>
        <v>39.310078446518865</v>
      </c>
      <c r="AS505" s="32">
        <f t="shared" si="293"/>
        <v>29.510862091370644</v>
      </c>
      <c r="AT505" s="32">
        <f t="shared" si="294"/>
        <v>16.498943999999998</v>
      </c>
      <c r="AU505" s="32">
        <f t="shared" si="295"/>
        <v>0.72607841592894662</v>
      </c>
      <c r="AV505" s="32">
        <f t="shared" si="296"/>
        <v>0.63020586150407798</v>
      </c>
      <c r="AW505" s="32">
        <f t="shared" si="297"/>
        <v>1.5954953161735252</v>
      </c>
      <c r="AX505" s="32">
        <f t="shared" si="298"/>
        <v>1.0367799276460743</v>
      </c>
      <c r="AY505" s="32">
        <f t="shared" si="299"/>
        <v>1.1833140969776872</v>
      </c>
      <c r="AZ505" s="32">
        <f t="shared" si="311"/>
        <v>0.18770766171352329</v>
      </c>
      <c r="BA505" s="32">
        <f t="shared" si="300"/>
        <v>-3.767632653912198</v>
      </c>
      <c r="BB505" s="32">
        <f t="shared" si="312"/>
        <v>12.7313113460878</v>
      </c>
      <c r="BC505" s="32">
        <f t="shared" si="301"/>
        <v>10.734999999999999</v>
      </c>
      <c r="BD505" s="32">
        <v>0</v>
      </c>
      <c r="BE505" s="32">
        <f t="shared" si="313"/>
        <v>1.3161376219097998</v>
      </c>
      <c r="BF505" s="32">
        <f t="shared" si="314"/>
        <v>0.13282352493211258</v>
      </c>
      <c r="BG505" s="32">
        <f t="shared" si="315"/>
        <v>8.5933772340829204E-2</v>
      </c>
      <c r="BH505" s="32">
        <f t="shared" si="302"/>
        <v>2.2136013030467092</v>
      </c>
      <c r="BI505" s="32">
        <f t="shared" si="303"/>
        <v>0.29867045928834812</v>
      </c>
      <c r="BJ505" s="32">
        <f t="shared" si="320"/>
        <v>2.5122717623350574</v>
      </c>
      <c r="BK505" s="457">
        <f t="shared" si="304"/>
        <v>2.6785248467414484</v>
      </c>
    </row>
    <row r="506" spans="1:63" ht="15">
      <c r="A506" s="119"/>
      <c r="B506" s="480">
        <f>Input!B523</f>
        <v>38488</v>
      </c>
      <c r="C506" s="481">
        <v>2</v>
      </c>
      <c r="D506" s="481">
        <f t="shared" si="322"/>
        <v>5</v>
      </c>
      <c r="E506" s="481">
        <f t="shared" si="323"/>
        <v>16</v>
      </c>
      <c r="F506" s="481">
        <f t="shared" si="324"/>
        <v>136</v>
      </c>
      <c r="G506" s="431">
        <v>21.7728</v>
      </c>
      <c r="H506" s="455">
        <v>15.43</v>
      </c>
      <c r="I506" s="455">
        <v>6.7</v>
      </c>
      <c r="J506" s="455">
        <v>1.59</v>
      </c>
      <c r="K506" s="485"/>
      <c r="L506" s="433">
        <v>100</v>
      </c>
      <c r="M506" s="455">
        <v>83</v>
      </c>
      <c r="N506" s="484">
        <f>Weather!M507</f>
        <v>0</v>
      </c>
      <c r="O506" s="481" t="str">
        <f t="shared" si="305"/>
        <v/>
      </c>
      <c r="P506" s="4">
        <f t="shared" si="316"/>
        <v>2.6871893259664557</v>
      </c>
      <c r="Q506" s="169">
        <f t="shared" si="286"/>
        <v>1.7531334866383526</v>
      </c>
      <c r="R506" s="169">
        <f t="shared" si="287"/>
        <v>0.9814065388970683</v>
      </c>
      <c r="S506" s="169">
        <f t="shared" si="288"/>
        <v>1.4551007939098326</v>
      </c>
      <c r="T506" s="169">
        <f t="shared" si="289"/>
        <v>0.9814065388970683</v>
      </c>
      <c r="U506" s="169">
        <f t="shared" si="317"/>
        <v>1.2182536664034505</v>
      </c>
      <c r="V506" s="169">
        <f t="shared" si="318"/>
        <v>3.9977076892897478E-2</v>
      </c>
      <c r="W506" s="439">
        <f t="shared" si="319"/>
        <v>9.8815977393346355</v>
      </c>
      <c r="X506" s="439">
        <f t="shared" si="290"/>
        <v>9.8815977393346355</v>
      </c>
      <c r="Y506" s="169"/>
      <c r="Z506" s="119" t="str">
        <f t="shared" si="291"/>
        <v/>
      </c>
      <c r="AA506" s="4" t="str">
        <f t="shared" si="292"/>
        <v/>
      </c>
      <c r="AB506" s="466"/>
      <c r="AC506" s="466"/>
      <c r="AD506" s="466"/>
      <c r="AE506" s="466"/>
      <c r="AF506" s="466"/>
      <c r="AG506" s="466"/>
      <c r="AH506" s="466"/>
      <c r="AI506" s="466"/>
      <c r="AJ506" s="466"/>
      <c r="AK506" s="466"/>
      <c r="AL506" s="466"/>
      <c r="AM506" s="462">
        <f t="shared" si="321"/>
        <v>136</v>
      </c>
      <c r="AN506" s="32">
        <f t="shared" si="306"/>
        <v>0.97701958455530324</v>
      </c>
      <c r="AO506" s="32">
        <f t="shared" si="307"/>
        <v>0.33295605470654577</v>
      </c>
      <c r="AP506" s="32">
        <f t="shared" si="308"/>
        <v>1.9130898181951044</v>
      </c>
      <c r="AQ506" s="32">
        <f t="shared" si="309"/>
        <v>14.61492965493726</v>
      </c>
      <c r="AR506" s="32">
        <f t="shared" si="310"/>
        <v>39.451393861440117</v>
      </c>
      <c r="AS506" s="32">
        <f t="shared" si="293"/>
        <v>29.616950399660325</v>
      </c>
      <c r="AT506" s="32">
        <f t="shared" si="294"/>
        <v>16.765056000000001</v>
      </c>
      <c r="AU506" s="32">
        <f t="shared" si="295"/>
        <v>0.73514658687647028</v>
      </c>
      <c r="AV506" s="32">
        <f t="shared" si="296"/>
        <v>0.64244789228323496</v>
      </c>
      <c r="AW506" s="32">
        <f t="shared" si="297"/>
        <v>1.7531334866383526</v>
      </c>
      <c r="AX506" s="32">
        <f t="shared" si="298"/>
        <v>0.9814065388970683</v>
      </c>
      <c r="AY506" s="32">
        <f t="shared" si="299"/>
        <v>1.2182536664034507</v>
      </c>
      <c r="AZ506" s="32">
        <f t="shared" si="311"/>
        <v>0.18547565932349808</v>
      </c>
      <c r="BA506" s="32">
        <f t="shared" si="300"/>
        <v>-3.8152509255339422</v>
      </c>
      <c r="BB506" s="32">
        <f t="shared" si="312"/>
        <v>12.94980507446606</v>
      </c>
      <c r="BC506" s="32">
        <f t="shared" si="301"/>
        <v>11.065</v>
      </c>
      <c r="BD506" s="32">
        <v>0</v>
      </c>
      <c r="BE506" s="32">
        <f t="shared" si="313"/>
        <v>1.3672700127677104</v>
      </c>
      <c r="BF506" s="32">
        <f t="shared" si="314"/>
        <v>0.14901634636425976</v>
      </c>
      <c r="BG506" s="32">
        <f t="shared" si="315"/>
        <v>8.7607893891092248E-2</v>
      </c>
      <c r="BH506" s="32">
        <f t="shared" si="302"/>
        <v>2.4234203146848938</v>
      </c>
      <c r="BI506" s="32">
        <f t="shared" si="303"/>
        <v>0.26376901128156172</v>
      </c>
      <c r="BJ506" s="32">
        <f t="shared" si="320"/>
        <v>2.6871893259664557</v>
      </c>
      <c r="BK506" s="457">
        <f t="shared" si="304"/>
        <v>3.1586593203435451</v>
      </c>
    </row>
    <row r="507" spans="1:63" ht="15">
      <c r="A507" s="119"/>
      <c r="B507" s="480">
        <f>Input!B524</f>
        <v>38489</v>
      </c>
      <c r="C507" s="481">
        <v>2</v>
      </c>
      <c r="D507" s="481">
        <f t="shared" si="322"/>
        <v>5</v>
      </c>
      <c r="E507" s="481">
        <f t="shared" si="323"/>
        <v>17</v>
      </c>
      <c r="F507" s="481">
        <f t="shared" si="324"/>
        <v>137</v>
      </c>
      <c r="G507" s="431">
        <v>25.833600000000001</v>
      </c>
      <c r="H507" s="455">
        <v>12.09</v>
      </c>
      <c r="I507" s="455">
        <v>6</v>
      </c>
      <c r="J507" s="455">
        <v>2.89</v>
      </c>
      <c r="K507" s="485"/>
      <c r="L507" s="433">
        <v>96</v>
      </c>
      <c r="M507" s="455">
        <v>82</v>
      </c>
      <c r="N507" s="484">
        <f>Weather!M508</f>
        <v>0</v>
      </c>
      <c r="O507" s="481" t="str">
        <f t="shared" si="305"/>
        <v/>
      </c>
      <c r="P507" s="4">
        <f t="shared" si="316"/>
        <v>2.6582090288371689</v>
      </c>
      <c r="Q507" s="169">
        <f t="shared" si="286"/>
        <v>1.4109091886099356</v>
      </c>
      <c r="R507" s="169">
        <f t="shared" si="287"/>
        <v>0.93510940339373394</v>
      </c>
      <c r="S507" s="169">
        <f t="shared" si="288"/>
        <v>1.1569455346601472</v>
      </c>
      <c r="T507" s="169">
        <f t="shared" si="289"/>
        <v>0.89770502725798451</v>
      </c>
      <c r="U507" s="169">
        <f t="shared" si="317"/>
        <v>1.0273252809590658</v>
      </c>
      <c r="V507" s="169">
        <f t="shared" si="318"/>
        <v>3.0106793034439069E-2</v>
      </c>
      <c r="W507" s="439">
        <f t="shared" si="319"/>
        <v>7.3661119964170174</v>
      </c>
      <c r="X507" s="439">
        <f t="shared" si="290"/>
        <v>7.3661119964170174</v>
      </c>
      <c r="Y507" s="169"/>
      <c r="Z507" s="119" t="str">
        <f t="shared" si="291"/>
        <v/>
      </c>
      <c r="AA507" s="4" t="str">
        <f t="shared" si="292"/>
        <v/>
      </c>
      <c r="AB507" s="466"/>
      <c r="AC507" s="466"/>
      <c r="AD507" s="466"/>
      <c r="AE507" s="466"/>
      <c r="AF507" s="466"/>
      <c r="AG507" s="466"/>
      <c r="AH507" s="466"/>
      <c r="AI507" s="466"/>
      <c r="AJ507" s="466"/>
      <c r="AK507" s="466"/>
      <c r="AL507" s="466"/>
      <c r="AM507" s="462">
        <f t="shared" si="321"/>
        <v>137</v>
      </c>
      <c r="AN507" s="32">
        <f t="shared" si="306"/>
        <v>0.97661531961727288</v>
      </c>
      <c r="AO507" s="32">
        <f t="shared" si="307"/>
        <v>0.33699543987118497</v>
      </c>
      <c r="AP507" s="32">
        <f t="shared" si="308"/>
        <v>1.91775991483355</v>
      </c>
      <c r="AQ507" s="32">
        <f t="shared" si="309"/>
        <v>14.650606565244082</v>
      </c>
      <c r="AR507" s="32">
        <f t="shared" si="310"/>
        <v>39.588954625922788</v>
      </c>
      <c r="AS507" s="32">
        <f t="shared" si="293"/>
        <v>29.720220016772757</v>
      </c>
      <c r="AT507" s="32">
        <f t="shared" si="294"/>
        <v>19.891871999999999</v>
      </c>
      <c r="AU507" s="32">
        <f t="shared" si="295"/>
        <v>0.86922640496674242</v>
      </c>
      <c r="AV507" s="32">
        <f t="shared" si="296"/>
        <v>0.8234556467051023</v>
      </c>
      <c r="AW507" s="32">
        <f t="shared" si="297"/>
        <v>1.4109091886099356</v>
      </c>
      <c r="AX507" s="32">
        <f t="shared" si="298"/>
        <v>0.93510940339373394</v>
      </c>
      <c r="AY507" s="32">
        <f t="shared" si="299"/>
        <v>1.0273252809590658</v>
      </c>
      <c r="AZ507" s="32">
        <f t="shared" si="311"/>
        <v>0.19810012154058171</v>
      </c>
      <c r="BA507" s="32">
        <f t="shared" si="300"/>
        <v>-5.0724945529688057</v>
      </c>
      <c r="BB507" s="32">
        <f t="shared" si="312"/>
        <v>14.819377447031194</v>
      </c>
      <c r="BC507" s="32">
        <f t="shared" si="301"/>
        <v>9.0449999999999999</v>
      </c>
      <c r="BD507" s="32">
        <v>0</v>
      </c>
      <c r="BE507" s="32">
        <f t="shared" si="313"/>
        <v>1.1730092960018348</v>
      </c>
      <c r="BF507" s="32">
        <f t="shared" si="314"/>
        <v>0.14568401504276896</v>
      </c>
      <c r="BG507" s="32">
        <f t="shared" si="315"/>
        <v>7.7781299673891732E-2</v>
      </c>
      <c r="BH507" s="32">
        <f t="shared" si="302"/>
        <v>2.2305593434838329</v>
      </c>
      <c r="BI507" s="32">
        <f t="shared" si="303"/>
        <v>0.42764968535333603</v>
      </c>
      <c r="BJ507" s="32">
        <f t="shared" si="320"/>
        <v>2.6582090288371689</v>
      </c>
      <c r="BK507" s="457">
        <f t="shared" si="304"/>
        <v>2.4621122011547287</v>
      </c>
    </row>
    <row r="508" spans="1:63" ht="15">
      <c r="A508" s="119"/>
      <c r="B508" s="480">
        <f>Input!B525</f>
        <v>38490</v>
      </c>
      <c r="C508" s="481">
        <v>2</v>
      </c>
      <c r="D508" s="481">
        <f t="shared" si="322"/>
        <v>5</v>
      </c>
      <c r="E508" s="481">
        <f t="shared" si="323"/>
        <v>18</v>
      </c>
      <c r="F508" s="481">
        <f t="shared" si="324"/>
        <v>138</v>
      </c>
      <c r="G508" s="431">
        <v>15.2928</v>
      </c>
      <c r="H508" s="455">
        <v>14.77</v>
      </c>
      <c r="I508" s="455">
        <v>6.2</v>
      </c>
      <c r="J508" s="455">
        <v>2.06</v>
      </c>
      <c r="K508" s="485"/>
      <c r="L508" s="433">
        <v>89</v>
      </c>
      <c r="M508" s="455">
        <v>80</v>
      </c>
      <c r="N508" s="484">
        <f>Weather!M509</f>
        <v>0</v>
      </c>
      <c r="O508" s="481" t="str">
        <f t="shared" si="305"/>
        <v/>
      </c>
      <c r="P508" s="4">
        <f t="shared" si="316"/>
        <v>2.1669250851470583</v>
      </c>
      <c r="Q508" s="169">
        <f t="shared" si="286"/>
        <v>1.6802575593606601</v>
      </c>
      <c r="R508" s="169">
        <f t="shared" si="287"/>
        <v>0.94813654445332363</v>
      </c>
      <c r="S508" s="169">
        <f t="shared" si="288"/>
        <v>1.3442060474885282</v>
      </c>
      <c r="T508" s="169">
        <f t="shared" si="289"/>
        <v>0.84384152456345807</v>
      </c>
      <c r="U508" s="169">
        <f t="shared" si="317"/>
        <v>1.0940237860259932</v>
      </c>
      <c r="V508" s="169">
        <f t="shared" si="318"/>
        <v>3.3749169175170637E-2</v>
      </c>
      <c r="W508" s="439">
        <f t="shared" si="319"/>
        <v>8.2884046148053212</v>
      </c>
      <c r="X508" s="439">
        <f t="shared" si="290"/>
        <v>8.2884046148053212</v>
      </c>
      <c r="Y508" s="169"/>
      <c r="Z508" s="119" t="str">
        <f t="shared" si="291"/>
        <v/>
      </c>
      <c r="AA508" s="4" t="str">
        <f t="shared" si="292"/>
        <v/>
      </c>
      <c r="AB508" s="466"/>
      <c r="AC508" s="466"/>
      <c r="AD508" s="466"/>
      <c r="AE508" s="466"/>
      <c r="AF508" s="466"/>
      <c r="AG508" s="466"/>
      <c r="AH508" s="466"/>
      <c r="AI508" s="466"/>
      <c r="AJ508" s="466"/>
      <c r="AK508" s="466"/>
      <c r="AL508" s="466"/>
      <c r="AM508" s="462">
        <f t="shared" si="321"/>
        <v>138</v>
      </c>
      <c r="AN508" s="32">
        <f t="shared" si="306"/>
        <v>0.9762179840647226</v>
      </c>
      <c r="AO508" s="32">
        <f t="shared" si="307"/>
        <v>0.34093496601403311</v>
      </c>
      <c r="AP508" s="32">
        <f t="shared" si="308"/>
        <v>1.9223349493088155</v>
      </c>
      <c r="AQ508" s="32">
        <f t="shared" si="309"/>
        <v>14.68555725411869</v>
      </c>
      <c r="AR508" s="32">
        <f t="shared" si="310"/>
        <v>39.722738468048497</v>
      </c>
      <c r="AS508" s="32">
        <f t="shared" si="293"/>
        <v>29.820654222733371</v>
      </c>
      <c r="AT508" s="32">
        <f t="shared" si="294"/>
        <v>11.775456</v>
      </c>
      <c r="AU508" s="32">
        <f t="shared" si="295"/>
        <v>0.51282577121804862</v>
      </c>
      <c r="AV508" s="32">
        <f t="shared" si="296"/>
        <v>0.34231479114436569</v>
      </c>
      <c r="AW508" s="32">
        <f t="shared" si="297"/>
        <v>1.6802575593606601</v>
      </c>
      <c r="AX508" s="32">
        <f t="shared" si="298"/>
        <v>0.94813654445332363</v>
      </c>
      <c r="AY508" s="32">
        <f t="shared" si="299"/>
        <v>1.0940237860259929</v>
      </c>
      <c r="AZ508" s="32">
        <f t="shared" si="311"/>
        <v>0.19356617123728048</v>
      </c>
      <c r="BA508" s="32">
        <f t="shared" si="300"/>
        <v>-2.1041894125422909</v>
      </c>
      <c r="BB508" s="32">
        <f t="shared" si="312"/>
        <v>9.6712665874577084</v>
      </c>
      <c r="BC508" s="32">
        <f t="shared" si="301"/>
        <v>10.484999999999999</v>
      </c>
      <c r="BD508" s="32">
        <v>0</v>
      </c>
      <c r="BE508" s="32">
        <f t="shared" si="313"/>
        <v>1.3141970519069919</v>
      </c>
      <c r="BF508" s="32">
        <f t="shared" si="314"/>
        <v>0.22017326588099895</v>
      </c>
      <c r="BG508" s="32">
        <f t="shared" si="315"/>
        <v>8.4683732414178037E-2</v>
      </c>
      <c r="BH508" s="32">
        <f t="shared" si="302"/>
        <v>1.6808220768017905</v>
      </c>
      <c r="BI508" s="32">
        <f t="shared" si="303"/>
        <v>0.48610300834526782</v>
      </c>
      <c r="BJ508" s="32">
        <f t="shared" si="320"/>
        <v>2.1669250851470583</v>
      </c>
      <c r="BK508" s="457">
        <f t="shared" si="304"/>
        <v>3.0877883663723509</v>
      </c>
    </row>
    <row r="509" spans="1:63" ht="15">
      <c r="A509" s="119"/>
      <c r="B509" s="480">
        <f>Input!B526</f>
        <v>38491</v>
      </c>
      <c r="C509" s="481">
        <v>2</v>
      </c>
      <c r="D509" s="481">
        <f t="shared" si="322"/>
        <v>5</v>
      </c>
      <c r="E509" s="481">
        <f t="shared" si="323"/>
        <v>19</v>
      </c>
      <c r="F509" s="481">
        <f t="shared" si="324"/>
        <v>139</v>
      </c>
      <c r="G509" s="431">
        <v>26.783999999999999</v>
      </c>
      <c r="H509" s="455">
        <v>15.14</v>
      </c>
      <c r="I509" s="455">
        <v>4.8</v>
      </c>
      <c r="J509" s="455">
        <v>1.95</v>
      </c>
      <c r="K509" s="485"/>
      <c r="L509" s="433">
        <v>87</v>
      </c>
      <c r="M509" s="455">
        <v>79</v>
      </c>
      <c r="N509" s="484">
        <f>Weather!M510</f>
        <v>0</v>
      </c>
      <c r="O509" s="481" t="str">
        <f t="shared" si="305"/>
        <v/>
      </c>
      <c r="P509" s="4">
        <f t="shared" si="316"/>
        <v>3.1563511268161637</v>
      </c>
      <c r="Q509" s="169">
        <f t="shared" si="286"/>
        <v>1.7207778993854561</v>
      </c>
      <c r="R509" s="169">
        <f t="shared" si="287"/>
        <v>0.8602074134922596</v>
      </c>
      <c r="S509" s="169">
        <f t="shared" si="288"/>
        <v>1.3594145405145104</v>
      </c>
      <c r="T509" s="169">
        <f t="shared" si="289"/>
        <v>0.7483804497382659</v>
      </c>
      <c r="U509" s="169">
        <f t="shared" si="317"/>
        <v>1.0538974951263882</v>
      </c>
      <c r="V509" s="169">
        <f t="shared" si="318"/>
        <v>3.1585460209997744E-2</v>
      </c>
      <c r="W509" s="439">
        <f t="shared" si="319"/>
        <v>7.7396914233214451</v>
      </c>
      <c r="X509" s="439">
        <f t="shared" si="290"/>
        <v>7.7396914233214451</v>
      </c>
      <c r="Y509" s="169"/>
      <c r="Z509" s="119" t="str">
        <f t="shared" si="291"/>
        <v/>
      </c>
      <c r="AA509" s="4" t="str">
        <f t="shared" si="292"/>
        <v/>
      </c>
      <c r="AB509" s="466"/>
      <c r="AC509" s="466"/>
      <c r="AD509" s="466"/>
      <c r="AE509" s="466"/>
      <c r="AF509" s="466"/>
      <c r="AG509" s="466"/>
      <c r="AH509" s="466"/>
      <c r="AI509" s="466"/>
      <c r="AJ509" s="466"/>
      <c r="AK509" s="466"/>
      <c r="AL509" s="466"/>
      <c r="AM509" s="462">
        <f t="shared" si="321"/>
        <v>139</v>
      </c>
      <c r="AN509" s="32">
        <f t="shared" si="306"/>
        <v>0.97582769563675187</v>
      </c>
      <c r="AO509" s="32">
        <f t="shared" si="307"/>
        <v>0.34477346576847206</v>
      </c>
      <c r="AP509" s="32">
        <f t="shared" si="308"/>
        <v>1.9268124033809357</v>
      </c>
      <c r="AQ509" s="32">
        <f t="shared" si="309"/>
        <v>14.719762483624844</v>
      </c>
      <c r="AR509" s="32">
        <f t="shared" si="310"/>
        <v>39.852724017463338</v>
      </c>
      <c r="AS509" s="32">
        <f t="shared" si="293"/>
        <v>29.91823697439008</v>
      </c>
      <c r="AT509" s="32">
        <f t="shared" si="294"/>
        <v>20.62368</v>
      </c>
      <c r="AU509" s="32">
        <f t="shared" si="295"/>
        <v>0.89523991747665554</v>
      </c>
      <c r="AV509" s="32">
        <f t="shared" si="296"/>
        <v>0.85857388859348516</v>
      </c>
      <c r="AW509" s="32">
        <f t="shared" si="297"/>
        <v>1.7207778993854561</v>
      </c>
      <c r="AX509" s="32">
        <f t="shared" si="298"/>
        <v>0.8602074134922596</v>
      </c>
      <c r="AY509" s="32">
        <f t="shared" si="299"/>
        <v>1.0538974951263882</v>
      </c>
      <c r="AZ509" s="32">
        <f t="shared" si="311"/>
        <v>0.19627668628758518</v>
      </c>
      <c r="BA509" s="32">
        <f t="shared" si="300"/>
        <v>-5.3160953728711462</v>
      </c>
      <c r="BB509" s="32">
        <f t="shared" si="312"/>
        <v>15.307584627128854</v>
      </c>
      <c r="BC509" s="32">
        <f t="shared" si="301"/>
        <v>9.9700000000000006</v>
      </c>
      <c r="BD509" s="32">
        <v>0</v>
      </c>
      <c r="BE509" s="32">
        <f t="shared" si="313"/>
        <v>1.2904926564388579</v>
      </c>
      <c r="BF509" s="32">
        <f t="shared" si="314"/>
        <v>0.23659516131246972</v>
      </c>
      <c r="BG509" s="32">
        <f t="shared" si="315"/>
        <v>8.2157465781985808E-2</v>
      </c>
      <c r="BH509" s="32">
        <f t="shared" si="302"/>
        <v>2.6481092363657104</v>
      </c>
      <c r="BI509" s="32">
        <f t="shared" si="303"/>
        <v>0.5082418904504532</v>
      </c>
      <c r="BJ509" s="32">
        <f t="shared" si="320"/>
        <v>3.1563511268161637</v>
      </c>
      <c r="BK509" s="457">
        <f t="shared" si="304"/>
        <v>3.3408418125904338</v>
      </c>
    </row>
    <row r="510" spans="1:63" ht="15">
      <c r="A510" s="119"/>
      <c r="B510" s="480">
        <f>Input!B527</f>
        <v>38492</v>
      </c>
      <c r="C510" s="481">
        <v>2</v>
      </c>
      <c r="D510" s="481">
        <f t="shared" si="322"/>
        <v>5</v>
      </c>
      <c r="E510" s="481">
        <f t="shared" si="323"/>
        <v>20</v>
      </c>
      <c r="F510" s="481">
        <f t="shared" si="324"/>
        <v>140</v>
      </c>
      <c r="G510" s="431">
        <v>16.502400000000002</v>
      </c>
      <c r="H510" s="455">
        <v>16.11</v>
      </c>
      <c r="I510" s="455">
        <v>6.7</v>
      </c>
      <c r="J510" s="455">
        <v>1.22</v>
      </c>
      <c r="K510" s="485"/>
      <c r="L510" s="433">
        <v>93</v>
      </c>
      <c r="M510" s="455">
        <v>87</v>
      </c>
      <c r="N510" s="484">
        <f>Weather!M511</f>
        <v>0</v>
      </c>
      <c r="O510" s="481" t="str">
        <f t="shared" si="305"/>
        <v/>
      </c>
      <c r="P510" s="4">
        <f t="shared" si="316"/>
        <v>2.2714870024934979</v>
      </c>
      <c r="Q510" s="169">
        <f t="shared" si="286"/>
        <v>1.8311014884153334</v>
      </c>
      <c r="R510" s="169">
        <f t="shared" si="287"/>
        <v>0.9814065388970683</v>
      </c>
      <c r="S510" s="169">
        <f t="shared" si="288"/>
        <v>1.5930582949213401</v>
      </c>
      <c r="T510" s="169">
        <f t="shared" si="289"/>
        <v>0.9127080811742736</v>
      </c>
      <c r="U510" s="169">
        <f t="shared" si="317"/>
        <v>1.2528831880478069</v>
      </c>
      <c r="V510" s="169">
        <f t="shared" si="318"/>
        <v>4.1600066669716683E-2</v>
      </c>
      <c r="W510" s="439">
        <f t="shared" si="319"/>
        <v>10.30018416885865</v>
      </c>
      <c r="X510" s="439">
        <f t="shared" si="290"/>
        <v>10.30018416885865</v>
      </c>
      <c r="Y510" s="169"/>
      <c r="Z510" s="119" t="str">
        <f t="shared" si="291"/>
        <v/>
      </c>
      <c r="AA510" s="4" t="str">
        <f t="shared" si="292"/>
        <v/>
      </c>
      <c r="AB510" s="466"/>
      <c r="AC510" s="466"/>
      <c r="AD510" s="466"/>
      <c r="AE510" s="466"/>
      <c r="AF510" s="466"/>
      <c r="AG510" s="466"/>
      <c r="AH510" s="466"/>
      <c r="AI510" s="466"/>
      <c r="AJ510" s="466"/>
      <c r="AK510" s="466"/>
      <c r="AL510" s="466"/>
      <c r="AM510" s="462">
        <f t="shared" si="321"/>
        <v>140</v>
      </c>
      <c r="AN510" s="32">
        <f t="shared" si="306"/>
        <v>0.97544456998424511</v>
      </c>
      <c r="AO510" s="32">
        <f t="shared" si="307"/>
        <v>0.34850980170418305</v>
      </c>
      <c r="AP510" s="32">
        <f t="shared" si="308"/>
        <v>1.9311897581529691</v>
      </c>
      <c r="AQ510" s="32">
        <f t="shared" si="309"/>
        <v>14.753203010807372</v>
      </c>
      <c r="AR510" s="32">
        <f t="shared" si="310"/>
        <v>39.978890781429655</v>
      </c>
      <c r="AS510" s="32">
        <f t="shared" si="293"/>
        <v>30.012952887434874</v>
      </c>
      <c r="AT510" s="32">
        <f t="shared" si="294"/>
        <v>12.706848000000001</v>
      </c>
      <c r="AU510" s="32">
        <f t="shared" si="295"/>
        <v>0.54984259835721938</v>
      </c>
      <c r="AV510" s="32">
        <f t="shared" si="296"/>
        <v>0.39228750778224619</v>
      </c>
      <c r="AW510" s="32">
        <f t="shared" si="297"/>
        <v>1.8311014884153334</v>
      </c>
      <c r="AX510" s="32">
        <f t="shared" si="298"/>
        <v>0.9814065388970683</v>
      </c>
      <c r="AY510" s="32">
        <f t="shared" si="299"/>
        <v>1.2528831880478069</v>
      </c>
      <c r="AZ510" s="32">
        <f t="shared" si="311"/>
        <v>0.18329482942245648</v>
      </c>
      <c r="BA510" s="32">
        <f t="shared" si="300"/>
        <v>-2.3138089855685315</v>
      </c>
      <c r="BB510" s="32">
        <f t="shared" si="312"/>
        <v>10.393039014431469</v>
      </c>
      <c r="BC510" s="32">
        <f t="shared" si="301"/>
        <v>11.404999999999999</v>
      </c>
      <c r="BD510" s="32">
        <v>0</v>
      </c>
      <c r="BE510" s="32">
        <f t="shared" si="313"/>
        <v>1.4062540136562007</v>
      </c>
      <c r="BF510" s="32">
        <f t="shared" si="314"/>
        <v>0.15337082560839388</v>
      </c>
      <c r="BG510" s="32">
        <f t="shared" si="315"/>
        <v>8.9361749712641519E-2</v>
      </c>
      <c r="BH510" s="32">
        <f t="shared" si="302"/>
        <v>2.0558825936615825</v>
      </c>
      <c r="BI510" s="32">
        <f t="shared" si="303"/>
        <v>0.21560440883191526</v>
      </c>
      <c r="BJ510" s="32">
        <f t="shared" si="320"/>
        <v>2.2714870024934979</v>
      </c>
      <c r="BK510" s="457">
        <f t="shared" si="304"/>
        <v>3.3623623525256194</v>
      </c>
    </row>
    <row r="511" spans="1:63" ht="15">
      <c r="A511" s="119"/>
      <c r="B511" s="480">
        <f>Input!B528</f>
        <v>38493</v>
      </c>
      <c r="C511" s="481">
        <v>2</v>
      </c>
      <c r="D511" s="481">
        <f t="shared" si="322"/>
        <v>5</v>
      </c>
      <c r="E511" s="481">
        <f t="shared" si="323"/>
        <v>21</v>
      </c>
      <c r="F511" s="481">
        <f t="shared" si="324"/>
        <v>141</v>
      </c>
      <c r="G511" s="431">
        <v>18.230399999999999</v>
      </c>
      <c r="H511" s="455">
        <v>14.3</v>
      </c>
      <c r="I511" s="455">
        <v>10.3</v>
      </c>
      <c r="J511" s="455">
        <v>2.0299999999999998</v>
      </c>
      <c r="K511" s="485"/>
      <c r="L511" s="433">
        <v>100</v>
      </c>
      <c r="M511" s="455">
        <v>87</v>
      </c>
      <c r="N511" s="484">
        <f>Weather!M512</f>
        <v>0</v>
      </c>
      <c r="O511" s="481" t="str">
        <f t="shared" si="305"/>
        <v/>
      </c>
      <c r="P511" s="4">
        <f t="shared" si="316"/>
        <v>2.3149334984040815</v>
      </c>
      <c r="Q511" s="169">
        <f t="shared" si="286"/>
        <v>1.6299939408502728</v>
      </c>
      <c r="R511" s="169">
        <f t="shared" si="287"/>
        <v>1.2528677634951673</v>
      </c>
      <c r="S511" s="169">
        <f t="shared" si="288"/>
        <v>1.4180947285397374</v>
      </c>
      <c r="T511" s="169">
        <f t="shared" si="289"/>
        <v>1.2528677634951673</v>
      </c>
      <c r="U511" s="169">
        <f t="shared" si="317"/>
        <v>1.3354812460174523</v>
      </c>
      <c r="V511" s="169">
        <f t="shared" si="318"/>
        <v>4.5296897303958493E-2</v>
      </c>
      <c r="W511" s="439">
        <f t="shared" si="319"/>
        <v>11.258949195697339</v>
      </c>
      <c r="X511" s="439">
        <f t="shared" si="290"/>
        <v>11.258949195697339</v>
      </c>
      <c r="Y511" s="169"/>
      <c r="Z511" s="119" t="str">
        <f t="shared" si="291"/>
        <v/>
      </c>
      <c r="AA511" s="4" t="str">
        <f t="shared" si="292"/>
        <v/>
      </c>
      <c r="AB511" s="466"/>
      <c r="AC511" s="466"/>
      <c r="AD511" s="466"/>
      <c r="AE511" s="466"/>
      <c r="AF511" s="466"/>
      <c r="AG511" s="466"/>
      <c r="AH511" s="466"/>
      <c r="AI511" s="466"/>
      <c r="AJ511" s="466"/>
      <c r="AK511" s="466"/>
      <c r="AL511" s="466"/>
      <c r="AM511" s="462">
        <f t="shared" si="321"/>
        <v>141</v>
      </c>
      <c r="AN511" s="32">
        <f t="shared" si="306"/>
        <v>0.97506872063560157</v>
      </c>
      <c r="AO511" s="32">
        <f t="shared" si="307"/>
        <v>0.35214286666419159</v>
      </c>
      <c r="AP511" s="32">
        <f t="shared" si="308"/>
        <v>1.9354644979708735</v>
      </c>
      <c r="AQ511" s="32">
        <f t="shared" si="309"/>
        <v>14.785859617485032</v>
      </c>
      <c r="AR511" s="32">
        <f t="shared" si="310"/>
        <v>40.101219122080565</v>
      </c>
      <c r="AS511" s="32">
        <f t="shared" si="293"/>
        <v>30.104787219328323</v>
      </c>
      <c r="AT511" s="32">
        <f t="shared" si="294"/>
        <v>14.037407999999999</v>
      </c>
      <c r="AU511" s="32">
        <f t="shared" si="295"/>
        <v>0.60556481821919161</v>
      </c>
      <c r="AV511" s="32">
        <f t="shared" si="296"/>
        <v>0.46751250459590876</v>
      </c>
      <c r="AW511" s="32">
        <f t="shared" si="297"/>
        <v>1.6299939408502728</v>
      </c>
      <c r="AX511" s="32">
        <f t="shared" si="298"/>
        <v>1.2528677634951673</v>
      </c>
      <c r="AY511" s="32">
        <f t="shared" si="299"/>
        <v>1.3354812460174523</v>
      </c>
      <c r="AZ511" s="32">
        <f t="shared" si="311"/>
        <v>0.17821176673830058</v>
      </c>
      <c r="BA511" s="32">
        <f t="shared" si="300"/>
        <v>-2.7112763005775249</v>
      </c>
      <c r="BB511" s="32">
        <f t="shared" si="312"/>
        <v>11.326131699422474</v>
      </c>
      <c r="BC511" s="32">
        <f t="shared" si="301"/>
        <v>12.3</v>
      </c>
      <c r="BD511" s="32">
        <v>0</v>
      </c>
      <c r="BE511" s="32">
        <f t="shared" si="313"/>
        <v>1.4414308521727199</v>
      </c>
      <c r="BF511" s="32">
        <f t="shared" si="314"/>
        <v>0.10594960615526761</v>
      </c>
      <c r="BG511" s="32">
        <f t="shared" si="315"/>
        <v>9.4122233501256494E-2</v>
      </c>
      <c r="BH511" s="32">
        <f t="shared" si="302"/>
        <v>2.0955490664686987</v>
      </c>
      <c r="BI511" s="32">
        <f t="shared" si="303"/>
        <v>0.21938443193538282</v>
      </c>
      <c r="BJ511" s="32">
        <f t="shared" si="320"/>
        <v>2.3149334984040815</v>
      </c>
      <c r="BK511" s="457">
        <f t="shared" si="304"/>
        <v>2.266291754956439</v>
      </c>
    </row>
    <row r="512" spans="1:63" ht="15">
      <c r="A512" s="119"/>
      <c r="B512" s="480">
        <f>Input!B529</f>
        <v>38494</v>
      </c>
      <c r="C512" s="481">
        <v>2</v>
      </c>
      <c r="D512" s="481">
        <f t="shared" si="322"/>
        <v>5</v>
      </c>
      <c r="E512" s="481">
        <f t="shared" si="323"/>
        <v>22</v>
      </c>
      <c r="F512" s="481">
        <f t="shared" si="324"/>
        <v>142</v>
      </c>
      <c r="G512" s="431">
        <v>21.2544</v>
      </c>
      <c r="H512" s="455">
        <v>13.67</v>
      </c>
      <c r="I512" s="455">
        <v>10.9</v>
      </c>
      <c r="J512" s="455">
        <v>3.47</v>
      </c>
      <c r="K512" s="485"/>
      <c r="L512" s="433">
        <v>84</v>
      </c>
      <c r="M512" s="455">
        <v>87</v>
      </c>
      <c r="N512" s="484">
        <f>Weather!M513</f>
        <v>0</v>
      </c>
      <c r="O512" s="481" t="str">
        <f t="shared" si="305"/>
        <v/>
      </c>
      <c r="P512" s="4">
        <f t="shared" si="316"/>
        <v>2.6663210175425371</v>
      </c>
      <c r="Q512" s="169">
        <f t="shared" si="286"/>
        <v>1.5646905613636155</v>
      </c>
      <c r="R512" s="169">
        <f t="shared" si="287"/>
        <v>1.3040137525909687</v>
      </c>
      <c r="S512" s="169">
        <f t="shared" si="288"/>
        <v>1.3612807883863456</v>
      </c>
      <c r="T512" s="169">
        <f t="shared" si="289"/>
        <v>1.0953715521764138</v>
      </c>
      <c r="U512" s="169">
        <f t="shared" si="317"/>
        <v>1.2283261702813797</v>
      </c>
      <c r="V512" s="169">
        <f t="shared" si="318"/>
        <v>4.045385703952413E-2</v>
      </c>
      <c r="W512" s="439">
        <f t="shared" si="319"/>
        <v>10.00441755292897</v>
      </c>
      <c r="X512" s="439">
        <f t="shared" si="290"/>
        <v>10.00441755292897</v>
      </c>
      <c r="Y512" s="169"/>
      <c r="Z512" s="119" t="str">
        <f t="shared" si="291"/>
        <v/>
      </c>
      <c r="AA512" s="4" t="str">
        <f t="shared" si="292"/>
        <v/>
      </c>
      <c r="AB512" s="466"/>
      <c r="AC512" s="466"/>
      <c r="AD512" s="466"/>
      <c r="AE512" s="466"/>
      <c r="AF512" s="466"/>
      <c r="AG512" s="466"/>
      <c r="AH512" s="466"/>
      <c r="AI512" s="466"/>
      <c r="AJ512" s="466"/>
      <c r="AK512" s="466"/>
      <c r="AL512" s="466"/>
      <c r="AM512" s="462">
        <f t="shared" si="321"/>
        <v>142</v>
      </c>
      <c r="AN512" s="32">
        <f t="shared" si="306"/>
        <v>0.97470025896309476</v>
      </c>
      <c r="AO512" s="32">
        <f t="shared" si="307"/>
        <v>0.35567158409294203</v>
      </c>
      <c r="AP512" s="32">
        <f t="shared" si="308"/>
        <v>1.9396341144896514</v>
      </c>
      <c r="AQ512" s="32">
        <f t="shared" si="309"/>
        <v>14.817713141313565</v>
      </c>
      <c r="AR512" s="32">
        <f t="shared" si="310"/>
        <v>40.219690234926006</v>
      </c>
      <c r="AS512" s="32">
        <f t="shared" si="293"/>
        <v>30.193725853163652</v>
      </c>
      <c r="AT512" s="32">
        <f t="shared" si="294"/>
        <v>16.365888000000002</v>
      </c>
      <c r="AU512" s="32">
        <f t="shared" si="295"/>
        <v>0.70393432408319345</v>
      </c>
      <c r="AV512" s="32">
        <f t="shared" si="296"/>
        <v>0.60031133751231125</v>
      </c>
      <c r="AW512" s="32">
        <f t="shared" si="297"/>
        <v>1.5646905613636155</v>
      </c>
      <c r="AX512" s="32">
        <f t="shared" si="298"/>
        <v>1.3040137525909687</v>
      </c>
      <c r="AY512" s="32">
        <f t="shared" si="299"/>
        <v>1.2283261702813797</v>
      </c>
      <c r="AZ512" s="32">
        <f t="shared" si="311"/>
        <v>0.18483817177696366</v>
      </c>
      <c r="BA512" s="32">
        <f t="shared" si="300"/>
        <v>-3.6095622609952023</v>
      </c>
      <c r="BB512" s="32">
        <f t="shared" si="312"/>
        <v>12.756325739004799</v>
      </c>
      <c r="BC512" s="32">
        <f t="shared" si="301"/>
        <v>12.285</v>
      </c>
      <c r="BD512" s="32">
        <v>0</v>
      </c>
      <c r="BE512" s="32">
        <f t="shared" si="313"/>
        <v>1.4343521569772921</v>
      </c>
      <c r="BF512" s="32">
        <f t="shared" si="314"/>
        <v>0.20602598669591243</v>
      </c>
      <c r="BG512" s="32">
        <f t="shared" si="315"/>
        <v>9.4040704444625423E-2</v>
      </c>
      <c r="BH512" s="32">
        <f t="shared" si="302"/>
        <v>2.0365149297726561</v>
      </c>
      <c r="BI512" s="32">
        <f t="shared" si="303"/>
        <v>0.62980608776988101</v>
      </c>
      <c r="BJ512" s="32">
        <f t="shared" si="320"/>
        <v>2.6663210175425371</v>
      </c>
      <c r="BK512" s="457">
        <f t="shared" si="304"/>
        <v>1.8905596015365753</v>
      </c>
    </row>
    <row r="513" spans="1:63" ht="15">
      <c r="A513" s="119"/>
      <c r="B513" s="480">
        <f>Input!B530</f>
        <v>38495</v>
      </c>
      <c r="C513" s="481">
        <v>2</v>
      </c>
      <c r="D513" s="481">
        <f t="shared" si="322"/>
        <v>5</v>
      </c>
      <c r="E513" s="481">
        <f t="shared" si="323"/>
        <v>23</v>
      </c>
      <c r="F513" s="481">
        <f t="shared" si="324"/>
        <v>143</v>
      </c>
      <c r="G513" s="431">
        <v>13.391999999999999</v>
      </c>
      <c r="H513" s="455">
        <v>16.52</v>
      </c>
      <c r="I513" s="455">
        <v>11.2</v>
      </c>
      <c r="J513" s="455">
        <v>1.9</v>
      </c>
      <c r="K513" s="485"/>
      <c r="L513" s="433">
        <v>98</v>
      </c>
      <c r="M513" s="455">
        <v>87</v>
      </c>
      <c r="N513" s="484">
        <f>Weather!M514</f>
        <v>0</v>
      </c>
      <c r="O513" s="481" t="str">
        <f t="shared" si="305"/>
        <v/>
      </c>
      <c r="P513" s="4">
        <f t="shared" si="316"/>
        <v>2.0078951527307867</v>
      </c>
      <c r="Q513" s="169">
        <f t="shared" si="286"/>
        <v>1.879565756952523</v>
      </c>
      <c r="R513" s="169">
        <f t="shared" si="287"/>
        <v>1.3302680876001909</v>
      </c>
      <c r="S513" s="169">
        <f t="shared" si="288"/>
        <v>1.6352222085486949</v>
      </c>
      <c r="T513" s="169">
        <f t="shared" si="289"/>
        <v>1.303662725848187</v>
      </c>
      <c r="U513" s="169">
        <f t="shared" si="317"/>
        <v>1.469442467198441</v>
      </c>
      <c r="V513" s="169">
        <f t="shared" si="318"/>
        <v>5.0832006975741653E-2</v>
      </c>
      <c r="W513" s="439">
        <f t="shared" si="319"/>
        <v>12.708430271558061</v>
      </c>
      <c r="X513" s="439">
        <f t="shared" si="290"/>
        <v>12.708430271558061</v>
      </c>
      <c r="Y513" s="169"/>
      <c r="Z513" s="119" t="str">
        <f t="shared" si="291"/>
        <v/>
      </c>
      <c r="AA513" s="4" t="str">
        <f t="shared" si="292"/>
        <v/>
      </c>
      <c r="AB513" s="466"/>
      <c r="AC513" s="466"/>
      <c r="AD513" s="466"/>
      <c r="AE513" s="466"/>
      <c r="AF513" s="466"/>
      <c r="AG513" s="466"/>
      <c r="AH513" s="466"/>
      <c r="AI513" s="466"/>
      <c r="AJ513" s="466"/>
      <c r="AK513" s="466"/>
      <c r="AL513" s="466"/>
      <c r="AM513" s="462">
        <f t="shared" si="321"/>
        <v>143</v>
      </c>
      <c r="AN513" s="32">
        <f t="shared" si="306"/>
        <v>0.97433929414987031</v>
      </c>
      <c r="AO513" s="32">
        <f t="shared" si="307"/>
        <v>0.35909490835530422</v>
      </c>
      <c r="AP513" s="32">
        <f t="shared" si="308"/>
        <v>1.9436961108974382</v>
      </c>
      <c r="AQ513" s="32">
        <f t="shared" si="309"/>
        <v>14.848744508055365</v>
      </c>
      <c r="AR513" s="32">
        <f t="shared" si="310"/>
        <v>40.334286128647932</v>
      </c>
      <c r="AS513" s="32">
        <f t="shared" si="293"/>
        <v>30.279755282498577</v>
      </c>
      <c r="AT513" s="32">
        <f t="shared" si="294"/>
        <v>10.31184</v>
      </c>
      <c r="AU513" s="32">
        <f t="shared" si="295"/>
        <v>0.44227570120886855</v>
      </c>
      <c r="AV513" s="32">
        <f t="shared" si="296"/>
        <v>0.24707219663197266</v>
      </c>
      <c r="AW513" s="32">
        <f t="shared" si="297"/>
        <v>1.879565756952523</v>
      </c>
      <c r="AX513" s="32">
        <f t="shared" si="298"/>
        <v>1.3302680876001909</v>
      </c>
      <c r="AY513" s="32">
        <f t="shared" si="299"/>
        <v>1.469442467198441</v>
      </c>
      <c r="AZ513" s="32">
        <f t="shared" si="311"/>
        <v>0.17029121308226425</v>
      </c>
      <c r="BA513" s="32">
        <f t="shared" si="300"/>
        <v>-1.3996649232641452</v>
      </c>
      <c r="BB513" s="32">
        <f t="shared" si="312"/>
        <v>8.9121750767358545</v>
      </c>
      <c r="BC513" s="32">
        <f t="shared" si="301"/>
        <v>13.86</v>
      </c>
      <c r="BD513" s="32">
        <v>0</v>
      </c>
      <c r="BE513" s="32">
        <f t="shared" si="313"/>
        <v>1.6049169222763568</v>
      </c>
      <c r="BF513" s="32">
        <f t="shared" si="314"/>
        <v>0.13547445507791589</v>
      </c>
      <c r="BG513" s="32">
        <f t="shared" si="315"/>
        <v>0.10293670422126049</v>
      </c>
      <c r="BH513" s="32">
        <f t="shared" si="302"/>
        <v>1.753923171404945</v>
      </c>
      <c r="BI513" s="32">
        <f t="shared" si="303"/>
        <v>0.25397198132584159</v>
      </c>
      <c r="BJ513" s="32">
        <f t="shared" si="320"/>
        <v>2.0078951527307867</v>
      </c>
      <c r="BK513" s="457">
        <f t="shared" si="304"/>
        <v>2.7650491351104001</v>
      </c>
    </row>
    <row r="514" spans="1:63" ht="15">
      <c r="A514" s="119"/>
      <c r="B514" s="480">
        <f>Input!B531</f>
        <v>38496</v>
      </c>
      <c r="C514" s="481">
        <v>2</v>
      </c>
      <c r="D514" s="481">
        <f t="shared" si="322"/>
        <v>5</v>
      </c>
      <c r="E514" s="481">
        <f t="shared" si="323"/>
        <v>24</v>
      </c>
      <c r="F514" s="481">
        <f t="shared" si="324"/>
        <v>144</v>
      </c>
      <c r="G514" s="431">
        <v>21.2544</v>
      </c>
      <c r="H514" s="455">
        <v>19.8</v>
      </c>
      <c r="I514" s="455">
        <v>15.1</v>
      </c>
      <c r="J514" s="455">
        <v>1.61</v>
      </c>
      <c r="K514" s="485"/>
      <c r="L514" s="433">
        <v>91</v>
      </c>
      <c r="M514" s="455">
        <v>83</v>
      </c>
      <c r="N514" s="484">
        <f>Weather!M515</f>
        <v>0</v>
      </c>
      <c r="O514" s="481" t="str">
        <f t="shared" si="305"/>
        <v/>
      </c>
      <c r="P514" s="4">
        <f t="shared" si="316"/>
        <v>3.3353746158162507</v>
      </c>
      <c r="Q514" s="169">
        <f t="shared" si="286"/>
        <v>2.3094882494907831</v>
      </c>
      <c r="R514" s="169">
        <f t="shared" si="287"/>
        <v>1.7163564077019398</v>
      </c>
      <c r="S514" s="169">
        <f t="shared" si="288"/>
        <v>1.9168752470773498</v>
      </c>
      <c r="T514" s="169">
        <f t="shared" si="289"/>
        <v>1.5618843310087653</v>
      </c>
      <c r="U514" s="169">
        <f t="shared" si="317"/>
        <v>1.7393797890430576</v>
      </c>
      <c r="V514" s="169">
        <f t="shared" si="318"/>
        <v>6.059723869394678E-2</v>
      </c>
      <c r="W514" s="439">
        <f t="shared" si="319"/>
        <v>15.307305167041893</v>
      </c>
      <c r="X514" s="439">
        <f t="shared" si="290"/>
        <v>15.307305167041893</v>
      </c>
      <c r="Y514" s="169"/>
      <c r="Z514" s="119" t="str">
        <f t="shared" si="291"/>
        <v/>
      </c>
      <c r="AA514" s="4" t="str">
        <f t="shared" si="292"/>
        <v/>
      </c>
      <c r="AB514" s="466"/>
      <c r="AC514" s="466"/>
      <c r="AD514" s="466"/>
      <c r="AE514" s="466"/>
      <c r="AF514" s="466"/>
      <c r="AG514" s="466"/>
      <c r="AH514" s="466"/>
      <c r="AI514" s="466"/>
      <c r="AJ514" s="466"/>
      <c r="AK514" s="466"/>
      <c r="AL514" s="466"/>
      <c r="AM514" s="462">
        <f t="shared" si="321"/>
        <v>144</v>
      </c>
      <c r="AN514" s="32">
        <f t="shared" si="306"/>
        <v>0.97398593315759263</v>
      </c>
      <c r="AO514" s="32">
        <f t="shared" si="307"/>
        <v>0.36241182504641783</v>
      </c>
      <c r="AP514" s="32">
        <f t="shared" si="308"/>
        <v>1.9476480062878949</v>
      </c>
      <c r="AQ514" s="32">
        <f t="shared" si="309"/>
        <v>14.87893476498208</v>
      </c>
      <c r="AR514" s="32">
        <f t="shared" si="310"/>
        <v>40.444989606212332</v>
      </c>
      <c r="AS514" s="32">
        <f t="shared" si="293"/>
        <v>30.362862597175724</v>
      </c>
      <c r="AT514" s="32">
        <f t="shared" si="294"/>
        <v>16.365888000000002</v>
      </c>
      <c r="AU514" s="32">
        <f t="shared" si="295"/>
        <v>0.70001304824193455</v>
      </c>
      <c r="AV514" s="32">
        <f t="shared" si="296"/>
        <v>0.59501761512661178</v>
      </c>
      <c r="AW514" s="32">
        <f t="shared" si="297"/>
        <v>2.3094882494907831</v>
      </c>
      <c r="AX514" s="32">
        <f t="shared" si="298"/>
        <v>1.7163564077019398</v>
      </c>
      <c r="AY514" s="32">
        <f t="shared" si="299"/>
        <v>1.7393797890430571</v>
      </c>
      <c r="AZ514" s="32">
        <f t="shared" si="311"/>
        <v>0.15536023216748804</v>
      </c>
      <c r="BA514" s="32">
        <f t="shared" si="300"/>
        <v>-3.2316072733620222</v>
      </c>
      <c r="BB514" s="32">
        <f t="shared" si="312"/>
        <v>13.134280726637979</v>
      </c>
      <c r="BC514" s="32">
        <f t="shared" si="301"/>
        <v>17.45</v>
      </c>
      <c r="BD514" s="32">
        <v>0</v>
      </c>
      <c r="BE514" s="32">
        <f t="shared" si="313"/>
        <v>2.0129223285963613</v>
      </c>
      <c r="BF514" s="32">
        <f t="shared" si="314"/>
        <v>0.27354253955330421</v>
      </c>
      <c r="BG514" s="32">
        <f t="shared" si="315"/>
        <v>0.1259231912299546</v>
      </c>
      <c r="BH514" s="32">
        <f t="shared" si="302"/>
        <v>2.9367836121408195</v>
      </c>
      <c r="BI514" s="32">
        <f t="shared" si="303"/>
        <v>0.39859100367543115</v>
      </c>
      <c r="BJ514" s="32">
        <f t="shared" si="320"/>
        <v>3.3353746158162507</v>
      </c>
      <c r="BK514" s="457">
        <f t="shared" si="304"/>
        <v>2.9015798731510518</v>
      </c>
    </row>
    <row r="515" spans="1:63" ht="15">
      <c r="A515" s="119"/>
      <c r="B515" s="480">
        <f>Input!B532</f>
        <v>38497</v>
      </c>
      <c r="C515" s="481">
        <v>2</v>
      </c>
      <c r="D515" s="481">
        <f t="shared" si="322"/>
        <v>5</v>
      </c>
      <c r="E515" s="481">
        <f t="shared" si="323"/>
        <v>25</v>
      </c>
      <c r="F515" s="481">
        <f t="shared" si="324"/>
        <v>145</v>
      </c>
      <c r="G515" s="431">
        <v>24.278400000000001</v>
      </c>
      <c r="H515" s="455">
        <v>22.06</v>
      </c>
      <c r="I515" s="455">
        <v>14.9</v>
      </c>
      <c r="J515" s="455">
        <v>1.97</v>
      </c>
      <c r="K515" s="485"/>
      <c r="L515" s="433">
        <v>99</v>
      </c>
      <c r="M515" s="455">
        <v>84</v>
      </c>
      <c r="N515" s="484">
        <f>Weather!M516</f>
        <v>0</v>
      </c>
      <c r="O515" s="481" t="str">
        <f t="shared" si="305"/>
        <v/>
      </c>
      <c r="P515" s="4">
        <f t="shared" si="316"/>
        <v>3.6860224665711194</v>
      </c>
      <c r="Q515" s="169">
        <f t="shared" si="286"/>
        <v>2.653615757844789</v>
      </c>
      <c r="R515" s="169">
        <f t="shared" si="287"/>
        <v>1.6943980378095331</v>
      </c>
      <c r="S515" s="169">
        <f t="shared" si="288"/>
        <v>2.2290372365896225</v>
      </c>
      <c r="T515" s="169">
        <f t="shared" si="289"/>
        <v>1.6774540574314378</v>
      </c>
      <c r="U515" s="169">
        <f t="shared" si="317"/>
        <v>1.9532456470105302</v>
      </c>
      <c r="V515" s="169">
        <f t="shared" si="318"/>
        <v>6.7311993569305964E-2</v>
      </c>
      <c r="W515" s="439">
        <f t="shared" si="319"/>
        <v>17.125915594351788</v>
      </c>
      <c r="X515" s="439">
        <f t="shared" si="290"/>
        <v>17.125915594351788</v>
      </c>
      <c r="Y515" s="169"/>
      <c r="Z515" s="119" t="str">
        <f t="shared" si="291"/>
        <v/>
      </c>
      <c r="AA515" s="4" t="str">
        <f t="shared" si="292"/>
        <v/>
      </c>
      <c r="AB515" s="466"/>
      <c r="AC515" s="466"/>
      <c r="AD515" s="466"/>
      <c r="AE515" s="466"/>
      <c r="AF515" s="466"/>
      <c r="AG515" s="466"/>
      <c r="AH515" s="466"/>
      <c r="AI515" s="466"/>
      <c r="AJ515" s="466"/>
      <c r="AK515" s="466"/>
      <c r="AL515" s="466"/>
      <c r="AM515" s="462">
        <f t="shared" si="321"/>
        <v>145</v>
      </c>
      <c r="AN515" s="32">
        <f t="shared" si="306"/>
        <v>0.97364028069474995</v>
      </c>
      <c r="AO515" s="32">
        <f t="shared" si="307"/>
        <v>0.36562135129228251</v>
      </c>
      <c r="AP515" s="32">
        <f t="shared" si="308"/>
        <v>1.9514873401699415</v>
      </c>
      <c r="AQ515" s="32">
        <f t="shared" si="309"/>
        <v>14.908265115326461</v>
      </c>
      <c r="AR515" s="32">
        <f t="shared" si="310"/>
        <v>40.551784247315283</v>
      </c>
      <c r="AS515" s="32">
        <f t="shared" si="293"/>
        <v>30.44303547014453</v>
      </c>
      <c r="AT515" s="32">
        <f t="shared" si="294"/>
        <v>18.694368000000001</v>
      </c>
      <c r="AU515" s="32">
        <f t="shared" si="295"/>
        <v>0.79750260199282086</v>
      </c>
      <c r="AV515" s="32">
        <f t="shared" si="296"/>
        <v>0.72662851269030815</v>
      </c>
      <c r="AW515" s="32">
        <f t="shared" si="297"/>
        <v>2.653615757844789</v>
      </c>
      <c r="AX515" s="32">
        <f t="shared" si="298"/>
        <v>1.6943980378095331</v>
      </c>
      <c r="AY515" s="32">
        <f t="shared" si="299"/>
        <v>1.9532456470105295</v>
      </c>
      <c r="AZ515" s="32">
        <f t="shared" si="311"/>
        <v>0.14433800910394892</v>
      </c>
      <c r="BA515" s="32">
        <f t="shared" si="300"/>
        <v>-3.720578983692759</v>
      </c>
      <c r="BB515" s="32">
        <f t="shared" si="312"/>
        <v>14.973789016307242</v>
      </c>
      <c r="BC515" s="32">
        <f t="shared" si="301"/>
        <v>18.48</v>
      </c>
      <c r="BD515" s="32">
        <v>0</v>
      </c>
      <c r="BE515" s="32">
        <f t="shared" si="313"/>
        <v>2.1740068978271609</v>
      </c>
      <c r="BF515" s="32">
        <f t="shared" si="314"/>
        <v>0.22076125081663145</v>
      </c>
      <c r="BG515" s="32">
        <f t="shared" si="315"/>
        <v>0.13327076747160366</v>
      </c>
      <c r="BH515" s="32">
        <f t="shared" si="302"/>
        <v>3.3186829443450829</v>
      </c>
      <c r="BI515" s="32">
        <f t="shared" si="303"/>
        <v>0.3673395222260365</v>
      </c>
      <c r="BJ515" s="32">
        <f t="shared" si="320"/>
        <v>3.6860224665711194</v>
      </c>
      <c r="BK515" s="457">
        <f t="shared" si="304"/>
        <v>3.695689778579677</v>
      </c>
    </row>
    <row r="516" spans="1:63" ht="15">
      <c r="A516" s="119"/>
      <c r="B516" s="480">
        <f>Input!B533</f>
        <v>38498</v>
      </c>
      <c r="C516" s="481">
        <v>2</v>
      </c>
      <c r="D516" s="481">
        <f t="shared" si="322"/>
        <v>5</v>
      </c>
      <c r="E516" s="481">
        <f t="shared" si="323"/>
        <v>26</v>
      </c>
      <c r="F516" s="481">
        <f t="shared" si="324"/>
        <v>146</v>
      </c>
      <c r="G516" s="431">
        <v>21.6</v>
      </c>
      <c r="H516" s="455">
        <v>21.08</v>
      </c>
      <c r="I516" s="455">
        <v>15.6</v>
      </c>
      <c r="J516" s="455">
        <v>2.06</v>
      </c>
      <c r="K516" s="485"/>
      <c r="L516" s="433">
        <v>100</v>
      </c>
      <c r="M516" s="455">
        <v>85</v>
      </c>
      <c r="N516" s="484">
        <v>0</v>
      </c>
      <c r="O516" s="481" t="str">
        <f t="shared" si="305"/>
        <v/>
      </c>
      <c r="P516" s="4">
        <f t="shared" si="316"/>
        <v>3.28904064531531</v>
      </c>
      <c r="Q516" s="169">
        <f t="shared" si="286"/>
        <v>2.4992527055244507</v>
      </c>
      <c r="R516" s="169">
        <f t="shared" si="287"/>
        <v>1.7723474716742158</v>
      </c>
      <c r="S516" s="169">
        <f t="shared" si="288"/>
        <v>2.1243647996957828</v>
      </c>
      <c r="T516" s="169">
        <f t="shared" si="289"/>
        <v>1.7723474716742158</v>
      </c>
      <c r="U516" s="169">
        <f t="shared" si="317"/>
        <v>1.9483561356849992</v>
      </c>
      <c r="V516" s="169">
        <f t="shared" si="318"/>
        <v>6.7166862498076241E-2</v>
      </c>
      <c r="W516" s="439">
        <f t="shared" si="319"/>
        <v>17.086331767197347</v>
      </c>
      <c r="X516" s="439">
        <f t="shared" si="290"/>
        <v>17.086331767197347</v>
      </c>
      <c r="Y516" s="169"/>
      <c r="Z516" s="119" t="str">
        <f t="shared" si="291"/>
        <v/>
      </c>
      <c r="AA516" s="4" t="str">
        <f t="shared" si="292"/>
        <v/>
      </c>
      <c r="AB516" s="466"/>
      <c r="AC516" s="466"/>
      <c r="AD516" s="466"/>
      <c r="AE516" s="466"/>
      <c r="AF516" s="466"/>
      <c r="AG516" s="466"/>
      <c r="AH516" s="466"/>
      <c r="AI516" s="466"/>
      <c r="AJ516" s="466"/>
      <c r="AK516" s="466"/>
      <c r="AL516" s="466"/>
      <c r="AM516" s="462">
        <f t="shared" si="321"/>
        <v>146</v>
      </c>
      <c r="AN516" s="32">
        <f t="shared" si="306"/>
        <v>0.97330243918562676</v>
      </c>
      <c r="AO516" s="32">
        <f t="shared" si="307"/>
        <v>0.3687225360410043</v>
      </c>
      <c r="AP516" s="32">
        <f t="shared" si="308"/>
        <v>1.955211677102539</v>
      </c>
      <c r="AQ516" s="32">
        <f t="shared" si="309"/>
        <v>14.936716953689464</v>
      </c>
      <c r="AR516" s="32">
        <f t="shared" si="310"/>
        <v>40.654654392169732</v>
      </c>
      <c r="AS516" s="32">
        <f t="shared" si="293"/>
        <v>30.520262145289664</v>
      </c>
      <c r="AT516" s="32">
        <f t="shared" si="294"/>
        <v>16.632000000000001</v>
      </c>
      <c r="AU516" s="32">
        <f t="shared" si="295"/>
        <v>0.70772655546582952</v>
      </c>
      <c r="AV516" s="32">
        <f t="shared" si="296"/>
        <v>0.60543084987886997</v>
      </c>
      <c r="AW516" s="32">
        <f t="shared" si="297"/>
        <v>2.4992527055244507</v>
      </c>
      <c r="AX516" s="32">
        <f t="shared" si="298"/>
        <v>1.7723474716742158</v>
      </c>
      <c r="AY516" s="32">
        <f t="shared" si="299"/>
        <v>1.9483561356849992</v>
      </c>
      <c r="AZ516" s="32">
        <f t="shared" si="311"/>
        <v>0.14458306045937067</v>
      </c>
      <c r="BA516" s="32">
        <f t="shared" si="300"/>
        <v>-3.0981530485734288</v>
      </c>
      <c r="BB516" s="32">
        <f t="shared" si="312"/>
        <v>13.533846951426572</v>
      </c>
      <c r="BC516" s="32">
        <f t="shared" si="301"/>
        <v>18.34</v>
      </c>
      <c r="BD516" s="32">
        <v>0</v>
      </c>
      <c r="BE516" s="32">
        <f t="shared" si="313"/>
        <v>2.1358000885993333</v>
      </c>
      <c r="BF516" s="32">
        <f t="shared" si="314"/>
        <v>0.18744395291433413</v>
      </c>
      <c r="BG516" s="32">
        <f t="shared" si="315"/>
        <v>0.13225123220024307</v>
      </c>
      <c r="BH516" s="32">
        <f t="shared" si="302"/>
        <v>2.9641036722659635</v>
      </c>
      <c r="BI516" s="32">
        <f t="shared" si="303"/>
        <v>0.32493697304934654</v>
      </c>
      <c r="BJ516" s="32">
        <f t="shared" si="320"/>
        <v>3.28904064531531</v>
      </c>
      <c r="BK516" s="457">
        <f t="shared" si="304"/>
        <v>3.2288692019810439</v>
      </c>
    </row>
    <row r="517" spans="1:63" ht="15">
      <c r="A517" s="119"/>
      <c r="B517" s="480">
        <f>Input!B534</f>
        <v>38499</v>
      </c>
      <c r="C517" s="481">
        <v>2</v>
      </c>
      <c r="D517" s="481">
        <f t="shared" si="322"/>
        <v>5</v>
      </c>
      <c r="E517" s="481">
        <f t="shared" si="323"/>
        <v>27</v>
      </c>
      <c r="F517" s="481">
        <f t="shared" si="324"/>
        <v>147</v>
      </c>
      <c r="G517" s="431">
        <v>20.217600000000001</v>
      </c>
      <c r="H517" s="455">
        <v>18.7</v>
      </c>
      <c r="I517" s="455">
        <v>13.9</v>
      </c>
      <c r="J517" s="455">
        <v>1.67</v>
      </c>
      <c r="K517" s="485"/>
      <c r="L517" s="433">
        <v>80</v>
      </c>
      <c r="M517" s="455">
        <v>83</v>
      </c>
      <c r="N517" s="484">
        <v>0</v>
      </c>
      <c r="O517" s="481" t="str">
        <f t="shared" si="305"/>
        <v/>
      </c>
      <c r="P517" s="4">
        <f t="shared" si="316"/>
        <v>3.2219838024285434</v>
      </c>
      <c r="Q517" s="169">
        <f t="shared" ref="Q517:Q582" si="325">IF(H517="","",0.6108*EXP((17.27*H517)/(H517+237.3)))</f>
        <v>2.1566019800756622</v>
      </c>
      <c r="R517" s="169">
        <f t="shared" ref="R517:R582" si="326">IF(I517="","",0.6108*EXP((17.27*I517)/(I517+237.3)))</f>
        <v>1.5882603446201491</v>
      </c>
      <c r="S517" s="169">
        <f t="shared" ref="S517:S582" si="327">IF(OR(M517="",Q517=""),"",M517/100*Q517)</f>
        <v>1.7899796434627995</v>
      </c>
      <c r="T517" s="169">
        <f t="shared" ref="T517:T582" si="328">IF(OR(L517="",R517=""),"",L517/100*R517)</f>
        <v>1.2706082756961194</v>
      </c>
      <c r="U517" s="169">
        <f t="shared" si="317"/>
        <v>1.5302939595794594</v>
      </c>
      <c r="V517" s="169">
        <f t="shared" si="318"/>
        <v>5.3181560685084235E-2</v>
      </c>
      <c r="W517" s="439">
        <f t="shared" si="319"/>
        <v>13.328832463066375</v>
      </c>
      <c r="X517" s="439">
        <f t="shared" ref="X517:X580" si="329">IF(AND(K517="",W517=""),"",IF(K517="",W517,K517))</f>
        <v>13.328832463066375</v>
      </c>
      <c r="Y517" s="169"/>
      <c r="Z517" s="119" t="str">
        <f t="shared" ref="Z517:Z582" si="330">IF(AND(B517&gt;=H$1,B517&lt;=J$1),3,"")</f>
        <v/>
      </c>
      <c r="AA517" s="4" t="str">
        <f t="shared" ref="AA517:AA580" si="331">IF(Z517=3,$P$1+0.1654*($AA$1-7.3)*($P$1-1),"")</f>
        <v/>
      </c>
      <c r="AB517" s="466"/>
      <c r="AC517" s="466"/>
      <c r="AD517" s="466"/>
      <c r="AE517" s="466"/>
      <c r="AF517" s="466"/>
      <c r="AG517" s="466"/>
      <c r="AH517" s="466"/>
      <c r="AI517" s="466"/>
      <c r="AJ517" s="466"/>
      <c r="AK517" s="466"/>
      <c r="AL517" s="466"/>
      <c r="AM517" s="462">
        <f t="shared" si="321"/>
        <v>147</v>
      </c>
      <c r="AN517" s="32">
        <f t="shared" si="306"/>
        <v>0.97297250873995333</v>
      </c>
      <c r="AO517" s="32">
        <f t="shared" si="307"/>
        <v>0.37171446034461303</v>
      </c>
      <c r="AP517" s="32">
        <f t="shared" si="308"/>
        <v>1.9588186114408845</v>
      </c>
      <c r="AQ517" s="32">
        <f t="shared" si="309"/>
        <v>14.964271902298533</v>
      </c>
      <c r="AR517" s="32">
        <f t="shared" si="310"/>
        <v>40.753585126629233</v>
      </c>
      <c r="AS517" s="32">
        <f t="shared" ref="AS517:AS580" si="332">AR517*(0.75+2*10^-5*E$2)</f>
        <v>30.594531426263099</v>
      </c>
      <c r="AT517" s="32">
        <f t="shared" ref="AT517:AT582" si="333">IF(G517="","",(1-AO$1)*G517)</f>
        <v>15.567552000000001</v>
      </c>
      <c r="AU517" s="32">
        <f t="shared" ref="AU517:AU582" si="334">IF(G517="","",IF(G517/AS517&lt;0.3,0.3,IF(G517/AS517&gt;1,1,G517/AS517)))</f>
        <v>0.66082397923717551</v>
      </c>
      <c r="AV517" s="32">
        <f t="shared" ref="AV517:AV580" si="335">IF(G517="","",1.35*AU517-0.35)</f>
        <v>0.54211237197018702</v>
      </c>
      <c r="AW517" s="32">
        <f t="shared" ref="AW517:AW582" si="336">IF(H517="","",0.6108*EXP((17.27*H517)/(H517+237.3)))</f>
        <v>2.1566019800756622</v>
      </c>
      <c r="AX517" s="32">
        <f t="shared" ref="AX517:AX582" si="337">IF(I517="","",0.6108*EXP((17.27*I517)/(I517+237.3)))</f>
        <v>1.5882603446201491</v>
      </c>
      <c r="AY517" s="32">
        <f t="shared" ref="AY517:AY582" si="338">IF(X517="","",0.6108*EXP((17.27*X517)/(X517+237.3)))</f>
        <v>1.5302939595794594</v>
      </c>
      <c r="AZ517" s="32">
        <f t="shared" si="311"/>
        <v>0.16681292886662297</v>
      </c>
      <c r="BA517" s="32">
        <f t="shared" ref="BA517:BA580" si="339">IF(AV517="","",IF(AZ517="","",IF(H517="","",IF(I517="","",-AV517*AZ517*BA$1*(((H517+273.15)^4+(I517+273.15)^4)/2)))))</f>
        <v>-3.111633473476239</v>
      </c>
      <c r="BB517" s="32">
        <f t="shared" si="312"/>
        <v>12.455918526523762</v>
      </c>
      <c r="BC517" s="32">
        <f t="shared" ref="BC517:BC582" si="340">IF(H517="","",IF(I517="","",(H517+I517)/2))</f>
        <v>16.3</v>
      </c>
      <c r="BD517" s="32">
        <v>0</v>
      </c>
      <c r="BE517" s="32">
        <f t="shared" si="313"/>
        <v>1.8724311623479055</v>
      </c>
      <c r="BF517" s="32">
        <f t="shared" si="314"/>
        <v>0.34213720276844617</v>
      </c>
      <c r="BG517" s="32">
        <f t="shared" si="315"/>
        <v>0.11812828143960909</v>
      </c>
      <c r="BH517" s="32">
        <f t="shared" ref="BH517:BH582" si="341">IF($AY517="","",IF($G517="","",0.408*$BG517*($BB517-$BD517)/($BG517+$BA$2*(1+0.34*$J517))))</f>
        <v>2.6878686226184443</v>
      </c>
      <c r="BI517" s="32">
        <f t="shared" ref="BI517:BI582" si="342">IF($BC517="","",IF($BF517="","",IF($BG517="","",IF($J517="","",($BA$2*900/($BC517+273)*$J517*$BF517)/($BG517+$BA$2*(1+0.34*$J517))))))</f>
        <v>0.53411517981009915</v>
      </c>
      <c r="BJ517" s="32">
        <f t="shared" si="320"/>
        <v>3.2219838024285434</v>
      </c>
      <c r="BK517" s="457">
        <f t="shared" ref="BK517:BK582" si="343">IF(OR(H517="",I517=""),"",0.0023*AR517*(H517-I517)^0.5*((H517+I517)/2+17.8)/2.45)</f>
        <v>2.8582655134436599</v>
      </c>
    </row>
    <row r="518" spans="1:63" ht="15">
      <c r="A518" s="119"/>
      <c r="B518" s="480">
        <f>Input!B535</f>
        <v>38500</v>
      </c>
      <c r="C518" s="481">
        <v>2</v>
      </c>
      <c r="D518" s="481">
        <f t="shared" si="322"/>
        <v>5</v>
      </c>
      <c r="E518" s="481">
        <f t="shared" si="323"/>
        <v>28</v>
      </c>
      <c r="F518" s="481">
        <f t="shared" si="324"/>
        <v>148</v>
      </c>
      <c r="G518" s="431">
        <v>19.3536</v>
      </c>
      <c r="H518" s="455">
        <v>19.57</v>
      </c>
      <c r="I518" s="455">
        <v>11.1</v>
      </c>
      <c r="J518" s="455">
        <v>1.46</v>
      </c>
      <c r="K518" s="485"/>
      <c r="L518" s="433">
        <v>100</v>
      </c>
      <c r="M518" s="455">
        <v>86</v>
      </c>
      <c r="N518" s="484">
        <f>Weather!M519</f>
        <v>0</v>
      </c>
      <c r="O518" s="481" t="str">
        <f t="shared" ref="O518:O581" si="344">IF(AND(N518&lt;&gt;"",P518&lt;&gt;"",N518&gt;(P518*2)),1,"")</f>
        <v/>
      </c>
      <c r="P518" s="4">
        <f t="shared" si="316"/>
        <v>2.8444012802599774</v>
      </c>
      <c r="Q518" s="169">
        <f t="shared" si="325"/>
        <v>2.2767600102281214</v>
      </c>
      <c r="R518" s="169">
        <f t="shared" si="326"/>
        <v>1.3214654993101305</v>
      </c>
      <c r="S518" s="169">
        <f t="shared" si="327"/>
        <v>1.9580136087961844</v>
      </c>
      <c r="T518" s="169">
        <f t="shared" si="328"/>
        <v>1.3214654993101305</v>
      </c>
      <c r="U518" s="169">
        <f t="shared" si="317"/>
        <v>1.6397395540531574</v>
      </c>
      <c r="V518" s="169">
        <f t="shared" si="318"/>
        <v>5.7181420171290596E-2</v>
      </c>
      <c r="W518" s="439">
        <f t="shared" si="319"/>
        <v>14.392112434942142</v>
      </c>
      <c r="X518" s="439">
        <f t="shared" si="329"/>
        <v>14.392112434942142</v>
      </c>
      <c r="Y518" s="169"/>
      <c r="Z518" s="119" t="str">
        <f t="shared" si="330"/>
        <v/>
      </c>
      <c r="AA518" s="4" t="str">
        <f t="shared" si="331"/>
        <v/>
      </c>
      <c r="AB518" s="466"/>
      <c r="AC518" s="466"/>
      <c r="AD518" s="466"/>
      <c r="AE518" s="466"/>
      <c r="AF518" s="466"/>
      <c r="AG518" s="466"/>
      <c r="AH518" s="466"/>
      <c r="AI518" s="466"/>
      <c r="AJ518" s="466"/>
      <c r="AK518" s="466"/>
      <c r="AL518" s="466"/>
      <c r="AM518" s="462">
        <f t="shared" si="321"/>
        <v>148</v>
      </c>
      <c r="AN518" s="32">
        <f t="shared" ref="AN518:AN581" si="345">1+0.033*COS(2*PI()/365*AM518)</f>
        <v>0.97265058712324137</v>
      </c>
      <c r="AO518" s="32">
        <f t="shared" ref="AO518:AO530" si="346">0.409*SIN(2*PI()/365*AM518-1.39)</f>
        <v>0.37459623763136651</v>
      </c>
      <c r="AP518" s="32">
        <f t="shared" ref="AP518:AP530" si="347">ACOS(-TAN(AS$2)*TAN(AO518))</f>
        <v>1.9623057721790784</v>
      </c>
      <c r="AQ518" s="32">
        <f t="shared" ref="AQ518:AQ530" si="348">AP518*24/PI()</f>
        <v>14.990911848002829</v>
      </c>
      <c r="AR518" s="32">
        <f t="shared" ref="AR518:AR530" si="349">(24*60/PI())*AS$1*AN518*(AP518*SIN(AS$2)*SIN(AO518)+COS(AS$2)*COS(AO518)*SIN(AP518))</f>
        <v>40.848562268635064</v>
      </c>
      <c r="AS518" s="32">
        <f t="shared" si="332"/>
        <v>30.665832666309718</v>
      </c>
      <c r="AT518" s="32">
        <f t="shared" si="333"/>
        <v>14.902272</v>
      </c>
      <c r="AU518" s="32">
        <f t="shared" si="334"/>
        <v>0.63111281570587741</v>
      </c>
      <c r="AV518" s="32">
        <f t="shared" si="335"/>
        <v>0.50200230120293454</v>
      </c>
      <c r="AW518" s="32">
        <f t="shared" si="336"/>
        <v>2.2767600102281214</v>
      </c>
      <c r="AX518" s="32">
        <f t="shared" si="337"/>
        <v>1.3214654993101305</v>
      </c>
      <c r="AY518" s="32">
        <f t="shared" si="338"/>
        <v>1.6397395540531574</v>
      </c>
      <c r="AZ518" s="32">
        <f t="shared" ref="AZ518:AZ581" si="350">IF(AY518="","",0.34-0.14*SQRT(AY518))</f>
        <v>0.16072675810528256</v>
      </c>
      <c r="BA518" s="32">
        <f t="shared" si="339"/>
        <v>-2.7418528067235974</v>
      </c>
      <c r="BB518" s="32">
        <f t="shared" ref="BB518:BB530" si="351">IF(AT518="","",IF(BA518="","",AT518+BA518))</f>
        <v>12.160419193276402</v>
      </c>
      <c r="BC518" s="32">
        <f t="shared" si="340"/>
        <v>15.335000000000001</v>
      </c>
      <c r="BD518" s="32">
        <v>0</v>
      </c>
      <c r="BE518" s="32">
        <f t="shared" ref="BE518:BE530" si="352">IF(AW518="","",IF(AX518="","",(AW518+AX518)/2))</f>
        <v>1.7991127547691259</v>
      </c>
      <c r="BF518" s="32">
        <f t="shared" ref="BF518:BF530" si="353">IF(BE518="","",IF(AY518="","",BE518-AY518))</f>
        <v>0.1593732007159685</v>
      </c>
      <c r="BG518" s="32">
        <f t="shared" ref="BG518:BG530" si="354">IF(BE518="","",IF(BC518="","",4099*0.6108*EXP((17.27*BC518)/(BC518+237.3))/(BC518+237.3)^2))</f>
        <v>0.11190711190445263</v>
      </c>
      <c r="BH518" s="32">
        <f t="shared" si="341"/>
        <v>2.6148403762798633</v>
      </c>
      <c r="BI518" s="32">
        <f t="shared" si="342"/>
        <v>0.22956090398011386</v>
      </c>
      <c r="BJ518" s="32">
        <f t="shared" si="320"/>
        <v>2.8444012802599774</v>
      </c>
      <c r="BK518" s="457">
        <f t="shared" si="343"/>
        <v>3.6980025575671185</v>
      </c>
    </row>
    <row r="519" spans="1:63" ht="15">
      <c r="A519" s="119"/>
      <c r="B519" s="480">
        <f>Input!B536</f>
        <v>38501</v>
      </c>
      <c r="C519" s="481">
        <v>2</v>
      </c>
      <c r="D519" s="481">
        <f t="shared" si="322"/>
        <v>5</v>
      </c>
      <c r="E519" s="481">
        <f t="shared" si="323"/>
        <v>29</v>
      </c>
      <c r="F519" s="481">
        <f t="shared" si="324"/>
        <v>149</v>
      </c>
      <c r="G519" s="431">
        <v>20.1312</v>
      </c>
      <c r="H519" s="455">
        <v>19.75</v>
      </c>
      <c r="I519" s="455">
        <v>14.7</v>
      </c>
      <c r="J519" s="455">
        <v>1.21</v>
      </c>
      <c r="K519" s="485"/>
      <c r="L519" s="433">
        <v>93</v>
      </c>
      <c r="M519" s="455">
        <v>74</v>
      </c>
      <c r="N519" s="484">
        <f>Weather!M520</f>
        <v>0</v>
      </c>
      <c r="O519" s="481" t="str">
        <f t="shared" si="344"/>
        <v/>
      </c>
      <c r="P519" s="4">
        <f t="shared" si="316"/>
        <v>3.3058542029797064</v>
      </c>
      <c r="Q519" s="169">
        <f t="shared" si="325"/>
        <v>2.3023386280434228</v>
      </c>
      <c r="R519" s="169">
        <f t="shared" si="326"/>
        <v>1.6726864071818137</v>
      </c>
      <c r="S519" s="169">
        <f t="shared" si="327"/>
        <v>1.7037305847521329</v>
      </c>
      <c r="T519" s="169">
        <f t="shared" si="328"/>
        <v>1.5555983586790869</v>
      </c>
      <c r="U519" s="169">
        <f t="shared" si="317"/>
        <v>1.6296644717156099</v>
      </c>
      <c r="V519" s="169">
        <f t="shared" si="318"/>
        <v>5.6824542773247097E-2</v>
      </c>
      <c r="W519" s="439">
        <f t="shared" si="319"/>
        <v>14.296877528747737</v>
      </c>
      <c r="X519" s="439">
        <f t="shared" si="329"/>
        <v>14.296877528747737</v>
      </c>
      <c r="Y519" s="169"/>
      <c r="Z519" s="119" t="str">
        <f t="shared" si="330"/>
        <v/>
      </c>
      <c r="AA519" s="4" t="str">
        <f t="shared" si="331"/>
        <v/>
      </c>
      <c r="AB519" s="466"/>
      <c r="AC519" s="466"/>
      <c r="AD519" s="466"/>
      <c r="AE519" s="466"/>
      <c r="AF519" s="466"/>
      <c r="AG519" s="466"/>
      <c r="AH519" s="466"/>
      <c r="AI519" s="466"/>
      <c r="AJ519" s="466"/>
      <c r="AK519" s="466"/>
      <c r="AL519" s="466"/>
      <c r="AM519" s="462">
        <f t="shared" si="321"/>
        <v>149</v>
      </c>
      <c r="AN519" s="32">
        <f t="shared" si="345"/>
        <v>0.97233676972781347</v>
      </c>
      <c r="AO519" s="32">
        <f t="shared" si="346"/>
        <v>0.37736701396846095</v>
      </c>
      <c r="AP519" s="32">
        <f t="shared" si="347"/>
        <v>1.9656708278730177</v>
      </c>
      <c r="AQ519" s="32">
        <f t="shared" si="348"/>
        <v>15.01661897988139</v>
      </c>
      <c r="AR519" s="32">
        <f t="shared" si="349"/>
        <v>40.939572355962646</v>
      </c>
      <c r="AS519" s="32">
        <f t="shared" si="332"/>
        <v>30.73415575906828</v>
      </c>
      <c r="AT519" s="32">
        <f t="shared" si="333"/>
        <v>15.501024000000001</v>
      </c>
      <c r="AU519" s="32">
        <f t="shared" si="334"/>
        <v>0.65501067144361624</v>
      </c>
      <c r="AV519" s="32">
        <f t="shared" si="335"/>
        <v>0.53426440644888196</v>
      </c>
      <c r="AW519" s="32">
        <f t="shared" si="336"/>
        <v>2.3023386280434228</v>
      </c>
      <c r="AX519" s="32">
        <f t="shared" si="337"/>
        <v>1.6726864071818137</v>
      </c>
      <c r="AY519" s="32">
        <f t="shared" si="338"/>
        <v>1.6296644717156101</v>
      </c>
      <c r="AZ519" s="32">
        <f t="shared" si="350"/>
        <v>0.16127836268200219</v>
      </c>
      <c r="BA519" s="32">
        <f t="shared" si="339"/>
        <v>-3.0030482495524859</v>
      </c>
      <c r="BB519" s="32">
        <f t="shared" si="351"/>
        <v>12.497975750447516</v>
      </c>
      <c r="BC519" s="32">
        <f t="shared" si="340"/>
        <v>17.225000000000001</v>
      </c>
      <c r="BD519" s="32">
        <v>0</v>
      </c>
      <c r="BE519" s="32">
        <f t="shared" si="352"/>
        <v>1.9875125176126183</v>
      </c>
      <c r="BF519" s="32">
        <f t="shared" si="353"/>
        <v>0.35784804589700814</v>
      </c>
      <c r="BG519" s="32">
        <f t="shared" si="354"/>
        <v>0.12436470489104114</v>
      </c>
      <c r="BH519" s="32">
        <f t="shared" si="341"/>
        <v>2.8945346773090472</v>
      </c>
      <c r="BI519" s="32">
        <f t="shared" si="342"/>
        <v>0.41131952567065921</v>
      </c>
      <c r="BJ519" s="32">
        <f t="shared" si="320"/>
        <v>3.3058542029797064</v>
      </c>
      <c r="BK519" s="457">
        <f t="shared" si="343"/>
        <v>3.0250244309973868</v>
      </c>
    </row>
    <row r="520" spans="1:63" ht="15">
      <c r="A520" s="119"/>
      <c r="B520" s="480">
        <f>Input!B537</f>
        <v>38502</v>
      </c>
      <c r="C520" s="481">
        <v>2</v>
      </c>
      <c r="D520" s="481">
        <f t="shared" si="322"/>
        <v>5</v>
      </c>
      <c r="E520" s="481">
        <f t="shared" si="323"/>
        <v>30</v>
      </c>
      <c r="F520" s="481">
        <f t="shared" si="324"/>
        <v>150</v>
      </c>
      <c r="G520" s="431">
        <v>26.956800000000001</v>
      </c>
      <c r="H520" s="455">
        <v>21.45</v>
      </c>
      <c r="I520" s="455">
        <v>13.5</v>
      </c>
      <c r="J520" s="455">
        <v>1.71</v>
      </c>
      <c r="K520" s="485"/>
      <c r="L520" s="433">
        <v>100</v>
      </c>
      <c r="M520" s="455">
        <v>78</v>
      </c>
      <c r="N520" s="484">
        <f>Weather!M521</f>
        <v>0</v>
      </c>
      <c r="O520" s="481" t="str">
        <f t="shared" si="344"/>
        <v/>
      </c>
      <c r="P520" s="4">
        <f t="shared" si="316"/>
        <v>4.038093828748214</v>
      </c>
      <c r="Q520" s="169">
        <f t="shared" si="325"/>
        <v>2.5565846978361941</v>
      </c>
      <c r="R520" s="169">
        <f t="shared" si="326"/>
        <v>1.5474672427794578</v>
      </c>
      <c r="S520" s="169">
        <f t="shared" si="327"/>
        <v>1.9941360643122314</v>
      </c>
      <c r="T520" s="169">
        <f t="shared" si="328"/>
        <v>1.5474672427794578</v>
      </c>
      <c r="U520" s="169">
        <f t="shared" si="317"/>
        <v>1.7708016535458446</v>
      </c>
      <c r="V520" s="169">
        <f t="shared" si="318"/>
        <v>6.1633935222797628E-2</v>
      </c>
      <c r="W520" s="439">
        <f t="shared" si="319"/>
        <v>15.586382945170216</v>
      </c>
      <c r="X520" s="439">
        <f t="shared" si="329"/>
        <v>15.586382945170216</v>
      </c>
      <c r="Y520" s="169"/>
      <c r="Z520" s="119" t="str">
        <f t="shared" si="330"/>
        <v/>
      </c>
      <c r="AA520" s="4" t="str">
        <f t="shared" si="331"/>
        <v/>
      </c>
      <c r="AB520" s="466"/>
      <c r="AC520" s="466"/>
      <c r="AD520" s="466"/>
      <c r="AE520" s="466"/>
      <c r="AF520" s="466"/>
      <c r="AG520" s="466"/>
      <c r="AH520" s="466"/>
      <c r="AI520" s="466"/>
      <c r="AJ520" s="466"/>
      <c r="AK520" s="466"/>
      <c r="AL520" s="466"/>
      <c r="AM520" s="462">
        <f t="shared" si="321"/>
        <v>150</v>
      </c>
      <c r="AN520" s="32">
        <f t="shared" si="345"/>
        <v>0.97203114954453662</v>
      </c>
      <c r="AO520" s="32">
        <f t="shared" si="346"/>
        <v>0.3800259683150693</v>
      </c>
      <c r="AP520" s="32">
        <f t="shared" si="347"/>
        <v>1.9689114916260464</v>
      </c>
      <c r="AQ520" s="32">
        <f t="shared" si="348"/>
        <v>15.041375827330663</v>
      </c>
      <c r="AR520" s="32">
        <f t="shared" si="349"/>
        <v>41.026602635234561</v>
      </c>
      <c r="AS520" s="32">
        <f t="shared" si="332"/>
        <v>30.799491130323293</v>
      </c>
      <c r="AT520" s="32">
        <f t="shared" si="333"/>
        <v>20.756736</v>
      </c>
      <c r="AU520" s="32">
        <f t="shared" si="334"/>
        <v>0.87523523963225436</v>
      </c>
      <c r="AV520" s="32">
        <f t="shared" si="335"/>
        <v>0.83156757350354338</v>
      </c>
      <c r="AW520" s="32">
        <f t="shared" si="336"/>
        <v>2.5565846978361941</v>
      </c>
      <c r="AX520" s="32">
        <f t="shared" si="337"/>
        <v>1.5474672427794578</v>
      </c>
      <c r="AY520" s="32">
        <f t="shared" si="338"/>
        <v>1.7708016535458446</v>
      </c>
      <c r="AZ520" s="32">
        <f t="shared" si="350"/>
        <v>0.15369993985642796</v>
      </c>
      <c r="BA520" s="32">
        <f t="shared" si="339"/>
        <v>-4.4728713985684792</v>
      </c>
      <c r="BB520" s="32">
        <f t="shared" si="351"/>
        <v>16.283864601431521</v>
      </c>
      <c r="BC520" s="32">
        <f t="shared" si="340"/>
        <v>17.475000000000001</v>
      </c>
      <c r="BD520" s="32">
        <v>0</v>
      </c>
      <c r="BE520" s="32">
        <f t="shared" si="352"/>
        <v>2.0520259703078261</v>
      </c>
      <c r="BF520" s="32">
        <f t="shared" si="353"/>
        <v>0.28122431676198145</v>
      </c>
      <c r="BG520" s="32">
        <f t="shared" si="354"/>
        <v>0.12609737414010605</v>
      </c>
      <c r="BH520" s="32">
        <f t="shared" si="341"/>
        <v>3.6074969674751909</v>
      </c>
      <c r="BI520" s="32">
        <f t="shared" si="342"/>
        <v>0.43059686127302288</v>
      </c>
      <c r="BJ520" s="32">
        <f t="shared" si="320"/>
        <v>4.038093828748214</v>
      </c>
      <c r="BK520" s="457">
        <f t="shared" si="343"/>
        <v>3.8306978104073477</v>
      </c>
    </row>
    <row r="521" spans="1:63" ht="15">
      <c r="A521" s="119"/>
      <c r="B521" s="480">
        <f>Input!B538</f>
        <v>38503</v>
      </c>
      <c r="C521" s="481">
        <v>2</v>
      </c>
      <c r="D521" s="481">
        <f t="shared" si="322"/>
        <v>5</v>
      </c>
      <c r="E521" s="481">
        <f t="shared" si="323"/>
        <v>31</v>
      </c>
      <c r="F521" s="481">
        <f t="shared" si="324"/>
        <v>151</v>
      </c>
      <c r="G521" s="431">
        <v>20.995200000000001</v>
      </c>
      <c r="H521" s="455">
        <v>23.09</v>
      </c>
      <c r="I521" s="455">
        <v>15.6</v>
      </c>
      <c r="J521" s="455">
        <v>1.46</v>
      </c>
      <c r="K521" s="485"/>
      <c r="L521" s="433">
        <v>89</v>
      </c>
      <c r="M521" s="455">
        <v>80</v>
      </c>
      <c r="N521" s="484">
        <f>Weather!M522</f>
        <v>0</v>
      </c>
      <c r="O521" s="481" t="str">
        <f t="shared" si="344"/>
        <v/>
      </c>
      <c r="P521" s="4">
        <f t="shared" ref="P521:P552" si="355">BJ521</f>
        <v>3.6071849907178821</v>
      </c>
      <c r="Q521" s="169">
        <f t="shared" si="325"/>
        <v>2.8247673943446587</v>
      </c>
      <c r="R521" s="169">
        <f t="shared" si="326"/>
        <v>1.7723474716742158</v>
      </c>
      <c r="S521" s="169">
        <f t="shared" si="327"/>
        <v>2.2598139154757271</v>
      </c>
      <c r="T521" s="169">
        <f t="shared" si="328"/>
        <v>1.5773892497900521</v>
      </c>
      <c r="U521" s="169">
        <f t="shared" si="317"/>
        <v>1.9186015826328897</v>
      </c>
      <c r="V521" s="169">
        <f t="shared" si="318"/>
        <v>6.6275754715024601E-2</v>
      </c>
      <c r="W521" s="439">
        <f t="shared" si="319"/>
        <v>16.84355597843059</v>
      </c>
      <c r="X521" s="439">
        <f t="shared" si="329"/>
        <v>16.84355597843059</v>
      </c>
      <c r="Y521" s="169"/>
      <c r="Z521" s="119" t="str">
        <f t="shared" si="330"/>
        <v/>
      </c>
      <c r="AA521" s="4" t="str">
        <f t="shared" si="331"/>
        <v/>
      </c>
      <c r="AB521" s="466"/>
      <c r="AC521" s="466"/>
      <c r="AD521" s="466"/>
      <c r="AE521" s="466"/>
      <c r="AF521" s="466"/>
      <c r="AG521" s="466"/>
      <c r="AH521" s="466"/>
      <c r="AI521" s="466"/>
      <c r="AJ521" s="466"/>
      <c r="AK521" s="466"/>
      <c r="AL521" s="466"/>
      <c r="AM521" s="462">
        <f t="shared" si="321"/>
        <v>151</v>
      </c>
      <c r="AN521" s="32">
        <f t="shared" si="345"/>
        <v>0.97173381713526685</v>
      </c>
      <c r="AO521" s="32">
        <f t="shared" si="346"/>
        <v>0.38257231276563386</v>
      </c>
      <c r="AP521" s="32">
        <f t="shared" si="347"/>
        <v>1.9720255261186928</v>
      </c>
      <c r="AQ521" s="32">
        <f t="shared" si="348"/>
        <v>15.065165298488905</v>
      </c>
      <c r="AR521" s="32">
        <f t="shared" si="349"/>
        <v>41.109641052157095</v>
      </c>
      <c r="AS521" s="32">
        <f t="shared" si="332"/>
        <v>30.861829730675375</v>
      </c>
      <c r="AT521" s="32">
        <f t="shared" si="333"/>
        <v>16.166304</v>
      </c>
      <c r="AU521" s="32">
        <f t="shared" si="334"/>
        <v>0.68029667013332151</v>
      </c>
      <c r="AV521" s="32">
        <f t="shared" si="335"/>
        <v>0.56840050467998415</v>
      </c>
      <c r="AW521" s="32">
        <f t="shared" si="336"/>
        <v>2.8247673943446587</v>
      </c>
      <c r="AX521" s="32">
        <f t="shared" si="337"/>
        <v>1.7723474716742158</v>
      </c>
      <c r="AY521" s="32">
        <f t="shared" si="338"/>
        <v>1.9186015826328895</v>
      </c>
      <c r="AZ521" s="32">
        <f t="shared" si="350"/>
        <v>0.14608096787678465</v>
      </c>
      <c r="BA521" s="32">
        <f t="shared" si="339"/>
        <v>-2.9808830111832356</v>
      </c>
      <c r="BB521" s="32">
        <f t="shared" si="351"/>
        <v>13.185420988816764</v>
      </c>
      <c r="BC521" s="32">
        <f t="shared" si="340"/>
        <v>19.344999999999999</v>
      </c>
      <c r="BD521" s="32">
        <v>0</v>
      </c>
      <c r="BE521" s="32">
        <f t="shared" si="352"/>
        <v>2.2985574330094374</v>
      </c>
      <c r="BF521" s="32">
        <f t="shared" si="353"/>
        <v>0.37995585037654789</v>
      </c>
      <c r="BG521" s="32">
        <f t="shared" si="354"/>
        <v>0.13971886699580069</v>
      </c>
      <c r="BH521" s="32">
        <f t="shared" si="341"/>
        <v>3.1299170300795232</v>
      </c>
      <c r="BI521" s="32">
        <f t="shared" si="342"/>
        <v>0.47726796063835891</v>
      </c>
      <c r="BJ521" s="32">
        <f t="shared" si="320"/>
        <v>3.6071849907178821</v>
      </c>
      <c r="BK521" s="457">
        <f t="shared" si="343"/>
        <v>3.9232565451630808</v>
      </c>
    </row>
    <row r="522" spans="1:63" ht="15">
      <c r="A522" s="119"/>
      <c r="B522" s="480">
        <f>Input!B539</f>
        <v>38504</v>
      </c>
      <c r="C522" s="481">
        <v>2</v>
      </c>
      <c r="D522" s="481">
        <f t="shared" si="322"/>
        <v>6</v>
      </c>
      <c r="E522" s="481">
        <f t="shared" si="323"/>
        <v>1</v>
      </c>
      <c r="F522" s="481">
        <f t="shared" si="324"/>
        <v>152</v>
      </c>
      <c r="G522" s="431">
        <v>26.8704</v>
      </c>
      <c r="H522" s="455">
        <v>21.58</v>
      </c>
      <c r="I522" s="455">
        <v>15.3</v>
      </c>
      <c r="J522" s="455">
        <v>2.0499999999999998</v>
      </c>
      <c r="K522" s="485"/>
      <c r="L522" s="433">
        <v>98</v>
      </c>
      <c r="M522" s="455">
        <v>86</v>
      </c>
      <c r="N522" s="484">
        <f>Weather!M523</f>
        <v>0</v>
      </c>
      <c r="O522" s="481" t="str">
        <f t="shared" si="344"/>
        <v/>
      </c>
      <c r="P522" s="4">
        <f t="shared" si="355"/>
        <v>3.9641089845261237</v>
      </c>
      <c r="Q522" s="169">
        <f t="shared" si="325"/>
        <v>2.5769993961026372</v>
      </c>
      <c r="R522" s="169">
        <f t="shared" si="326"/>
        <v>1.7385638954612772</v>
      </c>
      <c r="S522" s="169">
        <f t="shared" si="327"/>
        <v>2.216219480648268</v>
      </c>
      <c r="T522" s="169">
        <f t="shared" si="328"/>
        <v>1.7037926175520517</v>
      </c>
      <c r="U522" s="169">
        <f t="shared" si="317"/>
        <v>1.9600060491001599</v>
      </c>
      <c r="V522" s="169">
        <f t="shared" si="318"/>
        <v>6.7512059360215093E-2</v>
      </c>
      <c r="W522" s="439">
        <f t="shared" si="319"/>
        <v>17.180502811851074</v>
      </c>
      <c r="X522" s="439">
        <f t="shared" si="329"/>
        <v>17.180502811851074</v>
      </c>
      <c r="Y522" s="169"/>
      <c r="Z522" s="119" t="str">
        <f t="shared" si="330"/>
        <v/>
      </c>
      <c r="AA522" s="4" t="str">
        <f t="shared" si="331"/>
        <v/>
      </c>
      <c r="AB522" s="466"/>
      <c r="AC522" s="466"/>
      <c r="AD522" s="466"/>
      <c r="AE522" s="466"/>
      <c r="AF522" s="466"/>
      <c r="AG522" s="466"/>
      <c r="AH522" s="466"/>
      <c r="AI522" s="466"/>
      <c r="AJ522" s="466"/>
      <c r="AK522" s="466"/>
      <c r="AL522" s="466"/>
      <c r="AM522" s="462">
        <f t="shared" si="321"/>
        <v>152</v>
      </c>
      <c r="AN522" s="32">
        <f t="shared" si="345"/>
        <v>0.9714448606060142</v>
      </c>
      <c r="AO522" s="32">
        <f t="shared" si="346"/>
        <v>0.38500529278333917</v>
      </c>
      <c r="AP522" s="32">
        <f t="shared" si="347"/>
        <v>1.9750107486627235</v>
      </c>
      <c r="AQ522" s="32">
        <f t="shared" si="348"/>
        <v>15.087970718846273</v>
      </c>
      <c r="AR522" s="32">
        <f t="shared" si="349"/>
        <v>41.188676242930129</v>
      </c>
      <c r="AS522" s="32">
        <f t="shared" si="332"/>
        <v>30.921163029092508</v>
      </c>
      <c r="AT522" s="32">
        <f t="shared" si="333"/>
        <v>20.690208000000002</v>
      </c>
      <c r="AU522" s="32">
        <f t="shared" si="334"/>
        <v>0.86899706763030538</v>
      </c>
      <c r="AV522" s="32">
        <f t="shared" si="335"/>
        <v>0.82314604130091229</v>
      </c>
      <c r="AW522" s="32">
        <f t="shared" si="336"/>
        <v>2.5769993961026372</v>
      </c>
      <c r="AX522" s="32">
        <f t="shared" si="337"/>
        <v>1.7385638954612772</v>
      </c>
      <c r="AY522" s="32">
        <f t="shared" si="338"/>
        <v>1.9600060491001592</v>
      </c>
      <c r="AZ522" s="32">
        <f t="shared" si="350"/>
        <v>0.1439996975452254</v>
      </c>
      <c r="BA522" s="32">
        <f t="shared" si="339"/>
        <v>-4.2017201841902629</v>
      </c>
      <c r="BB522" s="32">
        <f t="shared" si="351"/>
        <v>16.488487815809741</v>
      </c>
      <c r="BC522" s="32">
        <f t="shared" si="340"/>
        <v>18.439999999999998</v>
      </c>
      <c r="BD522" s="32">
        <v>0</v>
      </c>
      <c r="BE522" s="32">
        <f t="shared" si="352"/>
        <v>2.1577816457819572</v>
      </c>
      <c r="BF522" s="32">
        <f t="shared" si="353"/>
        <v>0.197775596681798</v>
      </c>
      <c r="BG522" s="32">
        <f t="shared" si="354"/>
        <v>0.1329787945339006</v>
      </c>
      <c r="BH522" s="32">
        <f t="shared" si="341"/>
        <v>3.6237332453085092</v>
      </c>
      <c r="BI522" s="32">
        <f t="shared" si="342"/>
        <v>0.3403757392176146</v>
      </c>
      <c r="BJ522" s="32">
        <f t="shared" si="320"/>
        <v>3.9641089845261237</v>
      </c>
      <c r="BK522" s="457">
        <f t="shared" si="343"/>
        <v>3.5116206723106438</v>
      </c>
    </row>
    <row r="523" spans="1:63" ht="15">
      <c r="A523" s="119"/>
      <c r="B523" s="480">
        <f>Input!B540</f>
        <v>38505</v>
      </c>
      <c r="C523" s="481">
        <v>2</v>
      </c>
      <c r="D523" s="481">
        <f t="shared" si="322"/>
        <v>6</v>
      </c>
      <c r="E523" s="481">
        <f t="shared" si="323"/>
        <v>2</v>
      </c>
      <c r="F523" s="481">
        <f t="shared" si="324"/>
        <v>153</v>
      </c>
      <c r="G523" s="431">
        <v>25.92</v>
      </c>
      <c r="H523" s="455">
        <v>22.92</v>
      </c>
      <c r="I523" s="455">
        <v>17.5</v>
      </c>
      <c r="J523" s="455">
        <v>1.88</v>
      </c>
      <c r="K523" s="485"/>
      <c r="L523" s="433">
        <v>83</v>
      </c>
      <c r="M523" s="455">
        <v>82</v>
      </c>
      <c r="N523" s="484">
        <f>Weather!M524</f>
        <v>0</v>
      </c>
      <c r="O523" s="481" t="str">
        <f t="shared" si="344"/>
        <v/>
      </c>
      <c r="P523" s="4">
        <f t="shared" si="355"/>
        <v>4.342203995140836</v>
      </c>
      <c r="Q523" s="169">
        <f t="shared" si="325"/>
        <v>2.7958721788209537</v>
      </c>
      <c r="R523" s="169">
        <f t="shared" si="326"/>
        <v>1.9999869748999506</v>
      </c>
      <c r="S523" s="169">
        <f t="shared" si="327"/>
        <v>2.2926151866331819</v>
      </c>
      <c r="T523" s="169">
        <f t="shared" si="328"/>
        <v>1.6599891891669589</v>
      </c>
      <c r="U523" s="169">
        <f t="shared" si="317"/>
        <v>1.9763021879000704</v>
      </c>
      <c r="V523" s="169">
        <f t="shared" si="318"/>
        <v>6.7991501005796123E-2</v>
      </c>
      <c r="W523" s="439">
        <f t="shared" si="319"/>
        <v>17.311412080562757</v>
      </c>
      <c r="X523" s="439">
        <f t="shared" si="329"/>
        <v>17.311412080562757</v>
      </c>
      <c r="Y523" s="169"/>
      <c r="Z523" s="119" t="str">
        <f t="shared" si="330"/>
        <v/>
      </c>
      <c r="AA523" s="4" t="str">
        <f t="shared" si="331"/>
        <v/>
      </c>
      <c r="AB523" s="466"/>
      <c r="AC523" s="466"/>
      <c r="AD523" s="466"/>
      <c r="AE523" s="466"/>
      <c r="AF523" s="466"/>
      <c r="AG523" s="466"/>
      <c r="AH523" s="466"/>
      <c r="AI523" s="466"/>
      <c r="AJ523" s="466"/>
      <c r="AK523" s="466"/>
      <c r="AL523" s="466"/>
      <c r="AM523" s="462">
        <f t="shared" si="321"/>
        <v>153</v>
      </c>
      <c r="AN523" s="32">
        <f t="shared" si="345"/>
        <v>0.9711643655808343</v>
      </c>
      <c r="AO523" s="32">
        <f t="shared" si="346"/>
        <v>0.38732418742369801</v>
      </c>
      <c r="AP523" s="32">
        <f t="shared" si="347"/>
        <v>1.9778650362587329</v>
      </c>
      <c r="AQ523" s="32">
        <f t="shared" si="348"/>
        <v>15.109775869881993</v>
      </c>
      <c r="AR523" s="32">
        <f t="shared" si="349"/>
        <v>41.263697526770883</v>
      </c>
      <c r="AS523" s="32">
        <f t="shared" si="332"/>
        <v>30.97748300729744</v>
      </c>
      <c r="AT523" s="32">
        <f t="shared" si="333"/>
        <v>19.958400000000001</v>
      </c>
      <c r="AU523" s="32">
        <f t="shared" si="334"/>
        <v>0.83673679988441818</v>
      </c>
      <c r="AV523" s="32">
        <f t="shared" si="335"/>
        <v>0.77959467984396469</v>
      </c>
      <c r="AW523" s="32">
        <f t="shared" si="336"/>
        <v>2.7958721788209537</v>
      </c>
      <c r="AX523" s="32">
        <f t="shared" si="337"/>
        <v>1.9999869748999506</v>
      </c>
      <c r="AY523" s="32">
        <f t="shared" si="338"/>
        <v>1.9763021879000706</v>
      </c>
      <c r="AZ523" s="32">
        <f t="shared" si="350"/>
        <v>0.14318657849922589</v>
      </c>
      <c r="BA523" s="32">
        <f t="shared" si="339"/>
        <v>-4.0531545160002862</v>
      </c>
      <c r="BB523" s="32">
        <f t="shared" si="351"/>
        <v>15.905245483999714</v>
      </c>
      <c r="BC523" s="32">
        <f t="shared" si="340"/>
        <v>20.21</v>
      </c>
      <c r="BD523" s="32">
        <v>0</v>
      </c>
      <c r="BE523" s="32">
        <f t="shared" si="352"/>
        <v>2.3979295768604523</v>
      </c>
      <c r="BF523" s="32">
        <f t="shared" si="353"/>
        <v>0.42162738896038165</v>
      </c>
      <c r="BG523" s="32">
        <f t="shared" si="354"/>
        <v>0.1464291426968414</v>
      </c>
      <c r="BH523" s="32">
        <f t="shared" si="341"/>
        <v>3.7054531788541842</v>
      </c>
      <c r="BI523" s="32">
        <f t="shared" si="342"/>
        <v>0.63675081628665153</v>
      </c>
      <c r="BJ523" s="32">
        <f t="shared" si="320"/>
        <v>4.342203995140836</v>
      </c>
      <c r="BK523" s="457">
        <f t="shared" si="343"/>
        <v>3.4278941734573736</v>
      </c>
    </row>
    <row r="524" spans="1:63" ht="15">
      <c r="A524" s="119"/>
      <c r="B524" s="480">
        <f>Input!B541</f>
        <v>38506</v>
      </c>
      <c r="C524" s="481">
        <v>2</v>
      </c>
      <c r="D524" s="481">
        <f t="shared" si="322"/>
        <v>6</v>
      </c>
      <c r="E524" s="481">
        <f t="shared" si="323"/>
        <v>3</v>
      </c>
      <c r="F524" s="481">
        <f t="shared" si="324"/>
        <v>154</v>
      </c>
      <c r="G524" s="431">
        <v>22.5504</v>
      </c>
      <c r="H524" s="455">
        <v>22.75</v>
      </c>
      <c r="I524" s="455">
        <v>16.600000000000001</v>
      </c>
      <c r="J524" s="455">
        <v>1.25</v>
      </c>
      <c r="K524" s="485"/>
      <c r="L524" s="433">
        <v>68</v>
      </c>
      <c r="M524" s="455">
        <v>83</v>
      </c>
      <c r="N524" s="484">
        <f>Weather!M525</f>
        <v>2.6</v>
      </c>
      <c r="O524" s="481" t="str">
        <f t="shared" si="344"/>
        <v/>
      </c>
      <c r="P524" s="4">
        <f t="shared" si="355"/>
        <v>3.9718550288769805</v>
      </c>
      <c r="Q524" s="169">
        <f t="shared" si="325"/>
        <v>2.7672353391241531</v>
      </c>
      <c r="R524" s="169">
        <f t="shared" si="326"/>
        <v>1.889152127641528</v>
      </c>
      <c r="S524" s="169">
        <f t="shared" si="327"/>
        <v>2.2968053314730468</v>
      </c>
      <c r="T524" s="169">
        <f t="shared" si="328"/>
        <v>1.2846234467962392</v>
      </c>
      <c r="U524" s="169">
        <f t="shared" si="317"/>
        <v>1.7907143891346431</v>
      </c>
      <c r="V524" s="169">
        <f t="shared" si="318"/>
        <v>6.2281432886293647E-2</v>
      </c>
      <c r="W524" s="439">
        <f t="shared" si="319"/>
        <v>15.761001799727996</v>
      </c>
      <c r="X524" s="439">
        <f t="shared" si="329"/>
        <v>15.761001799727996</v>
      </c>
      <c r="Y524" s="169"/>
      <c r="Z524" s="119" t="str">
        <f t="shared" si="330"/>
        <v/>
      </c>
      <c r="AA524" s="4" t="str">
        <f t="shared" si="331"/>
        <v/>
      </c>
      <c r="AB524" s="466"/>
      <c r="AC524" s="466"/>
      <c r="AD524" s="466"/>
      <c r="AE524" s="466"/>
      <c r="AF524" s="466"/>
      <c r="AG524" s="466"/>
      <c r="AH524" s="466"/>
      <c r="AI524" s="466"/>
      <c r="AJ524" s="466"/>
      <c r="AK524" s="466"/>
      <c r="AL524" s="466"/>
      <c r="AM524" s="462">
        <f t="shared" si="321"/>
        <v>154</v>
      </c>
      <c r="AN524" s="32">
        <f t="shared" si="345"/>
        <v>0.97089241517645686</v>
      </c>
      <c r="AO524" s="32">
        <f t="shared" si="346"/>
        <v>0.38952830954818268</v>
      </c>
      <c r="AP524" s="32">
        <f t="shared" si="347"/>
        <v>1.9805863306355707</v>
      </c>
      <c r="AQ524" s="32">
        <f t="shared" si="348"/>
        <v>15.130565027562723</v>
      </c>
      <c r="AR524" s="32">
        <f t="shared" si="349"/>
        <v>41.334694899485896</v>
      </c>
      <c r="AS524" s="32">
        <f t="shared" si="332"/>
        <v>31.030782154942056</v>
      </c>
      <c r="AT524" s="32">
        <f t="shared" si="333"/>
        <v>17.363807999999999</v>
      </c>
      <c r="AU524" s="32">
        <f t="shared" si="334"/>
        <v>0.72671065419498471</v>
      </c>
      <c r="AV524" s="32">
        <f t="shared" si="335"/>
        <v>0.6310593831632294</v>
      </c>
      <c r="AW524" s="32">
        <f t="shared" si="336"/>
        <v>2.7672353391241531</v>
      </c>
      <c r="AX524" s="32">
        <f t="shared" si="337"/>
        <v>1.889152127641528</v>
      </c>
      <c r="AY524" s="32">
        <f t="shared" si="338"/>
        <v>1.7907143891346433</v>
      </c>
      <c r="AZ524" s="32">
        <f t="shared" si="350"/>
        <v>0.15265539231929037</v>
      </c>
      <c r="BA524" s="32">
        <f t="shared" si="339"/>
        <v>-3.4729483564044488</v>
      </c>
      <c r="BB524" s="32">
        <f t="shared" si="351"/>
        <v>13.890859643595551</v>
      </c>
      <c r="BC524" s="32">
        <f t="shared" si="340"/>
        <v>19.675000000000001</v>
      </c>
      <c r="BD524" s="32">
        <v>0</v>
      </c>
      <c r="BE524" s="32">
        <f t="shared" si="352"/>
        <v>2.3281937333828404</v>
      </c>
      <c r="BF524" s="32">
        <f t="shared" si="353"/>
        <v>0.5374793442481971</v>
      </c>
      <c r="BG524" s="32">
        <f t="shared" si="354"/>
        <v>0.14224747007716412</v>
      </c>
      <c r="BH524" s="32">
        <f t="shared" si="341"/>
        <v>3.3889865999794146</v>
      </c>
      <c r="BI524" s="32">
        <f t="shared" si="342"/>
        <v>0.58286842889756607</v>
      </c>
      <c r="BJ524" s="32">
        <f t="shared" si="320"/>
        <v>3.9718550288769805</v>
      </c>
      <c r="BK524" s="457">
        <f t="shared" si="343"/>
        <v>3.6062488118522822</v>
      </c>
    </row>
    <row r="525" spans="1:63" ht="15">
      <c r="A525" s="119"/>
      <c r="B525" s="480">
        <f>Input!B542</f>
        <v>38507</v>
      </c>
      <c r="C525" s="481">
        <v>2</v>
      </c>
      <c r="D525" s="481">
        <f t="shared" si="322"/>
        <v>6</v>
      </c>
      <c r="E525" s="481">
        <f t="shared" si="323"/>
        <v>4</v>
      </c>
      <c r="F525" s="481">
        <f t="shared" si="324"/>
        <v>155</v>
      </c>
      <c r="G525" s="431">
        <v>26.6112</v>
      </c>
      <c r="H525" s="455">
        <v>23.91</v>
      </c>
      <c r="I525" s="455">
        <v>18.2</v>
      </c>
      <c r="J525" s="455">
        <v>1.95</v>
      </c>
      <c r="K525" s="485"/>
      <c r="L525" s="433">
        <v>79</v>
      </c>
      <c r="M525" s="455">
        <v>73</v>
      </c>
      <c r="N525" s="484">
        <f>Weather!M526</f>
        <v>0.8</v>
      </c>
      <c r="O525" s="481" t="str">
        <f t="shared" si="344"/>
        <v/>
      </c>
      <c r="P525" s="4">
        <f t="shared" si="355"/>
        <v>4.7508185916955172</v>
      </c>
      <c r="Q525" s="169">
        <f t="shared" si="325"/>
        <v>2.9678363205512177</v>
      </c>
      <c r="R525" s="169">
        <f t="shared" si="326"/>
        <v>2.0900878010879693</v>
      </c>
      <c r="S525" s="169">
        <f t="shared" si="327"/>
        <v>2.1665205140023889</v>
      </c>
      <c r="T525" s="169">
        <f t="shared" si="328"/>
        <v>1.6511693628594959</v>
      </c>
      <c r="U525" s="169">
        <f t="shared" si="317"/>
        <v>1.9088449384309425</v>
      </c>
      <c r="V525" s="169">
        <f t="shared" si="318"/>
        <v>6.5980545482781094E-2</v>
      </c>
      <c r="W525" s="439">
        <f t="shared" si="319"/>
        <v>16.763230538015854</v>
      </c>
      <c r="X525" s="439">
        <f t="shared" si="329"/>
        <v>16.763230538015854</v>
      </c>
      <c r="Y525" s="169"/>
      <c r="Z525" s="119" t="str">
        <f t="shared" si="330"/>
        <v/>
      </c>
      <c r="AA525" s="4" t="str">
        <f t="shared" si="331"/>
        <v/>
      </c>
      <c r="AB525" s="466"/>
      <c r="AC525" s="466"/>
      <c r="AD525" s="466"/>
      <c r="AE525" s="466"/>
      <c r="AF525" s="466"/>
      <c r="AG525" s="466"/>
      <c r="AH525" s="466"/>
      <c r="AI525" s="466"/>
      <c r="AJ525" s="466"/>
      <c r="AK525" s="466"/>
      <c r="AL525" s="466"/>
      <c r="AM525" s="462">
        <f t="shared" si="321"/>
        <v>155</v>
      </c>
      <c r="AN525" s="32">
        <f t="shared" si="345"/>
        <v>0.97062908997765562</v>
      </c>
      <c r="AO525" s="32">
        <f t="shared" si="346"/>
        <v>0.39161700602783878</v>
      </c>
      <c r="AP525" s="32">
        <f t="shared" si="347"/>
        <v>1.9831726432491348</v>
      </c>
      <c r="AQ525" s="32">
        <f t="shared" si="348"/>
        <v>15.150323000530546</v>
      </c>
      <c r="AR525" s="32">
        <f t="shared" si="349"/>
        <v>41.401659028018294</v>
      </c>
      <c r="AS525" s="32">
        <f t="shared" si="332"/>
        <v>31.081053465513897</v>
      </c>
      <c r="AT525" s="32">
        <f t="shared" si="333"/>
        <v>20.490624</v>
      </c>
      <c r="AU525" s="32">
        <f t="shared" si="334"/>
        <v>0.85618719550566591</v>
      </c>
      <c r="AV525" s="32">
        <f t="shared" si="335"/>
        <v>0.80585271393264912</v>
      </c>
      <c r="AW525" s="32">
        <f t="shared" si="336"/>
        <v>2.9678363205512177</v>
      </c>
      <c r="AX525" s="32">
        <f t="shared" si="337"/>
        <v>2.0900878010879693</v>
      </c>
      <c r="AY525" s="32">
        <f t="shared" si="338"/>
        <v>1.9088449384309423</v>
      </c>
      <c r="AZ525" s="32">
        <f t="shared" si="350"/>
        <v>0.14657466351781503</v>
      </c>
      <c r="BA525" s="32">
        <f t="shared" si="339"/>
        <v>-4.3386655677023258</v>
      </c>
      <c r="BB525" s="32">
        <f t="shared" si="351"/>
        <v>16.151958432297675</v>
      </c>
      <c r="BC525" s="32">
        <f t="shared" si="340"/>
        <v>21.055</v>
      </c>
      <c r="BD525" s="32">
        <v>0</v>
      </c>
      <c r="BE525" s="32">
        <f t="shared" si="352"/>
        <v>2.5289620608195937</v>
      </c>
      <c r="BF525" s="32">
        <f t="shared" si="353"/>
        <v>0.62011712238865146</v>
      </c>
      <c r="BG525" s="32">
        <f t="shared" si="354"/>
        <v>0.15324552039318359</v>
      </c>
      <c r="BH525" s="32">
        <f t="shared" si="341"/>
        <v>3.8129948925230837</v>
      </c>
      <c r="BI525" s="32">
        <f t="shared" si="342"/>
        <v>0.93782369917243391</v>
      </c>
      <c r="BJ525" s="32">
        <f t="shared" si="320"/>
        <v>4.7508185916955172</v>
      </c>
      <c r="BK525" s="457">
        <f t="shared" si="343"/>
        <v>3.6086475167999357</v>
      </c>
    </row>
    <row r="526" spans="1:63" ht="15">
      <c r="A526" s="119"/>
      <c r="B526" s="480">
        <f>Input!B543</f>
        <v>38508</v>
      </c>
      <c r="C526" s="481">
        <v>2</v>
      </c>
      <c r="D526" s="481">
        <f t="shared" si="322"/>
        <v>6</v>
      </c>
      <c r="E526" s="481">
        <f t="shared" si="323"/>
        <v>5</v>
      </c>
      <c r="F526" s="481">
        <f t="shared" si="324"/>
        <v>156</v>
      </c>
      <c r="G526" s="431">
        <v>26.6112</v>
      </c>
      <c r="H526" s="455">
        <v>18.23</v>
      </c>
      <c r="I526" s="455">
        <v>13.5</v>
      </c>
      <c r="J526" s="455">
        <v>1.31</v>
      </c>
      <c r="K526" s="485"/>
      <c r="L526" s="433">
        <v>76</v>
      </c>
      <c r="M526" s="455">
        <v>87</v>
      </c>
      <c r="N526" s="484">
        <f>Weather!M527</f>
        <v>0</v>
      </c>
      <c r="O526" s="481" t="str">
        <f t="shared" si="344"/>
        <v/>
      </c>
      <c r="P526" s="4">
        <f t="shared" si="355"/>
        <v>3.9279677078967485</v>
      </c>
      <c r="Q526" s="169">
        <f t="shared" si="325"/>
        <v>2.0940274002875432</v>
      </c>
      <c r="R526" s="169">
        <f t="shared" si="326"/>
        <v>1.5474672427794578</v>
      </c>
      <c r="S526" s="169">
        <f t="shared" si="327"/>
        <v>1.8218038382501627</v>
      </c>
      <c r="T526" s="169">
        <f t="shared" si="328"/>
        <v>1.1760751045123878</v>
      </c>
      <c r="U526" s="169">
        <f t="shared" si="317"/>
        <v>1.4989394713812754</v>
      </c>
      <c r="V526" s="169">
        <f t="shared" si="318"/>
        <v>5.1982834082849767E-2</v>
      </c>
      <c r="W526" s="439">
        <f t="shared" si="319"/>
        <v>13.011923171165748</v>
      </c>
      <c r="X526" s="439">
        <f t="shared" si="329"/>
        <v>13.011923171165748</v>
      </c>
      <c r="Y526" s="169"/>
      <c r="Z526" s="119" t="str">
        <f t="shared" si="330"/>
        <v/>
      </c>
      <c r="AA526" s="4" t="str">
        <f t="shared" si="331"/>
        <v/>
      </c>
      <c r="AB526" s="466"/>
      <c r="AC526" s="466"/>
      <c r="AD526" s="466"/>
      <c r="AE526" s="466"/>
      <c r="AF526" s="466"/>
      <c r="AG526" s="466"/>
      <c r="AH526" s="466"/>
      <c r="AI526" s="466"/>
      <c r="AJ526" s="466"/>
      <c r="AK526" s="466"/>
      <c r="AL526" s="466"/>
      <c r="AM526" s="462">
        <f t="shared" si="321"/>
        <v>156</v>
      </c>
      <c r="AN526" s="32">
        <f t="shared" si="345"/>
        <v>0.97037446801337024</v>
      </c>
      <c r="AO526" s="32">
        <f t="shared" si="346"/>
        <v>0.3935896579368216</v>
      </c>
      <c r="AP526" s="32">
        <f t="shared" si="347"/>
        <v>1.9856220602174155</v>
      </c>
      <c r="AQ526" s="32">
        <f t="shared" si="348"/>
        <v>15.169035167803909</v>
      </c>
      <c r="AR526" s="32">
        <f t="shared" si="349"/>
        <v>41.464581245892418</v>
      </c>
      <c r="AS526" s="32">
        <f t="shared" si="332"/>
        <v>31.128290432916359</v>
      </c>
      <c r="AT526" s="32">
        <f t="shared" si="333"/>
        <v>20.490624</v>
      </c>
      <c r="AU526" s="32">
        <f t="shared" si="334"/>
        <v>0.85488793730413803</v>
      </c>
      <c r="AV526" s="32">
        <f t="shared" si="335"/>
        <v>0.80409871536058641</v>
      </c>
      <c r="AW526" s="32">
        <f t="shared" si="336"/>
        <v>2.0940274002875432</v>
      </c>
      <c r="AX526" s="32">
        <f t="shared" si="337"/>
        <v>1.5474672427794578</v>
      </c>
      <c r="AY526" s="32">
        <f t="shared" si="338"/>
        <v>1.4989394713812756</v>
      </c>
      <c r="AZ526" s="32">
        <f t="shared" si="350"/>
        <v>0.16859634298220763</v>
      </c>
      <c r="BA526" s="32">
        <f t="shared" si="339"/>
        <v>-4.6367062577238931</v>
      </c>
      <c r="BB526" s="32">
        <f t="shared" si="351"/>
        <v>15.853917742276106</v>
      </c>
      <c r="BC526" s="32">
        <f t="shared" si="340"/>
        <v>15.865</v>
      </c>
      <c r="BD526" s="32">
        <v>0</v>
      </c>
      <c r="BE526" s="32">
        <f t="shared" si="352"/>
        <v>1.8207473215335006</v>
      </c>
      <c r="BF526" s="32">
        <f t="shared" si="353"/>
        <v>0.32180785015222502</v>
      </c>
      <c r="BG526" s="32">
        <f t="shared" si="354"/>
        <v>0.11528852187941349</v>
      </c>
      <c r="BH526" s="32">
        <f t="shared" si="341"/>
        <v>3.512741535457534</v>
      </c>
      <c r="BI526" s="32">
        <f t="shared" si="342"/>
        <v>0.4152261724392145</v>
      </c>
      <c r="BJ526" s="32">
        <f t="shared" si="320"/>
        <v>3.9279677078967485</v>
      </c>
      <c r="BK526" s="457">
        <f t="shared" si="343"/>
        <v>2.8500220797180336</v>
      </c>
    </row>
    <row r="527" spans="1:63" ht="15">
      <c r="A527" s="119"/>
      <c r="B527" s="480">
        <f>Input!B544</f>
        <v>38509</v>
      </c>
      <c r="C527" s="481">
        <v>2</v>
      </c>
      <c r="D527" s="481">
        <f t="shared" si="322"/>
        <v>6</v>
      </c>
      <c r="E527" s="481">
        <f t="shared" si="323"/>
        <v>6</v>
      </c>
      <c r="F527" s="481">
        <f t="shared" si="324"/>
        <v>157</v>
      </c>
      <c r="G527" s="431">
        <v>24.7104</v>
      </c>
      <c r="H527" s="455">
        <v>20.53</v>
      </c>
      <c r="I527" s="455">
        <v>11.8</v>
      </c>
      <c r="J527" s="455">
        <v>1.4</v>
      </c>
      <c r="K527" s="485"/>
      <c r="L527" s="433">
        <v>91</v>
      </c>
      <c r="M527" s="455">
        <v>88</v>
      </c>
      <c r="N527" s="484">
        <f>Weather!M528</f>
        <v>0</v>
      </c>
      <c r="O527" s="481" t="str">
        <f t="shared" si="344"/>
        <v/>
      </c>
      <c r="P527" s="4">
        <f t="shared" si="355"/>
        <v>3.6238138037089076</v>
      </c>
      <c r="Q527" s="169">
        <f t="shared" si="325"/>
        <v>2.4161061563507671</v>
      </c>
      <c r="R527" s="169">
        <f t="shared" si="326"/>
        <v>1.3841737831842924</v>
      </c>
      <c r="S527" s="169">
        <f t="shared" si="327"/>
        <v>2.1261734175886748</v>
      </c>
      <c r="T527" s="169">
        <f t="shared" si="328"/>
        <v>1.2595981426977061</v>
      </c>
      <c r="U527" s="169">
        <f t="shared" si="317"/>
        <v>1.6928857801431905</v>
      </c>
      <c r="V527" s="169">
        <f t="shared" si="318"/>
        <v>5.9028392620769241E-2</v>
      </c>
      <c r="W527" s="439">
        <f t="shared" si="319"/>
        <v>14.886142641350981</v>
      </c>
      <c r="X527" s="439">
        <f t="shared" si="329"/>
        <v>14.886142641350981</v>
      </c>
      <c r="Y527" s="169"/>
      <c r="Z527" s="119" t="str">
        <f t="shared" si="330"/>
        <v/>
      </c>
      <c r="AA527" s="4" t="str">
        <f t="shared" si="331"/>
        <v/>
      </c>
      <c r="AB527" s="466"/>
      <c r="AC527" s="466"/>
      <c r="AD527" s="466"/>
      <c r="AE527" s="466"/>
      <c r="AF527" s="466"/>
      <c r="AG527" s="466"/>
      <c r="AH527" s="466"/>
      <c r="AI527" s="466"/>
      <c r="AJ527" s="466"/>
      <c r="AK527" s="466"/>
      <c r="AL527" s="466"/>
      <c r="AM527" s="462">
        <f t="shared" si="321"/>
        <v>157</v>
      </c>
      <c r="AN527" s="32">
        <f t="shared" si="345"/>
        <v>0.97012862473358386</v>
      </c>
      <c r="AO527" s="32">
        <f t="shared" si="346"/>
        <v>0.39544568073579722</v>
      </c>
      <c r="AP527" s="32">
        <f t="shared" si="347"/>
        <v>1.9879327471681822</v>
      </c>
      <c r="AQ527" s="32">
        <f t="shared" si="348"/>
        <v>15.186687515811226</v>
      </c>
      <c r="AR527" s="32">
        <f t="shared" si="349"/>
        <v>41.523453549472762</v>
      </c>
      <c r="AS527" s="32">
        <f t="shared" si="332"/>
        <v>31.172487048660194</v>
      </c>
      <c r="AT527" s="32">
        <f t="shared" si="333"/>
        <v>19.027008000000002</v>
      </c>
      <c r="AU527" s="32">
        <f t="shared" si="334"/>
        <v>0.79269902210327692</v>
      </c>
      <c r="AV527" s="32">
        <f t="shared" si="335"/>
        <v>0.72014367983942396</v>
      </c>
      <c r="AW527" s="32">
        <f t="shared" si="336"/>
        <v>2.4161061563507671</v>
      </c>
      <c r="AX527" s="32">
        <f t="shared" si="337"/>
        <v>1.3841737831842924</v>
      </c>
      <c r="AY527" s="32">
        <f t="shared" si="338"/>
        <v>1.69288578014319</v>
      </c>
      <c r="AZ527" s="32">
        <f t="shared" si="350"/>
        <v>0.15784467811560782</v>
      </c>
      <c r="BA527" s="32">
        <f t="shared" si="339"/>
        <v>-3.9077047757677801</v>
      </c>
      <c r="BB527" s="32">
        <f t="shared" si="351"/>
        <v>15.119303224232223</v>
      </c>
      <c r="BC527" s="32">
        <f t="shared" si="340"/>
        <v>16.164999999999999</v>
      </c>
      <c r="BD527" s="32">
        <v>0</v>
      </c>
      <c r="BE527" s="32">
        <f t="shared" si="352"/>
        <v>1.9001399697675296</v>
      </c>
      <c r="BF527" s="32">
        <f t="shared" si="353"/>
        <v>0.20725418962433961</v>
      </c>
      <c r="BG527" s="32">
        <f t="shared" si="354"/>
        <v>0.11724069244518447</v>
      </c>
      <c r="BH527" s="32">
        <f t="shared" si="341"/>
        <v>3.343606871055437</v>
      </c>
      <c r="BI527" s="32">
        <f t="shared" si="342"/>
        <v>0.2802069326534708</v>
      </c>
      <c r="BJ527" s="32">
        <f t="shared" si="320"/>
        <v>3.6238138037089076</v>
      </c>
      <c r="BK527" s="457">
        <f t="shared" si="343"/>
        <v>3.9119559830696349</v>
      </c>
    </row>
    <row r="528" spans="1:63" ht="15">
      <c r="A528" s="119"/>
      <c r="B528" s="480">
        <f>Input!B545</f>
        <v>38510</v>
      </c>
      <c r="C528" s="481">
        <v>2</v>
      </c>
      <c r="D528" s="481">
        <f t="shared" si="322"/>
        <v>6</v>
      </c>
      <c r="E528" s="481">
        <f t="shared" si="323"/>
        <v>7</v>
      </c>
      <c r="F528" s="481">
        <f t="shared" si="324"/>
        <v>158</v>
      </c>
      <c r="G528" s="431">
        <v>28.598400000000002</v>
      </c>
      <c r="H528" s="455">
        <v>21.1</v>
      </c>
      <c r="I528" s="455">
        <v>12.8</v>
      </c>
      <c r="J528" s="455">
        <v>1.71</v>
      </c>
      <c r="K528" s="485"/>
      <c r="L528" s="433">
        <v>93</v>
      </c>
      <c r="M528" s="455">
        <v>86</v>
      </c>
      <c r="N528" s="484">
        <f>Weather!M529</f>
        <v>0</v>
      </c>
      <c r="O528" s="481" t="str">
        <f t="shared" si="344"/>
        <v/>
      </c>
      <c r="P528" s="4">
        <f t="shared" si="355"/>
        <v>4.1290757913512</v>
      </c>
      <c r="Q528" s="169">
        <f t="shared" si="325"/>
        <v>2.5023227554890153</v>
      </c>
      <c r="R528" s="169">
        <f t="shared" si="326"/>
        <v>1.4782881252432811</v>
      </c>
      <c r="S528" s="169">
        <f t="shared" si="327"/>
        <v>2.1519975697205531</v>
      </c>
      <c r="T528" s="169">
        <f t="shared" si="328"/>
        <v>1.3748079564762514</v>
      </c>
      <c r="U528" s="169">
        <f t="shared" si="317"/>
        <v>1.7634027630984024</v>
      </c>
      <c r="V528" s="169">
        <f t="shared" si="318"/>
        <v>6.1391490227127983E-2</v>
      </c>
      <c r="W528" s="439">
        <f t="shared" si="319"/>
        <v>15.521061741090266</v>
      </c>
      <c r="X528" s="439">
        <f t="shared" si="329"/>
        <v>15.521061741090266</v>
      </c>
      <c r="Y528" s="169"/>
      <c r="Z528" s="119" t="str">
        <f t="shared" si="330"/>
        <v/>
      </c>
      <c r="AA528" s="4" t="str">
        <f t="shared" si="331"/>
        <v/>
      </c>
      <c r="AB528" s="466"/>
      <c r="AC528" s="466"/>
      <c r="AD528" s="466"/>
      <c r="AE528" s="466"/>
      <c r="AF528" s="466"/>
      <c r="AG528" s="466"/>
      <c r="AH528" s="466"/>
      <c r="AI528" s="466"/>
      <c r="AJ528" s="466"/>
      <c r="AK528" s="466"/>
      <c r="AL528" s="466"/>
      <c r="AM528" s="462">
        <f t="shared" si="321"/>
        <v>158</v>
      </c>
      <c r="AN528" s="32">
        <f t="shared" si="345"/>
        <v>0.96989163298696601</v>
      </c>
      <c r="AO528" s="32">
        <f t="shared" si="346"/>
        <v>0.39718452444515412</v>
      </c>
      <c r="AP528" s="32">
        <f t="shared" si="347"/>
        <v>1.9901029539753909</v>
      </c>
      <c r="AQ528" s="32">
        <f t="shared" si="348"/>
        <v>15.203266674574374</v>
      </c>
      <c r="AR528" s="32">
        <f t="shared" si="349"/>
        <v>41.578268594950558</v>
      </c>
      <c r="AS528" s="32">
        <f t="shared" si="332"/>
        <v>31.213637799601283</v>
      </c>
      <c r="AT528" s="32">
        <f t="shared" si="333"/>
        <v>22.020768</v>
      </c>
      <c r="AU528" s="32">
        <f t="shared" si="334"/>
        <v>0.91621489887235485</v>
      </c>
      <c r="AV528" s="32">
        <f t="shared" si="335"/>
        <v>0.8868901134776791</v>
      </c>
      <c r="AW528" s="32">
        <f t="shared" si="336"/>
        <v>2.5023227554890153</v>
      </c>
      <c r="AX528" s="32">
        <f t="shared" si="337"/>
        <v>1.4782881252432811</v>
      </c>
      <c r="AY528" s="32">
        <f t="shared" si="338"/>
        <v>1.7634027630984024</v>
      </c>
      <c r="AZ528" s="32">
        <f t="shared" si="350"/>
        <v>0.15408955339538155</v>
      </c>
      <c r="BA528" s="32">
        <f t="shared" si="339"/>
        <v>-4.7485711875980003</v>
      </c>
      <c r="BB528" s="32">
        <f t="shared" si="351"/>
        <v>17.272196812402001</v>
      </c>
      <c r="BC528" s="32">
        <f t="shared" si="340"/>
        <v>16.950000000000003</v>
      </c>
      <c r="BD528" s="32">
        <v>0</v>
      </c>
      <c r="BE528" s="32">
        <f t="shared" si="352"/>
        <v>1.9903054403661482</v>
      </c>
      <c r="BF528" s="32">
        <f t="shared" si="353"/>
        <v>0.22690267726774582</v>
      </c>
      <c r="BG528" s="32">
        <f t="shared" si="354"/>
        <v>0.12248213190241858</v>
      </c>
      <c r="BH528" s="32">
        <f t="shared" si="341"/>
        <v>3.775520511785778</v>
      </c>
      <c r="BI528" s="32">
        <f t="shared" si="342"/>
        <v>0.3535552795654216</v>
      </c>
      <c r="BJ528" s="32">
        <f t="shared" si="320"/>
        <v>4.1290757913512</v>
      </c>
      <c r="BK528" s="457">
        <f t="shared" si="343"/>
        <v>3.9077071292664112</v>
      </c>
    </row>
    <row r="529" spans="1:63" ht="15">
      <c r="A529" s="119"/>
      <c r="B529" s="480">
        <f>Input!B546</f>
        <v>38511</v>
      </c>
      <c r="C529" s="481">
        <v>2</v>
      </c>
      <c r="D529" s="481">
        <f t="shared" si="322"/>
        <v>6</v>
      </c>
      <c r="E529" s="481">
        <f t="shared" si="323"/>
        <v>8</v>
      </c>
      <c r="F529" s="481">
        <f t="shared" si="324"/>
        <v>159</v>
      </c>
      <c r="G529" s="431">
        <v>27.820799999999998</v>
      </c>
      <c r="H529" s="455">
        <v>22.27</v>
      </c>
      <c r="I529" s="455">
        <v>16</v>
      </c>
      <c r="J529" s="455">
        <v>1.58</v>
      </c>
      <c r="K529" s="485"/>
      <c r="L529" s="433">
        <v>85</v>
      </c>
      <c r="M529" s="455">
        <v>83</v>
      </c>
      <c r="N529" s="484">
        <f>Weather!M530</f>
        <v>0</v>
      </c>
      <c r="O529" s="481" t="str">
        <f t="shared" si="344"/>
        <v/>
      </c>
      <c r="P529" s="4">
        <f t="shared" si="355"/>
        <v>4.4462286753676405</v>
      </c>
      <c r="Q529" s="169">
        <f t="shared" si="325"/>
        <v>2.6877561720399799</v>
      </c>
      <c r="R529" s="169">
        <f t="shared" si="326"/>
        <v>1.8182866804855506</v>
      </c>
      <c r="S529" s="169">
        <f t="shared" si="327"/>
        <v>2.230837622793183</v>
      </c>
      <c r="T529" s="169">
        <f t="shared" si="328"/>
        <v>1.5455436784127181</v>
      </c>
      <c r="U529" s="169">
        <f t="shared" si="317"/>
        <v>1.8881906506029504</v>
      </c>
      <c r="V529" s="169">
        <f t="shared" si="318"/>
        <v>6.5350593425307052E-2</v>
      </c>
      <c r="W529" s="439">
        <f t="shared" si="319"/>
        <v>16.591992367125158</v>
      </c>
      <c r="X529" s="439">
        <f t="shared" si="329"/>
        <v>16.591992367125158</v>
      </c>
      <c r="Y529" s="169"/>
      <c r="Z529" s="119" t="str">
        <f t="shared" si="330"/>
        <v/>
      </c>
      <c r="AA529" s="4" t="str">
        <f t="shared" si="331"/>
        <v/>
      </c>
      <c r="AB529" s="466"/>
      <c r="AC529" s="466"/>
      <c r="AD529" s="466"/>
      <c r="AE529" s="466"/>
      <c r="AF529" s="466"/>
      <c r="AG529" s="466"/>
      <c r="AH529" s="466"/>
      <c r="AI529" s="466"/>
      <c r="AJ529" s="466"/>
      <c r="AK529" s="466"/>
      <c r="AL529" s="466"/>
      <c r="AM529" s="462">
        <f t="shared" si="321"/>
        <v>159</v>
      </c>
      <c r="AN529" s="32">
        <f t="shared" si="345"/>
        <v>0.96966356299928591</v>
      </c>
      <c r="AO529" s="32">
        <f t="shared" si="346"/>
        <v>0.39880567380797377</v>
      </c>
      <c r="AP529" s="32">
        <f t="shared" si="347"/>
        <v>1.9921310193602464</v>
      </c>
      <c r="AQ529" s="32">
        <f t="shared" si="348"/>
        <v>15.218759952858214</v>
      </c>
      <c r="AR529" s="32">
        <f t="shared" si="349"/>
        <v>41.629019695968772</v>
      </c>
      <c r="AS529" s="32">
        <f t="shared" si="332"/>
        <v>31.25173766615768</v>
      </c>
      <c r="AT529" s="32">
        <f t="shared" si="333"/>
        <v>21.422015999999999</v>
      </c>
      <c r="AU529" s="32">
        <f t="shared" si="334"/>
        <v>0.89021609925156187</v>
      </c>
      <c r="AV529" s="32">
        <f t="shared" si="335"/>
        <v>0.85179173398960872</v>
      </c>
      <c r="AW529" s="32">
        <f t="shared" si="336"/>
        <v>2.6877561720399799</v>
      </c>
      <c r="AX529" s="32">
        <f t="shared" si="337"/>
        <v>1.8182866804855506</v>
      </c>
      <c r="AY529" s="32">
        <f t="shared" si="338"/>
        <v>1.88819065060295</v>
      </c>
      <c r="AZ529" s="32">
        <f t="shared" si="350"/>
        <v>0.14762397043337802</v>
      </c>
      <c r="BA529" s="32">
        <f t="shared" si="339"/>
        <v>-4.4999964794701706</v>
      </c>
      <c r="BB529" s="32">
        <f t="shared" si="351"/>
        <v>16.92201952052983</v>
      </c>
      <c r="BC529" s="32">
        <f t="shared" si="340"/>
        <v>19.134999999999998</v>
      </c>
      <c r="BD529" s="32">
        <v>0</v>
      </c>
      <c r="BE529" s="32">
        <f t="shared" si="352"/>
        <v>2.253021426262765</v>
      </c>
      <c r="BF529" s="32">
        <f t="shared" si="353"/>
        <v>0.36483077565981503</v>
      </c>
      <c r="BG529" s="32">
        <f t="shared" si="354"/>
        <v>0.13812965171797681</v>
      </c>
      <c r="BH529" s="32">
        <f t="shared" si="341"/>
        <v>3.9523002975946153</v>
      </c>
      <c r="BI529" s="32">
        <f t="shared" si="342"/>
        <v>0.4939283777730249</v>
      </c>
      <c r="BJ529" s="32">
        <f t="shared" si="320"/>
        <v>4.4462286753676405</v>
      </c>
      <c r="BK529" s="457">
        <f t="shared" si="343"/>
        <v>3.6143467020112907</v>
      </c>
    </row>
    <row r="530" spans="1:63" ht="15">
      <c r="A530" s="119"/>
      <c r="B530" s="480">
        <f>Input!B547</f>
        <v>38512</v>
      </c>
      <c r="C530" s="481">
        <v>2</v>
      </c>
      <c r="D530" s="481">
        <f t="shared" si="322"/>
        <v>6</v>
      </c>
      <c r="E530" s="481">
        <f t="shared" si="323"/>
        <v>9</v>
      </c>
      <c r="F530" s="481">
        <f t="shared" si="324"/>
        <v>160</v>
      </c>
      <c r="G530" s="431">
        <v>27.216000000000001</v>
      </c>
      <c r="H530" s="455">
        <v>21.65</v>
      </c>
      <c r="I530" s="455">
        <v>15.4</v>
      </c>
      <c r="J530" s="455">
        <v>2.11</v>
      </c>
      <c r="K530" s="485"/>
      <c r="L530" s="433">
        <v>74</v>
      </c>
      <c r="M530" s="455">
        <v>84</v>
      </c>
      <c r="N530" s="484">
        <f>Weather!M531</f>
        <v>0</v>
      </c>
      <c r="O530" s="481" t="str">
        <f t="shared" si="344"/>
        <v/>
      </c>
      <c r="P530" s="4">
        <f t="shared" si="355"/>
        <v>4.3562374293007231</v>
      </c>
      <c r="Q530" s="169">
        <f t="shared" si="325"/>
        <v>2.5880508034988008</v>
      </c>
      <c r="R530" s="169">
        <f t="shared" si="326"/>
        <v>1.7497618068909833</v>
      </c>
      <c r="S530" s="169">
        <f t="shared" si="327"/>
        <v>2.1739626749389926</v>
      </c>
      <c r="T530" s="169">
        <f t="shared" si="328"/>
        <v>1.2948237370993276</v>
      </c>
      <c r="U530" s="169">
        <f t="shared" si="317"/>
        <v>1.7343932060191602</v>
      </c>
      <c r="V530" s="169">
        <f t="shared" si="318"/>
        <v>6.0430997145305594E-2</v>
      </c>
      <c r="W530" s="439">
        <f t="shared" si="319"/>
        <v>15.262610387327522</v>
      </c>
      <c r="X530" s="439">
        <f t="shared" si="329"/>
        <v>15.262610387327522</v>
      </c>
      <c r="Y530" s="169"/>
      <c r="Z530" s="119" t="str">
        <f t="shared" si="330"/>
        <v/>
      </c>
      <c r="AA530" s="4" t="str">
        <f t="shared" si="331"/>
        <v/>
      </c>
      <c r="AB530" s="466"/>
      <c r="AC530" s="466"/>
      <c r="AD530" s="466"/>
      <c r="AE530" s="466"/>
      <c r="AF530" s="466"/>
      <c r="AG530" s="466"/>
      <c r="AH530" s="466"/>
      <c r="AI530" s="466"/>
      <c r="AJ530" s="466"/>
      <c r="AK530" s="466"/>
      <c r="AL530" s="466"/>
      <c r="AM530" s="462">
        <f t="shared" si="321"/>
        <v>160</v>
      </c>
      <c r="AN530" s="32">
        <f t="shared" si="345"/>
        <v>0.96944448235260294</v>
      </c>
      <c r="AO530" s="32">
        <f t="shared" si="346"/>
        <v>0.40030864844271274</v>
      </c>
      <c r="AP530" s="32">
        <f t="shared" si="347"/>
        <v>1.9940153753329004</v>
      </c>
      <c r="AQ530" s="32">
        <f t="shared" si="348"/>
        <v>15.233155372102662</v>
      </c>
      <c r="AR530" s="32">
        <f t="shared" si="349"/>
        <v>41.675700821794287</v>
      </c>
      <c r="AS530" s="32">
        <f t="shared" si="332"/>
        <v>31.28678212093741</v>
      </c>
      <c r="AT530" s="32">
        <f t="shared" si="333"/>
        <v>20.956320000000002</v>
      </c>
      <c r="AU530" s="32">
        <f t="shared" si="334"/>
        <v>0.86988811744199146</v>
      </c>
      <c r="AV530" s="32">
        <f t="shared" si="335"/>
        <v>0.82434895854668866</v>
      </c>
      <c r="AW530" s="32">
        <f t="shared" si="336"/>
        <v>2.5880508034988008</v>
      </c>
      <c r="AX530" s="32">
        <f t="shared" si="337"/>
        <v>1.7497618068909833</v>
      </c>
      <c r="AY530" s="32">
        <f t="shared" si="338"/>
        <v>1.7343932060191605</v>
      </c>
      <c r="AZ530" s="32">
        <f t="shared" si="350"/>
        <v>0.15562509162585181</v>
      </c>
      <c r="BA530" s="32">
        <f t="shared" si="339"/>
        <v>-4.552842608089799</v>
      </c>
      <c r="BB530" s="32">
        <f t="shared" si="351"/>
        <v>16.403477391910201</v>
      </c>
      <c r="BC530" s="32">
        <f t="shared" si="340"/>
        <v>18.524999999999999</v>
      </c>
      <c r="BD530" s="32">
        <v>0</v>
      </c>
      <c r="BE530" s="32">
        <f t="shared" si="352"/>
        <v>2.1689063051948922</v>
      </c>
      <c r="BF530" s="32">
        <f t="shared" si="353"/>
        <v>0.43451309917573178</v>
      </c>
      <c r="BG530" s="32">
        <f t="shared" si="354"/>
        <v>0.13359988603501666</v>
      </c>
      <c r="BH530" s="32">
        <f t="shared" si="341"/>
        <v>3.5929227958036463</v>
      </c>
      <c r="BI530" s="32">
        <f t="shared" si="342"/>
        <v>0.76331463349707729</v>
      </c>
      <c r="BJ530" s="32">
        <f t="shared" si="320"/>
        <v>4.3562374293007231</v>
      </c>
      <c r="BK530" s="457">
        <f t="shared" si="343"/>
        <v>3.552959810621283</v>
      </c>
    </row>
    <row r="531" spans="1:63" ht="15">
      <c r="A531" s="119"/>
      <c r="B531" s="480">
        <f>Input!B548</f>
        <v>38513</v>
      </c>
      <c r="C531" s="481">
        <v>2</v>
      </c>
      <c r="D531" s="481">
        <f t="shared" si="322"/>
        <v>6</v>
      </c>
      <c r="E531" s="481">
        <f t="shared" si="323"/>
        <v>10</v>
      </c>
      <c r="F531" s="481">
        <f t="shared" si="324"/>
        <v>161</v>
      </c>
      <c r="G531" s="431">
        <v>25.315200000000001</v>
      </c>
      <c r="H531" s="455">
        <v>22.53</v>
      </c>
      <c r="I531" s="455">
        <v>18.100000000000001</v>
      </c>
      <c r="J531" s="455">
        <v>1.9</v>
      </c>
      <c r="K531" s="485"/>
      <c r="L531" s="433">
        <v>89</v>
      </c>
      <c r="M531" s="455">
        <v>86</v>
      </c>
      <c r="N531" s="484">
        <f>Weather!M532</f>
        <v>9</v>
      </c>
      <c r="O531" s="481">
        <f t="shared" si="344"/>
        <v>1</v>
      </c>
      <c r="P531" s="4">
        <f t="shared" si="355"/>
        <v>4.1459186279255205</v>
      </c>
      <c r="Q531" s="169">
        <f t="shared" si="325"/>
        <v>2.7305562586925918</v>
      </c>
      <c r="R531" s="169">
        <f t="shared" si="326"/>
        <v>2.0770026187312354</v>
      </c>
      <c r="S531" s="169">
        <f t="shared" si="327"/>
        <v>2.348278382475629</v>
      </c>
      <c r="T531" s="169">
        <f t="shared" si="328"/>
        <v>1.8485323306707995</v>
      </c>
      <c r="U531" s="169">
        <f t="shared" si="317"/>
        <v>2.0984053565732141</v>
      </c>
      <c r="V531" s="169">
        <f t="shared" si="318"/>
        <v>7.1462849328256389E-2</v>
      </c>
      <c r="W531" s="439">
        <f t="shared" si="319"/>
        <v>18.263280185749164</v>
      </c>
      <c r="X531" s="439">
        <f t="shared" si="329"/>
        <v>18.263280185749164</v>
      </c>
      <c r="Y531" s="169"/>
      <c r="Z531" s="119" t="str">
        <f t="shared" si="330"/>
        <v/>
      </c>
      <c r="AA531" s="4" t="str">
        <f t="shared" si="331"/>
        <v/>
      </c>
      <c r="AB531" s="466"/>
      <c r="AC531" s="466"/>
      <c r="AD531" s="466"/>
      <c r="AE531" s="466"/>
      <c r="AF531" s="466"/>
      <c r="AG531" s="466"/>
      <c r="AH531" s="466"/>
      <c r="AI531" s="466"/>
      <c r="AJ531" s="466"/>
      <c r="AK531" s="466"/>
      <c r="AL531" s="466"/>
      <c r="AM531" s="462">
        <f t="shared" si="321"/>
        <v>161</v>
      </c>
      <c r="AN531" s="32">
        <f t="shared" si="345"/>
        <v>0.96923445596524105</v>
      </c>
      <c r="AO531" s="32">
        <f t="shared" ref="AO531:AO582" si="356">0.409*SIN(2*PI()/365*AM531-1.39)</f>
        <v>0.40169300298555</v>
      </c>
      <c r="AP531" s="32">
        <f t="shared" ref="AP531:AP582" si="357">ACOS(-TAN(AS$2)*TAN(AO531))</f>
        <v>1.9957545514510209</v>
      </c>
      <c r="AQ531" s="32">
        <f t="shared" ref="AQ531:AQ582" si="358">AP531*24/PI()</f>
        <v>15.246441698955762</v>
      </c>
      <c r="AR531" s="32">
        <f t="shared" ref="AR531:AR582" si="359">(24*60/PI())*AS$1*AN531*(AP531*SIN(AS$2)*SIN(AO531)+COS(AS$2)*COS(AO531)*SIN(AP531))</f>
        <v>41.718306595945776</v>
      </c>
      <c r="AS531" s="32">
        <f t="shared" si="332"/>
        <v>31.318767127708416</v>
      </c>
      <c r="AT531" s="32">
        <f t="shared" si="333"/>
        <v>19.492704</v>
      </c>
      <c r="AU531" s="32">
        <f t="shared" si="334"/>
        <v>0.80830768008115739</v>
      </c>
      <c r="AV531" s="32">
        <f t="shared" si="335"/>
        <v>0.74121536810956246</v>
      </c>
      <c r="AW531" s="32">
        <f t="shared" si="336"/>
        <v>2.7305562586925918</v>
      </c>
      <c r="AX531" s="32">
        <f t="shared" si="337"/>
        <v>2.0770026187312354</v>
      </c>
      <c r="AY531" s="32">
        <f t="shared" si="338"/>
        <v>2.0984053565732137</v>
      </c>
      <c r="AZ531" s="32">
        <f t="shared" si="350"/>
        <v>0.13719776877747378</v>
      </c>
      <c r="BA531" s="32">
        <f t="shared" si="339"/>
        <v>-3.6971001676942095</v>
      </c>
      <c r="BB531" s="32">
        <f t="shared" ref="BB531:BB582" si="360">IF(AT531="","",IF(BA531="","",AT531+BA531))</f>
        <v>15.79560383230579</v>
      </c>
      <c r="BC531" s="32">
        <f t="shared" si="340"/>
        <v>20.315000000000001</v>
      </c>
      <c r="BD531" s="32">
        <v>0</v>
      </c>
      <c r="BE531" s="32">
        <f t="shared" ref="BE531:BE582" si="361">IF(AW531="","",IF(AX531="","",(AW531+AX531)/2))</f>
        <v>2.4037794387119136</v>
      </c>
      <c r="BF531" s="32">
        <f t="shared" ref="BF531:BF582" si="362">IF(BE531="","",IF(AY531="","",BE531-AY531))</f>
        <v>0.30537408213869988</v>
      </c>
      <c r="BG531" s="32">
        <f t="shared" ref="BG531:BG582" si="363">IF(BE531="","",IF(BC531="","",4099*0.6108*EXP((17.27*BC531)/(BC531+237.3))/(BC531+237.3)^2))</f>
        <v>0.14726193371049204</v>
      </c>
      <c r="BH531" s="32">
        <f t="shared" si="341"/>
        <v>3.682327256930078</v>
      </c>
      <c r="BI531" s="32">
        <f t="shared" si="342"/>
        <v>0.46359137099544262</v>
      </c>
      <c r="BJ531" s="32">
        <f t="shared" si="320"/>
        <v>4.1459186279255205</v>
      </c>
      <c r="BK531" s="457">
        <f t="shared" si="343"/>
        <v>3.1418555234727523</v>
      </c>
    </row>
    <row r="532" spans="1:63" ht="15">
      <c r="A532" s="119"/>
      <c r="B532" s="480">
        <f>Input!B549</f>
        <v>38514</v>
      </c>
      <c r="C532" s="481">
        <v>2</v>
      </c>
      <c r="D532" s="481">
        <f t="shared" si="322"/>
        <v>6</v>
      </c>
      <c r="E532" s="481">
        <f t="shared" si="323"/>
        <v>11</v>
      </c>
      <c r="F532" s="481">
        <f t="shared" si="324"/>
        <v>162</v>
      </c>
      <c r="G532" s="431">
        <v>27.820799999999998</v>
      </c>
      <c r="H532" s="455">
        <v>21.51</v>
      </c>
      <c r="I532" s="455">
        <v>16.600000000000001</v>
      </c>
      <c r="J532" s="455">
        <v>2.3199999999999998</v>
      </c>
      <c r="K532" s="485"/>
      <c r="L532" s="433">
        <v>77</v>
      </c>
      <c r="M532" s="455">
        <v>86</v>
      </c>
      <c r="N532" s="484">
        <f>Weather!M533</f>
        <v>0.4</v>
      </c>
      <c r="O532" s="481" t="str">
        <f t="shared" si="344"/>
        <v/>
      </c>
      <c r="P532" s="4">
        <f t="shared" si="355"/>
        <v>4.411672347114922</v>
      </c>
      <c r="Q532" s="169">
        <f t="shared" si="325"/>
        <v>2.5659892401968398</v>
      </c>
      <c r="R532" s="169">
        <f t="shared" si="326"/>
        <v>1.889152127641528</v>
      </c>
      <c r="S532" s="169">
        <f t="shared" si="327"/>
        <v>2.2067507465692824</v>
      </c>
      <c r="T532" s="169">
        <f t="shared" si="328"/>
        <v>1.4546471382839765</v>
      </c>
      <c r="U532" s="169">
        <f t="shared" si="317"/>
        <v>1.8306989424266296</v>
      </c>
      <c r="V532" s="169">
        <f t="shared" si="318"/>
        <v>6.356013522434005E-2</v>
      </c>
      <c r="W532" s="439">
        <f t="shared" si="319"/>
        <v>16.106554895918745</v>
      </c>
      <c r="X532" s="439">
        <f t="shared" si="329"/>
        <v>16.106554895918745</v>
      </c>
      <c r="Y532" s="169"/>
      <c r="Z532" s="119" t="str">
        <f t="shared" si="330"/>
        <v/>
      </c>
      <c r="AA532" s="4" t="str">
        <f t="shared" si="331"/>
        <v/>
      </c>
      <c r="AB532" s="466"/>
      <c r="AC532" s="466"/>
      <c r="AD532" s="466"/>
      <c r="AE532" s="466"/>
      <c r="AF532" s="466"/>
      <c r="AG532" s="466"/>
      <c r="AH532" s="466"/>
      <c r="AI532" s="466"/>
      <c r="AJ532" s="466"/>
      <c r="AK532" s="466"/>
      <c r="AL532" s="466"/>
      <c r="AM532" s="462">
        <f t="shared" si="321"/>
        <v>162</v>
      </c>
      <c r="AN532" s="32">
        <f t="shared" si="345"/>
        <v>0.96903354607255143</v>
      </c>
      <c r="AO532" s="32">
        <f t="shared" si="356"/>
        <v>0.40295832722235758</v>
      </c>
      <c r="AP532" s="32">
        <f t="shared" si="357"/>
        <v>1.9973471788719053</v>
      </c>
      <c r="AQ532" s="32">
        <f t="shared" si="358"/>
        <v>15.258608476229558</v>
      </c>
      <c r="AR532" s="32">
        <f t="shared" si="359"/>
        <v>41.756832295186001</v>
      </c>
      <c r="AS532" s="32">
        <f t="shared" si="332"/>
        <v>31.347689140642036</v>
      </c>
      <c r="AT532" s="32">
        <f t="shared" si="333"/>
        <v>21.422015999999999</v>
      </c>
      <c r="AU532" s="32">
        <f t="shared" si="334"/>
        <v>0.88749125574077958</v>
      </c>
      <c r="AV532" s="32">
        <f t="shared" si="335"/>
        <v>0.84811319525005258</v>
      </c>
      <c r="AW532" s="32">
        <f t="shared" si="336"/>
        <v>2.5659892401968398</v>
      </c>
      <c r="AX532" s="32">
        <f t="shared" si="337"/>
        <v>1.889152127641528</v>
      </c>
      <c r="AY532" s="32">
        <f t="shared" si="338"/>
        <v>1.8306989424266289</v>
      </c>
      <c r="AZ532" s="32">
        <f t="shared" si="350"/>
        <v>0.15057534671653236</v>
      </c>
      <c r="BA532" s="32">
        <f t="shared" si="339"/>
        <v>-4.5639222975410334</v>
      </c>
      <c r="BB532" s="32">
        <f t="shared" si="360"/>
        <v>16.858093702458966</v>
      </c>
      <c r="BC532" s="32">
        <f t="shared" si="340"/>
        <v>19.055</v>
      </c>
      <c r="BD532" s="32">
        <v>0</v>
      </c>
      <c r="BE532" s="32">
        <f t="shared" si="361"/>
        <v>2.227570683919184</v>
      </c>
      <c r="BF532" s="32">
        <f t="shared" si="362"/>
        <v>0.39687174149255511</v>
      </c>
      <c r="BG532" s="32">
        <f t="shared" si="363"/>
        <v>0.13752827583168684</v>
      </c>
      <c r="BH532" s="32">
        <f t="shared" si="341"/>
        <v>3.6723904186619745</v>
      </c>
      <c r="BI532" s="32">
        <f t="shared" si="342"/>
        <v>0.73928192845294782</v>
      </c>
      <c r="BJ532" s="32">
        <f t="shared" si="320"/>
        <v>4.411672347114922</v>
      </c>
      <c r="BK532" s="457">
        <f t="shared" si="343"/>
        <v>3.2013006189048867</v>
      </c>
    </row>
    <row r="533" spans="1:63" ht="15">
      <c r="A533" s="119"/>
      <c r="B533" s="480">
        <f>Input!B550</f>
        <v>38515</v>
      </c>
      <c r="C533" s="481">
        <v>2</v>
      </c>
      <c r="D533" s="481">
        <f t="shared" si="322"/>
        <v>6</v>
      </c>
      <c r="E533" s="481">
        <f t="shared" si="323"/>
        <v>12</v>
      </c>
      <c r="F533" s="481">
        <f t="shared" si="324"/>
        <v>163</v>
      </c>
      <c r="G533" s="431">
        <v>28.512</v>
      </c>
      <c r="H533" s="455">
        <v>21.49</v>
      </c>
      <c r="I533" s="455">
        <v>14</v>
      </c>
      <c r="J533" s="455">
        <v>2.2000000000000002</v>
      </c>
      <c r="K533" s="485"/>
      <c r="L533" s="433">
        <v>88</v>
      </c>
      <c r="M533" s="455">
        <v>76</v>
      </c>
      <c r="N533" s="484">
        <f>Weather!M534</f>
        <v>9</v>
      </c>
      <c r="O533" s="481">
        <f t="shared" si="344"/>
        <v>1</v>
      </c>
      <c r="P533" s="4">
        <f t="shared" si="355"/>
        <v>4.3849772680391643</v>
      </c>
      <c r="Q533" s="169">
        <f t="shared" si="325"/>
        <v>2.5628510399449316</v>
      </c>
      <c r="R533" s="169">
        <f t="shared" si="326"/>
        <v>1.5986048594252917</v>
      </c>
      <c r="S533" s="169">
        <f t="shared" si="327"/>
        <v>1.9477667903581479</v>
      </c>
      <c r="T533" s="169">
        <f t="shared" si="328"/>
        <v>1.4067722762942567</v>
      </c>
      <c r="U533" s="169">
        <f t="shared" si="317"/>
        <v>1.6772695333262022</v>
      </c>
      <c r="V533" s="169">
        <f t="shared" si="318"/>
        <v>5.8491771805098527E-2</v>
      </c>
      <c r="W533" s="439">
        <f t="shared" si="319"/>
        <v>14.742406952684183</v>
      </c>
      <c r="X533" s="439">
        <f t="shared" si="329"/>
        <v>14.742406952684183</v>
      </c>
      <c r="Y533" s="169"/>
      <c r="Z533" s="119" t="str">
        <f t="shared" si="330"/>
        <v/>
      </c>
      <c r="AA533" s="4" t="str">
        <f t="shared" si="331"/>
        <v/>
      </c>
      <c r="AB533" s="466"/>
      <c r="AC533" s="466"/>
      <c r="AD533" s="466"/>
      <c r="AE533" s="466"/>
      <c r="AF533" s="466"/>
      <c r="AG533" s="466"/>
      <c r="AH533" s="466"/>
      <c r="AI533" s="466"/>
      <c r="AJ533" s="466"/>
      <c r="AK533" s="466"/>
      <c r="AL533" s="466"/>
      <c r="AM533" s="462">
        <f t="shared" si="321"/>
        <v>163</v>
      </c>
      <c r="AN533" s="32">
        <f t="shared" si="345"/>
        <v>0.96884181220847143</v>
      </c>
      <c r="AO533" s="32">
        <f t="shared" si="356"/>
        <v>0.40410424621025626</v>
      </c>
      <c r="AP533" s="32">
        <f t="shared" si="357"/>
        <v>1.9987919941754833</v>
      </c>
      <c r="AQ533" s="32">
        <f t="shared" si="358"/>
        <v>15.269646052105683</v>
      </c>
      <c r="AR533" s="32">
        <f t="shared" si="359"/>
        <v>41.791273848789046</v>
      </c>
      <c r="AS533" s="32">
        <f t="shared" si="332"/>
        <v>31.373545103762915</v>
      </c>
      <c r="AT533" s="32">
        <f t="shared" si="333"/>
        <v>21.954240000000002</v>
      </c>
      <c r="AU533" s="32">
        <f t="shared" si="334"/>
        <v>0.90879114571532105</v>
      </c>
      <c r="AV533" s="32">
        <f t="shared" si="335"/>
        <v>0.87686804671568341</v>
      </c>
      <c r="AW533" s="32">
        <f t="shared" si="336"/>
        <v>2.5628510399449316</v>
      </c>
      <c r="AX533" s="32">
        <f t="shared" si="337"/>
        <v>1.5986048594252917</v>
      </c>
      <c r="AY533" s="32">
        <f t="shared" si="338"/>
        <v>1.6772695333262022</v>
      </c>
      <c r="AZ533" s="32">
        <f t="shared" si="350"/>
        <v>0.15868678246417456</v>
      </c>
      <c r="BA533" s="32">
        <f t="shared" si="339"/>
        <v>-4.8870612938873919</v>
      </c>
      <c r="BB533" s="32">
        <f t="shared" si="360"/>
        <v>17.06717870611261</v>
      </c>
      <c r="BC533" s="32">
        <f t="shared" si="340"/>
        <v>17.744999999999997</v>
      </c>
      <c r="BD533" s="32">
        <v>0</v>
      </c>
      <c r="BE533" s="32">
        <f t="shared" si="361"/>
        <v>2.0807279496851114</v>
      </c>
      <c r="BF533" s="32">
        <f t="shared" si="362"/>
        <v>0.40345841635890922</v>
      </c>
      <c r="BG533" s="32">
        <f t="shared" si="363"/>
        <v>0.12799160477352733</v>
      </c>
      <c r="BH533" s="32">
        <f t="shared" si="341"/>
        <v>3.6332655553762438</v>
      </c>
      <c r="BI533" s="32">
        <f t="shared" si="342"/>
        <v>0.75171171266292058</v>
      </c>
      <c r="BJ533" s="32">
        <f t="shared" si="320"/>
        <v>4.3849772680391643</v>
      </c>
      <c r="BK533" s="457">
        <f t="shared" si="343"/>
        <v>3.8165133708449268</v>
      </c>
    </row>
    <row r="534" spans="1:63" ht="15">
      <c r="A534" s="119"/>
      <c r="B534" s="480">
        <f>Input!B551</f>
        <v>38516</v>
      </c>
      <c r="C534" s="481">
        <v>2</v>
      </c>
      <c r="D534" s="481">
        <f t="shared" si="322"/>
        <v>6</v>
      </c>
      <c r="E534" s="481">
        <f t="shared" si="323"/>
        <v>13</v>
      </c>
      <c r="F534" s="481">
        <f t="shared" si="324"/>
        <v>164</v>
      </c>
      <c r="G534" s="431">
        <v>28.512</v>
      </c>
      <c r="H534" s="455">
        <v>20.440000000000001</v>
      </c>
      <c r="I534" s="455">
        <v>12.3</v>
      </c>
      <c r="J534" s="455">
        <v>4.0999999999999996</v>
      </c>
      <c r="K534" s="485"/>
      <c r="L534" s="433">
        <v>95</v>
      </c>
      <c r="M534" s="455">
        <v>80</v>
      </c>
      <c r="N534" s="484">
        <f>Weather!M535</f>
        <v>0</v>
      </c>
      <c r="O534" s="481" t="str">
        <f t="shared" si="344"/>
        <v/>
      </c>
      <c r="P534" s="4">
        <f t="shared" si="355"/>
        <v>3.8091930190969734</v>
      </c>
      <c r="Q534" s="169">
        <f t="shared" si="325"/>
        <v>2.4027331624317236</v>
      </c>
      <c r="R534" s="169">
        <f t="shared" si="326"/>
        <v>1.4305514044122081</v>
      </c>
      <c r="S534" s="169">
        <f t="shared" si="327"/>
        <v>1.9221865299453791</v>
      </c>
      <c r="T534" s="169">
        <f t="shared" si="328"/>
        <v>1.3590238341915977</v>
      </c>
      <c r="U534" s="169">
        <f t="shared" si="317"/>
        <v>1.6406051820684884</v>
      </c>
      <c r="V534" s="169">
        <f t="shared" si="318"/>
        <v>5.7211979899330731E-2</v>
      </c>
      <c r="W534" s="439">
        <f t="shared" si="319"/>
        <v>14.400270835708666</v>
      </c>
      <c r="X534" s="439">
        <f t="shared" si="329"/>
        <v>14.400270835708666</v>
      </c>
      <c r="Y534" s="169"/>
      <c r="Z534" s="119" t="str">
        <f t="shared" si="330"/>
        <v/>
      </c>
      <c r="AA534" s="4" t="str">
        <f t="shared" si="331"/>
        <v/>
      </c>
      <c r="AB534" s="466"/>
      <c r="AC534" s="466"/>
      <c r="AD534" s="466"/>
      <c r="AE534" s="466"/>
      <c r="AF534" s="466"/>
      <c r="AG534" s="466"/>
      <c r="AH534" s="466"/>
      <c r="AI534" s="466"/>
      <c r="AJ534" s="466"/>
      <c r="AK534" s="466"/>
      <c r="AL534" s="466"/>
      <c r="AM534" s="462">
        <f t="shared" si="321"/>
        <v>164</v>
      </c>
      <c r="AN534" s="32">
        <f t="shared" si="345"/>
        <v>0.96865931118788273</v>
      </c>
      <c r="AO534" s="32">
        <f t="shared" si="356"/>
        <v>0.40513042038871888</v>
      </c>
      <c r="AP534" s="32">
        <f t="shared" si="357"/>
        <v>2.0000878429364071</v>
      </c>
      <c r="AQ534" s="32">
        <f t="shared" si="358"/>
        <v>15.279545607424106</v>
      </c>
      <c r="AR534" s="32">
        <f t="shared" si="359"/>
        <v>41.821627837995436</v>
      </c>
      <c r="AS534" s="32">
        <f t="shared" si="332"/>
        <v>31.396332450539937</v>
      </c>
      <c r="AT534" s="32">
        <f t="shared" si="333"/>
        <v>21.954240000000002</v>
      </c>
      <c r="AU534" s="32">
        <f t="shared" si="334"/>
        <v>0.90813154832387644</v>
      </c>
      <c r="AV534" s="32">
        <f t="shared" si="335"/>
        <v>0.87597759023723321</v>
      </c>
      <c r="AW534" s="32">
        <f t="shared" si="336"/>
        <v>2.4027331624317236</v>
      </c>
      <c r="AX534" s="32">
        <f t="shared" si="337"/>
        <v>1.4305514044122081</v>
      </c>
      <c r="AY534" s="32">
        <f t="shared" si="338"/>
        <v>1.6406051820684888</v>
      </c>
      <c r="AZ534" s="32">
        <f t="shared" si="350"/>
        <v>0.16067944465694298</v>
      </c>
      <c r="BA534" s="32">
        <f t="shared" si="339"/>
        <v>-4.8515257733978592</v>
      </c>
      <c r="BB534" s="32">
        <f t="shared" si="360"/>
        <v>17.102714226602142</v>
      </c>
      <c r="BC534" s="32">
        <f t="shared" si="340"/>
        <v>16.37</v>
      </c>
      <c r="BD534" s="32">
        <v>0</v>
      </c>
      <c r="BE534" s="32">
        <f t="shared" si="361"/>
        <v>1.9166422834219659</v>
      </c>
      <c r="BF534" s="32">
        <f t="shared" si="362"/>
        <v>0.27603710135347703</v>
      </c>
      <c r="BG534" s="32">
        <f t="shared" si="363"/>
        <v>0.11859075376401694</v>
      </c>
      <c r="BH534" s="32">
        <f t="shared" si="341"/>
        <v>2.9632540690139257</v>
      </c>
      <c r="BI534" s="32">
        <f t="shared" si="342"/>
        <v>0.84593895008304754</v>
      </c>
      <c r="BJ534" s="32">
        <f t="shared" si="320"/>
        <v>3.8091930190969734</v>
      </c>
      <c r="BK534" s="457">
        <f t="shared" si="343"/>
        <v>3.8275411270619788</v>
      </c>
    </row>
    <row r="535" spans="1:63" ht="15">
      <c r="A535" s="119"/>
      <c r="B535" s="480">
        <f>Input!B552</f>
        <v>38517</v>
      </c>
      <c r="C535" s="481">
        <v>2</v>
      </c>
      <c r="D535" s="481">
        <f t="shared" si="322"/>
        <v>6</v>
      </c>
      <c r="E535" s="481">
        <f t="shared" si="323"/>
        <v>14</v>
      </c>
      <c r="F535" s="481">
        <f t="shared" si="324"/>
        <v>165</v>
      </c>
      <c r="G535" s="431">
        <v>28.339200000000002</v>
      </c>
      <c r="H535" s="455">
        <v>19.77</v>
      </c>
      <c r="I535" s="455">
        <v>12.2</v>
      </c>
      <c r="J535" s="455">
        <v>1.74</v>
      </c>
      <c r="K535" s="485"/>
      <c r="L535" s="433">
        <v>82</v>
      </c>
      <c r="M535" s="455">
        <v>84</v>
      </c>
      <c r="N535" s="484">
        <f>Weather!M536</f>
        <v>0</v>
      </c>
      <c r="O535" s="481" t="str">
        <f t="shared" si="344"/>
        <v/>
      </c>
      <c r="P535" s="4">
        <f t="shared" si="355"/>
        <v>4.0988775716802071</v>
      </c>
      <c r="Q535" s="169">
        <f t="shared" si="325"/>
        <v>2.305196150396601</v>
      </c>
      <c r="R535" s="169">
        <f t="shared" si="326"/>
        <v>1.4211682209835756</v>
      </c>
      <c r="S535" s="169">
        <f t="shared" si="327"/>
        <v>1.9363647663331447</v>
      </c>
      <c r="T535" s="169">
        <f t="shared" si="328"/>
        <v>1.165357941206532</v>
      </c>
      <c r="U535" s="169">
        <f t="shared" si="317"/>
        <v>1.5508613537698384</v>
      </c>
      <c r="V535" s="169">
        <f t="shared" si="318"/>
        <v>5.3954614610746618E-2</v>
      </c>
      <c r="W535" s="439">
        <f t="shared" si="319"/>
        <v>13.533631942892635</v>
      </c>
      <c r="X535" s="439">
        <f t="shared" si="329"/>
        <v>13.533631942892635</v>
      </c>
      <c r="Y535" s="169"/>
      <c r="Z535" s="119" t="str">
        <f t="shared" si="330"/>
        <v/>
      </c>
      <c r="AA535" s="4" t="str">
        <f t="shared" si="331"/>
        <v/>
      </c>
      <c r="AB535" s="466"/>
      <c r="AC535" s="466"/>
      <c r="AD535" s="466"/>
      <c r="AE535" s="466"/>
      <c r="AF535" s="466"/>
      <c r="AG535" s="466"/>
      <c r="AH535" s="466"/>
      <c r="AI535" s="466"/>
      <c r="AJ535" s="466"/>
      <c r="AK535" s="466"/>
      <c r="AL535" s="466"/>
      <c r="AM535" s="462">
        <f t="shared" si="321"/>
        <v>165</v>
      </c>
      <c r="AN535" s="32">
        <f t="shared" si="345"/>
        <v>0.96848609708977662</v>
      </c>
      <c r="AO535" s="32">
        <f t="shared" si="356"/>
        <v>0.40603654568018976</v>
      </c>
      <c r="AP535" s="32">
        <f t="shared" si="357"/>
        <v>2.0012336830245046</v>
      </c>
      <c r="AQ535" s="32">
        <f t="shared" si="358"/>
        <v>15.288299180896759</v>
      </c>
      <c r="AR535" s="32">
        <f t="shared" si="359"/>
        <v>41.847891495572128</v>
      </c>
      <c r="AS535" s="32">
        <f t="shared" si="332"/>
        <v>31.41604910355591</v>
      </c>
      <c r="AT535" s="32">
        <f t="shared" si="333"/>
        <v>21.821184000000002</v>
      </c>
      <c r="AU535" s="32">
        <f t="shared" si="334"/>
        <v>0.9020612333074165</v>
      </c>
      <c r="AV535" s="32">
        <f t="shared" si="335"/>
        <v>0.86778266496501233</v>
      </c>
      <c r="AW535" s="32">
        <f t="shared" si="336"/>
        <v>2.305196150396601</v>
      </c>
      <c r="AX535" s="32">
        <f t="shared" si="337"/>
        <v>1.4211682209835756</v>
      </c>
      <c r="AY535" s="32">
        <f t="shared" si="338"/>
        <v>1.5508613537698384</v>
      </c>
      <c r="AZ535" s="32">
        <f t="shared" si="350"/>
        <v>0.16565298243477511</v>
      </c>
      <c r="BA535" s="32">
        <f t="shared" si="339"/>
        <v>-4.9278253220581094</v>
      </c>
      <c r="BB535" s="32">
        <f t="shared" si="360"/>
        <v>16.893358677941894</v>
      </c>
      <c r="BC535" s="32">
        <f t="shared" si="340"/>
        <v>15.984999999999999</v>
      </c>
      <c r="BD535" s="32">
        <v>0</v>
      </c>
      <c r="BE535" s="32">
        <f t="shared" si="361"/>
        <v>1.8631821856900883</v>
      </c>
      <c r="BF535" s="32">
        <f t="shared" si="362"/>
        <v>0.31232083192024995</v>
      </c>
      <c r="BG535" s="32">
        <f t="shared" si="363"/>
        <v>0.11606605189958383</v>
      </c>
      <c r="BH535" s="32">
        <f t="shared" si="341"/>
        <v>3.5892575333005405</v>
      </c>
      <c r="BI535" s="32">
        <f t="shared" si="342"/>
        <v>0.50962003837966674</v>
      </c>
      <c r="BJ535" s="32">
        <f t="shared" si="320"/>
        <v>4.0988775716802071</v>
      </c>
      <c r="BK535" s="457">
        <f t="shared" si="343"/>
        <v>3.6518017771390232</v>
      </c>
    </row>
    <row r="536" spans="1:63" ht="15">
      <c r="A536" s="119"/>
      <c r="B536" s="480">
        <f>Input!B553</f>
        <v>38518</v>
      </c>
      <c r="C536" s="481">
        <v>2</v>
      </c>
      <c r="D536" s="481">
        <f t="shared" si="322"/>
        <v>6</v>
      </c>
      <c r="E536" s="481">
        <f t="shared" si="323"/>
        <v>15</v>
      </c>
      <c r="F536" s="481">
        <f t="shared" si="324"/>
        <v>166</v>
      </c>
      <c r="G536" s="431">
        <v>28.598400000000002</v>
      </c>
      <c r="H536" s="455">
        <v>20.059999999999999</v>
      </c>
      <c r="I536" s="455">
        <v>10.9</v>
      </c>
      <c r="J536" s="455">
        <v>1.29</v>
      </c>
      <c r="K536" s="485"/>
      <c r="L536" s="433">
        <v>69</v>
      </c>
      <c r="M536" s="455">
        <v>87</v>
      </c>
      <c r="N536" s="484">
        <v>0</v>
      </c>
      <c r="O536" s="481" t="str">
        <f t="shared" si="344"/>
        <v/>
      </c>
      <c r="P536" s="4">
        <f t="shared" si="355"/>
        <v>4.1796010570230111</v>
      </c>
      <c r="Q536" s="169">
        <f t="shared" si="325"/>
        <v>2.3469801606721163</v>
      </c>
      <c r="R536" s="169">
        <f t="shared" si="326"/>
        <v>1.3040137525909687</v>
      </c>
      <c r="S536" s="169">
        <f t="shared" si="327"/>
        <v>2.0418727397847412</v>
      </c>
      <c r="T536" s="169">
        <f t="shared" si="328"/>
        <v>0.89976948928776834</v>
      </c>
      <c r="U536" s="169">
        <f t="shared" si="317"/>
        <v>1.4708211145362546</v>
      </c>
      <c r="V536" s="169">
        <f t="shared" si="318"/>
        <v>5.0886307573654387E-2</v>
      </c>
      <c r="W536" s="439">
        <f t="shared" si="319"/>
        <v>12.722733728936561</v>
      </c>
      <c r="X536" s="439">
        <f t="shared" si="329"/>
        <v>12.722733728936561</v>
      </c>
      <c r="Y536" s="169"/>
      <c r="Z536" s="119" t="str">
        <f t="shared" si="330"/>
        <v/>
      </c>
      <c r="AA536" s="4" t="str">
        <f t="shared" si="331"/>
        <v/>
      </c>
      <c r="AB536" s="466"/>
      <c r="AC536" s="466"/>
      <c r="AD536" s="466"/>
      <c r="AE536" s="466"/>
      <c r="AF536" s="466"/>
      <c r="AG536" s="466"/>
      <c r="AH536" s="466"/>
      <c r="AI536" s="466"/>
      <c r="AJ536" s="466"/>
      <c r="AK536" s="466"/>
      <c r="AL536" s="466"/>
      <c r="AM536" s="462">
        <f t="shared" si="321"/>
        <v>166</v>
      </c>
      <c r="AN536" s="32">
        <f t="shared" si="345"/>
        <v>0.96832222124122846</v>
      </c>
      <c r="AO536" s="32">
        <f t="shared" si="356"/>
        <v>0.40682235358018926</v>
      </c>
      <c r="AP536" s="32">
        <f t="shared" si="357"/>
        <v>2.0022285876141384</v>
      </c>
      <c r="AQ536" s="32">
        <f t="shared" si="358"/>
        <v>15.29589969209732</v>
      </c>
      <c r="AR536" s="32">
        <f t="shared" si="359"/>
        <v>41.870062705398837</v>
      </c>
      <c r="AS536" s="32">
        <f t="shared" si="332"/>
        <v>31.432693474197016</v>
      </c>
      <c r="AT536" s="32">
        <f t="shared" si="333"/>
        <v>22.020768</v>
      </c>
      <c r="AU536" s="32">
        <f t="shared" si="334"/>
        <v>0.90982976127948834</v>
      </c>
      <c r="AV536" s="32">
        <f t="shared" si="335"/>
        <v>0.87827017772730931</v>
      </c>
      <c r="AW536" s="32">
        <f t="shared" si="336"/>
        <v>2.3469801606721163</v>
      </c>
      <c r="AX536" s="32">
        <f t="shared" si="337"/>
        <v>1.3040137525909687</v>
      </c>
      <c r="AY536" s="32">
        <f t="shared" si="338"/>
        <v>1.4708211145362549</v>
      </c>
      <c r="AZ536" s="32">
        <f t="shared" si="350"/>
        <v>0.17021162040672339</v>
      </c>
      <c r="BA536" s="32">
        <f t="shared" si="339"/>
        <v>-5.091373441070723</v>
      </c>
      <c r="BB536" s="32">
        <f t="shared" si="360"/>
        <v>16.929394558929278</v>
      </c>
      <c r="BC536" s="32">
        <f t="shared" si="340"/>
        <v>15.48</v>
      </c>
      <c r="BD536" s="32">
        <v>0</v>
      </c>
      <c r="BE536" s="32">
        <f t="shared" si="361"/>
        <v>1.8254969566315427</v>
      </c>
      <c r="BF536" s="32">
        <f t="shared" si="362"/>
        <v>0.3546758420952878</v>
      </c>
      <c r="BG536" s="32">
        <f t="shared" si="363"/>
        <v>0.11282373286107246</v>
      </c>
      <c r="BH536" s="32">
        <f t="shared" si="341"/>
        <v>3.7220551149012167</v>
      </c>
      <c r="BI536" s="32">
        <f t="shared" si="342"/>
        <v>0.45754594212179445</v>
      </c>
      <c r="BJ536" s="32">
        <f t="shared" si="320"/>
        <v>4.1796010570230111</v>
      </c>
      <c r="BK536" s="457">
        <f t="shared" si="343"/>
        <v>3.9590995076254245</v>
      </c>
    </row>
    <row r="537" spans="1:63" ht="15">
      <c r="A537" s="119"/>
      <c r="B537" s="480">
        <f>Input!B554</f>
        <v>38519</v>
      </c>
      <c r="C537" s="481">
        <v>2</v>
      </c>
      <c r="D537" s="481">
        <f t="shared" si="322"/>
        <v>6</v>
      </c>
      <c r="E537" s="481">
        <f t="shared" si="323"/>
        <v>16</v>
      </c>
      <c r="F537" s="481">
        <f t="shared" si="324"/>
        <v>167</v>
      </c>
      <c r="G537" s="431">
        <v>17.4528</v>
      </c>
      <c r="H537" s="455">
        <v>22.32</v>
      </c>
      <c r="I537" s="455">
        <v>13.5</v>
      </c>
      <c r="J537" s="455">
        <v>1.63</v>
      </c>
      <c r="K537" s="485"/>
      <c r="L537" s="433">
        <v>79</v>
      </c>
      <c r="M537" s="455">
        <v>84</v>
      </c>
      <c r="N537" s="484">
        <f>Weather!M538</f>
        <v>2.8</v>
      </c>
      <c r="O537" s="481" t="str">
        <f t="shared" si="344"/>
        <v/>
      </c>
      <c r="P537" s="4">
        <f t="shared" si="355"/>
        <v>3.089182056521572</v>
      </c>
      <c r="Q537" s="169">
        <f t="shared" si="325"/>
        <v>2.6959411543070533</v>
      </c>
      <c r="R537" s="169">
        <f t="shared" si="326"/>
        <v>1.5474672427794578</v>
      </c>
      <c r="S537" s="169">
        <f t="shared" si="327"/>
        <v>2.2645905696179245</v>
      </c>
      <c r="T537" s="169">
        <f t="shared" si="328"/>
        <v>1.2224991217957717</v>
      </c>
      <c r="U537" s="169">
        <f t="shared" si="317"/>
        <v>1.7435448457068481</v>
      </c>
      <c r="V537" s="169">
        <f t="shared" si="318"/>
        <v>6.0735727509913719E-2</v>
      </c>
      <c r="W537" s="439">
        <f t="shared" si="319"/>
        <v>15.344550580949141</v>
      </c>
      <c r="X537" s="439">
        <f t="shared" si="329"/>
        <v>15.344550580949141</v>
      </c>
      <c r="Y537" s="169"/>
      <c r="Z537" s="119" t="str">
        <f t="shared" si="330"/>
        <v/>
      </c>
      <c r="AA537" s="4" t="str">
        <f t="shared" si="331"/>
        <v/>
      </c>
      <c r="AB537" s="466"/>
      <c r="AC537" s="466"/>
      <c r="AD537" s="466"/>
      <c r="AE537" s="466"/>
      <c r="AF537" s="466"/>
      <c r="AG537" s="466"/>
      <c r="AH537" s="466"/>
      <c r="AI537" s="466"/>
      <c r="AJ537" s="466"/>
      <c r="AK537" s="466"/>
      <c r="AL537" s="466"/>
      <c r="AM537" s="462">
        <f t="shared" si="321"/>
        <v>167</v>
      </c>
      <c r="AN537" s="32">
        <f t="shared" si="345"/>
        <v>0.96816773220218899</v>
      </c>
      <c r="AO537" s="32">
        <f t="shared" si="356"/>
        <v>0.40748761123687749</v>
      </c>
      <c r="AP537" s="32">
        <f t="shared" si="357"/>
        <v>2.0030717478844777</v>
      </c>
      <c r="AQ537" s="32">
        <f t="shared" si="358"/>
        <v>15.302340962089794</v>
      </c>
      <c r="AR537" s="32">
        <f t="shared" si="359"/>
        <v>41.888140002007773</v>
      </c>
      <c r="AS537" s="32">
        <f t="shared" si="332"/>
        <v>31.446264462307276</v>
      </c>
      <c r="AT537" s="32">
        <f t="shared" si="333"/>
        <v>13.438656</v>
      </c>
      <c r="AU537" s="32">
        <f t="shared" si="334"/>
        <v>0.55500391853918318</v>
      </c>
      <c r="AV537" s="32">
        <f t="shared" si="335"/>
        <v>0.39925529002789739</v>
      </c>
      <c r="AW537" s="32">
        <f t="shared" si="336"/>
        <v>2.6959411543070533</v>
      </c>
      <c r="AX537" s="32">
        <f t="shared" si="337"/>
        <v>1.5474672427794578</v>
      </c>
      <c r="AY537" s="32">
        <f t="shared" si="338"/>
        <v>1.7435448457068481</v>
      </c>
      <c r="AZ537" s="32">
        <f t="shared" si="350"/>
        <v>0.15513929845460872</v>
      </c>
      <c r="BA537" s="32">
        <f t="shared" si="339"/>
        <v>-2.1812050546598636</v>
      </c>
      <c r="BB537" s="32">
        <f t="shared" si="360"/>
        <v>11.257450945340135</v>
      </c>
      <c r="BC537" s="32">
        <f t="shared" si="340"/>
        <v>17.91</v>
      </c>
      <c r="BD537" s="32">
        <v>0</v>
      </c>
      <c r="BE537" s="32">
        <f t="shared" si="361"/>
        <v>2.1217041985432554</v>
      </c>
      <c r="BF537" s="32">
        <f t="shared" si="362"/>
        <v>0.37815935283640734</v>
      </c>
      <c r="BG537" s="32">
        <f t="shared" si="363"/>
        <v>0.12916102254731679</v>
      </c>
      <c r="BH537" s="32">
        <f t="shared" si="341"/>
        <v>2.5409996865675972</v>
      </c>
      <c r="BI537" s="32">
        <f t="shared" si="342"/>
        <v>0.54818236995397485</v>
      </c>
      <c r="BJ537" s="32">
        <f t="shared" si="320"/>
        <v>3.089182056521572</v>
      </c>
      <c r="BK537" s="457">
        <f t="shared" si="343"/>
        <v>4.1703928834524495</v>
      </c>
    </row>
    <row r="538" spans="1:63" ht="15">
      <c r="A538" s="119"/>
      <c r="B538" s="480">
        <f>Input!B555</f>
        <v>38520</v>
      </c>
      <c r="C538" s="481">
        <v>2</v>
      </c>
      <c r="D538" s="481">
        <f t="shared" si="322"/>
        <v>6</v>
      </c>
      <c r="E538" s="481">
        <f t="shared" si="323"/>
        <v>17</v>
      </c>
      <c r="F538" s="481">
        <f t="shared" si="324"/>
        <v>168</v>
      </c>
      <c r="G538" s="431">
        <v>22.204799999999999</v>
      </c>
      <c r="H538" s="455">
        <v>23.68</v>
      </c>
      <c r="I538" s="455">
        <v>13.2</v>
      </c>
      <c r="J538" s="455">
        <v>1.5</v>
      </c>
      <c r="K538" s="485"/>
      <c r="L538" s="433">
        <v>89</v>
      </c>
      <c r="M538" s="455">
        <v>87</v>
      </c>
      <c r="N538" s="484">
        <f>Weather!M539</f>
        <v>0</v>
      </c>
      <c r="O538" s="481" t="str">
        <f t="shared" si="344"/>
        <v/>
      </c>
      <c r="P538" s="4">
        <f t="shared" si="355"/>
        <v>3.6056847789219049</v>
      </c>
      <c r="Q538" s="169">
        <f t="shared" si="325"/>
        <v>2.9270831084492519</v>
      </c>
      <c r="R538" s="169">
        <f t="shared" si="326"/>
        <v>1.5174787226056794</v>
      </c>
      <c r="S538" s="169">
        <f t="shared" si="327"/>
        <v>2.5465623043508492</v>
      </c>
      <c r="T538" s="169">
        <f t="shared" si="328"/>
        <v>1.3505560631190547</v>
      </c>
      <c r="U538" s="169">
        <f t="shared" si="317"/>
        <v>1.9485591837349521</v>
      </c>
      <c r="V538" s="169">
        <f t="shared" si="318"/>
        <v>6.7172896639891649E-2</v>
      </c>
      <c r="W538" s="439">
        <f t="shared" si="319"/>
        <v>17.087977306007549</v>
      </c>
      <c r="X538" s="439">
        <f t="shared" si="329"/>
        <v>17.087977306007549</v>
      </c>
      <c r="Y538" s="169"/>
      <c r="Z538" s="119" t="str">
        <f t="shared" si="330"/>
        <v/>
      </c>
      <c r="AA538" s="4" t="str">
        <f t="shared" si="331"/>
        <v/>
      </c>
      <c r="AB538" s="466"/>
      <c r="AC538" s="466"/>
      <c r="AD538" s="466"/>
      <c r="AE538" s="466"/>
      <c r="AF538" s="466"/>
      <c r="AG538" s="466"/>
      <c r="AH538" s="466"/>
      <c r="AI538" s="466"/>
      <c r="AJ538" s="466"/>
      <c r="AK538" s="466"/>
      <c r="AL538" s="466"/>
      <c r="AM538" s="462">
        <f t="shared" si="321"/>
        <v>168</v>
      </c>
      <c r="AN538" s="32">
        <f t="shared" si="345"/>
        <v>0.96802267575109457</v>
      </c>
      <c r="AO538" s="32">
        <f t="shared" si="356"/>
        <v>0.40803212152005325</v>
      </c>
      <c r="AP538" s="32">
        <f t="shared" si="357"/>
        <v>2.0037624753943417</v>
      </c>
      <c r="AQ538" s="32">
        <f t="shared" si="358"/>
        <v>15.307617731570966</v>
      </c>
      <c r="AR538" s="32">
        <f t="shared" si="359"/>
        <v>41.90212257001086</v>
      </c>
      <c r="AS538" s="32">
        <f t="shared" si="332"/>
        <v>31.456761455758556</v>
      </c>
      <c r="AT538" s="32">
        <f t="shared" si="333"/>
        <v>17.097695999999999</v>
      </c>
      <c r="AU538" s="32">
        <f t="shared" si="334"/>
        <v>0.70588321786491881</v>
      </c>
      <c r="AV538" s="32">
        <f t="shared" si="335"/>
        <v>0.60294234411764047</v>
      </c>
      <c r="AW538" s="32">
        <f t="shared" si="336"/>
        <v>2.9270831084492519</v>
      </c>
      <c r="AX538" s="32">
        <f t="shared" si="337"/>
        <v>1.5174787226056794</v>
      </c>
      <c r="AY538" s="32">
        <f t="shared" si="338"/>
        <v>1.9485591837349525</v>
      </c>
      <c r="AZ538" s="32">
        <f t="shared" si="350"/>
        <v>0.14457287803069641</v>
      </c>
      <c r="BA538" s="32">
        <f t="shared" si="339"/>
        <v>-3.0937835356492065</v>
      </c>
      <c r="BB538" s="32">
        <f t="shared" si="360"/>
        <v>14.003912464350792</v>
      </c>
      <c r="BC538" s="32">
        <f t="shared" si="340"/>
        <v>18.439999999999998</v>
      </c>
      <c r="BD538" s="32">
        <v>0</v>
      </c>
      <c r="BE538" s="32">
        <f t="shared" si="361"/>
        <v>2.2222809155274659</v>
      </c>
      <c r="BF538" s="32">
        <f t="shared" si="362"/>
        <v>0.27372173179251336</v>
      </c>
      <c r="BG538" s="32">
        <f t="shared" si="363"/>
        <v>0.1329787945339006</v>
      </c>
      <c r="BH538" s="32">
        <f t="shared" si="341"/>
        <v>3.2425299772187905</v>
      </c>
      <c r="BI538" s="32">
        <f t="shared" si="342"/>
        <v>0.36315480170311432</v>
      </c>
      <c r="BJ538" s="32">
        <f t="shared" si="320"/>
        <v>3.6056847789219049</v>
      </c>
      <c r="BK538" s="457">
        <f t="shared" si="343"/>
        <v>4.6149458003887549</v>
      </c>
    </row>
    <row r="539" spans="1:63" ht="15">
      <c r="A539" s="119"/>
      <c r="B539" s="480">
        <f>Input!B556</f>
        <v>38521</v>
      </c>
      <c r="C539" s="481">
        <v>2</v>
      </c>
      <c r="D539" s="481">
        <f t="shared" si="322"/>
        <v>6</v>
      </c>
      <c r="E539" s="481">
        <f t="shared" si="323"/>
        <v>18</v>
      </c>
      <c r="F539" s="481">
        <f t="shared" si="324"/>
        <v>169</v>
      </c>
      <c r="G539" s="431">
        <v>21.167999999999999</v>
      </c>
      <c r="H539" s="455">
        <v>25.58</v>
      </c>
      <c r="I539" s="455">
        <v>14.3</v>
      </c>
      <c r="J539" s="455">
        <v>1.26</v>
      </c>
      <c r="K539" s="485"/>
      <c r="L539" s="433">
        <v>82</v>
      </c>
      <c r="M539" s="455">
        <v>86</v>
      </c>
      <c r="N539" s="484">
        <f>Weather!M540</f>
        <v>0</v>
      </c>
      <c r="O539" s="481" t="str">
        <f t="shared" si="344"/>
        <v/>
      </c>
      <c r="P539" s="4">
        <f t="shared" si="355"/>
        <v>3.7174724563255186</v>
      </c>
      <c r="Q539" s="169">
        <f t="shared" si="325"/>
        <v>3.2788802251856577</v>
      </c>
      <c r="R539" s="169">
        <f t="shared" si="326"/>
        <v>1.6299939408502728</v>
      </c>
      <c r="S539" s="169">
        <f t="shared" si="327"/>
        <v>2.8198369936596657</v>
      </c>
      <c r="T539" s="169">
        <f t="shared" si="328"/>
        <v>1.3365950314972237</v>
      </c>
      <c r="U539" s="169">
        <f t="shared" si="317"/>
        <v>2.0782160125784448</v>
      </c>
      <c r="V539" s="169">
        <f t="shared" si="318"/>
        <v>7.0903042563243507E-2</v>
      </c>
      <c r="W539" s="439">
        <f t="shared" si="319"/>
        <v>18.109296199479786</v>
      </c>
      <c r="X539" s="439">
        <f t="shared" si="329"/>
        <v>18.109296199479786</v>
      </c>
      <c r="Y539" s="169"/>
      <c r="Z539" s="119" t="str">
        <f t="shared" si="330"/>
        <v/>
      </c>
      <c r="AA539" s="4" t="str">
        <f t="shared" si="331"/>
        <v/>
      </c>
      <c r="AB539" s="466"/>
      <c r="AC539" s="466"/>
      <c r="AD539" s="466"/>
      <c r="AE539" s="466"/>
      <c r="AF539" s="466"/>
      <c r="AG539" s="466"/>
      <c r="AH539" s="466"/>
      <c r="AI539" s="466"/>
      <c r="AJ539" s="466"/>
      <c r="AK539" s="466"/>
      <c r="AL539" s="466"/>
      <c r="AM539" s="462">
        <f t="shared" si="321"/>
        <v>169</v>
      </c>
      <c r="AN539" s="32">
        <f t="shared" si="345"/>
        <v>0.96788709487130231</v>
      </c>
      <c r="AO539" s="32">
        <f t="shared" si="356"/>
        <v>0.40845572307956829</v>
      </c>
      <c r="AP539" s="32">
        <f t="shared" si="357"/>
        <v>2.004300204117071</v>
      </c>
      <c r="AQ539" s="32">
        <f t="shared" si="358"/>
        <v>15.31172567641568</v>
      </c>
      <c r="AR539" s="32">
        <f t="shared" si="359"/>
        <v>41.912010243355468</v>
      </c>
      <c r="AS539" s="32">
        <f t="shared" si="332"/>
        <v>31.464184329891818</v>
      </c>
      <c r="AT539" s="32">
        <f t="shared" si="333"/>
        <v>16.29936</v>
      </c>
      <c r="AU539" s="32">
        <f t="shared" si="334"/>
        <v>0.67276493736689158</v>
      </c>
      <c r="AV539" s="32">
        <f t="shared" si="335"/>
        <v>0.5582326654453037</v>
      </c>
      <c r="AW539" s="32">
        <f t="shared" si="336"/>
        <v>3.2788802251856577</v>
      </c>
      <c r="AX539" s="32">
        <f t="shared" si="337"/>
        <v>1.6299939408502728</v>
      </c>
      <c r="AY539" s="32">
        <f t="shared" si="338"/>
        <v>2.0782160125784452</v>
      </c>
      <c r="AZ539" s="32">
        <f t="shared" si="350"/>
        <v>0.13817573523845672</v>
      </c>
      <c r="BA539" s="32">
        <f t="shared" si="339"/>
        <v>-2.7951880046182764</v>
      </c>
      <c r="BB539" s="32">
        <f t="shared" si="360"/>
        <v>13.504171995381723</v>
      </c>
      <c r="BC539" s="32">
        <f t="shared" si="340"/>
        <v>19.939999999999998</v>
      </c>
      <c r="BD539" s="32">
        <v>0</v>
      </c>
      <c r="BE539" s="32">
        <f t="shared" si="361"/>
        <v>2.4544370830179654</v>
      </c>
      <c r="BF539" s="32">
        <f t="shared" si="362"/>
        <v>0.37622107043952013</v>
      </c>
      <c r="BG539" s="32">
        <f t="shared" si="363"/>
        <v>0.14430595321290088</v>
      </c>
      <c r="BH539" s="32">
        <f t="shared" si="341"/>
        <v>3.3105003845594059</v>
      </c>
      <c r="BI539" s="32">
        <f t="shared" si="342"/>
        <v>0.40697207176611266</v>
      </c>
      <c r="BJ539" s="32">
        <f t="shared" si="320"/>
        <v>3.7174724563255186</v>
      </c>
      <c r="BK539" s="457">
        <f t="shared" si="343"/>
        <v>4.9871988970715657</v>
      </c>
    </row>
    <row r="540" spans="1:63" ht="15">
      <c r="A540" s="119"/>
      <c r="B540" s="480">
        <f>Input!B557</f>
        <v>38522</v>
      </c>
      <c r="C540" s="481">
        <v>2</v>
      </c>
      <c r="D540" s="481">
        <f t="shared" si="322"/>
        <v>6</v>
      </c>
      <c r="E540" s="481">
        <f t="shared" si="323"/>
        <v>19</v>
      </c>
      <c r="F540" s="481">
        <f t="shared" si="324"/>
        <v>170</v>
      </c>
      <c r="G540" s="431">
        <v>24.019200000000001</v>
      </c>
      <c r="H540" s="455">
        <v>26.78</v>
      </c>
      <c r="I540" s="455">
        <v>16.399999999999999</v>
      </c>
      <c r="J540" s="455">
        <v>0.97</v>
      </c>
      <c r="K540" s="485"/>
      <c r="L540" s="433">
        <v>95</v>
      </c>
      <c r="M540" s="455">
        <v>84</v>
      </c>
      <c r="N540" s="484">
        <f>Weather!M541</f>
        <v>8.6</v>
      </c>
      <c r="O540" s="481">
        <f t="shared" si="344"/>
        <v>1</v>
      </c>
      <c r="P540" s="4">
        <f t="shared" si="355"/>
        <v>4.2638464795477748</v>
      </c>
      <c r="Q540" s="169">
        <f t="shared" si="325"/>
        <v>3.5195809082089093</v>
      </c>
      <c r="R540" s="169">
        <f t="shared" si="326"/>
        <v>1.8652661127239329</v>
      </c>
      <c r="S540" s="169">
        <f t="shared" si="327"/>
        <v>2.9564479628954836</v>
      </c>
      <c r="T540" s="169">
        <f t="shared" si="328"/>
        <v>1.7720028070877363</v>
      </c>
      <c r="U540" s="169">
        <f t="shared" si="317"/>
        <v>2.3642253849916099</v>
      </c>
      <c r="V540" s="169">
        <f t="shared" si="318"/>
        <v>7.8369203309662905E-2</v>
      </c>
      <c r="W540" s="439">
        <f t="shared" si="319"/>
        <v>20.178375128268964</v>
      </c>
      <c r="X540" s="439">
        <f t="shared" si="329"/>
        <v>20.178375128268964</v>
      </c>
      <c r="Y540" s="169"/>
      <c r="Z540" s="119" t="str">
        <f t="shared" si="330"/>
        <v/>
      </c>
      <c r="AA540" s="4" t="str">
        <f t="shared" si="331"/>
        <v/>
      </c>
      <c r="AB540" s="466"/>
      <c r="AC540" s="466"/>
      <c r="AD540" s="466"/>
      <c r="AE540" s="466"/>
      <c r="AF540" s="466"/>
      <c r="AG540" s="466"/>
      <c r="AH540" s="466"/>
      <c r="AI540" s="466"/>
      <c r="AJ540" s="466"/>
      <c r="AK540" s="466"/>
      <c r="AL540" s="466"/>
      <c r="AM540" s="462">
        <f t="shared" si="321"/>
        <v>170</v>
      </c>
      <c r="AN540" s="32">
        <f t="shared" si="345"/>
        <v>0.96776102973835298</v>
      </c>
      <c r="AO540" s="32">
        <f t="shared" si="356"/>
        <v>0.40875829039313832</v>
      </c>
      <c r="AP540" s="32">
        <f t="shared" si="357"/>
        <v>2.0046844921228621</v>
      </c>
      <c r="AQ540" s="32">
        <f t="shared" si="358"/>
        <v>15.314661420528923</v>
      </c>
      <c r="AR540" s="32">
        <f t="shared" si="359"/>
        <v>41.917803504358282</v>
      </c>
      <c r="AS540" s="32">
        <f t="shared" si="332"/>
        <v>31.468533446791852</v>
      </c>
      <c r="AT540" s="32">
        <f t="shared" si="333"/>
        <v>18.494784000000003</v>
      </c>
      <c r="AU540" s="32">
        <f t="shared" si="334"/>
        <v>0.76327675201682166</v>
      </c>
      <c r="AV540" s="32">
        <f t="shared" si="335"/>
        <v>0.68042361522270933</v>
      </c>
      <c r="AW540" s="32">
        <f t="shared" si="336"/>
        <v>3.5195809082089093</v>
      </c>
      <c r="AX540" s="32">
        <f t="shared" si="337"/>
        <v>1.8652661127239329</v>
      </c>
      <c r="AY540" s="32">
        <f t="shared" si="338"/>
        <v>2.3642253849916104</v>
      </c>
      <c r="AZ540" s="32">
        <f t="shared" si="350"/>
        <v>0.12473547076716154</v>
      </c>
      <c r="BA540" s="32">
        <f t="shared" si="339"/>
        <v>-3.1443363803463793</v>
      </c>
      <c r="BB540" s="32">
        <f t="shared" si="360"/>
        <v>15.350447619653623</v>
      </c>
      <c r="BC540" s="32">
        <f t="shared" si="340"/>
        <v>21.59</v>
      </c>
      <c r="BD540" s="32">
        <v>0</v>
      </c>
      <c r="BE540" s="32">
        <f t="shared" si="361"/>
        <v>2.6924235104664209</v>
      </c>
      <c r="BF540" s="32">
        <f t="shared" si="362"/>
        <v>0.32819812547481053</v>
      </c>
      <c r="BG540" s="32">
        <f t="shared" si="363"/>
        <v>0.15769838395232022</v>
      </c>
      <c r="BH540" s="32">
        <f t="shared" si="341"/>
        <v>3.9995217500791367</v>
      </c>
      <c r="BI540" s="32">
        <f t="shared" si="342"/>
        <v>0.26432472946863789</v>
      </c>
      <c r="BJ540" s="32">
        <f t="shared" si="320"/>
        <v>4.2638464795477748</v>
      </c>
      <c r="BK540" s="457">
        <f t="shared" si="343"/>
        <v>4.9939584736180747</v>
      </c>
    </row>
    <row r="541" spans="1:63" ht="15">
      <c r="A541" s="119"/>
      <c r="B541" s="480">
        <f>Input!B558</f>
        <v>38523</v>
      </c>
      <c r="C541" s="481">
        <v>2</v>
      </c>
      <c r="D541" s="481">
        <f t="shared" si="322"/>
        <v>6</v>
      </c>
      <c r="E541" s="481">
        <f t="shared" si="323"/>
        <v>20</v>
      </c>
      <c r="F541" s="481">
        <f t="shared" si="324"/>
        <v>171</v>
      </c>
      <c r="G541" s="431">
        <v>19.958400000000001</v>
      </c>
      <c r="H541" s="455">
        <v>28.93</v>
      </c>
      <c r="I541" s="455">
        <v>21.8</v>
      </c>
      <c r="J541" s="455">
        <v>1.66</v>
      </c>
      <c r="K541" s="485"/>
      <c r="L541" s="433">
        <v>89</v>
      </c>
      <c r="M541" s="455">
        <v>67</v>
      </c>
      <c r="N541" s="484">
        <f>Weather!M542</f>
        <v>1.6</v>
      </c>
      <c r="O541" s="481" t="str">
        <f t="shared" si="344"/>
        <v/>
      </c>
      <c r="P541" s="4">
        <f t="shared" si="355"/>
        <v>4.3448768618195519</v>
      </c>
      <c r="Q541" s="169">
        <f t="shared" si="325"/>
        <v>3.9895021043824697</v>
      </c>
      <c r="R541" s="169">
        <f t="shared" si="326"/>
        <v>2.6118719061836697</v>
      </c>
      <c r="S541" s="169">
        <f t="shared" si="327"/>
        <v>2.6729664099362549</v>
      </c>
      <c r="T541" s="169">
        <f t="shared" si="328"/>
        <v>2.3245659965034662</v>
      </c>
      <c r="U541" s="169">
        <f t="shared" si="317"/>
        <v>2.4987662032198603</v>
      </c>
      <c r="V541" s="169">
        <f t="shared" si="318"/>
        <v>8.1573989402392424E-2</v>
      </c>
      <c r="W541" s="439">
        <f t="shared" si="319"/>
        <v>21.076828684971645</v>
      </c>
      <c r="X541" s="439">
        <f t="shared" si="329"/>
        <v>21.076828684971645</v>
      </c>
      <c r="Y541" s="169"/>
      <c r="Z541" s="119" t="str">
        <f t="shared" si="330"/>
        <v/>
      </c>
      <c r="AA541" s="4" t="str">
        <f t="shared" si="331"/>
        <v/>
      </c>
      <c r="AB541" s="466"/>
      <c r="AC541" s="466"/>
      <c r="AD541" s="466"/>
      <c r="AE541" s="466"/>
      <c r="AF541" s="466"/>
      <c r="AG541" s="466"/>
      <c r="AH541" s="466"/>
      <c r="AI541" s="466"/>
      <c r="AJ541" s="466"/>
      <c r="AK541" s="466"/>
      <c r="AL541" s="466"/>
      <c r="AM541" s="462">
        <f t="shared" si="321"/>
        <v>171</v>
      </c>
      <c r="AN541" s="32">
        <f t="shared" si="345"/>
        <v>0.96764451770806614</v>
      </c>
      <c r="AO541" s="32">
        <f t="shared" si="356"/>
        <v>0.40893973380353849</v>
      </c>
      <c r="AP541" s="32">
        <f t="shared" si="357"/>
        <v>2.0049150228980976</v>
      </c>
      <c r="AQ541" s="32">
        <f t="shared" si="358"/>
        <v>15.316422545924771</v>
      </c>
      <c r="AR541" s="32">
        <f t="shared" si="359"/>
        <v>41.919503482475214</v>
      </c>
      <c r="AS541" s="32">
        <f t="shared" si="332"/>
        <v>31.469809654363797</v>
      </c>
      <c r="AT541" s="32">
        <f t="shared" si="333"/>
        <v>15.367968000000001</v>
      </c>
      <c r="AU541" s="32">
        <f t="shared" si="334"/>
        <v>0.63420783980599793</v>
      </c>
      <c r="AV541" s="32">
        <f t="shared" si="335"/>
        <v>0.50618058373809727</v>
      </c>
      <c r="AW541" s="32">
        <f t="shared" si="336"/>
        <v>3.9895021043824697</v>
      </c>
      <c r="AX541" s="32">
        <f t="shared" si="337"/>
        <v>2.6118719061836697</v>
      </c>
      <c r="AY541" s="32">
        <f t="shared" si="338"/>
        <v>2.4987662032198608</v>
      </c>
      <c r="AZ541" s="32">
        <f t="shared" si="350"/>
        <v>0.11869519304111517</v>
      </c>
      <c r="BA541" s="32">
        <f t="shared" si="339"/>
        <v>-2.339757339497611</v>
      </c>
      <c r="BB541" s="32">
        <f t="shared" si="360"/>
        <v>13.02821066050239</v>
      </c>
      <c r="BC541" s="32">
        <f t="shared" si="340"/>
        <v>25.365000000000002</v>
      </c>
      <c r="BD541" s="32">
        <v>0</v>
      </c>
      <c r="BE541" s="32">
        <f t="shared" si="361"/>
        <v>3.3006870052830699</v>
      </c>
      <c r="BF541" s="32">
        <f t="shared" si="362"/>
        <v>0.80192080206320915</v>
      </c>
      <c r="BG541" s="32">
        <f t="shared" si="363"/>
        <v>0.19233451560296638</v>
      </c>
      <c r="BH541" s="32">
        <f t="shared" si="341"/>
        <v>3.4385031392002556</v>
      </c>
      <c r="BI541" s="32">
        <f t="shared" si="342"/>
        <v>0.90637372261929616</v>
      </c>
      <c r="BJ541" s="32">
        <f t="shared" si="320"/>
        <v>4.3448768618195519</v>
      </c>
      <c r="BK541" s="457">
        <f t="shared" si="343"/>
        <v>4.5358051712246823</v>
      </c>
    </row>
    <row r="542" spans="1:63" ht="15">
      <c r="A542" s="119"/>
      <c r="B542" s="480">
        <f>Input!B559</f>
        <v>38524</v>
      </c>
      <c r="C542" s="481">
        <v>2</v>
      </c>
      <c r="D542" s="481">
        <f t="shared" si="322"/>
        <v>6</v>
      </c>
      <c r="E542" s="481">
        <f t="shared" si="323"/>
        <v>21</v>
      </c>
      <c r="F542" s="481">
        <f t="shared" si="324"/>
        <v>172</v>
      </c>
      <c r="G542" s="431">
        <v>22.377600000000001</v>
      </c>
      <c r="H542" s="455">
        <v>27.7</v>
      </c>
      <c r="I542" s="455">
        <v>18.899999999999999</v>
      </c>
      <c r="J542" s="455">
        <v>1.38</v>
      </c>
      <c r="K542" s="485"/>
      <c r="L542" s="433">
        <v>94</v>
      </c>
      <c r="M542" s="455">
        <v>80</v>
      </c>
      <c r="N542" s="484">
        <f>Weather!M543</f>
        <v>0</v>
      </c>
      <c r="O542" s="481" t="str">
        <f t="shared" si="344"/>
        <v/>
      </c>
      <c r="P542" s="4">
        <f t="shared" si="355"/>
        <v>4.2189462561948528</v>
      </c>
      <c r="Q542" s="169">
        <f t="shared" si="325"/>
        <v>3.7144033809363424</v>
      </c>
      <c r="R542" s="169">
        <f t="shared" si="326"/>
        <v>2.1837218414652266</v>
      </c>
      <c r="S542" s="169">
        <f t="shared" si="327"/>
        <v>2.971522704749074</v>
      </c>
      <c r="T542" s="169">
        <f t="shared" si="328"/>
        <v>2.0526985309773127</v>
      </c>
      <c r="U542" s="169">
        <f t="shared" si="317"/>
        <v>2.5121106178631933</v>
      </c>
      <c r="V542" s="169">
        <f t="shared" si="318"/>
        <v>8.1882396586429068E-2</v>
      </c>
      <c r="W542" s="439">
        <f t="shared" si="319"/>
        <v>21.16362069272618</v>
      </c>
      <c r="X542" s="439">
        <f t="shared" si="329"/>
        <v>21.16362069272618</v>
      </c>
      <c r="Y542" s="169"/>
      <c r="Z542" s="119" t="str">
        <f t="shared" si="330"/>
        <v/>
      </c>
      <c r="AA542" s="4" t="str">
        <f t="shared" si="331"/>
        <v/>
      </c>
      <c r="AB542" s="466"/>
      <c r="AC542" s="466"/>
      <c r="AD542" s="466"/>
      <c r="AE542" s="466"/>
      <c r="AF542" s="466"/>
      <c r="AG542" s="466"/>
      <c r="AH542" s="466"/>
      <c r="AI542" s="466"/>
      <c r="AJ542" s="466"/>
      <c r="AK542" s="466"/>
      <c r="AL542" s="466"/>
      <c r="AM542" s="462">
        <f t="shared" si="321"/>
        <v>172</v>
      </c>
      <c r="AN542" s="32">
        <f t="shared" si="345"/>
        <v>0.96753759330547084</v>
      </c>
      <c r="AO542" s="32">
        <f t="shared" si="356"/>
        <v>0.40899999954517041</v>
      </c>
      <c r="AP542" s="32">
        <f t="shared" si="357"/>
        <v>2.0049916062933972</v>
      </c>
      <c r="AQ542" s="32">
        <f t="shared" si="358"/>
        <v>15.317007599968967</v>
      </c>
      <c r="AR542" s="32">
        <f t="shared" si="359"/>
        <v>41.917111952775116</v>
      </c>
      <c r="AS542" s="32">
        <f t="shared" si="332"/>
        <v>31.468014285187337</v>
      </c>
      <c r="AT542" s="32">
        <f t="shared" si="333"/>
        <v>17.230752000000003</v>
      </c>
      <c r="AU542" s="32">
        <f t="shared" si="334"/>
        <v>0.71112208724697357</v>
      </c>
      <c r="AV542" s="32">
        <f t="shared" si="335"/>
        <v>0.61001481778341438</v>
      </c>
      <c r="AW542" s="32">
        <f t="shared" si="336"/>
        <v>3.7144033809363424</v>
      </c>
      <c r="AX542" s="32">
        <f t="shared" si="337"/>
        <v>2.1837218414652266</v>
      </c>
      <c r="AY542" s="32">
        <f t="shared" si="338"/>
        <v>2.5121106178631938</v>
      </c>
      <c r="AZ542" s="32">
        <f t="shared" si="350"/>
        <v>0.11810505163452101</v>
      </c>
      <c r="BA542" s="32">
        <f t="shared" si="339"/>
        <v>-2.7301369551528882</v>
      </c>
      <c r="BB542" s="32">
        <f t="shared" si="360"/>
        <v>14.500615044847114</v>
      </c>
      <c r="BC542" s="32">
        <f t="shared" si="340"/>
        <v>23.299999999999997</v>
      </c>
      <c r="BD542" s="32">
        <v>0</v>
      </c>
      <c r="BE542" s="32">
        <f t="shared" si="361"/>
        <v>2.9490626112007847</v>
      </c>
      <c r="BF542" s="32">
        <f t="shared" si="362"/>
        <v>0.43695199333759094</v>
      </c>
      <c r="BG542" s="32">
        <f t="shared" si="363"/>
        <v>0.17267115751226686</v>
      </c>
      <c r="BH542" s="32">
        <f t="shared" si="341"/>
        <v>3.7658167812054351</v>
      </c>
      <c r="BI542" s="32">
        <f t="shared" si="342"/>
        <v>0.45312947498941791</v>
      </c>
      <c r="BJ542" s="32">
        <f t="shared" si="320"/>
        <v>4.2189462561948528</v>
      </c>
      <c r="BK542" s="457">
        <f t="shared" si="343"/>
        <v>4.7977350646636268</v>
      </c>
    </row>
    <row r="543" spans="1:63" ht="15">
      <c r="A543" s="119"/>
      <c r="B543" s="480">
        <f>Input!B560</f>
        <v>38525</v>
      </c>
      <c r="C543" s="481">
        <v>2</v>
      </c>
      <c r="D543" s="481">
        <f t="shared" si="322"/>
        <v>6</v>
      </c>
      <c r="E543" s="481">
        <f t="shared" si="323"/>
        <v>22</v>
      </c>
      <c r="F543" s="481">
        <f t="shared" si="324"/>
        <v>173</v>
      </c>
      <c r="G543" s="431">
        <v>25.401599999999998</v>
      </c>
      <c r="H543" s="455">
        <v>27.94</v>
      </c>
      <c r="I543" s="455">
        <v>19.600000000000001</v>
      </c>
      <c r="J543" s="455">
        <v>2.0299999999999998</v>
      </c>
      <c r="K543" s="485"/>
      <c r="L543" s="433">
        <v>84</v>
      </c>
      <c r="M543" s="455">
        <v>80</v>
      </c>
      <c r="N543" s="484">
        <f>Weather!M544</f>
        <v>7</v>
      </c>
      <c r="O543" s="481" t="str">
        <f t="shared" si="344"/>
        <v/>
      </c>
      <c r="P543" s="4">
        <f t="shared" si="355"/>
        <v>4.815483037784154</v>
      </c>
      <c r="Q543" s="169">
        <f t="shared" si="325"/>
        <v>3.7667450556368158</v>
      </c>
      <c r="R543" s="169">
        <f t="shared" si="326"/>
        <v>2.2810057729824531</v>
      </c>
      <c r="S543" s="169">
        <f t="shared" si="327"/>
        <v>3.0133960445094528</v>
      </c>
      <c r="T543" s="169">
        <f t="shared" si="328"/>
        <v>1.9160448493052606</v>
      </c>
      <c r="U543" s="169">
        <f t="shared" si="317"/>
        <v>2.4647204469073567</v>
      </c>
      <c r="V543" s="169">
        <f t="shared" si="318"/>
        <v>8.0779623493833108E-2</v>
      </c>
      <c r="W543" s="439">
        <f t="shared" si="319"/>
        <v>20.853546271401651</v>
      </c>
      <c r="X543" s="439">
        <f t="shared" si="329"/>
        <v>20.853546271401651</v>
      </c>
      <c r="Y543" s="169"/>
      <c r="Z543" s="119" t="str">
        <f t="shared" si="330"/>
        <v/>
      </c>
      <c r="AA543" s="4" t="str">
        <f t="shared" si="331"/>
        <v/>
      </c>
      <c r="AB543" s="466"/>
      <c r="AC543" s="466"/>
      <c r="AD543" s="466"/>
      <c r="AE543" s="466"/>
      <c r="AF543" s="466"/>
      <c r="AG543" s="466"/>
      <c r="AH543" s="466"/>
      <c r="AI543" s="466"/>
      <c r="AJ543" s="466"/>
      <c r="AK543" s="466"/>
      <c r="AL543" s="466"/>
      <c r="AM543" s="462">
        <f t="shared" si="321"/>
        <v>173</v>
      </c>
      <c r="AN543" s="32">
        <f t="shared" si="345"/>
        <v>0.96744028821457528</v>
      </c>
      <c r="AO543" s="32">
        <f t="shared" si="356"/>
        <v>0.40893906975999411</v>
      </c>
      <c r="AP543" s="32">
        <f t="shared" si="357"/>
        <v>2.0049141790944338</v>
      </c>
      <c r="AQ543" s="32">
        <f t="shared" si="358"/>
        <v>15.316416099739616</v>
      </c>
      <c r="AR543" s="32">
        <f t="shared" si="359"/>
        <v>41.910631334094511</v>
      </c>
      <c r="AS543" s="32">
        <f t="shared" si="332"/>
        <v>31.463149155131433</v>
      </c>
      <c r="AT543" s="32">
        <f t="shared" si="333"/>
        <v>19.559231999999998</v>
      </c>
      <c r="AU543" s="32">
        <f t="shared" si="334"/>
        <v>0.80734448655331648</v>
      </c>
      <c r="AV543" s="32">
        <f t="shared" si="335"/>
        <v>0.73991505684697734</v>
      </c>
      <c r="AW543" s="32">
        <f t="shared" si="336"/>
        <v>3.7667450556368158</v>
      </c>
      <c r="AX543" s="32">
        <f t="shared" si="337"/>
        <v>2.2810057729824531</v>
      </c>
      <c r="AY543" s="32">
        <f t="shared" si="338"/>
        <v>2.4647204469073576</v>
      </c>
      <c r="AZ543" s="32">
        <f t="shared" si="350"/>
        <v>0.12020800569769563</v>
      </c>
      <c r="BA543" s="32">
        <f t="shared" si="339"/>
        <v>-3.3914296836343572</v>
      </c>
      <c r="BB543" s="32">
        <f t="shared" si="360"/>
        <v>16.167802316365641</v>
      </c>
      <c r="BC543" s="32">
        <f t="shared" si="340"/>
        <v>23.770000000000003</v>
      </c>
      <c r="BD543" s="32">
        <v>0</v>
      </c>
      <c r="BE543" s="32">
        <f t="shared" si="361"/>
        <v>3.0238754143096345</v>
      </c>
      <c r="BF543" s="32">
        <f t="shared" si="362"/>
        <v>0.55915496740227688</v>
      </c>
      <c r="BG543" s="32">
        <f t="shared" si="363"/>
        <v>0.1769905316734908</v>
      </c>
      <c r="BH543" s="32">
        <f t="shared" si="341"/>
        <v>4.020014489276166</v>
      </c>
      <c r="BI543" s="32">
        <f t="shared" si="342"/>
        <v>0.7954685485079882</v>
      </c>
      <c r="BJ543" s="32">
        <f t="shared" si="320"/>
        <v>4.815483037784154</v>
      </c>
      <c r="BK543" s="457">
        <f t="shared" si="343"/>
        <v>4.7233377812015718</v>
      </c>
    </row>
    <row r="544" spans="1:63" ht="15">
      <c r="A544" s="119"/>
      <c r="B544" s="480">
        <f>Input!B561</f>
        <v>38526</v>
      </c>
      <c r="C544" s="481">
        <v>2</v>
      </c>
      <c r="D544" s="481">
        <f t="shared" si="322"/>
        <v>6</v>
      </c>
      <c r="E544" s="481">
        <f t="shared" si="323"/>
        <v>23</v>
      </c>
      <c r="F544" s="481">
        <f t="shared" si="324"/>
        <v>174</v>
      </c>
      <c r="G544" s="431">
        <v>27.043199999999999</v>
      </c>
      <c r="H544" s="455">
        <v>27.81</v>
      </c>
      <c r="I544" s="455">
        <v>20.399999999999999</v>
      </c>
      <c r="J544" s="455">
        <v>1.98</v>
      </c>
      <c r="K544" s="485"/>
      <c r="L544" s="433">
        <v>85</v>
      </c>
      <c r="M544" s="455">
        <v>73</v>
      </c>
      <c r="N544" s="484">
        <f>Weather!M545</f>
        <v>2.6</v>
      </c>
      <c r="O544" s="481" t="str">
        <f t="shared" si="344"/>
        <v/>
      </c>
      <c r="P544" s="4">
        <f t="shared" si="355"/>
        <v>5.2090818304770883</v>
      </c>
      <c r="Q544" s="169">
        <f t="shared" si="325"/>
        <v>3.7383141725183471</v>
      </c>
      <c r="R544" s="169">
        <f t="shared" si="326"/>
        <v>2.3968104104453793</v>
      </c>
      <c r="S544" s="169">
        <f t="shared" si="327"/>
        <v>2.7289693459383932</v>
      </c>
      <c r="T544" s="169">
        <f t="shared" si="328"/>
        <v>2.0372888488785725</v>
      </c>
      <c r="U544" s="169">
        <f t="shared" si="317"/>
        <v>2.3831290974084829</v>
      </c>
      <c r="V544" s="169">
        <f t="shared" si="318"/>
        <v>7.883034606882082E-2</v>
      </c>
      <c r="W544" s="439">
        <f t="shared" si="319"/>
        <v>20.307270264820016</v>
      </c>
      <c r="X544" s="439">
        <f t="shared" si="329"/>
        <v>20.307270264820016</v>
      </c>
      <c r="Y544" s="169"/>
      <c r="Z544" s="119" t="str">
        <f t="shared" si="330"/>
        <v/>
      </c>
      <c r="AA544" s="4" t="str">
        <f t="shared" si="331"/>
        <v/>
      </c>
      <c r="AB544" s="466"/>
      <c r="AC544" s="466"/>
      <c r="AD544" s="466"/>
      <c r="AE544" s="466"/>
      <c r="AF544" s="466"/>
      <c r="AG544" s="466"/>
      <c r="AH544" s="466"/>
      <c r="AI544" s="466"/>
      <c r="AJ544" s="466"/>
      <c r="AK544" s="466"/>
      <c r="AL544" s="466"/>
      <c r="AM544" s="462">
        <f t="shared" si="321"/>
        <v>174</v>
      </c>
      <c r="AN544" s="32">
        <f t="shared" si="345"/>
        <v>0.96735263126897797</v>
      </c>
      <c r="AO544" s="32">
        <f t="shared" si="356"/>
        <v>0.40875696250282001</v>
      </c>
      <c r="AP544" s="32">
        <f t="shared" si="357"/>
        <v>2.0046828052119094</v>
      </c>
      <c r="AQ544" s="32">
        <f t="shared" si="358"/>
        <v>15.314648533478524</v>
      </c>
      <c r="AR544" s="32">
        <f t="shared" si="359"/>
        <v>41.900064686860624</v>
      </c>
      <c r="AS544" s="32">
        <f t="shared" si="332"/>
        <v>31.455216561720011</v>
      </c>
      <c r="AT544" s="32">
        <f t="shared" si="333"/>
        <v>20.823263999999998</v>
      </c>
      <c r="AU544" s="32">
        <f t="shared" si="334"/>
        <v>0.85973657014686411</v>
      </c>
      <c r="AV544" s="32">
        <f t="shared" si="335"/>
        <v>0.8106443696982667</v>
      </c>
      <c r="AW544" s="32">
        <f t="shared" si="336"/>
        <v>3.7383141725183471</v>
      </c>
      <c r="AX544" s="32">
        <f t="shared" si="337"/>
        <v>2.3968104104453793</v>
      </c>
      <c r="AY544" s="32">
        <f t="shared" si="338"/>
        <v>2.3831290974084829</v>
      </c>
      <c r="AZ544" s="32">
        <f t="shared" si="350"/>
        <v>0.12387658546745503</v>
      </c>
      <c r="BA544" s="32">
        <f t="shared" si="339"/>
        <v>-3.8453598245279244</v>
      </c>
      <c r="BB544" s="32">
        <f t="shared" si="360"/>
        <v>16.977904175472073</v>
      </c>
      <c r="BC544" s="32">
        <f t="shared" si="340"/>
        <v>24.104999999999997</v>
      </c>
      <c r="BD544" s="32">
        <v>0</v>
      </c>
      <c r="BE544" s="32">
        <f t="shared" si="361"/>
        <v>3.0675622914818632</v>
      </c>
      <c r="BF544" s="32">
        <f t="shared" si="362"/>
        <v>0.68443319407338032</v>
      </c>
      <c r="BG544" s="32">
        <f t="shared" si="363"/>
        <v>0.1801245504968618</v>
      </c>
      <c r="BH544" s="32">
        <f t="shared" si="341"/>
        <v>4.266908466198557</v>
      </c>
      <c r="BI544" s="32">
        <f t="shared" si="342"/>
        <v>0.9421733642785316</v>
      </c>
      <c r="BJ544" s="32">
        <f t="shared" si="320"/>
        <v>5.2090818304770883</v>
      </c>
      <c r="BK544" s="457">
        <f t="shared" si="343"/>
        <v>4.4869516948935013</v>
      </c>
    </row>
    <row r="545" spans="1:63" ht="15">
      <c r="A545" s="119"/>
      <c r="B545" s="480">
        <f>Input!B562</f>
        <v>38527</v>
      </c>
      <c r="C545" s="481">
        <v>2</v>
      </c>
      <c r="D545" s="481">
        <f t="shared" si="322"/>
        <v>6</v>
      </c>
      <c r="E545" s="481">
        <f t="shared" si="323"/>
        <v>24</v>
      </c>
      <c r="F545" s="481">
        <f t="shared" si="324"/>
        <v>175</v>
      </c>
      <c r="G545" s="431">
        <v>25.315200000000001</v>
      </c>
      <c r="H545" s="455">
        <v>25.75</v>
      </c>
      <c r="I545" s="455">
        <v>18.8</v>
      </c>
      <c r="J545" s="455">
        <v>3.1</v>
      </c>
      <c r="K545" s="485"/>
      <c r="L545" s="433">
        <v>99</v>
      </c>
      <c r="M545" s="455">
        <v>82</v>
      </c>
      <c r="N545" s="484">
        <f>Weather!M546</f>
        <v>0</v>
      </c>
      <c r="O545" s="481" t="str">
        <f t="shared" si="344"/>
        <v/>
      </c>
      <c r="P545" s="4">
        <f t="shared" si="355"/>
        <v>4.2242359034504471</v>
      </c>
      <c r="Q545" s="169">
        <f t="shared" si="325"/>
        <v>3.3120817693806806</v>
      </c>
      <c r="R545" s="169">
        <f t="shared" si="326"/>
        <v>2.1701248415136294</v>
      </c>
      <c r="S545" s="169">
        <f t="shared" si="327"/>
        <v>2.7159070508921577</v>
      </c>
      <c r="T545" s="169">
        <f t="shared" si="328"/>
        <v>2.1484235930984932</v>
      </c>
      <c r="U545" s="169">
        <f t="shared" si="317"/>
        <v>2.4321653219953254</v>
      </c>
      <c r="V545" s="169">
        <f t="shared" si="318"/>
        <v>8.0009707308936029E-2</v>
      </c>
      <c r="W545" s="439">
        <f t="shared" si="319"/>
        <v>20.637504216347413</v>
      </c>
      <c r="X545" s="439">
        <f t="shared" si="329"/>
        <v>20.637504216347413</v>
      </c>
      <c r="Y545" s="169"/>
      <c r="Z545" s="119" t="str">
        <f t="shared" si="330"/>
        <v/>
      </c>
      <c r="AA545" s="4" t="str">
        <f t="shared" si="331"/>
        <v/>
      </c>
      <c r="AB545" s="466"/>
      <c r="AC545" s="466"/>
      <c r="AD545" s="466"/>
      <c r="AE545" s="466"/>
      <c r="AF545" s="466"/>
      <c r="AG545" s="466"/>
      <c r="AH545" s="466"/>
      <c r="AI545" s="466"/>
      <c r="AJ545" s="466"/>
      <c r="AK545" s="466"/>
      <c r="AL545" s="466"/>
      <c r="AM545" s="462">
        <f t="shared" si="321"/>
        <v>175</v>
      </c>
      <c r="AN545" s="32">
        <f t="shared" si="345"/>
        <v>0.96727464844332345</v>
      </c>
      <c r="AO545" s="32">
        <f t="shared" si="356"/>
        <v>0.40845373173595856</v>
      </c>
      <c r="AP545" s="32">
        <f t="shared" si="357"/>
        <v>2.0042976754894859</v>
      </c>
      <c r="AQ545" s="32">
        <f t="shared" si="358"/>
        <v>15.311706359123868</v>
      </c>
      <c r="AR545" s="32">
        <f t="shared" si="359"/>
        <v>41.88541571058019</v>
      </c>
      <c r="AS545" s="32">
        <f t="shared" si="332"/>
        <v>31.444219282246763</v>
      </c>
      <c r="AT545" s="32">
        <f t="shared" si="333"/>
        <v>19.492704</v>
      </c>
      <c r="AU545" s="32">
        <f t="shared" si="334"/>
        <v>0.80508279670638305</v>
      </c>
      <c r="AV545" s="32">
        <f t="shared" si="335"/>
        <v>0.7368617755536172</v>
      </c>
      <c r="AW545" s="32">
        <f t="shared" si="336"/>
        <v>3.3120817693806806</v>
      </c>
      <c r="AX545" s="32">
        <f t="shared" si="337"/>
        <v>2.1701248415136294</v>
      </c>
      <c r="AY545" s="32">
        <f t="shared" si="338"/>
        <v>2.4321653219953259</v>
      </c>
      <c r="AZ545" s="32">
        <f t="shared" si="350"/>
        <v>0.12166438606789687</v>
      </c>
      <c r="BA545" s="32">
        <f t="shared" si="339"/>
        <v>-3.348844256802884</v>
      </c>
      <c r="BB545" s="32">
        <f t="shared" si="360"/>
        <v>16.143859743197115</v>
      </c>
      <c r="BC545" s="32">
        <f t="shared" si="340"/>
        <v>22.274999999999999</v>
      </c>
      <c r="BD545" s="32">
        <v>0</v>
      </c>
      <c r="BE545" s="32">
        <f t="shared" si="361"/>
        <v>2.741103305447155</v>
      </c>
      <c r="BF545" s="32">
        <f t="shared" si="362"/>
        <v>0.3089379834518291</v>
      </c>
      <c r="BG545" s="32">
        <f t="shared" si="363"/>
        <v>0.16355888366875382</v>
      </c>
      <c r="BH545" s="32">
        <f t="shared" si="341"/>
        <v>3.5742576136728115</v>
      </c>
      <c r="BI545" s="32">
        <f t="shared" si="342"/>
        <v>0.64997828977763539</v>
      </c>
      <c r="BJ545" s="32">
        <f t="shared" si="320"/>
        <v>4.2242359034504471</v>
      </c>
      <c r="BK545" s="457">
        <f t="shared" si="343"/>
        <v>4.1542297841572431</v>
      </c>
    </row>
    <row r="546" spans="1:63" ht="15">
      <c r="A546" s="119"/>
      <c r="B546" s="480">
        <f>Input!B563</f>
        <v>38528</v>
      </c>
      <c r="C546" s="481">
        <v>2</v>
      </c>
      <c r="D546" s="481">
        <f t="shared" si="322"/>
        <v>6</v>
      </c>
      <c r="E546" s="481">
        <f t="shared" si="323"/>
        <v>25</v>
      </c>
      <c r="F546" s="481">
        <f t="shared" si="324"/>
        <v>176</v>
      </c>
      <c r="G546" s="431">
        <v>20.3904</v>
      </c>
      <c r="H546" s="455">
        <v>26.34</v>
      </c>
      <c r="I546" s="455">
        <v>17.399999999999999</v>
      </c>
      <c r="J546" s="455">
        <v>1.4</v>
      </c>
      <c r="K546" s="485"/>
      <c r="L546" s="433">
        <v>100</v>
      </c>
      <c r="M546" s="455">
        <v>83</v>
      </c>
      <c r="N546" s="484">
        <f>Weather!M547</f>
        <v>0</v>
      </c>
      <c r="O546" s="481" t="str">
        <f t="shared" si="344"/>
        <v/>
      </c>
      <c r="P546" s="4">
        <f t="shared" si="355"/>
        <v>3.6770090379365259</v>
      </c>
      <c r="Q546" s="169">
        <f t="shared" si="325"/>
        <v>3.4295949044008585</v>
      </c>
      <c r="R546" s="169">
        <f t="shared" si="326"/>
        <v>1.9873971889021356</v>
      </c>
      <c r="S546" s="169">
        <f t="shared" si="327"/>
        <v>2.8465637706527125</v>
      </c>
      <c r="T546" s="169">
        <f t="shared" si="328"/>
        <v>1.9873971889021356</v>
      </c>
      <c r="U546" s="169">
        <f t="shared" si="317"/>
        <v>2.4169804797774241</v>
      </c>
      <c r="V546" s="169">
        <f t="shared" si="318"/>
        <v>7.9647060284127075E-2</v>
      </c>
      <c r="W546" s="439">
        <f t="shared" si="319"/>
        <v>20.535869001796367</v>
      </c>
      <c r="X546" s="439">
        <f t="shared" si="329"/>
        <v>20.535869001796367</v>
      </c>
      <c r="Y546" s="169"/>
      <c r="Z546" s="119" t="str">
        <f t="shared" si="330"/>
        <v/>
      </c>
      <c r="AA546" s="4" t="str">
        <f t="shared" si="331"/>
        <v/>
      </c>
      <c r="AB546" s="466"/>
      <c r="AC546" s="466"/>
      <c r="AD546" s="466"/>
      <c r="AE546" s="466"/>
      <c r="AF546" s="466"/>
      <c r="AG546" s="466"/>
      <c r="AH546" s="466"/>
      <c r="AI546" s="466"/>
      <c r="AJ546" s="466"/>
      <c r="AK546" s="466"/>
      <c r="AL546" s="466"/>
      <c r="AM546" s="462">
        <f t="shared" si="321"/>
        <v>176</v>
      </c>
      <c r="AN546" s="32">
        <f t="shared" si="345"/>
        <v>0.96720636284560613</v>
      </c>
      <c r="AO546" s="32">
        <f t="shared" si="356"/>
        <v>0.40802946731323025</v>
      </c>
      <c r="AP546" s="32">
        <f t="shared" si="357"/>
        <v>2.0037591071308927</v>
      </c>
      <c r="AQ546" s="32">
        <f t="shared" si="358"/>
        <v>15.307591999933642</v>
      </c>
      <c r="AR546" s="32">
        <f t="shared" si="359"/>
        <v>41.866688741002164</v>
      </c>
      <c r="AS546" s="32">
        <f t="shared" si="332"/>
        <v>31.430160571645146</v>
      </c>
      <c r="AT546" s="32">
        <f t="shared" si="333"/>
        <v>15.700608000000001</v>
      </c>
      <c r="AU546" s="32">
        <f t="shared" si="334"/>
        <v>0.64875265124783632</v>
      </c>
      <c r="AV546" s="32">
        <f t="shared" si="335"/>
        <v>0.52581607918457907</v>
      </c>
      <c r="AW546" s="32">
        <f t="shared" si="336"/>
        <v>3.4295949044008585</v>
      </c>
      <c r="AX546" s="32">
        <f t="shared" si="337"/>
        <v>1.9873971889021356</v>
      </c>
      <c r="AY546" s="32">
        <f t="shared" si="338"/>
        <v>2.4169804797774241</v>
      </c>
      <c r="AZ546" s="32">
        <f t="shared" si="350"/>
        <v>0.12234702528190083</v>
      </c>
      <c r="BA546" s="32">
        <f t="shared" si="339"/>
        <v>-2.3912611313797818</v>
      </c>
      <c r="BB546" s="32">
        <f t="shared" si="360"/>
        <v>13.309346868620219</v>
      </c>
      <c r="BC546" s="32">
        <f t="shared" si="340"/>
        <v>21.869999999999997</v>
      </c>
      <c r="BD546" s="32">
        <v>0</v>
      </c>
      <c r="BE546" s="32">
        <f t="shared" si="361"/>
        <v>2.7084960466514971</v>
      </c>
      <c r="BF546" s="32">
        <f t="shared" si="362"/>
        <v>0.29151556687407298</v>
      </c>
      <c r="BG546" s="32">
        <f t="shared" si="363"/>
        <v>0.16007210686774845</v>
      </c>
      <c r="BH546" s="32">
        <f t="shared" si="341"/>
        <v>3.3543909859655088</v>
      </c>
      <c r="BI546" s="32">
        <f t="shared" si="342"/>
        <v>0.32261805197101695</v>
      </c>
      <c r="BJ546" s="32">
        <f t="shared" si="320"/>
        <v>3.6770090379365259</v>
      </c>
      <c r="BK546" s="457">
        <f t="shared" si="343"/>
        <v>4.6618825215081845</v>
      </c>
    </row>
    <row r="547" spans="1:63" ht="15">
      <c r="A547" s="119"/>
      <c r="B547" s="480">
        <f>Input!B564</f>
        <v>38529</v>
      </c>
      <c r="C547" s="481">
        <v>2</v>
      </c>
      <c r="D547" s="481">
        <f t="shared" si="322"/>
        <v>6</v>
      </c>
      <c r="E547" s="481">
        <f t="shared" si="323"/>
        <v>26</v>
      </c>
      <c r="F547" s="481">
        <f t="shared" si="324"/>
        <v>177</v>
      </c>
      <c r="G547" s="431">
        <v>26.697600000000001</v>
      </c>
      <c r="H547" s="455">
        <v>27.05</v>
      </c>
      <c r="I547" s="455">
        <v>21.2</v>
      </c>
      <c r="J547" s="455">
        <v>2.2400000000000002</v>
      </c>
      <c r="K547" s="485"/>
      <c r="L547" s="433">
        <v>100</v>
      </c>
      <c r="M547" s="455">
        <v>73</v>
      </c>
      <c r="N547" s="484">
        <f>Weather!M548</f>
        <v>0</v>
      </c>
      <c r="O547" s="481" t="str">
        <f t="shared" si="344"/>
        <v/>
      </c>
      <c r="P547" s="4">
        <f t="shared" si="355"/>
        <v>4.9307354305868794</v>
      </c>
      <c r="Q547" s="169">
        <f t="shared" si="325"/>
        <v>3.5758119816692693</v>
      </c>
      <c r="R547" s="169">
        <f t="shared" si="326"/>
        <v>2.5177224920902961</v>
      </c>
      <c r="S547" s="169">
        <f t="shared" si="327"/>
        <v>2.6103427466185667</v>
      </c>
      <c r="T547" s="169">
        <f t="shared" si="328"/>
        <v>2.5177224920902961</v>
      </c>
      <c r="U547" s="169">
        <f t="shared" si="317"/>
        <v>2.5640326193544314</v>
      </c>
      <c r="V547" s="169">
        <f t="shared" si="318"/>
        <v>8.3066992858845931E-2</v>
      </c>
      <c r="W547" s="439">
        <f t="shared" si="319"/>
        <v>21.497532809798479</v>
      </c>
      <c r="X547" s="439">
        <f t="shared" si="329"/>
        <v>21.497532809798479</v>
      </c>
      <c r="Y547" s="169"/>
      <c r="Z547" s="119" t="str">
        <f t="shared" si="330"/>
        <v/>
      </c>
      <c r="AA547" s="4" t="str">
        <f t="shared" si="331"/>
        <v/>
      </c>
      <c r="AB547" s="466"/>
      <c r="AC547" s="466"/>
      <c r="AD547" s="466"/>
      <c r="AE547" s="466"/>
      <c r="AF547" s="466"/>
      <c r="AG547" s="466"/>
      <c r="AH547" s="466"/>
      <c r="AI547" s="466"/>
      <c r="AJ547" s="466"/>
      <c r="AK547" s="466"/>
      <c r="AL547" s="466"/>
      <c r="AM547" s="462">
        <f t="shared" si="321"/>
        <v>177</v>
      </c>
      <c r="AN547" s="32">
        <f t="shared" si="345"/>
        <v>0.96714779471032231</v>
      </c>
      <c r="AO547" s="32">
        <f t="shared" si="356"/>
        <v>0.40748429495333988</v>
      </c>
      <c r="AP547" s="32">
        <f t="shared" si="357"/>
        <v>2.0030675427498199</v>
      </c>
      <c r="AQ547" s="32">
        <f t="shared" si="358"/>
        <v>15.30230883722737</v>
      </c>
      <c r="AR547" s="32">
        <f t="shared" si="359"/>
        <v>41.843888746971885</v>
      </c>
      <c r="AS547" s="32">
        <f t="shared" si="332"/>
        <v>31.413044160126734</v>
      </c>
      <c r="AT547" s="32">
        <f t="shared" si="333"/>
        <v>20.557152000000002</v>
      </c>
      <c r="AU547" s="32">
        <f t="shared" si="334"/>
        <v>0.84988897809171426</v>
      </c>
      <c r="AV547" s="32">
        <f t="shared" si="335"/>
        <v>0.79735012042381437</v>
      </c>
      <c r="AW547" s="32">
        <f t="shared" si="336"/>
        <v>3.5758119816692693</v>
      </c>
      <c r="AX547" s="32">
        <f t="shared" si="337"/>
        <v>2.5177224920902961</v>
      </c>
      <c r="AY547" s="32">
        <f t="shared" si="338"/>
        <v>2.5640326193544318</v>
      </c>
      <c r="AZ547" s="32">
        <f t="shared" si="350"/>
        <v>0.11582364232741477</v>
      </c>
      <c r="BA547" s="32">
        <f t="shared" si="339"/>
        <v>-3.5361291401513686</v>
      </c>
      <c r="BB547" s="32">
        <f t="shared" si="360"/>
        <v>17.021022859848635</v>
      </c>
      <c r="BC547" s="32">
        <f t="shared" si="340"/>
        <v>24.125</v>
      </c>
      <c r="BD547" s="32">
        <v>0</v>
      </c>
      <c r="BE547" s="32">
        <f t="shared" si="361"/>
        <v>3.0467672368797825</v>
      </c>
      <c r="BF547" s="32">
        <f t="shared" si="362"/>
        <v>0.48273461752535063</v>
      </c>
      <c r="BG547" s="32">
        <f t="shared" si="363"/>
        <v>0.18031312657735002</v>
      </c>
      <c r="BH547" s="32">
        <f t="shared" si="341"/>
        <v>4.1944193187673013</v>
      </c>
      <c r="BI547" s="32">
        <f t="shared" si="342"/>
        <v>0.7363161118195779</v>
      </c>
      <c r="BJ547" s="32">
        <f t="shared" si="320"/>
        <v>4.9307354305868794</v>
      </c>
      <c r="BK547" s="457">
        <f t="shared" si="343"/>
        <v>3.9833163115469241</v>
      </c>
    </row>
    <row r="548" spans="1:63" ht="15">
      <c r="A548" s="119"/>
      <c r="B548" s="480">
        <f>Input!B565</f>
        <v>38530</v>
      </c>
      <c r="C548" s="481">
        <v>2</v>
      </c>
      <c r="D548" s="481">
        <f t="shared" si="322"/>
        <v>6</v>
      </c>
      <c r="E548" s="481">
        <f t="shared" si="323"/>
        <v>27</v>
      </c>
      <c r="F548" s="481">
        <f t="shared" si="324"/>
        <v>178</v>
      </c>
      <c r="G548" s="431">
        <v>26.006399999999999</v>
      </c>
      <c r="H548" s="455">
        <v>25.31</v>
      </c>
      <c r="I548" s="455">
        <v>20.5</v>
      </c>
      <c r="J548" s="455">
        <v>2.85</v>
      </c>
      <c r="K548" s="485"/>
      <c r="L548" s="433">
        <v>99</v>
      </c>
      <c r="M548" s="455">
        <v>80</v>
      </c>
      <c r="N548" s="484">
        <f>Weather!M549</f>
        <v>18.600000000000001</v>
      </c>
      <c r="O548" s="481">
        <f t="shared" si="344"/>
        <v>1</v>
      </c>
      <c r="P548" s="4">
        <f t="shared" si="355"/>
        <v>4.4419396786312708</v>
      </c>
      <c r="Q548" s="169">
        <f t="shared" si="325"/>
        <v>3.2267445798211871</v>
      </c>
      <c r="R548" s="169">
        <f t="shared" si="326"/>
        <v>2.4116412804606884</v>
      </c>
      <c r="S548" s="169">
        <f t="shared" si="327"/>
        <v>2.58139566385695</v>
      </c>
      <c r="T548" s="169">
        <f t="shared" si="328"/>
        <v>2.3875248676560816</v>
      </c>
      <c r="U548" s="169">
        <f t="shared" si="317"/>
        <v>2.4844602657565158</v>
      </c>
      <c r="V548" s="169">
        <f t="shared" si="318"/>
        <v>8.1241525461316036E-2</v>
      </c>
      <c r="W548" s="439">
        <f t="shared" si="319"/>
        <v>20.983331883442212</v>
      </c>
      <c r="X548" s="439">
        <f t="shared" si="329"/>
        <v>20.983331883442212</v>
      </c>
      <c r="Y548" s="169"/>
      <c r="Z548" s="119" t="str">
        <f t="shared" si="330"/>
        <v/>
      </c>
      <c r="AA548" s="4" t="str">
        <f t="shared" si="331"/>
        <v/>
      </c>
      <c r="AB548" s="466"/>
      <c r="AC548" s="466"/>
      <c r="AD548" s="466"/>
      <c r="AE548" s="466"/>
      <c r="AF548" s="466"/>
      <c r="AG548" s="466"/>
      <c r="AH548" s="466"/>
      <c r="AI548" s="466"/>
      <c r="AJ548" s="466"/>
      <c r="AK548" s="466"/>
      <c r="AL548" s="466"/>
      <c r="AM548" s="462">
        <f t="shared" si="321"/>
        <v>178</v>
      </c>
      <c r="AN548" s="32">
        <f t="shared" si="345"/>
        <v>0.96709896139247453</v>
      </c>
      <c r="AO548" s="32">
        <f t="shared" si="356"/>
        <v>0.40681837620262351</v>
      </c>
      <c r="AP548" s="32">
        <f t="shared" si="357"/>
        <v>2.0022235490485776</v>
      </c>
      <c r="AQ548" s="32">
        <f t="shared" si="358"/>
        <v>15.295861200291794</v>
      </c>
      <c r="AR548" s="32">
        <f t="shared" si="359"/>
        <v>41.817021327005115</v>
      </c>
      <c r="AS548" s="32">
        <f t="shared" si="332"/>
        <v>31.392874250609282</v>
      </c>
      <c r="AT548" s="32">
        <f t="shared" si="333"/>
        <v>20.024927999999999</v>
      </c>
      <c r="AU548" s="32">
        <f t="shared" si="334"/>
        <v>0.82841729598860347</v>
      </c>
      <c r="AV548" s="32">
        <f t="shared" si="335"/>
        <v>0.76836334958461483</v>
      </c>
      <c r="AW548" s="32">
        <f t="shared" si="336"/>
        <v>3.2267445798211871</v>
      </c>
      <c r="AX548" s="32">
        <f t="shared" si="337"/>
        <v>2.4116412804606884</v>
      </c>
      <c r="AY548" s="32">
        <f t="shared" si="338"/>
        <v>2.4844602657565158</v>
      </c>
      <c r="AZ548" s="32">
        <f t="shared" si="350"/>
        <v>0.11932960957838565</v>
      </c>
      <c r="BA548" s="32">
        <f t="shared" si="339"/>
        <v>-3.452808298819078</v>
      </c>
      <c r="BB548" s="32">
        <f t="shared" si="360"/>
        <v>16.57211970118092</v>
      </c>
      <c r="BC548" s="32">
        <f t="shared" si="340"/>
        <v>22.905000000000001</v>
      </c>
      <c r="BD548" s="32">
        <v>0</v>
      </c>
      <c r="BE548" s="32">
        <f t="shared" si="361"/>
        <v>2.8191929301409377</v>
      </c>
      <c r="BF548" s="32">
        <f t="shared" si="362"/>
        <v>0.33473266438442195</v>
      </c>
      <c r="BG548" s="32">
        <f t="shared" si="363"/>
        <v>0.1691101487690764</v>
      </c>
      <c r="BH548" s="32">
        <f t="shared" si="341"/>
        <v>3.7955354867218563</v>
      </c>
      <c r="BI548" s="32">
        <f t="shared" si="342"/>
        <v>0.64640419190941423</v>
      </c>
      <c r="BJ548" s="32">
        <f t="shared" si="320"/>
        <v>4.4419396786312708</v>
      </c>
      <c r="BK548" s="457">
        <f t="shared" si="343"/>
        <v>3.5045732621511538</v>
      </c>
    </row>
    <row r="549" spans="1:63" ht="15">
      <c r="A549" s="119"/>
      <c r="B549" s="480">
        <f>Input!B566</f>
        <v>38531</v>
      </c>
      <c r="C549" s="481">
        <v>2</v>
      </c>
      <c r="D549" s="481">
        <f t="shared" si="322"/>
        <v>6</v>
      </c>
      <c r="E549" s="481">
        <f t="shared" si="323"/>
        <v>28</v>
      </c>
      <c r="F549" s="481">
        <f t="shared" si="324"/>
        <v>179</v>
      </c>
      <c r="G549" s="431">
        <v>22.204799999999999</v>
      </c>
      <c r="H549" s="455">
        <v>25.77</v>
      </c>
      <c r="I549" s="455">
        <v>17.399999999999999</v>
      </c>
      <c r="J549" s="455">
        <v>2.31</v>
      </c>
      <c r="K549" s="485"/>
      <c r="L549" s="433">
        <v>88</v>
      </c>
      <c r="M549" s="455">
        <v>82</v>
      </c>
      <c r="N549" s="484">
        <f>Weather!M550</f>
        <v>0.2</v>
      </c>
      <c r="O549" s="481" t="str">
        <f t="shared" si="344"/>
        <v/>
      </c>
      <c r="P549" s="4">
        <f t="shared" si="355"/>
        <v>3.9969408725133637</v>
      </c>
      <c r="Q549" s="169">
        <f t="shared" si="325"/>
        <v>3.3160070319452655</v>
      </c>
      <c r="R549" s="169">
        <f t="shared" si="326"/>
        <v>1.9873971889021356</v>
      </c>
      <c r="S549" s="169">
        <f t="shared" si="327"/>
        <v>2.7191257661951176</v>
      </c>
      <c r="T549" s="169">
        <f t="shared" si="328"/>
        <v>1.7489095262338794</v>
      </c>
      <c r="U549" s="169">
        <f t="shared" si="317"/>
        <v>2.2340176462144985</v>
      </c>
      <c r="V549" s="169">
        <f t="shared" si="318"/>
        <v>7.5089015934317077E-2</v>
      </c>
      <c r="W549" s="439">
        <f t="shared" si="319"/>
        <v>19.265230695917488</v>
      </c>
      <c r="X549" s="439">
        <f t="shared" si="329"/>
        <v>19.265230695917488</v>
      </c>
      <c r="Y549" s="169"/>
      <c r="Z549" s="119" t="str">
        <f t="shared" si="330"/>
        <v/>
      </c>
      <c r="AA549" s="4" t="str">
        <f t="shared" si="331"/>
        <v/>
      </c>
      <c r="AB549" s="466"/>
      <c r="AC549" s="466"/>
      <c r="AD549" s="466"/>
      <c r="AE549" s="466"/>
      <c r="AF549" s="466"/>
      <c r="AG549" s="466"/>
      <c r="AH549" s="466"/>
      <c r="AI549" s="466"/>
      <c r="AJ549" s="466"/>
      <c r="AK549" s="466"/>
      <c r="AL549" s="466"/>
      <c r="AM549" s="462">
        <f t="shared" si="321"/>
        <v>179</v>
      </c>
      <c r="AN549" s="32">
        <f t="shared" si="345"/>
        <v>0.96705987736242871</v>
      </c>
      <c r="AO549" s="32">
        <f t="shared" si="356"/>
        <v>0.40603190838717862</v>
      </c>
      <c r="AP549" s="32">
        <f t="shared" si="357"/>
        <v>2.001227815133797</v>
      </c>
      <c r="AQ549" s="32">
        <f t="shared" si="358"/>
        <v>15.2882543535138</v>
      </c>
      <c r="AR549" s="32">
        <f t="shared" si="359"/>
        <v>41.786092705619424</v>
      </c>
      <c r="AS549" s="32">
        <f t="shared" si="332"/>
        <v>31.369655515962616</v>
      </c>
      <c r="AT549" s="32">
        <f t="shared" si="333"/>
        <v>17.097695999999999</v>
      </c>
      <c r="AU549" s="32">
        <f t="shared" si="334"/>
        <v>0.70784328468959334</v>
      </c>
      <c r="AV549" s="32">
        <f t="shared" si="335"/>
        <v>0.60558843433095111</v>
      </c>
      <c r="AW549" s="32">
        <f t="shared" si="336"/>
        <v>3.3160070319452655</v>
      </c>
      <c r="AX549" s="32">
        <f t="shared" si="337"/>
        <v>1.9873971889021356</v>
      </c>
      <c r="AY549" s="32">
        <f t="shared" si="338"/>
        <v>2.2340176462144985</v>
      </c>
      <c r="AZ549" s="32">
        <f t="shared" si="350"/>
        <v>0.13074717238277478</v>
      </c>
      <c r="BA549" s="32">
        <f t="shared" si="339"/>
        <v>-2.9312838276207929</v>
      </c>
      <c r="BB549" s="32">
        <f t="shared" si="360"/>
        <v>14.166412172379207</v>
      </c>
      <c r="BC549" s="32">
        <f t="shared" si="340"/>
        <v>21.585000000000001</v>
      </c>
      <c r="BD549" s="32">
        <v>0</v>
      </c>
      <c r="BE549" s="32">
        <f t="shared" si="361"/>
        <v>2.6517021104237006</v>
      </c>
      <c r="BF549" s="32">
        <f t="shared" si="362"/>
        <v>0.41768446420920213</v>
      </c>
      <c r="BG549" s="32">
        <f t="shared" si="363"/>
        <v>0.15765626785236711</v>
      </c>
      <c r="BH549" s="32">
        <f t="shared" si="341"/>
        <v>3.2839779021996662</v>
      </c>
      <c r="BI549" s="32">
        <f t="shared" si="342"/>
        <v>0.71296297031369749</v>
      </c>
      <c r="BJ549" s="32">
        <f t="shared" si="320"/>
        <v>3.9969408725133637</v>
      </c>
      <c r="BK549" s="457">
        <f t="shared" si="343"/>
        <v>4.4697897359455654</v>
      </c>
    </row>
    <row r="550" spans="1:63" ht="15">
      <c r="A550" s="119"/>
      <c r="B550" s="480">
        <f>Input!B567</f>
        <v>38532</v>
      </c>
      <c r="C550" s="481">
        <v>2</v>
      </c>
      <c r="D550" s="481">
        <f t="shared" si="322"/>
        <v>6</v>
      </c>
      <c r="E550" s="481">
        <f t="shared" si="323"/>
        <v>29</v>
      </c>
      <c r="F550" s="481">
        <f t="shared" si="324"/>
        <v>180</v>
      </c>
      <c r="G550" s="431">
        <v>20.217600000000001</v>
      </c>
      <c r="H550" s="455">
        <v>26.47</v>
      </c>
      <c r="I550" s="455">
        <v>17.3</v>
      </c>
      <c r="J550" s="455">
        <v>1.99</v>
      </c>
      <c r="K550" s="485"/>
      <c r="L550" s="433">
        <v>98</v>
      </c>
      <c r="M550" s="455">
        <v>82</v>
      </c>
      <c r="N550" s="484">
        <f>Weather!M551</f>
        <v>0</v>
      </c>
      <c r="O550" s="481" t="str">
        <f t="shared" si="344"/>
        <v/>
      </c>
      <c r="P550" s="4">
        <f t="shared" si="355"/>
        <v>3.6508180022650345</v>
      </c>
      <c r="Q550" s="169">
        <f t="shared" si="325"/>
        <v>3.4559706181768819</v>
      </c>
      <c r="R550" s="169">
        <f t="shared" si="326"/>
        <v>1.974876858198171</v>
      </c>
      <c r="S550" s="169">
        <f t="shared" si="327"/>
        <v>2.8338959069050431</v>
      </c>
      <c r="T550" s="169">
        <f t="shared" si="328"/>
        <v>1.9353793210342076</v>
      </c>
      <c r="U550" s="169">
        <f t="shared" si="317"/>
        <v>2.3846376139696255</v>
      </c>
      <c r="V550" s="169">
        <f t="shared" si="318"/>
        <v>7.886698752779861E-2</v>
      </c>
      <c r="W550" s="439">
        <f t="shared" si="319"/>
        <v>20.317517543006755</v>
      </c>
      <c r="X550" s="439">
        <f t="shared" si="329"/>
        <v>20.317517543006755</v>
      </c>
      <c r="Y550" s="169"/>
      <c r="Z550" s="119" t="str">
        <f t="shared" si="330"/>
        <v/>
      </c>
      <c r="AA550" s="4" t="str">
        <f t="shared" si="331"/>
        <v/>
      </c>
      <c r="AB550" s="466"/>
      <c r="AC550" s="466"/>
      <c r="AD550" s="466"/>
      <c r="AE550" s="466"/>
      <c r="AF550" s="466"/>
      <c r="AG550" s="466"/>
      <c r="AH550" s="466"/>
      <c r="AI550" s="466"/>
      <c r="AJ550" s="466"/>
      <c r="AK550" s="466"/>
      <c r="AL550" s="466"/>
      <c r="AM550" s="462">
        <f t="shared" si="321"/>
        <v>180</v>
      </c>
      <c r="AN550" s="32">
        <f t="shared" si="345"/>
        <v>0.96703055420162642</v>
      </c>
      <c r="AO550" s="32">
        <f t="shared" si="356"/>
        <v>0.40512512455439242</v>
      </c>
      <c r="AP550" s="32">
        <f t="shared" si="357"/>
        <v>2.0000811504796596</v>
      </c>
      <c r="AQ550" s="32">
        <f t="shared" si="358"/>
        <v>15.279494480820613</v>
      </c>
      <c r="AR550" s="32">
        <f t="shared" si="359"/>
        <v>41.751109729469839</v>
      </c>
      <c r="AS550" s="32">
        <f t="shared" si="332"/>
        <v>31.343393096107601</v>
      </c>
      <c r="AT550" s="32">
        <f t="shared" si="333"/>
        <v>15.567552000000001</v>
      </c>
      <c r="AU550" s="32">
        <f t="shared" si="334"/>
        <v>0.64503546051977179</v>
      </c>
      <c r="AV550" s="32">
        <f t="shared" si="335"/>
        <v>0.52079787170169201</v>
      </c>
      <c r="AW550" s="32">
        <f t="shared" si="336"/>
        <v>3.4559706181768819</v>
      </c>
      <c r="AX550" s="32">
        <f t="shared" si="337"/>
        <v>1.974876858198171</v>
      </c>
      <c r="AY550" s="32">
        <f t="shared" si="338"/>
        <v>2.384637613969625</v>
      </c>
      <c r="AZ550" s="32">
        <f t="shared" si="350"/>
        <v>0.1238081934165759</v>
      </c>
      <c r="BA550" s="32">
        <f t="shared" si="339"/>
        <v>-2.3973845837709056</v>
      </c>
      <c r="BB550" s="32">
        <f t="shared" si="360"/>
        <v>13.170167416229095</v>
      </c>
      <c r="BC550" s="32">
        <f t="shared" si="340"/>
        <v>21.884999999999998</v>
      </c>
      <c r="BD550" s="32">
        <v>0</v>
      </c>
      <c r="BE550" s="32">
        <f t="shared" si="361"/>
        <v>2.7154237381875266</v>
      </c>
      <c r="BF550" s="32">
        <f t="shared" si="362"/>
        <v>0.33078612421790154</v>
      </c>
      <c r="BG550" s="32">
        <f t="shared" si="363"/>
        <v>0.16020011767284417</v>
      </c>
      <c r="BH550" s="32">
        <f t="shared" si="341"/>
        <v>3.1564201757751627</v>
      </c>
      <c r="BI550" s="32">
        <f t="shared" si="342"/>
        <v>0.49439782648987168</v>
      </c>
      <c r="BJ550" s="32">
        <f t="shared" si="320"/>
        <v>3.6508180022650345</v>
      </c>
      <c r="BK550" s="457">
        <f t="shared" si="343"/>
        <v>4.7102160448136878</v>
      </c>
    </row>
    <row r="551" spans="1:63" ht="15">
      <c r="A551" s="119"/>
      <c r="B551" s="480">
        <f>Input!B568</f>
        <v>38533</v>
      </c>
      <c r="C551" s="481">
        <v>2</v>
      </c>
      <c r="D551" s="481">
        <f t="shared" si="322"/>
        <v>6</v>
      </c>
      <c r="E551" s="481">
        <f t="shared" si="323"/>
        <v>30</v>
      </c>
      <c r="F551" s="481">
        <f t="shared" si="324"/>
        <v>181</v>
      </c>
      <c r="G551" s="431">
        <v>28.512</v>
      </c>
      <c r="H551" s="455">
        <v>28.28</v>
      </c>
      <c r="I551" s="455">
        <v>19.2</v>
      </c>
      <c r="J551" s="455">
        <v>1.46</v>
      </c>
      <c r="K551" s="485"/>
      <c r="L551" s="433">
        <v>100</v>
      </c>
      <c r="M551" s="455">
        <v>85</v>
      </c>
      <c r="N551" s="484">
        <f>Weather!M552</f>
        <v>0</v>
      </c>
      <c r="O551" s="481" t="str">
        <f t="shared" si="344"/>
        <v/>
      </c>
      <c r="P551" s="4">
        <f t="shared" si="355"/>
        <v>5.0784150259928538</v>
      </c>
      <c r="Q551" s="169">
        <f t="shared" si="325"/>
        <v>3.8419944776916073</v>
      </c>
      <c r="R551" s="169">
        <f t="shared" si="326"/>
        <v>2.2249611183378328</v>
      </c>
      <c r="S551" s="169">
        <f t="shared" si="327"/>
        <v>3.2656953060378662</v>
      </c>
      <c r="T551" s="169">
        <f t="shared" si="328"/>
        <v>2.2249611183378328</v>
      </c>
      <c r="U551" s="169">
        <f t="shared" si="317"/>
        <v>2.7453282121878493</v>
      </c>
      <c r="V551" s="169">
        <f t="shared" si="318"/>
        <v>8.7022949666074365E-2</v>
      </c>
      <c r="W551" s="439">
        <f t="shared" si="319"/>
        <v>22.618910243369658</v>
      </c>
      <c r="X551" s="439">
        <f t="shared" si="329"/>
        <v>22.618910243369658</v>
      </c>
      <c r="Y551" s="169"/>
      <c r="Z551" s="119" t="str">
        <f t="shared" si="330"/>
        <v/>
      </c>
      <c r="AA551" s="4" t="str">
        <f t="shared" si="331"/>
        <v/>
      </c>
      <c r="AB551" s="466"/>
      <c r="AC551" s="466"/>
      <c r="AD551" s="466"/>
      <c r="AE551" s="466"/>
      <c r="AF551" s="466"/>
      <c r="AG551" s="466"/>
      <c r="AH551" s="466"/>
      <c r="AI551" s="466"/>
      <c r="AJ551" s="466"/>
      <c r="AK551" s="466"/>
      <c r="AL551" s="466"/>
      <c r="AM551" s="462">
        <f t="shared" si="321"/>
        <v>181</v>
      </c>
      <c r="AN551" s="32">
        <f t="shared" si="345"/>
        <v>0.96701100059915313</v>
      </c>
      <c r="AO551" s="32">
        <f t="shared" si="356"/>
        <v>0.40409829340388442</v>
      </c>
      <c r="AP551" s="32">
        <f t="shared" si="357"/>
        <v>1.9987844825512331</v>
      </c>
      <c r="AQ551" s="32">
        <f t="shared" si="358"/>
        <v>15.269588667523438</v>
      </c>
      <c r="AR551" s="32">
        <f t="shared" si="359"/>
        <v>41.712079863344378</v>
      </c>
      <c r="AS551" s="32">
        <f t="shared" si="332"/>
        <v>31.314092595009893</v>
      </c>
      <c r="AT551" s="32">
        <f t="shared" si="333"/>
        <v>21.954240000000002</v>
      </c>
      <c r="AU551" s="32">
        <f t="shared" si="334"/>
        <v>0.91051656417927229</v>
      </c>
      <c r="AV551" s="32">
        <f t="shared" si="335"/>
        <v>0.87919736164201778</v>
      </c>
      <c r="AW551" s="32">
        <f t="shared" si="336"/>
        <v>3.8419944776916073</v>
      </c>
      <c r="AX551" s="32">
        <f t="shared" si="337"/>
        <v>2.2249611183378328</v>
      </c>
      <c r="AY551" s="32">
        <f t="shared" si="338"/>
        <v>2.7453282121878493</v>
      </c>
      <c r="AZ551" s="32">
        <f t="shared" si="350"/>
        <v>0.10803355208375101</v>
      </c>
      <c r="BA551" s="32">
        <f t="shared" si="339"/>
        <v>-3.6210316630031731</v>
      </c>
      <c r="BB551" s="32">
        <f t="shared" si="360"/>
        <v>18.33320833699683</v>
      </c>
      <c r="BC551" s="32">
        <f t="shared" si="340"/>
        <v>23.740000000000002</v>
      </c>
      <c r="BD551" s="32">
        <v>0</v>
      </c>
      <c r="BE551" s="32">
        <f t="shared" si="361"/>
        <v>3.0334777980147201</v>
      </c>
      <c r="BF551" s="32">
        <f t="shared" si="362"/>
        <v>0.28814958582687078</v>
      </c>
      <c r="BG551" s="32">
        <f t="shared" si="363"/>
        <v>0.17671213093240795</v>
      </c>
      <c r="BH551" s="32">
        <f t="shared" si="341"/>
        <v>4.7694252147481944</v>
      </c>
      <c r="BI551" s="32">
        <f t="shared" si="342"/>
        <v>0.30898981124465985</v>
      </c>
      <c r="BJ551" s="32">
        <f t="shared" si="320"/>
        <v>5.0784150259928538</v>
      </c>
      <c r="BK551" s="457">
        <f t="shared" si="343"/>
        <v>4.9015452178092271</v>
      </c>
    </row>
    <row r="552" spans="1:63" ht="15">
      <c r="A552" s="119"/>
      <c r="B552" s="480">
        <f>Input!B569</f>
        <v>38534</v>
      </c>
      <c r="C552" s="481">
        <v>2</v>
      </c>
      <c r="D552" s="481">
        <f t="shared" si="322"/>
        <v>7</v>
      </c>
      <c r="E552" s="481">
        <f t="shared" si="323"/>
        <v>1</v>
      </c>
      <c r="F552" s="481">
        <f t="shared" si="324"/>
        <v>182</v>
      </c>
      <c r="G552" s="431">
        <v>27.820799999999998</v>
      </c>
      <c r="H552" s="455">
        <v>28.6</v>
      </c>
      <c r="I552" s="455">
        <v>20.8</v>
      </c>
      <c r="J552" s="455">
        <v>1.23</v>
      </c>
      <c r="K552" s="485"/>
      <c r="L552" s="433">
        <v>98</v>
      </c>
      <c r="M552" s="455">
        <v>84</v>
      </c>
      <c r="N552" s="484">
        <f>Weather!M553</f>
        <v>0</v>
      </c>
      <c r="O552" s="481" t="str">
        <f t="shared" si="344"/>
        <v/>
      </c>
      <c r="P552" s="4">
        <f t="shared" si="355"/>
        <v>5.1603088288052135</v>
      </c>
      <c r="Q552" s="169">
        <f t="shared" si="325"/>
        <v>3.9140092986798436</v>
      </c>
      <c r="R552" s="169">
        <f t="shared" si="326"/>
        <v>2.4566163260716172</v>
      </c>
      <c r="S552" s="169">
        <f t="shared" si="327"/>
        <v>3.2877678108910686</v>
      </c>
      <c r="T552" s="169">
        <f t="shared" si="328"/>
        <v>2.4074839995501849</v>
      </c>
      <c r="U552" s="169">
        <f t="shared" si="317"/>
        <v>2.8476259052206268</v>
      </c>
      <c r="V552" s="169">
        <f t="shared" si="318"/>
        <v>8.9141362886842407E-2</v>
      </c>
      <c r="W552" s="439">
        <f t="shared" si="319"/>
        <v>23.223412010550874</v>
      </c>
      <c r="X552" s="439">
        <f t="shared" si="329"/>
        <v>23.223412010550874</v>
      </c>
      <c r="Y552" s="169"/>
      <c r="Z552" s="119" t="str">
        <f t="shared" si="330"/>
        <v/>
      </c>
      <c r="AA552" s="4" t="str">
        <f t="shared" si="331"/>
        <v/>
      </c>
      <c r="AB552" s="466"/>
      <c r="AC552" s="466"/>
      <c r="AD552" s="466"/>
      <c r="AE552" s="466"/>
      <c r="AF552" s="466"/>
      <c r="AG552" s="466"/>
      <c r="AH552" s="466"/>
      <c r="AI552" s="466"/>
      <c r="AJ552" s="466"/>
      <c r="AK552" s="466"/>
      <c r="AL552" s="466"/>
      <c r="AM552" s="462">
        <f t="shared" si="321"/>
        <v>182</v>
      </c>
      <c r="AN552" s="32">
        <f t="shared" si="345"/>
        <v>0.96700122234916319</v>
      </c>
      <c r="AO552" s="32">
        <f t="shared" si="356"/>
        <v>0.40295171920788542</v>
      </c>
      <c r="AP552" s="32">
        <f t="shared" si="357"/>
        <v>1.997338854102455</v>
      </c>
      <c r="AQ552" s="32">
        <f t="shared" si="358"/>
        <v>15.258544879675568</v>
      </c>
      <c r="AR552" s="32">
        <f t="shared" si="359"/>
        <v>41.669011186082955</v>
      </c>
      <c r="AS552" s="32">
        <f t="shared" si="332"/>
        <v>31.281760077616198</v>
      </c>
      <c r="AT552" s="32">
        <f t="shared" si="333"/>
        <v>21.422015999999999</v>
      </c>
      <c r="AU552" s="32">
        <f t="shared" si="334"/>
        <v>0.88936172168609195</v>
      </c>
      <c r="AV552" s="32">
        <f t="shared" si="335"/>
        <v>0.85063832427622421</v>
      </c>
      <c r="AW552" s="32">
        <f t="shared" si="336"/>
        <v>3.9140092986798436</v>
      </c>
      <c r="AX552" s="32">
        <f t="shared" si="337"/>
        <v>2.4566163260716172</v>
      </c>
      <c r="AY552" s="32">
        <f t="shared" si="338"/>
        <v>2.8476259052206268</v>
      </c>
      <c r="AZ552" s="32">
        <f t="shared" si="350"/>
        <v>0.10375125874975696</v>
      </c>
      <c r="BA552" s="32">
        <f t="shared" si="339"/>
        <v>-3.4069938985653905</v>
      </c>
      <c r="BB552" s="32">
        <f t="shared" si="360"/>
        <v>18.01502210143461</v>
      </c>
      <c r="BC552" s="32">
        <f t="shared" si="340"/>
        <v>24.700000000000003</v>
      </c>
      <c r="BD552" s="32">
        <v>0</v>
      </c>
      <c r="BE552" s="32">
        <f t="shared" si="361"/>
        <v>3.1853128123757304</v>
      </c>
      <c r="BF552" s="32">
        <f t="shared" si="362"/>
        <v>0.33768690715510363</v>
      </c>
      <c r="BG552" s="32">
        <f t="shared" si="363"/>
        <v>0.18580631993569019</v>
      </c>
      <c r="BH552" s="32">
        <f t="shared" si="341"/>
        <v>4.8603894824920451</v>
      </c>
      <c r="BI552" s="32">
        <f t="shared" si="342"/>
        <v>0.29991934631316841</v>
      </c>
      <c r="BJ552" s="32">
        <f t="shared" si="320"/>
        <v>5.1603088288052135</v>
      </c>
      <c r="BK552" s="457">
        <f t="shared" si="343"/>
        <v>4.643133574781257</v>
      </c>
    </row>
    <row r="553" spans="1:63" ht="15">
      <c r="A553" s="119"/>
      <c r="B553" s="480">
        <f>Input!B570</f>
        <v>38535</v>
      </c>
      <c r="C553" s="481">
        <v>2</v>
      </c>
      <c r="D553" s="481">
        <f t="shared" si="322"/>
        <v>7</v>
      </c>
      <c r="E553" s="481">
        <f t="shared" si="323"/>
        <v>2</v>
      </c>
      <c r="F553" s="481">
        <f t="shared" si="324"/>
        <v>183</v>
      </c>
      <c r="G553" s="431">
        <v>27.475200000000001</v>
      </c>
      <c r="H553" s="455">
        <v>29.88</v>
      </c>
      <c r="I553" s="455">
        <v>20.399999999999999</v>
      </c>
      <c r="J553" s="455">
        <v>1.54</v>
      </c>
      <c r="K553" s="485"/>
      <c r="L553" s="433">
        <v>73</v>
      </c>
      <c r="M553" s="455">
        <v>83</v>
      </c>
      <c r="N553" s="484">
        <f>Weather!M554</f>
        <v>0</v>
      </c>
      <c r="O553" s="481" t="str">
        <f t="shared" si="344"/>
        <v/>
      </c>
      <c r="P553" s="4">
        <f t="shared" ref="P553:P582" si="364">BJ553</f>
        <v>5.3632519936455187</v>
      </c>
      <c r="Q553" s="169">
        <f t="shared" si="325"/>
        <v>4.2139475854711241</v>
      </c>
      <c r="R553" s="169">
        <f t="shared" si="326"/>
        <v>2.3968104104453793</v>
      </c>
      <c r="S553" s="169">
        <f t="shared" si="327"/>
        <v>3.4975764959410327</v>
      </c>
      <c r="T553" s="169">
        <f t="shared" si="328"/>
        <v>1.7496715996251269</v>
      </c>
      <c r="U553" s="169">
        <f t="shared" si="317"/>
        <v>2.6236240477830797</v>
      </c>
      <c r="V553" s="169">
        <f t="shared" si="318"/>
        <v>8.4397353328420549E-2</v>
      </c>
      <c r="W553" s="439">
        <f t="shared" si="319"/>
        <v>21.873562748686467</v>
      </c>
      <c r="X553" s="439">
        <f t="shared" si="329"/>
        <v>21.873562748686467</v>
      </c>
      <c r="Y553" s="169"/>
      <c r="Z553" s="119" t="str">
        <f t="shared" si="330"/>
        <v/>
      </c>
      <c r="AA553" s="4" t="str">
        <f t="shared" si="331"/>
        <v/>
      </c>
      <c r="AB553" s="466"/>
      <c r="AC553" s="466"/>
      <c r="AD553" s="466"/>
      <c r="AE553" s="466"/>
      <c r="AF553" s="466"/>
      <c r="AG553" s="466"/>
      <c r="AH553" s="466"/>
      <c r="AI553" s="466"/>
      <c r="AJ553" s="466"/>
      <c r="AK553" s="466"/>
      <c r="AL553" s="466"/>
      <c r="AM553" s="462">
        <f t="shared" si="321"/>
        <v>183</v>
      </c>
      <c r="AN553" s="32">
        <f t="shared" si="345"/>
        <v>0.96700122234916319</v>
      </c>
      <c r="AO553" s="32">
        <f t="shared" si="356"/>
        <v>0.4016857417210748</v>
      </c>
      <c r="AP553" s="32">
        <f t="shared" si="357"/>
        <v>1.9957454201651323</v>
      </c>
      <c r="AQ553" s="32">
        <f t="shared" si="358"/>
        <v>15.246371941070034</v>
      </c>
      <c r="AR553" s="32">
        <f t="shared" si="359"/>
        <v>41.6219123864905</v>
      </c>
      <c r="AS553" s="32">
        <f t="shared" si="332"/>
        <v>31.24640206678615</v>
      </c>
      <c r="AT553" s="32">
        <f t="shared" si="333"/>
        <v>21.155904</v>
      </c>
      <c r="AU553" s="32">
        <f t="shared" si="334"/>
        <v>0.87930763808500034</v>
      </c>
      <c r="AV553" s="32">
        <f t="shared" si="335"/>
        <v>0.83706531141475049</v>
      </c>
      <c r="AW553" s="32">
        <f t="shared" si="336"/>
        <v>4.2139475854711241</v>
      </c>
      <c r="AX553" s="32">
        <f t="shared" si="337"/>
        <v>2.3968104104453793</v>
      </c>
      <c r="AY553" s="32">
        <f t="shared" si="338"/>
        <v>2.6236240477830801</v>
      </c>
      <c r="AZ553" s="32">
        <f t="shared" si="350"/>
        <v>0.11323353127821481</v>
      </c>
      <c r="BA553" s="32">
        <f t="shared" si="339"/>
        <v>-3.6825000865998643</v>
      </c>
      <c r="BB553" s="32">
        <f t="shared" si="360"/>
        <v>17.473403913400134</v>
      </c>
      <c r="BC553" s="32">
        <f t="shared" si="340"/>
        <v>25.14</v>
      </c>
      <c r="BD553" s="32">
        <v>0</v>
      </c>
      <c r="BE553" s="32">
        <f t="shared" si="361"/>
        <v>3.3053789979582517</v>
      </c>
      <c r="BF553" s="32">
        <f t="shared" si="362"/>
        <v>0.68175495017517163</v>
      </c>
      <c r="BG553" s="32">
        <f t="shared" si="363"/>
        <v>0.1901044453759444</v>
      </c>
      <c r="BH553" s="32">
        <f t="shared" si="341"/>
        <v>4.635702225471741</v>
      </c>
      <c r="BI553" s="32">
        <f t="shared" si="342"/>
        <v>0.72754976817377737</v>
      </c>
      <c r="BJ553" s="32">
        <f t="shared" si="320"/>
        <v>5.3632519936455187</v>
      </c>
      <c r="BK553" s="457">
        <f t="shared" si="343"/>
        <v>5.1659475341380512</v>
      </c>
    </row>
    <row r="554" spans="1:63" ht="15">
      <c r="A554" s="119"/>
      <c r="B554" s="480">
        <f>Input!B571</f>
        <v>38536</v>
      </c>
      <c r="C554" s="481">
        <v>2</v>
      </c>
      <c r="D554" s="481">
        <f t="shared" si="322"/>
        <v>7</v>
      </c>
      <c r="E554" s="481">
        <f t="shared" si="323"/>
        <v>3</v>
      </c>
      <c r="F554" s="481">
        <f t="shared" si="324"/>
        <v>184</v>
      </c>
      <c r="G554" s="431">
        <v>27.043199999999999</v>
      </c>
      <c r="H554" s="455">
        <v>29.93</v>
      </c>
      <c r="I554" s="455">
        <v>23.5</v>
      </c>
      <c r="J554" s="455">
        <v>2.5099999999999998</v>
      </c>
      <c r="K554" s="485"/>
      <c r="L554" s="433">
        <v>81</v>
      </c>
      <c r="M554" s="455">
        <v>79</v>
      </c>
      <c r="N554" s="484">
        <f>Weather!M555</f>
        <v>7.8</v>
      </c>
      <c r="O554" s="481" t="str">
        <f t="shared" si="344"/>
        <v/>
      </c>
      <c r="P554" s="4">
        <f t="shared" si="364"/>
        <v>5.5388845439925944</v>
      </c>
      <c r="Q554" s="169">
        <f t="shared" si="325"/>
        <v>4.226058680120917</v>
      </c>
      <c r="R554" s="169">
        <f t="shared" si="326"/>
        <v>2.8955307729089892</v>
      </c>
      <c r="S554" s="169">
        <f t="shared" si="327"/>
        <v>3.3385863572955246</v>
      </c>
      <c r="T554" s="169">
        <f t="shared" si="328"/>
        <v>2.3453799260562813</v>
      </c>
      <c r="U554" s="169">
        <f t="shared" si="317"/>
        <v>2.8419831416759029</v>
      </c>
      <c r="V554" s="169">
        <f t="shared" si="318"/>
        <v>8.9026508595409629E-2</v>
      </c>
      <c r="W554" s="439">
        <f t="shared" si="319"/>
        <v>23.190565575204015</v>
      </c>
      <c r="X554" s="439">
        <f t="shared" si="329"/>
        <v>23.190565575204015</v>
      </c>
      <c r="Y554" s="169"/>
      <c r="Z554" s="119" t="str">
        <f t="shared" si="330"/>
        <v/>
      </c>
      <c r="AA554" s="4" t="str">
        <f t="shared" si="331"/>
        <v/>
      </c>
      <c r="AB554" s="466"/>
      <c r="AC554" s="466"/>
      <c r="AD554" s="466"/>
      <c r="AE554" s="466"/>
      <c r="AF554" s="466"/>
      <c r="AG554" s="466"/>
      <c r="AH554" s="466"/>
      <c r="AI554" s="466"/>
      <c r="AJ554" s="466"/>
      <c r="AK554" s="466"/>
      <c r="AL554" s="466"/>
      <c r="AM554" s="462">
        <f t="shared" si="321"/>
        <v>184</v>
      </c>
      <c r="AN554" s="32">
        <f t="shared" si="345"/>
        <v>0.96701100059915313</v>
      </c>
      <c r="AO554" s="32">
        <f t="shared" si="356"/>
        <v>0.40030073607990391</v>
      </c>
      <c r="AP554" s="32">
        <f t="shared" si="357"/>
        <v>1.9940054447469426</v>
      </c>
      <c r="AQ554" s="32">
        <f t="shared" si="358"/>
        <v>15.233079508014198</v>
      </c>
      <c r="AR554" s="32">
        <f t="shared" si="359"/>
        <v>41.570792759321499</v>
      </c>
      <c r="AS554" s="32">
        <f t="shared" si="332"/>
        <v>31.208025540277838</v>
      </c>
      <c r="AT554" s="32">
        <f t="shared" si="333"/>
        <v>20.823263999999998</v>
      </c>
      <c r="AU554" s="32">
        <f t="shared" si="334"/>
        <v>0.86654633004889681</v>
      </c>
      <c r="AV554" s="32">
        <f t="shared" si="335"/>
        <v>0.81983754556601085</v>
      </c>
      <c r="AW554" s="32">
        <f t="shared" si="336"/>
        <v>4.226058680120917</v>
      </c>
      <c r="AX554" s="32">
        <f t="shared" si="337"/>
        <v>2.8955307729089892</v>
      </c>
      <c r="AY554" s="32">
        <f t="shared" si="338"/>
        <v>2.8419831416759029</v>
      </c>
      <c r="AZ554" s="32">
        <f t="shared" si="350"/>
        <v>0.1039854462605162</v>
      </c>
      <c r="BA554" s="32">
        <f t="shared" si="339"/>
        <v>-3.3798621899211123</v>
      </c>
      <c r="BB554" s="32">
        <f t="shared" si="360"/>
        <v>17.443401810078885</v>
      </c>
      <c r="BC554" s="32">
        <f t="shared" si="340"/>
        <v>26.715</v>
      </c>
      <c r="BD554" s="32">
        <v>0</v>
      </c>
      <c r="BE554" s="32">
        <f t="shared" si="361"/>
        <v>3.5607947265149531</v>
      </c>
      <c r="BF554" s="32">
        <f t="shared" si="362"/>
        <v>0.71881158483905017</v>
      </c>
      <c r="BG554" s="32">
        <f t="shared" si="363"/>
        <v>0.20618277119829806</v>
      </c>
      <c r="BH554" s="32">
        <f t="shared" si="341"/>
        <v>4.4389533387162512</v>
      </c>
      <c r="BI554" s="32">
        <f t="shared" si="342"/>
        <v>1.0999312052763432</v>
      </c>
      <c r="BJ554" s="32">
        <f t="shared" si="320"/>
        <v>5.5388845439925944</v>
      </c>
      <c r="BK554" s="457">
        <f t="shared" si="343"/>
        <v>4.4051623876290016</v>
      </c>
    </row>
    <row r="555" spans="1:63" ht="15">
      <c r="A555" s="119"/>
      <c r="B555" s="480">
        <f>Input!B572</f>
        <v>38537</v>
      </c>
      <c r="C555" s="481">
        <v>2</v>
      </c>
      <c r="D555" s="481">
        <f t="shared" si="322"/>
        <v>7</v>
      </c>
      <c r="E555" s="481">
        <f t="shared" si="323"/>
        <v>4</v>
      </c>
      <c r="F555" s="481">
        <f t="shared" si="324"/>
        <v>185</v>
      </c>
      <c r="G555" s="431">
        <v>25.574400000000001</v>
      </c>
      <c r="H555" s="455">
        <v>26.42</v>
      </c>
      <c r="I555" s="455">
        <v>21</v>
      </c>
      <c r="J555" s="455">
        <v>2.5299999999999998</v>
      </c>
      <c r="K555" s="485"/>
      <c r="L555" s="433">
        <v>90</v>
      </c>
      <c r="M555" s="455">
        <v>65</v>
      </c>
      <c r="N555" s="484">
        <f>Weather!M556</f>
        <v>0.6</v>
      </c>
      <c r="O555" s="481" t="str">
        <f t="shared" si="344"/>
        <v/>
      </c>
      <c r="P555" s="4">
        <f t="shared" si="364"/>
        <v>5.0489004426417008</v>
      </c>
      <c r="Q555" s="169">
        <f t="shared" si="325"/>
        <v>3.4458052723712425</v>
      </c>
      <c r="R555" s="169">
        <f t="shared" si="326"/>
        <v>2.4870053972720654</v>
      </c>
      <c r="S555" s="169">
        <f t="shared" si="327"/>
        <v>2.2397734270413077</v>
      </c>
      <c r="T555" s="169">
        <f t="shared" si="328"/>
        <v>2.238304857544859</v>
      </c>
      <c r="U555" s="169">
        <f t="shared" si="317"/>
        <v>2.2390391422930831</v>
      </c>
      <c r="V555" s="169">
        <f t="shared" si="318"/>
        <v>7.5219022880366818E-2</v>
      </c>
      <c r="W555" s="439">
        <f t="shared" si="319"/>
        <v>19.301298979035952</v>
      </c>
      <c r="X555" s="439">
        <f t="shared" si="329"/>
        <v>19.301298979035952</v>
      </c>
      <c r="Y555" s="169"/>
      <c r="Z555" s="119" t="str">
        <f t="shared" si="330"/>
        <v/>
      </c>
      <c r="AA555" s="4" t="str">
        <f t="shared" si="331"/>
        <v/>
      </c>
      <c r="AB555" s="466"/>
      <c r="AC555" s="466"/>
      <c r="AD555" s="466"/>
      <c r="AE555" s="466"/>
      <c r="AF555" s="466"/>
      <c r="AG555" s="466"/>
      <c r="AH555" s="466"/>
      <c r="AI555" s="466"/>
      <c r="AJ555" s="466"/>
      <c r="AK555" s="466"/>
      <c r="AL555" s="466"/>
      <c r="AM555" s="462">
        <f t="shared" si="321"/>
        <v>185</v>
      </c>
      <c r="AN555" s="32">
        <f t="shared" si="345"/>
        <v>0.96703055420162642</v>
      </c>
      <c r="AO555" s="32">
        <f t="shared" si="356"/>
        <v>0.39879711269143509</v>
      </c>
      <c r="AP555" s="32">
        <f t="shared" si="357"/>
        <v>1.9921202972579126</v>
      </c>
      <c r="AQ555" s="32">
        <f t="shared" si="358"/>
        <v>15.218678042030051</v>
      </c>
      <c r="AR555" s="32">
        <f t="shared" si="359"/>
        <v>41.515662201418714</v>
      </c>
      <c r="AS555" s="32">
        <f t="shared" si="332"/>
        <v>31.16663792784906</v>
      </c>
      <c r="AT555" s="32">
        <f t="shared" si="333"/>
        <v>19.692288000000001</v>
      </c>
      <c r="AU555" s="32">
        <f t="shared" si="334"/>
        <v>0.82056974060547949</v>
      </c>
      <c r="AV555" s="32">
        <f t="shared" si="335"/>
        <v>0.7577691498173974</v>
      </c>
      <c r="AW555" s="32">
        <f t="shared" si="336"/>
        <v>3.4458052723712425</v>
      </c>
      <c r="AX555" s="32">
        <f t="shared" si="337"/>
        <v>2.4870053972720654</v>
      </c>
      <c r="AY555" s="32">
        <f t="shared" si="338"/>
        <v>2.2390391422930822</v>
      </c>
      <c r="AZ555" s="32">
        <f t="shared" si="350"/>
        <v>0.13051213116520469</v>
      </c>
      <c r="BA555" s="32">
        <f t="shared" si="339"/>
        <v>-3.7653705235764119</v>
      </c>
      <c r="BB555" s="32">
        <f t="shared" si="360"/>
        <v>15.92691747642359</v>
      </c>
      <c r="BC555" s="32">
        <f t="shared" si="340"/>
        <v>23.71</v>
      </c>
      <c r="BD555" s="32">
        <v>0</v>
      </c>
      <c r="BE555" s="32">
        <f t="shared" si="361"/>
        <v>2.9664053348216539</v>
      </c>
      <c r="BF555" s="32">
        <f t="shared" si="362"/>
        <v>0.72736619252857171</v>
      </c>
      <c r="BG555" s="32">
        <f t="shared" si="363"/>
        <v>0.17643409959936593</v>
      </c>
      <c r="BH555" s="32">
        <f t="shared" si="341"/>
        <v>3.8054652722863151</v>
      </c>
      <c r="BI555" s="32">
        <f t="shared" si="342"/>
        <v>1.2434351703553856</v>
      </c>
      <c r="BJ555" s="32">
        <f t="shared" si="320"/>
        <v>5.0489004426417008</v>
      </c>
      <c r="BK555" s="457">
        <f t="shared" si="343"/>
        <v>3.7663970229833392</v>
      </c>
    </row>
    <row r="556" spans="1:63" ht="15">
      <c r="A556" s="119"/>
      <c r="B556" s="480">
        <f>Input!B573</f>
        <v>38538</v>
      </c>
      <c r="C556" s="481">
        <v>2</v>
      </c>
      <c r="D556" s="481">
        <f t="shared" si="322"/>
        <v>7</v>
      </c>
      <c r="E556" s="481">
        <f t="shared" si="323"/>
        <v>5</v>
      </c>
      <c r="F556" s="481">
        <f t="shared" si="324"/>
        <v>186</v>
      </c>
      <c r="G556" s="431">
        <v>25.2288</v>
      </c>
      <c r="H556" s="455">
        <v>27.32</v>
      </c>
      <c r="I556" s="455">
        <v>20.399999999999999</v>
      </c>
      <c r="J556" s="455">
        <v>2.1800000000000002</v>
      </c>
      <c r="K556" s="485"/>
      <c r="L556" s="433">
        <v>72</v>
      </c>
      <c r="M556" s="455">
        <v>69</v>
      </c>
      <c r="N556" s="484">
        <f>Weather!M557</f>
        <v>1.6</v>
      </c>
      <c r="O556" s="481" t="str">
        <f t="shared" si="344"/>
        <v/>
      </c>
      <c r="P556" s="4">
        <f t="shared" si="364"/>
        <v>5.1819685613911384</v>
      </c>
      <c r="Q556" s="169">
        <f t="shared" si="325"/>
        <v>3.6328239322991576</v>
      </c>
      <c r="R556" s="169">
        <f t="shared" si="326"/>
        <v>2.3968104104453793</v>
      </c>
      <c r="S556" s="169">
        <f t="shared" si="327"/>
        <v>2.5066485132864185</v>
      </c>
      <c r="T556" s="169">
        <f t="shared" si="328"/>
        <v>1.7257034955206731</v>
      </c>
      <c r="U556" s="169">
        <f t="shared" si="317"/>
        <v>2.1161760044035458</v>
      </c>
      <c r="V556" s="169">
        <f t="shared" si="318"/>
        <v>7.1951151943201952E-2</v>
      </c>
      <c r="W556" s="439">
        <f t="shared" si="319"/>
        <v>18.397747480504243</v>
      </c>
      <c r="X556" s="439">
        <f t="shared" si="329"/>
        <v>18.397747480504243</v>
      </c>
      <c r="Y556" s="169"/>
      <c r="Z556" s="119" t="str">
        <f t="shared" si="330"/>
        <v/>
      </c>
      <c r="AA556" s="4" t="str">
        <f t="shared" si="331"/>
        <v/>
      </c>
      <c r="AB556" s="466"/>
      <c r="AC556" s="466"/>
      <c r="AD556" s="466"/>
      <c r="AE556" s="466"/>
      <c r="AF556" s="466"/>
      <c r="AG556" s="466"/>
      <c r="AH556" s="466"/>
      <c r="AI556" s="466"/>
      <c r="AJ556" s="466"/>
      <c r="AK556" s="466"/>
      <c r="AL556" s="466"/>
      <c r="AM556" s="462">
        <f t="shared" si="321"/>
        <v>186</v>
      </c>
      <c r="AN556" s="32">
        <f t="shared" si="345"/>
        <v>0.96705987736242871</v>
      </c>
      <c r="AO556" s="32">
        <f t="shared" si="356"/>
        <v>0.39717531711172921</v>
      </c>
      <c r="AP556" s="32">
        <f t="shared" si="357"/>
        <v>1.9900914486861019</v>
      </c>
      <c r="AQ556" s="32">
        <f t="shared" si="358"/>
        <v>15.203178780638597</v>
      </c>
      <c r="AR556" s="32">
        <f t="shared" si="359"/>
        <v>41.456531208093089</v>
      </c>
      <c r="AS556" s="32">
        <f t="shared" si="332"/>
        <v>31.122247108539646</v>
      </c>
      <c r="AT556" s="32">
        <f t="shared" si="333"/>
        <v>19.426176000000002</v>
      </c>
      <c r="AU556" s="32">
        <f t="shared" si="334"/>
        <v>0.81063555314672175</v>
      </c>
      <c r="AV556" s="32">
        <f t="shared" si="335"/>
        <v>0.74435799674807457</v>
      </c>
      <c r="AW556" s="32">
        <f t="shared" si="336"/>
        <v>3.6328239322991576</v>
      </c>
      <c r="AX556" s="32">
        <f t="shared" si="337"/>
        <v>2.3968104104453793</v>
      </c>
      <c r="AY556" s="32">
        <f t="shared" si="338"/>
        <v>2.1161760044035458</v>
      </c>
      <c r="AZ556" s="32">
        <f t="shared" si="350"/>
        <v>0.13634084924484857</v>
      </c>
      <c r="BA556" s="32">
        <f t="shared" si="339"/>
        <v>-3.8729484072485914</v>
      </c>
      <c r="BB556" s="32">
        <f t="shared" si="360"/>
        <v>15.55322759275141</v>
      </c>
      <c r="BC556" s="32">
        <f t="shared" si="340"/>
        <v>23.86</v>
      </c>
      <c r="BD556" s="32">
        <v>0</v>
      </c>
      <c r="BE556" s="32">
        <f t="shared" si="361"/>
        <v>3.0148171713722682</v>
      </c>
      <c r="BF556" s="32">
        <f t="shared" si="362"/>
        <v>0.89864116696872243</v>
      </c>
      <c r="BG556" s="32">
        <f t="shared" si="363"/>
        <v>0.17782795424517081</v>
      </c>
      <c r="BH556" s="32">
        <f t="shared" si="341"/>
        <v>3.8293305039730359</v>
      </c>
      <c r="BI556" s="32">
        <f t="shared" si="342"/>
        <v>1.3526380574181025</v>
      </c>
      <c r="BJ556" s="32">
        <f t="shared" si="320"/>
        <v>5.1819685613911384</v>
      </c>
      <c r="BK556" s="457">
        <f t="shared" si="343"/>
        <v>4.2650784623003535</v>
      </c>
    </row>
    <row r="557" spans="1:63" ht="15">
      <c r="A557" s="119"/>
      <c r="B557" s="480">
        <f>Input!B574</f>
        <v>38539</v>
      </c>
      <c r="C557" s="481">
        <v>2</v>
      </c>
      <c r="D557" s="481">
        <f t="shared" si="322"/>
        <v>7</v>
      </c>
      <c r="E557" s="481">
        <f t="shared" si="323"/>
        <v>6</v>
      </c>
      <c r="F557" s="481">
        <f t="shared" si="324"/>
        <v>187</v>
      </c>
      <c r="G557" s="431">
        <v>18.316800000000001</v>
      </c>
      <c r="H557" s="455">
        <v>26.28</v>
      </c>
      <c r="I557" s="455">
        <v>19.399999999999999</v>
      </c>
      <c r="J557" s="455">
        <v>2.04</v>
      </c>
      <c r="K557" s="485"/>
      <c r="L557" s="433">
        <v>100</v>
      </c>
      <c r="M557" s="455">
        <v>79</v>
      </c>
      <c r="N557" s="484">
        <f>Weather!M558</f>
        <v>3</v>
      </c>
      <c r="O557" s="481" t="str">
        <f t="shared" si="344"/>
        <v/>
      </c>
      <c r="P557" s="4">
        <f t="shared" si="364"/>
        <v>3.4769314126585869</v>
      </c>
      <c r="Q557" s="169">
        <f t="shared" si="325"/>
        <v>3.4174807738749688</v>
      </c>
      <c r="R557" s="169">
        <f t="shared" si="326"/>
        <v>2.2528310020993629</v>
      </c>
      <c r="S557" s="169">
        <f t="shared" si="327"/>
        <v>2.6998098113612254</v>
      </c>
      <c r="T557" s="169">
        <f t="shared" si="328"/>
        <v>2.2528310020993629</v>
      </c>
      <c r="U557" s="169">
        <f t="shared" si="317"/>
        <v>2.4763204067302942</v>
      </c>
      <c r="V557" s="169">
        <f t="shared" si="318"/>
        <v>8.1051503014929485E-2</v>
      </c>
      <c r="W557" s="439">
        <f t="shared" si="319"/>
        <v>20.929923416323124</v>
      </c>
      <c r="X557" s="439">
        <f t="shared" si="329"/>
        <v>20.929923416323124</v>
      </c>
      <c r="Y557" s="169"/>
      <c r="Z557" s="119" t="str">
        <f t="shared" si="330"/>
        <v/>
      </c>
      <c r="AA557" s="4" t="str">
        <f t="shared" si="331"/>
        <v/>
      </c>
      <c r="AB557" s="466"/>
      <c r="AC557" s="466"/>
      <c r="AD557" s="466"/>
      <c r="AE557" s="466"/>
      <c r="AF557" s="466"/>
      <c r="AG557" s="466"/>
      <c r="AH557" s="466"/>
      <c r="AI557" s="466"/>
      <c r="AJ557" s="466"/>
      <c r="AK557" s="466"/>
      <c r="AL557" s="466"/>
      <c r="AM557" s="462">
        <f t="shared" si="321"/>
        <v>187</v>
      </c>
      <c r="AN557" s="32">
        <f t="shared" si="345"/>
        <v>0.96709896139247453</v>
      </c>
      <c r="AO557" s="32">
        <f t="shared" si="356"/>
        <v>0.39543582991381776</v>
      </c>
      <c r="AP557" s="32">
        <f t="shared" si="357"/>
        <v>1.9879204675442912</v>
      </c>
      <c r="AQ557" s="32">
        <f t="shared" si="358"/>
        <v>15.186593706394831</v>
      </c>
      <c r="AR557" s="32">
        <f t="shared" si="359"/>
        <v>41.393410869835861</v>
      </c>
      <c r="AS557" s="32">
        <f t="shared" si="332"/>
        <v>31.07486140820318</v>
      </c>
      <c r="AT557" s="32">
        <f t="shared" si="333"/>
        <v>14.103936000000001</v>
      </c>
      <c r="AU557" s="32">
        <f t="shared" si="334"/>
        <v>0.58944108420592056</v>
      </c>
      <c r="AV557" s="32">
        <f t="shared" si="335"/>
        <v>0.44574546367799284</v>
      </c>
      <c r="AW557" s="32">
        <f t="shared" si="336"/>
        <v>3.4174807738749688</v>
      </c>
      <c r="AX557" s="32">
        <f t="shared" si="337"/>
        <v>2.2528310020993629</v>
      </c>
      <c r="AY557" s="32">
        <f t="shared" si="338"/>
        <v>2.4763204067302946</v>
      </c>
      <c r="AZ557" s="32">
        <f t="shared" si="350"/>
        <v>0.11969139832518164</v>
      </c>
      <c r="BA557" s="32">
        <f t="shared" si="339"/>
        <v>-2.0081952576274174</v>
      </c>
      <c r="BB557" s="32">
        <f t="shared" si="360"/>
        <v>12.095740742372584</v>
      </c>
      <c r="BC557" s="32">
        <f t="shared" si="340"/>
        <v>22.84</v>
      </c>
      <c r="BD557" s="32">
        <v>0</v>
      </c>
      <c r="BE557" s="32">
        <f t="shared" si="361"/>
        <v>2.8351558879871659</v>
      </c>
      <c r="BF557" s="32">
        <f t="shared" si="362"/>
        <v>0.35883548125687126</v>
      </c>
      <c r="BG557" s="32">
        <f t="shared" si="363"/>
        <v>0.16853014122640708</v>
      </c>
      <c r="BH557" s="32">
        <f t="shared" si="341"/>
        <v>2.9473026905722484</v>
      </c>
      <c r="BI557" s="32">
        <f t="shared" si="342"/>
        <v>0.5296287220863386</v>
      </c>
      <c r="BJ557" s="32">
        <f t="shared" si="320"/>
        <v>3.4769314126585869</v>
      </c>
      <c r="BK557" s="457">
        <f t="shared" si="343"/>
        <v>4.1422936620421167</v>
      </c>
    </row>
    <row r="558" spans="1:63" ht="15">
      <c r="A558" s="119"/>
      <c r="B558" s="480">
        <f>Input!B575</f>
        <v>38540</v>
      </c>
      <c r="C558" s="481">
        <v>2</v>
      </c>
      <c r="D558" s="481">
        <f t="shared" si="322"/>
        <v>7</v>
      </c>
      <c r="E558" s="481">
        <f t="shared" si="323"/>
        <v>7</v>
      </c>
      <c r="F558" s="481">
        <f t="shared" si="324"/>
        <v>188</v>
      </c>
      <c r="G558" s="431">
        <v>19.958400000000001</v>
      </c>
      <c r="H558" s="455">
        <v>23.36</v>
      </c>
      <c r="I558" s="455">
        <v>18.3</v>
      </c>
      <c r="J558" s="455">
        <v>1.85</v>
      </c>
      <c r="K558" s="485"/>
      <c r="L558" s="433">
        <v>100</v>
      </c>
      <c r="M558" s="455">
        <v>87</v>
      </c>
      <c r="N558" s="484">
        <f>Weather!M559</f>
        <v>2.6</v>
      </c>
      <c r="O558" s="481" t="str">
        <f t="shared" si="344"/>
        <v/>
      </c>
      <c r="P558" s="4">
        <f t="shared" si="364"/>
        <v>3.3390863812371721</v>
      </c>
      <c r="Q558" s="169">
        <f t="shared" si="325"/>
        <v>2.8711956854595937</v>
      </c>
      <c r="R558" s="169">
        <f t="shared" si="326"/>
        <v>2.1032450848446573</v>
      </c>
      <c r="S558" s="169">
        <f t="shared" si="327"/>
        <v>2.4979402463498466</v>
      </c>
      <c r="T558" s="169">
        <f t="shared" si="328"/>
        <v>2.1032450848446573</v>
      </c>
      <c r="U558" s="169">
        <f t="shared" si="317"/>
        <v>2.300592665597252</v>
      </c>
      <c r="V558" s="169">
        <f t="shared" si="318"/>
        <v>7.6789373252649284E-2</v>
      </c>
      <c r="W558" s="439">
        <f t="shared" si="319"/>
        <v>19.737769199054515</v>
      </c>
      <c r="X558" s="439">
        <f t="shared" si="329"/>
        <v>19.737769199054515</v>
      </c>
      <c r="Y558" s="169"/>
      <c r="Z558" s="119" t="str">
        <f t="shared" si="330"/>
        <v/>
      </c>
      <c r="AA558" s="4" t="str">
        <f t="shared" si="331"/>
        <v/>
      </c>
      <c r="AB558" s="466"/>
      <c r="AC558" s="466"/>
      <c r="AD558" s="466"/>
      <c r="AE558" s="466"/>
      <c r="AF558" s="466"/>
      <c r="AG558" s="466"/>
      <c r="AH558" s="466"/>
      <c r="AI558" s="466"/>
      <c r="AJ558" s="466"/>
      <c r="AK558" s="466"/>
      <c r="AL558" s="466"/>
      <c r="AM558" s="462">
        <f t="shared" si="321"/>
        <v>188</v>
      </c>
      <c r="AN558" s="32">
        <f t="shared" si="345"/>
        <v>0.96714779471032231</v>
      </c>
      <c r="AO558" s="32">
        <f t="shared" si="356"/>
        <v>0.39357916654529868</v>
      </c>
      <c r="AP558" s="32">
        <f t="shared" si="357"/>
        <v>1.9856090156103507</v>
      </c>
      <c r="AQ558" s="32">
        <f t="shared" si="358"/>
        <v>15.168935514346547</v>
      </c>
      <c r="AR558" s="32">
        <f t="shared" si="359"/>
        <v>41.32631286945567</v>
      </c>
      <c r="AS558" s="32">
        <f t="shared" si="332"/>
        <v>31.024489597357764</v>
      </c>
      <c r="AT558" s="32">
        <f t="shared" si="333"/>
        <v>15.367968000000001</v>
      </c>
      <c r="AU558" s="32">
        <f t="shared" si="334"/>
        <v>0.64331114738789386</v>
      </c>
      <c r="AV558" s="32">
        <f t="shared" si="335"/>
        <v>0.51847004897365678</v>
      </c>
      <c r="AW558" s="32">
        <f t="shared" si="336"/>
        <v>2.8711956854595937</v>
      </c>
      <c r="AX558" s="32">
        <f t="shared" si="337"/>
        <v>2.1032450848446573</v>
      </c>
      <c r="AY558" s="32">
        <f t="shared" si="338"/>
        <v>2.300592665597252</v>
      </c>
      <c r="AZ558" s="32">
        <f t="shared" si="350"/>
        <v>0.12765213388002661</v>
      </c>
      <c r="BA558" s="32">
        <f t="shared" si="339"/>
        <v>-2.4233264730471942</v>
      </c>
      <c r="BB558" s="32">
        <f t="shared" si="360"/>
        <v>12.944641526952807</v>
      </c>
      <c r="BC558" s="32">
        <f t="shared" si="340"/>
        <v>20.83</v>
      </c>
      <c r="BD558" s="32">
        <v>0</v>
      </c>
      <c r="BE558" s="32">
        <f t="shared" si="361"/>
        <v>2.4872203851521255</v>
      </c>
      <c r="BF558" s="32">
        <f t="shared" si="362"/>
        <v>0.18662771955487356</v>
      </c>
      <c r="BG558" s="32">
        <f t="shared" si="363"/>
        <v>0.15140482857244272</v>
      </c>
      <c r="BH558" s="32">
        <f t="shared" si="341"/>
        <v>3.066875014340499</v>
      </c>
      <c r="BI558" s="32">
        <f t="shared" si="342"/>
        <v>0.27221136689667319</v>
      </c>
      <c r="BJ558" s="32">
        <f t="shared" si="320"/>
        <v>3.3390863812371721</v>
      </c>
      <c r="BK558" s="457">
        <f t="shared" si="343"/>
        <v>3.3712299574074924</v>
      </c>
    </row>
    <row r="559" spans="1:63" ht="15">
      <c r="A559" s="119"/>
      <c r="B559" s="480">
        <f>Input!B576</f>
        <v>38541</v>
      </c>
      <c r="C559" s="481">
        <v>2</v>
      </c>
      <c r="D559" s="481">
        <f t="shared" si="322"/>
        <v>7</v>
      </c>
      <c r="E559" s="481">
        <f t="shared" si="323"/>
        <v>8</v>
      </c>
      <c r="F559" s="481">
        <f t="shared" si="324"/>
        <v>189</v>
      </c>
      <c r="G559" s="431">
        <v>26.697600000000001</v>
      </c>
      <c r="H559" s="455">
        <v>25.13</v>
      </c>
      <c r="I559" s="455">
        <v>18.5</v>
      </c>
      <c r="J559" s="455">
        <v>1.56</v>
      </c>
      <c r="K559" s="485"/>
      <c r="L559" s="433">
        <v>100</v>
      </c>
      <c r="M559" s="455">
        <v>87</v>
      </c>
      <c r="N559" s="484">
        <f>Weather!M560</f>
        <v>0.8</v>
      </c>
      <c r="O559" s="481" t="str">
        <f t="shared" si="344"/>
        <v/>
      </c>
      <c r="P559" s="4">
        <f t="shared" si="364"/>
        <v>4.4509781454770909</v>
      </c>
      <c r="Q559" s="169">
        <f t="shared" si="325"/>
        <v>3.1923903510519973</v>
      </c>
      <c r="R559" s="169">
        <f t="shared" si="326"/>
        <v>2.1297773032821605</v>
      </c>
      <c r="S559" s="169">
        <f t="shared" si="327"/>
        <v>2.7773796054152378</v>
      </c>
      <c r="T559" s="169">
        <f t="shared" si="328"/>
        <v>2.1297773032821605</v>
      </c>
      <c r="U559" s="169">
        <f t="shared" si="317"/>
        <v>2.4535784543486994</v>
      </c>
      <c r="V559" s="169">
        <f t="shared" si="318"/>
        <v>8.0517270305539554E-2</v>
      </c>
      <c r="W559" s="439">
        <f t="shared" si="319"/>
        <v>20.779888111496792</v>
      </c>
      <c r="X559" s="439">
        <f t="shared" si="329"/>
        <v>20.779888111496792</v>
      </c>
      <c r="Y559" s="169"/>
      <c r="Z559" s="119" t="str">
        <f t="shared" si="330"/>
        <v/>
      </c>
      <c r="AA559" s="4" t="str">
        <f t="shared" si="331"/>
        <v/>
      </c>
      <c r="AB559" s="466"/>
      <c r="AC559" s="466"/>
      <c r="AD559" s="466"/>
      <c r="AE559" s="466"/>
      <c r="AF559" s="466"/>
      <c r="AG559" s="466"/>
      <c r="AH559" s="466"/>
      <c r="AI559" s="466"/>
      <c r="AJ559" s="466"/>
      <c r="AK559" s="466"/>
      <c r="AL559" s="466"/>
      <c r="AM559" s="462">
        <f t="shared" si="321"/>
        <v>189</v>
      </c>
      <c r="AN559" s="32">
        <f t="shared" si="345"/>
        <v>0.96720636284560613</v>
      </c>
      <c r="AO559" s="32">
        <f t="shared" si="356"/>
        <v>0.39160587717559808</v>
      </c>
      <c r="AP559" s="32">
        <f t="shared" si="357"/>
        <v>1.9831588434846004</v>
      </c>
      <c r="AQ559" s="32">
        <f t="shared" si="358"/>
        <v>15.150217578095065</v>
      </c>
      <c r="AR559" s="32">
        <f t="shared" si="359"/>
        <v>41.255249479735504</v>
      </c>
      <c r="AS559" s="32">
        <f t="shared" si="332"/>
        <v>30.971140889427041</v>
      </c>
      <c r="AT559" s="32">
        <f t="shared" si="333"/>
        <v>20.557152000000002</v>
      </c>
      <c r="AU559" s="32">
        <f t="shared" si="334"/>
        <v>0.86201538701191516</v>
      </c>
      <c r="AV559" s="32">
        <f t="shared" si="335"/>
        <v>0.81372077246608565</v>
      </c>
      <c r="AW559" s="32">
        <f t="shared" si="336"/>
        <v>3.1923903510519973</v>
      </c>
      <c r="AX559" s="32">
        <f t="shared" si="337"/>
        <v>2.1297773032821605</v>
      </c>
      <c r="AY559" s="32">
        <f t="shared" si="338"/>
        <v>2.4535784543486994</v>
      </c>
      <c r="AZ559" s="32">
        <f t="shared" si="350"/>
        <v>0.12070536325474235</v>
      </c>
      <c r="BA559" s="32">
        <f t="shared" si="339"/>
        <v>-3.6459356887047645</v>
      </c>
      <c r="BB559" s="32">
        <f t="shared" si="360"/>
        <v>16.911216311295238</v>
      </c>
      <c r="BC559" s="32">
        <f t="shared" si="340"/>
        <v>21.814999999999998</v>
      </c>
      <c r="BD559" s="32">
        <v>0</v>
      </c>
      <c r="BE559" s="32">
        <f t="shared" si="361"/>
        <v>2.6610838271670789</v>
      </c>
      <c r="BF559" s="32">
        <f t="shared" si="362"/>
        <v>0.20750537281837955</v>
      </c>
      <c r="BG559" s="32">
        <f t="shared" si="363"/>
        <v>0.15960347290644833</v>
      </c>
      <c r="BH559" s="32">
        <f t="shared" si="341"/>
        <v>4.1981456570042903</v>
      </c>
      <c r="BI559" s="32">
        <f t="shared" si="342"/>
        <v>0.25283248847280071</v>
      </c>
      <c r="BJ559" s="32">
        <f t="shared" si="320"/>
        <v>4.4509781454770909</v>
      </c>
      <c r="BK559" s="457">
        <f t="shared" si="343"/>
        <v>3.9505484631760259</v>
      </c>
    </row>
    <row r="560" spans="1:63" ht="15">
      <c r="A560" s="119"/>
      <c r="B560" s="480">
        <f>Input!B577</f>
        <v>38542</v>
      </c>
      <c r="C560" s="481">
        <v>2</v>
      </c>
      <c r="D560" s="481">
        <f t="shared" si="322"/>
        <v>7</v>
      </c>
      <c r="E560" s="481">
        <f t="shared" si="323"/>
        <v>9</v>
      </c>
      <c r="F560" s="481">
        <f t="shared" si="324"/>
        <v>190</v>
      </c>
      <c r="G560" s="431">
        <v>25.142399999999999</v>
      </c>
      <c r="H560" s="455">
        <v>26.97</v>
      </c>
      <c r="I560" s="455">
        <v>17.5</v>
      </c>
      <c r="J560" s="455">
        <v>1.26</v>
      </c>
      <c r="K560" s="485"/>
      <c r="L560" s="433">
        <v>100</v>
      </c>
      <c r="M560" s="455">
        <v>83</v>
      </c>
      <c r="N560" s="484">
        <f>Weather!M561</f>
        <v>6.4</v>
      </c>
      <c r="O560" s="481" t="str">
        <f t="shared" si="344"/>
        <v/>
      </c>
      <c r="P560" s="4">
        <f t="shared" si="364"/>
        <v>4.4175903643995147</v>
      </c>
      <c r="Q560" s="169">
        <f t="shared" si="325"/>
        <v>3.5590699222222817</v>
      </c>
      <c r="R560" s="169">
        <f t="shared" si="326"/>
        <v>1.9999869748999506</v>
      </c>
      <c r="S560" s="169">
        <f t="shared" si="327"/>
        <v>2.9540280354444937</v>
      </c>
      <c r="T560" s="169">
        <f t="shared" si="328"/>
        <v>1.9999869748999506</v>
      </c>
      <c r="U560" s="169">
        <f t="shared" si="317"/>
        <v>2.4770075051722222</v>
      </c>
      <c r="V560" s="169">
        <f t="shared" si="318"/>
        <v>8.1067567231306842E-2</v>
      </c>
      <c r="W560" s="439">
        <f t="shared" si="319"/>
        <v>20.934437634362389</v>
      </c>
      <c r="X560" s="439">
        <f t="shared" si="329"/>
        <v>20.934437634362389</v>
      </c>
      <c r="Y560" s="169"/>
      <c r="Z560" s="119" t="str">
        <f t="shared" si="330"/>
        <v/>
      </c>
      <c r="AA560" s="4" t="str">
        <f t="shared" si="331"/>
        <v/>
      </c>
      <c r="AB560" s="466"/>
      <c r="AC560" s="466"/>
      <c r="AD560" s="466"/>
      <c r="AE560" s="466"/>
      <c r="AF560" s="466"/>
      <c r="AG560" s="466"/>
      <c r="AH560" s="466"/>
      <c r="AI560" s="466"/>
      <c r="AJ560" s="466"/>
      <c r="AK560" s="466"/>
      <c r="AL560" s="466"/>
      <c r="AM560" s="462">
        <f t="shared" si="321"/>
        <v>190</v>
      </c>
      <c r="AN560" s="32">
        <f t="shared" si="345"/>
        <v>0.96727464844332345</v>
      </c>
      <c r="AO560" s="32">
        <f t="shared" si="356"/>
        <v>0.38951654653294338</v>
      </c>
      <c r="AP560" s="32">
        <f t="shared" si="357"/>
        <v>1.9805717859879413</v>
      </c>
      <c r="AQ560" s="32">
        <f t="shared" si="358"/>
        <v>15.130453914639569</v>
      </c>
      <c r="AR560" s="32">
        <f t="shared" si="359"/>
        <v>41.180233561703837</v>
      </c>
      <c r="AS560" s="32">
        <f t="shared" si="332"/>
        <v>30.914824939442305</v>
      </c>
      <c r="AT560" s="32">
        <f t="shared" si="333"/>
        <v>19.359648</v>
      </c>
      <c r="AU560" s="32">
        <f t="shared" si="334"/>
        <v>0.81327971448165548</v>
      </c>
      <c r="AV560" s="32">
        <f t="shared" si="335"/>
        <v>0.74792761455023504</v>
      </c>
      <c r="AW560" s="32">
        <f t="shared" si="336"/>
        <v>3.5590699222222817</v>
      </c>
      <c r="AX560" s="32">
        <f t="shared" si="337"/>
        <v>1.9999869748999506</v>
      </c>
      <c r="AY560" s="32">
        <f t="shared" si="338"/>
        <v>2.4770075051722227</v>
      </c>
      <c r="AZ560" s="32">
        <f t="shared" si="350"/>
        <v>0.11966083620614432</v>
      </c>
      <c r="BA560" s="32">
        <f t="shared" si="339"/>
        <v>-3.3437247440509124</v>
      </c>
      <c r="BB560" s="32">
        <f t="shared" si="360"/>
        <v>16.015923255949087</v>
      </c>
      <c r="BC560" s="32">
        <f t="shared" si="340"/>
        <v>22.234999999999999</v>
      </c>
      <c r="BD560" s="32">
        <v>0</v>
      </c>
      <c r="BE560" s="32">
        <f t="shared" si="361"/>
        <v>2.7795284485611162</v>
      </c>
      <c r="BF560" s="32">
        <f t="shared" si="362"/>
        <v>0.30252094338889357</v>
      </c>
      <c r="BG560" s="32">
        <f t="shared" si="363"/>
        <v>0.16321168099163744</v>
      </c>
      <c r="BH560" s="32">
        <f t="shared" si="341"/>
        <v>4.1165811411825119</v>
      </c>
      <c r="BI560" s="32">
        <f t="shared" si="342"/>
        <v>0.30100922321700258</v>
      </c>
      <c r="BJ560" s="32">
        <f t="shared" si="320"/>
        <v>4.4175903643995147</v>
      </c>
      <c r="BK560" s="457">
        <f t="shared" si="343"/>
        <v>4.7628332789203478</v>
      </c>
    </row>
    <row r="561" spans="1:63" ht="15">
      <c r="A561" s="119"/>
      <c r="B561" s="480">
        <f>Input!B578</f>
        <v>38543</v>
      </c>
      <c r="C561" s="481">
        <v>2</v>
      </c>
      <c r="D561" s="481">
        <f t="shared" si="322"/>
        <v>7</v>
      </c>
      <c r="E561" s="481">
        <f t="shared" si="323"/>
        <v>10</v>
      </c>
      <c r="F561" s="481">
        <f t="shared" si="324"/>
        <v>191</v>
      </c>
      <c r="G561" s="431">
        <v>26.8704</v>
      </c>
      <c r="H561" s="455">
        <v>27.05</v>
      </c>
      <c r="I561" s="455">
        <v>20.100000000000001</v>
      </c>
      <c r="J561" s="455">
        <v>1.8</v>
      </c>
      <c r="K561" s="485"/>
      <c r="L561" s="433">
        <v>100</v>
      </c>
      <c r="M561" s="455">
        <v>81</v>
      </c>
      <c r="N561" s="484">
        <f>Weather!M562</f>
        <v>0.8</v>
      </c>
      <c r="O561" s="481" t="str">
        <f t="shared" si="344"/>
        <v/>
      </c>
      <c r="P561" s="4">
        <f t="shared" si="364"/>
        <v>4.7621015055229519</v>
      </c>
      <c r="Q561" s="169">
        <f t="shared" si="325"/>
        <v>3.5758119816692693</v>
      </c>
      <c r="R561" s="169">
        <f t="shared" si="326"/>
        <v>2.3527951289901101</v>
      </c>
      <c r="S561" s="169">
        <f t="shared" si="327"/>
        <v>2.8964077051521082</v>
      </c>
      <c r="T561" s="169">
        <f t="shared" si="328"/>
        <v>2.3527951289901101</v>
      </c>
      <c r="U561" s="169">
        <f t="shared" si="317"/>
        <v>2.6246014170711094</v>
      </c>
      <c r="V561" s="169">
        <f t="shared" si="318"/>
        <v>8.4418920036852904E-2</v>
      </c>
      <c r="W561" s="439">
        <f t="shared" si="319"/>
        <v>21.879667637465296</v>
      </c>
      <c r="X561" s="439">
        <f t="shared" si="329"/>
        <v>21.879667637465296</v>
      </c>
      <c r="Y561" s="169"/>
      <c r="Z561" s="119" t="str">
        <f t="shared" si="330"/>
        <v/>
      </c>
      <c r="AA561" s="4" t="str">
        <f t="shared" si="331"/>
        <v/>
      </c>
      <c r="AB561" s="466"/>
      <c r="AC561" s="466"/>
      <c r="AD561" s="466"/>
      <c r="AE561" s="466"/>
      <c r="AF561" s="466"/>
      <c r="AG561" s="466"/>
      <c r="AH561" s="466"/>
      <c r="AI561" s="466"/>
      <c r="AJ561" s="466"/>
      <c r="AK561" s="466"/>
      <c r="AL561" s="466"/>
      <c r="AM561" s="462">
        <f t="shared" si="321"/>
        <v>191</v>
      </c>
      <c r="AN561" s="32">
        <f t="shared" si="345"/>
        <v>0.96735263126897786</v>
      </c>
      <c r="AO561" s="32">
        <f t="shared" si="356"/>
        <v>0.38731179373109537</v>
      </c>
      <c r="AP561" s="32">
        <f t="shared" si="357"/>
        <v>1.9778497574247746</v>
      </c>
      <c r="AQ561" s="32">
        <f t="shared" si="358"/>
        <v>15.109659148188433</v>
      </c>
      <c r="AR561" s="32">
        <f t="shared" si="359"/>
        <v>41.101278563614244</v>
      </c>
      <c r="AS561" s="32">
        <f t="shared" si="332"/>
        <v>30.855551843276487</v>
      </c>
      <c r="AT561" s="32">
        <f t="shared" si="333"/>
        <v>20.690208000000002</v>
      </c>
      <c r="AU561" s="32">
        <f t="shared" si="334"/>
        <v>0.87084490131571368</v>
      </c>
      <c r="AV561" s="32">
        <f t="shared" si="335"/>
        <v>0.82564061677621348</v>
      </c>
      <c r="AW561" s="32">
        <f t="shared" si="336"/>
        <v>3.5758119816692693</v>
      </c>
      <c r="AX561" s="32">
        <f t="shared" si="337"/>
        <v>2.3527951289901101</v>
      </c>
      <c r="AY561" s="32">
        <f t="shared" si="338"/>
        <v>2.6246014170711094</v>
      </c>
      <c r="AZ561" s="32">
        <f t="shared" si="350"/>
        <v>0.11319129696020538</v>
      </c>
      <c r="BA561" s="32">
        <f t="shared" si="339"/>
        <v>-3.5528262299817737</v>
      </c>
      <c r="BB561" s="32">
        <f t="shared" si="360"/>
        <v>17.13738177001823</v>
      </c>
      <c r="BC561" s="32">
        <f t="shared" si="340"/>
        <v>23.575000000000003</v>
      </c>
      <c r="BD561" s="32">
        <v>0</v>
      </c>
      <c r="BE561" s="32">
        <f t="shared" si="361"/>
        <v>2.9643035553296899</v>
      </c>
      <c r="BF561" s="32">
        <f t="shared" si="362"/>
        <v>0.33970213825858053</v>
      </c>
      <c r="BG561" s="32">
        <f t="shared" si="363"/>
        <v>0.1751875195860296</v>
      </c>
      <c r="BH561" s="32">
        <f t="shared" si="341"/>
        <v>4.3226353795532031</v>
      </c>
      <c r="BI561" s="32">
        <f t="shared" si="342"/>
        <v>0.4394661259697486</v>
      </c>
      <c r="BJ561" s="32">
        <f t="shared" si="320"/>
        <v>4.7621015055229519</v>
      </c>
      <c r="BK561" s="457">
        <f t="shared" si="343"/>
        <v>4.208695375033864</v>
      </c>
    </row>
    <row r="562" spans="1:63" ht="15">
      <c r="A562" s="119"/>
      <c r="B562" s="480">
        <f>Input!B579</f>
        <v>38544</v>
      </c>
      <c r="C562" s="481">
        <v>2</v>
      </c>
      <c r="D562" s="481">
        <f t="shared" si="322"/>
        <v>7</v>
      </c>
      <c r="E562" s="481">
        <f t="shared" si="323"/>
        <v>11</v>
      </c>
      <c r="F562" s="481">
        <f t="shared" si="324"/>
        <v>192</v>
      </c>
      <c r="G562" s="431">
        <v>27.043199999999999</v>
      </c>
      <c r="H562" s="455">
        <v>27.27</v>
      </c>
      <c r="I562" s="455">
        <v>18</v>
      </c>
      <c r="J562" s="455">
        <v>1.47</v>
      </c>
      <c r="K562" s="485"/>
      <c r="L562" s="433">
        <v>93</v>
      </c>
      <c r="M562" s="455">
        <v>78</v>
      </c>
      <c r="N562" s="484">
        <f>Weather!M563</f>
        <v>2.4</v>
      </c>
      <c r="O562" s="481" t="str">
        <f t="shared" si="344"/>
        <v/>
      </c>
      <c r="P562" s="4">
        <f t="shared" si="364"/>
        <v>4.8331833809099534</v>
      </c>
      <c r="Q562" s="169">
        <f t="shared" si="325"/>
        <v>3.6222068356558368</v>
      </c>
      <c r="R562" s="169">
        <f t="shared" si="326"/>
        <v>2.0639892026604851</v>
      </c>
      <c r="S562" s="169">
        <f t="shared" si="327"/>
        <v>2.8253213318115526</v>
      </c>
      <c r="T562" s="169">
        <f t="shared" si="328"/>
        <v>1.9195099584742512</v>
      </c>
      <c r="U562" s="169">
        <f t="shared" ref="U562:U582" si="365">IF(OR(S562="",T562=""),"",(S562+T562)/2)</f>
        <v>2.3724156451429019</v>
      </c>
      <c r="V562" s="169">
        <f t="shared" ref="V562:V582" si="366">IF(U562="","",LN(U562/0.6108)/17.27)</f>
        <v>7.8569449985312331E-2</v>
      </c>
      <c r="W562" s="439">
        <f t="shared" ref="W562:W582" si="367">IF(ISNUMBER(V562),237.3*(V562/(1-V562)),"")</f>
        <v>20.234330716750623</v>
      </c>
      <c r="X562" s="439">
        <f t="shared" si="329"/>
        <v>20.234330716750623</v>
      </c>
      <c r="Y562" s="169"/>
      <c r="Z562" s="119" t="str">
        <f t="shared" si="330"/>
        <v/>
      </c>
      <c r="AA562" s="4" t="str">
        <f t="shared" si="331"/>
        <v/>
      </c>
      <c r="AB562" s="466"/>
      <c r="AC562" s="466"/>
      <c r="AD562" s="466"/>
      <c r="AE562" s="466"/>
      <c r="AF562" s="466"/>
      <c r="AG562" s="466"/>
      <c r="AH562" s="466"/>
      <c r="AI562" s="466"/>
      <c r="AJ562" s="466"/>
      <c r="AK562" s="466"/>
      <c r="AL562" s="466"/>
      <c r="AM562" s="462">
        <f t="shared" si="321"/>
        <v>192</v>
      </c>
      <c r="AN562" s="32">
        <f t="shared" si="345"/>
        <v>0.96744028821457528</v>
      </c>
      <c r="AO562" s="32">
        <f t="shared" si="356"/>
        <v>0.38499227208589176</v>
      </c>
      <c r="AP562" s="32">
        <f t="shared" si="357"/>
        <v>1.9749947467347682</v>
      </c>
      <c r="AQ562" s="32">
        <f t="shared" si="358"/>
        <v>15.087848473121486</v>
      </c>
      <c r="AR562" s="32">
        <f t="shared" si="359"/>
        <v>41.018398520725256</v>
      </c>
      <c r="AS562" s="32">
        <f t="shared" si="332"/>
        <v>30.793332137478867</v>
      </c>
      <c r="AT562" s="32">
        <f t="shared" si="333"/>
        <v>20.823263999999998</v>
      </c>
      <c r="AU562" s="32">
        <f t="shared" si="334"/>
        <v>0.87821609818852486</v>
      </c>
      <c r="AV562" s="32">
        <f t="shared" si="335"/>
        <v>0.83559173255450869</v>
      </c>
      <c r="AW562" s="32">
        <f t="shared" si="336"/>
        <v>3.6222068356558368</v>
      </c>
      <c r="AX562" s="32">
        <f t="shared" si="337"/>
        <v>2.0639892026604851</v>
      </c>
      <c r="AY562" s="32">
        <f t="shared" si="338"/>
        <v>2.3724156451429019</v>
      </c>
      <c r="AZ562" s="32">
        <f t="shared" si="350"/>
        <v>0.12436292840793614</v>
      </c>
      <c r="BA562" s="32">
        <f t="shared" si="339"/>
        <v>-3.9032390546733882</v>
      </c>
      <c r="BB562" s="32">
        <f t="shared" si="360"/>
        <v>16.92002494532661</v>
      </c>
      <c r="BC562" s="32">
        <f t="shared" si="340"/>
        <v>22.634999999999998</v>
      </c>
      <c r="BD562" s="32">
        <v>0</v>
      </c>
      <c r="BE562" s="32">
        <f t="shared" si="361"/>
        <v>2.8430980191581607</v>
      </c>
      <c r="BF562" s="32">
        <f t="shared" si="362"/>
        <v>0.47068237401525881</v>
      </c>
      <c r="BG562" s="32">
        <f t="shared" si="363"/>
        <v>0.16671187218048628</v>
      </c>
      <c r="BH562" s="32">
        <f t="shared" si="341"/>
        <v>4.3044597348560707</v>
      </c>
      <c r="BI562" s="32">
        <f t="shared" si="342"/>
        <v>0.52872364605388289</v>
      </c>
      <c r="BJ562" s="32">
        <f t="shared" ref="BJ562:BJ582" si="368">IF(BH562="","",IF(BI562="","",BH562+BI562))</f>
        <v>4.8331833809099534</v>
      </c>
      <c r="BK562" s="457">
        <f t="shared" si="343"/>
        <v>4.7406486208620358</v>
      </c>
    </row>
    <row r="563" spans="1:63" ht="15">
      <c r="A563" s="119"/>
      <c r="B563" s="480">
        <f>Input!B580</f>
        <v>38545</v>
      </c>
      <c r="C563" s="481">
        <v>2</v>
      </c>
      <c r="D563" s="481">
        <f t="shared" si="322"/>
        <v>7</v>
      </c>
      <c r="E563" s="481">
        <f t="shared" si="323"/>
        <v>12</v>
      </c>
      <c r="F563" s="481">
        <f t="shared" si="324"/>
        <v>193</v>
      </c>
      <c r="G563" s="431">
        <v>26.6112</v>
      </c>
      <c r="H563" s="455">
        <v>27.33</v>
      </c>
      <c r="I563" s="455">
        <v>20.7</v>
      </c>
      <c r="J563" s="455">
        <v>2.4700000000000002</v>
      </c>
      <c r="K563" s="485"/>
      <c r="L563" s="433">
        <v>94</v>
      </c>
      <c r="M563" s="455">
        <v>66</v>
      </c>
      <c r="N563" s="484">
        <f>Weather!M564</f>
        <v>0.8</v>
      </c>
      <c r="O563" s="481" t="str">
        <f t="shared" si="344"/>
        <v/>
      </c>
      <c r="P563" s="4">
        <f t="shared" si="364"/>
        <v>5.1474550835259034</v>
      </c>
      <c r="Q563" s="169">
        <f t="shared" si="325"/>
        <v>3.6349506006680565</v>
      </c>
      <c r="R563" s="169">
        <f t="shared" si="326"/>
        <v>2.4415438714941016</v>
      </c>
      <c r="S563" s="169">
        <f t="shared" si="327"/>
        <v>2.3990673964409175</v>
      </c>
      <c r="T563" s="169">
        <f t="shared" si="328"/>
        <v>2.2950512392044553</v>
      </c>
      <c r="U563" s="169">
        <f t="shared" si="365"/>
        <v>2.3470593178226862</v>
      </c>
      <c r="V563" s="169">
        <f t="shared" si="366"/>
        <v>7.7947243548256148E-2</v>
      </c>
      <c r="W563" s="439">
        <f t="shared" si="367"/>
        <v>20.060545087659772</v>
      </c>
      <c r="X563" s="439">
        <f t="shared" si="329"/>
        <v>20.060545087659772</v>
      </c>
      <c r="Y563" s="169"/>
      <c r="Z563" s="119" t="str">
        <f t="shared" si="330"/>
        <v/>
      </c>
      <c r="AA563" s="4" t="str">
        <f t="shared" si="331"/>
        <v/>
      </c>
      <c r="AB563" s="466"/>
      <c r="AC563" s="466"/>
      <c r="AD563" s="466"/>
      <c r="AE563" s="466"/>
      <c r="AF563" s="466"/>
      <c r="AG563" s="466"/>
      <c r="AH563" s="466"/>
      <c r="AI563" s="466"/>
      <c r="AJ563" s="466"/>
      <c r="AK563" s="466"/>
      <c r="AL563" s="466"/>
      <c r="AM563" s="462">
        <f t="shared" ref="AM563:AM582" si="369">F563</f>
        <v>193</v>
      </c>
      <c r="AN563" s="32">
        <f t="shared" si="345"/>
        <v>0.96753759330547084</v>
      </c>
      <c r="AO563" s="32">
        <f t="shared" si="356"/>
        <v>0.38255866892165535</v>
      </c>
      <c r="AP563" s="32">
        <f t="shared" si="357"/>
        <v>1.972008812557402</v>
      </c>
      <c r="AQ563" s="32">
        <f t="shared" si="358"/>
        <v>15.065037616285894</v>
      </c>
      <c r="AR563" s="32">
        <f t="shared" si="359"/>
        <v>40.931608055969761</v>
      </c>
      <c r="AS563" s="32">
        <f t="shared" si="332"/>
        <v>30.728176799777621</v>
      </c>
      <c r="AT563" s="32">
        <f t="shared" si="333"/>
        <v>20.490624</v>
      </c>
      <c r="AU563" s="32">
        <f t="shared" si="334"/>
        <v>0.86601948997483591</v>
      </c>
      <c r="AV563" s="32">
        <f t="shared" si="335"/>
        <v>0.81912631146602866</v>
      </c>
      <c r="AW563" s="32">
        <f t="shared" si="336"/>
        <v>3.6349506006680565</v>
      </c>
      <c r="AX563" s="32">
        <f t="shared" si="337"/>
        <v>2.4415438714941016</v>
      </c>
      <c r="AY563" s="32">
        <f t="shared" si="338"/>
        <v>2.3470593178226862</v>
      </c>
      <c r="AZ563" s="32">
        <f t="shared" si="350"/>
        <v>0.12551838626743633</v>
      </c>
      <c r="BA563" s="32">
        <f t="shared" si="339"/>
        <v>-3.9315978388576394</v>
      </c>
      <c r="BB563" s="32">
        <f t="shared" si="360"/>
        <v>16.559026161142363</v>
      </c>
      <c r="BC563" s="32">
        <f t="shared" si="340"/>
        <v>24.015000000000001</v>
      </c>
      <c r="BD563" s="32">
        <v>0</v>
      </c>
      <c r="BE563" s="32">
        <f t="shared" si="361"/>
        <v>3.0382472360810793</v>
      </c>
      <c r="BF563" s="32">
        <f t="shared" si="362"/>
        <v>0.6911879182583931</v>
      </c>
      <c r="BG563" s="32">
        <f t="shared" si="363"/>
        <v>0.17927801439390528</v>
      </c>
      <c r="BH563" s="32">
        <f t="shared" si="341"/>
        <v>4.0006868956207517</v>
      </c>
      <c r="BI563" s="32">
        <f t="shared" si="342"/>
        <v>1.1467681879051512</v>
      </c>
      <c r="BJ563" s="32">
        <f t="shared" si="368"/>
        <v>5.1474550835259034</v>
      </c>
      <c r="BK563" s="457">
        <f t="shared" si="343"/>
        <v>4.1372277006907634</v>
      </c>
    </row>
    <row r="564" spans="1:63" ht="15">
      <c r="A564" s="119"/>
      <c r="B564" s="480">
        <f>Input!B581</f>
        <v>38546</v>
      </c>
      <c r="C564" s="481">
        <v>2</v>
      </c>
      <c r="D564" s="481">
        <f t="shared" ref="D564:D582" si="370">MONTH(B564)</f>
        <v>7</v>
      </c>
      <c r="E564" s="481">
        <f t="shared" ref="E564:E582" si="371">DAY(B564)</f>
        <v>13</v>
      </c>
      <c r="F564" s="481">
        <f t="shared" ref="F564:F582" si="372">B564-DATE(YEAR(B564)-1,12,31)</f>
        <v>194</v>
      </c>
      <c r="G564" s="431">
        <v>25.315200000000001</v>
      </c>
      <c r="H564" s="455">
        <v>26.48</v>
      </c>
      <c r="I564" s="455">
        <v>18.8</v>
      </c>
      <c r="J564" s="455">
        <v>1.7</v>
      </c>
      <c r="K564" s="485"/>
      <c r="L564" s="433">
        <v>100</v>
      </c>
      <c r="M564" s="455">
        <v>80</v>
      </c>
      <c r="N564" s="484">
        <f>Weather!M565</f>
        <v>0</v>
      </c>
      <c r="O564" s="481" t="str">
        <f t="shared" si="344"/>
        <v/>
      </c>
      <c r="P564" s="4">
        <f t="shared" si="364"/>
        <v>4.4444365747997825</v>
      </c>
      <c r="Q564" s="169">
        <f t="shared" si="325"/>
        <v>3.458006819720282</v>
      </c>
      <c r="R564" s="169">
        <f t="shared" si="326"/>
        <v>2.1701248415136294</v>
      </c>
      <c r="S564" s="169">
        <f t="shared" si="327"/>
        <v>2.7664054557762259</v>
      </c>
      <c r="T564" s="169">
        <f t="shared" si="328"/>
        <v>2.1701248415136294</v>
      </c>
      <c r="U564" s="169">
        <f t="shared" si="365"/>
        <v>2.4682651486449276</v>
      </c>
      <c r="V564" s="169">
        <f t="shared" si="366"/>
        <v>8.0862839637014294E-2</v>
      </c>
      <c r="W564" s="439">
        <f t="shared" si="367"/>
        <v>20.876918781398707</v>
      </c>
      <c r="X564" s="439">
        <f t="shared" si="329"/>
        <v>20.876918781398707</v>
      </c>
      <c r="Y564" s="169"/>
      <c r="Z564" s="119" t="str">
        <f t="shared" si="330"/>
        <v/>
      </c>
      <c r="AA564" s="4" t="str">
        <f t="shared" si="331"/>
        <v/>
      </c>
      <c r="AB564" s="466"/>
      <c r="AC564" s="466"/>
      <c r="AD564" s="466"/>
      <c r="AE564" s="466"/>
      <c r="AF564" s="466"/>
      <c r="AG564" s="466"/>
      <c r="AH564" s="466"/>
      <c r="AI564" s="466"/>
      <c r="AJ564" s="466"/>
      <c r="AK564" s="466"/>
      <c r="AL564" s="466"/>
      <c r="AM564" s="462">
        <f t="shared" si="369"/>
        <v>194</v>
      </c>
      <c r="AN564" s="32">
        <f t="shared" si="345"/>
        <v>0.96764451770806614</v>
      </c>
      <c r="AO564" s="32">
        <f t="shared" si="356"/>
        <v>0.38001170536752521</v>
      </c>
      <c r="AP564" s="32">
        <f t="shared" si="357"/>
        <v>1.9688940782328888</v>
      </c>
      <c r="AQ564" s="32">
        <f t="shared" si="358"/>
        <v>15.041242798806007</v>
      </c>
      <c r="AR564" s="32">
        <f t="shared" si="359"/>
        <v>40.840922381598958</v>
      </c>
      <c r="AS564" s="32">
        <f t="shared" si="332"/>
        <v>30.660097250313971</v>
      </c>
      <c r="AT564" s="32">
        <f t="shared" si="333"/>
        <v>19.492704</v>
      </c>
      <c r="AU564" s="32">
        <f t="shared" si="334"/>
        <v>0.82567252782411715</v>
      </c>
      <c r="AV564" s="32">
        <f t="shared" si="335"/>
        <v>0.76465791256255822</v>
      </c>
      <c r="AW564" s="32">
        <f t="shared" si="336"/>
        <v>3.458006819720282</v>
      </c>
      <c r="AX564" s="32">
        <f t="shared" si="337"/>
        <v>2.1701248415136294</v>
      </c>
      <c r="AY564" s="32">
        <f t="shared" si="338"/>
        <v>2.4682651486449272</v>
      </c>
      <c r="AZ564" s="32">
        <f t="shared" si="350"/>
        <v>0.1200500126996126</v>
      </c>
      <c r="BA564" s="32">
        <f t="shared" si="339"/>
        <v>-3.4466595361854515</v>
      </c>
      <c r="BB564" s="32">
        <f t="shared" si="360"/>
        <v>16.04604446381455</v>
      </c>
      <c r="BC564" s="32">
        <f t="shared" si="340"/>
        <v>22.64</v>
      </c>
      <c r="BD564" s="32">
        <v>0</v>
      </c>
      <c r="BE564" s="32">
        <f t="shared" si="361"/>
        <v>2.8140658306169559</v>
      </c>
      <c r="BF564" s="32">
        <f t="shared" si="362"/>
        <v>0.34580068197202873</v>
      </c>
      <c r="BG564" s="32">
        <f t="shared" si="363"/>
        <v>0.16675602235465686</v>
      </c>
      <c r="BH564" s="32">
        <f t="shared" si="341"/>
        <v>4.0039443220921553</v>
      </c>
      <c r="BI564" s="32">
        <f t="shared" si="342"/>
        <v>0.4404922527076276</v>
      </c>
      <c r="BJ564" s="32">
        <f t="shared" si="368"/>
        <v>4.4444365747997825</v>
      </c>
      <c r="BK564" s="457">
        <f t="shared" si="343"/>
        <v>4.2968386963405072</v>
      </c>
    </row>
    <row r="565" spans="1:63" ht="15">
      <c r="A565" s="119"/>
      <c r="B565" s="480">
        <f>Input!B582</f>
        <v>38547</v>
      </c>
      <c r="C565" s="481">
        <v>2</v>
      </c>
      <c r="D565" s="481">
        <f t="shared" si="370"/>
        <v>7</v>
      </c>
      <c r="E565" s="481">
        <f t="shared" si="371"/>
        <v>14</v>
      </c>
      <c r="F565" s="481">
        <f t="shared" si="372"/>
        <v>195</v>
      </c>
      <c r="G565" s="431">
        <v>24.796800000000001</v>
      </c>
      <c r="H565" s="455">
        <v>24.96</v>
      </c>
      <c r="I565" s="455">
        <v>18.2</v>
      </c>
      <c r="J565" s="455">
        <v>1.83</v>
      </c>
      <c r="K565" s="485"/>
      <c r="L565" s="433">
        <v>100</v>
      </c>
      <c r="M565" s="455">
        <v>83</v>
      </c>
      <c r="N565" s="484">
        <f>Weather!M566</f>
        <v>0</v>
      </c>
      <c r="O565" s="481" t="str">
        <f t="shared" si="344"/>
        <v/>
      </c>
      <c r="P565" s="4">
        <f t="shared" si="364"/>
        <v>4.154374970844211</v>
      </c>
      <c r="Q565" s="169">
        <f t="shared" si="325"/>
        <v>3.1602379654349582</v>
      </c>
      <c r="R565" s="169">
        <f t="shared" si="326"/>
        <v>2.0900878010879693</v>
      </c>
      <c r="S565" s="169">
        <f t="shared" si="327"/>
        <v>2.6229975113110151</v>
      </c>
      <c r="T565" s="169">
        <f t="shared" si="328"/>
        <v>2.0900878010879693</v>
      </c>
      <c r="U565" s="169">
        <f t="shared" si="365"/>
        <v>2.3565426561994922</v>
      </c>
      <c r="V565" s="169">
        <f t="shared" si="366"/>
        <v>7.8180733894715332E-2</v>
      </c>
      <c r="W565" s="439">
        <f t="shared" si="367"/>
        <v>20.125732706368733</v>
      </c>
      <c r="X565" s="439">
        <f t="shared" si="329"/>
        <v>20.125732706368733</v>
      </c>
      <c r="Y565" s="169"/>
      <c r="Z565" s="119" t="str">
        <f t="shared" si="330"/>
        <v/>
      </c>
      <c r="AA565" s="4" t="str">
        <f t="shared" si="331"/>
        <v/>
      </c>
      <c r="AB565" s="466"/>
      <c r="AC565" s="466"/>
      <c r="AD565" s="466"/>
      <c r="AE565" s="466"/>
      <c r="AF565" s="466"/>
      <c r="AG565" s="466"/>
      <c r="AH565" s="466"/>
      <c r="AI565" s="466"/>
      <c r="AJ565" s="466"/>
      <c r="AK565" s="466"/>
      <c r="AL565" s="466"/>
      <c r="AM565" s="462">
        <f t="shared" si="369"/>
        <v>195</v>
      </c>
      <c r="AN565" s="32">
        <f t="shared" si="345"/>
        <v>0.96776102973835298</v>
      </c>
      <c r="AO565" s="32">
        <f t="shared" si="356"/>
        <v>0.37735213614377028</v>
      </c>
      <c r="AP565" s="32">
        <f t="shared" si="357"/>
        <v>1.9656527267625852</v>
      </c>
      <c r="AQ565" s="32">
        <f t="shared" si="358"/>
        <v>15.016480697583752</v>
      </c>
      <c r="AR565" s="32">
        <f t="shared" si="359"/>
        <v>40.746357301881098</v>
      </c>
      <c r="AS565" s="32">
        <f t="shared" si="332"/>
        <v>30.589105353668181</v>
      </c>
      <c r="AT565" s="32">
        <f t="shared" si="333"/>
        <v>19.093536</v>
      </c>
      <c r="AU565" s="32">
        <f t="shared" si="334"/>
        <v>0.8106415572898219</v>
      </c>
      <c r="AV565" s="32">
        <f t="shared" si="335"/>
        <v>0.74436610234125966</v>
      </c>
      <c r="AW565" s="32">
        <f t="shared" si="336"/>
        <v>3.1602379654349582</v>
      </c>
      <c r="AX565" s="32">
        <f t="shared" si="337"/>
        <v>2.0900878010879693</v>
      </c>
      <c r="AY565" s="32">
        <f t="shared" si="338"/>
        <v>2.3565426561994922</v>
      </c>
      <c r="AZ565" s="32">
        <f t="shared" si="350"/>
        <v>0.12508551453773514</v>
      </c>
      <c r="BA565" s="32">
        <f t="shared" si="339"/>
        <v>-3.4453205980650456</v>
      </c>
      <c r="BB565" s="32">
        <f t="shared" si="360"/>
        <v>15.648215401934955</v>
      </c>
      <c r="BC565" s="32">
        <f t="shared" si="340"/>
        <v>21.58</v>
      </c>
      <c r="BD565" s="32">
        <v>0</v>
      </c>
      <c r="BE565" s="32">
        <f t="shared" si="361"/>
        <v>2.6251628832614635</v>
      </c>
      <c r="BF565" s="32">
        <f t="shared" si="362"/>
        <v>0.26862022706197131</v>
      </c>
      <c r="BG565" s="32">
        <f t="shared" si="363"/>
        <v>0.15761416125645844</v>
      </c>
      <c r="BH565" s="32">
        <f t="shared" si="341"/>
        <v>3.7761391370088511</v>
      </c>
      <c r="BI565" s="32">
        <f t="shared" si="342"/>
        <v>0.3782358338353598</v>
      </c>
      <c r="BJ565" s="32">
        <f t="shared" si="368"/>
        <v>4.154374970844211</v>
      </c>
      <c r="BK565" s="457">
        <f t="shared" si="343"/>
        <v>3.916513253990817</v>
      </c>
    </row>
    <row r="566" spans="1:63" ht="15">
      <c r="A566" s="119"/>
      <c r="B566" s="480">
        <f>Input!B583</f>
        <v>38548</v>
      </c>
      <c r="C566" s="481">
        <v>2</v>
      </c>
      <c r="D566" s="481">
        <f t="shared" si="370"/>
        <v>7</v>
      </c>
      <c r="E566" s="481">
        <f t="shared" si="371"/>
        <v>15</v>
      </c>
      <c r="F566" s="481">
        <f t="shared" si="372"/>
        <v>196</v>
      </c>
      <c r="G566" s="431">
        <v>25.315200000000001</v>
      </c>
      <c r="H566" s="455">
        <v>26.34</v>
      </c>
      <c r="I566" s="455">
        <v>18.600000000000001</v>
      </c>
      <c r="J566" s="455">
        <v>2.39</v>
      </c>
      <c r="K566" s="485"/>
      <c r="L566" s="433">
        <v>94</v>
      </c>
      <c r="M566" s="455">
        <v>82</v>
      </c>
      <c r="N566" s="484">
        <f>Weather!M567</f>
        <v>2.6</v>
      </c>
      <c r="O566" s="481" t="str">
        <f t="shared" si="344"/>
        <v/>
      </c>
      <c r="P566" s="4">
        <f t="shared" si="364"/>
        <v>4.3856695518355373</v>
      </c>
      <c r="Q566" s="169">
        <f t="shared" si="325"/>
        <v>3.4295949044008585</v>
      </c>
      <c r="R566" s="169">
        <f t="shared" si="326"/>
        <v>2.143152914469288</v>
      </c>
      <c r="S566" s="169">
        <f t="shared" si="327"/>
        <v>2.8122678216087036</v>
      </c>
      <c r="T566" s="169">
        <f t="shared" si="328"/>
        <v>2.0145637396011304</v>
      </c>
      <c r="U566" s="169">
        <f t="shared" si="365"/>
        <v>2.4134157806049172</v>
      </c>
      <c r="V566" s="169">
        <f t="shared" si="366"/>
        <v>7.9561597337446832E-2</v>
      </c>
      <c r="W566" s="439">
        <f t="shared" si="367"/>
        <v>20.511928873851886</v>
      </c>
      <c r="X566" s="439">
        <f t="shared" si="329"/>
        <v>20.511928873851886</v>
      </c>
      <c r="Y566" s="169"/>
      <c r="Z566" s="119" t="str">
        <f t="shared" si="330"/>
        <v/>
      </c>
      <c r="AA566" s="4" t="str">
        <f t="shared" si="331"/>
        <v/>
      </c>
      <c r="AB566" s="466"/>
      <c r="AC566" s="466"/>
      <c r="AD566" s="466"/>
      <c r="AE566" s="466"/>
      <c r="AF566" s="466"/>
      <c r="AG566" s="466"/>
      <c r="AH566" s="466"/>
      <c r="AI566" s="466"/>
      <c r="AJ566" s="466"/>
      <c r="AK566" s="466"/>
      <c r="AL566" s="466"/>
      <c r="AM566" s="462">
        <f t="shared" si="369"/>
        <v>196</v>
      </c>
      <c r="AN566" s="32">
        <f t="shared" si="345"/>
        <v>0.96788709487130231</v>
      </c>
      <c r="AO566" s="32">
        <f t="shared" si="356"/>
        <v>0.37458074933814994</v>
      </c>
      <c r="AP566" s="32">
        <f t="shared" si="357"/>
        <v>1.9622869957513667</v>
      </c>
      <c r="AQ566" s="32">
        <f t="shared" si="358"/>
        <v>14.990768406661202</v>
      </c>
      <c r="AR566" s="32">
        <f t="shared" si="359"/>
        <v>40.647929216929853</v>
      </c>
      <c r="AS566" s="32">
        <f t="shared" si="332"/>
        <v>30.515213421733581</v>
      </c>
      <c r="AT566" s="32">
        <f t="shared" si="333"/>
        <v>19.492704</v>
      </c>
      <c r="AU566" s="32">
        <f t="shared" si="334"/>
        <v>0.82959275591924841</v>
      </c>
      <c r="AV566" s="32">
        <f t="shared" si="335"/>
        <v>0.76995022049098549</v>
      </c>
      <c r="AW566" s="32">
        <f t="shared" si="336"/>
        <v>3.4295949044008585</v>
      </c>
      <c r="AX566" s="32">
        <f t="shared" si="337"/>
        <v>2.143152914469288</v>
      </c>
      <c r="AY566" s="32">
        <f t="shared" si="338"/>
        <v>2.4134157806049172</v>
      </c>
      <c r="AZ566" s="32">
        <f t="shared" si="350"/>
        <v>0.12250758794878297</v>
      </c>
      <c r="BA566" s="32">
        <f t="shared" si="339"/>
        <v>-3.5334855620328027</v>
      </c>
      <c r="BB566" s="32">
        <f t="shared" si="360"/>
        <v>15.959218437967197</v>
      </c>
      <c r="BC566" s="32">
        <f t="shared" si="340"/>
        <v>22.47</v>
      </c>
      <c r="BD566" s="32">
        <v>0</v>
      </c>
      <c r="BE566" s="32">
        <f t="shared" si="361"/>
        <v>2.7863739094350732</v>
      </c>
      <c r="BF566" s="32">
        <f t="shared" si="362"/>
        <v>0.372958128830156</v>
      </c>
      <c r="BG566" s="32">
        <f t="shared" si="363"/>
        <v>0.16526044185987457</v>
      </c>
      <c r="BH566" s="32">
        <f t="shared" si="341"/>
        <v>3.7505603492066952</v>
      </c>
      <c r="BI566" s="32">
        <f t="shared" si="342"/>
        <v>0.6351092026288423</v>
      </c>
      <c r="BJ566" s="32">
        <f t="shared" si="368"/>
        <v>4.3856695518355373</v>
      </c>
      <c r="BK566" s="457">
        <f t="shared" si="343"/>
        <v>4.2751591552065467</v>
      </c>
    </row>
    <row r="567" spans="1:63" ht="15">
      <c r="A567" s="119"/>
      <c r="B567" s="480">
        <f>Input!B584</f>
        <v>38549</v>
      </c>
      <c r="C567" s="481">
        <v>2</v>
      </c>
      <c r="D567" s="481">
        <f t="shared" si="370"/>
        <v>7</v>
      </c>
      <c r="E567" s="481">
        <f t="shared" si="371"/>
        <v>16</v>
      </c>
      <c r="F567" s="481">
        <f t="shared" si="372"/>
        <v>197</v>
      </c>
      <c r="G567" s="431">
        <v>22.896000000000001</v>
      </c>
      <c r="H567" s="455">
        <v>25.08</v>
      </c>
      <c r="I567" s="455">
        <v>18.2</v>
      </c>
      <c r="J567" s="455">
        <v>2.75</v>
      </c>
      <c r="K567" s="485"/>
      <c r="L567" s="433">
        <v>76</v>
      </c>
      <c r="M567" s="455">
        <v>77</v>
      </c>
      <c r="N567" s="484">
        <f>Weather!M568</f>
        <v>0</v>
      </c>
      <c r="O567" s="481" t="str">
        <f t="shared" si="344"/>
        <v/>
      </c>
      <c r="P567" s="4">
        <f t="shared" si="364"/>
        <v>4.3782405218811054</v>
      </c>
      <c r="Q567" s="169">
        <f t="shared" si="325"/>
        <v>3.1829042921524269</v>
      </c>
      <c r="R567" s="169">
        <f t="shared" si="326"/>
        <v>2.0900878010879693</v>
      </c>
      <c r="S567" s="169">
        <f t="shared" si="327"/>
        <v>2.4508363049573689</v>
      </c>
      <c r="T567" s="169">
        <f t="shared" si="328"/>
        <v>1.5884667288268568</v>
      </c>
      <c r="U567" s="169">
        <f t="shared" si="365"/>
        <v>2.0196515168921128</v>
      </c>
      <c r="V567" s="169">
        <f t="shared" si="366"/>
        <v>6.9247868313727021E-2</v>
      </c>
      <c r="W567" s="439">
        <f t="shared" si="367"/>
        <v>17.655096981702432</v>
      </c>
      <c r="X567" s="439">
        <f t="shared" si="329"/>
        <v>17.655096981702432</v>
      </c>
      <c r="Y567" s="169"/>
      <c r="Z567" s="119" t="str">
        <f t="shared" si="330"/>
        <v/>
      </c>
      <c r="AA567" s="4" t="str">
        <f t="shared" si="331"/>
        <v/>
      </c>
      <c r="AB567" s="466"/>
      <c r="AC567" s="466"/>
      <c r="AD567" s="466"/>
      <c r="AE567" s="466"/>
      <c r="AF567" s="466"/>
      <c r="AG567" s="466"/>
      <c r="AH567" s="466"/>
      <c r="AI567" s="466"/>
      <c r="AJ567" s="466"/>
      <c r="AK567" s="466"/>
      <c r="AL567" s="466"/>
      <c r="AM567" s="462">
        <f t="shared" si="369"/>
        <v>197</v>
      </c>
      <c r="AN567" s="32">
        <f t="shared" si="345"/>
        <v>0.96802267575109457</v>
      </c>
      <c r="AO567" s="32">
        <f t="shared" si="356"/>
        <v>0.37169836617238611</v>
      </c>
      <c r="AP567" s="32">
        <f t="shared" si="357"/>
        <v>1.9587991723536484</v>
      </c>
      <c r="AQ567" s="32">
        <f t="shared" si="358"/>
        <v>14.964123398611036</v>
      </c>
      <c r="AR567" s="32">
        <f t="shared" si="359"/>
        <v>40.545655127729688</v>
      </c>
      <c r="AS567" s="32">
        <f t="shared" si="332"/>
        <v>30.438434217489235</v>
      </c>
      <c r="AT567" s="32">
        <f t="shared" si="333"/>
        <v>17.629920000000002</v>
      </c>
      <c r="AU567" s="32">
        <f t="shared" si="334"/>
        <v>0.75220689199723945</v>
      </c>
      <c r="AV567" s="32">
        <f t="shared" si="335"/>
        <v>0.66547930419627332</v>
      </c>
      <c r="AW567" s="32">
        <f t="shared" si="336"/>
        <v>3.1829042921524269</v>
      </c>
      <c r="AX567" s="32">
        <f t="shared" si="337"/>
        <v>2.0900878010879693</v>
      </c>
      <c r="AY567" s="32">
        <f t="shared" si="338"/>
        <v>2.0196515168921128</v>
      </c>
      <c r="AZ567" s="32">
        <f t="shared" si="350"/>
        <v>0.14103977852071686</v>
      </c>
      <c r="BA567" s="32">
        <f t="shared" si="339"/>
        <v>-3.4759853563161895</v>
      </c>
      <c r="BB567" s="32">
        <f t="shared" si="360"/>
        <v>14.153934643683812</v>
      </c>
      <c r="BC567" s="32">
        <f t="shared" si="340"/>
        <v>21.64</v>
      </c>
      <c r="BD567" s="32">
        <v>0</v>
      </c>
      <c r="BE567" s="32">
        <f t="shared" si="361"/>
        <v>2.6364960466201981</v>
      </c>
      <c r="BF567" s="32">
        <f t="shared" si="362"/>
        <v>0.61684452972808534</v>
      </c>
      <c r="BG567" s="32">
        <f t="shared" si="363"/>
        <v>0.15812006805066162</v>
      </c>
      <c r="BH567" s="32">
        <f t="shared" si="341"/>
        <v>3.1707117661069049</v>
      </c>
      <c r="BI567" s="32">
        <f t="shared" si="342"/>
        <v>1.2075287557742</v>
      </c>
      <c r="BJ567" s="32">
        <f t="shared" si="368"/>
        <v>4.3782405218811054</v>
      </c>
      <c r="BK567" s="457">
        <f t="shared" si="343"/>
        <v>3.9376507983392424</v>
      </c>
    </row>
    <row r="568" spans="1:63" ht="15">
      <c r="A568" s="119"/>
      <c r="B568" s="480">
        <f>Input!B585</f>
        <v>38550</v>
      </c>
      <c r="C568" s="481">
        <v>2</v>
      </c>
      <c r="D568" s="481">
        <f t="shared" si="370"/>
        <v>7</v>
      </c>
      <c r="E568" s="481">
        <f t="shared" si="371"/>
        <v>17</v>
      </c>
      <c r="F568" s="481">
        <f t="shared" si="372"/>
        <v>198</v>
      </c>
      <c r="G568" s="431">
        <v>26.352</v>
      </c>
      <c r="H568" s="455">
        <v>23.95</v>
      </c>
      <c r="I568" s="455">
        <v>17.5</v>
      </c>
      <c r="J568" s="455">
        <v>2.0299999999999998</v>
      </c>
      <c r="K568" s="485"/>
      <c r="L568" s="433">
        <v>85</v>
      </c>
      <c r="M568" s="455">
        <v>71</v>
      </c>
      <c r="N568" s="484">
        <f>Weather!M569</f>
        <v>0</v>
      </c>
      <c r="O568" s="481" t="str">
        <f t="shared" si="344"/>
        <v/>
      </c>
      <c r="P568" s="4">
        <f t="shared" si="364"/>
        <v>4.6146636278569044</v>
      </c>
      <c r="Q568" s="169">
        <f t="shared" si="325"/>
        <v>2.9749741414014519</v>
      </c>
      <c r="R568" s="169">
        <f t="shared" si="326"/>
        <v>1.9999869748999506</v>
      </c>
      <c r="S568" s="169">
        <f t="shared" si="327"/>
        <v>2.1122316403950308</v>
      </c>
      <c r="T568" s="169">
        <f t="shared" si="328"/>
        <v>1.6999889286649579</v>
      </c>
      <c r="U568" s="169">
        <f t="shared" si="365"/>
        <v>1.9061102845299942</v>
      </c>
      <c r="V568" s="169">
        <f t="shared" si="366"/>
        <v>6.5897531613424445E-2</v>
      </c>
      <c r="W568" s="439">
        <f t="shared" si="367"/>
        <v>16.740651888946829</v>
      </c>
      <c r="X568" s="439">
        <f t="shared" si="329"/>
        <v>16.740651888946829</v>
      </c>
      <c r="Y568" s="169"/>
      <c r="Z568" s="119" t="str">
        <f t="shared" si="330"/>
        <v/>
      </c>
      <c r="AA568" s="4" t="str">
        <f t="shared" si="331"/>
        <v/>
      </c>
      <c r="AB568" s="466"/>
      <c r="AC568" s="466"/>
      <c r="AD568" s="466"/>
      <c r="AE568" s="466"/>
      <c r="AF568" s="466"/>
      <c r="AG568" s="466"/>
      <c r="AH568" s="466"/>
      <c r="AI568" s="466"/>
      <c r="AJ568" s="466"/>
      <c r="AK568" s="466"/>
      <c r="AL568" s="466"/>
      <c r="AM568" s="462">
        <f t="shared" si="369"/>
        <v>198</v>
      </c>
      <c r="AN568" s="32">
        <f t="shared" si="345"/>
        <v>0.96816773220218899</v>
      </c>
      <c r="AO568" s="32">
        <f t="shared" si="356"/>
        <v>0.36870584075881746</v>
      </c>
      <c r="AP568" s="32">
        <f t="shared" si="357"/>
        <v>1.9551915882438362</v>
      </c>
      <c r="AQ568" s="32">
        <f t="shared" si="358"/>
        <v>14.936563486113611</v>
      </c>
      <c r="AR568" s="32">
        <f t="shared" si="359"/>
        <v>40.439552642419173</v>
      </c>
      <c r="AS568" s="32">
        <f t="shared" si="332"/>
        <v>30.358780959716924</v>
      </c>
      <c r="AT568" s="32">
        <f t="shared" si="333"/>
        <v>20.291040000000002</v>
      </c>
      <c r="AU568" s="32">
        <f t="shared" si="334"/>
        <v>0.86801904315481171</v>
      </c>
      <c r="AV568" s="32">
        <f t="shared" si="335"/>
        <v>0.82182570825899581</v>
      </c>
      <c r="AW568" s="32">
        <f t="shared" si="336"/>
        <v>2.9749741414014519</v>
      </c>
      <c r="AX568" s="32">
        <f t="shared" si="337"/>
        <v>1.9999869748999506</v>
      </c>
      <c r="AY568" s="32">
        <f t="shared" si="338"/>
        <v>1.906110284529994</v>
      </c>
      <c r="AZ568" s="32">
        <f t="shared" si="350"/>
        <v>0.14671326590583647</v>
      </c>
      <c r="BA568" s="32">
        <f t="shared" si="339"/>
        <v>-4.4097042292441628</v>
      </c>
      <c r="BB568" s="32">
        <f t="shared" si="360"/>
        <v>15.88133577075584</v>
      </c>
      <c r="BC568" s="32">
        <f t="shared" si="340"/>
        <v>20.725000000000001</v>
      </c>
      <c r="BD568" s="32">
        <v>0</v>
      </c>
      <c r="BE568" s="32">
        <f t="shared" si="361"/>
        <v>2.4874805581507013</v>
      </c>
      <c r="BF568" s="32">
        <f t="shared" si="362"/>
        <v>0.58137027362070737</v>
      </c>
      <c r="BG568" s="32">
        <f t="shared" si="363"/>
        <v>0.15055225742754733</v>
      </c>
      <c r="BH568" s="32">
        <f t="shared" si="341"/>
        <v>3.6953267464561086</v>
      </c>
      <c r="BI568" s="32">
        <f t="shared" si="342"/>
        <v>0.91933688140079595</v>
      </c>
      <c r="BJ568" s="32">
        <f t="shared" si="368"/>
        <v>4.6146636278569044</v>
      </c>
      <c r="BK568" s="457">
        <f t="shared" si="343"/>
        <v>3.7144164924151521</v>
      </c>
    </row>
    <row r="569" spans="1:63" ht="15">
      <c r="A569" s="119"/>
      <c r="B569" s="480">
        <f>Input!B586</f>
        <v>38551</v>
      </c>
      <c r="C569" s="481">
        <v>2</v>
      </c>
      <c r="D569" s="481">
        <f t="shared" si="370"/>
        <v>7</v>
      </c>
      <c r="E569" s="481">
        <f t="shared" si="371"/>
        <v>18</v>
      </c>
      <c r="F569" s="481">
        <f t="shared" si="372"/>
        <v>199</v>
      </c>
      <c r="G569" s="431">
        <v>27.475200000000001</v>
      </c>
      <c r="H569" s="455">
        <v>24.09</v>
      </c>
      <c r="I569" s="455">
        <v>14.5</v>
      </c>
      <c r="J569" s="455">
        <v>1.31</v>
      </c>
      <c r="K569" s="485"/>
      <c r="L569" s="433">
        <v>88</v>
      </c>
      <c r="M569" s="455">
        <v>79</v>
      </c>
      <c r="N569" s="484">
        <f>Weather!M570</f>
        <v>0</v>
      </c>
      <c r="O569" s="481" t="str">
        <f t="shared" si="344"/>
        <v/>
      </c>
      <c r="P569" s="4">
        <f t="shared" si="364"/>
        <v>4.4565907017106809</v>
      </c>
      <c r="Q569" s="169">
        <f t="shared" si="325"/>
        <v>3.0000746051789302</v>
      </c>
      <c r="R569" s="169">
        <f t="shared" si="326"/>
        <v>1.6512191555446767</v>
      </c>
      <c r="S569" s="169">
        <f t="shared" si="327"/>
        <v>2.370058938091355</v>
      </c>
      <c r="T569" s="169">
        <f t="shared" si="328"/>
        <v>1.4530728568793154</v>
      </c>
      <c r="U569" s="169">
        <f t="shared" si="365"/>
        <v>1.9115658974853353</v>
      </c>
      <c r="V569" s="169">
        <f t="shared" si="366"/>
        <v>6.6063025676027204E-2</v>
      </c>
      <c r="W569" s="439">
        <f t="shared" si="367"/>
        <v>16.785668009630761</v>
      </c>
      <c r="X569" s="439">
        <f t="shared" si="329"/>
        <v>16.785668009630761</v>
      </c>
      <c r="Y569" s="169"/>
      <c r="Z569" s="119" t="str">
        <f t="shared" si="330"/>
        <v/>
      </c>
      <c r="AA569" s="4" t="str">
        <f t="shared" si="331"/>
        <v/>
      </c>
      <c r="AB569" s="466"/>
      <c r="AC569" s="466"/>
      <c r="AD569" s="466"/>
      <c r="AE569" s="466"/>
      <c r="AF569" s="466"/>
      <c r="AG569" s="466"/>
      <c r="AH569" s="466"/>
      <c r="AI569" s="466"/>
      <c r="AJ569" s="466"/>
      <c r="AK569" s="466"/>
      <c r="AL569" s="466"/>
      <c r="AM569" s="462">
        <f t="shared" si="369"/>
        <v>199</v>
      </c>
      <c r="AN569" s="32">
        <f t="shared" si="345"/>
        <v>0.96832222124122846</v>
      </c>
      <c r="AO569" s="32">
        <f t="shared" si="356"/>
        <v>0.36560405984730848</v>
      </c>
      <c r="AP569" s="32">
        <f t="shared" si="357"/>
        <v>1.9514666146309736</v>
      </c>
      <c r="AQ569" s="32">
        <f t="shared" si="358"/>
        <v>14.908106783871661</v>
      </c>
      <c r="AR569" s="32">
        <f t="shared" si="359"/>
        <v>40.329639983884618</v>
      </c>
      <c r="AS569" s="32">
        <f t="shared" si="332"/>
        <v>30.276267328701863</v>
      </c>
      <c r="AT569" s="32">
        <f t="shared" si="333"/>
        <v>21.155904</v>
      </c>
      <c r="AU569" s="32">
        <f t="shared" si="334"/>
        <v>0.90748306922080668</v>
      </c>
      <c r="AV569" s="32">
        <f t="shared" si="335"/>
        <v>0.87510214344808912</v>
      </c>
      <c r="AW569" s="32">
        <f t="shared" si="336"/>
        <v>3.0000746051789302</v>
      </c>
      <c r="AX569" s="32">
        <f t="shared" si="337"/>
        <v>1.6512191555446767</v>
      </c>
      <c r="AY569" s="32">
        <f t="shared" si="338"/>
        <v>1.9115658974853349</v>
      </c>
      <c r="AZ569" s="32">
        <f t="shared" si="350"/>
        <v>0.14643685373834059</v>
      </c>
      <c r="BA569" s="32">
        <f t="shared" si="339"/>
        <v>-4.6002561245265303</v>
      </c>
      <c r="BB569" s="32">
        <f t="shared" si="360"/>
        <v>16.555647875473468</v>
      </c>
      <c r="BC569" s="32">
        <f t="shared" si="340"/>
        <v>19.295000000000002</v>
      </c>
      <c r="BD569" s="32">
        <v>0</v>
      </c>
      <c r="BE569" s="32">
        <f t="shared" si="361"/>
        <v>2.3256468803618033</v>
      </c>
      <c r="BF569" s="32">
        <f t="shared" si="362"/>
        <v>0.41408098287646844</v>
      </c>
      <c r="BG569" s="32">
        <f t="shared" si="363"/>
        <v>0.13933908537107531</v>
      </c>
      <c r="BH569" s="32">
        <f t="shared" si="341"/>
        <v>3.9823062337437189</v>
      </c>
      <c r="BI569" s="32">
        <f t="shared" si="342"/>
        <v>0.47428446796696211</v>
      </c>
      <c r="BJ569" s="32">
        <f t="shared" si="368"/>
        <v>4.4565907017106809</v>
      </c>
      <c r="BK569" s="457">
        <f t="shared" si="343"/>
        <v>4.3492139845807785</v>
      </c>
    </row>
    <row r="570" spans="1:63" ht="15">
      <c r="A570" s="119"/>
      <c r="B570" s="480">
        <f>Input!B587</f>
        <v>38552</v>
      </c>
      <c r="C570" s="481">
        <v>2</v>
      </c>
      <c r="D570" s="481">
        <f t="shared" si="370"/>
        <v>7</v>
      </c>
      <c r="E570" s="481">
        <f t="shared" si="371"/>
        <v>19</v>
      </c>
      <c r="F570" s="481">
        <f t="shared" si="372"/>
        <v>200</v>
      </c>
      <c r="G570" s="431">
        <v>26.783999999999999</v>
      </c>
      <c r="H570" s="455">
        <v>25.56</v>
      </c>
      <c r="I570" s="455">
        <v>15.5</v>
      </c>
      <c r="J570" s="455">
        <v>1.62</v>
      </c>
      <c r="K570" s="485"/>
      <c r="L570" s="433">
        <v>94</v>
      </c>
      <c r="M570" s="455">
        <v>84</v>
      </c>
      <c r="N570" s="484">
        <f>Weather!M571</f>
        <v>0</v>
      </c>
      <c r="O570" s="481" t="str">
        <f t="shared" si="344"/>
        <v/>
      </c>
      <c r="P570" s="4">
        <f t="shared" si="364"/>
        <v>4.3856661721297474</v>
      </c>
      <c r="Q570" s="169">
        <f t="shared" si="325"/>
        <v>3.2749933013425738</v>
      </c>
      <c r="R570" s="169">
        <f t="shared" si="326"/>
        <v>1.761022898120093</v>
      </c>
      <c r="S570" s="169">
        <f t="shared" si="327"/>
        <v>2.750994373127762</v>
      </c>
      <c r="T570" s="169">
        <f t="shared" si="328"/>
        <v>1.6553615242328874</v>
      </c>
      <c r="U570" s="169">
        <f t="shared" si="365"/>
        <v>2.2031779486803247</v>
      </c>
      <c r="V570" s="169">
        <f t="shared" si="366"/>
        <v>7.4284108037690158E-2</v>
      </c>
      <c r="W570" s="439">
        <f t="shared" si="367"/>
        <v>19.042147801932277</v>
      </c>
      <c r="X570" s="439">
        <f t="shared" si="329"/>
        <v>19.042147801932277</v>
      </c>
      <c r="Y570" s="169"/>
      <c r="Z570" s="119" t="str">
        <f t="shared" si="330"/>
        <v/>
      </c>
      <c r="AA570" s="4" t="str">
        <f t="shared" si="331"/>
        <v/>
      </c>
      <c r="AB570" s="466"/>
      <c r="AC570" s="466"/>
      <c r="AD570" s="466"/>
      <c r="AE570" s="466"/>
      <c r="AF570" s="466"/>
      <c r="AG570" s="466"/>
      <c r="AH570" s="466"/>
      <c r="AI570" s="466"/>
      <c r="AJ570" s="466"/>
      <c r="AK570" s="466"/>
      <c r="AL570" s="466"/>
      <c r="AM570" s="462">
        <f t="shared" si="369"/>
        <v>200</v>
      </c>
      <c r="AN570" s="32">
        <f t="shared" si="345"/>
        <v>0.96848609708977662</v>
      </c>
      <c r="AO570" s="32">
        <f t="shared" si="356"/>
        <v>0.36239394256248464</v>
      </c>
      <c r="AP570" s="32">
        <f t="shared" si="357"/>
        <v>1.9476266573362362</v>
      </c>
      <c r="AQ570" s="32">
        <f t="shared" si="358"/>
        <v>14.878771671005136</v>
      </c>
      <c r="AR570" s="32">
        <f t="shared" si="359"/>
        <v>40.21593599870765</v>
      </c>
      <c r="AS570" s="32">
        <f t="shared" si="332"/>
        <v>30.19090747294981</v>
      </c>
      <c r="AT570" s="32">
        <f t="shared" si="333"/>
        <v>20.62368</v>
      </c>
      <c r="AU570" s="32">
        <f t="shared" si="334"/>
        <v>0.88715451908816245</v>
      </c>
      <c r="AV570" s="32">
        <f t="shared" si="335"/>
        <v>0.84765860076901933</v>
      </c>
      <c r="AW570" s="32">
        <f t="shared" si="336"/>
        <v>3.2749933013425738</v>
      </c>
      <c r="AX570" s="32">
        <f t="shared" si="337"/>
        <v>1.761022898120093</v>
      </c>
      <c r="AY570" s="32">
        <f t="shared" si="338"/>
        <v>2.2031779486803247</v>
      </c>
      <c r="AZ570" s="32">
        <f t="shared" si="350"/>
        <v>0.13219651640519989</v>
      </c>
      <c r="BA570" s="32">
        <f t="shared" si="339"/>
        <v>-4.0916485107686507</v>
      </c>
      <c r="BB570" s="32">
        <f t="shared" si="360"/>
        <v>16.53203148923135</v>
      </c>
      <c r="BC570" s="32">
        <f t="shared" si="340"/>
        <v>20.53</v>
      </c>
      <c r="BD570" s="32">
        <v>0</v>
      </c>
      <c r="BE570" s="32">
        <f t="shared" si="361"/>
        <v>2.5180080997313334</v>
      </c>
      <c r="BF570" s="32">
        <f t="shared" si="362"/>
        <v>0.31483015105100876</v>
      </c>
      <c r="BG570" s="32">
        <f t="shared" si="363"/>
        <v>0.14897967860670122</v>
      </c>
      <c r="BH570" s="32">
        <f t="shared" si="341"/>
        <v>3.9709351122566705</v>
      </c>
      <c r="BI570" s="32">
        <f t="shared" si="342"/>
        <v>0.41473105987307735</v>
      </c>
      <c r="BJ570" s="32">
        <f t="shared" si="368"/>
        <v>4.3856661721297474</v>
      </c>
      <c r="BK570" s="457">
        <f t="shared" si="343"/>
        <v>4.5898420700089995</v>
      </c>
    </row>
    <row r="571" spans="1:63" ht="15">
      <c r="A571" s="119"/>
      <c r="B571" s="480">
        <f>Input!B588</f>
        <v>38553</v>
      </c>
      <c r="C571" s="481">
        <v>2</v>
      </c>
      <c r="D571" s="481">
        <f t="shared" si="370"/>
        <v>7</v>
      </c>
      <c r="E571" s="481">
        <f t="shared" si="371"/>
        <v>20</v>
      </c>
      <c r="F571" s="481">
        <f t="shared" si="372"/>
        <v>201</v>
      </c>
      <c r="G571" s="431">
        <v>27.216000000000001</v>
      </c>
      <c r="H571" s="455">
        <v>27.1</v>
      </c>
      <c r="I571" s="455">
        <v>16.899999999999999</v>
      </c>
      <c r="J571" s="455">
        <v>1.7</v>
      </c>
      <c r="K571" s="485"/>
      <c r="L571" s="433">
        <v>100</v>
      </c>
      <c r="M571" s="455">
        <v>85</v>
      </c>
      <c r="N571" s="484">
        <f>Weather!M572</f>
        <v>0</v>
      </c>
      <c r="O571" s="481" t="str">
        <f t="shared" si="344"/>
        <v/>
      </c>
      <c r="P571" s="4">
        <f t="shared" si="364"/>
        <v>4.5585086386905456</v>
      </c>
      <c r="Q571" s="169">
        <f t="shared" si="325"/>
        <v>3.5863105663510559</v>
      </c>
      <c r="R571" s="169">
        <f t="shared" si="326"/>
        <v>1.9254836024660269</v>
      </c>
      <c r="S571" s="169">
        <f t="shared" si="327"/>
        <v>3.0483639813983974</v>
      </c>
      <c r="T571" s="169">
        <f t="shared" si="328"/>
        <v>1.9254836024660269</v>
      </c>
      <c r="U571" s="169">
        <f t="shared" si="365"/>
        <v>2.4869237919322122</v>
      </c>
      <c r="V571" s="169">
        <f t="shared" si="366"/>
        <v>8.1298912994844416E-2</v>
      </c>
      <c r="W571" s="439">
        <f t="shared" si="367"/>
        <v>20.999465796395988</v>
      </c>
      <c r="X571" s="439">
        <f t="shared" si="329"/>
        <v>20.999465796395988</v>
      </c>
      <c r="Y571" s="169"/>
      <c r="Z571" s="119" t="str">
        <f t="shared" si="330"/>
        <v/>
      </c>
      <c r="AA571" s="4" t="str">
        <f t="shared" si="331"/>
        <v/>
      </c>
      <c r="AB571" s="466"/>
      <c r="AC571" s="466"/>
      <c r="AD571" s="466"/>
      <c r="AE571" s="466"/>
      <c r="AF571" s="466"/>
      <c r="AG571" s="466"/>
      <c r="AH571" s="466"/>
      <c r="AI571" s="466"/>
      <c r="AJ571" s="466"/>
      <c r="AK571" s="466"/>
      <c r="AL571" s="466"/>
      <c r="AM571" s="462">
        <f t="shared" si="369"/>
        <v>201</v>
      </c>
      <c r="AN571" s="32">
        <f t="shared" si="345"/>
        <v>0.96865931118788273</v>
      </c>
      <c r="AO571" s="32">
        <f t="shared" si="356"/>
        <v>0.35907644013137774</v>
      </c>
      <c r="AP571" s="32">
        <f t="shared" si="357"/>
        <v>1.9436741519507554</v>
      </c>
      <c r="AQ571" s="32">
        <f t="shared" si="358"/>
        <v>14.8485767540597</v>
      </c>
      <c r="AR571" s="32">
        <f t="shared" si="359"/>
        <v>40.098460167501798</v>
      </c>
      <c r="AS571" s="32">
        <f t="shared" si="332"/>
        <v>30.102716016946953</v>
      </c>
      <c r="AT571" s="32">
        <f t="shared" si="333"/>
        <v>20.956320000000002</v>
      </c>
      <c r="AU571" s="32">
        <f t="shared" si="334"/>
        <v>0.90410446634377395</v>
      </c>
      <c r="AV571" s="32">
        <f t="shared" si="335"/>
        <v>0.87054102956409485</v>
      </c>
      <c r="AW571" s="32">
        <f t="shared" si="336"/>
        <v>3.5863105663510559</v>
      </c>
      <c r="AX571" s="32">
        <f t="shared" si="337"/>
        <v>1.9254836024660269</v>
      </c>
      <c r="AY571" s="32">
        <f t="shared" si="338"/>
        <v>2.4869237919322118</v>
      </c>
      <c r="AZ571" s="32">
        <f t="shared" si="350"/>
        <v>0.11922023117624353</v>
      </c>
      <c r="BA571" s="32">
        <f t="shared" si="339"/>
        <v>-3.8661953702077532</v>
      </c>
      <c r="BB571" s="32">
        <f t="shared" si="360"/>
        <v>17.09012462979225</v>
      </c>
      <c r="BC571" s="32">
        <f t="shared" si="340"/>
        <v>22</v>
      </c>
      <c r="BD571" s="32">
        <v>0</v>
      </c>
      <c r="BE571" s="32">
        <f t="shared" si="361"/>
        <v>2.7558970844085415</v>
      </c>
      <c r="BF571" s="32">
        <f t="shared" si="362"/>
        <v>0.26897329247632973</v>
      </c>
      <c r="BG571" s="32">
        <f t="shared" si="363"/>
        <v>0.1611844097880652</v>
      </c>
      <c r="BH571" s="32">
        <f t="shared" si="341"/>
        <v>4.2079754160128404</v>
      </c>
      <c r="BI571" s="32">
        <f t="shared" si="342"/>
        <v>0.35053322267770542</v>
      </c>
      <c r="BJ571" s="32">
        <f t="shared" si="368"/>
        <v>4.5585086386905456</v>
      </c>
      <c r="BK571" s="457">
        <f t="shared" si="343"/>
        <v>4.7848971269038083</v>
      </c>
    </row>
    <row r="572" spans="1:63" ht="15">
      <c r="A572" s="119"/>
      <c r="B572" s="480">
        <f>Input!B589</f>
        <v>38554</v>
      </c>
      <c r="C572" s="481">
        <v>2</v>
      </c>
      <c r="D572" s="481">
        <f t="shared" si="370"/>
        <v>7</v>
      </c>
      <c r="E572" s="481">
        <f t="shared" si="371"/>
        <v>21</v>
      </c>
      <c r="F572" s="481">
        <f t="shared" si="372"/>
        <v>202</v>
      </c>
      <c r="G572" s="431">
        <v>26.352</v>
      </c>
      <c r="H572" s="455">
        <v>27.61</v>
      </c>
      <c r="I572" s="455">
        <v>19.3</v>
      </c>
      <c r="J572" s="455">
        <v>1.63</v>
      </c>
      <c r="K572" s="485"/>
      <c r="L572" s="433">
        <v>100</v>
      </c>
      <c r="M572" s="455">
        <v>59</v>
      </c>
      <c r="N572" s="484">
        <f>Weather!M573</f>
        <v>0</v>
      </c>
      <c r="O572" s="481" t="str">
        <f t="shared" si="344"/>
        <v/>
      </c>
      <c r="P572" s="4">
        <f t="shared" si="364"/>
        <v>5.0131309788816969</v>
      </c>
      <c r="Q572" s="169">
        <f t="shared" si="325"/>
        <v>3.6949391594878636</v>
      </c>
      <c r="R572" s="169">
        <f t="shared" si="326"/>
        <v>2.238858124675362</v>
      </c>
      <c r="S572" s="169">
        <f t="shared" si="327"/>
        <v>2.1800141040978396</v>
      </c>
      <c r="T572" s="169">
        <f t="shared" si="328"/>
        <v>2.238858124675362</v>
      </c>
      <c r="U572" s="169">
        <f t="shared" si="365"/>
        <v>2.2094361143866008</v>
      </c>
      <c r="V572" s="169">
        <f t="shared" si="366"/>
        <v>7.4448351867358445E-2</v>
      </c>
      <c r="W572" s="439">
        <f t="shared" si="367"/>
        <v>19.087637014927928</v>
      </c>
      <c r="X572" s="439">
        <f t="shared" si="329"/>
        <v>19.087637014927928</v>
      </c>
      <c r="Y572" s="169"/>
      <c r="Z572" s="119" t="str">
        <f t="shared" si="330"/>
        <v/>
      </c>
      <c r="AA572" s="4" t="str">
        <f t="shared" si="331"/>
        <v/>
      </c>
      <c r="AB572" s="466"/>
      <c r="AC572" s="466"/>
      <c r="AD572" s="466"/>
      <c r="AE572" s="466"/>
      <c r="AF572" s="466"/>
      <c r="AG572" s="466"/>
      <c r="AH572" s="466"/>
      <c r="AI572" s="466"/>
      <c r="AJ572" s="466"/>
      <c r="AK572" s="466"/>
      <c r="AL572" s="466"/>
      <c r="AM572" s="462">
        <f t="shared" si="369"/>
        <v>202</v>
      </c>
      <c r="AN572" s="32">
        <f t="shared" si="345"/>
        <v>0.96884181220847143</v>
      </c>
      <c r="AO572" s="32">
        <f t="shared" si="356"/>
        <v>0.35565253560155585</v>
      </c>
      <c r="AP572" s="32">
        <f t="shared" si="357"/>
        <v>1.9396115590899914</v>
      </c>
      <c r="AQ572" s="32">
        <f t="shared" si="358"/>
        <v>14.817540830752799</v>
      </c>
      <c r="AR572" s="32">
        <f t="shared" si="359"/>
        <v>39.97723261666296</v>
      </c>
      <c r="AS572" s="32">
        <f t="shared" si="332"/>
        <v>30.011708069981218</v>
      </c>
      <c r="AT572" s="32">
        <f t="shared" si="333"/>
        <v>20.291040000000002</v>
      </c>
      <c r="AU572" s="32">
        <f t="shared" si="334"/>
        <v>0.8780573214477656</v>
      </c>
      <c r="AV572" s="32">
        <f t="shared" si="335"/>
        <v>0.83537738395448369</v>
      </c>
      <c r="AW572" s="32">
        <f t="shared" si="336"/>
        <v>3.6949391594878636</v>
      </c>
      <c r="AX572" s="32">
        <f t="shared" si="337"/>
        <v>2.238858124675362</v>
      </c>
      <c r="AY572" s="32">
        <f t="shared" si="338"/>
        <v>2.2094361143866004</v>
      </c>
      <c r="AZ572" s="32">
        <f t="shared" si="350"/>
        <v>0.13190159096721243</v>
      </c>
      <c r="BA572" s="32">
        <f t="shared" si="339"/>
        <v>-4.1836348071786214</v>
      </c>
      <c r="BB572" s="32">
        <f t="shared" si="360"/>
        <v>16.107405192821382</v>
      </c>
      <c r="BC572" s="32">
        <f t="shared" si="340"/>
        <v>23.454999999999998</v>
      </c>
      <c r="BD572" s="32">
        <v>0</v>
      </c>
      <c r="BE572" s="32">
        <f t="shared" si="361"/>
        <v>2.9668986420816128</v>
      </c>
      <c r="BF572" s="32">
        <f t="shared" si="362"/>
        <v>0.75746252769501243</v>
      </c>
      <c r="BG572" s="32">
        <f t="shared" si="363"/>
        <v>0.17408569314011674</v>
      </c>
      <c r="BH572" s="32">
        <f t="shared" si="341"/>
        <v>4.1095215306808921</v>
      </c>
      <c r="BI572" s="32">
        <f t="shared" si="342"/>
        <v>0.90360944820080447</v>
      </c>
      <c r="BJ572" s="32">
        <f t="shared" si="368"/>
        <v>5.0131309788816969</v>
      </c>
      <c r="BK572" s="457">
        <f t="shared" si="343"/>
        <v>4.4632537877782399</v>
      </c>
    </row>
    <row r="573" spans="1:63" ht="15">
      <c r="A573" s="119"/>
      <c r="B573" s="480">
        <f>Input!B590</f>
        <v>38555</v>
      </c>
      <c r="C573" s="481">
        <v>2</v>
      </c>
      <c r="D573" s="481">
        <f t="shared" si="370"/>
        <v>7</v>
      </c>
      <c r="E573" s="481">
        <f t="shared" si="371"/>
        <v>22</v>
      </c>
      <c r="F573" s="481">
        <f t="shared" si="372"/>
        <v>203</v>
      </c>
      <c r="G573" s="431">
        <v>25.315200000000001</v>
      </c>
      <c r="H573" s="455">
        <v>24.07</v>
      </c>
      <c r="I573" s="455">
        <v>18.399999999999999</v>
      </c>
      <c r="J573" s="455">
        <v>2.95</v>
      </c>
      <c r="K573" s="485"/>
      <c r="L573" s="433">
        <v>91</v>
      </c>
      <c r="M573" s="455">
        <v>77</v>
      </c>
      <c r="N573" s="484">
        <f>Weather!M574</f>
        <v>0.2</v>
      </c>
      <c r="O573" s="481" t="str">
        <f t="shared" si="344"/>
        <v/>
      </c>
      <c r="P573" s="4">
        <f t="shared" si="364"/>
        <v>4.3086235392401058</v>
      </c>
      <c r="Q573" s="169">
        <f t="shared" si="325"/>
        <v>2.996477551387005</v>
      </c>
      <c r="R573" s="169">
        <f t="shared" si="326"/>
        <v>2.1164748063682803</v>
      </c>
      <c r="S573" s="169">
        <f t="shared" si="327"/>
        <v>2.3072877145679938</v>
      </c>
      <c r="T573" s="169">
        <f t="shared" si="328"/>
        <v>1.9259920737951353</v>
      </c>
      <c r="U573" s="169">
        <f t="shared" si="365"/>
        <v>2.1166398941815645</v>
      </c>
      <c r="V573" s="169">
        <f t="shared" si="366"/>
        <v>7.1963843739200922E-2</v>
      </c>
      <c r="W573" s="439">
        <f t="shared" si="367"/>
        <v>18.401244395604508</v>
      </c>
      <c r="X573" s="439">
        <f t="shared" si="329"/>
        <v>18.401244395604508</v>
      </c>
      <c r="Y573" s="169"/>
      <c r="Z573" s="119" t="str">
        <f t="shared" si="330"/>
        <v/>
      </c>
      <c r="AA573" s="4" t="str">
        <f t="shared" si="331"/>
        <v/>
      </c>
      <c r="AB573" s="466"/>
      <c r="AC573" s="466"/>
      <c r="AD573" s="466"/>
      <c r="AE573" s="466"/>
      <c r="AF573" s="466"/>
      <c r="AG573" s="466"/>
      <c r="AH573" s="466"/>
      <c r="AI573" s="466"/>
      <c r="AJ573" s="466"/>
      <c r="AK573" s="466"/>
      <c r="AL573" s="466"/>
      <c r="AM573" s="462">
        <f t="shared" si="369"/>
        <v>203</v>
      </c>
      <c r="AN573" s="32">
        <f t="shared" si="345"/>
        <v>0.96903354607255143</v>
      </c>
      <c r="AO573" s="32">
        <f t="shared" si="356"/>
        <v>0.3521232435498246</v>
      </c>
      <c r="AP573" s="32">
        <f t="shared" si="357"/>
        <v>1.9354413597596005</v>
      </c>
      <c r="AQ573" s="32">
        <f t="shared" si="358"/>
        <v>14.785682854571508</v>
      </c>
      <c r="AR573" s="32">
        <f t="shared" si="359"/>
        <v>39.852274131548953</v>
      </c>
      <c r="AS573" s="32">
        <f t="shared" si="332"/>
        <v>29.917899236036433</v>
      </c>
      <c r="AT573" s="32">
        <f t="shared" si="333"/>
        <v>19.492704</v>
      </c>
      <c r="AU573" s="32">
        <f t="shared" si="334"/>
        <v>0.84615566755795368</v>
      </c>
      <c r="AV573" s="32">
        <f t="shared" si="335"/>
        <v>0.79231015120323767</v>
      </c>
      <c r="AW573" s="32">
        <f t="shared" si="336"/>
        <v>2.996477551387005</v>
      </c>
      <c r="AX573" s="32">
        <f t="shared" si="337"/>
        <v>2.1164748063682803</v>
      </c>
      <c r="AY573" s="32">
        <f t="shared" si="338"/>
        <v>2.1166398941815645</v>
      </c>
      <c r="AZ573" s="32">
        <f t="shared" si="350"/>
        <v>0.13631852827034399</v>
      </c>
      <c r="BA573" s="32">
        <f t="shared" si="339"/>
        <v>-3.9769533605254481</v>
      </c>
      <c r="BB573" s="32">
        <f t="shared" si="360"/>
        <v>15.515750639474552</v>
      </c>
      <c r="BC573" s="32">
        <f t="shared" si="340"/>
        <v>21.234999999999999</v>
      </c>
      <c r="BD573" s="32">
        <v>0</v>
      </c>
      <c r="BE573" s="32">
        <f t="shared" si="361"/>
        <v>2.5564761788776424</v>
      </c>
      <c r="BF573" s="32">
        <f t="shared" si="362"/>
        <v>0.43983628469607794</v>
      </c>
      <c r="BG573" s="32">
        <f t="shared" si="363"/>
        <v>0.15473166087957296</v>
      </c>
      <c r="BH573" s="32">
        <f t="shared" si="341"/>
        <v>3.3874726972369853</v>
      </c>
      <c r="BI573" s="32">
        <f t="shared" si="342"/>
        <v>0.92115084200312025</v>
      </c>
      <c r="BJ573" s="32">
        <f t="shared" si="368"/>
        <v>4.3086235392401058</v>
      </c>
      <c r="BK573" s="457">
        <f t="shared" si="343"/>
        <v>3.4774474342359403</v>
      </c>
    </row>
    <row r="574" spans="1:63" ht="15">
      <c r="A574" s="119"/>
      <c r="B574" s="480">
        <f>Input!B591</f>
        <v>38556</v>
      </c>
      <c r="C574" s="481">
        <v>2</v>
      </c>
      <c r="D574" s="481">
        <f t="shared" si="370"/>
        <v>7</v>
      </c>
      <c r="E574" s="481">
        <f t="shared" si="371"/>
        <v>23</v>
      </c>
      <c r="F574" s="481">
        <f t="shared" si="372"/>
        <v>204</v>
      </c>
      <c r="G574" s="431">
        <v>24.883199999999999</v>
      </c>
      <c r="H574" s="455">
        <v>21.76</v>
      </c>
      <c r="I574" s="455">
        <v>15.3</v>
      </c>
      <c r="J574" s="455">
        <v>4.1100000000000003</v>
      </c>
      <c r="K574" s="485"/>
      <c r="L574" s="433">
        <v>92</v>
      </c>
      <c r="M574" s="455">
        <v>73</v>
      </c>
      <c r="N574" s="484">
        <f>Weather!M575</f>
        <v>0</v>
      </c>
      <c r="O574" s="481" t="str">
        <f t="shared" si="344"/>
        <v/>
      </c>
      <c r="P574" s="4">
        <f t="shared" si="364"/>
        <v>3.9753833592271319</v>
      </c>
      <c r="Q574" s="169">
        <f t="shared" si="325"/>
        <v>2.6055009597054024</v>
      </c>
      <c r="R574" s="169">
        <f t="shared" si="326"/>
        <v>1.7385638954612772</v>
      </c>
      <c r="S574" s="169">
        <f t="shared" si="327"/>
        <v>1.9020157005849436</v>
      </c>
      <c r="T574" s="169">
        <f t="shared" si="328"/>
        <v>1.5994787838243751</v>
      </c>
      <c r="U574" s="169">
        <f t="shared" si="365"/>
        <v>1.7507472422046595</v>
      </c>
      <c r="V574" s="169">
        <f t="shared" si="366"/>
        <v>6.0974429529933212E-2</v>
      </c>
      <c r="W574" s="439">
        <f t="shared" si="367"/>
        <v>15.408773288473922</v>
      </c>
      <c r="X574" s="439">
        <f t="shared" si="329"/>
        <v>15.408773288473922</v>
      </c>
      <c r="Y574" s="169"/>
      <c r="Z574" s="119" t="str">
        <f t="shared" si="330"/>
        <v/>
      </c>
      <c r="AA574" s="4" t="str">
        <f t="shared" si="331"/>
        <v/>
      </c>
      <c r="AB574" s="466"/>
      <c r="AC574" s="466"/>
      <c r="AD574" s="466"/>
      <c r="AE574" s="466"/>
      <c r="AF574" s="466"/>
      <c r="AG574" s="466"/>
      <c r="AH574" s="466"/>
      <c r="AI574" s="466"/>
      <c r="AJ574" s="466"/>
      <c r="AK574" s="466"/>
      <c r="AL574" s="466"/>
      <c r="AM574" s="462">
        <f t="shared" si="369"/>
        <v>204</v>
      </c>
      <c r="AN574" s="32">
        <f t="shared" si="345"/>
        <v>0.96923445596524105</v>
      </c>
      <c r="AO574" s="32">
        <f t="shared" si="356"/>
        <v>0.34848960978158783</v>
      </c>
      <c r="AP574" s="32">
        <f t="shared" si="357"/>
        <v>1.9311660508464228</v>
      </c>
      <c r="AQ574" s="32">
        <f t="shared" si="358"/>
        <v>14.753021900326209</v>
      </c>
      <c r="AR574" s="32">
        <f t="shared" si="359"/>
        <v>39.723606171093557</v>
      </c>
      <c r="AS574" s="32">
        <f t="shared" si="332"/>
        <v>29.821305624763358</v>
      </c>
      <c r="AT574" s="32">
        <f t="shared" si="333"/>
        <v>19.160063999999998</v>
      </c>
      <c r="AU574" s="32">
        <f t="shared" si="334"/>
        <v>0.83441014666162705</v>
      </c>
      <c r="AV574" s="32">
        <f t="shared" si="335"/>
        <v>0.77645369799319652</v>
      </c>
      <c r="AW574" s="32">
        <f t="shared" si="336"/>
        <v>2.6055009597054024</v>
      </c>
      <c r="AX574" s="32">
        <f t="shared" si="337"/>
        <v>1.7385638954612772</v>
      </c>
      <c r="AY574" s="32">
        <f t="shared" si="338"/>
        <v>1.7507472422046597</v>
      </c>
      <c r="AZ574" s="32">
        <f t="shared" si="350"/>
        <v>0.15475787210461187</v>
      </c>
      <c r="BA574" s="32">
        <f t="shared" si="339"/>
        <v>-4.2649154719641524</v>
      </c>
      <c r="BB574" s="32">
        <f t="shared" si="360"/>
        <v>14.895148528035847</v>
      </c>
      <c r="BC574" s="32">
        <f t="shared" si="340"/>
        <v>18.53</v>
      </c>
      <c r="BD574" s="32">
        <v>0</v>
      </c>
      <c r="BE574" s="32">
        <f t="shared" si="361"/>
        <v>2.17203242758334</v>
      </c>
      <c r="BF574" s="32">
        <f t="shared" si="362"/>
        <v>0.42128518537868032</v>
      </c>
      <c r="BG574" s="32">
        <f t="shared" si="363"/>
        <v>0.13363649723050533</v>
      </c>
      <c r="BH574" s="32">
        <f t="shared" si="341"/>
        <v>2.7573777433592652</v>
      </c>
      <c r="BI574" s="32">
        <f t="shared" si="342"/>
        <v>1.2180056158678667</v>
      </c>
      <c r="BJ574" s="32">
        <f t="shared" si="368"/>
        <v>3.9753833592271319</v>
      </c>
      <c r="BK574" s="457">
        <f t="shared" si="343"/>
        <v>3.4434364796701775</v>
      </c>
    </row>
    <row r="575" spans="1:63" ht="15">
      <c r="A575" s="119"/>
      <c r="B575" s="480">
        <f>Input!B592</f>
        <v>38557</v>
      </c>
      <c r="C575" s="481">
        <v>2</v>
      </c>
      <c r="D575" s="481">
        <f t="shared" si="370"/>
        <v>7</v>
      </c>
      <c r="E575" s="481">
        <f t="shared" si="371"/>
        <v>24</v>
      </c>
      <c r="F575" s="481">
        <f t="shared" si="372"/>
        <v>205</v>
      </c>
      <c r="G575" s="431">
        <v>25.401599999999998</v>
      </c>
      <c r="H575" s="455">
        <v>21.95</v>
      </c>
      <c r="I575" s="455">
        <v>16.7</v>
      </c>
      <c r="J575" s="455">
        <v>3.6</v>
      </c>
      <c r="K575" s="485"/>
      <c r="L575" s="433">
        <v>91</v>
      </c>
      <c r="M575" s="455">
        <v>76</v>
      </c>
      <c r="N575" s="484">
        <f>Weather!M576</f>
        <v>0</v>
      </c>
      <c r="O575" s="481" t="str">
        <f t="shared" si="344"/>
        <v/>
      </c>
      <c r="P575" s="4">
        <f t="shared" si="364"/>
        <v>4.0457230402672915</v>
      </c>
      <c r="Q575" s="169">
        <f t="shared" si="325"/>
        <v>2.6358843179743165</v>
      </c>
      <c r="R575" s="169">
        <f t="shared" si="326"/>
        <v>1.9011953088739362</v>
      </c>
      <c r="S575" s="169">
        <f t="shared" si="327"/>
        <v>2.0032720816604805</v>
      </c>
      <c r="T575" s="169">
        <f t="shared" si="328"/>
        <v>1.730087731075282</v>
      </c>
      <c r="U575" s="169">
        <f t="shared" si="365"/>
        <v>1.8666799063678812</v>
      </c>
      <c r="V575" s="169">
        <f t="shared" si="366"/>
        <v>6.4687151556605649E-2</v>
      </c>
      <c r="W575" s="439">
        <f t="shared" si="367"/>
        <v>16.411900135798817</v>
      </c>
      <c r="X575" s="439">
        <f t="shared" si="329"/>
        <v>16.411900135798817</v>
      </c>
      <c r="Y575" s="169"/>
      <c r="Z575" s="119" t="str">
        <f t="shared" si="330"/>
        <v/>
      </c>
      <c r="AA575" s="4" t="str">
        <f t="shared" si="331"/>
        <v/>
      </c>
      <c r="AB575" s="466"/>
      <c r="AC575" s="466"/>
      <c r="AD575" s="466"/>
      <c r="AE575" s="466"/>
      <c r="AF575" s="466"/>
      <c r="AG575" s="466"/>
      <c r="AH575" s="466"/>
      <c r="AI575" s="466"/>
      <c r="AJ575" s="466"/>
      <c r="AK575" s="466"/>
      <c r="AL575" s="466"/>
      <c r="AM575" s="462">
        <f t="shared" si="369"/>
        <v>205</v>
      </c>
      <c r="AN575" s="32">
        <f t="shared" si="345"/>
        <v>0.96944448235260294</v>
      </c>
      <c r="AO575" s="32">
        <f t="shared" si="356"/>
        <v>0.34475271102095079</v>
      </c>
      <c r="AP575" s="32">
        <f t="shared" si="357"/>
        <v>1.9267881407468717</v>
      </c>
      <c r="AQ575" s="32">
        <f t="shared" si="358"/>
        <v>14.719577130753944</v>
      </c>
      <c r="AR575" s="32">
        <f t="shared" si="359"/>
        <v>39.591250883849312</v>
      </c>
      <c r="AS575" s="32">
        <f t="shared" si="332"/>
        <v>29.721943863523357</v>
      </c>
      <c r="AT575" s="32">
        <f t="shared" si="333"/>
        <v>19.559231999999998</v>
      </c>
      <c r="AU575" s="32">
        <f t="shared" si="334"/>
        <v>0.85464127503364418</v>
      </c>
      <c r="AV575" s="32">
        <f t="shared" si="335"/>
        <v>0.80376572129541979</v>
      </c>
      <c r="AW575" s="32">
        <f t="shared" si="336"/>
        <v>2.6358843179743165</v>
      </c>
      <c r="AX575" s="32">
        <f t="shared" si="337"/>
        <v>1.9011953088739362</v>
      </c>
      <c r="AY575" s="32">
        <f t="shared" si="338"/>
        <v>1.8666799063678809</v>
      </c>
      <c r="AZ575" s="32">
        <f t="shared" si="350"/>
        <v>0.14872290737045782</v>
      </c>
      <c r="BA575" s="32">
        <f t="shared" si="339"/>
        <v>-4.2881333289913091</v>
      </c>
      <c r="BB575" s="32">
        <f t="shared" si="360"/>
        <v>15.271098671008689</v>
      </c>
      <c r="BC575" s="32">
        <f t="shared" si="340"/>
        <v>19.324999999999999</v>
      </c>
      <c r="BD575" s="32">
        <v>0</v>
      </c>
      <c r="BE575" s="32">
        <f t="shared" si="361"/>
        <v>2.2685398134241264</v>
      </c>
      <c r="BF575" s="32">
        <f t="shared" si="362"/>
        <v>0.40185990705624541</v>
      </c>
      <c r="BG575" s="32">
        <f t="shared" si="363"/>
        <v>0.13956684932334479</v>
      </c>
      <c r="BH575" s="32">
        <f t="shared" si="341"/>
        <v>3.010763279217981</v>
      </c>
      <c r="BI575" s="32">
        <f t="shared" si="342"/>
        <v>1.0349597610493102</v>
      </c>
      <c r="BJ575" s="32">
        <f t="shared" si="368"/>
        <v>4.0457230402672915</v>
      </c>
      <c r="BK575" s="457">
        <f t="shared" si="343"/>
        <v>3.161601210334112</v>
      </c>
    </row>
    <row r="576" spans="1:63" ht="15">
      <c r="A576" s="119"/>
      <c r="B576" s="480">
        <f>Input!B593</f>
        <v>38558</v>
      </c>
      <c r="C576" s="481">
        <v>2</v>
      </c>
      <c r="D576" s="481">
        <f t="shared" si="370"/>
        <v>7</v>
      </c>
      <c r="E576" s="481">
        <f t="shared" si="371"/>
        <v>25</v>
      </c>
      <c r="F576" s="481">
        <f t="shared" si="372"/>
        <v>206</v>
      </c>
      <c r="G576" s="431">
        <v>24.278400000000001</v>
      </c>
      <c r="H576" s="455">
        <v>23.57</v>
      </c>
      <c r="I576" s="455">
        <v>16.100000000000001</v>
      </c>
      <c r="J576" s="455">
        <v>2.27</v>
      </c>
      <c r="K576" s="485"/>
      <c r="L576" s="433">
        <v>87</v>
      </c>
      <c r="M576" s="455">
        <v>77</v>
      </c>
      <c r="N576" s="484">
        <f>Weather!M577</f>
        <v>0</v>
      </c>
      <c r="O576" s="481" t="str">
        <f t="shared" si="344"/>
        <v/>
      </c>
      <c r="P576" s="4">
        <f t="shared" si="364"/>
        <v>4.087687667829055</v>
      </c>
      <c r="Q576" s="169">
        <f t="shared" si="325"/>
        <v>2.9077656752597565</v>
      </c>
      <c r="R576" s="169">
        <f t="shared" si="326"/>
        <v>1.8299332444264929</v>
      </c>
      <c r="S576" s="169">
        <f t="shared" si="327"/>
        <v>2.2389795699500126</v>
      </c>
      <c r="T576" s="169">
        <f t="shared" si="328"/>
        <v>1.5920419226510487</v>
      </c>
      <c r="U576" s="169">
        <f t="shared" si="365"/>
        <v>1.9155107463005305</v>
      </c>
      <c r="V576" s="169">
        <f t="shared" si="366"/>
        <v>6.6182397276252219E-2</v>
      </c>
      <c r="W576" s="439">
        <f t="shared" si="367"/>
        <v>16.818148242061682</v>
      </c>
      <c r="X576" s="439">
        <f t="shared" si="329"/>
        <v>16.818148242061682</v>
      </c>
      <c r="Y576" s="169"/>
      <c r="Z576" s="119" t="str">
        <f t="shared" si="330"/>
        <v/>
      </c>
      <c r="AA576" s="4" t="str">
        <f t="shared" si="331"/>
        <v/>
      </c>
      <c r="AB576" s="466"/>
      <c r="AC576" s="466"/>
      <c r="AD576" s="466"/>
      <c r="AE576" s="466"/>
      <c r="AF576" s="466"/>
      <c r="AG576" s="466"/>
      <c r="AH576" s="466"/>
      <c r="AI576" s="466"/>
      <c r="AJ576" s="466"/>
      <c r="AK576" s="466"/>
      <c r="AL576" s="466"/>
      <c r="AM576" s="462">
        <f t="shared" si="369"/>
        <v>206</v>
      </c>
      <c r="AN576" s="32">
        <f t="shared" si="345"/>
        <v>0.9696635629992858</v>
      </c>
      <c r="AO576" s="32">
        <f t="shared" si="356"/>
        <v>0.34091365459166534</v>
      </c>
      <c r="AP576" s="32">
        <f t="shared" si="357"/>
        <v>1.9223101451436895</v>
      </c>
      <c r="AQ576" s="32">
        <f t="shared" si="358"/>
        <v>14.685367764255215</v>
      </c>
      <c r="AR576" s="32">
        <f t="shared" si="359"/>
        <v>39.455231125443909</v>
      </c>
      <c r="AS576" s="32">
        <f t="shared" si="332"/>
        <v>29.619831110493255</v>
      </c>
      <c r="AT576" s="32">
        <f t="shared" si="333"/>
        <v>18.694368000000001</v>
      </c>
      <c r="AU576" s="32">
        <f t="shared" si="334"/>
        <v>0.819667063915129</v>
      </c>
      <c r="AV576" s="32">
        <f t="shared" si="335"/>
        <v>0.75655053628542424</v>
      </c>
      <c r="AW576" s="32">
        <f t="shared" si="336"/>
        <v>2.9077656752597565</v>
      </c>
      <c r="AX576" s="32">
        <f t="shared" si="337"/>
        <v>1.8299332444264929</v>
      </c>
      <c r="AY576" s="32">
        <f t="shared" si="338"/>
        <v>1.9155107463005301</v>
      </c>
      <c r="AZ576" s="32">
        <f t="shared" si="350"/>
        <v>0.14623723105949793</v>
      </c>
      <c r="BA576" s="32">
        <f t="shared" si="339"/>
        <v>-3.9984972557556713</v>
      </c>
      <c r="BB576" s="32">
        <f t="shared" si="360"/>
        <v>14.695870744244329</v>
      </c>
      <c r="BC576" s="32">
        <f t="shared" si="340"/>
        <v>19.835000000000001</v>
      </c>
      <c r="BD576" s="32">
        <v>0</v>
      </c>
      <c r="BE576" s="32">
        <f t="shared" si="361"/>
        <v>2.3688494598431244</v>
      </c>
      <c r="BF576" s="32">
        <f t="shared" si="362"/>
        <v>0.45333871354259436</v>
      </c>
      <c r="BG576" s="32">
        <f t="shared" si="363"/>
        <v>0.14348733316345799</v>
      </c>
      <c r="BH576" s="32">
        <f t="shared" si="341"/>
        <v>3.2787526444753006</v>
      </c>
      <c r="BI576" s="32">
        <f t="shared" si="342"/>
        <v>0.80893502335375445</v>
      </c>
      <c r="BJ576" s="32">
        <f t="shared" si="368"/>
        <v>4.087687667829055</v>
      </c>
      <c r="BK576" s="457">
        <f t="shared" si="343"/>
        <v>3.8099437580451134</v>
      </c>
    </row>
    <row r="577" spans="1:63" ht="15">
      <c r="A577" s="119"/>
      <c r="B577" s="480">
        <f>Input!B594</f>
        <v>38559</v>
      </c>
      <c r="C577" s="481">
        <v>2</v>
      </c>
      <c r="D577" s="481">
        <f t="shared" si="370"/>
        <v>7</v>
      </c>
      <c r="E577" s="481">
        <f t="shared" si="371"/>
        <v>26</v>
      </c>
      <c r="F577" s="481">
        <f t="shared" si="372"/>
        <v>207</v>
      </c>
      <c r="G577" s="431">
        <v>21.427199999999999</v>
      </c>
      <c r="H577" s="455">
        <v>25.6</v>
      </c>
      <c r="I577" s="455">
        <v>17.7</v>
      </c>
      <c r="J577" s="455">
        <v>1.51</v>
      </c>
      <c r="K577" s="485"/>
      <c r="L577" s="433">
        <v>98</v>
      </c>
      <c r="M577" s="455">
        <v>82</v>
      </c>
      <c r="N577" s="484">
        <f>Weather!M578</f>
        <v>0</v>
      </c>
      <c r="O577" s="481" t="str">
        <f t="shared" si="344"/>
        <v/>
      </c>
      <c r="P577" s="4">
        <f t="shared" si="364"/>
        <v>3.7454392842547892</v>
      </c>
      <c r="Q577" s="169">
        <f t="shared" si="325"/>
        <v>3.2827711697769288</v>
      </c>
      <c r="R577" s="169">
        <f t="shared" si="326"/>
        <v>2.0253762197498539</v>
      </c>
      <c r="S577" s="169">
        <f t="shared" si="327"/>
        <v>2.6918723592170815</v>
      </c>
      <c r="T577" s="169">
        <f t="shared" si="328"/>
        <v>1.9848686953548569</v>
      </c>
      <c r="U577" s="169">
        <f t="shared" si="365"/>
        <v>2.3383705272859689</v>
      </c>
      <c r="V577" s="169">
        <f t="shared" si="366"/>
        <v>7.7732486194453651E-2</v>
      </c>
      <c r="W577" s="439">
        <f t="shared" si="367"/>
        <v>20.000616630017223</v>
      </c>
      <c r="X577" s="439">
        <f t="shared" si="329"/>
        <v>20.000616630017223</v>
      </c>
      <c r="Y577" s="169"/>
      <c r="Z577" s="119" t="str">
        <f t="shared" si="330"/>
        <v/>
      </c>
      <c r="AA577" s="4" t="str">
        <f t="shared" si="331"/>
        <v/>
      </c>
      <c r="AB577" s="466"/>
      <c r="AC577" s="466"/>
      <c r="AD577" s="466"/>
      <c r="AE577" s="466"/>
      <c r="AF577" s="466"/>
      <c r="AG577" s="466"/>
      <c r="AH577" s="466"/>
      <c r="AI577" s="466"/>
      <c r="AJ577" s="466"/>
      <c r="AK577" s="466"/>
      <c r="AL577" s="466"/>
      <c r="AM577" s="462">
        <f t="shared" si="369"/>
        <v>207</v>
      </c>
      <c r="AN577" s="32">
        <f t="shared" si="345"/>
        <v>0.96989163298696601</v>
      </c>
      <c r="AO577" s="32">
        <f t="shared" si="356"/>
        <v>0.3369735780890053</v>
      </c>
      <c r="AP577" s="32">
        <f t="shared" si="357"/>
        <v>1.917734582940688</v>
      </c>
      <c r="AQ577" s="32">
        <f t="shared" si="358"/>
        <v>14.650413043837673</v>
      </c>
      <c r="AR577" s="32">
        <f t="shared" si="359"/>
        <v>39.315570477423982</v>
      </c>
      <c r="AS577" s="32">
        <f t="shared" si="332"/>
        <v>29.514985068811733</v>
      </c>
      <c r="AT577" s="32">
        <f t="shared" si="333"/>
        <v>16.498943999999998</v>
      </c>
      <c r="AU577" s="32">
        <f t="shared" si="334"/>
        <v>0.72597698931726595</v>
      </c>
      <c r="AV577" s="32">
        <f t="shared" si="335"/>
        <v>0.63006893557830912</v>
      </c>
      <c r="AW577" s="32">
        <f t="shared" si="336"/>
        <v>3.2827711697769288</v>
      </c>
      <c r="AX577" s="32">
        <f t="shared" si="337"/>
        <v>2.0253762197498539</v>
      </c>
      <c r="AY577" s="32">
        <f t="shared" si="338"/>
        <v>2.3383705272859676</v>
      </c>
      <c r="AZ577" s="32">
        <f t="shared" si="350"/>
        <v>0.12591575878919772</v>
      </c>
      <c r="BA577" s="32">
        <f t="shared" si="339"/>
        <v>-2.9392852120642869</v>
      </c>
      <c r="BB577" s="32">
        <f t="shared" si="360"/>
        <v>13.55965878793571</v>
      </c>
      <c r="BC577" s="32">
        <f t="shared" si="340"/>
        <v>21.65</v>
      </c>
      <c r="BD577" s="32">
        <v>0</v>
      </c>
      <c r="BE577" s="32">
        <f t="shared" si="361"/>
        <v>2.6540736947633912</v>
      </c>
      <c r="BF577" s="32">
        <f t="shared" si="362"/>
        <v>0.31570316747742355</v>
      </c>
      <c r="BG577" s="32">
        <f t="shared" si="363"/>
        <v>0.15820451908997654</v>
      </c>
      <c r="BH577" s="32">
        <f t="shared" si="341"/>
        <v>3.369252492038878</v>
      </c>
      <c r="BI577" s="32">
        <f t="shared" si="342"/>
        <v>0.37618679221591123</v>
      </c>
      <c r="BJ577" s="32">
        <f t="shared" si="368"/>
        <v>3.7454392842547892</v>
      </c>
      <c r="BK577" s="457">
        <f t="shared" si="343"/>
        <v>4.0924830240440411</v>
      </c>
    </row>
    <row r="578" spans="1:63" ht="15">
      <c r="A578" s="119"/>
      <c r="B578" s="480">
        <f>Input!B595</f>
        <v>38560</v>
      </c>
      <c r="C578" s="481">
        <v>2</v>
      </c>
      <c r="D578" s="481">
        <f t="shared" si="370"/>
        <v>7</v>
      </c>
      <c r="E578" s="481">
        <f t="shared" si="371"/>
        <v>27</v>
      </c>
      <c r="F578" s="481">
        <f t="shared" si="372"/>
        <v>208</v>
      </c>
      <c r="G578" s="431">
        <v>26.179200000000002</v>
      </c>
      <c r="H578" s="455">
        <v>26.46</v>
      </c>
      <c r="I578" s="455">
        <v>18</v>
      </c>
      <c r="J578" s="455">
        <v>1.22</v>
      </c>
      <c r="K578" s="485"/>
      <c r="L578" s="433">
        <v>100</v>
      </c>
      <c r="M578" s="455">
        <v>84</v>
      </c>
      <c r="N578" s="484">
        <f>Weather!M579</f>
        <v>0</v>
      </c>
      <c r="O578" s="481" t="str">
        <f t="shared" si="344"/>
        <v/>
      </c>
      <c r="P578" s="4">
        <f t="shared" si="364"/>
        <v>4.4864865244293437</v>
      </c>
      <c r="Q578" s="169">
        <f t="shared" si="325"/>
        <v>3.453935461362112</v>
      </c>
      <c r="R578" s="169">
        <f t="shared" si="326"/>
        <v>2.0639892026604851</v>
      </c>
      <c r="S578" s="169">
        <f t="shared" si="327"/>
        <v>2.9013057875441741</v>
      </c>
      <c r="T578" s="169">
        <f t="shared" si="328"/>
        <v>2.0639892026604851</v>
      </c>
      <c r="U578" s="169">
        <f t="shared" si="365"/>
        <v>2.4826474951023298</v>
      </c>
      <c r="V578" s="169">
        <f t="shared" si="366"/>
        <v>8.1199260842409582E-2</v>
      </c>
      <c r="W578" s="439">
        <f t="shared" si="367"/>
        <v>20.971450910640694</v>
      </c>
      <c r="X578" s="439">
        <f t="shared" si="329"/>
        <v>20.971450910640694</v>
      </c>
      <c r="Y578" s="169"/>
      <c r="Z578" s="119" t="str">
        <f t="shared" si="330"/>
        <v/>
      </c>
      <c r="AA578" s="4" t="str">
        <f t="shared" si="331"/>
        <v/>
      </c>
      <c r="AB578" s="466"/>
      <c r="AC578" s="466"/>
      <c r="AD578" s="466"/>
      <c r="AE578" s="466"/>
      <c r="AF578" s="466"/>
      <c r="AG578" s="466"/>
      <c r="AH578" s="466"/>
      <c r="AI578" s="466"/>
      <c r="AJ578" s="466"/>
      <c r="AK578" s="466"/>
      <c r="AL578" s="466"/>
      <c r="AM578" s="462">
        <f t="shared" si="369"/>
        <v>208</v>
      </c>
      <c r="AN578" s="32">
        <f t="shared" si="345"/>
        <v>0.97012862473358386</v>
      </c>
      <c r="AO578" s="32">
        <f t="shared" si="356"/>
        <v>0.33293364904267192</v>
      </c>
      <c r="AP578" s="32">
        <f t="shared" si="357"/>
        <v>1.9130639723638061</v>
      </c>
      <c r="AQ578" s="32">
        <f t="shared" si="358"/>
        <v>14.614732207330405</v>
      </c>
      <c r="AR578" s="32">
        <f t="shared" si="359"/>
        <v>39.172293267449916</v>
      </c>
      <c r="AS578" s="32">
        <f t="shared" si="332"/>
        <v>29.407424001740004</v>
      </c>
      <c r="AT578" s="32">
        <f t="shared" si="333"/>
        <v>20.157984000000003</v>
      </c>
      <c r="AU578" s="32">
        <f t="shared" si="334"/>
        <v>0.89022418279312765</v>
      </c>
      <c r="AV578" s="32">
        <f t="shared" si="335"/>
        <v>0.85180264677072237</v>
      </c>
      <c r="AW578" s="32">
        <f t="shared" si="336"/>
        <v>3.453935461362112</v>
      </c>
      <c r="AX578" s="32">
        <f t="shared" si="337"/>
        <v>2.0639892026604851</v>
      </c>
      <c r="AY578" s="32">
        <f t="shared" si="338"/>
        <v>2.4826474951023298</v>
      </c>
      <c r="AZ578" s="32">
        <f t="shared" si="350"/>
        <v>0.11941012964325476</v>
      </c>
      <c r="BA578" s="32">
        <f t="shared" si="339"/>
        <v>-3.7986970043844264</v>
      </c>
      <c r="BB578" s="32">
        <f t="shared" si="360"/>
        <v>16.359286995615577</v>
      </c>
      <c r="BC578" s="32">
        <f t="shared" si="340"/>
        <v>22.23</v>
      </c>
      <c r="BD578" s="32">
        <v>0</v>
      </c>
      <c r="BE578" s="32">
        <f t="shared" si="361"/>
        <v>2.7589623320112988</v>
      </c>
      <c r="BF578" s="32">
        <f t="shared" si="362"/>
        <v>0.27631483690896896</v>
      </c>
      <c r="BG578" s="32">
        <f t="shared" si="363"/>
        <v>0.16316832445211901</v>
      </c>
      <c r="BH578" s="32">
        <f t="shared" si="341"/>
        <v>4.219289950239677</v>
      </c>
      <c r="BI578" s="32">
        <f t="shared" si="342"/>
        <v>0.26719657418966664</v>
      </c>
      <c r="BJ578" s="32">
        <f t="shared" si="368"/>
        <v>4.4864865244293437</v>
      </c>
      <c r="BK578" s="457">
        <f t="shared" si="343"/>
        <v>4.281653521142867</v>
      </c>
    </row>
    <row r="579" spans="1:63" ht="15">
      <c r="A579" s="119"/>
      <c r="B579" s="480">
        <f>Input!B596</f>
        <v>38561</v>
      </c>
      <c r="C579" s="481">
        <v>2</v>
      </c>
      <c r="D579" s="481">
        <f t="shared" si="370"/>
        <v>7</v>
      </c>
      <c r="E579" s="481">
        <f t="shared" si="371"/>
        <v>28</v>
      </c>
      <c r="F579" s="481">
        <f t="shared" si="372"/>
        <v>209</v>
      </c>
      <c r="G579" s="431">
        <v>19.3536</v>
      </c>
      <c r="H579" s="455">
        <v>28.68</v>
      </c>
      <c r="I579" s="455">
        <v>18.899999999999999</v>
      </c>
      <c r="J579" s="455">
        <v>1.36</v>
      </c>
      <c r="K579" s="485"/>
      <c r="L579" s="433">
        <v>97</v>
      </c>
      <c r="M579" s="455">
        <v>83</v>
      </c>
      <c r="N579" s="484">
        <f>Weather!M580</f>
        <v>0</v>
      </c>
      <c r="O579" s="481" t="str">
        <f t="shared" si="344"/>
        <v/>
      </c>
      <c r="P579" s="4">
        <f t="shared" si="364"/>
        <v>3.6827022385919621</v>
      </c>
      <c r="Q579" s="169">
        <f t="shared" si="325"/>
        <v>3.9321954838703852</v>
      </c>
      <c r="R579" s="169">
        <f t="shared" si="326"/>
        <v>2.1837218414652266</v>
      </c>
      <c r="S579" s="169">
        <f t="shared" si="327"/>
        <v>3.2637222516124194</v>
      </c>
      <c r="T579" s="169">
        <f t="shared" si="328"/>
        <v>2.1182101862212699</v>
      </c>
      <c r="U579" s="169">
        <f t="shared" si="365"/>
        <v>2.6909662189168446</v>
      </c>
      <c r="V579" s="169">
        <f t="shared" si="366"/>
        <v>8.5864853731721605E-2</v>
      </c>
      <c r="W579" s="439">
        <f t="shared" si="367"/>
        <v>22.28962519788919</v>
      </c>
      <c r="X579" s="439">
        <f t="shared" si="329"/>
        <v>22.28962519788919</v>
      </c>
      <c r="Y579" s="169"/>
      <c r="Z579" s="119" t="str">
        <f t="shared" si="330"/>
        <v/>
      </c>
      <c r="AA579" s="4" t="str">
        <f t="shared" si="331"/>
        <v/>
      </c>
      <c r="AB579" s="466"/>
      <c r="AC579" s="466"/>
      <c r="AD579" s="466"/>
      <c r="AE579" s="466"/>
      <c r="AF579" s="466"/>
      <c r="AG579" s="466"/>
      <c r="AH579" s="466"/>
      <c r="AI579" s="466"/>
      <c r="AJ579" s="466"/>
      <c r="AK579" s="466"/>
      <c r="AL579" s="466"/>
      <c r="AM579" s="462">
        <f t="shared" si="369"/>
        <v>209</v>
      </c>
      <c r="AN579" s="32">
        <f t="shared" si="345"/>
        <v>0.97037446801337024</v>
      </c>
      <c r="AO579" s="32">
        <f t="shared" si="356"/>
        <v>0.32879506457083074</v>
      </c>
      <c r="AP579" s="32">
        <f t="shared" si="357"/>
        <v>1.9083008272355335</v>
      </c>
      <c r="AQ579" s="32">
        <f t="shared" si="358"/>
        <v>14.578344458922629</v>
      </c>
      <c r="AR579" s="32">
        <f t="shared" si="359"/>
        <v>39.025424590795616</v>
      </c>
      <c r="AS579" s="32">
        <f t="shared" si="332"/>
        <v>29.297166748802088</v>
      </c>
      <c r="AT579" s="32">
        <f t="shared" si="333"/>
        <v>14.902272</v>
      </c>
      <c r="AU579" s="32">
        <f t="shared" si="334"/>
        <v>0.66059630154480165</v>
      </c>
      <c r="AV579" s="32">
        <f t="shared" si="335"/>
        <v>0.54180500708548229</v>
      </c>
      <c r="AW579" s="32">
        <f t="shared" si="336"/>
        <v>3.9321954838703852</v>
      </c>
      <c r="AX579" s="32">
        <f t="shared" si="337"/>
        <v>2.1837218414652266</v>
      </c>
      <c r="AY579" s="32">
        <f t="shared" si="338"/>
        <v>2.6909662189168455</v>
      </c>
      <c r="AZ579" s="32">
        <f t="shared" si="350"/>
        <v>0.11034169318143494</v>
      </c>
      <c r="BA579" s="32">
        <f t="shared" si="339"/>
        <v>-2.2811806614662395</v>
      </c>
      <c r="BB579" s="32">
        <f t="shared" si="360"/>
        <v>12.621091338533761</v>
      </c>
      <c r="BC579" s="32">
        <f t="shared" si="340"/>
        <v>23.79</v>
      </c>
      <c r="BD579" s="32">
        <v>0</v>
      </c>
      <c r="BE579" s="32">
        <f t="shared" si="361"/>
        <v>3.0579586626678061</v>
      </c>
      <c r="BF579" s="32">
        <f t="shared" si="362"/>
        <v>0.36699244375096063</v>
      </c>
      <c r="BG579" s="32">
        <f t="shared" si="363"/>
        <v>0.17717633758675444</v>
      </c>
      <c r="BH579" s="32">
        <f t="shared" si="341"/>
        <v>3.3137638219515826</v>
      </c>
      <c r="BI579" s="32">
        <f t="shared" si="342"/>
        <v>0.36893841664037974</v>
      </c>
      <c r="BJ579" s="32">
        <f t="shared" si="368"/>
        <v>3.6827022385919621</v>
      </c>
      <c r="BK579" s="457">
        <f t="shared" si="343"/>
        <v>4.7650530079645712</v>
      </c>
    </row>
    <row r="580" spans="1:63" ht="15">
      <c r="A580" s="119"/>
      <c r="B580" s="480">
        <f>Input!B597</f>
        <v>38562</v>
      </c>
      <c r="C580" s="481">
        <v>2</v>
      </c>
      <c r="D580" s="481">
        <f t="shared" si="370"/>
        <v>7</v>
      </c>
      <c r="E580" s="481">
        <f t="shared" si="371"/>
        <v>29</v>
      </c>
      <c r="F580" s="481">
        <f t="shared" si="372"/>
        <v>210</v>
      </c>
      <c r="G580" s="431">
        <v>24.364799999999999</v>
      </c>
      <c r="H580" s="455">
        <v>28.79</v>
      </c>
      <c r="I580" s="455">
        <v>21.1</v>
      </c>
      <c r="J580" s="455">
        <v>1.88</v>
      </c>
      <c r="K580" s="485"/>
      <c r="L580" s="433">
        <v>100</v>
      </c>
      <c r="M580" s="455">
        <v>79</v>
      </c>
      <c r="N580" s="484">
        <f>Weather!M581</f>
        <v>0.4</v>
      </c>
      <c r="O580" s="481" t="str">
        <f t="shared" si="344"/>
        <v/>
      </c>
      <c r="P580" s="4">
        <f t="shared" si="364"/>
        <v>4.5469371783869423</v>
      </c>
      <c r="Q580" s="169">
        <f t="shared" si="325"/>
        <v>3.9573215315138843</v>
      </c>
      <c r="R580" s="169">
        <f t="shared" si="326"/>
        <v>2.5023227554890153</v>
      </c>
      <c r="S580" s="169">
        <f t="shared" si="327"/>
        <v>3.1262840098959686</v>
      </c>
      <c r="T580" s="169">
        <f t="shared" si="328"/>
        <v>2.5023227554890153</v>
      </c>
      <c r="U580" s="169">
        <f t="shared" si="365"/>
        <v>2.8143033826924917</v>
      </c>
      <c r="V580" s="169">
        <f t="shared" si="366"/>
        <v>8.8459784042887402E-2</v>
      </c>
      <c r="W580" s="439">
        <f t="shared" si="367"/>
        <v>23.028612875117314</v>
      </c>
      <c r="X580" s="439">
        <f t="shared" si="329"/>
        <v>23.028612875117314</v>
      </c>
      <c r="Y580" s="169"/>
      <c r="Z580" s="119" t="str">
        <f t="shared" si="330"/>
        <v/>
      </c>
      <c r="AA580" s="4" t="str">
        <f t="shared" si="331"/>
        <v/>
      </c>
      <c r="AB580" s="466"/>
      <c r="AC580" s="466"/>
      <c r="AD580" s="466"/>
      <c r="AE580" s="466"/>
      <c r="AF580" s="466"/>
      <c r="AG580" s="466"/>
      <c r="AH580" s="466"/>
      <c r="AI580" s="466"/>
      <c r="AJ580" s="466"/>
      <c r="AK580" s="466"/>
      <c r="AL580" s="466"/>
      <c r="AM580" s="462">
        <f t="shared" si="369"/>
        <v>210</v>
      </c>
      <c r="AN580" s="32">
        <f t="shared" si="345"/>
        <v>0.97062908997765562</v>
      </c>
      <c r="AO580" s="32">
        <f t="shared" si="356"/>
        <v>0.3245590510253783</v>
      </c>
      <c r="AP580" s="32">
        <f t="shared" si="357"/>
        <v>1.9034476534285161</v>
      </c>
      <c r="AQ580" s="32">
        <f t="shared" si="358"/>
        <v>14.541268942071225</v>
      </c>
      <c r="AR580" s="32">
        <f t="shared" si="359"/>
        <v>38.874990333096584</v>
      </c>
      <c r="AS580" s="32">
        <f t="shared" si="332"/>
        <v>29.184232742862271</v>
      </c>
      <c r="AT580" s="32">
        <f t="shared" si="333"/>
        <v>18.760895999999999</v>
      </c>
      <c r="AU580" s="32">
        <f t="shared" si="334"/>
        <v>0.83486176301684734</v>
      </c>
      <c r="AV580" s="32">
        <f t="shared" si="335"/>
        <v>0.77706338007274389</v>
      </c>
      <c r="AW580" s="32">
        <f t="shared" si="336"/>
        <v>3.9573215315138843</v>
      </c>
      <c r="AX580" s="32">
        <f t="shared" si="337"/>
        <v>2.5023227554890153</v>
      </c>
      <c r="AY580" s="32">
        <f t="shared" si="338"/>
        <v>2.8143033826924926</v>
      </c>
      <c r="AZ580" s="32">
        <f t="shared" si="350"/>
        <v>0.10513760134757022</v>
      </c>
      <c r="BA580" s="32">
        <f t="shared" si="339"/>
        <v>-3.1641909158406074</v>
      </c>
      <c r="BB580" s="32">
        <f t="shared" si="360"/>
        <v>15.596705084159392</v>
      </c>
      <c r="BC580" s="32">
        <f t="shared" si="340"/>
        <v>24.945</v>
      </c>
      <c r="BD580" s="32">
        <v>0</v>
      </c>
      <c r="BE580" s="32">
        <f t="shared" si="361"/>
        <v>3.2298221435014498</v>
      </c>
      <c r="BF580" s="32">
        <f t="shared" si="362"/>
        <v>0.41551876080895722</v>
      </c>
      <c r="BG580" s="32">
        <f t="shared" si="363"/>
        <v>0.18818937386163354</v>
      </c>
      <c r="BH580" s="32">
        <f t="shared" si="341"/>
        <v>4.0158669742792918</v>
      </c>
      <c r="BI580" s="32">
        <f t="shared" si="342"/>
        <v>0.53107020410765071</v>
      </c>
      <c r="BJ580" s="32">
        <f t="shared" si="368"/>
        <v>4.5469371783869423</v>
      </c>
      <c r="BK580" s="457">
        <f t="shared" si="343"/>
        <v>4.3259404527407197</v>
      </c>
    </row>
    <row r="581" spans="1:63" ht="15">
      <c r="A581" s="119"/>
      <c r="B581" s="480">
        <f>Input!B598</f>
        <v>38563</v>
      </c>
      <c r="C581" s="481">
        <v>2</v>
      </c>
      <c r="D581" s="481">
        <f t="shared" si="370"/>
        <v>7</v>
      </c>
      <c r="E581" s="481">
        <f t="shared" si="371"/>
        <v>30</v>
      </c>
      <c r="F581" s="481">
        <f t="shared" si="372"/>
        <v>211</v>
      </c>
      <c r="G581" s="431">
        <v>25.401599999999998</v>
      </c>
      <c r="H581" s="455">
        <v>27.51</v>
      </c>
      <c r="I581" s="455">
        <v>19.3</v>
      </c>
      <c r="J581" s="455">
        <v>2.13</v>
      </c>
      <c r="K581" s="485"/>
      <c r="L581" s="433">
        <v>100</v>
      </c>
      <c r="M581" s="455">
        <v>80</v>
      </c>
      <c r="N581" s="484">
        <f>Weather!M582</f>
        <v>0</v>
      </c>
      <c r="O581" s="481" t="str">
        <f t="shared" si="344"/>
        <v/>
      </c>
      <c r="P581" s="4">
        <f t="shared" si="364"/>
        <v>4.4553960861591095</v>
      </c>
      <c r="Q581" s="169">
        <f t="shared" si="325"/>
        <v>3.6734164626068044</v>
      </c>
      <c r="R581" s="169">
        <f t="shared" si="326"/>
        <v>2.238858124675362</v>
      </c>
      <c r="S581" s="169">
        <f t="shared" si="327"/>
        <v>2.9387331700854435</v>
      </c>
      <c r="T581" s="169">
        <f t="shared" si="328"/>
        <v>2.238858124675362</v>
      </c>
      <c r="U581" s="169">
        <f t="shared" si="365"/>
        <v>2.5887956473804028</v>
      </c>
      <c r="V581" s="169">
        <f t="shared" si="366"/>
        <v>8.3623536316802638E-2</v>
      </c>
      <c r="W581" s="439">
        <f t="shared" si="367"/>
        <v>21.654708467979091</v>
      </c>
      <c r="X581" s="439">
        <f t="shared" ref="X581:X582" si="373">IF(AND(K581="",W581=""),"",IF(K581="",W581,K581))</f>
        <v>21.654708467979091</v>
      </c>
      <c r="Y581" s="169"/>
      <c r="Z581" s="119" t="str">
        <f t="shared" si="330"/>
        <v/>
      </c>
      <c r="AA581" s="4" t="str">
        <f t="shared" ref="AA581:AA582" si="374">IF(Z581=3,$P$1+0.1654*($AA$1-7.3)*($P$1-1),"")</f>
        <v/>
      </c>
      <c r="AB581" s="466"/>
      <c r="AC581" s="466"/>
      <c r="AD581" s="466"/>
      <c r="AE581" s="466"/>
      <c r="AF581" s="466"/>
      <c r="AG581" s="466"/>
      <c r="AH581" s="466"/>
      <c r="AI581" s="466"/>
      <c r="AJ581" s="466"/>
      <c r="AK581" s="466"/>
      <c r="AL581" s="466"/>
      <c r="AM581" s="462">
        <f t="shared" si="369"/>
        <v>211</v>
      </c>
      <c r="AN581" s="32">
        <f t="shared" si="345"/>
        <v>0.97089241517645686</v>
      </c>
      <c r="AO581" s="32">
        <f t="shared" si="356"/>
        <v>0.32022686362854907</v>
      </c>
      <c r="AP581" s="32">
        <f t="shared" si="357"/>
        <v>1.8985069455029808</v>
      </c>
      <c r="AQ581" s="32">
        <f t="shared" si="358"/>
        <v>14.503524713812558</v>
      </c>
      <c r="AR581" s="32">
        <f t="shared" si="359"/>
        <v>38.721017194280599</v>
      </c>
      <c r="AS581" s="32">
        <f t="shared" ref="AS581:AS582" si="375">AR581*(0.75+2*10^-5*E$2)</f>
        <v>29.068642028090334</v>
      </c>
      <c r="AT581" s="32">
        <f t="shared" si="333"/>
        <v>19.559231999999998</v>
      </c>
      <c r="AU581" s="32">
        <f t="shared" si="334"/>
        <v>0.87384887038938008</v>
      </c>
      <c r="AV581" s="32">
        <f t="shared" ref="AV581:AV582" si="376">IF(G581="","",1.35*AU581-0.35)</f>
        <v>0.82969597502566328</v>
      </c>
      <c r="AW581" s="32">
        <f t="shared" si="336"/>
        <v>3.6734164626068044</v>
      </c>
      <c r="AX581" s="32">
        <f t="shared" si="337"/>
        <v>2.238858124675362</v>
      </c>
      <c r="AY581" s="32">
        <f t="shared" si="338"/>
        <v>2.5887956473804028</v>
      </c>
      <c r="AZ581" s="32">
        <f t="shared" si="350"/>
        <v>0.11474371332045827</v>
      </c>
      <c r="BA581" s="32">
        <f t="shared" ref="BA581:BA582" si="377">IF(AV581="","",IF(AZ581="","",IF(H581="","",IF(I581="","",-AV581*AZ581*BA$1*(((H581+273.15)^4+(I581+273.15)^4)/2)))))</f>
        <v>-3.6121350901720573</v>
      </c>
      <c r="BB581" s="32">
        <f t="shared" si="360"/>
        <v>15.947096909827941</v>
      </c>
      <c r="BC581" s="32">
        <f t="shared" si="340"/>
        <v>23.405000000000001</v>
      </c>
      <c r="BD581" s="32">
        <v>0</v>
      </c>
      <c r="BE581" s="32">
        <f t="shared" si="361"/>
        <v>2.956137293641083</v>
      </c>
      <c r="BF581" s="32">
        <f t="shared" si="362"/>
        <v>0.36734164626068022</v>
      </c>
      <c r="BG581" s="32">
        <f t="shared" si="363"/>
        <v>0.17362832721433041</v>
      </c>
      <c r="BH581" s="32">
        <f t="shared" si="341"/>
        <v>3.9043377222082092</v>
      </c>
      <c r="BI581" s="32">
        <f t="shared" si="342"/>
        <v>0.55105836395090058</v>
      </c>
      <c r="BJ581" s="32">
        <f t="shared" si="368"/>
        <v>4.4553960861591095</v>
      </c>
      <c r="BK581" s="457">
        <f t="shared" si="343"/>
        <v>4.2917064250178338</v>
      </c>
    </row>
    <row r="582" spans="1:63" ht="15">
      <c r="A582" s="119"/>
      <c r="B582" s="480">
        <f>Input!B599</f>
        <v>38564</v>
      </c>
      <c r="C582" s="481">
        <v>2</v>
      </c>
      <c r="D582" s="481">
        <f t="shared" si="370"/>
        <v>7</v>
      </c>
      <c r="E582" s="481">
        <f t="shared" si="371"/>
        <v>31</v>
      </c>
      <c r="F582" s="481">
        <f t="shared" si="372"/>
        <v>212</v>
      </c>
      <c r="G582" s="431">
        <v>22.982399999999998</v>
      </c>
      <c r="H582" s="455">
        <v>26.56</v>
      </c>
      <c r="I582" s="455">
        <v>16.7</v>
      </c>
      <c r="J582" s="455">
        <v>2.16</v>
      </c>
      <c r="K582" s="485"/>
      <c r="L582" s="433">
        <v>100</v>
      </c>
      <c r="M582" s="455">
        <v>83</v>
      </c>
      <c r="N582" s="484">
        <f>Weather!M583</f>
        <v>16.399999999999999</v>
      </c>
      <c r="O582" s="481">
        <f t="shared" ref="O582" si="378">IF(AND(N582&lt;&gt;"",P582&lt;&gt;"",N582&gt;(P582*2)),1,"")</f>
        <v>1</v>
      </c>
      <c r="P582" s="4">
        <f t="shared" si="364"/>
        <v>3.8584668114409286</v>
      </c>
      <c r="Q582" s="169">
        <f t="shared" si="325"/>
        <v>3.4743340964714533</v>
      </c>
      <c r="R582" s="169">
        <f t="shared" si="326"/>
        <v>1.9011953088739362</v>
      </c>
      <c r="S582" s="169">
        <f t="shared" si="327"/>
        <v>2.8836973000713062</v>
      </c>
      <c r="T582" s="169">
        <f t="shared" si="328"/>
        <v>1.9011953088739362</v>
      </c>
      <c r="U582" s="169">
        <f t="shared" si="365"/>
        <v>2.392446304472621</v>
      </c>
      <c r="V582" s="169">
        <f t="shared" si="366"/>
        <v>7.9056288735329827E-2</v>
      </c>
      <c r="W582" s="439">
        <f t="shared" si="367"/>
        <v>20.370471167159437</v>
      </c>
      <c r="X582" s="439">
        <f t="shared" si="373"/>
        <v>20.370471167159437</v>
      </c>
      <c r="Y582" s="169"/>
      <c r="Z582" s="119" t="str">
        <f t="shared" si="330"/>
        <v/>
      </c>
      <c r="AA582" s="4" t="str">
        <f t="shared" si="374"/>
        <v/>
      </c>
      <c r="AB582" s="466"/>
      <c r="AC582" s="466"/>
      <c r="AD582" s="466"/>
      <c r="AE582" s="466"/>
      <c r="AF582" s="466"/>
      <c r="AG582" s="466"/>
      <c r="AH582" s="466"/>
      <c r="AI582" s="466"/>
      <c r="AJ582" s="466"/>
      <c r="AK582" s="466"/>
      <c r="AL582" s="466"/>
      <c r="AM582" s="462">
        <f t="shared" si="369"/>
        <v>212</v>
      </c>
      <c r="AN582" s="32">
        <f t="shared" ref="AN582" si="379">1+0.033*COS(2*PI()/365*AM582)</f>
        <v>0.9711643655808343</v>
      </c>
      <c r="AO582" s="32">
        <f t="shared" si="356"/>
        <v>0.31579978610096521</v>
      </c>
      <c r="AP582" s="32">
        <f t="shared" si="357"/>
        <v>1.893481183531474</v>
      </c>
      <c r="AQ582" s="32">
        <f t="shared" si="358"/>
        <v>14.465130720505266</v>
      </c>
      <c r="AR582" s="32">
        <f t="shared" si="359"/>
        <v>38.563532713605952</v>
      </c>
      <c r="AS582" s="32">
        <f t="shared" si="375"/>
        <v>28.95041527875826</v>
      </c>
      <c r="AT582" s="32">
        <f t="shared" si="333"/>
        <v>17.696448</v>
      </c>
      <c r="AU582" s="32">
        <f t="shared" si="334"/>
        <v>0.79385389738650269</v>
      </c>
      <c r="AV582" s="32">
        <f t="shared" si="376"/>
        <v>0.7217027614717787</v>
      </c>
      <c r="AW582" s="32">
        <f t="shared" si="336"/>
        <v>3.4743340964714533</v>
      </c>
      <c r="AX582" s="32">
        <f t="shared" si="337"/>
        <v>1.9011953088739362</v>
      </c>
      <c r="AY582" s="32">
        <f t="shared" si="338"/>
        <v>2.3924463044726205</v>
      </c>
      <c r="AZ582" s="32">
        <f t="shared" ref="AZ582" si="380">IF(AY582="","",0.34-0.14*SQRT(AY582))</f>
        <v>0.12345451385987433</v>
      </c>
      <c r="BA582" s="32">
        <f t="shared" si="377"/>
        <v>-3.3020355437990512</v>
      </c>
      <c r="BB582" s="32">
        <f t="shared" si="360"/>
        <v>14.39441245620095</v>
      </c>
      <c r="BC582" s="32">
        <f t="shared" si="340"/>
        <v>21.63</v>
      </c>
      <c r="BD582" s="32">
        <v>0</v>
      </c>
      <c r="BE582" s="32">
        <f t="shared" si="361"/>
        <v>2.6877647026726947</v>
      </c>
      <c r="BF582" s="32">
        <f t="shared" si="362"/>
        <v>0.29531839820007422</v>
      </c>
      <c r="BG582" s="32">
        <f t="shared" si="363"/>
        <v>0.15803565510282325</v>
      </c>
      <c r="BH582" s="32">
        <f t="shared" si="341"/>
        <v>3.3819544128444283</v>
      </c>
      <c r="BI582" s="32">
        <f t="shared" si="342"/>
        <v>0.47651239859650019</v>
      </c>
      <c r="BJ582" s="32">
        <f t="shared" si="368"/>
        <v>3.8584668114409286</v>
      </c>
      <c r="BK582" s="457">
        <f t="shared" si="343"/>
        <v>4.4823296980823377</v>
      </c>
    </row>
  </sheetData>
  <phoneticPr fontId="0" type="noConversion"/>
  <pageMargins left="0.7" right="0.7" top="0.75" bottom="0.75" header="0.3" footer="0.3"/>
  <pageSetup paperSize="9" orientation="portrait" r:id="rId1"/>
  <legacyDrawing r:id="rId2"/>
  <oleObjects>
    <oleObject progId="Equation.3" shapeId="2049" r:id="rId3"/>
    <oleObject progId="Equation.3" shapeId="2052" r:id="rId4"/>
    <oleObject progId="Equation.3" shapeId="2054" r:id="rId5"/>
  </oleObjects>
</worksheet>
</file>

<file path=xl/worksheets/sheet18.xml><?xml version="1.0" encoding="utf-8"?>
<worksheet xmlns="http://schemas.openxmlformats.org/spreadsheetml/2006/main" xmlns:r="http://schemas.openxmlformats.org/officeDocument/2006/relationships">
  <sheetPr>
    <tabColor rgb="FF00CC00"/>
  </sheetPr>
  <dimension ref="A1:V155"/>
  <sheetViews>
    <sheetView workbookViewId="0">
      <pane xSplit="1" ySplit="3" topLeftCell="B4" activePane="bottomRight" state="frozen"/>
      <selection pane="topRight" activeCell="B1" sqref="B1"/>
      <selection pane="bottomLeft" activeCell="A4" sqref="A4"/>
      <selection pane="bottomRight" activeCell="A24" sqref="A24"/>
    </sheetView>
  </sheetViews>
  <sheetFormatPr defaultRowHeight="12.75"/>
  <cols>
    <col min="2" max="2" width="22" customWidth="1"/>
    <col min="3" max="3" width="6.28515625" bestFit="1" customWidth="1"/>
    <col min="15" max="17" width="9.7109375" bestFit="1" customWidth="1"/>
    <col min="18" max="18" width="9.42578125" bestFit="1" customWidth="1"/>
    <col min="19" max="19" width="9.7109375" bestFit="1" customWidth="1"/>
    <col min="22" max="22" width="12.140625" bestFit="1" customWidth="1"/>
  </cols>
  <sheetData>
    <row r="1" spans="1:22">
      <c r="A1" s="83" t="s">
        <v>215</v>
      </c>
      <c r="B1" s="82" t="s">
        <v>238</v>
      </c>
      <c r="C1" s="82" t="s">
        <v>238</v>
      </c>
      <c r="D1" s="508" t="s">
        <v>208</v>
      </c>
      <c r="E1" s="508"/>
      <c r="F1" s="508"/>
      <c r="G1" s="509" t="s">
        <v>239</v>
      </c>
      <c r="H1" s="509"/>
      <c r="I1" s="509"/>
      <c r="J1" s="510"/>
      <c r="K1" s="511" t="s">
        <v>240</v>
      </c>
      <c r="L1" s="512"/>
      <c r="M1" s="513" t="s">
        <v>241</v>
      </c>
      <c r="N1" s="514"/>
      <c r="O1" s="506" t="s">
        <v>244</v>
      </c>
      <c r="P1" s="507"/>
      <c r="Q1" s="507"/>
      <c r="R1" s="507"/>
      <c r="S1" s="507"/>
      <c r="T1" s="517" t="s">
        <v>209</v>
      </c>
      <c r="U1" s="518"/>
      <c r="V1" s="518"/>
    </row>
    <row r="2" spans="1:22">
      <c r="A2" s="83" t="s">
        <v>242</v>
      </c>
      <c r="B2" s="82" t="s">
        <v>243</v>
      </c>
      <c r="C2" s="82" t="s">
        <v>255</v>
      </c>
      <c r="D2" s="508"/>
      <c r="E2" s="508"/>
      <c r="F2" s="508"/>
      <c r="G2" s="509"/>
      <c r="H2" s="509"/>
      <c r="I2" s="509"/>
      <c r="J2" s="510"/>
      <c r="K2" s="512"/>
      <c r="L2" s="512"/>
      <c r="M2" s="514"/>
      <c r="N2" s="514"/>
      <c r="O2" s="507"/>
      <c r="P2" s="507"/>
      <c r="Q2" s="507"/>
      <c r="R2" s="507"/>
      <c r="S2" s="507"/>
      <c r="T2" s="518"/>
      <c r="U2" s="518"/>
      <c r="V2" s="518"/>
    </row>
    <row r="3" spans="1:22">
      <c r="A3" s="83">
        <f>Input!K2</f>
        <v>2004</v>
      </c>
      <c r="B3" s="81"/>
      <c r="C3" s="81"/>
      <c r="D3" s="84" t="s">
        <v>56</v>
      </c>
      <c r="E3" s="84" t="s">
        <v>57</v>
      </c>
      <c r="F3" s="84" t="s">
        <v>58</v>
      </c>
      <c r="G3" s="85" t="s">
        <v>56</v>
      </c>
      <c r="H3" s="85" t="s">
        <v>57</v>
      </c>
      <c r="I3" s="85" t="s">
        <v>58</v>
      </c>
      <c r="J3" s="85" t="s">
        <v>200</v>
      </c>
      <c r="K3" s="86" t="s">
        <v>59</v>
      </c>
      <c r="L3" s="86" t="s">
        <v>60</v>
      </c>
      <c r="M3" s="87" t="s">
        <v>59</v>
      </c>
      <c r="N3" s="87" t="s">
        <v>60</v>
      </c>
      <c r="O3" s="88" t="s">
        <v>86</v>
      </c>
      <c r="P3" s="88" t="s">
        <v>56</v>
      </c>
      <c r="Q3" s="88" t="s">
        <v>57</v>
      </c>
      <c r="R3" s="88" t="s">
        <v>58</v>
      </c>
      <c r="S3" s="89" t="s">
        <v>200</v>
      </c>
      <c r="T3" s="90" t="s">
        <v>203</v>
      </c>
      <c r="U3" s="91" t="s">
        <v>205</v>
      </c>
      <c r="V3" s="90" t="s">
        <v>204</v>
      </c>
    </row>
    <row r="4" spans="1:22">
      <c r="A4" s="92">
        <v>1</v>
      </c>
      <c r="B4" s="93" t="str">
        <f>IF(ISNA(VLOOKUP($A4,Kc_Info!$A$4:$V$155,2,FALSE)),"",VLOOKUP($A4,Kc_Info!$A$4:$V$155,2,FALSE))</f>
        <v>Almonds</v>
      </c>
      <c r="C4" s="94">
        <f>IF(ISNA(VLOOKUP($A4,Kc_Info!$A$4:$V$155,3,FALSE)),"",VLOOKUP($A4,Kc_Info!$A$4:$V$155,3,FALSE))</f>
        <v>3</v>
      </c>
      <c r="D4" s="94">
        <f>IF(ISNA(VLOOKUP($A4,Kc_Info!$A$4:$V$155,4,FALSE)),"",VLOOKUP($A4,Kc_Info!$A$4:$V$155,4,FALSE))</f>
        <v>0</v>
      </c>
      <c r="E4" s="94">
        <f>IF(ISNA(VLOOKUP($A4,Kc_Info!$A$4:$V$155,5,FALSE)),"",VLOOKUP($A4,Kc_Info!$A$4:$V$155,5,FALSE))</f>
        <v>50</v>
      </c>
      <c r="F4" s="94">
        <f>IF(ISNA(VLOOKUP($A4,Kc_Info!$A$4:$V$155,6,FALSE)),"",VLOOKUP($A4,Kc_Info!$A$4:$V$155,6,FALSE))</f>
        <v>90</v>
      </c>
      <c r="G4" s="101">
        <f>IF(ISNA(VLOOKUP($A4,Kc_Info!$A$4:$V$155,7,FALSE)),"",VLOOKUP($A4,Kc_Info!$A$4:$V$155,7,FALSE))</f>
        <v>0.55000000000000004</v>
      </c>
      <c r="H4" s="101">
        <f>IF(ISNA(VLOOKUP($A4,Kc_Info!$A$4:$V$155,8,FALSE)),"",VLOOKUP($A4,Kc_Info!$A$4:$V$155,8,FALSE))</f>
        <v>1.1499999999999999</v>
      </c>
      <c r="I4" s="101">
        <f>IF(ISNA(VLOOKUP($A4,Kc_Info!$A$4:$V$155,9,FALSE)),"",VLOOKUP($A4,Kc_Info!$A$4:$V$155,9,FALSE))</f>
        <v>1.1499999999999999</v>
      </c>
      <c r="J4" s="101">
        <f>IF(ISNA(VLOOKUP($A4,Kc_Info!$A$4:$V$155,10,FALSE)),"",VLOOKUP($A4,Kc_Info!$A$4:$V$155,10,FALSE))</f>
        <v>0.65</v>
      </c>
      <c r="K4" s="94">
        <f>IF(ISNA(VLOOKUP($A4,Kc_Info!$A$4:$V$155,11,FALSE)),"",VLOOKUP($A4,Kc_Info!$A$4:$V$155,11,FALSE))</f>
        <v>2</v>
      </c>
      <c r="L4" s="94">
        <f>IF(ISNA(VLOOKUP($A4,Kc_Info!$A$4:$V$155,12,FALSE)),"",VLOOKUP($A4,Kc_Info!$A$4:$V$155,12,FALSE))</f>
        <v>25</v>
      </c>
      <c r="M4" s="94">
        <f>IF(ISNA(VLOOKUP($A4,Kc_Info!$A$4:$V$155,13,FALSE)),"",VLOOKUP($A4,Kc_Info!$A$4:$V$155,13,FALSE))</f>
        <v>11</v>
      </c>
      <c r="N4" s="94">
        <f>IF(ISNA(VLOOKUP($A4,Kc_Info!$A$4:$V$155,14,FALSE)),"",VLOOKUP($A4,Kc_Info!$A$4:$V$155,14,FALSE))</f>
        <v>5</v>
      </c>
      <c r="O4" s="100">
        <f>IF(ISNA(VLOOKUP($A4,Kc_Info!$A$4:$V$155,15,FALSE)),"",VLOOKUP($A4,Kc_Info!$A$4:$V$155,15,FALSE))</f>
        <v>38042</v>
      </c>
      <c r="P4" s="100">
        <f>IF(ISNA(VLOOKUP($A4,Kc_Info!$A$4:$V$155,16,FALSE)),"",VLOOKUP($A4,Kc_Info!$A$4:$V$155,16,FALSE))</f>
        <v>38042</v>
      </c>
      <c r="Q4" s="100">
        <f>IF(ISNA(VLOOKUP($A4,Kc_Info!$A$4:$V$155,17,FALSE)),"",VLOOKUP($A4,Kc_Info!$A$4:$V$155,17,FALSE))</f>
        <v>38169</v>
      </c>
      <c r="R4" s="100">
        <f>IF(ISNA(VLOOKUP($A4,Kc_Info!$A$4:$V$155,18,FALSE)),"",VLOOKUP($A4,Kc_Info!$A$4:$V$155,18,FALSE))</f>
        <v>38270</v>
      </c>
      <c r="S4" s="100">
        <f>IF(ISNA(VLOOKUP($A4,Kc_Info!$A$4:$V$155,19,FALSE)),"",VLOOKUP($A4,Kc_Info!$A$4:$V$155,19,FALSE))</f>
        <v>38296</v>
      </c>
      <c r="T4" s="94">
        <f>IF(ISNA(VLOOKUP($A4,Kc_Info!$A$4:$V$155,20,FALSE)),"",VLOOKUP($A4,Kc_Info!$A$4:$V$155,20,FALSE))</f>
        <v>4.7244094488188967E-3</v>
      </c>
      <c r="U4" s="94">
        <f>IF(ISNA(VLOOKUP($A4,Kc_Info!$A$4:$V$155,21,FALSE)),"",VLOOKUP($A4,Kc_Info!$A$4:$V$155,21,FALSE))</f>
        <v>0</v>
      </c>
      <c r="V4" s="94">
        <f>IF(ISNA(VLOOKUP($A4,Kc_Info!$A$4:$V$155,22,FALSE)),"",VLOOKUP($A4,Kc_Info!$A$4:$V$155,22,FALSE))</f>
        <v>-1.9230769230769225E-2</v>
      </c>
    </row>
    <row r="5" spans="1:22">
      <c r="A5" s="92">
        <v>5</v>
      </c>
      <c r="B5" s="93" t="str">
        <f>IF(ISNA(VLOOKUP($A5,Kc_Info!$A$4:$V$155,2,FALSE)),"",VLOOKUP($A5,Kc_Info!$A$4:$V$155,2,FALSE))</f>
        <v>Avocado</v>
      </c>
      <c r="C5" s="94">
        <f>IF(ISNA(VLOOKUP($A5,Kc_Info!$A$4:$V$155,3,FALSE)),"",VLOOKUP($A5,Kc_Info!$A$4:$V$155,3,FALSE))</f>
        <v>3</v>
      </c>
      <c r="D5" s="94">
        <f>IF(ISNA(VLOOKUP($A5,Kc_Info!$A$4:$V$155,4,FALSE)),"",VLOOKUP($A5,Kc_Info!$A$4:$V$155,4,FALSE))</f>
        <v>0</v>
      </c>
      <c r="E5" s="94">
        <f>IF(ISNA(VLOOKUP($A5,Kc_Info!$A$4:$V$155,5,FALSE)),"",VLOOKUP($A5,Kc_Info!$A$4:$V$155,5,FALSE))</f>
        <v>33</v>
      </c>
      <c r="F5" s="94">
        <f>IF(ISNA(VLOOKUP($A5,Kc_Info!$A$4:$V$155,6,FALSE)),"",VLOOKUP($A5,Kc_Info!$A$4:$V$155,6,FALSE))</f>
        <v>67</v>
      </c>
      <c r="G5" s="101">
        <f>IF(ISNA(VLOOKUP($A5,Kc_Info!$A$4:$V$155,7,FALSE)),"",VLOOKUP($A5,Kc_Info!$A$4:$V$155,7,FALSE))</f>
        <v>0.7</v>
      </c>
      <c r="H5" s="101">
        <f>IF(ISNA(VLOOKUP($A5,Kc_Info!$A$4:$V$155,8,FALSE)),"",VLOOKUP($A5,Kc_Info!$A$4:$V$155,8,FALSE))</f>
        <v>0.7</v>
      </c>
      <c r="I5" s="101">
        <f>IF(ISNA(VLOOKUP($A5,Kc_Info!$A$4:$V$155,9,FALSE)),"",VLOOKUP($A5,Kc_Info!$A$4:$V$155,9,FALSE))</f>
        <v>0.7</v>
      </c>
      <c r="J5" s="101">
        <f>IF(ISNA(VLOOKUP($A5,Kc_Info!$A$4:$V$155,10,FALSE)),"",VLOOKUP($A5,Kc_Info!$A$4:$V$155,10,FALSE))</f>
        <v>0.7</v>
      </c>
      <c r="K5" s="94">
        <f>IF(ISNA(VLOOKUP($A5,Kc_Info!$A$4:$V$155,11,FALSE)),"",VLOOKUP($A5,Kc_Info!$A$4:$V$155,11,FALSE))</f>
        <v>1</v>
      </c>
      <c r="L5" s="94">
        <f>IF(ISNA(VLOOKUP($A5,Kc_Info!$A$4:$V$155,12,FALSE)),"",VLOOKUP($A5,Kc_Info!$A$4:$V$155,12,FALSE))</f>
        <v>1</v>
      </c>
      <c r="M5" s="94">
        <f>IF(ISNA(VLOOKUP($A5,Kc_Info!$A$4:$V$155,13,FALSE)),"",VLOOKUP($A5,Kc_Info!$A$4:$V$155,13,FALSE))</f>
        <v>12</v>
      </c>
      <c r="N5" s="94">
        <f>IF(ISNA(VLOOKUP($A5,Kc_Info!$A$4:$V$155,14,FALSE)),"",VLOOKUP($A5,Kc_Info!$A$4:$V$155,14,FALSE))</f>
        <v>31</v>
      </c>
      <c r="O5" s="100">
        <f>IF(ISNA(VLOOKUP($A5,Kc_Info!$A$4:$V$155,15,FALSE)),"",VLOOKUP($A5,Kc_Info!$A$4:$V$155,15,FALSE))</f>
        <v>37987</v>
      </c>
      <c r="P5" s="100">
        <f>IF(ISNA(VLOOKUP($A5,Kc_Info!$A$4:$V$155,16,FALSE)),"",VLOOKUP($A5,Kc_Info!$A$4:$V$155,16,FALSE))</f>
        <v>37987</v>
      </c>
      <c r="Q5" s="100">
        <f>IF(ISNA(VLOOKUP($A5,Kc_Info!$A$4:$V$155,17,FALSE)),"",VLOOKUP($A5,Kc_Info!$A$4:$V$155,17,FALSE))</f>
        <v>38107</v>
      </c>
      <c r="R5" s="100">
        <f>IF(ISNA(VLOOKUP($A5,Kc_Info!$A$4:$V$155,18,FALSE)),"",VLOOKUP($A5,Kc_Info!$A$4:$V$155,18,FALSE))</f>
        <v>38231</v>
      </c>
      <c r="S5" s="100">
        <f>IF(ISNA(VLOOKUP($A5,Kc_Info!$A$4:$V$155,19,FALSE)),"",VLOOKUP($A5,Kc_Info!$A$4:$V$155,19,FALSE))</f>
        <v>38352</v>
      </c>
      <c r="T5" s="94">
        <f>IF(ISNA(VLOOKUP($A5,Kc_Info!$A$4:$V$155,20,FALSE)),"",VLOOKUP($A5,Kc_Info!$A$4:$V$155,20,FALSE))</f>
        <v>0</v>
      </c>
      <c r="U5" s="94">
        <f>IF(ISNA(VLOOKUP($A5,Kc_Info!$A$4:$V$155,21,FALSE)),"",VLOOKUP($A5,Kc_Info!$A$4:$V$155,21,FALSE))</f>
        <v>0</v>
      </c>
      <c r="V5" s="94">
        <f>IF(ISNA(VLOOKUP($A5,Kc_Info!$A$4:$V$155,22,FALSE)),"",VLOOKUP($A5,Kc_Info!$A$4:$V$155,22,FALSE))</f>
        <v>0</v>
      </c>
    </row>
    <row r="6" spans="1:22">
      <c r="A6" s="92">
        <v>12</v>
      </c>
      <c r="B6" s="93" t="str">
        <f>IF(ISNA(VLOOKUP($A6,Kc_Info!$A$4:$V$155,2,FALSE)),"",VLOOKUP($A6,Kc_Info!$A$4:$V$155,2,FALSE))</f>
        <v>Cabbage</v>
      </c>
      <c r="C6" s="94">
        <f>IF(ISNA(VLOOKUP($A6,Kc_Info!$A$4:$V$155,3,FALSE)),"",VLOOKUP($A6,Kc_Info!$A$4:$V$155,3,FALSE))</f>
        <v>1</v>
      </c>
      <c r="D6" s="94">
        <f>IF(ISNA(VLOOKUP($A6,Kc_Info!$A$4:$V$155,4,FALSE)),"",VLOOKUP($A6,Kc_Info!$A$4:$V$155,4,FALSE))</f>
        <v>25</v>
      </c>
      <c r="E6" s="94">
        <f>IF(ISNA(VLOOKUP($A6,Kc_Info!$A$4:$V$155,5,FALSE)),"",VLOOKUP($A6,Kc_Info!$A$4:$V$155,5,FALSE))</f>
        <v>63</v>
      </c>
      <c r="F6" s="94">
        <f>IF(ISNA(VLOOKUP($A6,Kc_Info!$A$4:$V$155,6,FALSE)),"",VLOOKUP($A6,Kc_Info!$A$4:$V$155,6,FALSE))</f>
        <v>88</v>
      </c>
      <c r="G6" s="101">
        <f>IF(ISNA(VLOOKUP($A6,Kc_Info!$A$4:$V$155,7,FALSE)),"",VLOOKUP($A6,Kc_Info!$A$4:$V$155,7,FALSE))</f>
        <v>0.3</v>
      </c>
      <c r="H6" s="101">
        <f>IF(ISNA(VLOOKUP($A6,Kc_Info!$A$4:$V$155,8,FALSE)),"",VLOOKUP($A6,Kc_Info!$A$4:$V$155,8,FALSE))</f>
        <v>1</v>
      </c>
      <c r="I6" s="101">
        <f>IF(ISNA(VLOOKUP($A6,Kc_Info!$A$4:$V$155,9,FALSE)),"",VLOOKUP($A6,Kc_Info!$A$4:$V$155,9,FALSE))</f>
        <v>1</v>
      </c>
      <c r="J6" s="101">
        <f>IF(ISNA(VLOOKUP($A6,Kc_Info!$A$4:$V$155,10,FALSE)),"",VLOOKUP($A6,Kc_Info!$A$4:$V$155,10,FALSE))</f>
        <v>0.85</v>
      </c>
      <c r="K6" s="94">
        <f>IF(ISNA(VLOOKUP($A6,Kc_Info!$A$4:$V$155,11,FALSE)),"",VLOOKUP($A6,Kc_Info!$A$4:$V$155,11,FALSE))</f>
        <v>8</v>
      </c>
      <c r="L6" s="94">
        <f>IF(ISNA(VLOOKUP($A6,Kc_Info!$A$4:$V$155,12,FALSE)),"",VLOOKUP($A6,Kc_Info!$A$4:$V$155,12,FALSE))</f>
        <v>1</v>
      </c>
      <c r="M6" s="94">
        <f>IF(ISNA(VLOOKUP($A6,Kc_Info!$A$4:$V$155,13,FALSE)),"",VLOOKUP($A6,Kc_Info!$A$4:$V$155,13,FALSE))</f>
        <v>11</v>
      </c>
      <c r="N6" s="94">
        <f>IF(ISNA(VLOOKUP($A6,Kc_Info!$A$4:$V$155,14,FALSE)),"",VLOOKUP($A6,Kc_Info!$A$4:$V$155,14,FALSE))</f>
        <v>15</v>
      </c>
      <c r="O6" s="100">
        <f>IF(ISNA(VLOOKUP($A6,Kc_Info!$A$4:$V$155,15,FALSE)),"",VLOOKUP($A6,Kc_Info!$A$4:$V$155,15,FALSE))</f>
        <v>38200</v>
      </c>
      <c r="P6" s="100">
        <f>IF(ISNA(VLOOKUP($A6,Kc_Info!$A$4:$V$155,16,FALSE)),"",VLOOKUP($A6,Kc_Info!$A$4:$V$155,16,FALSE))</f>
        <v>38226</v>
      </c>
      <c r="Q6" s="100">
        <f>IF(ISNA(VLOOKUP($A6,Kc_Info!$A$4:$V$155,17,FALSE)),"",VLOOKUP($A6,Kc_Info!$A$4:$V$155,17,FALSE))</f>
        <v>38266</v>
      </c>
      <c r="R6" s="100">
        <f>IF(ISNA(VLOOKUP($A6,Kc_Info!$A$4:$V$155,18,FALSE)),"",VLOOKUP($A6,Kc_Info!$A$4:$V$155,18,FALSE))</f>
        <v>38293</v>
      </c>
      <c r="S6" s="100">
        <f>IF(ISNA(VLOOKUP($A6,Kc_Info!$A$4:$V$155,19,FALSE)),"",VLOOKUP($A6,Kc_Info!$A$4:$V$155,19,FALSE))</f>
        <v>38306</v>
      </c>
      <c r="T6" s="94">
        <f>IF(ISNA(VLOOKUP($A6,Kc_Info!$A$4:$V$155,20,FALSE)),"",VLOOKUP($A6,Kc_Info!$A$4:$V$155,20,FALSE))</f>
        <v>1.7499999999999998E-2</v>
      </c>
      <c r="U6" s="94">
        <f>IF(ISNA(VLOOKUP($A6,Kc_Info!$A$4:$V$155,21,FALSE)),"",VLOOKUP($A6,Kc_Info!$A$4:$V$155,21,FALSE))</f>
        <v>0</v>
      </c>
      <c r="V6" s="94">
        <f>IF(ISNA(VLOOKUP($A6,Kc_Info!$A$4:$V$155,22,FALSE)),"",VLOOKUP($A6,Kc_Info!$A$4:$V$155,22,FALSE))</f>
        <v>-1.1538461538461541E-2</v>
      </c>
    </row>
    <row r="7" spans="1:22">
      <c r="A7" s="92">
        <v>19</v>
      </c>
      <c r="B7" s="93" t="str">
        <f>IF(ISNA(VLOOKUP($A7,Kc_Info!$A$4:$V$155,2,FALSE)),"",VLOOKUP($A7,Kc_Info!$A$4:$V$155,2,FALSE))</f>
        <v>Cotton</v>
      </c>
      <c r="C7" s="94">
        <f>IF(ISNA(VLOOKUP($A7,Kc_Info!$A$4:$V$155,3,FALSE)),"",VLOOKUP($A7,Kc_Info!$A$4:$V$155,3,FALSE))</f>
        <v>1</v>
      </c>
      <c r="D7" s="94">
        <f>IF(ISNA(VLOOKUP($A7,Kc_Info!$A$4:$V$155,4,FALSE)),"",VLOOKUP($A7,Kc_Info!$A$4:$V$155,4,FALSE))</f>
        <v>15</v>
      </c>
      <c r="E7" s="94">
        <f>IF(ISNA(VLOOKUP($A7,Kc_Info!$A$4:$V$155,5,FALSE)),"",VLOOKUP($A7,Kc_Info!$A$4:$V$155,5,FALSE))</f>
        <v>25</v>
      </c>
      <c r="F7" s="94">
        <f>IF(ISNA(VLOOKUP($A7,Kc_Info!$A$4:$V$155,6,FALSE)),"",VLOOKUP($A7,Kc_Info!$A$4:$V$155,6,FALSE))</f>
        <v>85</v>
      </c>
      <c r="G7" s="101">
        <f>IF(ISNA(VLOOKUP($A7,Kc_Info!$A$4:$V$155,7,FALSE)),"",VLOOKUP($A7,Kc_Info!$A$4:$V$155,7,FALSE))</f>
        <v>0.35</v>
      </c>
      <c r="H7" s="101">
        <f>IF(ISNA(VLOOKUP($A7,Kc_Info!$A$4:$V$155,8,FALSE)),"",VLOOKUP($A7,Kc_Info!$A$4:$V$155,8,FALSE))</f>
        <v>0.95</v>
      </c>
      <c r="I7" s="101">
        <f>IF(ISNA(VLOOKUP($A7,Kc_Info!$A$4:$V$155,9,FALSE)),"",VLOOKUP($A7,Kc_Info!$A$4:$V$155,9,FALSE))</f>
        <v>0.95</v>
      </c>
      <c r="J7" s="101">
        <f>IF(ISNA(VLOOKUP($A7,Kc_Info!$A$4:$V$155,10,FALSE)),"",VLOOKUP($A7,Kc_Info!$A$4:$V$155,10,FALSE))</f>
        <v>0.5</v>
      </c>
      <c r="K7" s="94">
        <f>IF(ISNA(VLOOKUP($A7,Kc_Info!$A$4:$V$155,11,FALSE)),"",VLOOKUP($A7,Kc_Info!$A$4:$V$155,11,FALSE))</f>
        <v>5</v>
      </c>
      <c r="L7" s="94">
        <f>IF(ISNA(VLOOKUP($A7,Kc_Info!$A$4:$V$155,12,FALSE)),"",VLOOKUP($A7,Kc_Info!$A$4:$V$155,12,FALSE))</f>
        <v>15</v>
      </c>
      <c r="M7" s="94">
        <f>IF(ISNA(VLOOKUP($A7,Kc_Info!$A$4:$V$155,13,FALSE)),"",VLOOKUP($A7,Kc_Info!$A$4:$V$155,13,FALSE))</f>
        <v>10</v>
      </c>
      <c r="N7" s="94">
        <f>IF(ISNA(VLOOKUP($A7,Kc_Info!$A$4:$V$155,14,FALSE)),"",VLOOKUP($A7,Kc_Info!$A$4:$V$155,14,FALSE))</f>
        <v>15</v>
      </c>
      <c r="O7" s="100">
        <f>IF(ISNA(VLOOKUP($A7,Kc_Info!$A$4:$V$155,15,FALSE)),"",VLOOKUP($A7,Kc_Info!$A$4:$V$155,15,FALSE))</f>
        <v>38122</v>
      </c>
      <c r="P7" s="100">
        <f>IF(ISNA(VLOOKUP($A7,Kc_Info!$A$4:$V$155,16,FALSE)),"",VLOOKUP($A7,Kc_Info!$A$4:$V$155,16,FALSE))</f>
        <v>38144</v>
      </c>
      <c r="Q7" s="100">
        <f>IF(ISNA(VLOOKUP($A7,Kc_Info!$A$4:$V$155,17,FALSE)),"",VLOOKUP($A7,Kc_Info!$A$4:$V$155,17,FALSE))</f>
        <v>38160</v>
      </c>
      <c r="R7" s="100">
        <f>IF(ISNA(VLOOKUP($A7,Kc_Info!$A$4:$V$155,18,FALSE)),"",VLOOKUP($A7,Kc_Info!$A$4:$V$155,18,FALSE))</f>
        <v>38252</v>
      </c>
      <c r="S7" s="100">
        <f>IF(ISNA(VLOOKUP($A7,Kc_Info!$A$4:$V$155,19,FALSE)),"",VLOOKUP($A7,Kc_Info!$A$4:$V$155,19,FALSE))</f>
        <v>38275</v>
      </c>
      <c r="T7" s="94">
        <f>IF(ISNA(VLOOKUP($A7,Kc_Info!$A$4:$V$155,20,FALSE)),"",VLOOKUP($A7,Kc_Info!$A$4:$V$155,20,FALSE))</f>
        <v>3.7499999999999999E-2</v>
      </c>
      <c r="U7" s="94">
        <f>IF(ISNA(VLOOKUP($A7,Kc_Info!$A$4:$V$155,21,FALSE)),"",VLOOKUP($A7,Kc_Info!$A$4:$V$155,21,FALSE))</f>
        <v>0</v>
      </c>
      <c r="V7" s="94">
        <f>IF(ISNA(VLOOKUP($A7,Kc_Info!$A$4:$V$155,22,FALSE)),"",VLOOKUP($A7,Kc_Info!$A$4:$V$155,22,FALSE))</f>
        <v>-1.9565217391304346E-2</v>
      </c>
    </row>
    <row r="8" spans="1:22">
      <c r="A8" s="92">
        <v>33</v>
      </c>
      <c r="B8" s="93" t="str">
        <f>IF(ISNA(VLOOKUP($A8,Kc_Info!$A$4:$V$155,2,FALSE)),"",VLOOKUP($A8,Kc_Info!$A$4:$V$155,2,FALSE))</f>
        <v>Melon</v>
      </c>
      <c r="C8" s="94">
        <f>IF(ISNA(VLOOKUP($A8,Kc_Info!$A$4:$V$155,3,FALSE)),"",VLOOKUP($A8,Kc_Info!$A$4:$V$155,3,FALSE))</f>
        <v>1</v>
      </c>
      <c r="D8" s="94">
        <f>IF(ISNA(VLOOKUP($A8,Kc_Info!$A$4:$V$155,4,FALSE)),"",VLOOKUP($A8,Kc_Info!$A$4:$V$155,4,FALSE))</f>
        <v>21</v>
      </c>
      <c r="E8" s="94">
        <f>IF(ISNA(VLOOKUP($A8,Kc_Info!$A$4:$V$155,5,FALSE)),"",VLOOKUP($A8,Kc_Info!$A$4:$V$155,5,FALSE))</f>
        <v>50</v>
      </c>
      <c r="F8" s="94">
        <f>IF(ISNA(VLOOKUP($A8,Kc_Info!$A$4:$V$155,6,FALSE)),"",VLOOKUP($A8,Kc_Info!$A$4:$V$155,6,FALSE))</f>
        <v>83</v>
      </c>
      <c r="G8" s="101">
        <f>IF(ISNA(VLOOKUP($A8,Kc_Info!$A$4:$V$155,7,FALSE)),"",VLOOKUP($A8,Kc_Info!$A$4:$V$155,7,FALSE))</f>
        <v>0.8</v>
      </c>
      <c r="H8" s="101">
        <f>IF(ISNA(VLOOKUP($A8,Kc_Info!$A$4:$V$155,8,FALSE)),"",VLOOKUP($A8,Kc_Info!$A$4:$V$155,8,FALSE))</f>
        <v>0.95</v>
      </c>
      <c r="I8" s="101">
        <f>IF(ISNA(VLOOKUP($A8,Kc_Info!$A$4:$V$155,9,FALSE)),"",VLOOKUP($A8,Kc_Info!$A$4:$V$155,9,FALSE))</f>
        <v>0.95</v>
      </c>
      <c r="J8" s="101">
        <f>IF(ISNA(VLOOKUP($A8,Kc_Info!$A$4:$V$155,10,FALSE)),"",VLOOKUP($A8,Kc_Info!$A$4:$V$155,10,FALSE))</f>
        <v>0.75</v>
      </c>
      <c r="K8" s="94">
        <f>IF(ISNA(VLOOKUP($A8,Kc_Info!$A$4:$V$155,11,FALSE)),"",VLOOKUP($A8,Kc_Info!$A$4:$V$155,11,FALSE))</f>
        <v>4</v>
      </c>
      <c r="L8" s="94">
        <f>IF(ISNA(VLOOKUP($A8,Kc_Info!$A$4:$V$155,12,FALSE)),"",VLOOKUP($A8,Kc_Info!$A$4:$V$155,12,FALSE))</f>
        <v>1</v>
      </c>
      <c r="M8" s="94">
        <f>IF(ISNA(VLOOKUP($A8,Kc_Info!$A$4:$V$155,13,FALSE)),"",VLOOKUP($A8,Kc_Info!$A$4:$V$155,13,FALSE))</f>
        <v>11</v>
      </c>
      <c r="N8" s="94">
        <f>IF(ISNA(VLOOKUP($A8,Kc_Info!$A$4:$V$155,14,FALSE)),"",VLOOKUP($A8,Kc_Info!$A$4:$V$155,14,FALSE))</f>
        <v>15</v>
      </c>
      <c r="O8" s="100">
        <f>IF(ISNA(VLOOKUP($A8,Kc_Info!$A$4:$V$155,15,FALSE)),"",VLOOKUP($A8,Kc_Info!$A$4:$V$155,15,FALSE))</f>
        <v>38078</v>
      </c>
      <c r="P8" s="100">
        <f>IF(ISNA(VLOOKUP($A8,Kc_Info!$A$4:$V$155,16,FALSE)),"",VLOOKUP($A8,Kc_Info!$A$4:$V$155,16,FALSE))</f>
        <v>38125</v>
      </c>
      <c r="Q8" s="100">
        <f>IF(ISNA(VLOOKUP($A8,Kc_Info!$A$4:$V$155,17,FALSE)),"",VLOOKUP($A8,Kc_Info!$A$4:$V$155,17,FALSE))</f>
        <v>38192</v>
      </c>
      <c r="R8" s="100">
        <f>IF(ISNA(VLOOKUP($A8,Kc_Info!$A$4:$V$155,18,FALSE)),"",VLOOKUP($A8,Kc_Info!$A$4:$V$155,18,FALSE))</f>
        <v>38267</v>
      </c>
      <c r="S8" s="100">
        <f>IF(ISNA(VLOOKUP($A8,Kc_Info!$A$4:$V$155,19,FALSE)),"",VLOOKUP($A8,Kc_Info!$A$4:$V$155,19,FALSE))</f>
        <v>38306</v>
      </c>
      <c r="T8" s="94">
        <f>IF(ISNA(VLOOKUP($A8,Kc_Info!$A$4:$V$155,20,FALSE)),"",VLOOKUP($A8,Kc_Info!$A$4:$V$155,20,FALSE))</f>
        <v>2.2388059701492526E-3</v>
      </c>
      <c r="U8" s="94">
        <f>IF(ISNA(VLOOKUP($A8,Kc_Info!$A$4:$V$155,21,FALSE)),"",VLOOKUP($A8,Kc_Info!$A$4:$V$155,21,FALSE))</f>
        <v>0</v>
      </c>
      <c r="V8" s="94">
        <f>IF(ISNA(VLOOKUP($A8,Kc_Info!$A$4:$V$155,22,FALSE)),"",VLOOKUP($A8,Kc_Info!$A$4:$V$155,22,FALSE))</f>
        <v>-5.1282051282051273E-3</v>
      </c>
    </row>
    <row r="9" spans="1:22">
      <c r="A9" s="92">
        <v>55</v>
      </c>
      <c r="B9" s="93" t="str">
        <f>IF(ISNA(VLOOKUP($A9,Kc_Info!$A$4:$V$155,2,FALSE)),"",VLOOKUP($A9,Kc_Info!$A$4:$V$155,2,FALSE))</f>
        <v>Tomato</v>
      </c>
      <c r="C9" s="94">
        <f>IF(ISNA(VLOOKUP($A9,Kc_Info!$A$4:$V$155,3,FALSE)),"",VLOOKUP($A9,Kc_Info!$A$4:$V$155,3,FALSE))</f>
        <v>1</v>
      </c>
      <c r="D9" s="94">
        <f>IF(ISNA(VLOOKUP($A9,Kc_Info!$A$4:$V$155,4,FALSE)),"",VLOOKUP($A9,Kc_Info!$A$4:$V$155,4,FALSE))</f>
        <v>25</v>
      </c>
      <c r="E9" s="94">
        <f>IF(ISNA(VLOOKUP($A9,Kc_Info!$A$4:$V$155,5,FALSE)),"",VLOOKUP($A9,Kc_Info!$A$4:$V$155,5,FALSE))</f>
        <v>50</v>
      </c>
      <c r="F9" s="94">
        <f>IF(ISNA(VLOOKUP($A9,Kc_Info!$A$4:$V$155,6,FALSE)),"",VLOOKUP($A9,Kc_Info!$A$4:$V$155,6,FALSE))</f>
        <v>80</v>
      </c>
      <c r="G9" s="101">
        <f>IF(ISNA(VLOOKUP($A9,Kc_Info!$A$4:$V$155,7,FALSE)),"",VLOOKUP($A9,Kc_Info!$A$4:$V$155,7,FALSE))</f>
        <v>0.3</v>
      </c>
      <c r="H9" s="101">
        <f>IF(ISNA(VLOOKUP($A9,Kc_Info!$A$4:$V$155,8,FALSE)),"",VLOOKUP($A9,Kc_Info!$A$4:$V$155,8,FALSE))</f>
        <v>1.1000000000000001</v>
      </c>
      <c r="I9" s="101">
        <f>IF(ISNA(VLOOKUP($A9,Kc_Info!$A$4:$V$155,9,FALSE)),"",VLOOKUP($A9,Kc_Info!$A$4:$V$155,9,FALSE))</f>
        <v>1.1000000000000001</v>
      </c>
      <c r="J9" s="101">
        <f>IF(ISNA(VLOOKUP($A9,Kc_Info!$A$4:$V$155,10,FALSE)),"",VLOOKUP($A9,Kc_Info!$A$4:$V$155,10,FALSE))</f>
        <v>0.65</v>
      </c>
      <c r="K9" s="94">
        <f>IF(ISNA(VLOOKUP($A9,Kc_Info!$A$4:$V$155,11,FALSE)),"",VLOOKUP($A9,Kc_Info!$A$4:$V$155,11,FALSE))</f>
        <v>4</v>
      </c>
      <c r="L9" s="94">
        <f>IF(ISNA(VLOOKUP($A9,Kc_Info!$A$4:$V$155,12,FALSE)),"",VLOOKUP($A9,Kc_Info!$A$4:$V$155,12,FALSE))</f>
        <v>1</v>
      </c>
      <c r="M9" s="94">
        <f>IF(ISNA(VLOOKUP($A9,Kc_Info!$A$4:$V$155,13,FALSE)),"",VLOOKUP($A9,Kc_Info!$A$4:$V$155,13,FALSE))</f>
        <v>8</v>
      </c>
      <c r="N9" s="94">
        <f>IF(ISNA(VLOOKUP($A9,Kc_Info!$A$4:$V$155,14,FALSE)),"",VLOOKUP($A9,Kc_Info!$A$4:$V$155,14,FALSE))</f>
        <v>31</v>
      </c>
      <c r="O9" s="100">
        <f>IF(ISNA(VLOOKUP($A9,Kc_Info!$A$4:$V$155,15,FALSE)),"",VLOOKUP($A9,Kc_Info!$A$4:$V$155,15,FALSE))</f>
        <v>38078</v>
      </c>
      <c r="P9" s="100">
        <f>IF(ISNA(VLOOKUP($A9,Kc_Info!$A$4:$V$155,16,FALSE)),"",VLOOKUP($A9,Kc_Info!$A$4:$V$155,16,FALSE))</f>
        <v>38116</v>
      </c>
      <c r="Q9" s="100">
        <f>IF(ISNA(VLOOKUP($A9,Kc_Info!$A$4:$V$155,17,FALSE)),"",VLOOKUP($A9,Kc_Info!$A$4:$V$155,17,FALSE))</f>
        <v>38154</v>
      </c>
      <c r="R9" s="100">
        <f>IF(ISNA(VLOOKUP($A9,Kc_Info!$A$4:$V$155,18,FALSE)),"",VLOOKUP($A9,Kc_Info!$A$4:$V$155,18,FALSE))</f>
        <v>38199</v>
      </c>
      <c r="S9" s="100">
        <f>IF(ISNA(VLOOKUP($A9,Kc_Info!$A$4:$V$155,19,FALSE)),"",VLOOKUP($A9,Kc_Info!$A$4:$V$155,19,FALSE))</f>
        <v>38230</v>
      </c>
      <c r="T9" s="94">
        <f>IF(ISNA(VLOOKUP($A9,Kc_Info!$A$4:$V$155,20,FALSE)),"",VLOOKUP($A9,Kc_Info!$A$4:$V$155,20,FALSE))</f>
        <v>2.1052631578947368E-2</v>
      </c>
      <c r="U9" s="94">
        <f>IF(ISNA(VLOOKUP($A9,Kc_Info!$A$4:$V$155,21,FALSE)),"",VLOOKUP($A9,Kc_Info!$A$4:$V$155,21,FALSE))</f>
        <v>0</v>
      </c>
      <c r="V9" s="94">
        <f>IF(ISNA(VLOOKUP($A9,Kc_Info!$A$4:$V$155,22,FALSE)),"",VLOOKUP($A9,Kc_Info!$A$4:$V$155,22,FALSE))</f>
        <v>-1.4516129032258067E-2</v>
      </c>
    </row>
    <row r="10" spans="1:22">
      <c r="A10" s="92">
        <v>47</v>
      </c>
      <c r="B10" s="93" t="str">
        <f>IF(ISNA(VLOOKUP($A10,Kc_Info!$A$4:$V$155,2,FALSE)),"",VLOOKUP($A10,Kc_Info!$A$4:$V$155,2,FALSE))</f>
        <v>Sorghum</v>
      </c>
      <c r="C10" s="94">
        <f>IF(ISNA(VLOOKUP($A10,Kc_Info!$A$4:$V$155,3,FALSE)),"",VLOOKUP($A10,Kc_Info!$A$4:$V$155,3,FALSE))</f>
        <v>1</v>
      </c>
      <c r="D10" s="94">
        <f>IF(ISNA(VLOOKUP($A10,Kc_Info!$A$4:$V$155,4,FALSE)),"",VLOOKUP($A10,Kc_Info!$A$4:$V$155,4,FALSE))</f>
        <v>16</v>
      </c>
      <c r="E10" s="94">
        <f>IF(ISNA(VLOOKUP($A10,Kc_Info!$A$4:$V$155,5,FALSE)),"",VLOOKUP($A10,Kc_Info!$A$4:$V$155,5,FALSE))</f>
        <v>42</v>
      </c>
      <c r="F10" s="94">
        <f>IF(ISNA(VLOOKUP($A10,Kc_Info!$A$4:$V$155,6,FALSE)),"",VLOOKUP($A10,Kc_Info!$A$4:$V$155,6,FALSE))</f>
        <v>75</v>
      </c>
      <c r="G10" s="101">
        <f>IF(ISNA(VLOOKUP($A10,Kc_Info!$A$4:$V$155,7,FALSE)),"",VLOOKUP($A10,Kc_Info!$A$4:$V$155,7,FALSE))</f>
        <v>0.2</v>
      </c>
      <c r="H10" s="101">
        <f>IF(ISNA(VLOOKUP($A10,Kc_Info!$A$4:$V$155,8,FALSE)),"",VLOOKUP($A10,Kc_Info!$A$4:$V$155,8,FALSE))</f>
        <v>1.05</v>
      </c>
      <c r="I10" s="101">
        <f>IF(ISNA(VLOOKUP($A10,Kc_Info!$A$4:$V$155,9,FALSE)),"",VLOOKUP($A10,Kc_Info!$A$4:$V$155,9,FALSE))</f>
        <v>1.05</v>
      </c>
      <c r="J10" s="101">
        <f>IF(ISNA(VLOOKUP($A10,Kc_Info!$A$4:$V$155,10,FALSE)),"",VLOOKUP($A10,Kc_Info!$A$4:$V$155,10,FALSE))</f>
        <v>0.5</v>
      </c>
      <c r="K10" s="94">
        <f>IF(ISNA(VLOOKUP($A10,Kc_Info!$A$4:$V$155,11,FALSE)),"",VLOOKUP($A10,Kc_Info!$A$4:$V$155,11,FALSE))</f>
        <v>4</v>
      </c>
      <c r="L10" s="94">
        <f>IF(ISNA(VLOOKUP($A10,Kc_Info!$A$4:$V$155,12,FALSE)),"",VLOOKUP($A10,Kc_Info!$A$4:$V$155,12,FALSE))</f>
        <v>1</v>
      </c>
      <c r="M10" s="94">
        <f>IF(ISNA(VLOOKUP($A10,Kc_Info!$A$4:$V$155,13,FALSE)),"",VLOOKUP($A10,Kc_Info!$A$4:$V$155,13,FALSE))</f>
        <v>11</v>
      </c>
      <c r="N10" s="94">
        <f>IF(ISNA(VLOOKUP($A10,Kc_Info!$A$4:$V$155,14,FALSE)),"",VLOOKUP($A10,Kc_Info!$A$4:$V$155,14,FALSE))</f>
        <v>15</v>
      </c>
      <c r="O10" s="100">
        <f>IF(ISNA(VLOOKUP($A10,Kc_Info!$A$4:$V$155,15,FALSE)),"",VLOOKUP($A10,Kc_Info!$A$4:$V$155,15,FALSE))</f>
        <v>38078</v>
      </c>
      <c r="P10" s="100">
        <f>IF(ISNA(VLOOKUP($A10,Kc_Info!$A$4:$V$155,16,FALSE)),"",VLOOKUP($A10,Kc_Info!$A$4:$V$155,16,FALSE))</f>
        <v>38114</v>
      </c>
      <c r="Q10" s="100">
        <f>IF(ISNA(VLOOKUP($A10,Kc_Info!$A$4:$V$155,17,FALSE)),"",VLOOKUP($A10,Kc_Info!$A$4:$V$155,17,FALSE))</f>
        <v>38173</v>
      </c>
      <c r="R10" s="100">
        <f>IF(ISNA(VLOOKUP($A10,Kc_Info!$A$4:$V$155,18,FALSE)),"",VLOOKUP($A10,Kc_Info!$A$4:$V$155,18,FALSE))</f>
        <v>38249</v>
      </c>
      <c r="S10" s="100">
        <f>IF(ISNA(VLOOKUP($A10,Kc_Info!$A$4:$V$155,19,FALSE)),"",VLOOKUP($A10,Kc_Info!$A$4:$V$155,19,FALSE))</f>
        <v>38306</v>
      </c>
      <c r="T10" s="94">
        <f>IF(ISNA(VLOOKUP($A10,Kc_Info!$A$4:$V$155,20,FALSE)),"",VLOOKUP($A10,Kc_Info!$A$4:$V$155,20,FALSE))</f>
        <v>1.4406779661016951E-2</v>
      </c>
      <c r="U10" s="94">
        <f>IF(ISNA(VLOOKUP($A10,Kc_Info!$A$4:$V$155,21,FALSE)),"",VLOOKUP($A10,Kc_Info!$A$4:$V$155,21,FALSE))</f>
        <v>0</v>
      </c>
      <c r="V10" s="94">
        <f>IF(ISNA(VLOOKUP($A10,Kc_Info!$A$4:$V$155,22,FALSE)),"",VLOOKUP($A10,Kc_Info!$A$4:$V$155,22,FALSE))</f>
        <v>-9.6491228070175444E-3</v>
      </c>
    </row>
    <row r="11" spans="1:22">
      <c r="A11" s="92">
        <v>2</v>
      </c>
      <c r="B11" s="93" t="str">
        <f>IF(ISNA(VLOOKUP($A11,Kc_Info!$A$4:$V$155,2,FALSE)),"",VLOOKUP($A11,Kc_Info!$A$4:$V$155,2,FALSE))</f>
        <v>Apple &amp; Pear</v>
      </c>
      <c r="C11" s="94">
        <f>IF(ISNA(VLOOKUP($A11,Kc_Info!$A$4:$V$155,3,FALSE)),"",VLOOKUP($A11,Kc_Info!$A$4:$V$155,3,FALSE))</f>
        <v>3</v>
      </c>
      <c r="D11" s="94">
        <f>IF(ISNA(VLOOKUP($A11,Kc_Info!$A$4:$V$155,4,FALSE)),"",VLOOKUP($A11,Kc_Info!$A$4:$V$155,4,FALSE))</f>
        <v>0</v>
      </c>
      <c r="E11" s="94">
        <f>IF(ISNA(VLOOKUP($A11,Kc_Info!$A$4:$V$155,5,FALSE)),"",VLOOKUP($A11,Kc_Info!$A$4:$V$155,5,FALSE))</f>
        <v>50</v>
      </c>
      <c r="F11" s="94">
        <f>IF(ISNA(VLOOKUP($A11,Kc_Info!$A$4:$V$155,6,FALSE)),"",VLOOKUP($A11,Kc_Info!$A$4:$V$155,6,FALSE))</f>
        <v>75</v>
      </c>
      <c r="G11" s="101">
        <f>IF(ISNA(VLOOKUP($A11,Kc_Info!$A$4:$V$155,7,FALSE)),"",VLOOKUP($A11,Kc_Info!$A$4:$V$155,7,FALSE))</f>
        <v>0.55000000000000004</v>
      </c>
      <c r="H11" s="101">
        <f>IF(ISNA(VLOOKUP($A11,Kc_Info!$A$4:$V$155,8,FALSE)),"",VLOOKUP($A11,Kc_Info!$A$4:$V$155,8,FALSE))</f>
        <v>1.05</v>
      </c>
      <c r="I11" s="101">
        <f>IF(ISNA(VLOOKUP($A11,Kc_Info!$A$4:$V$155,9,FALSE)),"",VLOOKUP($A11,Kc_Info!$A$4:$V$155,9,FALSE))</f>
        <v>1.05</v>
      </c>
      <c r="J11" s="101">
        <f>IF(ISNA(VLOOKUP($A11,Kc_Info!$A$4:$V$155,10,FALSE)),"",VLOOKUP($A11,Kc_Info!$A$4:$V$155,10,FALSE))</f>
        <v>0.8</v>
      </c>
      <c r="K11" s="94">
        <f>IF(ISNA(VLOOKUP($A11,Kc_Info!$A$4:$V$155,11,FALSE)),"",VLOOKUP($A11,Kc_Info!$A$4:$V$155,11,FALSE))</f>
        <v>4</v>
      </c>
      <c r="L11" s="94">
        <f>IF(ISNA(VLOOKUP($A11,Kc_Info!$A$4:$V$155,12,FALSE)),"",VLOOKUP($A11,Kc_Info!$A$4:$V$155,12,FALSE))</f>
        <v>1</v>
      </c>
      <c r="M11" s="94">
        <f>IF(ISNA(VLOOKUP($A11,Kc_Info!$A$4:$V$155,13,FALSE)),"",VLOOKUP($A11,Kc_Info!$A$4:$V$155,13,FALSE))</f>
        <v>11</v>
      </c>
      <c r="N11" s="94">
        <f>IF(ISNA(VLOOKUP($A11,Kc_Info!$A$4:$V$155,14,FALSE)),"",VLOOKUP($A11,Kc_Info!$A$4:$V$155,14,FALSE))</f>
        <v>15</v>
      </c>
      <c r="O11" s="100">
        <f>IF(ISNA(VLOOKUP($A11,Kc_Info!$A$4:$V$155,15,FALSE)),"",VLOOKUP($A11,Kc_Info!$A$4:$V$155,15,FALSE))</f>
        <v>38078</v>
      </c>
      <c r="P11" s="100">
        <f>IF(ISNA(VLOOKUP($A11,Kc_Info!$A$4:$V$155,16,FALSE)),"",VLOOKUP($A11,Kc_Info!$A$4:$V$155,16,FALSE))</f>
        <v>38078</v>
      </c>
      <c r="Q11" s="100">
        <f>IF(ISNA(VLOOKUP($A11,Kc_Info!$A$4:$V$155,17,FALSE)),"",VLOOKUP($A11,Kc_Info!$A$4:$V$155,17,FALSE))</f>
        <v>38192</v>
      </c>
      <c r="R11" s="100">
        <f>IF(ISNA(VLOOKUP($A11,Kc_Info!$A$4:$V$155,18,FALSE)),"",VLOOKUP($A11,Kc_Info!$A$4:$V$155,18,FALSE))</f>
        <v>38249</v>
      </c>
      <c r="S11" s="100">
        <f>IF(ISNA(VLOOKUP($A11,Kc_Info!$A$4:$V$155,19,FALSE)),"",VLOOKUP($A11,Kc_Info!$A$4:$V$155,19,FALSE))</f>
        <v>38306</v>
      </c>
      <c r="T11" s="94">
        <f>IF(ISNA(VLOOKUP($A11,Kc_Info!$A$4:$V$155,20,FALSE)),"",VLOOKUP($A11,Kc_Info!$A$4:$V$155,20,FALSE))</f>
        <v>4.3859649122807015E-3</v>
      </c>
      <c r="U11" s="94">
        <f>IF(ISNA(VLOOKUP($A11,Kc_Info!$A$4:$V$155,21,FALSE)),"",VLOOKUP($A11,Kc_Info!$A$4:$V$155,21,FALSE))</f>
        <v>0</v>
      </c>
      <c r="V11" s="94">
        <f>IF(ISNA(VLOOKUP($A11,Kc_Info!$A$4:$V$155,22,FALSE)),"",VLOOKUP($A11,Kc_Info!$A$4:$V$155,22,FALSE))</f>
        <v>-4.3859649122807015E-3</v>
      </c>
    </row>
    <row r="12" spans="1:22">
      <c r="A12" s="92">
        <v>15</v>
      </c>
      <c r="B12" s="93" t="str">
        <f>IF(ISNA(VLOOKUP($A12,Kc_Info!$A$4:$V$155,2,FALSE)),"",VLOOKUP($A12,Kc_Info!$A$4:$V$155,2,FALSE))</f>
        <v xml:space="preserve">Citrus </v>
      </c>
      <c r="C12" s="94">
        <f>IF(ISNA(VLOOKUP($A12,Kc_Info!$A$4:$V$155,3,FALSE)),"",VLOOKUP($A12,Kc_Info!$A$4:$V$155,3,FALSE))</f>
        <v>4</v>
      </c>
      <c r="D12" s="94">
        <f>IF(ISNA(VLOOKUP($A12,Kc_Info!$A$4:$V$155,4,FALSE)),"",VLOOKUP($A12,Kc_Info!$A$4:$V$155,4,FALSE))</f>
        <v>25</v>
      </c>
      <c r="E12" s="94">
        <f>IF(ISNA(VLOOKUP($A12,Kc_Info!$A$4:$V$155,5,FALSE)),"",VLOOKUP($A12,Kc_Info!$A$4:$V$155,5,FALSE))</f>
        <v>50</v>
      </c>
      <c r="F12" s="94">
        <f>IF(ISNA(VLOOKUP($A12,Kc_Info!$A$4:$V$155,6,FALSE)),"",VLOOKUP($A12,Kc_Info!$A$4:$V$155,6,FALSE))</f>
        <v>75</v>
      </c>
      <c r="G12" s="101">
        <f>IF(ISNA(VLOOKUP($A12,Kc_Info!$A$4:$V$155,7,FALSE)),"",VLOOKUP($A12,Kc_Info!$A$4:$V$155,7,FALSE))</f>
        <v>1</v>
      </c>
      <c r="H12" s="101">
        <f>IF(ISNA(VLOOKUP($A12,Kc_Info!$A$4:$V$155,8,FALSE)),"",VLOOKUP($A12,Kc_Info!$A$4:$V$155,8,FALSE))</f>
        <v>1</v>
      </c>
      <c r="I12" s="101">
        <f>IF(ISNA(VLOOKUP($A12,Kc_Info!$A$4:$V$155,9,FALSE)),"",VLOOKUP($A12,Kc_Info!$A$4:$V$155,9,FALSE))</f>
        <v>1</v>
      </c>
      <c r="J12" s="101">
        <f>IF(ISNA(VLOOKUP($A12,Kc_Info!$A$4:$V$155,10,FALSE)),"",VLOOKUP($A12,Kc_Info!$A$4:$V$155,10,FALSE))</f>
        <v>1</v>
      </c>
      <c r="K12" s="94">
        <f>IF(ISNA(VLOOKUP($A12,Kc_Info!$A$4:$V$155,11,FALSE)),"",VLOOKUP($A12,Kc_Info!$A$4:$V$155,11,FALSE))</f>
        <v>1</v>
      </c>
      <c r="L12" s="94">
        <f>IF(ISNA(VLOOKUP($A12,Kc_Info!$A$4:$V$155,12,FALSE)),"",VLOOKUP($A12,Kc_Info!$A$4:$V$155,12,FALSE))</f>
        <v>1</v>
      </c>
      <c r="M12" s="94">
        <f>IF(ISNA(VLOOKUP($A12,Kc_Info!$A$4:$V$155,13,FALSE)),"",VLOOKUP($A12,Kc_Info!$A$4:$V$155,13,FALSE))</f>
        <v>12</v>
      </c>
      <c r="N12" s="94">
        <f>IF(ISNA(VLOOKUP($A12,Kc_Info!$A$4:$V$155,14,FALSE)),"",VLOOKUP($A12,Kc_Info!$A$4:$V$155,14,FALSE))</f>
        <v>31</v>
      </c>
      <c r="O12" s="100">
        <f>IF(ISNA(VLOOKUP($A12,Kc_Info!$A$4:$V$155,15,FALSE)),"",VLOOKUP($A12,Kc_Info!$A$4:$V$155,15,FALSE))</f>
        <v>37987</v>
      </c>
      <c r="P12" s="100">
        <f>IF(ISNA(VLOOKUP($A12,Kc_Info!$A$4:$V$155,16,FALSE)),"",VLOOKUP($A12,Kc_Info!$A$4:$V$155,16,FALSE))</f>
        <v>38078</v>
      </c>
      <c r="Q12" s="100">
        <f>IF(ISNA(VLOOKUP($A12,Kc_Info!$A$4:$V$155,17,FALSE)),"",VLOOKUP($A12,Kc_Info!$A$4:$V$155,17,FALSE))</f>
        <v>38169</v>
      </c>
      <c r="R12" s="100">
        <f>IF(ISNA(VLOOKUP($A12,Kc_Info!$A$4:$V$155,18,FALSE)),"",VLOOKUP($A12,Kc_Info!$A$4:$V$155,18,FALSE))</f>
        <v>38260</v>
      </c>
      <c r="S12" s="100">
        <f>IF(ISNA(VLOOKUP($A12,Kc_Info!$A$4:$V$155,19,FALSE)),"",VLOOKUP($A12,Kc_Info!$A$4:$V$155,19,FALSE))</f>
        <v>38352</v>
      </c>
      <c r="T12" s="94">
        <f>IF(ISNA(VLOOKUP($A12,Kc_Info!$A$4:$V$155,20,FALSE)),"",VLOOKUP($A12,Kc_Info!$A$4:$V$155,20,FALSE))</f>
        <v>0</v>
      </c>
      <c r="U12" s="94">
        <f>IF(ISNA(VLOOKUP($A12,Kc_Info!$A$4:$V$155,21,FALSE)),"",VLOOKUP($A12,Kc_Info!$A$4:$V$155,21,FALSE))</f>
        <v>0</v>
      </c>
      <c r="V12" s="94">
        <f>IF(ISNA(VLOOKUP($A12,Kc_Info!$A$4:$V$155,22,FALSE)),"",VLOOKUP($A12,Kc_Info!$A$4:$V$155,22,FALSE))</f>
        <v>0</v>
      </c>
    </row>
    <row r="13" spans="1:22">
      <c r="A13" s="92">
        <v>27</v>
      </c>
      <c r="B13" s="93" t="str">
        <f>IF(ISNA(VLOOKUP($A13,Kc_Info!$A$4:$V$155,2,FALSE)),"",VLOOKUP($A13,Kc_Info!$A$4:$V$155,2,FALSE))</f>
        <v>Grapevines (table, raisin)</v>
      </c>
      <c r="C13" s="94">
        <f>IF(ISNA(VLOOKUP($A13,Kc_Info!$A$4:$V$155,3,FALSE)),"",VLOOKUP($A13,Kc_Info!$A$4:$V$155,3,FALSE))</f>
        <v>3</v>
      </c>
      <c r="D13" s="94">
        <f>IF(ISNA(VLOOKUP($A13,Kc_Info!$A$4:$V$155,4,FALSE)),"",VLOOKUP($A13,Kc_Info!$A$4:$V$155,4,FALSE))</f>
        <v>0</v>
      </c>
      <c r="E13" s="94">
        <f>IF(ISNA(VLOOKUP($A13,Kc_Info!$A$4:$V$155,5,FALSE)),"",VLOOKUP($A13,Kc_Info!$A$4:$V$155,5,FALSE))</f>
        <v>25</v>
      </c>
      <c r="F13" s="94">
        <f>IF(ISNA(VLOOKUP($A13,Kc_Info!$A$4:$V$155,6,FALSE)),"",VLOOKUP($A13,Kc_Info!$A$4:$V$155,6,FALSE))</f>
        <v>75</v>
      </c>
      <c r="G13" s="101">
        <f>IF(ISNA(VLOOKUP($A13,Kc_Info!$A$4:$V$155,7,FALSE)),"",VLOOKUP($A13,Kc_Info!$A$4:$V$155,7,FALSE))</f>
        <v>0.45</v>
      </c>
      <c r="H13" s="101">
        <f>IF(ISNA(VLOOKUP($A13,Kc_Info!$A$4:$V$155,8,FALSE)),"",VLOOKUP($A13,Kc_Info!$A$4:$V$155,8,FALSE))</f>
        <v>0.8</v>
      </c>
      <c r="I13" s="101">
        <f>IF(ISNA(VLOOKUP($A13,Kc_Info!$A$4:$V$155,9,FALSE)),"",VLOOKUP($A13,Kc_Info!$A$4:$V$155,9,FALSE))</f>
        <v>0.8</v>
      </c>
      <c r="J13" s="101">
        <f>IF(ISNA(VLOOKUP($A13,Kc_Info!$A$4:$V$155,10,FALSE)),"",VLOOKUP($A13,Kc_Info!$A$4:$V$155,10,FALSE))</f>
        <v>0.35</v>
      </c>
      <c r="K13" s="94">
        <f>IF(ISNA(VLOOKUP($A13,Kc_Info!$A$4:$V$155,11,FALSE)),"",VLOOKUP($A13,Kc_Info!$A$4:$V$155,11,FALSE))</f>
        <v>4</v>
      </c>
      <c r="L13" s="94">
        <f>IF(ISNA(VLOOKUP($A13,Kc_Info!$A$4:$V$155,12,FALSE)),"",VLOOKUP($A13,Kc_Info!$A$4:$V$155,12,FALSE))</f>
        <v>1</v>
      </c>
      <c r="M13" s="94">
        <f>IF(ISNA(VLOOKUP($A13,Kc_Info!$A$4:$V$155,13,FALSE)),"",VLOOKUP($A13,Kc_Info!$A$4:$V$155,13,FALSE))</f>
        <v>11</v>
      </c>
      <c r="N13" s="94">
        <f>IF(ISNA(VLOOKUP($A13,Kc_Info!$A$4:$V$155,14,FALSE)),"",VLOOKUP($A13,Kc_Info!$A$4:$V$155,14,FALSE))</f>
        <v>1</v>
      </c>
      <c r="O13" s="100">
        <f>IF(ISNA(VLOOKUP($A13,Kc_Info!$A$4:$V$155,15,FALSE)),"",VLOOKUP($A13,Kc_Info!$A$4:$V$155,15,FALSE))</f>
        <v>38078</v>
      </c>
      <c r="P13" s="100">
        <f>IF(ISNA(VLOOKUP($A13,Kc_Info!$A$4:$V$155,16,FALSE)),"",VLOOKUP($A13,Kc_Info!$A$4:$V$155,16,FALSE))</f>
        <v>38078</v>
      </c>
      <c r="Q13" s="100">
        <f>IF(ISNA(VLOOKUP($A13,Kc_Info!$A$4:$V$155,17,FALSE)),"",VLOOKUP($A13,Kc_Info!$A$4:$V$155,17,FALSE))</f>
        <v>38131</v>
      </c>
      <c r="R13" s="100">
        <f>IF(ISNA(VLOOKUP($A13,Kc_Info!$A$4:$V$155,18,FALSE)),"",VLOOKUP($A13,Kc_Info!$A$4:$V$155,18,FALSE))</f>
        <v>38238</v>
      </c>
      <c r="S13" s="100">
        <f>IF(ISNA(VLOOKUP($A13,Kc_Info!$A$4:$V$155,19,FALSE)),"",VLOOKUP($A13,Kc_Info!$A$4:$V$155,19,FALSE))</f>
        <v>38292</v>
      </c>
      <c r="T13" s="94">
        <f>IF(ISNA(VLOOKUP($A13,Kc_Info!$A$4:$V$155,20,FALSE)),"",VLOOKUP($A13,Kc_Info!$A$4:$V$155,20,FALSE))</f>
        <v>6.6037735849056606E-3</v>
      </c>
      <c r="U13" s="94">
        <f>IF(ISNA(VLOOKUP($A13,Kc_Info!$A$4:$V$155,21,FALSE)),"",VLOOKUP($A13,Kc_Info!$A$4:$V$155,21,FALSE))</f>
        <v>0</v>
      </c>
      <c r="V13" s="94">
        <f>IF(ISNA(VLOOKUP($A13,Kc_Info!$A$4:$V$155,22,FALSE)),"",VLOOKUP($A13,Kc_Info!$A$4:$V$155,22,FALSE))</f>
        <v>-8.333333333333335E-3</v>
      </c>
    </row>
    <row r="14" spans="1:22">
      <c r="A14" s="92">
        <v>36</v>
      </c>
      <c r="B14" s="93" t="str">
        <f>IF(ISNA(VLOOKUP($A14,Kc_Info!$A$4:$V$155,2,FALSE)),"",VLOOKUP($A14,Kc_Info!$A$4:$V$155,2,FALSE))</f>
        <v>Oats</v>
      </c>
      <c r="C14" s="94">
        <f>IF(ISNA(VLOOKUP($A14,Kc_Info!$A$4:$V$155,3,FALSE)),"",VLOOKUP($A14,Kc_Info!$A$4:$V$155,3,FALSE))</f>
        <v>1</v>
      </c>
      <c r="D14" s="94">
        <f>IF(ISNA(VLOOKUP($A14,Kc_Info!$A$4:$V$155,4,FALSE)),"",VLOOKUP($A14,Kc_Info!$A$4:$V$155,4,FALSE))</f>
        <v>20</v>
      </c>
      <c r="E14" s="94">
        <f>IF(ISNA(VLOOKUP($A14,Kc_Info!$A$4:$V$155,5,FALSE)),"",VLOOKUP($A14,Kc_Info!$A$4:$V$155,5,FALSE))</f>
        <v>45</v>
      </c>
      <c r="F14" s="94">
        <f>IF(ISNA(VLOOKUP($A14,Kc_Info!$A$4:$V$155,6,FALSE)),"",VLOOKUP($A14,Kc_Info!$A$4:$V$155,6,FALSE))</f>
        <v>75</v>
      </c>
      <c r="G14" s="101">
        <f>IF(ISNA(VLOOKUP($A14,Kc_Info!$A$4:$V$155,7,FALSE)),"",VLOOKUP($A14,Kc_Info!$A$4:$V$155,7,FALSE))</f>
        <v>0.33</v>
      </c>
      <c r="H14" s="101">
        <f>IF(ISNA(VLOOKUP($A14,Kc_Info!$A$4:$V$155,8,FALSE)),"",VLOOKUP($A14,Kc_Info!$A$4:$V$155,8,FALSE))</f>
        <v>1.1000000000000001</v>
      </c>
      <c r="I14" s="101">
        <f>IF(ISNA(VLOOKUP($A14,Kc_Info!$A$4:$V$155,9,FALSE)),"",VLOOKUP($A14,Kc_Info!$A$4:$V$155,9,FALSE))</f>
        <v>1.1000000000000001</v>
      </c>
      <c r="J14" s="101">
        <f>IF(ISNA(VLOOKUP($A14,Kc_Info!$A$4:$V$155,10,FALSE)),"",VLOOKUP($A14,Kc_Info!$A$4:$V$155,10,FALSE))</f>
        <v>0.15</v>
      </c>
      <c r="K14" s="94">
        <f>IF(ISNA(VLOOKUP($A14,Kc_Info!$A$4:$V$155,11,FALSE)),"",VLOOKUP($A14,Kc_Info!$A$4:$V$155,11,FALSE))</f>
        <v>11</v>
      </c>
      <c r="L14" s="94">
        <f>IF(ISNA(VLOOKUP($A14,Kc_Info!$A$4:$V$155,12,FALSE)),"",VLOOKUP($A14,Kc_Info!$A$4:$V$155,12,FALSE))</f>
        <v>1</v>
      </c>
      <c r="M14" s="94">
        <f>IF(ISNA(VLOOKUP($A14,Kc_Info!$A$4:$V$155,13,FALSE)),"",VLOOKUP($A14,Kc_Info!$A$4:$V$155,13,FALSE))</f>
        <v>5</v>
      </c>
      <c r="N14" s="94">
        <f>IF(ISNA(VLOOKUP($A14,Kc_Info!$A$4:$V$155,14,FALSE)),"",VLOOKUP($A14,Kc_Info!$A$4:$V$155,14,FALSE))</f>
        <v>31</v>
      </c>
      <c r="O14" s="100">
        <f>IF(ISNA(VLOOKUP($A14,Kc_Info!$A$4:$V$155,15,FALSE)),"",VLOOKUP($A14,Kc_Info!$A$4:$V$155,15,FALSE))</f>
        <v>38292</v>
      </c>
      <c r="P14" s="100">
        <f>IF(ISNA(VLOOKUP($A14,Kc_Info!$A$4:$V$155,16,FALSE)),"",VLOOKUP($A14,Kc_Info!$A$4:$V$155,16,FALSE))</f>
        <v>38334</v>
      </c>
      <c r="Q14" s="100">
        <f>IF(ISNA(VLOOKUP($A14,Kc_Info!$A$4:$V$155,17,FALSE)),"",VLOOKUP($A14,Kc_Info!$A$4:$V$155,17,FALSE))</f>
        <v>38386</v>
      </c>
      <c r="R14" s="100">
        <f>IF(ISNA(VLOOKUP($A14,Kc_Info!$A$4:$V$155,18,FALSE)),"",VLOOKUP($A14,Kc_Info!$A$4:$V$155,18,FALSE))</f>
        <v>38450</v>
      </c>
      <c r="S14" s="100">
        <f>IF(ISNA(VLOOKUP($A14,Kc_Info!$A$4:$V$155,19,FALSE)),"",VLOOKUP($A14,Kc_Info!$A$4:$V$155,19,FALSE))</f>
        <v>38503</v>
      </c>
      <c r="T14" s="94">
        <f>IF(ISNA(VLOOKUP($A14,Kc_Info!$A$4:$V$155,20,FALSE)),"",VLOOKUP($A14,Kc_Info!$A$4:$V$155,20,FALSE))</f>
        <v>1.4807692307692308E-2</v>
      </c>
      <c r="U14" s="94">
        <f>IF(ISNA(VLOOKUP($A14,Kc_Info!$A$4:$V$155,21,FALSE)),"",VLOOKUP($A14,Kc_Info!$A$4:$V$155,21,FALSE))</f>
        <v>0</v>
      </c>
      <c r="V14" s="94">
        <f>IF(ISNA(VLOOKUP($A14,Kc_Info!$A$4:$V$155,22,FALSE)),"",VLOOKUP($A14,Kc_Info!$A$4:$V$155,22,FALSE))</f>
        <v>-1.7924528301886795E-2</v>
      </c>
    </row>
    <row r="15" spans="1:22">
      <c r="A15" s="92">
        <v>54</v>
      </c>
      <c r="B15" s="93" t="str">
        <f>IF(ISNA(VLOOKUP($A15,Kc_Info!$A$4:$V$155,2,FALSE)),"",VLOOKUP($A15,Kc_Info!$A$4:$V$155,2,FALSE))</f>
        <v>Sweet Potatoes</v>
      </c>
      <c r="C15" s="94">
        <f>IF(ISNA(VLOOKUP($A15,Kc_Info!$A$4:$V$155,3,FALSE)),"",VLOOKUP($A15,Kc_Info!$A$4:$V$155,3,FALSE))</f>
        <v>1</v>
      </c>
      <c r="D15" s="94">
        <f>IF(ISNA(VLOOKUP($A15,Kc_Info!$A$4:$V$155,4,FALSE)),"",VLOOKUP($A15,Kc_Info!$A$4:$V$155,4,FALSE))</f>
        <v>20</v>
      </c>
      <c r="E15" s="94">
        <f>IF(ISNA(VLOOKUP($A15,Kc_Info!$A$4:$V$155,5,FALSE)),"",VLOOKUP($A15,Kc_Info!$A$4:$V$155,5,FALSE))</f>
        <v>45</v>
      </c>
      <c r="F15" s="94">
        <f>IF(ISNA(VLOOKUP($A15,Kc_Info!$A$4:$V$155,6,FALSE)),"",VLOOKUP($A15,Kc_Info!$A$4:$V$155,6,FALSE))</f>
        <v>78</v>
      </c>
      <c r="G15" s="101">
        <f>IF(ISNA(VLOOKUP($A15,Kc_Info!$A$4:$V$155,7,FALSE)),"",VLOOKUP($A15,Kc_Info!$A$4:$V$155,7,FALSE))</f>
        <v>0.8</v>
      </c>
      <c r="H15" s="101">
        <f>IF(ISNA(VLOOKUP($A15,Kc_Info!$A$4:$V$155,8,FALSE)),"",VLOOKUP($A15,Kc_Info!$A$4:$V$155,8,FALSE))</f>
        <v>1.1000000000000001</v>
      </c>
      <c r="I15" s="101">
        <f>IF(ISNA(VLOOKUP($A15,Kc_Info!$A$4:$V$155,9,FALSE)),"",VLOOKUP($A15,Kc_Info!$A$4:$V$155,9,FALSE))</f>
        <v>1.1000000000000001</v>
      </c>
      <c r="J15" s="101">
        <f>IF(ISNA(VLOOKUP($A15,Kc_Info!$A$4:$V$155,10,FALSE)),"",VLOOKUP($A15,Kc_Info!$A$4:$V$155,10,FALSE))</f>
        <v>0.7</v>
      </c>
      <c r="K15" s="94">
        <f>IF(ISNA(VLOOKUP($A15,Kc_Info!$A$4:$V$155,11,FALSE)),"",VLOOKUP($A15,Kc_Info!$A$4:$V$155,11,FALSE))</f>
        <v>4</v>
      </c>
      <c r="L15" s="94">
        <f>IF(ISNA(VLOOKUP($A15,Kc_Info!$A$4:$V$155,12,FALSE)),"",VLOOKUP($A15,Kc_Info!$A$4:$V$155,12,FALSE))</f>
        <v>15</v>
      </c>
      <c r="M15" s="94">
        <f>IF(ISNA(VLOOKUP($A15,Kc_Info!$A$4:$V$155,13,FALSE)),"",VLOOKUP($A15,Kc_Info!$A$4:$V$155,13,FALSE))</f>
        <v>8</v>
      </c>
      <c r="N15" s="94">
        <f>IF(ISNA(VLOOKUP($A15,Kc_Info!$A$4:$V$155,14,FALSE)),"",VLOOKUP($A15,Kc_Info!$A$4:$V$155,14,FALSE))</f>
        <v>15</v>
      </c>
      <c r="O15" s="100">
        <f>IF(ISNA(VLOOKUP($A15,Kc_Info!$A$4:$V$155,15,FALSE)),"",VLOOKUP($A15,Kc_Info!$A$4:$V$155,15,FALSE))</f>
        <v>38092</v>
      </c>
      <c r="P15" s="100">
        <f>IF(ISNA(VLOOKUP($A15,Kc_Info!$A$4:$V$155,16,FALSE)),"",VLOOKUP($A15,Kc_Info!$A$4:$V$155,16,FALSE))</f>
        <v>38116</v>
      </c>
      <c r="Q15" s="100">
        <f>IF(ISNA(VLOOKUP($A15,Kc_Info!$A$4:$V$155,17,FALSE)),"",VLOOKUP($A15,Kc_Info!$A$4:$V$155,17,FALSE))</f>
        <v>38146</v>
      </c>
      <c r="R15" s="100">
        <f>IF(ISNA(VLOOKUP($A15,Kc_Info!$A$4:$V$155,18,FALSE)),"",VLOOKUP($A15,Kc_Info!$A$4:$V$155,18,FALSE))</f>
        <v>38187</v>
      </c>
      <c r="S15" s="100">
        <f>IF(ISNA(VLOOKUP($A15,Kc_Info!$A$4:$V$155,19,FALSE)),"",VLOOKUP($A15,Kc_Info!$A$4:$V$155,19,FALSE))</f>
        <v>38214</v>
      </c>
      <c r="T15" s="94">
        <f>IF(ISNA(VLOOKUP($A15,Kc_Info!$A$4:$V$155,20,FALSE)),"",VLOOKUP($A15,Kc_Info!$A$4:$V$155,20,FALSE))</f>
        <v>1.0000000000000002E-2</v>
      </c>
      <c r="U15" s="94">
        <f>IF(ISNA(VLOOKUP($A15,Kc_Info!$A$4:$V$155,21,FALSE)),"",VLOOKUP($A15,Kc_Info!$A$4:$V$155,21,FALSE))</f>
        <v>0</v>
      </c>
      <c r="V15" s="94">
        <f>IF(ISNA(VLOOKUP($A15,Kc_Info!$A$4:$V$155,22,FALSE)),"",VLOOKUP($A15,Kc_Info!$A$4:$V$155,22,FALSE))</f>
        <v>-1.4814814814814821E-2</v>
      </c>
    </row>
    <row r="16" spans="1:22">
      <c r="A16" s="92">
        <v>60</v>
      </c>
      <c r="B16" s="93" t="str">
        <f>IF(ISNA(VLOOKUP($A16,Kc_Info!$A$4:$V$155,2,FALSE)),"",VLOOKUP($A16,Kc_Info!$A$4:$V$155,2,FALSE))</f>
        <v>Watermelon</v>
      </c>
      <c r="C16" s="94">
        <f>IF(ISNA(VLOOKUP($A16,Kc_Info!$A$4:$V$155,3,FALSE)),"",VLOOKUP($A16,Kc_Info!$A$4:$V$155,3,FALSE))</f>
        <v>1</v>
      </c>
      <c r="D16" s="94">
        <f>IF(ISNA(VLOOKUP($A16,Kc_Info!$A$4:$V$155,4,FALSE)),"",VLOOKUP($A16,Kc_Info!$A$4:$V$155,4,FALSE))</f>
        <v>20</v>
      </c>
      <c r="E16" s="94">
        <f>IF(ISNA(VLOOKUP($A16,Kc_Info!$A$4:$V$155,5,FALSE)),"",VLOOKUP($A16,Kc_Info!$A$4:$V$155,5,FALSE))</f>
        <v>50</v>
      </c>
      <c r="F16" s="94">
        <f>IF(ISNA(VLOOKUP($A16,Kc_Info!$A$4:$V$155,6,FALSE)),"",VLOOKUP($A16,Kc_Info!$A$4:$V$155,6,FALSE))</f>
        <v>75</v>
      </c>
      <c r="G16" s="101">
        <f>IF(ISNA(VLOOKUP($A16,Kc_Info!$A$4:$V$155,7,FALSE)),"",VLOOKUP($A16,Kc_Info!$A$4:$V$155,7,FALSE))</f>
        <v>0.8</v>
      </c>
      <c r="H16" s="101">
        <f>IF(ISNA(VLOOKUP($A16,Kc_Info!$A$4:$V$155,8,FALSE)),"",VLOOKUP($A16,Kc_Info!$A$4:$V$155,8,FALSE))</f>
        <v>1</v>
      </c>
      <c r="I16" s="101">
        <f>IF(ISNA(VLOOKUP($A16,Kc_Info!$A$4:$V$155,9,FALSE)),"",VLOOKUP($A16,Kc_Info!$A$4:$V$155,9,FALSE))</f>
        <v>1</v>
      </c>
      <c r="J16" s="101">
        <f>IF(ISNA(VLOOKUP($A16,Kc_Info!$A$4:$V$155,10,FALSE)),"",VLOOKUP($A16,Kc_Info!$A$4:$V$155,10,FALSE))</f>
        <v>0.75</v>
      </c>
      <c r="K16" s="94">
        <f>IF(ISNA(VLOOKUP($A16,Kc_Info!$A$4:$V$155,11,FALSE)),"",VLOOKUP($A16,Kc_Info!$A$4:$V$155,11,FALSE))</f>
        <v>4</v>
      </c>
      <c r="L16" s="94">
        <f>IF(ISNA(VLOOKUP($A16,Kc_Info!$A$4:$V$155,12,FALSE)),"",VLOOKUP($A16,Kc_Info!$A$4:$V$155,12,FALSE))</f>
        <v>1</v>
      </c>
      <c r="M16" s="94">
        <f>IF(ISNA(VLOOKUP($A16,Kc_Info!$A$4:$V$155,13,FALSE)),"",VLOOKUP($A16,Kc_Info!$A$4:$V$155,13,FALSE))</f>
        <v>11</v>
      </c>
      <c r="N16" s="94">
        <f>IF(ISNA(VLOOKUP($A16,Kc_Info!$A$4:$V$155,14,FALSE)),"",VLOOKUP($A16,Kc_Info!$A$4:$V$155,14,FALSE))</f>
        <v>15</v>
      </c>
      <c r="O16" s="100">
        <f>IF(ISNA(VLOOKUP($A16,Kc_Info!$A$4:$V$155,15,FALSE)),"",VLOOKUP($A16,Kc_Info!$A$4:$V$155,15,FALSE))</f>
        <v>38078</v>
      </c>
      <c r="P16" s="100">
        <f>IF(ISNA(VLOOKUP($A16,Kc_Info!$A$4:$V$155,16,FALSE)),"",VLOOKUP($A16,Kc_Info!$A$4:$V$155,16,FALSE))</f>
        <v>38123</v>
      </c>
      <c r="Q16" s="100">
        <f>IF(ISNA(VLOOKUP($A16,Kc_Info!$A$4:$V$155,17,FALSE)),"",VLOOKUP($A16,Kc_Info!$A$4:$V$155,17,FALSE))</f>
        <v>38192</v>
      </c>
      <c r="R16" s="100">
        <f>IF(ISNA(VLOOKUP($A16,Kc_Info!$A$4:$V$155,18,FALSE)),"",VLOOKUP($A16,Kc_Info!$A$4:$V$155,18,FALSE))</f>
        <v>38249</v>
      </c>
      <c r="S16" s="100">
        <f>IF(ISNA(VLOOKUP($A16,Kc_Info!$A$4:$V$155,19,FALSE)),"",VLOOKUP($A16,Kc_Info!$A$4:$V$155,19,FALSE))</f>
        <v>38306</v>
      </c>
      <c r="T16" s="94">
        <f>IF(ISNA(VLOOKUP($A16,Kc_Info!$A$4:$V$155,20,FALSE)),"",VLOOKUP($A16,Kc_Info!$A$4:$V$155,20,FALSE))</f>
        <v>2.8985507246376803E-3</v>
      </c>
      <c r="U16" s="94">
        <f>IF(ISNA(VLOOKUP($A16,Kc_Info!$A$4:$V$155,21,FALSE)),"",VLOOKUP($A16,Kc_Info!$A$4:$V$155,21,FALSE))</f>
        <v>0</v>
      </c>
      <c r="V16" s="94">
        <f>IF(ISNA(VLOOKUP($A16,Kc_Info!$A$4:$V$155,22,FALSE)),"",VLOOKUP($A16,Kc_Info!$A$4:$V$155,22,FALSE))</f>
        <v>-4.3859649122807015E-3</v>
      </c>
    </row>
    <row r="17" spans="1:22">
      <c r="A17" s="92">
        <v>6</v>
      </c>
      <c r="B17" s="93" t="str">
        <f>IF(ISNA(VLOOKUP($A17,Kc_Info!$A$4:$V$155,2,FALSE)),"",VLOOKUP($A17,Kc_Info!$A$4:$V$155,2,FALSE))</f>
        <v>Barley</v>
      </c>
      <c r="C17" s="94">
        <f>IF(ISNA(VLOOKUP($A17,Kc_Info!$A$4:$V$155,3,FALSE)),"",VLOOKUP($A17,Kc_Info!$A$4:$V$155,3,FALSE))</f>
        <v>1</v>
      </c>
      <c r="D17" s="94">
        <f>IF(ISNA(VLOOKUP($A17,Kc_Info!$A$4:$V$155,4,FALSE)),"",VLOOKUP($A17,Kc_Info!$A$4:$V$155,4,FALSE))</f>
        <v>20</v>
      </c>
      <c r="E17" s="94">
        <f>IF(ISNA(VLOOKUP($A17,Kc_Info!$A$4:$V$155,5,FALSE)),"",VLOOKUP($A17,Kc_Info!$A$4:$V$155,5,FALSE))</f>
        <v>45</v>
      </c>
      <c r="F17" s="94">
        <f>IF(ISNA(VLOOKUP($A17,Kc_Info!$A$4:$V$155,6,FALSE)),"",VLOOKUP($A17,Kc_Info!$A$4:$V$155,6,FALSE))</f>
        <v>75</v>
      </c>
      <c r="G17" s="101">
        <f>IF(ISNA(VLOOKUP($A17,Kc_Info!$A$4:$V$155,7,FALSE)),"",VLOOKUP($A17,Kc_Info!$A$4:$V$155,7,FALSE))</f>
        <v>0.7</v>
      </c>
      <c r="H17" s="101">
        <f>IF(ISNA(VLOOKUP($A17,Kc_Info!$A$4:$V$155,8,FALSE)),"",VLOOKUP($A17,Kc_Info!$A$4:$V$155,8,FALSE))</f>
        <v>1.1000000000000001</v>
      </c>
      <c r="I17" s="101">
        <f>IF(ISNA(VLOOKUP($A17,Kc_Info!$A$4:$V$155,9,FALSE)),"",VLOOKUP($A17,Kc_Info!$A$4:$V$155,9,FALSE))</f>
        <v>1.1000000000000001</v>
      </c>
      <c r="J17" s="101">
        <f>IF(ISNA(VLOOKUP($A17,Kc_Info!$A$4:$V$155,10,FALSE)),"",VLOOKUP($A17,Kc_Info!$A$4:$V$155,10,FALSE))</f>
        <v>0.15</v>
      </c>
      <c r="K17" s="94">
        <f>IF(ISNA(VLOOKUP($A17,Kc_Info!$A$4:$V$155,11,FALSE)),"",VLOOKUP($A17,Kc_Info!$A$4:$V$155,11,FALSE))</f>
        <v>11</v>
      </c>
      <c r="L17" s="94">
        <f>IF(ISNA(VLOOKUP($A17,Kc_Info!$A$4:$V$155,12,FALSE)),"",VLOOKUP($A17,Kc_Info!$A$4:$V$155,12,FALSE))</f>
        <v>1</v>
      </c>
      <c r="M17" s="94">
        <f>IF(ISNA(VLOOKUP($A17,Kc_Info!$A$4:$V$155,13,FALSE)),"",VLOOKUP($A17,Kc_Info!$A$4:$V$155,13,FALSE))</f>
        <v>5</v>
      </c>
      <c r="N17" s="94">
        <f>IF(ISNA(VLOOKUP($A17,Kc_Info!$A$4:$V$155,14,FALSE)),"",VLOOKUP($A17,Kc_Info!$A$4:$V$155,14,FALSE))</f>
        <v>31</v>
      </c>
      <c r="O17" s="100">
        <f>IF(ISNA(VLOOKUP($A17,Kc_Info!$A$4:$V$155,15,FALSE)),"",VLOOKUP($A17,Kc_Info!$A$4:$V$155,15,FALSE))</f>
        <v>38292</v>
      </c>
      <c r="P17" s="100">
        <f>IF(ISNA(VLOOKUP($A17,Kc_Info!$A$4:$V$155,16,FALSE)),"",VLOOKUP($A17,Kc_Info!$A$4:$V$155,16,FALSE))</f>
        <v>38334</v>
      </c>
      <c r="Q17" s="100">
        <f>IF(ISNA(VLOOKUP($A17,Kc_Info!$A$4:$V$155,17,FALSE)),"",VLOOKUP($A17,Kc_Info!$A$4:$V$155,17,FALSE))</f>
        <v>38386</v>
      </c>
      <c r="R17" s="100">
        <f>IF(ISNA(VLOOKUP($A17,Kc_Info!$A$4:$V$155,18,FALSE)),"",VLOOKUP($A17,Kc_Info!$A$4:$V$155,18,FALSE))</f>
        <v>38450</v>
      </c>
      <c r="S17" s="100">
        <f>IF(ISNA(VLOOKUP($A17,Kc_Info!$A$4:$V$155,19,FALSE)),"",VLOOKUP($A17,Kc_Info!$A$4:$V$155,19,FALSE))</f>
        <v>38503</v>
      </c>
      <c r="T17" s="94">
        <f>IF(ISNA(VLOOKUP($A17,Kc_Info!$A$4:$V$155,20,FALSE)),"",VLOOKUP($A17,Kc_Info!$A$4:$V$155,20,FALSE))</f>
        <v>7.6923076923076945E-3</v>
      </c>
      <c r="U17" s="94">
        <f>IF(ISNA(VLOOKUP($A17,Kc_Info!$A$4:$V$155,21,FALSE)),"",VLOOKUP($A17,Kc_Info!$A$4:$V$155,21,FALSE))</f>
        <v>0</v>
      </c>
      <c r="V17" s="94">
        <f>IF(ISNA(VLOOKUP($A17,Kc_Info!$A$4:$V$155,22,FALSE)),"",VLOOKUP($A17,Kc_Info!$A$4:$V$155,22,FALSE))</f>
        <v>-1.7924528301886795E-2</v>
      </c>
    </row>
    <row r="18" spans="1:22">
      <c r="A18" s="92">
        <v>28</v>
      </c>
      <c r="B18" s="93" t="str">
        <f>IF(ISNA(VLOOKUP($A18,Kc_Info!$A$4:$V$155,2,FALSE)),"",VLOOKUP($A18,Kc_Info!$A$4:$V$155,2,FALSE))</f>
        <v>Grapevines (wine)</v>
      </c>
      <c r="C18" s="94">
        <f>IF(ISNA(VLOOKUP($A18,Kc_Info!$A$4:$V$155,3,FALSE)),"",VLOOKUP($A18,Kc_Info!$A$4:$V$155,3,FALSE))</f>
        <v>3</v>
      </c>
      <c r="D18" s="94">
        <f>IF(ISNA(VLOOKUP($A18,Kc_Info!$A$4:$V$155,4,FALSE)),"",VLOOKUP($A18,Kc_Info!$A$4:$V$155,4,FALSE))</f>
        <v>0</v>
      </c>
      <c r="E18" s="94">
        <f>IF(ISNA(VLOOKUP($A18,Kc_Info!$A$4:$V$155,5,FALSE)),"",VLOOKUP($A18,Kc_Info!$A$4:$V$155,5,FALSE))</f>
        <v>25</v>
      </c>
      <c r="F18" s="94">
        <f>IF(ISNA(VLOOKUP($A18,Kc_Info!$A$4:$V$155,6,FALSE)),"",VLOOKUP($A18,Kc_Info!$A$4:$V$155,6,FALSE))</f>
        <v>75</v>
      </c>
      <c r="G18" s="101">
        <f>IF(ISNA(VLOOKUP($A18,Kc_Info!$A$4:$V$155,7,FALSE)),"",VLOOKUP($A18,Kc_Info!$A$4:$V$155,7,FALSE))</f>
        <v>0.45</v>
      </c>
      <c r="H18" s="101">
        <f>IF(ISNA(VLOOKUP($A18,Kc_Info!$A$4:$V$155,8,FALSE)),"",VLOOKUP($A18,Kc_Info!$A$4:$V$155,8,FALSE))</f>
        <v>1.05</v>
      </c>
      <c r="I18" s="101">
        <f>IF(ISNA(VLOOKUP($A18,Kc_Info!$A$4:$V$155,9,FALSE)),"",VLOOKUP($A18,Kc_Info!$A$4:$V$155,9,FALSE))</f>
        <v>1.05</v>
      </c>
      <c r="J18" s="101">
        <f>IF(ISNA(VLOOKUP($A18,Kc_Info!$A$4:$V$155,10,FALSE)),"",VLOOKUP($A18,Kc_Info!$A$4:$V$155,10,FALSE))</f>
        <v>0.35</v>
      </c>
      <c r="K18" s="94">
        <f>IF(ISNA(VLOOKUP($A18,Kc_Info!$A$4:$V$155,11,FALSE)),"",VLOOKUP($A18,Kc_Info!$A$4:$V$155,11,FALSE))</f>
        <v>4</v>
      </c>
      <c r="L18" s="94">
        <f>IF(ISNA(VLOOKUP($A18,Kc_Info!$A$4:$V$155,12,FALSE)),"",VLOOKUP($A18,Kc_Info!$A$4:$V$155,12,FALSE))</f>
        <v>1</v>
      </c>
      <c r="M18" s="94">
        <f>IF(ISNA(VLOOKUP($A18,Kc_Info!$A$4:$V$155,13,FALSE)),"",VLOOKUP($A18,Kc_Info!$A$4:$V$155,13,FALSE))</f>
        <v>11</v>
      </c>
      <c r="N18" s="94">
        <f>IF(ISNA(VLOOKUP($A18,Kc_Info!$A$4:$V$155,14,FALSE)),"",VLOOKUP($A18,Kc_Info!$A$4:$V$155,14,FALSE))</f>
        <v>1</v>
      </c>
      <c r="O18" s="100">
        <f>IF(ISNA(VLOOKUP($A18,Kc_Info!$A$4:$V$155,15,FALSE)),"",VLOOKUP($A18,Kc_Info!$A$4:$V$155,15,FALSE))</f>
        <v>38078</v>
      </c>
      <c r="P18" s="100">
        <f>IF(ISNA(VLOOKUP($A18,Kc_Info!$A$4:$V$155,16,FALSE)),"",VLOOKUP($A18,Kc_Info!$A$4:$V$155,16,FALSE))</f>
        <v>38078</v>
      </c>
      <c r="Q18" s="100">
        <f>IF(ISNA(VLOOKUP($A18,Kc_Info!$A$4:$V$155,17,FALSE)),"",VLOOKUP($A18,Kc_Info!$A$4:$V$155,17,FALSE))</f>
        <v>38131</v>
      </c>
      <c r="R18" s="100">
        <f>IF(ISNA(VLOOKUP($A18,Kc_Info!$A$4:$V$155,18,FALSE)),"",VLOOKUP($A18,Kc_Info!$A$4:$V$155,18,FALSE))</f>
        <v>38238</v>
      </c>
      <c r="S18" s="100">
        <f>IF(ISNA(VLOOKUP($A18,Kc_Info!$A$4:$V$155,19,FALSE)),"",VLOOKUP($A18,Kc_Info!$A$4:$V$155,19,FALSE))</f>
        <v>38292</v>
      </c>
      <c r="T18" s="94">
        <f>IF(ISNA(VLOOKUP($A18,Kc_Info!$A$4:$V$155,20,FALSE)),"",VLOOKUP($A18,Kc_Info!$A$4:$V$155,20,FALSE))</f>
        <v>1.1320754716981133E-2</v>
      </c>
      <c r="U18" s="94">
        <f>IF(ISNA(VLOOKUP($A18,Kc_Info!$A$4:$V$155,21,FALSE)),"",VLOOKUP($A18,Kc_Info!$A$4:$V$155,21,FALSE))</f>
        <v>0</v>
      </c>
      <c r="V18" s="94">
        <f>IF(ISNA(VLOOKUP($A18,Kc_Info!$A$4:$V$155,22,FALSE)),"",VLOOKUP($A18,Kc_Info!$A$4:$V$155,22,FALSE))</f>
        <v>-1.2962962962962964E-2</v>
      </c>
    </row>
    <row r="19" spans="1:22">
      <c r="A19" s="92">
        <v>61</v>
      </c>
      <c r="B19" s="93" t="str">
        <f>IF(ISNA(VLOOKUP($A19,Kc_Info!$A$4:$V$155,2,FALSE)),"",VLOOKUP($A19,Kc_Info!$A$4:$V$155,2,FALSE))</f>
        <v>Wheat</v>
      </c>
      <c r="C19" s="94">
        <f>IF(ISNA(VLOOKUP($A19,Kc_Info!$A$4:$V$155,3,FALSE)),"",VLOOKUP($A19,Kc_Info!$A$4:$V$155,3,FALSE))</f>
        <v>1</v>
      </c>
      <c r="D19" s="94">
        <f>IF(ISNA(VLOOKUP($A19,Kc_Info!$A$4:$V$155,4,FALSE)),"",VLOOKUP($A19,Kc_Info!$A$4:$V$155,4,FALSE))</f>
        <v>20</v>
      </c>
      <c r="E19" s="94">
        <f>IF(ISNA(VLOOKUP($A19,Kc_Info!$A$4:$V$155,5,FALSE)),"",VLOOKUP($A19,Kc_Info!$A$4:$V$155,5,FALSE))</f>
        <v>45</v>
      </c>
      <c r="F19" s="94">
        <f>IF(ISNA(VLOOKUP($A19,Kc_Info!$A$4:$V$155,6,FALSE)),"",VLOOKUP($A19,Kc_Info!$A$4:$V$155,6,FALSE))</f>
        <v>75</v>
      </c>
      <c r="G19" s="101">
        <f>IF(ISNA(VLOOKUP($A19,Kc_Info!$A$4:$V$155,7,FALSE)),"",VLOOKUP($A19,Kc_Info!$A$4:$V$155,7,FALSE))</f>
        <v>0.33</v>
      </c>
      <c r="H19" s="101">
        <f>IF(ISNA(VLOOKUP($A19,Kc_Info!$A$4:$V$155,8,FALSE)),"",VLOOKUP($A19,Kc_Info!$A$4:$V$155,8,FALSE))</f>
        <v>1.1000000000000001</v>
      </c>
      <c r="I19" s="101">
        <f>IF(ISNA(VLOOKUP($A19,Kc_Info!$A$4:$V$155,9,FALSE)),"",VLOOKUP($A19,Kc_Info!$A$4:$V$155,9,FALSE))</f>
        <v>1.1000000000000001</v>
      </c>
      <c r="J19" s="101">
        <f>IF(ISNA(VLOOKUP($A19,Kc_Info!$A$4:$V$155,10,FALSE)),"",VLOOKUP($A19,Kc_Info!$A$4:$V$155,10,FALSE))</f>
        <v>0.15</v>
      </c>
      <c r="K19" s="94">
        <f>IF(ISNA(VLOOKUP($A19,Kc_Info!$A$4:$V$155,11,FALSE)),"",VLOOKUP($A19,Kc_Info!$A$4:$V$155,11,FALSE))</f>
        <v>11</v>
      </c>
      <c r="L19" s="94">
        <f>IF(ISNA(VLOOKUP($A19,Kc_Info!$A$4:$V$155,12,FALSE)),"",VLOOKUP($A19,Kc_Info!$A$4:$V$155,12,FALSE))</f>
        <v>1</v>
      </c>
      <c r="M19" s="94">
        <f>IF(ISNA(VLOOKUP($A19,Kc_Info!$A$4:$V$155,13,FALSE)),"",VLOOKUP($A19,Kc_Info!$A$4:$V$155,13,FALSE))</f>
        <v>5</v>
      </c>
      <c r="N19" s="94">
        <f>IF(ISNA(VLOOKUP($A19,Kc_Info!$A$4:$V$155,14,FALSE)),"",VLOOKUP($A19,Kc_Info!$A$4:$V$155,14,FALSE))</f>
        <v>31</v>
      </c>
      <c r="O19" s="100">
        <f>IF(ISNA(VLOOKUP($A19,Kc_Info!$A$4:$V$155,15,FALSE)),"",VLOOKUP($A19,Kc_Info!$A$4:$V$155,15,FALSE))</f>
        <v>38292</v>
      </c>
      <c r="P19" s="100">
        <f>IF(ISNA(VLOOKUP($A19,Kc_Info!$A$4:$V$155,16,FALSE)),"",VLOOKUP($A19,Kc_Info!$A$4:$V$155,16,FALSE))</f>
        <v>38334</v>
      </c>
      <c r="Q19" s="100">
        <f>IF(ISNA(VLOOKUP($A19,Kc_Info!$A$4:$V$155,17,FALSE)),"",VLOOKUP($A19,Kc_Info!$A$4:$V$155,17,FALSE))</f>
        <v>38386</v>
      </c>
      <c r="R19" s="100">
        <f>IF(ISNA(VLOOKUP($A19,Kc_Info!$A$4:$V$155,18,FALSE)),"",VLOOKUP($A19,Kc_Info!$A$4:$V$155,18,FALSE))</f>
        <v>38450</v>
      </c>
      <c r="S19" s="100">
        <f>IF(ISNA(VLOOKUP($A19,Kc_Info!$A$4:$V$155,19,FALSE)),"",VLOOKUP($A19,Kc_Info!$A$4:$V$155,19,FALSE))</f>
        <v>38503</v>
      </c>
      <c r="T19" s="94">
        <f>IF(ISNA(VLOOKUP($A19,Kc_Info!$A$4:$V$155,20,FALSE)),"",VLOOKUP($A19,Kc_Info!$A$4:$V$155,20,FALSE))</f>
        <v>1.4807692307692308E-2</v>
      </c>
      <c r="U19" s="94">
        <f>IF(ISNA(VLOOKUP($A19,Kc_Info!$A$4:$V$155,21,FALSE)),"",VLOOKUP($A19,Kc_Info!$A$4:$V$155,21,FALSE))</f>
        <v>0</v>
      </c>
      <c r="V19" s="94">
        <f>IF(ISNA(VLOOKUP($A19,Kc_Info!$A$4:$V$155,22,FALSE)),"",VLOOKUP($A19,Kc_Info!$A$4:$V$155,22,FALSE))</f>
        <v>-1.7924528301886795E-2</v>
      </c>
    </row>
    <row r="20" spans="1:22">
      <c r="A20" s="92">
        <v>4</v>
      </c>
      <c r="B20" s="93" t="str">
        <f>IF(ISNA(VLOOKUP($A20,Kc_Info!$A$4:$V$155,2,FALSE)),"",VLOOKUP($A20,Kc_Info!$A$4:$V$155,2,FALSE))</f>
        <v>Asparagus</v>
      </c>
      <c r="C20" s="94">
        <f>IF(ISNA(VLOOKUP($A20,Kc_Info!$A$4:$V$155,3,FALSE)),"",VLOOKUP($A20,Kc_Info!$A$4:$V$155,3,FALSE))</f>
        <v>1</v>
      </c>
      <c r="D20" s="94">
        <f>IF(ISNA(VLOOKUP($A20,Kc_Info!$A$4:$V$155,4,FALSE)),"",VLOOKUP($A20,Kc_Info!$A$4:$V$155,4,FALSE))</f>
        <v>12</v>
      </c>
      <c r="E20" s="94">
        <f>IF(ISNA(VLOOKUP($A20,Kc_Info!$A$4:$V$155,5,FALSE)),"",VLOOKUP($A20,Kc_Info!$A$4:$V$155,5,FALSE))</f>
        <v>25</v>
      </c>
      <c r="F20" s="94">
        <f>IF(ISNA(VLOOKUP($A20,Kc_Info!$A$4:$V$155,6,FALSE)),"",VLOOKUP($A20,Kc_Info!$A$4:$V$155,6,FALSE))</f>
        <v>95</v>
      </c>
      <c r="G20" s="101">
        <f>IF(ISNA(VLOOKUP($A20,Kc_Info!$A$4:$V$155,7,FALSE)),"",VLOOKUP($A20,Kc_Info!$A$4:$V$155,7,FALSE))</f>
        <v>0.25</v>
      </c>
      <c r="H20" s="101">
        <f>IF(ISNA(VLOOKUP($A20,Kc_Info!$A$4:$V$155,8,FALSE)),"",VLOOKUP($A20,Kc_Info!$A$4:$V$155,8,FALSE))</f>
        <v>1</v>
      </c>
      <c r="I20" s="101">
        <f>IF(ISNA(VLOOKUP($A20,Kc_Info!$A$4:$V$155,9,FALSE)),"",VLOOKUP($A20,Kc_Info!$A$4:$V$155,9,FALSE))</f>
        <v>1</v>
      </c>
      <c r="J20" s="101">
        <f>IF(ISNA(VLOOKUP($A20,Kc_Info!$A$4:$V$155,10,FALSE)),"",VLOOKUP($A20,Kc_Info!$A$4:$V$155,10,FALSE))</f>
        <v>0.25</v>
      </c>
      <c r="K20" s="94">
        <f>IF(ISNA(VLOOKUP($A20,Kc_Info!$A$4:$V$155,11,FALSE)),"",VLOOKUP($A20,Kc_Info!$A$4:$V$155,11,FALSE))</f>
        <v>1</v>
      </c>
      <c r="L20" s="94">
        <f>IF(ISNA(VLOOKUP($A20,Kc_Info!$A$4:$V$155,12,FALSE)),"",VLOOKUP($A20,Kc_Info!$A$4:$V$155,12,FALSE))</f>
        <v>1</v>
      </c>
      <c r="M20" s="94">
        <f>IF(ISNA(VLOOKUP($A20,Kc_Info!$A$4:$V$155,13,FALSE)),"",VLOOKUP($A20,Kc_Info!$A$4:$V$155,13,FALSE))</f>
        <v>12</v>
      </c>
      <c r="N20" s="94">
        <f>IF(ISNA(VLOOKUP($A20,Kc_Info!$A$4:$V$155,14,FALSE)),"",VLOOKUP($A20,Kc_Info!$A$4:$V$155,14,FALSE))</f>
        <v>31</v>
      </c>
      <c r="O20" s="100">
        <f>IF(ISNA(VLOOKUP($A20,Kc_Info!$A$4:$V$155,15,FALSE)),"",VLOOKUP($A20,Kc_Info!$A$4:$V$155,15,FALSE))</f>
        <v>37987</v>
      </c>
      <c r="P20" s="100">
        <f>IF(ISNA(VLOOKUP($A20,Kc_Info!$A$4:$V$155,16,FALSE)),"",VLOOKUP($A20,Kc_Info!$A$4:$V$155,16,FALSE))</f>
        <v>38030</v>
      </c>
      <c r="Q20" s="100">
        <f>IF(ISNA(VLOOKUP($A20,Kc_Info!$A$4:$V$155,17,FALSE)),"",VLOOKUP($A20,Kc_Info!$A$4:$V$155,17,FALSE))</f>
        <v>38078</v>
      </c>
      <c r="R20" s="100">
        <f>IF(ISNA(VLOOKUP($A20,Kc_Info!$A$4:$V$155,18,FALSE)),"",VLOOKUP($A20,Kc_Info!$A$4:$V$155,18,FALSE))</f>
        <v>38333</v>
      </c>
      <c r="S20" s="100">
        <f>IF(ISNA(VLOOKUP($A20,Kc_Info!$A$4:$V$155,19,FALSE)),"",VLOOKUP($A20,Kc_Info!$A$4:$V$155,19,FALSE))</f>
        <v>38352</v>
      </c>
      <c r="T20" s="94">
        <f>IF(ISNA(VLOOKUP($A20,Kc_Info!$A$4:$V$155,20,FALSE)),"",VLOOKUP($A20,Kc_Info!$A$4:$V$155,20,FALSE))</f>
        <v>1.5625E-2</v>
      </c>
      <c r="U20" s="94">
        <f>IF(ISNA(VLOOKUP($A20,Kc_Info!$A$4:$V$155,21,FALSE)),"",VLOOKUP($A20,Kc_Info!$A$4:$V$155,21,FALSE))</f>
        <v>0</v>
      </c>
      <c r="V20" s="94">
        <f>IF(ISNA(VLOOKUP($A20,Kc_Info!$A$4:$V$155,22,FALSE)),"",VLOOKUP($A20,Kc_Info!$A$4:$V$155,22,FALSE))</f>
        <v>-3.9473684210526314E-2</v>
      </c>
    </row>
    <row r="21" spans="1:22">
      <c r="A21" s="92">
        <v>50</v>
      </c>
      <c r="B21" s="93" t="str">
        <f>IF(ISNA(VLOOKUP($A21,Kc_Info!$A$4:$V$155,2,FALSE)),"",VLOOKUP($A21,Kc_Info!$A$4:$V$155,2,FALSE))</f>
        <v>Stone fruits</v>
      </c>
      <c r="C21" s="94">
        <f>IF(ISNA(VLOOKUP($A21,Kc_Info!$A$4:$V$155,3,FALSE)),"",VLOOKUP($A21,Kc_Info!$A$4:$V$155,3,FALSE))</f>
        <v>3</v>
      </c>
      <c r="D21" s="94">
        <f>IF(ISNA(VLOOKUP($A21,Kc_Info!$A$4:$V$155,4,FALSE)),"",VLOOKUP($A21,Kc_Info!$A$4:$V$155,4,FALSE))</f>
        <v>0</v>
      </c>
      <c r="E21" s="94">
        <f>IF(ISNA(VLOOKUP($A21,Kc_Info!$A$4:$V$155,5,FALSE)),"",VLOOKUP($A21,Kc_Info!$A$4:$V$155,5,FALSE))</f>
        <v>50</v>
      </c>
      <c r="F21" s="94">
        <f>IF(ISNA(VLOOKUP($A21,Kc_Info!$A$4:$V$155,6,FALSE)),"",VLOOKUP($A21,Kc_Info!$A$4:$V$155,6,FALSE))</f>
        <v>90</v>
      </c>
      <c r="G21" s="101">
        <f>IF(ISNA(VLOOKUP($A21,Kc_Info!$A$4:$V$155,7,FALSE)),"",VLOOKUP($A21,Kc_Info!$A$4:$V$155,7,FALSE))</f>
        <v>0.55000000000000004</v>
      </c>
      <c r="H21" s="101">
        <f>IF(ISNA(VLOOKUP($A21,Kc_Info!$A$4:$V$155,8,FALSE)),"",VLOOKUP($A21,Kc_Info!$A$4:$V$155,8,FALSE))</f>
        <v>1.2</v>
      </c>
      <c r="I21" s="101">
        <f>IF(ISNA(VLOOKUP($A21,Kc_Info!$A$4:$V$155,9,FALSE)),"",VLOOKUP($A21,Kc_Info!$A$4:$V$155,9,FALSE))</f>
        <v>1.2</v>
      </c>
      <c r="J21" s="101">
        <f>IF(ISNA(VLOOKUP($A21,Kc_Info!$A$4:$V$155,10,FALSE)),"",VLOOKUP($A21,Kc_Info!$A$4:$V$155,10,FALSE))</f>
        <v>0.65</v>
      </c>
      <c r="K21" s="94">
        <f>IF(ISNA(VLOOKUP($A21,Kc_Info!$A$4:$V$155,11,FALSE)),"",VLOOKUP($A21,Kc_Info!$A$4:$V$155,11,FALSE))</f>
        <v>3</v>
      </c>
      <c r="L21" s="94">
        <f>IF(ISNA(VLOOKUP($A21,Kc_Info!$A$4:$V$155,12,FALSE)),"",VLOOKUP($A21,Kc_Info!$A$4:$V$155,12,FALSE))</f>
        <v>1</v>
      </c>
      <c r="M21" s="94">
        <f>IF(ISNA(VLOOKUP($A21,Kc_Info!$A$4:$V$155,13,FALSE)),"",VLOOKUP($A21,Kc_Info!$A$4:$V$155,13,FALSE))</f>
        <v>10</v>
      </c>
      <c r="N21" s="94">
        <f>IF(ISNA(VLOOKUP($A21,Kc_Info!$A$4:$V$155,14,FALSE)),"",VLOOKUP($A21,Kc_Info!$A$4:$V$155,14,FALSE))</f>
        <v>15</v>
      </c>
      <c r="O21" s="100">
        <f>IF(ISNA(VLOOKUP($A21,Kc_Info!$A$4:$V$155,15,FALSE)),"",VLOOKUP($A21,Kc_Info!$A$4:$V$155,15,FALSE))</f>
        <v>38047</v>
      </c>
      <c r="P21" s="100">
        <f>IF(ISNA(VLOOKUP($A21,Kc_Info!$A$4:$V$155,16,FALSE)),"",VLOOKUP($A21,Kc_Info!$A$4:$V$155,16,FALSE))</f>
        <v>38047</v>
      </c>
      <c r="Q21" s="100">
        <f>IF(ISNA(VLOOKUP($A21,Kc_Info!$A$4:$V$155,17,FALSE)),"",VLOOKUP($A21,Kc_Info!$A$4:$V$155,17,FALSE))</f>
        <v>38161</v>
      </c>
      <c r="R21" s="100">
        <f>IF(ISNA(VLOOKUP($A21,Kc_Info!$A$4:$V$155,18,FALSE)),"",VLOOKUP($A21,Kc_Info!$A$4:$V$155,18,FALSE))</f>
        <v>38252</v>
      </c>
      <c r="S21" s="100">
        <f>IF(ISNA(VLOOKUP($A21,Kc_Info!$A$4:$V$155,19,FALSE)),"",VLOOKUP($A21,Kc_Info!$A$4:$V$155,19,FALSE))</f>
        <v>38275</v>
      </c>
      <c r="T21" s="94">
        <f>IF(ISNA(VLOOKUP($A21,Kc_Info!$A$4:$V$155,20,FALSE)),"",VLOOKUP($A21,Kc_Info!$A$4:$V$155,20,FALSE))</f>
        <v>5.7017543859649118E-3</v>
      </c>
      <c r="U21" s="94">
        <f>IF(ISNA(VLOOKUP($A21,Kc_Info!$A$4:$V$155,21,FALSE)),"",VLOOKUP($A21,Kc_Info!$A$4:$V$155,21,FALSE))</f>
        <v>0</v>
      </c>
      <c r="V21" s="94">
        <f>IF(ISNA(VLOOKUP($A21,Kc_Info!$A$4:$V$155,22,FALSE)),"",VLOOKUP($A21,Kc_Info!$A$4:$V$155,22,FALSE))</f>
        <v>-2.3913043478260867E-2</v>
      </c>
    </row>
    <row r="22" spans="1:22">
      <c r="A22" s="92">
        <v>37</v>
      </c>
      <c r="B22" s="93" t="str">
        <f>IF(ISNA(VLOOKUP($A22,Kc_Info!$A$4:$V$155,2,FALSE)),"",VLOOKUP($A22,Kc_Info!$A$4:$V$155,2,FALSE))</f>
        <v>Olives</v>
      </c>
      <c r="C22" s="94">
        <f>IF(ISNA(VLOOKUP($A22,Kc_Info!$A$4:$V$155,3,FALSE)),"",VLOOKUP($A22,Kc_Info!$A$4:$V$155,3,FALSE))</f>
        <v>4</v>
      </c>
      <c r="D22" s="94">
        <f>IF(ISNA(VLOOKUP($A22,Kc_Info!$A$4:$V$155,4,FALSE)),"",VLOOKUP($A22,Kc_Info!$A$4:$V$155,4,FALSE))</f>
        <v>25</v>
      </c>
      <c r="E22" s="94">
        <f>IF(ISNA(VLOOKUP($A22,Kc_Info!$A$4:$V$155,5,FALSE)),"",VLOOKUP($A22,Kc_Info!$A$4:$V$155,5,FALSE))</f>
        <v>50</v>
      </c>
      <c r="F22" s="94">
        <f>IF(ISNA(VLOOKUP($A22,Kc_Info!$A$4:$V$155,6,FALSE)),"",VLOOKUP($A22,Kc_Info!$A$4:$V$155,6,FALSE))</f>
        <v>75</v>
      </c>
      <c r="G22" s="101">
        <f>IF(ISNA(VLOOKUP($A22,Kc_Info!$A$4:$V$155,7,FALSE)),"",VLOOKUP($A22,Kc_Info!$A$4:$V$155,7,FALSE))</f>
        <v>0.8</v>
      </c>
      <c r="H22" s="101">
        <f>IF(ISNA(VLOOKUP($A22,Kc_Info!$A$4:$V$155,8,FALSE)),"",VLOOKUP($A22,Kc_Info!$A$4:$V$155,8,FALSE))</f>
        <v>0.8</v>
      </c>
      <c r="I22" s="101">
        <f>IF(ISNA(VLOOKUP($A22,Kc_Info!$A$4:$V$155,9,FALSE)),"",VLOOKUP($A22,Kc_Info!$A$4:$V$155,9,FALSE))</f>
        <v>0.8</v>
      </c>
      <c r="J22" s="101">
        <f>IF(ISNA(VLOOKUP($A22,Kc_Info!$A$4:$V$155,10,FALSE)),"",VLOOKUP($A22,Kc_Info!$A$4:$V$155,10,FALSE))</f>
        <v>0.8</v>
      </c>
      <c r="K22" s="94">
        <f>IF(ISNA(VLOOKUP($A22,Kc_Info!$A$4:$V$155,11,FALSE)),"",VLOOKUP($A22,Kc_Info!$A$4:$V$155,11,FALSE))</f>
        <v>1</v>
      </c>
      <c r="L22" s="94">
        <f>IF(ISNA(VLOOKUP($A22,Kc_Info!$A$4:$V$155,12,FALSE)),"",VLOOKUP($A22,Kc_Info!$A$4:$V$155,12,FALSE))</f>
        <v>1</v>
      </c>
      <c r="M22" s="94">
        <f>IF(ISNA(VLOOKUP($A22,Kc_Info!$A$4:$V$155,13,FALSE)),"",VLOOKUP($A22,Kc_Info!$A$4:$V$155,13,FALSE))</f>
        <v>12</v>
      </c>
      <c r="N22" s="94">
        <f>IF(ISNA(VLOOKUP($A22,Kc_Info!$A$4:$V$155,14,FALSE)),"",VLOOKUP($A22,Kc_Info!$A$4:$V$155,14,FALSE))</f>
        <v>31</v>
      </c>
      <c r="O22" s="100">
        <f>IF(ISNA(VLOOKUP($A22,Kc_Info!$A$4:$V$155,15,FALSE)),"",VLOOKUP($A22,Kc_Info!$A$4:$V$155,15,FALSE))</f>
        <v>37987</v>
      </c>
      <c r="P22" s="100">
        <f>IF(ISNA(VLOOKUP($A22,Kc_Info!$A$4:$V$155,16,FALSE)),"",VLOOKUP($A22,Kc_Info!$A$4:$V$155,16,FALSE))</f>
        <v>38078</v>
      </c>
      <c r="Q22" s="100">
        <f>IF(ISNA(VLOOKUP($A22,Kc_Info!$A$4:$V$155,17,FALSE)),"",VLOOKUP($A22,Kc_Info!$A$4:$V$155,17,FALSE))</f>
        <v>38169</v>
      </c>
      <c r="R22" s="100">
        <f>IF(ISNA(VLOOKUP($A22,Kc_Info!$A$4:$V$155,18,FALSE)),"",VLOOKUP($A22,Kc_Info!$A$4:$V$155,18,FALSE))</f>
        <v>38260</v>
      </c>
      <c r="S22" s="100">
        <f>IF(ISNA(VLOOKUP($A22,Kc_Info!$A$4:$V$155,19,FALSE)),"",VLOOKUP($A22,Kc_Info!$A$4:$V$155,19,FALSE))</f>
        <v>38352</v>
      </c>
      <c r="T22" s="94">
        <f>IF(ISNA(VLOOKUP($A22,Kc_Info!$A$4:$V$155,20,FALSE)),"",VLOOKUP($A22,Kc_Info!$A$4:$V$155,20,FALSE))</f>
        <v>0</v>
      </c>
      <c r="U22" s="94">
        <f>IF(ISNA(VLOOKUP($A22,Kc_Info!$A$4:$V$155,21,FALSE)),"",VLOOKUP($A22,Kc_Info!$A$4:$V$155,21,FALSE))</f>
        <v>0</v>
      </c>
      <c r="V22" s="94">
        <f>IF(ISNA(VLOOKUP($A22,Kc_Info!$A$4:$V$155,22,FALSE)),"",VLOOKUP($A22,Kc_Info!$A$4:$V$155,22,FALSE))</f>
        <v>0</v>
      </c>
    </row>
    <row r="23" spans="1:22">
      <c r="A23" s="92">
        <v>18</v>
      </c>
      <c r="B23" s="93" t="str">
        <f>IF(ISNA(VLOOKUP($A23,Kc_Info!$A$4:$V$155,2,FALSE)),"",VLOOKUP($A23,Kc_Info!$A$4:$V$155,2,FALSE))</f>
        <v>Corn (silage)</v>
      </c>
      <c r="C23" s="94">
        <f>IF(ISNA(VLOOKUP($A23,Kc_Info!$A$4:$V$155,3,FALSE)),"",VLOOKUP($A23,Kc_Info!$A$4:$V$155,3,FALSE))</f>
        <v>1</v>
      </c>
      <c r="D23" s="94">
        <f>IF(ISNA(VLOOKUP($A23,Kc_Info!$A$4:$V$155,4,FALSE)),"",VLOOKUP($A23,Kc_Info!$A$4:$V$155,4,FALSE))</f>
        <v>20</v>
      </c>
      <c r="E23" s="94">
        <f>IF(ISNA(VLOOKUP($A23,Kc_Info!$A$4:$V$155,5,FALSE)),"",VLOOKUP($A23,Kc_Info!$A$4:$V$155,5,FALSE))</f>
        <v>45</v>
      </c>
      <c r="F23" s="94">
        <f>IF(ISNA(VLOOKUP($A23,Kc_Info!$A$4:$V$155,6,FALSE)),"",VLOOKUP($A23,Kc_Info!$A$4:$V$155,6,FALSE))</f>
        <v>99</v>
      </c>
      <c r="G23" s="101">
        <f>IF(ISNA(VLOOKUP($A23,Kc_Info!$A$4:$V$155,7,FALSE)),"",VLOOKUP($A23,Kc_Info!$A$4:$V$155,7,FALSE))</f>
        <v>0.2</v>
      </c>
      <c r="H23" s="101">
        <f>IF(ISNA(VLOOKUP($A23,Kc_Info!$A$4:$V$155,8,FALSE)),"",VLOOKUP($A23,Kc_Info!$A$4:$V$155,8,FALSE))</f>
        <v>1</v>
      </c>
      <c r="I23" s="101">
        <f>IF(ISNA(VLOOKUP($A23,Kc_Info!$A$4:$V$155,9,FALSE)),"",VLOOKUP($A23,Kc_Info!$A$4:$V$155,9,FALSE))</f>
        <v>1</v>
      </c>
      <c r="J23" s="101">
        <f>IF(ISNA(VLOOKUP($A23,Kc_Info!$A$4:$V$155,10,FALSE)),"",VLOOKUP($A23,Kc_Info!$A$4:$V$155,10,FALSE))</f>
        <v>1</v>
      </c>
      <c r="K23" s="94">
        <f>IF(ISNA(VLOOKUP($A23,Kc_Info!$A$4:$V$155,11,FALSE)),"",VLOOKUP($A23,Kc_Info!$A$4:$V$155,11,FALSE))</f>
        <v>5</v>
      </c>
      <c r="L23" s="94">
        <f>IF(ISNA(VLOOKUP($A23,Kc_Info!$A$4:$V$155,12,FALSE)),"",VLOOKUP($A23,Kc_Info!$A$4:$V$155,12,FALSE))</f>
        <v>1</v>
      </c>
      <c r="M23" s="94">
        <f>IF(ISNA(VLOOKUP($A23,Kc_Info!$A$4:$V$155,13,FALSE)),"",VLOOKUP($A23,Kc_Info!$A$4:$V$155,13,FALSE))</f>
        <v>8</v>
      </c>
      <c r="N23" s="94">
        <f>IF(ISNA(VLOOKUP($A23,Kc_Info!$A$4:$V$155,14,FALSE)),"",VLOOKUP($A23,Kc_Info!$A$4:$V$155,14,FALSE))</f>
        <v>15</v>
      </c>
      <c r="O23" s="100">
        <f>IF(ISNA(VLOOKUP($A23,Kc_Info!$A$4:$V$155,15,FALSE)),"",VLOOKUP($A23,Kc_Info!$A$4:$V$155,15,FALSE))</f>
        <v>38108</v>
      </c>
      <c r="P23" s="100">
        <f>IF(ISNA(VLOOKUP($A23,Kc_Info!$A$4:$V$155,16,FALSE)),"",VLOOKUP($A23,Kc_Info!$A$4:$V$155,16,FALSE))</f>
        <v>38129</v>
      </c>
      <c r="Q23" s="100">
        <f>IF(ISNA(VLOOKUP($A23,Kc_Info!$A$4:$V$155,17,FALSE)),"",VLOOKUP($A23,Kc_Info!$A$4:$V$155,17,FALSE))</f>
        <v>38155</v>
      </c>
      <c r="R23" s="100">
        <f>IF(ISNA(VLOOKUP($A23,Kc_Info!$A$4:$V$155,18,FALSE)),"",VLOOKUP($A23,Kc_Info!$A$4:$V$155,18,FALSE))</f>
        <v>38212</v>
      </c>
      <c r="S23" s="100">
        <f>IF(ISNA(VLOOKUP($A23,Kc_Info!$A$4:$V$155,19,FALSE)),"",VLOOKUP($A23,Kc_Info!$A$4:$V$155,19,FALSE))</f>
        <v>38214</v>
      </c>
      <c r="T23" s="94">
        <f>IF(ISNA(VLOOKUP($A23,Kc_Info!$A$4:$V$155,20,FALSE)),"",VLOOKUP($A23,Kc_Info!$A$4:$V$155,20,FALSE))</f>
        <v>3.0769230769230771E-2</v>
      </c>
      <c r="U23" s="94">
        <f>IF(ISNA(VLOOKUP($A23,Kc_Info!$A$4:$V$155,21,FALSE)),"",VLOOKUP($A23,Kc_Info!$A$4:$V$155,21,FALSE))</f>
        <v>0</v>
      </c>
      <c r="V23" s="94">
        <f>IF(ISNA(VLOOKUP($A23,Kc_Info!$A$4:$V$155,22,FALSE)),"",VLOOKUP($A23,Kc_Info!$A$4:$V$155,22,FALSE))</f>
        <v>0</v>
      </c>
    </row>
    <row r="24" spans="1:22">
      <c r="A24" s="92">
        <v>17</v>
      </c>
      <c r="B24" s="93" t="str">
        <f>IF(ISNA(VLOOKUP($A24,Kc_Info!$A$4:$V$155,2,FALSE)),"",VLOOKUP($A24,Kc_Info!$A$4:$V$155,2,FALSE))</f>
        <v>Corn (grain)</v>
      </c>
      <c r="C24" s="94">
        <f>IF(ISNA(VLOOKUP($A24,Kc_Info!$A$4:$V$155,3,FALSE)),"",VLOOKUP($A24,Kc_Info!$A$4:$V$155,3,FALSE))</f>
        <v>1</v>
      </c>
      <c r="D24" s="94">
        <f>IF(ISNA(VLOOKUP($A24,Kc_Info!$A$4:$V$155,4,FALSE)),"",VLOOKUP($A24,Kc_Info!$A$4:$V$155,4,FALSE))</f>
        <v>20</v>
      </c>
      <c r="E24" s="94">
        <f>IF(ISNA(VLOOKUP($A24,Kc_Info!$A$4:$V$155,5,FALSE)),"",VLOOKUP($A24,Kc_Info!$A$4:$V$155,5,FALSE))</f>
        <v>45</v>
      </c>
      <c r="F24" s="94">
        <f>IF(ISNA(VLOOKUP($A24,Kc_Info!$A$4:$V$155,6,FALSE)),"",VLOOKUP($A24,Kc_Info!$A$4:$V$155,6,FALSE))</f>
        <v>75</v>
      </c>
      <c r="G24" s="101">
        <f>IF(ISNA(VLOOKUP($A24,Kc_Info!$A$4:$V$155,7,FALSE)),"",VLOOKUP($A24,Kc_Info!$A$4:$V$155,7,FALSE))</f>
        <v>0.2</v>
      </c>
      <c r="H24" s="101">
        <f>IF(ISNA(VLOOKUP($A24,Kc_Info!$A$4:$V$155,8,FALSE)),"",VLOOKUP($A24,Kc_Info!$A$4:$V$155,8,FALSE))</f>
        <v>1.05</v>
      </c>
      <c r="I24" s="101">
        <f>IF(ISNA(VLOOKUP($A24,Kc_Info!$A$4:$V$155,9,FALSE)),"",VLOOKUP($A24,Kc_Info!$A$4:$V$155,9,FALSE))</f>
        <v>1.05</v>
      </c>
      <c r="J24" s="101">
        <f>IF(ISNA(VLOOKUP($A24,Kc_Info!$A$4:$V$155,10,FALSE)),"",VLOOKUP($A24,Kc_Info!$A$4:$V$155,10,FALSE))</f>
        <v>0.6</v>
      </c>
      <c r="K24" s="94">
        <f>IF(ISNA(VLOOKUP($A24,Kc_Info!$A$4:$V$155,11,FALSE)),"",VLOOKUP($A24,Kc_Info!$A$4:$V$155,11,FALSE))</f>
        <v>4</v>
      </c>
      <c r="L24" s="94">
        <f>IF(ISNA(VLOOKUP($A24,Kc_Info!$A$4:$V$155,12,FALSE)),"",VLOOKUP($A24,Kc_Info!$A$4:$V$155,12,FALSE))</f>
        <v>15</v>
      </c>
      <c r="M24" s="94">
        <f>IF(ISNA(VLOOKUP($A24,Kc_Info!$A$4:$V$155,13,FALSE)),"",VLOOKUP($A24,Kc_Info!$A$4:$V$155,13,FALSE))</f>
        <v>9</v>
      </c>
      <c r="N24" s="94">
        <f>IF(ISNA(VLOOKUP($A24,Kc_Info!$A$4:$V$155,14,FALSE)),"",VLOOKUP($A24,Kc_Info!$A$4:$V$155,14,FALSE))</f>
        <v>30</v>
      </c>
      <c r="O24" s="100">
        <f>IF(ISNA(VLOOKUP($A24,Kc_Info!$A$4:$V$155,15,FALSE)),"",VLOOKUP($A24,Kc_Info!$A$4:$V$155,15,FALSE))</f>
        <v>38092</v>
      </c>
      <c r="P24" s="100">
        <f>IF(ISNA(VLOOKUP($A24,Kc_Info!$A$4:$V$155,16,FALSE)),"",VLOOKUP($A24,Kc_Info!$A$4:$V$155,16,FALSE))</f>
        <v>38125</v>
      </c>
      <c r="Q24" s="100">
        <f>IF(ISNA(VLOOKUP($A24,Kc_Info!$A$4:$V$155,17,FALSE)),"",VLOOKUP($A24,Kc_Info!$A$4:$V$155,17,FALSE))</f>
        <v>38167</v>
      </c>
      <c r="R24" s="100">
        <f>IF(ISNA(VLOOKUP($A24,Kc_Info!$A$4:$V$155,18,FALSE)),"",VLOOKUP($A24,Kc_Info!$A$4:$V$155,18,FALSE))</f>
        <v>38218</v>
      </c>
      <c r="S24" s="100">
        <f>IF(ISNA(VLOOKUP($A24,Kc_Info!$A$4:$V$155,19,FALSE)),"",VLOOKUP($A24,Kc_Info!$A$4:$V$155,19,FALSE))</f>
        <v>38260</v>
      </c>
      <c r="T24" s="94">
        <f>IF(ISNA(VLOOKUP($A24,Kc_Info!$A$4:$V$155,20,FALSE)),"",VLOOKUP($A24,Kc_Info!$A$4:$V$155,20,FALSE))</f>
        <v>2.0238095238095239E-2</v>
      </c>
      <c r="U24" s="94">
        <f>IF(ISNA(VLOOKUP($A24,Kc_Info!$A$4:$V$155,21,FALSE)),"",VLOOKUP($A24,Kc_Info!$A$4:$V$155,21,FALSE))</f>
        <v>0</v>
      </c>
      <c r="V24" s="94">
        <f>IF(ISNA(VLOOKUP($A24,Kc_Info!$A$4:$V$155,22,FALSE)),"",VLOOKUP($A24,Kc_Info!$A$4:$V$155,22,FALSE))</f>
        <v>-1.0714285714285716E-2</v>
      </c>
    </row>
    <row r="25" spans="1:22">
      <c r="A25" s="92">
        <v>37</v>
      </c>
      <c r="B25" s="93" t="str">
        <f>IF(ISNA(VLOOKUP($A25,Kc_Info!$A$4:$V$155,2,FALSE)),"",VLOOKUP($A25,Kc_Info!$A$4:$V$155,2,FALSE))</f>
        <v>Olives</v>
      </c>
      <c r="C25" s="94">
        <f>IF(ISNA(VLOOKUP($A25,Kc_Info!$A$4:$V$155,3,FALSE)),"",VLOOKUP($A25,Kc_Info!$A$4:$V$155,3,FALSE))</f>
        <v>4</v>
      </c>
      <c r="D25" s="94">
        <f>IF(ISNA(VLOOKUP($A25,Kc_Info!$A$4:$V$155,4,FALSE)),"",VLOOKUP($A25,Kc_Info!$A$4:$V$155,4,FALSE))</f>
        <v>25</v>
      </c>
      <c r="E25" s="94">
        <f>IF(ISNA(VLOOKUP($A25,Kc_Info!$A$4:$V$155,5,FALSE)),"",VLOOKUP($A25,Kc_Info!$A$4:$V$155,5,FALSE))</f>
        <v>50</v>
      </c>
      <c r="F25" s="94">
        <f>IF(ISNA(VLOOKUP($A25,Kc_Info!$A$4:$V$155,6,FALSE)),"",VLOOKUP($A25,Kc_Info!$A$4:$V$155,6,FALSE))</f>
        <v>75</v>
      </c>
      <c r="G25" s="101">
        <f>IF(ISNA(VLOOKUP($A25,Kc_Info!$A$4:$V$155,7,FALSE)),"",VLOOKUP($A25,Kc_Info!$A$4:$V$155,7,FALSE))</f>
        <v>0.8</v>
      </c>
      <c r="H25" s="101">
        <f>IF(ISNA(VLOOKUP($A25,Kc_Info!$A$4:$V$155,8,FALSE)),"",VLOOKUP($A25,Kc_Info!$A$4:$V$155,8,FALSE))</f>
        <v>0.8</v>
      </c>
      <c r="I25" s="101">
        <f>IF(ISNA(VLOOKUP($A25,Kc_Info!$A$4:$V$155,9,FALSE)),"",VLOOKUP($A25,Kc_Info!$A$4:$V$155,9,FALSE))</f>
        <v>0.8</v>
      </c>
      <c r="J25" s="101">
        <f>IF(ISNA(VLOOKUP($A25,Kc_Info!$A$4:$V$155,10,FALSE)),"",VLOOKUP($A25,Kc_Info!$A$4:$V$155,10,FALSE))</f>
        <v>0.8</v>
      </c>
      <c r="K25" s="94">
        <f>IF(ISNA(VLOOKUP($A25,Kc_Info!$A$4:$V$155,11,FALSE)),"",VLOOKUP($A25,Kc_Info!$A$4:$V$155,11,FALSE))</f>
        <v>1</v>
      </c>
      <c r="L25" s="94">
        <f>IF(ISNA(VLOOKUP($A25,Kc_Info!$A$4:$V$155,12,FALSE)),"",VLOOKUP($A25,Kc_Info!$A$4:$V$155,12,FALSE))</f>
        <v>1</v>
      </c>
      <c r="M25" s="94">
        <f>IF(ISNA(VLOOKUP($A25,Kc_Info!$A$4:$V$155,13,FALSE)),"",VLOOKUP($A25,Kc_Info!$A$4:$V$155,13,FALSE))</f>
        <v>12</v>
      </c>
      <c r="N25" s="94">
        <f>IF(ISNA(VLOOKUP($A25,Kc_Info!$A$4:$V$155,14,FALSE)),"",VLOOKUP($A25,Kc_Info!$A$4:$V$155,14,FALSE))</f>
        <v>31</v>
      </c>
      <c r="O25" s="100">
        <f>IF(ISNA(VLOOKUP($A25,Kc_Info!$A$4:$V$155,15,FALSE)),"",VLOOKUP($A25,Kc_Info!$A$4:$V$155,15,FALSE))</f>
        <v>37987</v>
      </c>
      <c r="P25" s="100">
        <f>IF(ISNA(VLOOKUP($A25,Kc_Info!$A$4:$V$155,16,FALSE)),"",VLOOKUP($A25,Kc_Info!$A$4:$V$155,16,FALSE))</f>
        <v>38078</v>
      </c>
      <c r="Q25" s="100">
        <f>IF(ISNA(VLOOKUP($A25,Kc_Info!$A$4:$V$155,17,FALSE)),"",VLOOKUP($A25,Kc_Info!$A$4:$V$155,17,FALSE))</f>
        <v>38169</v>
      </c>
      <c r="R25" s="100">
        <f>IF(ISNA(VLOOKUP($A25,Kc_Info!$A$4:$V$155,18,FALSE)),"",VLOOKUP($A25,Kc_Info!$A$4:$V$155,18,FALSE))</f>
        <v>38260</v>
      </c>
      <c r="S25" s="100">
        <f>IF(ISNA(VLOOKUP($A25,Kc_Info!$A$4:$V$155,19,FALSE)),"",VLOOKUP($A25,Kc_Info!$A$4:$V$155,19,FALSE))</f>
        <v>38352</v>
      </c>
      <c r="T25" s="94">
        <f>IF(ISNA(VLOOKUP($A25,Kc_Info!$A$4:$V$155,20,FALSE)),"",VLOOKUP($A25,Kc_Info!$A$4:$V$155,20,FALSE))</f>
        <v>0</v>
      </c>
      <c r="U25" s="94">
        <f>IF(ISNA(VLOOKUP($A25,Kc_Info!$A$4:$V$155,21,FALSE)),"",VLOOKUP($A25,Kc_Info!$A$4:$V$155,21,FALSE))</f>
        <v>0</v>
      </c>
      <c r="V25" s="94">
        <f>IF(ISNA(VLOOKUP($A25,Kc_Info!$A$4:$V$155,22,FALSE)),"",VLOOKUP($A25,Kc_Info!$A$4:$V$155,22,FALSE))</f>
        <v>0</v>
      </c>
    </row>
    <row r="26" spans="1:22">
      <c r="A26" s="92">
        <v>16</v>
      </c>
      <c r="B26" s="93" t="str">
        <f>IF(ISNA(VLOOKUP($A26,Kc_Info!$A$4:$V$155,2,FALSE)),"",VLOOKUP($A26,Kc_Info!$A$4:$V$155,2,FALSE))</f>
        <v>Citrus (desert)</v>
      </c>
      <c r="C26" s="94">
        <f>IF(ISNA(VLOOKUP($A26,Kc_Info!$A$4:$V$155,3,FALSE)),"",VLOOKUP($A26,Kc_Info!$A$4:$V$155,3,FALSE))</f>
        <v>4</v>
      </c>
      <c r="D26" s="94">
        <f>IF(ISNA(VLOOKUP($A26,Kc_Info!$A$4:$V$155,4,FALSE)),"",VLOOKUP($A26,Kc_Info!$A$4:$V$155,4,FALSE))</f>
        <v>25</v>
      </c>
      <c r="E26" s="94">
        <f>IF(ISNA(VLOOKUP($A26,Kc_Info!$A$4:$V$155,5,FALSE)),"",VLOOKUP($A26,Kc_Info!$A$4:$V$155,5,FALSE))</f>
        <v>50</v>
      </c>
      <c r="F26" s="94">
        <f>IF(ISNA(VLOOKUP($A26,Kc_Info!$A$4:$V$155,6,FALSE)),"",VLOOKUP($A26,Kc_Info!$A$4:$V$155,6,FALSE))</f>
        <v>75</v>
      </c>
      <c r="G26" s="101">
        <f>IF(ISNA(VLOOKUP($A26,Kc_Info!$A$4:$V$155,7,FALSE)),"",VLOOKUP($A26,Kc_Info!$A$4:$V$155,7,FALSE))</f>
        <v>0.9</v>
      </c>
      <c r="H26" s="101">
        <f>IF(ISNA(VLOOKUP($A26,Kc_Info!$A$4:$V$155,8,FALSE)),"",VLOOKUP($A26,Kc_Info!$A$4:$V$155,8,FALSE))</f>
        <v>0.9</v>
      </c>
      <c r="I26" s="101">
        <f>IF(ISNA(VLOOKUP($A26,Kc_Info!$A$4:$V$155,9,FALSE)),"",VLOOKUP($A26,Kc_Info!$A$4:$V$155,9,FALSE))</f>
        <v>0.9</v>
      </c>
      <c r="J26" s="101">
        <f>IF(ISNA(VLOOKUP($A26,Kc_Info!$A$4:$V$155,10,FALSE)),"",VLOOKUP($A26,Kc_Info!$A$4:$V$155,10,FALSE))</f>
        <v>0.9</v>
      </c>
      <c r="K26" s="94">
        <f>IF(ISNA(VLOOKUP($A26,Kc_Info!$A$4:$V$155,11,FALSE)),"",VLOOKUP($A26,Kc_Info!$A$4:$V$155,11,FALSE))</f>
        <v>1</v>
      </c>
      <c r="L26" s="94">
        <f>IF(ISNA(VLOOKUP($A26,Kc_Info!$A$4:$V$155,12,FALSE)),"",VLOOKUP($A26,Kc_Info!$A$4:$V$155,12,FALSE))</f>
        <v>1</v>
      </c>
      <c r="M26" s="94">
        <f>IF(ISNA(VLOOKUP($A26,Kc_Info!$A$4:$V$155,13,FALSE)),"",VLOOKUP($A26,Kc_Info!$A$4:$V$155,13,FALSE))</f>
        <v>12</v>
      </c>
      <c r="N26" s="94">
        <f>IF(ISNA(VLOOKUP($A26,Kc_Info!$A$4:$V$155,14,FALSE)),"",VLOOKUP($A26,Kc_Info!$A$4:$V$155,14,FALSE))</f>
        <v>31</v>
      </c>
      <c r="O26" s="100">
        <f>IF(ISNA(VLOOKUP($A26,Kc_Info!$A$4:$V$155,15,FALSE)),"",VLOOKUP($A26,Kc_Info!$A$4:$V$155,15,FALSE))</f>
        <v>37987</v>
      </c>
      <c r="P26" s="100">
        <f>IF(ISNA(VLOOKUP($A26,Kc_Info!$A$4:$V$155,16,FALSE)),"",VLOOKUP($A26,Kc_Info!$A$4:$V$155,16,FALSE))</f>
        <v>38078</v>
      </c>
      <c r="Q26" s="100">
        <f>IF(ISNA(VLOOKUP($A26,Kc_Info!$A$4:$V$155,17,FALSE)),"",VLOOKUP($A26,Kc_Info!$A$4:$V$155,17,FALSE))</f>
        <v>38169</v>
      </c>
      <c r="R26" s="100">
        <f>IF(ISNA(VLOOKUP($A26,Kc_Info!$A$4:$V$155,18,FALSE)),"",VLOOKUP($A26,Kc_Info!$A$4:$V$155,18,FALSE))</f>
        <v>38260</v>
      </c>
      <c r="S26" s="100">
        <f>IF(ISNA(VLOOKUP($A26,Kc_Info!$A$4:$V$155,19,FALSE)),"",VLOOKUP($A26,Kc_Info!$A$4:$V$155,19,FALSE))</f>
        <v>38352</v>
      </c>
      <c r="T26" s="94">
        <f>IF(ISNA(VLOOKUP($A26,Kc_Info!$A$4:$V$155,20,FALSE)),"",VLOOKUP($A26,Kc_Info!$A$4:$V$155,20,FALSE))</f>
        <v>0</v>
      </c>
      <c r="U26" s="94">
        <f>IF(ISNA(VLOOKUP($A26,Kc_Info!$A$4:$V$155,21,FALSE)),"",VLOOKUP($A26,Kc_Info!$A$4:$V$155,21,FALSE))</f>
        <v>0</v>
      </c>
      <c r="V26" s="94">
        <f>IF(ISNA(VLOOKUP($A26,Kc_Info!$A$4:$V$155,22,FALSE)),"",VLOOKUP($A26,Kc_Info!$A$4:$V$155,22,FALSE))</f>
        <v>0</v>
      </c>
    </row>
    <row r="27" spans="1:22">
      <c r="A27" s="92">
        <v>30</v>
      </c>
      <c r="B27" s="93" t="str">
        <f>IF(ISNA(VLOOKUP($A27,Kc_Info!$A$4:$V$155,2,FALSE)),"",VLOOKUP($A27,Kc_Info!$A$4:$V$155,2,FALSE))</f>
        <v>Kiwifruit</v>
      </c>
      <c r="C27" s="94">
        <f>IF(ISNA(VLOOKUP($A27,Kc_Info!$A$4:$V$155,3,FALSE)),"",VLOOKUP($A27,Kc_Info!$A$4:$V$155,3,FALSE))</f>
        <v>3</v>
      </c>
      <c r="D27" s="94">
        <f>IF(ISNA(VLOOKUP($A27,Kc_Info!$A$4:$V$155,4,FALSE)),"",VLOOKUP($A27,Kc_Info!$A$4:$V$155,4,FALSE))</f>
        <v>0</v>
      </c>
      <c r="E27" s="94">
        <f>IF(ISNA(VLOOKUP($A27,Kc_Info!$A$4:$V$155,5,FALSE)),"",VLOOKUP($A27,Kc_Info!$A$4:$V$155,5,FALSE))</f>
        <v>22</v>
      </c>
      <c r="F27" s="94">
        <f>IF(ISNA(VLOOKUP($A27,Kc_Info!$A$4:$V$155,6,FALSE)),"",VLOOKUP($A27,Kc_Info!$A$4:$V$155,6,FALSE))</f>
        <v>67</v>
      </c>
      <c r="G27" s="101">
        <f>IF(ISNA(VLOOKUP($A27,Kc_Info!$A$4:$V$155,7,FALSE)),"",VLOOKUP($A27,Kc_Info!$A$4:$V$155,7,FALSE))</f>
        <v>0.3</v>
      </c>
      <c r="H27" s="101">
        <f>IF(ISNA(VLOOKUP($A27,Kc_Info!$A$4:$V$155,8,FALSE)),"",VLOOKUP($A27,Kc_Info!$A$4:$V$155,8,FALSE))</f>
        <v>1.05</v>
      </c>
      <c r="I27" s="101">
        <f>IF(ISNA(VLOOKUP($A27,Kc_Info!$A$4:$V$155,9,FALSE)),"",VLOOKUP($A27,Kc_Info!$A$4:$V$155,9,FALSE))</f>
        <v>1.05</v>
      </c>
      <c r="J27" s="101">
        <f>IF(ISNA(VLOOKUP($A27,Kc_Info!$A$4:$V$155,10,FALSE)),"",VLOOKUP($A27,Kc_Info!$A$4:$V$155,10,FALSE))</f>
        <v>1</v>
      </c>
      <c r="K27" s="94">
        <f>IF(ISNA(VLOOKUP($A27,Kc_Info!$A$4:$V$155,11,FALSE)),"",VLOOKUP($A27,Kc_Info!$A$4:$V$155,11,FALSE))</f>
        <v>5</v>
      </c>
      <c r="L27" s="94">
        <f>IF(ISNA(VLOOKUP($A27,Kc_Info!$A$4:$V$155,12,FALSE)),"",VLOOKUP($A27,Kc_Info!$A$4:$V$155,12,FALSE))</f>
        <v>1</v>
      </c>
      <c r="M27" s="94">
        <f>IF(ISNA(VLOOKUP($A27,Kc_Info!$A$4:$V$155,13,FALSE)),"",VLOOKUP($A27,Kc_Info!$A$4:$V$155,13,FALSE))</f>
        <v>10</v>
      </c>
      <c r="N27" s="94">
        <f>IF(ISNA(VLOOKUP($A27,Kc_Info!$A$4:$V$155,14,FALSE)),"",VLOOKUP($A27,Kc_Info!$A$4:$V$155,14,FALSE))</f>
        <v>31</v>
      </c>
      <c r="O27" s="100">
        <f>IF(ISNA(VLOOKUP($A27,Kc_Info!$A$4:$V$155,15,FALSE)),"",VLOOKUP($A27,Kc_Info!$A$4:$V$155,15,FALSE))</f>
        <v>38108</v>
      </c>
      <c r="P27" s="100">
        <f>IF(ISNA(VLOOKUP($A27,Kc_Info!$A$4:$V$155,16,FALSE)),"",VLOOKUP($A27,Kc_Info!$A$4:$V$155,16,FALSE))</f>
        <v>38108</v>
      </c>
      <c r="Q27" s="100">
        <f>IF(ISNA(VLOOKUP($A27,Kc_Info!$A$4:$V$155,17,FALSE)),"",VLOOKUP($A27,Kc_Info!$A$4:$V$155,17,FALSE))</f>
        <v>38148</v>
      </c>
      <c r="R27" s="100">
        <f>IF(ISNA(VLOOKUP($A27,Kc_Info!$A$4:$V$155,18,FALSE)),"",VLOOKUP($A27,Kc_Info!$A$4:$V$155,18,FALSE))</f>
        <v>38230</v>
      </c>
      <c r="S27" s="100">
        <f>IF(ISNA(VLOOKUP($A27,Kc_Info!$A$4:$V$155,19,FALSE)),"",VLOOKUP($A27,Kc_Info!$A$4:$V$155,19,FALSE))</f>
        <v>38291</v>
      </c>
      <c r="T27" s="94">
        <f>IF(ISNA(VLOOKUP($A27,Kc_Info!$A$4:$V$155,20,FALSE)),"",VLOOKUP($A27,Kc_Info!$A$4:$V$155,20,FALSE))</f>
        <v>1.8749999999999999E-2</v>
      </c>
      <c r="U27" s="94">
        <f>IF(ISNA(VLOOKUP($A27,Kc_Info!$A$4:$V$155,21,FALSE)),"",VLOOKUP($A27,Kc_Info!$A$4:$V$155,21,FALSE))</f>
        <v>0</v>
      </c>
      <c r="V27" s="94">
        <f>IF(ISNA(VLOOKUP($A27,Kc_Info!$A$4:$V$155,22,FALSE)),"",VLOOKUP($A27,Kc_Info!$A$4:$V$155,22,FALSE))</f>
        <v>-8.1967213114754174E-4</v>
      </c>
    </row>
    <row r="28" spans="1:22">
      <c r="A28" s="92">
        <v>56</v>
      </c>
      <c r="B28" s="93" t="str">
        <f>IF(ISNA(VLOOKUP($A28,Kc_Info!$A$4:$V$155,2,FALSE)),"",VLOOKUP($A28,Kc_Info!$A$4:$V$155,2,FALSE))</f>
        <v>Turfgrass cool-season</v>
      </c>
      <c r="C28" s="94">
        <f>IF(ISNA(VLOOKUP($A28,Kc_Info!$A$4:$V$155,3,FALSE)),"",VLOOKUP($A28,Kc_Info!$A$4:$V$155,3,FALSE))</f>
        <v>2</v>
      </c>
      <c r="D28" s="94">
        <f>IF(ISNA(VLOOKUP($A28,Kc_Info!$A$4:$V$155,4,FALSE)),"",VLOOKUP($A28,Kc_Info!$A$4:$V$155,4,FALSE))</f>
        <v>25</v>
      </c>
      <c r="E28" s="94">
        <f>IF(ISNA(VLOOKUP($A28,Kc_Info!$A$4:$V$155,5,FALSE)),"",VLOOKUP($A28,Kc_Info!$A$4:$V$155,5,FALSE))</f>
        <v>50</v>
      </c>
      <c r="F28" s="94">
        <f>IF(ISNA(VLOOKUP($A28,Kc_Info!$A$4:$V$155,6,FALSE)),"",VLOOKUP($A28,Kc_Info!$A$4:$V$155,6,FALSE))</f>
        <v>75</v>
      </c>
      <c r="G28" s="101">
        <f>IF(ISNA(VLOOKUP($A28,Kc_Info!$A$4:$V$155,7,FALSE)),"",VLOOKUP($A28,Kc_Info!$A$4:$V$155,7,FALSE))</f>
        <v>0.8</v>
      </c>
      <c r="H28" s="101">
        <f>IF(ISNA(VLOOKUP($A28,Kc_Info!$A$4:$V$155,8,FALSE)),"",VLOOKUP($A28,Kc_Info!$A$4:$V$155,8,FALSE))</f>
        <v>0.8</v>
      </c>
      <c r="I28" s="101">
        <f>IF(ISNA(VLOOKUP($A28,Kc_Info!$A$4:$V$155,9,FALSE)),"",VLOOKUP($A28,Kc_Info!$A$4:$V$155,9,FALSE))</f>
        <v>0.8</v>
      </c>
      <c r="J28" s="101">
        <f>IF(ISNA(VLOOKUP($A28,Kc_Info!$A$4:$V$155,10,FALSE)),"",VLOOKUP($A28,Kc_Info!$A$4:$V$155,10,FALSE))</f>
        <v>0.8</v>
      </c>
      <c r="K28" s="94">
        <f>IF(ISNA(VLOOKUP($A28,Kc_Info!$A$4:$V$155,11,FALSE)),"",VLOOKUP($A28,Kc_Info!$A$4:$V$155,11,FALSE))</f>
        <v>1</v>
      </c>
      <c r="L28" s="94">
        <f>IF(ISNA(VLOOKUP($A28,Kc_Info!$A$4:$V$155,12,FALSE)),"",VLOOKUP($A28,Kc_Info!$A$4:$V$155,12,FALSE))</f>
        <v>1</v>
      </c>
      <c r="M28" s="94">
        <f>IF(ISNA(VLOOKUP($A28,Kc_Info!$A$4:$V$155,13,FALSE)),"",VLOOKUP($A28,Kc_Info!$A$4:$V$155,13,FALSE))</f>
        <v>12</v>
      </c>
      <c r="N28" s="94">
        <f>IF(ISNA(VLOOKUP($A28,Kc_Info!$A$4:$V$155,14,FALSE)),"",VLOOKUP($A28,Kc_Info!$A$4:$V$155,14,FALSE))</f>
        <v>31</v>
      </c>
      <c r="O28" s="100">
        <f>IF(ISNA(VLOOKUP($A28,Kc_Info!$A$4:$V$155,15,FALSE)),"",VLOOKUP($A28,Kc_Info!$A$4:$V$155,15,FALSE))</f>
        <v>37987</v>
      </c>
      <c r="P28" s="100">
        <f>IF(ISNA(VLOOKUP($A28,Kc_Info!$A$4:$V$155,16,FALSE)),"",VLOOKUP($A28,Kc_Info!$A$4:$V$155,16,FALSE))</f>
        <v>38078</v>
      </c>
      <c r="Q28" s="100">
        <f>IF(ISNA(VLOOKUP($A28,Kc_Info!$A$4:$V$155,17,FALSE)),"",VLOOKUP($A28,Kc_Info!$A$4:$V$155,17,FALSE))</f>
        <v>38169</v>
      </c>
      <c r="R28" s="100">
        <f>IF(ISNA(VLOOKUP($A28,Kc_Info!$A$4:$V$155,18,FALSE)),"",VLOOKUP($A28,Kc_Info!$A$4:$V$155,18,FALSE))</f>
        <v>38260</v>
      </c>
      <c r="S28" s="100">
        <f>IF(ISNA(VLOOKUP($A28,Kc_Info!$A$4:$V$155,19,FALSE)),"",VLOOKUP($A28,Kc_Info!$A$4:$V$155,19,FALSE))</f>
        <v>38352</v>
      </c>
      <c r="T28" s="94">
        <f>IF(ISNA(VLOOKUP($A28,Kc_Info!$A$4:$V$155,20,FALSE)),"",VLOOKUP($A28,Kc_Info!$A$4:$V$155,20,FALSE))</f>
        <v>0</v>
      </c>
      <c r="U28" s="94">
        <f>IF(ISNA(VLOOKUP($A28,Kc_Info!$A$4:$V$155,21,FALSE)),"",VLOOKUP($A28,Kc_Info!$A$4:$V$155,21,FALSE))</f>
        <v>0</v>
      </c>
      <c r="V28" s="94">
        <f>IF(ISNA(VLOOKUP($A28,Kc_Info!$A$4:$V$155,22,FALSE)),"",VLOOKUP($A28,Kc_Info!$A$4:$V$155,22,FALSE))</f>
        <v>0</v>
      </c>
    </row>
    <row r="29" spans="1:22">
      <c r="A29" s="92"/>
      <c r="B29" s="93" t="str">
        <f>IF(ISNA(VLOOKUP($A29,Kc_Info!$A$4:$V$155,2,FALSE)),"",VLOOKUP($A29,Kc_Info!$A$4:$V$155,2,FALSE))</f>
        <v/>
      </c>
      <c r="C29" s="94" t="str">
        <f>IF(ISNA(VLOOKUP($A29,Kc_Info!$A$4:$V$155,3,FALSE)),"",VLOOKUP($A29,Kc_Info!$A$4:$V$155,3,FALSE))</f>
        <v/>
      </c>
      <c r="D29" s="94" t="str">
        <f>IF(ISNA(VLOOKUP($A29,Kc_Info!$A$4:$V$155,4,FALSE)),"",VLOOKUP($A29,Kc_Info!$A$4:$V$155,4,FALSE))</f>
        <v/>
      </c>
      <c r="E29" s="94" t="str">
        <f>IF(ISNA(VLOOKUP($A29,Kc_Info!$A$4:$V$155,5,FALSE)),"",VLOOKUP($A29,Kc_Info!$A$4:$V$155,5,FALSE))</f>
        <v/>
      </c>
      <c r="F29" s="94" t="str">
        <f>IF(ISNA(VLOOKUP($A29,Kc_Info!$A$4:$V$155,6,FALSE)),"",VLOOKUP($A29,Kc_Info!$A$4:$V$155,6,FALSE))</f>
        <v/>
      </c>
      <c r="G29" s="101" t="str">
        <f>IF(ISNA(VLOOKUP($A29,Kc_Info!$A$4:$V$155,7,FALSE)),"",VLOOKUP($A29,Kc_Info!$A$4:$V$155,7,FALSE))</f>
        <v/>
      </c>
      <c r="H29" s="101" t="str">
        <f>IF(ISNA(VLOOKUP($A29,Kc_Info!$A$4:$V$155,8,FALSE)),"",VLOOKUP($A29,Kc_Info!$A$4:$V$155,8,FALSE))</f>
        <v/>
      </c>
      <c r="I29" s="101" t="str">
        <f>IF(ISNA(VLOOKUP($A29,Kc_Info!$A$4:$V$155,9,FALSE)),"",VLOOKUP($A29,Kc_Info!$A$4:$V$155,9,FALSE))</f>
        <v/>
      </c>
      <c r="J29" s="101" t="str">
        <f>IF(ISNA(VLOOKUP($A29,Kc_Info!$A$4:$V$155,10,FALSE)),"",VLOOKUP($A29,Kc_Info!$A$4:$V$155,10,FALSE))</f>
        <v/>
      </c>
      <c r="K29" s="94" t="str">
        <f>IF(ISNA(VLOOKUP($A29,Kc_Info!$A$4:$V$155,11,FALSE)),"",VLOOKUP($A29,Kc_Info!$A$4:$V$155,11,FALSE))</f>
        <v/>
      </c>
      <c r="L29" s="94" t="str">
        <f>IF(ISNA(VLOOKUP($A29,Kc_Info!$A$4:$V$155,12,FALSE)),"",VLOOKUP($A29,Kc_Info!$A$4:$V$155,12,FALSE))</f>
        <v/>
      </c>
      <c r="M29" s="94" t="str">
        <f>IF(ISNA(VLOOKUP($A29,Kc_Info!$A$4:$V$155,13,FALSE)),"",VLOOKUP($A29,Kc_Info!$A$4:$V$155,13,FALSE))</f>
        <v/>
      </c>
      <c r="N29" s="94" t="str">
        <f>IF(ISNA(VLOOKUP($A29,Kc_Info!$A$4:$V$155,14,FALSE)),"",VLOOKUP($A29,Kc_Info!$A$4:$V$155,14,FALSE))</f>
        <v/>
      </c>
      <c r="O29" s="100" t="str">
        <f>IF(ISNA(VLOOKUP($A29,Kc_Info!$A$4:$V$155,15,FALSE)),"",VLOOKUP($A29,Kc_Info!$A$4:$V$155,15,FALSE))</f>
        <v/>
      </c>
      <c r="P29" s="100" t="str">
        <f>IF(ISNA(VLOOKUP($A29,Kc_Info!$A$4:$V$155,16,FALSE)),"",VLOOKUP($A29,Kc_Info!$A$4:$V$155,16,FALSE))</f>
        <v/>
      </c>
      <c r="Q29" s="100" t="str">
        <f>IF(ISNA(VLOOKUP($A29,Kc_Info!$A$4:$V$155,17,FALSE)),"",VLOOKUP($A29,Kc_Info!$A$4:$V$155,17,FALSE))</f>
        <v/>
      </c>
      <c r="R29" s="100" t="str">
        <f>IF(ISNA(VLOOKUP($A29,Kc_Info!$A$4:$V$155,18,FALSE)),"",VLOOKUP($A29,Kc_Info!$A$4:$V$155,18,FALSE))</f>
        <v/>
      </c>
      <c r="S29" s="100" t="str">
        <f>IF(ISNA(VLOOKUP($A29,Kc_Info!$A$4:$V$155,19,FALSE)),"",VLOOKUP($A29,Kc_Info!$A$4:$V$155,19,FALSE))</f>
        <v/>
      </c>
      <c r="T29" s="94" t="str">
        <f>IF(ISNA(VLOOKUP($A29,Kc_Info!$A$4:$V$155,20,FALSE)),"",VLOOKUP($A29,Kc_Info!$A$4:$V$155,20,FALSE))</f>
        <v/>
      </c>
      <c r="U29" s="94" t="str">
        <f>IF(ISNA(VLOOKUP($A29,Kc_Info!$A$4:$V$155,21,FALSE)),"",VLOOKUP($A29,Kc_Info!$A$4:$V$155,21,FALSE))</f>
        <v/>
      </c>
      <c r="V29" s="94" t="str">
        <f>IF(ISNA(VLOOKUP($A29,Kc_Info!$A$4:$V$155,22,FALSE)),"",VLOOKUP($A29,Kc_Info!$A$4:$V$155,22,FALSE))</f>
        <v/>
      </c>
    </row>
    <row r="30" spans="1:22">
      <c r="A30" s="92"/>
      <c r="B30" s="93" t="str">
        <f>IF(ISNA(VLOOKUP($A30,Kc_Info!$A$4:$V$155,2,FALSE)),"",VLOOKUP($A30,Kc_Info!$A$4:$V$155,2,FALSE))</f>
        <v/>
      </c>
      <c r="C30" s="94" t="str">
        <f>IF(ISNA(VLOOKUP($A30,Kc_Info!$A$4:$V$155,3,FALSE)),"",VLOOKUP($A30,Kc_Info!$A$4:$V$155,3,FALSE))</f>
        <v/>
      </c>
      <c r="D30" s="94" t="str">
        <f>IF(ISNA(VLOOKUP($A30,Kc_Info!$A$4:$V$155,4,FALSE)),"",VLOOKUP($A30,Kc_Info!$A$4:$V$155,4,FALSE))</f>
        <v/>
      </c>
      <c r="E30" s="94" t="str">
        <f>IF(ISNA(VLOOKUP($A30,Kc_Info!$A$4:$V$155,5,FALSE)),"",VLOOKUP($A30,Kc_Info!$A$4:$V$155,5,FALSE))</f>
        <v/>
      </c>
      <c r="F30" s="94" t="str">
        <f>IF(ISNA(VLOOKUP($A30,Kc_Info!$A$4:$V$155,6,FALSE)),"",VLOOKUP($A30,Kc_Info!$A$4:$V$155,6,FALSE))</f>
        <v/>
      </c>
      <c r="G30" s="101" t="str">
        <f>IF(ISNA(VLOOKUP($A30,Kc_Info!$A$4:$V$155,7,FALSE)),"",VLOOKUP($A30,Kc_Info!$A$4:$V$155,7,FALSE))</f>
        <v/>
      </c>
      <c r="H30" s="101" t="str">
        <f>IF(ISNA(VLOOKUP($A30,Kc_Info!$A$4:$V$155,8,FALSE)),"",VLOOKUP($A30,Kc_Info!$A$4:$V$155,8,FALSE))</f>
        <v/>
      </c>
      <c r="I30" s="101" t="str">
        <f>IF(ISNA(VLOOKUP($A30,Kc_Info!$A$4:$V$155,9,FALSE)),"",VLOOKUP($A30,Kc_Info!$A$4:$V$155,9,FALSE))</f>
        <v/>
      </c>
      <c r="J30" s="101" t="str">
        <f>IF(ISNA(VLOOKUP($A30,Kc_Info!$A$4:$V$155,10,FALSE)),"",VLOOKUP($A30,Kc_Info!$A$4:$V$155,10,FALSE))</f>
        <v/>
      </c>
      <c r="K30" s="94" t="str">
        <f>IF(ISNA(VLOOKUP($A30,Kc_Info!$A$4:$V$155,11,FALSE)),"",VLOOKUP($A30,Kc_Info!$A$4:$V$155,11,FALSE))</f>
        <v/>
      </c>
      <c r="L30" s="94" t="str">
        <f>IF(ISNA(VLOOKUP($A30,Kc_Info!$A$4:$V$155,12,FALSE)),"",VLOOKUP($A30,Kc_Info!$A$4:$V$155,12,FALSE))</f>
        <v/>
      </c>
      <c r="M30" s="94" t="str">
        <f>IF(ISNA(VLOOKUP($A30,Kc_Info!$A$4:$V$155,13,FALSE)),"",VLOOKUP($A30,Kc_Info!$A$4:$V$155,13,FALSE))</f>
        <v/>
      </c>
      <c r="N30" s="94" t="str">
        <f>IF(ISNA(VLOOKUP($A30,Kc_Info!$A$4:$V$155,14,FALSE)),"",VLOOKUP($A30,Kc_Info!$A$4:$V$155,14,FALSE))</f>
        <v/>
      </c>
      <c r="O30" s="100" t="str">
        <f>IF(ISNA(VLOOKUP($A30,Kc_Info!$A$4:$V$155,15,FALSE)),"",VLOOKUP($A30,Kc_Info!$A$4:$V$155,15,FALSE))</f>
        <v/>
      </c>
      <c r="P30" s="100" t="str">
        <f>IF(ISNA(VLOOKUP($A30,Kc_Info!$A$4:$V$155,16,FALSE)),"",VLOOKUP($A30,Kc_Info!$A$4:$V$155,16,FALSE))</f>
        <v/>
      </c>
      <c r="Q30" s="100" t="str">
        <f>IF(ISNA(VLOOKUP($A30,Kc_Info!$A$4:$V$155,17,FALSE)),"",VLOOKUP($A30,Kc_Info!$A$4:$V$155,17,FALSE))</f>
        <v/>
      </c>
      <c r="R30" s="100" t="str">
        <f>IF(ISNA(VLOOKUP($A30,Kc_Info!$A$4:$V$155,18,FALSE)),"",VLOOKUP($A30,Kc_Info!$A$4:$V$155,18,FALSE))</f>
        <v/>
      </c>
      <c r="S30" s="100" t="str">
        <f>IF(ISNA(VLOOKUP($A30,Kc_Info!$A$4:$V$155,19,FALSE)),"",VLOOKUP($A30,Kc_Info!$A$4:$V$155,19,FALSE))</f>
        <v/>
      </c>
      <c r="T30" s="94" t="str">
        <f>IF(ISNA(VLOOKUP($A30,Kc_Info!$A$4:$V$155,20,FALSE)),"",VLOOKUP($A30,Kc_Info!$A$4:$V$155,20,FALSE))</f>
        <v/>
      </c>
      <c r="U30" s="94" t="str">
        <f>IF(ISNA(VLOOKUP($A30,Kc_Info!$A$4:$V$155,21,FALSE)),"",VLOOKUP($A30,Kc_Info!$A$4:$V$155,21,FALSE))</f>
        <v/>
      </c>
      <c r="V30" s="94" t="str">
        <f>IF(ISNA(VLOOKUP($A30,Kc_Info!$A$4:$V$155,22,FALSE)),"",VLOOKUP($A30,Kc_Info!$A$4:$V$155,22,FALSE))</f>
        <v/>
      </c>
    </row>
    <row r="31" spans="1:22">
      <c r="A31" s="92"/>
      <c r="B31" s="93" t="str">
        <f>IF(ISNA(VLOOKUP($A31,Kc_Info!$A$4:$V$155,2,FALSE)),"",VLOOKUP($A31,Kc_Info!$A$4:$V$155,2,FALSE))</f>
        <v/>
      </c>
      <c r="C31" s="94" t="str">
        <f>IF(ISNA(VLOOKUP($A31,Kc_Info!$A$4:$V$155,3,FALSE)),"",VLOOKUP($A31,Kc_Info!$A$4:$V$155,3,FALSE))</f>
        <v/>
      </c>
      <c r="D31" s="94" t="str">
        <f>IF(ISNA(VLOOKUP($A31,Kc_Info!$A$4:$V$155,4,FALSE)),"",VLOOKUP($A31,Kc_Info!$A$4:$V$155,4,FALSE))</f>
        <v/>
      </c>
      <c r="E31" s="94" t="str">
        <f>IF(ISNA(VLOOKUP($A31,Kc_Info!$A$4:$V$155,5,FALSE)),"",VLOOKUP($A31,Kc_Info!$A$4:$V$155,5,FALSE))</f>
        <v/>
      </c>
      <c r="F31" s="94" t="str">
        <f>IF(ISNA(VLOOKUP($A31,Kc_Info!$A$4:$V$155,6,FALSE)),"",VLOOKUP($A31,Kc_Info!$A$4:$V$155,6,FALSE))</f>
        <v/>
      </c>
      <c r="G31" s="101" t="str">
        <f>IF(ISNA(VLOOKUP($A31,Kc_Info!$A$4:$V$155,7,FALSE)),"",VLOOKUP($A31,Kc_Info!$A$4:$V$155,7,FALSE))</f>
        <v/>
      </c>
      <c r="H31" s="101" t="str">
        <f>IF(ISNA(VLOOKUP($A31,Kc_Info!$A$4:$V$155,8,FALSE)),"",VLOOKUP($A31,Kc_Info!$A$4:$V$155,8,FALSE))</f>
        <v/>
      </c>
      <c r="I31" s="101" t="str">
        <f>IF(ISNA(VLOOKUP($A31,Kc_Info!$A$4:$V$155,9,FALSE)),"",VLOOKUP($A31,Kc_Info!$A$4:$V$155,9,FALSE))</f>
        <v/>
      </c>
      <c r="J31" s="101" t="str">
        <f>IF(ISNA(VLOOKUP($A31,Kc_Info!$A$4:$V$155,10,FALSE)),"",VLOOKUP($A31,Kc_Info!$A$4:$V$155,10,FALSE))</f>
        <v/>
      </c>
      <c r="K31" s="94" t="str">
        <f>IF(ISNA(VLOOKUP($A31,Kc_Info!$A$4:$V$155,11,FALSE)),"",VLOOKUP($A31,Kc_Info!$A$4:$V$155,11,FALSE))</f>
        <v/>
      </c>
      <c r="L31" s="94" t="str">
        <f>IF(ISNA(VLOOKUP($A31,Kc_Info!$A$4:$V$155,12,FALSE)),"",VLOOKUP($A31,Kc_Info!$A$4:$V$155,12,FALSE))</f>
        <v/>
      </c>
      <c r="M31" s="94" t="str">
        <f>IF(ISNA(VLOOKUP($A31,Kc_Info!$A$4:$V$155,13,FALSE)),"",VLOOKUP($A31,Kc_Info!$A$4:$V$155,13,FALSE))</f>
        <v/>
      </c>
      <c r="N31" s="94" t="str">
        <f>IF(ISNA(VLOOKUP($A31,Kc_Info!$A$4:$V$155,14,FALSE)),"",VLOOKUP($A31,Kc_Info!$A$4:$V$155,14,FALSE))</f>
        <v/>
      </c>
      <c r="O31" s="100" t="str">
        <f>IF(ISNA(VLOOKUP($A31,Kc_Info!$A$4:$V$155,15,FALSE)),"",VLOOKUP($A31,Kc_Info!$A$4:$V$155,15,FALSE))</f>
        <v/>
      </c>
      <c r="P31" s="100" t="str">
        <f>IF(ISNA(VLOOKUP($A31,Kc_Info!$A$4:$V$155,16,FALSE)),"",VLOOKUP($A31,Kc_Info!$A$4:$V$155,16,FALSE))</f>
        <v/>
      </c>
      <c r="Q31" s="100" t="str">
        <f>IF(ISNA(VLOOKUP($A31,Kc_Info!$A$4:$V$155,17,FALSE)),"",VLOOKUP($A31,Kc_Info!$A$4:$V$155,17,FALSE))</f>
        <v/>
      </c>
      <c r="R31" s="100" t="str">
        <f>IF(ISNA(VLOOKUP($A31,Kc_Info!$A$4:$V$155,18,FALSE)),"",VLOOKUP($A31,Kc_Info!$A$4:$V$155,18,FALSE))</f>
        <v/>
      </c>
      <c r="S31" s="100" t="str">
        <f>IF(ISNA(VLOOKUP($A31,Kc_Info!$A$4:$V$155,19,FALSE)),"",VLOOKUP($A31,Kc_Info!$A$4:$V$155,19,FALSE))</f>
        <v/>
      </c>
      <c r="T31" s="94" t="str">
        <f>IF(ISNA(VLOOKUP($A31,Kc_Info!$A$4:$V$155,20,FALSE)),"",VLOOKUP($A31,Kc_Info!$A$4:$V$155,20,FALSE))</f>
        <v/>
      </c>
      <c r="U31" s="94" t="str">
        <f>IF(ISNA(VLOOKUP($A31,Kc_Info!$A$4:$V$155,21,FALSE)),"",VLOOKUP($A31,Kc_Info!$A$4:$V$155,21,FALSE))</f>
        <v/>
      </c>
      <c r="V31" s="94" t="str">
        <f>IF(ISNA(VLOOKUP($A31,Kc_Info!$A$4:$V$155,22,FALSE)),"",VLOOKUP($A31,Kc_Info!$A$4:$V$155,22,FALSE))</f>
        <v/>
      </c>
    </row>
    <row r="32" spans="1:22">
      <c r="A32" s="92"/>
      <c r="B32" s="93" t="str">
        <f>IF(ISNA(VLOOKUP($A32,Kc_Info!$A$4:$V$155,2,FALSE)),"",VLOOKUP($A32,Kc_Info!$A$4:$V$155,2,FALSE))</f>
        <v/>
      </c>
      <c r="C32" s="94" t="str">
        <f>IF(ISNA(VLOOKUP($A32,Kc_Info!$A$4:$V$155,3,FALSE)),"",VLOOKUP($A32,Kc_Info!$A$4:$V$155,3,FALSE))</f>
        <v/>
      </c>
      <c r="D32" s="94" t="str">
        <f>IF(ISNA(VLOOKUP($A32,Kc_Info!$A$4:$V$155,4,FALSE)),"",VLOOKUP($A32,Kc_Info!$A$4:$V$155,4,FALSE))</f>
        <v/>
      </c>
      <c r="E32" s="94" t="str">
        <f>IF(ISNA(VLOOKUP($A32,Kc_Info!$A$4:$V$155,5,FALSE)),"",VLOOKUP($A32,Kc_Info!$A$4:$V$155,5,FALSE))</f>
        <v/>
      </c>
      <c r="F32" s="94" t="str">
        <f>IF(ISNA(VLOOKUP($A32,Kc_Info!$A$4:$V$155,6,FALSE)),"",VLOOKUP($A32,Kc_Info!$A$4:$V$155,6,FALSE))</f>
        <v/>
      </c>
      <c r="G32" s="101" t="str">
        <f>IF(ISNA(VLOOKUP($A32,Kc_Info!$A$4:$V$155,7,FALSE)),"",VLOOKUP($A32,Kc_Info!$A$4:$V$155,7,FALSE))</f>
        <v/>
      </c>
      <c r="H32" s="101" t="str">
        <f>IF(ISNA(VLOOKUP($A32,Kc_Info!$A$4:$V$155,8,FALSE)),"",VLOOKUP($A32,Kc_Info!$A$4:$V$155,8,FALSE))</f>
        <v/>
      </c>
      <c r="I32" s="101" t="str">
        <f>IF(ISNA(VLOOKUP($A32,Kc_Info!$A$4:$V$155,9,FALSE)),"",VLOOKUP($A32,Kc_Info!$A$4:$V$155,9,FALSE))</f>
        <v/>
      </c>
      <c r="J32" s="101" t="str">
        <f>IF(ISNA(VLOOKUP($A32,Kc_Info!$A$4:$V$155,10,FALSE)),"",VLOOKUP($A32,Kc_Info!$A$4:$V$155,10,FALSE))</f>
        <v/>
      </c>
      <c r="K32" s="94" t="str">
        <f>IF(ISNA(VLOOKUP($A32,Kc_Info!$A$4:$V$155,11,FALSE)),"",VLOOKUP($A32,Kc_Info!$A$4:$V$155,11,FALSE))</f>
        <v/>
      </c>
      <c r="L32" s="94" t="str">
        <f>IF(ISNA(VLOOKUP($A32,Kc_Info!$A$4:$V$155,12,FALSE)),"",VLOOKUP($A32,Kc_Info!$A$4:$V$155,12,FALSE))</f>
        <v/>
      </c>
      <c r="M32" s="94" t="str">
        <f>IF(ISNA(VLOOKUP($A32,Kc_Info!$A$4:$V$155,13,FALSE)),"",VLOOKUP($A32,Kc_Info!$A$4:$V$155,13,FALSE))</f>
        <v/>
      </c>
      <c r="N32" s="94" t="str">
        <f>IF(ISNA(VLOOKUP($A32,Kc_Info!$A$4:$V$155,14,FALSE)),"",VLOOKUP($A32,Kc_Info!$A$4:$V$155,14,FALSE))</f>
        <v/>
      </c>
      <c r="O32" s="100" t="str">
        <f>IF(ISNA(VLOOKUP($A32,Kc_Info!$A$4:$V$155,15,FALSE)),"",VLOOKUP($A32,Kc_Info!$A$4:$V$155,15,FALSE))</f>
        <v/>
      </c>
      <c r="P32" s="100" t="str">
        <f>IF(ISNA(VLOOKUP($A32,Kc_Info!$A$4:$V$155,16,FALSE)),"",VLOOKUP($A32,Kc_Info!$A$4:$V$155,16,FALSE))</f>
        <v/>
      </c>
      <c r="Q32" s="100" t="str">
        <f>IF(ISNA(VLOOKUP($A32,Kc_Info!$A$4:$V$155,17,FALSE)),"",VLOOKUP($A32,Kc_Info!$A$4:$V$155,17,FALSE))</f>
        <v/>
      </c>
      <c r="R32" s="100" t="str">
        <f>IF(ISNA(VLOOKUP($A32,Kc_Info!$A$4:$V$155,18,FALSE)),"",VLOOKUP($A32,Kc_Info!$A$4:$V$155,18,FALSE))</f>
        <v/>
      </c>
      <c r="S32" s="100" t="str">
        <f>IF(ISNA(VLOOKUP($A32,Kc_Info!$A$4:$V$155,19,FALSE)),"",VLOOKUP($A32,Kc_Info!$A$4:$V$155,19,FALSE))</f>
        <v/>
      </c>
      <c r="T32" s="94" t="str">
        <f>IF(ISNA(VLOOKUP($A32,Kc_Info!$A$4:$V$155,20,FALSE)),"",VLOOKUP($A32,Kc_Info!$A$4:$V$155,20,FALSE))</f>
        <v/>
      </c>
      <c r="U32" s="94" t="str">
        <f>IF(ISNA(VLOOKUP($A32,Kc_Info!$A$4:$V$155,21,FALSE)),"",VLOOKUP($A32,Kc_Info!$A$4:$V$155,21,FALSE))</f>
        <v/>
      </c>
      <c r="V32" s="94" t="str">
        <f>IF(ISNA(VLOOKUP($A32,Kc_Info!$A$4:$V$155,22,FALSE)),"",VLOOKUP($A32,Kc_Info!$A$4:$V$155,22,FALSE))</f>
        <v/>
      </c>
    </row>
    <row r="33" spans="1:22">
      <c r="A33" s="92"/>
      <c r="B33" s="93" t="str">
        <f>IF(ISNA(VLOOKUP($A33,Kc_Info!$A$4:$V$155,2,FALSE)),"",VLOOKUP($A33,Kc_Info!$A$4:$V$155,2,FALSE))</f>
        <v/>
      </c>
      <c r="C33" s="94" t="str">
        <f>IF(ISNA(VLOOKUP($A33,Kc_Info!$A$4:$V$155,3,FALSE)),"",VLOOKUP($A33,Kc_Info!$A$4:$V$155,3,FALSE))</f>
        <v/>
      </c>
      <c r="D33" s="94" t="str">
        <f>IF(ISNA(VLOOKUP($A33,Kc_Info!$A$4:$V$155,4,FALSE)),"",VLOOKUP($A33,Kc_Info!$A$4:$V$155,4,FALSE))</f>
        <v/>
      </c>
      <c r="E33" s="94" t="str">
        <f>IF(ISNA(VLOOKUP($A33,Kc_Info!$A$4:$V$155,5,FALSE)),"",VLOOKUP($A33,Kc_Info!$A$4:$V$155,5,FALSE))</f>
        <v/>
      </c>
      <c r="F33" s="94" t="str">
        <f>IF(ISNA(VLOOKUP($A33,Kc_Info!$A$4:$V$155,6,FALSE)),"",VLOOKUP($A33,Kc_Info!$A$4:$V$155,6,FALSE))</f>
        <v/>
      </c>
      <c r="G33" s="101" t="str">
        <f>IF(ISNA(VLOOKUP($A33,Kc_Info!$A$4:$V$155,7,FALSE)),"",VLOOKUP($A33,Kc_Info!$A$4:$V$155,7,FALSE))</f>
        <v/>
      </c>
      <c r="H33" s="101" t="str">
        <f>IF(ISNA(VLOOKUP($A33,Kc_Info!$A$4:$V$155,8,FALSE)),"",VLOOKUP($A33,Kc_Info!$A$4:$V$155,8,FALSE))</f>
        <v/>
      </c>
      <c r="I33" s="101" t="str">
        <f>IF(ISNA(VLOOKUP($A33,Kc_Info!$A$4:$V$155,9,FALSE)),"",VLOOKUP($A33,Kc_Info!$A$4:$V$155,9,FALSE))</f>
        <v/>
      </c>
      <c r="J33" s="101" t="str">
        <f>IF(ISNA(VLOOKUP($A33,Kc_Info!$A$4:$V$155,10,FALSE)),"",VLOOKUP($A33,Kc_Info!$A$4:$V$155,10,FALSE))</f>
        <v/>
      </c>
      <c r="K33" s="94" t="str">
        <f>IF(ISNA(VLOOKUP($A33,Kc_Info!$A$4:$V$155,11,FALSE)),"",VLOOKUP($A33,Kc_Info!$A$4:$V$155,11,FALSE))</f>
        <v/>
      </c>
      <c r="L33" s="94" t="str">
        <f>IF(ISNA(VLOOKUP($A33,Kc_Info!$A$4:$V$155,12,FALSE)),"",VLOOKUP($A33,Kc_Info!$A$4:$V$155,12,FALSE))</f>
        <v/>
      </c>
      <c r="M33" s="94" t="str">
        <f>IF(ISNA(VLOOKUP($A33,Kc_Info!$A$4:$V$155,13,FALSE)),"",VLOOKUP($A33,Kc_Info!$A$4:$V$155,13,FALSE))</f>
        <v/>
      </c>
      <c r="N33" s="94" t="str">
        <f>IF(ISNA(VLOOKUP($A33,Kc_Info!$A$4:$V$155,14,FALSE)),"",VLOOKUP($A33,Kc_Info!$A$4:$V$155,14,FALSE))</f>
        <v/>
      </c>
      <c r="O33" s="100" t="str">
        <f>IF(ISNA(VLOOKUP($A33,Kc_Info!$A$4:$V$155,15,FALSE)),"",VLOOKUP($A33,Kc_Info!$A$4:$V$155,15,FALSE))</f>
        <v/>
      </c>
      <c r="P33" s="100" t="str">
        <f>IF(ISNA(VLOOKUP($A33,Kc_Info!$A$4:$V$155,16,FALSE)),"",VLOOKUP($A33,Kc_Info!$A$4:$V$155,16,FALSE))</f>
        <v/>
      </c>
      <c r="Q33" s="100" t="str">
        <f>IF(ISNA(VLOOKUP($A33,Kc_Info!$A$4:$V$155,17,FALSE)),"",VLOOKUP($A33,Kc_Info!$A$4:$V$155,17,FALSE))</f>
        <v/>
      </c>
      <c r="R33" s="100" t="str">
        <f>IF(ISNA(VLOOKUP($A33,Kc_Info!$A$4:$V$155,18,FALSE)),"",VLOOKUP($A33,Kc_Info!$A$4:$V$155,18,FALSE))</f>
        <v/>
      </c>
      <c r="S33" s="100" t="str">
        <f>IF(ISNA(VLOOKUP($A33,Kc_Info!$A$4:$V$155,19,FALSE)),"",VLOOKUP($A33,Kc_Info!$A$4:$V$155,19,FALSE))</f>
        <v/>
      </c>
      <c r="T33" s="94" t="str">
        <f>IF(ISNA(VLOOKUP($A33,Kc_Info!$A$4:$V$155,20,FALSE)),"",VLOOKUP($A33,Kc_Info!$A$4:$V$155,20,FALSE))</f>
        <v/>
      </c>
      <c r="U33" s="94" t="str">
        <f>IF(ISNA(VLOOKUP($A33,Kc_Info!$A$4:$V$155,21,FALSE)),"",VLOOKUP($A33,Kc_Info!$A$4:$V$155,21,FALSE))</f>
        <v/>
      </c>
      <c r="V33" s="94" t="str">
        <f>IF(ISNA(VLOOKUP($A33,Kc_Info!$A$4:$V$155,22,FALSE)),"",VLOOKUP($A33,Kc_Info!$A$4:$V$155,22,FALSE))</f>
        <v/>
      </c>
    </row>
    <row r="34" spans="1:22">
      <c r="A34" s="92"/>
      <c r="B34" s="93" t="str">
        <f>IF(ISNA(VLOOKUP($A34,Kc_Info!$A$4:$V$155,2,FALSE)),"",VLOOKUP($A34,Kc_Info!$A$4:$V$155,2,FALSE))</f>
        <v/>
      </c>
      <c r="C34" s="94" t="str">
        <f>IF(ISNA(VLOOKUP($A34,Kc_Info!$A$4:$V$155,3,FALSE)),"",VLOOKUP($A34,Kc_Info!$A$4:$V$155,3,FALSE))</f>
        <v/>
      </c>
      <c r="D34" s="94" t="str">
        <f>IF(ISNA(VLOOKUP($A34,Kc_Info!$A$4:$V$155,4,FALSE)),"",VLOOKUP($A34,Kc_Info!$A$4:$V$155,4,FALSE))</f>
        <v/>
      </c>
      <c r="E34" s="94" t="str">
        <f>IF(ISNA(VLOOKUP($A34,Kc_Info!$A$4:$V$155,5,FALSE)),"",VLOOKUP($A34,Kc_Info!$A$4:$V$155,5,FALSE))</f>
        <v/>
      </c>
      <c r="F34" s="94" t="str">
        <f>IF(ISNA(VLOOKUP($A34,Kc_Info!$A$4:$V$155,6,FALSE)),"",VLOOKUP($A34,Kc_Info!$A$4:$V$155,6,FALSE))</f>
        <v/>
      </c>
      <c r="G34" s="101" t="str">
        <f>IF(ISNA(VLOOKUP($A34,Kc_Info!$A$4:$V$155,7,FALSE)),"",VLOOKUP($A34,Kc_Info!$A$4:$V$155,7,FALSE))</f>
        <v/>
      </c>
      <c r="H34" s="101" t="str">
        <f>IF(ISNA(VLOOKUP($A34,Kc_Info!$A$4:$V$155,8,FALSE)),"",VLOOKUP($A34,Kc_Info!$A$4:$V$155,8,FALSE))</f>
        <v/>
      </c>
      <c r="I34" s="101" t="str">
        <f>IF(ISNA(VLOOKUP($A34,Kc_Info!$A$4:$V$155,9,FALSE)),"",VLOOKUP($A34,Kc_Info!$A$4:$V$155,9,FALSE))</f>
        <v/>
      </c>
      <c r="J34" s="101" t="str">
        <f>IF(ISNA(VLOOKUP($A34,Kc_Info!$A$4:$V$155,10,FALSE)),"",VLOOKUP($A34,Kc_Info!$A$4:$V$155,10,FALSE))</f>
        <v/>
      </c>
      <c r="K34" s="94" t="str">
        <f>IF(ISNA(VLOOKUP($A34,Kc_Info!$A$4:$V$155,11,FALSE)),"",VLOOKUP($A34,Kc_Info!$A$4:$V$155,11,FALSE))</f>
        <v/>
      </c>
      <c r="L34" s="94" t="str">
        <f>IF(ISNA(VLOOKUP($A34,Kc_Info!$A$4:$V$155,12,FALSE)),"",VLOOKUP($A34,Kc_Info!$A$4:$V$155,12,FALSE))</f>
        <v/>
      </c>
      <c r="M34" s="94" t="str">
        <f>IF(ISNA(VLOOKUP($A34,Kc_Info!$A$4:$V$155,13,FALSE)),"",VLOOKUP($A34,Kc_Info!$A$4:$V$155,13,FALSE))</f>
        <v/>
      </c>
      <c r="N34" s="94" t="str">
        <f>IF(ISNA(VLOOKUP($A34,Kc_Info!$A$4:$V$155,14,FALSE)),"",VLOOKUP($A34,Kc_Info!$A$4:$V$155,14,FALSE))</f>
        <v/>
      </c>
      <c r="O34" s="100" t="str">
        <f>IF(ISNA(VLOOKUP($A34,Kc_Info!$A$4:$V$155,15,FALSE)),"",VLOOKUP($A34,Kc_Info!$A$4:$V$155,15,FALSE))</f>
        <v/>
      </c>
      <c r="P34" s="100" t="str">
        <f>IF(ISNA(VLOOKUP($A34,Kc_Info!$A$4:$V$155,16,FALSE)),"",VLOOKUP($A34,Kc_Info!$A$4:$V$155,16,FALSE))</f>
        <v/>
      </c>
      <c r="Q34" s="100" t="str">
        <f>IF(ISNA(VLOOKUP($A34,Kc_Info!$A$4:$V$155,17,FALSE)),"",VLOOKUP($A34,Kc_Info!$A$4:$V$155,17,FALSE))</f>
        <v/>
      </c>
      <c r="R34" s="100" t="str">
        <f>IF(ISNA(VLOOKUP($A34,Kc_Info!$A$4:$V$155,18,FALSE)),"",VLOOKUP($A34,Kc_Info!$A$4:$V$155,18,FALSE))</f>
        <v/>
      </c>
      <c r="S34" s="100" t="str">
        <f>IF(ISNA(VLOOKUP($A34,Kc_Info!$A$4:$V$155,19,FALSE)),"",VLOOKUP($A34,Kc_Info!$A$4:$V$155,19,FALSE))</f>
        <v/>
      </c>
      <c r="T34" s="94" t="str">
        <f>IF(ISNA(VLOOKUP($A34,Kc_Info!$A$4:$V$155,20,FALSE)),"",VLOOKUP($A34,Kc_Info!$A$4:$V$155,20,FALSE))</f>
        <v/>
      </c>
      <c r="U34" s="94" t="str">
        <f>IF(ISNA(VLOOKUP($A34,Kc_Info!$A$4:$V$155,21,FALSE)),"",VLOOKUP($A34,Kc_Info!$A$4:$V$155,21,FALSE))</f>
        <v/>
      </c>
      <c r="V34" s="94" t="str">
        <f>IF(ISNA(VLOOKUP($A34,Kc_Info!$A$4:$V$155,22,FALSE)),"",VLOOKUP($A34,Kc_Info!$A$4:$V$155,22,FALSE))</f>
        <v/>
      </c>
    </row>
    <row r="35" spans="1:22">
      <c r="A35" s="92"/>
      <c r="B35" s="93" t="str">
        <f>IF(ISNA(VLOOKUP($A35,Kc_Info!$A$4:$V$155,2,FALSE)),"",VLOOKUP($A35,Kc_Info!$A$4:$V$155,2,FALSE))</f>
        <v/>
      </c>
      <c r="C35" s="94" t="str">
        <f>IF(ISNA(VLOOKUP($A35,Kc_Info!$A$4:$V$155,3,FALSE)),"",VLOOKUP($A35,Kc_Info!$A$4:$V$155,3,FALSE))</f>
        <v/>
      </c>
      <c r="D35" s="94" t="str">
        <f>IF(ISNA(VLOOKUP($A35,Kc_Info!$A$4:$V$155,4,FALSE)),"",VLOOKUP($A35,Kc_Info!$A$4:$V$155,4,FALSE))</f>
        <v/>
      </c>
      <c r="E35" s="94" t="str">
        <f>IF(ISNA(VLOOKUP($A35,Kc_Info!$A$4:$V$155,5,FALSE)),"",VLOOKUP($A35,Kc_Info!$A$4:$V$155,5,FALSE))</f>
        <v/>
      </c>
      <c r="F35" s="94" t="str">
        <f>IF(ISNA(VLOOKUP($A35,Kc_Info!$A$4:$V$155,6,FALSE)),"",VLOOKUP($A35,Kc_Info!$A$4:$V$155,6,FALSE))</f>
        <v/>
      </c>
      <c r="G35" s="101" t="str">
        <f>IF(ISNA(VLOOKUP($A35,Kc_Info!$A$4:$V$155,7,FALSE)),"",VLOOKUP($A35,Kc_Info!$A$4:$V$155,7,FALSE))</f>
        <v/>
      </c>
      <c r="H35" s="101" t="str">
        <f>IF(ISNA(VLOOKUP($A35,Kc_Info!$A$4:$V$155,8,FALSE)),"",VLOOKUP($A35,Kc_Info!$A$4:$V$155,8,FALSE))</f>
        <v/>
      </c>
      <c r="I35" s="101" t="str">
        <f>IF(ISNA(VLOOKUP($A35,Kc_Info!$A$4:$V$155,9,FALSE)),"",VLOOKUP($A35,Kc_Info!$A$4:$V$155,9,FALSE))</f>
        <v/>
      </c>
      <c r="J35" s="101" t="str">
        <f>IF(ISNA(VLOOKUP($A35,Kc_Info!$A$4:$V$155,10,FALSE)),"",VLOOKUP($A35,Kc_Info!$A$4:$V$155,10,FALSE))</f>
        <v/>
      </c>
      <c r="K35" s="94" t="str">
        <f>IF(ISNA(VLOOKUP($A35,Kc_Info!$A$4:$V$155,11,FALSE)),"",VLOOKUP($A35,Kc_Info!$A$4:$V$155,11,FALSE))</f>
        <v/>
      </c>
      <c r="L35" s="94" t="str">
        <f>IF(ISNA(VLOOKUP($A35,Kc_Info!$A$4:$V$155,12,FALSE)),"",VLOOKUP($A35,Kc_Info!$A$4:$V$155,12,FALSE))</f>
        <v/>
      </c>
      <c r="M35" s="94" t="str">
        <f>IF(ISNA(VLOOKUP($A35,Kc_Info!$A$4:$V$155,13,FALSE)),"",VLOOKUP($A35,Kc_Info!$A$4:$V$155,13,FALSE))</f>
        <v/>
      </c>
      <c r="N35" s="94" t="str">
        <f>IF(ISNA(VLOOKUP($A35,Kc_Info!$A$4:$V$155,14,FALSE)),"",VLOOKUP($A35,Kc_Info!$A$4:$V$155,14,FALSE))</f>
        <v/>
      </c>
      <c r="O35" s="100" t="str">
        <f>IF(ISNA(VLOOKUP($A35,Kc_Info!$A$4:$V$155,15,FALSE)),"",VLOOKUP($A35,Kc_Info!$A$4:$V$155,15,FALSE))</f>
        <v/>
      </c>
      <c r="P35" s="100" t="str">
        <f>IF(ISNA(VLOOKUP($A35,Kc_Info!$A$4:$V$155,16,FALSE)),"",VLOOKUP($A35,Kc_Info!$A$4:$V$155,16,FALSE))</f>
        <v/>
      </c>
      <c r="Q35" s="100" t="str">
        <f>IF(ISNA(VLOOKUP($A35,Kc_Info!$A$4:$V$155,17,FALSE)),"",VLOOKUP($A35,Kc_Info!$A$4:$V$155,17,FALSE))</f>
        <v/>
      </c>
      <c r="R35" s="100" t="str">
        <f>IF(ISNA(VLOOKUP($A35,Kc_Info!$A$4:$V$155,18,FALSE)),"",VLOOKUP($A35,Kc_Info!$A$4:$V$155,18,FALSE))</f>
        <v/>
      </c>
      <c r="S35" s="100" t="str">
        <f>IF(ISNA(VLOOKUP($A35,Kc_Info!$A$4:$V$155,19,FALSE)),"",VLOOKUP($A35,Kc_Info!$A$4:$V$155,19,FALSE))</f>
        <v/>
      </c>
      <c r="T35" s="94" t="str">
        <f>IF(ISNA(VLOOKUP($A35,Kc_Info!$A$4:$V$155,20,FALSE)),"",VLOOKUP($A35,Kc_Info!$A$4:$V$155,20,FALSE))</f>
        <v/>
      </c>
      <c r="U35" s="94" t="str">
        <f>IF(ISNA(VLOOKUP($A35,Kc_Info!$A$4:$V$155,21,FALSE)),"",VLOOKUP($A35,Kc_Info!$A$4:$V$155,21,FALSE))</f>
        <v/>
      </c>
      <c r="V35" s="94" t="str">
        <f>IF(ISNA(VLOOKUP($A35,Kc_Info!$A$4:$V$155,22,FALSE)),"",VLOOKUP($A35,Kc_Info!$A$4:$V$155,22,FALSE))</f>
        <v/>
      </c>
    </row>
    <row r="36" spans="1:22">
      <c r="A36" s="92"/>
      <c r="B36" s="93" t="str">
        <f>IF(ISNA(VLOOKUP($A36,Kc_Info!$A$4:$V$155,2,FALSE)),"",VLOOKUP($A36,Kc_Info!$A$4:$V$155,2,FALSE))</f>
        <v/>
      </c>
      <c r="C36" s="94" t="str">
        <f>IF(ISNA(VLOOKUP($A36,Kc_Info!$A$4:$V$155,3,FALSE)),"",VLOOKUP($A36,Kc_Info!$A$4:$V$155,3,FALSE))</f>
        <v/>
      </c>
      <c r="D36" s="94" t="str">
        <f>IF(ISNA(VLOOKUP($A36,Kc_Info!$A$4:$V$155,4,FALSE)),"",VLOOKUP($A36,Kc_Info!$A$4:$V$155,4,FALSE))</f>
        <v/>
      </c>
      <c r="E36" s="94" t="str">
        <f>IF(ISNA(VLOOKUP($A36,Kc_Info!$A$4:$V$155,5,FALSE)),"",VLOOKUP($A36,Kc_Info!$A$4:$V$155,5,FALSE))</f>
        <v/>
      </c>
      <c r="F36" s="94" t="str">
        <f>IF(ISNA(VLOOKUP($A36,Kc_Info!$A$4:$V$155,6,FALSE)),"",VLOOKUP($A36,Kc_Info!$A$4:$V$155,6,FALSE))</f>
        <v/>
      </c>
      <c r="G36" s="101" t="str">
        <f>IF(ISNA(VLOOKUP($A36,Kc_Info!$A$4:$V$155,7,FALSE)),"",VLOOKUP($A36,Kc_Info!$A$4:$V$155,7,FALSE))</f>
        <v/>
      </c>
      <c r="H36" s="101" t="str">
        <f>IF(ISNA(VLOOKUP($A36,Kc_Info!$A$4:$V$155,8,FALSE)),"",VLOOKUP($A36,Kc_Info!$A$4:$V$155,8,FALSE))</f>
        <v/>
      </c>
      <c r="I36" s="101" t="str">
        <f>IF(ISNA(VLOOKUP($A36,Kc_Info!$A$4:$V$155,9,FALSE)),"",VLOOKUP($A36,Kc_Info!$A$4:$V$155,9,FALSE))</f>
        <v/>
      </c>
      <c r="J36" s="101" t="str">
        <f>IF(ISNA(VLOOKUP($A36,Kc_Info!$A$4:$V$155,10,FALSE)),"",VLOOKUP($A36,Kc_Info!$A$4:$V$155,10,FALSE))</f>
        <v/>
      </c>
      <c r="K36" s="94" t="str">
        <f>IF(ISNA(VLOOKUP($A36,Kc_Info!$A$4:$V$155,11,FALSE)),"",VLOOKUP($A36,Kc_Info!$A$4:$V$155,11,FALSE))</f>
        <v/>
      </c>
      <c r="L36" s="94" t="str">
        <f>IF(ISNA(VLOOKUP($A36,Kc_Info!$A$4:$V$155,12,FALSE)),"",VLOOKUP($A36,Kc_Info!$A$4:$V$155,12,FALSE))</f>
        <v/>
      </c>
      <c r="M36" s="94" t="str">
        <f>IF(ISNA(VLOOKUP($A36,Kc_Info!$A$4:$V$155,13,FALSE)),"",VLOOKUP($A36,Kc_Info!$A$4:$V$155,13,FALSE))</f>
        <v/>
      </c>
      <c r="N36" s="94" t="str">
        <f>IF(ISNA(VLOOKUP($A36,Kc_Info!$A$4:$V$155,14,FALSE)),"",VLOOKUP($A36,Kc_Info!$A$4:$V$155,14,FALSE))</f>
        <v/>
      </c>
      <c r="O36" s="100" t="str">
        <f>IF(ISNA(VLOOKUP($A36,Kc_Info!$A$4:$V$155,15,FALSE)),"",VLOOKUP($A36,Kc_Info!$A$4:$V$155,15,FALSE))</f>
        <v/>
      </c>
      <c r="P36" s="100" t="str">
        <f>IF(ISNA(VLOOKUP($A36,Kc_Info!$A$4:$V$155,16,FALSE)),"",VLOOKUP($A36,Kc_Info!$A$4:$V$155,16,FALSE))</f>
        <v/>
      </c>
      <c r="Q36" s="100" t="str">
        <f>IF(ISNA(VLOOKUP($A36,Kc_Info!$A$4:$V$155,17,FALSE)),"",VLOOKUP($A36,Kc_Info!$A$4:$V$155,17,FALSE))</f>
        <v/>
      </c>
      <c r="R36" s="100" t="str">
        <f>IF(ISNA(VLOOKUP($A36,Kc_Info!$A$4:$V$155,18,FALSE)),"",VLOOKUP($A36,Kc_Info!$A$4:$V$155,18,FALSE))</f>
        <v/>
      </c>
      <c r="S36" s="100" t="str">
        <f>IF(ISNA(VLOOKUP($A36,Kc_Info!$A$4:$V$155,19,FALSE)),"",VLOOKUP($A36,Kc_Info!$A$4:$V$155,19,FALSE))</f>
        <v/>
      </c>
      <c r="T36" s="94" t="str">
        <f>IF(ISNA(VLOOKUP($A36,Kc_Info!$A$4:$V$155,20,FALSE)),"",VLOOKUP($A36,Kc_Info!$A$4:$V$155,20,FALSE))</f>
        <v/>
      </c>
      <c r="U36" s="94" t="str">
        <f>IF(ISNA(VLOOKUP($A36,Kc_Info!$A$4:$V$155,21,FALSE)),"",VLOOKUP($A36,Kc_Info!$A$4:$V$155,21,FALSE))</f>
        <v/>
      </c>
      <c r="V36" s="94" t="str">
        <f>IF(ISNA(VLOOKUP($A36,Kc_Info!$A$4:$V$155,22,FALSE)),"",VLOOKUP($A36,Kc_Info!$A$4:$V$155,22,FALSE))</f>
        <v/>
      </c>
    </row>
    <row r="37" spans="1:22">
      <c r="A37" s="92"/>
      <c r="B37" s="93" t="str">
        <f>IF(ISNA(VLOOKUP($A37,Kc_Info!$A$4:$V$155,2,FALSE)),"",VLOOKUP($A37,Kc_Info!$A$4:$V$155,2,FALSE))</f>
        <v/>
      </c>
      <c r="C37" s="94" t="str">
        <f>IF(ISNA(VLOOKUP($A37,Kc_Info!$A$4:$V$155,3,FALSE)),"",VLOOKUP($A37,Kc_Info!$A$4:$V$155,3,FALSE))</f>
        <v/>
      </c>
      <c r="D37" s="94" t="str">
        <f>IF(ISNA(VLOOKUP($A37,Kc_Info!$A$4:$V$155,4,FALSE)),"",VLOOKUP($A37,Kc_Info!$A$4:$V$155,4,FALSE))</f>
        <v/>
      </c>
      <c r="E37" s="94" t="str">
        <f>IF(ISNA(VLOOKUP($A37,Kc_Info!$A$4:$V$155,5,FALSE)),"",VLOOKUP($A37,Kc_Info!$A$4:$V$155,5,FALSE))</f>
        <v/>
      </c>
      <c r="F37" s="94" t="str">
        <f>IF(ISNA(VLOOKUP($A37,Kc_Info!$A$4:$V$155,6,FALSE)),"",VLOOKUP($A37,Kc_Info!$A$4:$V$155,6,FALSE))</f>
        <v/>
      </c>
      <c r="G37" s="101" t="str">
        <f>IF(ISNA(VLOOKUP($A37,Kc_Info!$A$4:$V$155,7,FALSE)),"",VLOOKUP($A37,Kc_Info!$A$4:$V$155,7,FALSE))</f>
        <v/>
      </c>
      <c r="H37" s="101" t="str">
        <f>IF(ISNA(VLOOKUP($A37,Kc_Info!$A$4:$V$155,8,FALSE)),"",VLOOKUP($A37,Kc_Info!$A$4:$V$155,8,FALSE))</f>
        <v/>
      </c>
      <c r="I37" s="101" t="str">
        <f>IF(ISNA(VLOOKUP($A37,Kc_Info!$A$4:$V$155,9,FALSE)),"",VLOOKUP($A37,Kc_Info!$A$4:$V$155,9,FALSE))</f>
        <v/>
      </c>
      <c r="J37" s="101" t="str">
        <f>IF(ISNA(VLOOKUP($A37,Kc_Info!$A$4:$V$155,10,FALSE)),"",VLOOKUP($A37,Kc_Info!$A$4:$V$155,10,FALSE))</f>
        <v/>
      </c>
      <c r="K37" s="94" t="str">
        <f>IF(ISNA(VLOOKUP($A37,Kc_Info!$A$4:$V$155,11,FALSE)),"",VLOOKUP($A37,Kc_Info!$A$4:$V$155,11,FALSE))</f>
        <v/>
      </c>
      <c r="L37" s="94" t="str">
        <f>IF(ISNA(VLOOKUP($A37,Kc_Info!$A$4:$V$155,12,FALSE)),"",VLOOKUP($A37,Kc_Info!$A$4:$V$155,12,FALSE))</f>
        <v/>
      </c>
      <c r="M37" s="94" t="str">
        <f>IF(ISNA(VLOOKUP($A37,Kc_Info!$A$4:$V$155,13,FALSE)),"",VLOOKUP($A37,Kc_Info!$A$4:$V$155,13,FALSE))</f>
        <v/>
      </c>
      <c r="N37" s="94" t="str">
        <f>IF(ISNA(VLOOKUP($A37,Kc_Info!$A$4:$V$155,14,FALSE)),"",VLOOKUP($A37,Kc_Info!$A$4:$V$155,14,FALSE))</f>
        <v/>
      </c>
      <c r="O37" s="100" t="str">
        <f>IF(ISNA(VLOOKUP($A37,Kc_Info!$A$4:$V$155,15,FALSE)),"",VLOOKUP($A37,Kc_Info!$A$4:$V$155,15,FALSE))</f>
        <v/>
      </c>
      <c r="P37" s="100" t="str">
        <f>IF(ISNA(VLOOKUP($A37,Kc_Info!$A$4:$V$155,16,FALSE)),"",VLOOKUP($A37,Kc_Info!$A$4:$V$155,16,FALSE))</f>
        <v/>
      </c>
      <c r="Q37" s="100" t="str">
        <f>IF(ISNA(VLOOKUP($A37,Kc_Info!$A$4:$V$155,17,FALSE)),"",VLOOKUP($A37,Kc_Info!$A$4:$V$155,17,FALSE))</f>
        <v/>
      </c>
      <c r="R37" s="100" t="str">
        <f>IF(ISNA(VLOOKUP($A37,Kc_Info!$A$4:$V$155,18,FALSE)),"",VLOOKUP($A37,Kc_Info!$A$4:$V$155,18,FALSE))</f>
        <v/>
      </c>
      <c r="S37" s="100" t="str">
        <f>IF(ISNA(VLOOKUP($A37,Kc_Info!$A$4:$V$155,19,FALSE)),"",VLOOKUP($A37,Kc_Info!$A$4:$V$155,19,FALSE))</f>
        <v/>
      </c>
      <c r="T37" s="94" t="str">
        <f>IF(ISNA(VLOOKUP($A37,Kc_Info!$A$4:$V$155,20,FALSE)),"",VLOOKUP($A37,Kc_Info!$A$4:$V$155,20,FALSE))</f>
        <v/>
      </c>
      <c r="U37" s="94" t="str">
        <f>IF(ISNA(VLOOKUP($A37,Kc_Info!$A$4:$V$155,21,FALSE)),"",VLOOKUP($A37,Kc_Info!$A$4:$V$155,21,FALSE))</f>
        <v/>
      </c>
      <c r="V37" s="94" t="str">
        <f>IF(ISNA(VLOOKUP($A37,Kc_Info!$A$4:$V$155,22,FALSE)),"",VLOOKUP($A37,Kc_Info!$A$4:$V$155,22,FALSE))</f>
        <v/>
      </c>
    </row>
    <row r="38" spans="1:22">
      <c r="A38" s="92"/>
      <c r="B38" s="93" t="str">
        <f>IF(ISNA(VLOOKUP($A38,Kc_Info!$A$4:$V$155,2,FALSE)),"",VLOOKUP($A38,Kc_Info!$A$4:$V$155,2,FALSE))</f>
        <v/>
      </c>
      <c r="C38" s="94" t="str">
        <f>IF(ISNA(VLOOKUP($A38,Kc_Info!$A$4:$V$155,3,FALSE)),"",VLOOKUP($A38,Kc_Info!$A$4:$V$155,3,FALSE))</f>
        <v/>
      </c>
      <c r="D38" s="94" t="str">
        <f>IF(ISNA(VLOOKUP($A38,Kc_Info!$A$4:$V$155,4,FALSE)),"",VLOOKUP($A38,Kc_Info!$A$4:$V$155,4,FALSE))</f>
        <v/>
      </c>
      <c r="E38" s="94" t="str">
        <f>IF(ISNA(VLOOKUP($A38,Kc_Info!$A$4:$V$155,5,FALSE)),"",VLOOKUP($A38,Kc_Info!$A$4:$V$155,5,FALSE))</f>
        <v/>
      </c>
      <c r="F38" s="94" t="str">
        <f>IF(ISNA(VLOOKUP($A38,Kc_Info!$A$4:$V$155,6,FALSE)),"",VLOOKUP($A38,Kc_Info!$A$4:$V$155,6,FALSE))</f>
        <v/>
      </c>
      <c r="G38" s="101" t="str">
        <f>IF(ISNA(VLOOKUP($A38,Kc_Info!$A$4:$V$155,7,FALSE)),"",VLOOKUP($A38,Kc_Info!$A$4:$V$155,7,FALSE))</f>
        <v/>
      </c>
      <c r="H38" s="101" t="str">
        <f>IF(ISNA(VLOOKUP($A38,Kc_Info!$A$4:$V$155,8,FALSE)),"",VLOOKUP($A38,Kc_Info!$A$4:$V$155,8,FALSE))</f>
        <v/>
      </c>
      <c r="I38" s="101" t="str">
        <f>IF(ISNA(VLOOKUP($A38,Kc_Info!$A$4:$V$155,9,FALSE)),"",VLOOKUP($A38,Kc_Info!$A$4:$V$155,9,FALSE))</f>
        <v/>
      </c>
      <c r="J38" s="101" t="str">
        <f>IF(ISNA(VLOOKUP($A38,Kc_Info!$A$4:$V$155,10,FALSE)),"",VLOOKUP($A38,Kc_Info!$A$4:$V$155,10,FALSE))</f>
        <v/>
      </c>
      <c r="K38" s="94" t="str">
        <f>IF(ISNA(VLOOKUP($A38,Kc_Info!$A$4:$V$155,11,FALSE)),"",VLOOKUP($A38,Kc_Info!$A$4:$V$155,11,FALSE))</f>
        <v/>
      </c>
      <c r="L38" s="94" t="str">
        <f>IF(ISNA(VLOOKUP($A38,Kc_Info!$A$4:$V$155,12,FALSE)),"",VLOOKUP($A38,Kc_Info!$A$4:$V$155,12,FALSE))</f>
        <v/>
      </c>
      <c r="M38" s="94" t="str">
        <f>IF(ISNA(VLOOKUP($A38,Kc_Info!$A$4:$V$155,13,FALSE)),"",VLOOKUP($A38,Kc_Info!$A$4:$V$155,13,FALSE))</f>
        <v/>
      </c>
      <c r="N38" s="94" t="str">
        <f>IF(ISNA(VLOOKUP($A38,Kc_Info!$A$4:$V$155,14,FALSE)),"",VLOOKUP($A38,Kc_Info!$A$4:$V$155,14,FALSE))</f>
        <v/>
      </c>
      <c r="O38" s="100" t="str">
        <f>IF(ISNA(VLOOKUP($A38,Kc_Info!$A$4:$V$155,15,FALSE)),"",VLOOKUP($A38,Kc_Info!$A$4:$V$155,15,FALSE))</f>
        <v/>
      </c>
      <c r="P38" s="100" t="str">
        <f>IF(ISNA(VLOOKUP($A38,Kc_Info!$A$4:$V$155,16,FALSE)),"",VLOOKUP($A38,Kc_Info!$A$4:$V$155,16,FALSE))</f>
        <v/>
      </c>
      <c r="Q38" s="100" t="str">
        <f>IF(ISNA(VLOOKUP($A38,Kc_Info!$A$4:$V$155,17,FALSE)),"",VLOOKUP($A38,Kc_Info!$A$4:$V$155,17,FALSE))</f>
        <v/>
      </c>
      <c r="R38" s="100" t="str">
        <f>IF(ISNA(VLOOKUP($A38,Kc_Info!$A$4:$V$155,18,FALSE)),"",VLOOKUP($A38,Kc_Info!$A$4:$V$155,18,FALSE))</f>
        <v/>
      </c>
      <c r="S38" s="100" t="str">
        <f>IF(ISNA(VLOOKUP($A38,Kc_Info!$A$4:$V$155,19,FALSE)),"",VLOOKUP($A38,Kc_Info!$A$4:$V$155,19,FALSE))</f>
        <v/>
      </c>
      <c r="T38" s="94" t="str">
        <f>IF(ISNA(VLOOKUP($A38,Kc_Info!$A$4:$V$155,20,FALSE)),"",VLOOKUP($A38,Kc_Info!$A$4:$V$155,20,FALSE))</f>
        <v/>
      </c>
      <c r="U38" s="94" t="str">
        <f>IF(ISNA(VLOOKUP($A38,Kc_Info!$A$4:$V$155,21,FALSE)),"",VLOOKUP($A38,Kc_Info!$A$4:$V$155,21,FALSE))</f>
        <v/>
      </c>
      <c r="V38" s="94" t="str">
        <f>IF(ISNA(VLOOKUP($A38,Kc_Info!$A$4:$V$155,22,FALSE)),"",VLOOKUP($A38,Kc_Info!$A$4:$V$155,22,FALSE))</f>
        <v/>
      </c>
    </row>
    <row r="39" spans="1:22">
      <c r="A39" s="92"/>
      <c r="B39" s="93" t="str">
        <f>IF(ISNA(VLOOKUP($A39,Kc_Info!$A$4:$V$155,2,FALSE)),"",VLOOKUP($A39,Kc_Info!$A$4:$V$155,2,FALSE))</f>
        <v/>
      </c>
      <c r="C39" s="94" t="str">
        <f>IF(ISNA(VLOOKUP($A39,Kc_Info!$A$4:$V$155,3,FALSE)),"",VLOOKUP($A39,Kc_Info!$A$4:$V$155,3,FALSE))</f>
        <v/>
      </c>
      <c r="D39" s="94" t="str">
        <f>IF(ISNA(VLOOKUP($A39,Kc_Info!$A$4:$V$155,4,FALSE)),"",VLOOKUP($A39,Kc_Info!$A$4:$V$155,4,FALSE))</f>
        <v/>
      </c>
      <c r="E39" s="94" t="str">
        <f>IF(ISNA(VLOOKUP($A39,Kc_Info!$A$4:$V$155,5,FALSE)),"",VLOOKUP($A39,Kc_Info!$A$4:$V$155,5,FALSE))</f>
        <v/>
      </c>
      <c r="F39" s="94" t="str">
        <f>IF(ISNA(VLOOKUP($A39,Kc_Info!$A$4:$V$155,6,FALSE)),"",VLOOKUP($A39,Kc_Info!$A$4:$V$155,6,FALSE))</f>
        <v/>
      </c>
      <c r="G39" s="101" t="str">
        <f>IF(ISNA(VLOOKUP($A39,Kc_Info!$A$4:$V$155,7,FALSE)),"",VLOOKUP($A39,Kc_Info!$A$4:$V$155,7,FALSE))</f>
        <v/>
      </c>
      <c r="H39" s="101" t="str">
        <f>IF(ISNA(VLOOKUP($A39,Kc_Info!$A$4:$V$155,8,FALSE)),"",VLOOKUP($A39,Kc_Info!$A$4:$V$155,8,FALSE))</f>
        <v/>
      </c>
      <c r="I39" s="101" t="str">
        <f>IF(ISNA(VLOOKUP($A39,Kc_Info!$A$4:$V$155,9,FALSE)),"",VLOOKUP($A39,Kc_Info!$A$4:$V$155,9,FALSE))</f>
        <v/>
      </c>
      <c r="J39" s="101" t="str">
        <f>IF(ISNA(VLOOKUP($A39,Kc_Info!$A$4:$V$155,10,FALSE)),"",VLOOKUP($A39,Kc_Info!$A$4:$V$155,10,FALSE))</f>
        <v/>
      </c>
      <c r="K39" s="94" t="str">
        <f>IF(ISNA(VLOOKUP($A39,Kc_Info!$A$4:$V$155,11,FALSE)),"",VLOOKUP($A39,Kc_Info!$A$4:$V$155,11,FALSE))</f>
        <v/>
      </c>
      <c r="L39" s="94" t="str">
        <f>IF(ISNA(VLOOKUP($A39,Kc_Info!$A$4:$V$155,12,FALSE)),"",VLOOKUP($A39,Kc_Info!$A$4:$V$155,12,FALSE))</f>
        <v/>
      </c>
      <c r="M39" s="94" t="str">
        <f>IF(ISNA(VLOOKUP($A39,Kc_Info!$A$4:$V$155,13,FALSE)),"",VLOOKUP($A39,Kc_Info!$A$4:$V$155,13,FALSE))</f>
        <v/>
      </c>
      <c r="N39" s="94" t="str">
        <f>IF(ISNA(VLOOKUP($A39,Kc_Info!$A$4:$V$155,14,FALSE)),"",VLOOKUP($A39,Kc_Info!$A$4:$V$155,14,FALSE))</f>
        <v/>
      </c>
      <c r="O39" s="100" t="str">
        <f>IF(ISNA(VLOOKUP($A39,Kc_Info!$A$4:$V$155,15,FALSE)),"",VLOOKUP($A39,Kc_Info!$A$4:$V$155,15,FALSE))</f>
        <v/>
      </c>
      <c r="P39" s="100" t="str">
        <f>IF(ISNA(VLOOKUP($A39,Kc_Info!$A$4:$V$155,16,FALSE)),"",VLOOKUP($A39,Kc_Info!$A$4:$V$155,16,FALSE))</f>
        <v/>
      </c>
      <c r="Q39" s="100" t="str">
        <f>IF(ISNA(VLOOKUP($A39,Kc_Info!$A$4:$V$155,17,FALSE)),"",VLOOKUP($A39,Kc_Info!$A$4:$V$155,17,FALSE))</f>
        <v/>
      </c>
      <c r="R39" s="100" t="str">
        <f>IF(ISNA(VLOOKUP($A39,Kc_Info!$A$4:$V$155,18,FALSE)),"",VLOOKUP($A39,Kc_Info!$A$4:$V$155,18,FALSE))</f>
        <v/>
      </c>
      <c r="S39" s="100" t="str">
        <f>IF(ISNA(VLOOKUP($A39,Kc_Info!$A$4:$V$155,19,FALSE)),"",VLOOKUP($A39,Kc_Info!$A$4:$V$155,19,FALSE))</f>
        <v/>
      </c>
      <c r="T39" s="94" t="str">
        <f>IF(ISNA(VLOOKUP($A39,Kc_Info!$A$4:$V$155,20,FALSE)),"",VLOOKUP($A39,Kc_Info!$A$4:$V$155,20,FALSE))</f>
        <v/>
      </c>
      <c r="U39" s="94" t="str">
        <f>IF(ISNA(VLOOKUP($A39,Kc_Info!$A$4:$V$155,21,FALSE)),"",VLOOKUP($A39,Kc_Info!$A$4:$V$155,21,FALSE))</f>
        <v/>
      </c>
      <c r="V39" s="94" t="str">
        <f>IF(ISNA(VLOOKUP($A39,Kc_Info!$A$4:$V$155,22,FALSE)),"",VLOOKUP($A39,Kc_Info!$A$4:$V$155,22,FALSE))</f>
        <v/>
      </c>
    </row>
    <row r="40" spans="1:22">
      <c r="A40" s="92"/>
      <c r="B40" s="93" t="str">
        <f>IF(ISNA(VLOOKUP($A40,Kc_Info!$A$4:$V$155,2,FALSE)),"",VLOOKUP($A40,Kc_Info!$A$4:$V$155,2,FALSE))</f>
        <v/>
      </c>
      <c r="C40" s="94" t="str">
        <f>IF(ISNA(VLOOKUP($A40,Kc_Info!$A$4:$V$155,3,FALSE)),"",VLOOKUP($A40,Kc_Info!$A$4:$V$155,3,FALSE))</f>
        <v/>
      </c>
      <c r="D40" s="94" t="str">
        <f>IF(ISNA(VLOOKUP($A40,Kc_Info!$A$4:$V$155,4,FALSE)),"",VLOOKUP($A40,Kc_Info!$A$4:$V$155,4,FALSE))</f>
        <v/>
      </c>
      <c r="E40" s="94" t="str">
        <f>IF(ISNA(VLOOKUP($A40,Kc_Info!$A$4:$V$155,5,FALSE)),"",VLOOKUP($A40,Kc_Info!$A$4:$V$155,5,FALSE))</f>
        <v/>
      </c>
      <c r="F40" s="94" t="str">
        <f>IF(ISNA(VLOOKUP($A40,Kc_Info!$A$4:$V$155,6,FALSE)),"",VLOOKUP($A40,Kc_Info!$A$4:$V$155,6,FALSE))</f>
        <v/>
      </c>
      <c r="G40" s="101" t="str">
        <f>IF(ISNA(VLOOKUP($A40,Kc_Info!$A$4:$V$155,7,FALSE)),"",VLOOKUP($A40,Kc_Info!$A$4:$V$155,7,FALSE))</f>
        <v/>
      </c>
      <c r="H40" s="101" t="str">
        <f>IF(ISNA(VLOOKUP($A40,Kc_Info!$A$4:$V$155,8,FALSE)),"",VLOOKUP($A40,Kc_Info!$A$4:$V$155,8,FALSE))</f>
        <v/>
      </c>
      <c r="I40" s="101" t="str">
        <f>IF(ISNA(VLOOKUP($A40,Kc_Info!$A$4:$V$155,9,FALSE)),"",VLOOKUP($A40,Kc_Info!$A$4:$V$155,9,FALSE))</f>
        <v/>
      </c>
      <c r="J40" s="101" t="str">
        <f>IF(ISNA(VLOOKUP($A40,Kc_Info!$A$4:$V$155,10,FALSE)),"",VLOOKUP($A40,Kc_Info!$A$4:$V$155,10,FALSE))</f>
        <v/>
      </c>
      <c r="K40" s="94" t="str">
        <f>IF(ISNA(VLOOKUP($A40,Kc_Info!$A$4:$V$155,11,FALSE)),"",VLOOKUP($A40,Kc_Info!$A$4:$V$155,11,FALSE))</f>
        <v/>
      </c>
      <c r="L40" s="94" t="str">
        <f>IF(ISNA(VLOOKUP($A40,Kc_Info!$A$4:$V$155,12,FALSE)),"",VLOOKUP($A40,Kc_Info!$A$4:$V$155,12,FALSE))</f>
        <v/>
      </c>
      <c r="M40" s="94" t="str">
        <f>IF(ISNA(VLOOKUP($A40,Kc_Info!$A$4:$V$155,13,FALSE)),"",VLOOKUP($A40,Kc_Info!$A$4:$V$155,13,FALSE))</f>
        <v/>
      </c>
      <c r="N40" s="94" t="str">
        <f>IF(ISNA(VLOOKUP($A40,Kc_Info!$A$4:$V$155,14,FALSE)),"",VLOOKUP($A40,Kc_Info!$A$4:$V$155,14,FALSE))</f>
        <v/>
      </c>
      <c r="O40" s="100" t="str">
        <f>IF(ISNA(VLOOKUP($A40,Kc_Info!$A$4:$V$155,15,FALSE)),"",VLOOKUP($A40,Kc_Info!$A$4:$V$155,15,FALSE))</f>
        <v/>
      </c>
      <c r="P40" s="100" t="str">
        <f>IF(ISNA(VLOOKUP($A40,Kc_Info!$A$4:$V$155,16,FALSE)),"",VLOOKUP($A40,Kc_Info!$A$4:$V$155,16,FALSE))</f>
        <v/>
      </c>
      <c r="Q40" s="100" t="str">
        <f>IF(ISNA(VLOOKUP($A40,Kc_Info!$A$4:$V$155,17,FALSE)),"",VLOOKUP($A40,Kc_Info!$A$4:$V$155,17,FALSE))</f>
        <v/>
      </c>
      <c r="R40" s="100" t="str">
        <f>IF(ISNA(VLOOKUP($A40,Kc_Info!$A$4:$V$155,18,FALSE)),"",VLOOKUP($A40,Kc_Info!$A$4:$V$155,18,FALSE))</f>
        <v/>
      </c>
      <c r="S40" s="100" t="str">
        <f>IF(ISNA(VLOOKUP($A40,Kc_Info!$A$4:$V$155,19,FALSE)),"",VLOOKUP($A40,Kc_Info!$A$4:$V$155,19,FALSE))</f>
        <v/>
      </c>
      <c r="T40" s="94" t="str">
        <f>IF(ISNA(VLOOKUP($A40,Kc_Info!$A$4:$V$155,20,FALSE)),"",VLOOKUP($A40,Kc_Info!$A$4:$V$155,20,FALSE))</f>
        <v/>
      </c>
      <c r="U40" s="94" t="str">
        <f>IF(ISNA(VLOOKUP($A40,Kc_Info!$A$4:$V$155,21,FALSE)),"",VLOOKUP($A40,Kc_Info!$A$4:$V$155,21,FALSE))</f>
        <v/>
      </c>
      <c r="V40" s="94" t="str">
        <f>IF(ISNA(VLOOKUP($A40,Kc_Info!$A$4:$V$155,22,FALSE)),"",VLOOKUP($A40,Kc_Info!$A$4:$V$155,22,FALSE))</f>
        <v/>
      </c>
    </row>
    <row r="41" spans="1:22">
      <c r="A41" s="92"/>
      <c r="B41" s="93" t="str">
        <f>IF(ISNA(VLOOKUP($A41,Kc_Info!$A$4:$V$155,2,FALSE)),"",VLOOKUP($A41,Kc_Info!$A$4:$V$155,2,FALSE))</f>
        <v/>
      </c>
      <c r="C41" s="94" t="str">
        <f>IF(ISNA(VLOOKUP($A41,Kc_Info!$A$4:$V$155,3,FALSE)),"",VLOOKUP($A41,Kc_Info!$A$4:$V$155,3,FALSE))</f>
        <v/>
      </c>
      <c r="D41" s="94" t="str">
        <f>IF(ISNA(VLOOKUP($A41,Kc_Info!$A$4:$V$155,4,FALSE)),"",VLOOKUP($A41,Kc_Info!$A$4:$V$155,4,FALSE))</f>
        <v/>
      </c>
      <c r="E41" s="94" t="str">
        <f>IF(ISNA(VLOOKUP($A41,Kc_Info!$A$4:$V$155,5,FALSE)),"",VLOOKUP($A41,Kc_Info!$A$4:$V$155,5,FALSE))</f>
        <v/>
      </c>
      <c r="F41" s="94" t="str">
        <f>IF(ISNA(VLOOKUP($A41,Kc_Info!$A$4:$V$155,6,FALSE)),"",VLOOKUP($A41,Kc_Info!$A$4:$V$155,6,FALSE))</f>
        <v/>
      </c>
      <c r="G41" s="101" t="str">
        <f>IF(ISNA(VLOOKUP($A41,Kc_Info!$A$4:$V$155,7,FALSE)),"",VLOOKUP($A41,Kc_Info!$A$4:$V$155,7,FALSE))</f>
        <v/>
      </c>
      <c r="H41" s="101" t="str">
        <f>IF(ISNA(VLOOKUP($A41,Kc_Info!$A$4:$V$155,8,FALSE)),"",VLOOKUP($A41,Kc_Info!$A$4:$V$155,8,FALSE))</f>
        <v/>
      </c>
      <c r="I41" s="101" t="str">
        <f>IF(ISNA(VLOOKUP($A41,Kc_Info!$A$4:$V$155,9,FALSE)),"",VLOOKUP($A41,Kc_Info!$A$4:$V$155,9,FALSE))</f>
        <v/>
      </c>
      <c r="J41" s="101" t="str">
        <f>IF(ISNA(VLOOKUP($A41,Kc_Info!$A$4:$V$155,10,FALSE)),"",VLOOKUP($A41,Kc_Info!$A$4:$V$155,10,FALSE))</f>
        <v/>
      </c>
      <c r="K41" s="94" t="str">
        <f>IF(ISNA(VLOOKUP($A41,Kc_Info!$A$4:$V$155,11,FALSE)),"",VLOOKUP($A41,Kc_Info!$A$4:$V$155,11,FALSE))</f>
        <v/>
      </c>
      <c r="L41" s="94" t="str">
        <f>IF(ISNA(VLOOKUP($A41,Kc_Info!$A$4:$V$155,12,FALSE)),"",VLOOKUP($A41,Kc_Info!$A$4:$V$155,12,FALSE))</f>
        <v/>
      </c>
      <c r="M41" s="94" t="str">
        <f>IF(ISNA(VLOOKUP($A41,Kc_Info!$A$4:$V$155,13,FALSE)),"",VLOOKUP($A41,Kc_Info!$A$4:$V$155,13,FALSE))</f>
        <v/>
      </c>
      <c r="N41" s="94" t="str">
        <f>IF(ISNA(VLOOKUP($A41,Kc_Info!$A$4:$V$155,14,FALSE)),"",VLOOKUP($A41,Kc_Info!$A$4:$V$155,14,FALSE))</f>
        <v/>
      </c>
      <c r="O41" s="100" t="str">
        <f>IF(ISNA(VLOOKUP($A41,Kc_Info!$A$4:$V$155,15,FALSE)),"",VLOOKUP($A41,Kc_Info!$A$4:$V$155,15,FALSE))</f>
        <v/>
      </c>
      <c r="P41" s="100" t="str">
        <f>IF(ISNA(VLOOKUP($A41,Kc_Info!$A$4:$V$155,16,FALSE)),"",VLOOKUP($A41,Kc_Info!$A$4:$V$155,16,FALSE))</f>
        <v/>
      </c>
      <c r="Q41" s="100" t="str">
        <f>IF(ISNA(VLOOKUP($A41,Kc_Info!$A$4:$V$155,17,FALSE)),"",VLOOKUP($A41,Kc_Info!$A$4:$V$155,17,FALSE))</f>
        <v/>
      </c>
      <c r="R41" s="100" t="str">
        <f>IF(ISNA(VLOOKUP($A41,Kc_Info!$A$4:$V$155,18,FALSE)),"",VLOOKUP($A41,Kc_Info!$A$4:$V$155,18,FALSE))</f>
        <v/>
      </c>
      <c r="S41" s="100" t="str">
        <f>IF(ISNA(VLOOKUP($A41,Kc_Info!$A$4:$V$155,19,FALSE)),"",VLOOKUP($A41,Kc_Info!$A$4:$V$155,19,FALSE))</f>
        <v/>
      </c>
      <c r="T41" s="94" t="str">
        <f>IF(ISNA(VLOOKUP($A41,Kc_Info!$A$4:$V$155,20,FALSE)),"",VLOOKUP($A41,Kc_Info!$A$4:$V$155,20,FALSE))</f>
        <v/>
      </c>
      <c r="U41" s="94" t="str">
        <f>IF(ISNA(VLOOKUP($A41,Kc_Info!$A$4:$V$155,21,FALSE)),"",VLOOKUP($A41,Kc_Info!$A$4:$V$155,21,FALSE))</f>
        <v/>
      </c>
      <c r="V41" s="94" t="str">
        <f>IF(ISNA(VLOOKUP($A41,Kc_Info!$A$4:$V$155,22,FALSE)),"",VLOOKUP($A41,Kc_Info!$A$4:$V$155,22,FALSE))</f>
        <v/>
      </c>
    </row>
    <row r="42" spans="1:22">
      <c r="A42" s="92"/>
      <c r="B42" s="93" t="str">
        <f>IF(ISNA(VLOOKUP($A42,Kc_Info!$A$4:$V$155,2,FALSE)),"",VLOOKUP($A42,Kc_Info!$A$4:$V$155,2,FALSE))</f>
        <v/>
      </c>
      <c r="C42" s="94" t="str">
        <f>IF(ISNA(VLOOKUP($A42,Kc_Info!$A$4:$V$155,3,FALSE)),"",VLOOKUP($A42,Kc_Info!$A$4:$V$155,3,FALSE))</f>
        <v/>
      </c>
      <c r="D42" s="94" t="str">
        <f>IF(ISNA(VLOOKUP($A42,Kc_Info!$A$4:$V$155,4,FALSE)),"",VLOOKUP($A42,Kc_Info!$A$4:$V$155,4,FALSE))</f>
        <v/>
      </c>
      <c r="E42" s="94" t="str">
        <f>IF(ISNA(VLOOKUP($A42,Kc_Info!$A$4:$V$155,5,FALSE)),"",VLOOKUP($A42,Kc_Info!$A$4:$V$155,5,FALSE))</f>
        <v/>
      </c>
      <c r="F42" s="94" t="str">
        <f>IF(ISNA(VLOOKUP($A42,Kc_Info!$A$4:$V$155,6,FALSE)),"",VLOOKUP($A42,Kc_Info!$A$4:$V$155,6,FALSE))</f>
        <v/>
      </c>
      <c r="G42" s="101" t="str">
        <f>IF(ISNA(VLOOKUP($A42,Kc_Info!$A$4:$V$155,7,FALSE)),"",VLOOKUP($A42,Kc_Info!$A$4:$V$155,7,FALSE))</f>
        <v/>
      </c>
      <c r="H42" s="101" t="str">
        <f>IF(ISNA(VLOOKUP($A42,Kc_Info!$A$4:$V$155,8,FALSE)),"",VLOOKUP($A42,Kc_Info!$A$4:$V$155,8,FALSE))</f>
        <v/>
      </c>
      <c r="I42" s="101" t="str">
        <f>IF(ISNA(VLOOKUP($A42,Kc_Info!$A$4:$V$155,9,FALSE)),"",VLOOKUP($A42,Kc_Info!$A$4:$V$155,9,FALSE))</f>
        <v/>
      </c>
      <c r="J42" s="101" t="str">
        <f>IF(ISNA(VLOOKUP($A42,Kc_Info!$A$4:$V$155,10,FALSE)),"",VLOOKUP($A42,Kc_Info!$A$4:$V$155,10,FALSE))</f>
        <v/>
      </c>
      <c r="K42" s="94" t="str">
        <f>IF(ISNA(VLOOKUP($A42,Kc_Info!$A$4:$V$155,11,FALSE)),"",VLOOKUP($A42,Kc_Info!$A$4:$V$155,11,FALSE))</f>
        <v/>
      </c>
      <c r="L42" s="94" t="str">
        <f>IF(ISNA(VLOOKUP($A42,Kc_Info!$A$4:$V$155,12,FALSE)),"",VLOOKUP($A42,Kc_Info!$A$4:$V$155,12,FALSE))</f>
        <v/>
      </c>
      <c r="M42" s="94" t="str">
        <f>IF(ISNA(VLOOKUP($A42,Kc_Info!$A$4:$V$155,13,FALSE)),"",VLOOKUP($A42,Kc_Info!$A$4:$V$155,13,FALSE))</f>
        <v/>
      </c>
      <c r="N42" s="94" t="str">
        <f>IF(ISNA(VLOOKUP($A42,Kc_Info!$A$4:$V$155,14,FALSE)),"",VLOOKUP($A42,Kc_Info!$A$4:$V$155,14,FALSE))</f>
        <v/>
      </c>
      <c r="O42" s="100" t="str">
        <f>IF(ISNA(VLOOKUP($A42,Kc_Info!$A$4:$V$155,15,FALSE)),"",VLOOKUP($A42,Kc_Info!$A$4:$V$155,15,FALSE))</f>
        <v/>
      </c>
      <c r="P42" s="100" t="str">
        <f>IF(ISNA(VLOOKUP($A42,Kc_Info!$A$4:$V$155,16,FALSE)),"",VLOOKUP($A42,Kc_Info!$A$4:$V$155,16,FALSE))</f>
        <v/>
      </c>
      <c r="Q42" s="100" t="str">
        <f>IF(ISNA(VLOOKUP($A42,Kc_Info!$A$4:$V$155,17,FALSE)),"",VLOOKUP($A42,Kc_Info!$A$4:$V$155,17,FALSE))</f>
        <v/>
      </c>
      <c r="R42" s="100" t="str">
        <f>IF(ISNA(VLOOKUP($A42,Kc_Info!$A$4:$V$155,18,FALSE)),"",VLOOKUP($A42,Kc_Info!$A$4:$V$155,18,FALSE))</f>
        <v/>
      </c>
      <c r="S42" s="100" t="str">
        <f>IF(ISNA(VLOOKUP($A42,Kc_Info!$A$4:$V$155,19,FALSE)),"",VLOOKUP($A42,Kc_Info!$A$4:$V$155,19,FALSE))</f>
        <v/>
      </c>
      <c r="T42" s="94" t="str">
        <f>IF(ISNA(VLOOKUP($A42,Kc_Info!$A$4:$V$155,20,FALSE)),"",VLOOKUP($A42,Kc_Info!$A$4:$V$155,20,FALSE))</f>
        <v/>
      </c>
      <c r="U42" s="94" t="str">
        <f>IF(ISNA(VLOOKUP($A42,Kc_Info!$A$4:$V$155,21,FALSE)),"",VLOOKUP($A42,Kc_Info!$A$4:$V$155,21,FALSE))</f>
        <v/>
      </c>
      <c r="V42" s="94" t="str">
        <f>IF(ISNA(VLOOKUP($A42,Kc_Info!$A$4:$V$155,22,FALSE)),"",VLOOKUP($A42,Kc_Info!$A$4:$V$155,22,FALSE))</f>
        <v/>
      </c>
    </row>
    <row r="43" spans="1:22">
      <c r="A43" s="92"/>
      <c r="B43" s="93" t="str">
        <f>IF(ISNA(VLOOKUP($A43,Kc_Info!$A$4:$V$155,2,FALSE)),"",VLOOKUP($A43,Kc_Info!$A$4:$V$155,2,FALSE))</f>
        <v/>
      </c>
      <c r="C43" s="94" t="str">
        <f>IF(ISNA(VLOOKUP($A43,Kc_Info!$A$4:$V$155,3,FALSE)),"",VLOOKUP($A43,Kc_Info!$A$4:$V$155,3,FALSE))</f>
        <v/>
      </c>
      <c r="D43" s="94" t="str">
        <f>IF(ISNA(VLOOKUP($A43,Kc_Info!$A$4:$V$155,4,FALSE)),"",VLOOKUP($A43,Kc_Info!$A$4:$V$155,4,FALSE))</f>
        <v/>
      </c>
      <c r="E43" s="94" t="str">
        <f>IF(ISNA(VLOOKUP($A43,Kc_Info!$A$4:$V$155,5,FALSE)),"",VLOOKUP($A43,Kc_Info!$A$4:$V$155,5,FALSE))</f>
        <v/>
      </c>
      <c r="F43" s="94" t="str">
        <f>IF(ISNA(VLOOKUP($A43,Kc_Info!$A$4:$V$155,6,FALSE)),"",VLOOKUP($A43,Kc_Info!$A$4:$V$155,6,FALSE))</f>
        <v/>
      </c>
      <c r="G43" s="101" t="str">
        <f>IF(ISNA(VLOOKUP($A43,Kc_Info!$A$4:$V$155,7,FALSE)),"",VLOOKUP($A43,Kc_Info!$A$4:$V$155,7,FALSE))</f>
        <v/>
      </c>
      <c r="H43" s="101" t="str">
        <f>IF(ISNA(VLOOKUP($A43,Kc_Info!$A$4:$V$155,8,FALSE)),"",VLOOKUP($A43,Kc_Info!$A$4:$V$155,8,FALSE))</f>
        <v/>
      </c>
      <c r="I43" s="101" t="str">
        <f>IF(ISNA(VLOOKUP($A43,Kc_Info!$A$4:$V$155,9,FALSE)),"",VLOOKUP($A43,Kc_Info!$A$4:$V$155,9,FALSE))</f>
        <v/>
      </c>
      <c r="J43" s="101" t="str">
        <f>IF(ISNA(VLOOKUP($A43,Kc_Info!$A$4:$V$155,10,FALSE)),"",VLOOKUP($A43,Kc_Info!$A$4:$V$155,10,FALSE))</f>
        <v/>
      </c>
      <c r="K43" s="94" t="str">
        <f>IF(ISNA(VLOOKUP($A43,Kc_Info!$A$4:$V$155,11,FALSE)),"",VLOOKUP($A43,Kc_Info!$A$4:$V$155,11,FALSE))</f>
        <v/>
      </c>
      <c r="L43" s="94" t="str">
        <f>IF(ISNA(VLOOKUP($A43,Kc_Info!$A$4:$V$155,12,FALSE)),"",VLOOKUP($A43,Kc_Info!$A$4:$V$155,12,FALSE))</f>
        <v/>
      </c>
      <c r="M43" s="94" t="str">
        <f>IF(ISNA(VLOOKUP($A43,Kc_Info!$A$4:$V$155,13,FALSE)),"",VLOOKUP($A43,Kc_Info!$A$4:$V$155,13,FALSE))</f>
        <v/>
      </c>
      <c r="N43" s="94" t="str">
        <f>IF(ISNA(VLOOKUP($A43,Kc_Info!$A$4:$V$155,14,FALSE)),"",VLOOKUP($A43,Kc_Info!$A$4:$V$155,14,FALSE))</f>
        <v/>
      </c>
      <c r="O43" s="100" t="str">
        <f>IF(ISNA(VLOOKUP($A43,Kc_Info!$A$4:$V$155,15,FALSE)),"",VLOOKUP($A43,Kc_Info!$A$4:$V$155,15,FALSE))</f>
        <v/>
      </c>
      <c r="P43" s="100" t="str">
        <f>IF(ISNA(VLOOKUP($A43,Kc_Info!$A$4:$V$155,16,FALSE)),"",VLOOKUP($A43,Kc_Info!$A$4:$V$155,16,FALSE))</f>
        <v/>
      </c>
      <c r="Q43" s="100" t="str">
        <f>IF(ISNA(VLOOKUP($A43,Kc_Info!$A$4:$V$155,17,FALSE)),"",VLOOKUP($A43,Kc_Info!$A$4:$V$155,17,FALSE))</f>
        <v/>
      </c>
      <c r="R43" s="100" t="str">
        <f>IF(ISNA(VLOOKUP($A43,Kc_Info!$A$4:$V$155,18,FALSE)),"",VLOOKUP($A43,Kc_Info!$A$4:$V$155,18,FALSE))</f>
        <v/>
      </c>
      <c r="S43" s="100" t="str">
        <f>IF(ISNA(VLOOKUP($A43,Kc_Info!$A$4:$V$155,19,FALSE)),"",VLOOKUP($A43,Kc_Info!$A$4:$V$155,19,FALSE))</f>
        <v/>
      </c>
      <c r="T43" s="94" t="str">
        <f>IF(ISNA(VLOOKUP($A43,Kc_Info!$A$4:$V$155,20,FALSE)),"",VLOOKUP($A43,Kc_Info!$A$4:$V$155,20,FALSE))</f>
        <v/>
      </c>
      <c r="U43" s="94" t="str">
        <f>IF(ISNA(VLOOKUP($A43,Kc_Info!$A$4:$V$155,21,FALSE)),"",VLOOKUP($A43,Kc_Info!$A$4:$V$155,21,FALSE))</f>
        <v/>
      </c>
      <c r="V43" s="94" t="str">
        <f>IF(ISNA(VLOOKUP($A43,Kc_Info!$A$4:$V$155,22,FALSE)),"",VLOOKUP($A43,Kc_Info!$A$4:$V$155,22,FALSE))</f>
        <v/>
      </c>
    </row>
    <row r="44" spans="1:22">
      <c r="A44" s="92"/>
      <c r="B44" s="93" t="str">
        <f>IF(ISNA(VLOOKUP($A44,Kc_Info!$A$4:$V$155,2,FALSE)),"",VLOOKUP($A44,Kc_Info!$A$4:$V$155,2,FALSE))</f>
        <v/>
      </c>
      <c r="C44" s="94" t="str">
        <f>IF(ISNA(VLOOKUP($A44,Kc_Info!$A$4:$V$155,3,FALSE)),"",VLOOKUP($A44,Kc_Info!$A$4:$V$155,3,FALSE))</f>
        <v/>
      </c>
      <c r="D44" s="94" t="str">
        <f>IF(ISNA(VLOOKUP($A44,Kc_Info!$A$4:$V$155,4,FALSE)),"",VLOOKUP($A44,Kc_Info!$A$4:$V$155,4,FALSE))</f>
        <v/>
      </c>
      <c r="E44" s="94" t="str">
        <f>IF(ISNA(VLOOKUP($A44,Kc_Info!$A$4:$V$155,5,FALSE)),"",VLOOKUP($A44,Kc_Info!$A$4:$V$155,5,FALSE))</f>
        <v/>
      </c>
      <c r="F44" s="94" t="str">
        <f>IF(ISNA(VLOOKUP($A44,Kc_Info!$A$4:$V$155,6,FALSE)),"",VLOOKUP($A44,Kc_Info!$A$4:$V$155,6,FALSE))</f>
        <v/>
      </c>
      <c r="G44" s="101" t="str">
        <f>IF(ISNA(VLOOKUP($A44,Kc_Info!$A$4:$V$155,7,FALSE)),"",VLOOKUP($A44,Kc_Info!$A$4:$V$155,7,FALSE))</f>
        <v/>
      </c>
      <c r="H44" s="101" t="str">
        <f>IF(ISNA(VLOOKUP($A44,Kc_Info!$A$4:$V$155,8,FALSE)),"",VLOOKUP($A44,Kc_Info!$A$4:$V$155,8,FALSE))</f>
        <v/>
      </c>
      <c r="I44" s="101" t="str">
        <f>IF(ISNA(VLOOKUP($A44,Kc_Info!$A$4:$V$155,9,FALSE)),"",VLOOKUP($A44,Kc_Info!$A$4:$V$155,9,FALSE))</f>
        <v/>
      </c>
      <c r="J44" s="101" t="str">
        <f>IF(ISNA(VLOOKUP($A44,Kc_Info!$A$4:$V$155,10,FALSE)),"",VLOOKUP($A44,Kc_Info!$A$4:$V$155,10,FALSE))</f>
        <v/>
      </c>
      <c r="K44" s="94" t="str">
        <f>IF(ISNA(VLOOKUP($A44,Kc_Info!$A$4:$V$155,11,FALSE)),"",VLOOKUP($A44,Kc_Info!$A$4:$V$155,11,FALSE))</f>
        <v/>
      </c>
      <c r="L44" s="94" t="str">
        <f>IF(ISNA(VLOOKUP($A44,Kc_Info!$A$4:$V$155,12,FALSE)),"",VLOOKUP($A44,Kc_Info!$A$4:$V$155,12,FALSE))</f>
        <v/>
      </c>
      <c r="M44" s="94" t="str">
        <f>IF(ISNA(VLOOKUP($A44,Kc_Info!$A$4:$V$155,13,FALSE)),"",VLOOKUP($A44,Kc_Info!$A$4:$V$155,13,FALSE))</f>
        <v/>
      </c>
      <c r="N44" s="94" t="str">
        <f>IF(ISNA(VLOOKUP($A44,Kc_Info!$A$4:$V$155,14,FALSE)),"",VLOOKUP($A44,Kc_Info!$A$4:$V$155,14,FALSE))</f>
        <v/>
      </c>
      <c r="O44" s="100" t="str">
        <f>IF(ISNA(VLOOKUP($A44,Kc_Info!$A$4:$V$155,15,FALSE)),"",VLOOKUP($A44,Kc_Info!$A$4:$V$155,15,FALSE))</f>
        <v/>
      </c>
      <c r="P44" s="100" t="str">
        <f>IF(ISNA(VLOOKUP($A44,Kc_Info!$A$4:$V$155,16,FALSE)),"",VLOOKUP($A44,Kc_Info!$A$4:$V$155,16,FALSE))</f>
        <v/>
      </c>
      <c r="Q44" s="100" t="str">
        <f>IF(ISNA(VLOOKUP($A44,Kc_Info!$A$4:$V$155,17,FALSE)),"",VLOOKUP($A44,Kc_Info!$A$4:$V$155,17,FALSE))</f>
        <v/>
      </c>
      <c r="R44" s="100" t="str">
        <f>IF(ISNA(VLOOKUP($A44,Kc_Info!$A$4:$V$155,18,FALSE)),"",VLOOKUP($A44,Kc_Info!$A$4:$V$155,18,FALSE))</f>
        <v/>
      </c>
      <c r="S44" s="100" t="str">
        <f>IF(ISNA(VLOOKUP($A44,Kc_Info!$A$4:$V$155,19,FALSE)),"",VLOOKUP($A44,Kc_Info!$A$4:$V$155,19,FALSE))</f>
        <v/>
      </c>
      <c r="T44" s="94" t="str">
        <f>IF(ISNA(VLOOKUP($A44,Kc_Info!$A$4:$V$155,20,FALSE)),"",VLOOKUP($A44,Kc_Info!$A$4:$V$155,20,FALSE))</f>
        <v/>
      </c>
      <c r="U44" s="94" t="str">
        <f>IF(ISNA(VLOOKUP($A44,Kc_Info!$A$4:$V$155,21,FALSE)),"",VLOOKUP($A44,Kc_Info!$A$4:$V$155,21,FALSE))</f>
        <v/>
      </c>
      <c r="V44" s="94" t="str">
        <f>IF(ISNA(VLOOKUP($A44,Kc_Info!$A$4:$V$155,22,FALSE)),"",VLOOKUP($A44,Kc_Info!$A$4:$V$155,22,FALSE))</f>
        <v/>
      </c>
    </row>
    <row r="45" spans="1:22">
      <c r="A45" s="92"/>
      <c r="B45" s="93" t="str">
        <f>IF(ISNA(VLOOKUP($A45,Kc_Info!$A$4:$V$155,2,FALSE)),"",VLOOKUP($A45,Kc_Info!$A$4:$V$155,2,FALSE))</f>
        <v/>
      </c>
      <c r="C45" s="94" t="str">
        <f>IF(ISNA(VLOOKUP($A45,Kc_Info!$A$4:$V$155,3,FALSE)),"",VLOOKUP($A45,Kc_Info!$A$4:$V$155,3,FALSE))</f>
        <v/>
      </c>
      <c r="D45" s="94" t="str">
        <f>IF(ISNA(VLOOKUP($A45,Kc_Info!$A$4:$V$155,4,FALSE)),"",VLOOKUP($A45,Kc_Info!$A$4:$V$155,4,FALSE))</f>
        <v/>
      </c>
      <c r="E45" s="94" t="str">
        <f>IF(ISNA(VLOOKUP($A45,Kc_Info!$A$4:$V$155,5,FALSE)),"",VLOOKUP($A45,Kc_Info!$A$4:$V$155,5,FALSE))</f>
        <v/>
      </c>
      <c r="F45" s="94" t="str">
        <f>IF(ISNA(VLOOKUP($A45,Kc_Info!$A$4:$V$155,6,FALSE)),"",VLOOKUP($A45,Kc_Info!$A$4:$V$155,6,FALSE))</f>
        <v/>
      </c>
      <c r="G45" s="101" t="str">
        <f>IF(ISNA(VLOOKUP($A45,Kc_Info!$A$4:$V$155,7,FALSE)),"",VLOOKUP($A45,Kc_Info!$A$4:$V$155,7,FALSE))</f>
        <v/>
      </c>
      <c r="H45" s="101" t="str">
        <f>IF(ISNA(VLOOKUP($A45,Kc_Info!$A$4:$V$155,8,FALSE)),"",VLOOKUP($A45,Kc_Info!$A$4:$V$155,8,FALSE))</f>
        <v/>
      </c>
      <c r="I45" s="101" t="str">
        <f>IF(ISNA(VLOOKUP($A45,Kc_Info!$A$4:$V$155,9,FALSE)),"",VLOOKUP($A45,Kc_Info!$A$4:$V$155,9,FALSE))</f>
        <v/>
      </c>
      <c r="J45" s="101" t="str">
        <f>IF(ISNA(VLOOKUP($A45,Kc_Info!$A$4:$V$155,10,FALSE)),"",VLOOKUP($A45,Kc_Info!$A$4:$V$155,10,FALSE))</f>
        <v/>
      </c>
      <c r="K45" s="94" t="str">
        <f>IF(ISNA(VLOOKUP($A45,Kc_Info!$A$4:$V$155,11,FALSE)),"",VLOOKUP($A45,Kc_Info!$A$4:$V$155,11,FALSE))</f>
        <v/>
      </c>
      <c r="L45" s="94" t="str">
        <f>IF(ISNA(VLOOKUP($A45,Kc_Info!$A$4:$V$155,12,FALSE)),"",VLOOKUP($A45,Kc_Info!$A$4:$V$155,12,FALSE))</f>
        <v/>
      </c>
      <c r="M45" s="94" t="str">
        <f>IF(ISNA(VLOOKUP($A45,Kc_Info!$A$4:$V$155,13,FALSE)),"",VLOOKUP($A45,Kc_Info!$A$4:$V$155,13,FALSE))</f>
        <v/>
      </c>
      <c r="N45" s="94" t="str">
        <f>IF(ISNA(VLOOKUP($A45,Kc_Info!$A$4:$V$155,14,FALSE)),"",VLOOKUP($A45,Kc_Info!$A$4:$V$155,14,FALSE))</f>
        <v/>
      </c>
      <c r="O45" s="100" t="str">
        <f>IF(ISNA(VLOOKUP($A45,Kc_Info!$A$4:$V$155,15,FALSE)),"",VLOOKUP($A45,Kc_Info!$A$4:$V$155,15,FALSE))</f>
        <v/>
      </c>
      <c r="P45" s="100" t="str">
        <f>IF(ISNA(VLOOKUP($A45,Kc_Info!$A$4:$V$155,16,FALSE)),"",VLOOKUP($A45,Kc_Info!$A$4:$V$155,16,FALSE))</f>
        <v/>
      </c>
      <c r="Q45" s="100" t="str">
        <f>IF(ISNA(VLOOKUP($A45,Kc_Info!$A$4:$V$155,17,FALSE)),"",VLOOKUP($A45,Kc_Info!$A$4:$V$155,17,FALSE))</f>
        <v/>
      </c>
      <c r="R45" s="100" t="str">
        <f>IF(ISNA(VLOOKUP($A45,Kc_Info!$A$4:$V$155,18,FALSE)),"",VLOOKUP($A45,Kc_Info!$A$4:$V$155,18,FALSE))</f>
        <v/>
      </c>
      <c r="S45" s="100" t="str">
        <f>IF(ISNA(VLOOKUP($A45,Kc_Info!$A$4:$V$155,19,FALSE)),"",VLOOKUP($A45,Kc_Info!$A$4:$V$155,19,FALSE))</f>
        <v/>
      </c>
      <c r="T45" s="94" t="str">
        <f>IF(ISNA(VLOOKUP($A45,Kc_Info!$A$4:$V$155,20,FALSE)),"",VLOOKUP($A45,Kc_Info!$A$4:$V$155,20,FALSE))</f>
        <v/>
      </c>
      <c r="U45" s="94" t="str">
        <f>IF(ISNA(VLOOKUP($A45,Kc_Info!$A$4:$V$155,21,FALSE)),"",VLOOKUP($A45,Kc_Info!$A$4:$V$155,21,FALSE))</f>
        <v/>
      </c>
      <c r="V45" s="94" t="str">
        <f>IF(ISNA(VLOOKUP($A45,Kc_Info!$A$4:$V$155,22,FALSE)),"",VLOOKUP($A45,Kc_Info!$A$4:$V$155,22,FALSE))</f>
        <v/>
      </c>
    </row>
    <row r="46" spans="1:22">
      <c r="A46" s="92"/>
      <c r="B46" s="93" t="str">
        <f>IF(ISNA(VLOOKUP($A46,Kc_Info!$A$4:$V$155,2,FALSE)),"",VLOOKUP($A46,Kc_Info!$A$4:$V$155,2,FALSE))</f>
        <v/>
      </c>
      <c r="C46" s="94" t="str">
        <f>IF(ISNA(VLOOKUP($A46,Kc_Info!$A$4:$V$155,3,FALSE)),"",VLOOKUP($A46,Kc_Info!$A$4:$V$155,3,FALSE))</f>
        <v/>
      </c>
      <c r="D46" s="94" t="str">
        <f>IF(ISNA(VLOOKUP($A46,Kc_Info!$A$4:$V$155,4,FALSE)),"",VLOOKUP($A46,Kc_Info!$A$4:$V$155,4,FALSE))</f>
        <v/>
      </c>
      <c r="E46" s="94" t="str">
        <f>IF(ISNA(VLOOKUP($A46,Kc_Info!$A$4:$V$155,5,FALSE)),"",VLOOKUP($A46,Kc_Info!$A$4:$V$155,5,FALSE))</f>
        <v/>
      </c>
      <c r="F46" s="94" t="str">
        <f>IF(ISNA(VLOOKUP($A46,Kc_Info!$A$4:$V$155,6,FALSE)),"",VLOOKUP($A46,Kc_Info!$A$4:$V$155,6,FALSE))</f>
        <v/>
      </c>
      <c r="G46" s="101" t="str">
        <f>IF(ISNA(VLOOKUP($A46,Kc_Info!$A$4:$V$155,7,FALSE)),"",VLOOKUP($A46,Kc_Info!$A$4:$V$155,7,FALSE))</f>
        <v/>
      </c>
      <c r="H46" s="101" t="str">
        <f>IF(ISNA(VLOOKUP($A46,Kc_Info!$A$4:$V$155,8,FALSE)),"",VLOOKUP($A46,Kc_Info!$A$4:$V$155,8,FALSE))</f>
        <v/>
      </c>
      <c r="I46" s="101" t="str">
        <f>IF(ISNA(VLOOKUP($A46,Kc_Info!$A$4:$V$155,9,FALSE)),"",VLOOKUP($A46,Kc_Info!$A$4:$V$155,9,FALSE))</f>
        <v/>
      </c>
      <c r="J46" s="101" t="str">
        <f>IF(ISNA(VLOOKUP($A46,Kc_Info!$A$4:$V$155,10,FALSE)),"",VLOOKUP($A46,Kc_Info!$A$4:$V$155,10,FALSE))</f>
        <v/>
      </c>
      <c r="K46" s="94" t="str">
        <f>IF(ISNA(VLOOKUP($A46,Kc_Info!$A$4:$V$155,11,FALSE)),"",VLOOKUP($A46,Kc_Info!$A$4:$V$155,11,FALSE))</f>
        <v/>
      </c>
      <c r="L46" s="94" t="str">
        <f>IF(ISNA(VLOOKUP($A46,Kc_Info!$A$4:$V$155,12,FALSE)),"",VLOOKUP($A46,Kc_Info!$A$4:$V$155,12,FALSE))</f>
        <v/>
      </c>
      <c r="M46" s="94" t="str">
        <f>IF(ISNA(VLOOKUP($A46,Kc_Info!$A$4:$V$155,13,FALSE)),"",VLOOKUP($A46,Kc_Info!$A$4:$V$155,13,FALSE))</f>
        <v/>
      </c>
      <c r="N46" s="94" t="str">
        <f>IF(ISNA(VLOOKUP($A46,Kc_Info!$A$4:$V$155,14,FALSE)),"",VLOOKUP($A46,Kc_Info!$A$4:$V$155,14,FALSE))</f>
        <v/>
      </c>
      <c r="O46" s="100" t="str">
        <f>IF(ISNA(VLOOKUP($A46,Kc_Info!$A$4:$V$155,15,FALSE)),"",VLOOKUP($A46,Kc_Info!$A$4:$V$155,15,FALSE))</f>
        <v/>
      </c>
      <c r="P46" s="100" t="str">
        <f>IF(ISNA(VLOOKUP($A46,Kc_Info!$A$4:$V$155,16,FALSE)),"",VLOOKUP($A46,Kc_Info!$A$4:$V$155,16,FALSE))</f>
        <v/>
      </c>
      <c r="Q46" s="100" t="str">
        <f>IF(ISNA(VLOOKUP($A46,Kc_Info!$A$4:$V$155,17,FALSE)),"",VLOOKUP($A46,Kc_Info!$A$4:$V$155,17,FALSE))</f>
        <v/>
      </c>
      <c r="R46" s="100" t="str">
        <f>IF(ISNA(VLOOKUP($A46,Kc_Info!$A$4:$V$155,18,FALSE)),"",VLOOKUP($A46,Kc_Info!$A$4:$V$155,18,FALSE))</f>
        <v/>
      </c>
      <c r="S46" s="100" t="str">
        <f>IF(ISNA(VLOOKUP($A46,Kc_Info!$A$4:$V$155,19,FALSE)),"",VLOOKUP($A46,Kc_Info!$A$4:$V$155,19,FALSE))</f>
        <v/>
      </c>
      <c r="T46" s="94" t="str">
        <f>IF(ISNA(VLOOKUP($A46,Kc_Info!$A$4:$V$155,20,FALSE)),"",VLOOKUP($A46,Kc_Info!$A$4:$V$155,20,FALSE))</f>
        <v/>
      </c>
      <c r="U46" s="94" t="str">
        <f>IF(ISNA(VLOOKUP($A46,Kc_Info!$A$4:$V$155,21,FALSE)),"",VLOOKUP($A46,Kc_Info!$A$4:$V$155,21,FALSE))</f>
        <v/>
      </c>
      <c r="V46" s="94" t="str">
        <f>IF(ISNA(VLOOKUP($A46,Kc_Info!$A$4:$V$155,22,FALSE)),"",VLOOKUP($A46,Kc_Info!$A$4:$V$155,22,FALSE))</f>
        <v/>
      </c>
    </row>
    <row r="47" spans="1:22">
      <c r="A47" s="92"/>
      <c r="B47" s="93" t="str">
        <f>IF(ISNA(VLOOKUP($A47,Kc_Info!$A$4:$V$155,2,FALSE)),"",VLOOKUP($A47,Kc_Info!$A$4:$V$155,2,FALSE))</f>
        <v/>
      </c>
      <c r="C47" s="94" t="str">
        <f>IF(ISNA(VLOOKUP($A47,Kc_Info!$A$4:$V$155,3,FALSE)),"",VLOOKUP($A47,Kc_Info!$A$4:$V$155,3,FALSE))</f>
        <v/>
      </c>
      <c r="D47" s="94" t="str">
        <f>IF(ISNA(VLOOKUP($A47,Kc_Info!$A$4:$V$155,4,FALSE)),"",VLOOKUP($A47,Kc_Info!$A$4:$V$155,4,FALSE))</f>
        <v/>
      </c>
      <c r="E47" s="94" t="str">
        <f>IF(ISNA(VLOOKUP($A47,Kc_Info!$A$4:$V$155,5,FALSE)),"",VLOOKUP($A47,Kc_Info!$A$4:$V$155,5,FALSE))</f>
        <v/>
      </c>
      <c r="F47" s="94" t="str">
        <f>IF(ISNA(VLOOKUP($A47,Kc_Info!$A$4:$V$155,6,FALSE)),"",VLOOKUP($A47,Kc_Info!$A$4:$V$155,6,FALSE))</f>
        <v/>
      </c>
      <c r="G47" s="101" t="str">
        <f>IF(ISNA(VLOOKUP($A47,Kc_Info!$A$4:$V$155,7,FALSE)),"",VLOOKUP($A47,Kc_Info!$A$4:$V$155,7,FALSE))</f>
        <v/>
      </c>
      <c r="H47" s="101" t="str">
        <f>IF(ISNA(VLOOKUP($A47,Kc_Info!$A$4:$V$155,8,FALSE)),"",VLOOKUP($A47,Kc_Info!$A$4:$V$155,8,FALSE))</f>
        <v/>
      </c>
      <c r="I47" s="101" t="str">
        <f>IF(ISNA(VLOOKUP($A47,Kc_Info!$A$4:$V$155,9,FALSE)),"",VLOOKUP($A47,Kc_Info!$A$4:$V$155,9,FALSE))</f>
        <v/>
      </c>
      <c r="J47" s="101" t="str">
        <f>IF(ISNA(VLOOKUP($A47,Kc_Info!$A$4:$V$155,10,FALSE)),"",VLOOKUP($A47,Kc_Info!$A$4:$V$155,10,FALSE))</f>
        <v/>
      </c>
      <c r="K47" s="94" t="str">
        <f>IF(ISNA(VLOOKUP($A47,Kc_Info!$A$4:$V$155,11,FALSE)),"",VLOOKUP($A47,Kc_Info!$A$4:$V$155,11,FALSE))</f>
        <v/>
      </c>
      <c r="L47" s="94" t="str">
        <f>IF(ISNA(VLOOKUP($A47,Kc_Info!$A$4:$V$155,12,FALSE)),"",VLOOKUP($A47,Kc_Info!$A$4:$V$155,12,FALSE))</f>
        <v/>
      </c>
      <c r="M47" s="94" t="str">
        <f>IF(ISNA(VLOOKUP($A47,Kc_Info!$A$4:$V$155,13,FALSE)),"",VLOOKUP($A47,Kc_Info!$A$4:$V$155,13,FALSE))</f>
        <v/>
      </c>
      <c r="N47" s="94" t="str">
        <f>IF(ISNA(VLOOKUP($A47,Kc_Info!$A$4:$V$155,14,FALSE)),"",VLOOKUP($A47,Kc_Info!$A$4:$V$155,14,FALSE))</f>
        <v/>
      </c>
      <c r="O47" s="100" t="str">
        <f>IF(ISNA(VLOOKUP($A47,Kc_Info!$A$4:$V$155,15,FALSE)),"",VLOOKUP($A47,Kc_Info!$A$4:$V$155,15,FALSE))</f>
        <v/>
      </c>
      <c r="P47" s="100" t="str">
        <f>IF(ISNA(VLOOKUP($A47,Kc_Info!$A$4:$V$155,16,FALSE)),"",VLOOKUP($A47,Kc_Info!$A$4:$V$155,16,FALSE))</f>
        <v/>
      </c>
      <c r="Q47" s="100" t="str">
        <f>IF(ISNA(VLOOKUP($A47,Kc_Info!$A$4:$V$155,17,FALSE)),"",VLOOKUP($A47,Kc_Info!$A$4:$V$155,17,FALSE))</f>
        <v/>
      </c>
      <c r="R47" s="100" t="str">
        <f>IF(ISNA(VLOOKUP($A47,Kc_Info!$A$4:$V$155,18,FALSE)),"",VLOOKUP($A47,Kc_Info!$A$4:$V$155,18,FALSE))</f>
        <v/>
      </c>
      <c r="S47" s="100" t="str">
        <f>IF(ISNA(VLOOKUP($A47,Kc_Info!$A$4:$V$155,19,FALSE)),"",VLOOKUP($A47,Kc_Info!$A$4:$V$155,19,FALSE))</f>
        <v/>
      </c>
      <c r="T47" s="94" t="str">
        <f>IF(ISNA(VLOOKUP($A47,Kc_Info!$A$4:$V$155,20,FALSE)),"",VLOOKUP($A47,Kc_Info!$A$4:$V$155,20,FALSE))</f>
        <v/>
      </c>
      <c r="U47" s="94" t="str">
        <f>IF(ISNA(VLOOKUP($A47,Kc_Info!$A$4:$V$155,21,FALSE)),"",VLOOKUP($A47,Kc_Info!$A$4:$V$155,21,FALSE))</f>
        <v/>
      </c>
      <c r="V47" s="94" t="str">
        <f>IF(ISNA(VLOOKUP($A47,Kc_Info!$A$4:$V$155,22,FALSE)),"",VLOOKUP($A47,Kc_Info!$A$4:$V$155,22,FALSE))</f>
        <v/>
      </c>
    </row>
    <row r="48" spans="1:22">
      <c r="A48" s="92"/>
      <c r="B48" s="93" t="str">
        <f>IF(ISNA(VLOOKUP($A48,Kc_Info!$A$4:$V$155,2,FALSE)),"",VLOOKUP($A48,Kc_Info!$A$4:$V$155,2,FALSE))</f>
        <v/>
      </c>
      <c r="C48" s="94" t="str">
        <f>IF(ISNA(VLOOKUP($A48,Kc_Info!$A$4:$V$155,3,FALSE)),"",VLOOKUP($A48,Kc_Info!$A$4:$V$155,3,FALSE))</f>
        <v/>
      </c>
      <c r="D48" s="94" t="str">
        <f>IF(ISNA(VLOOKUP($A48,Kc_Info!$A$4:$V$155,4,FALSE)),"",VLOOKUP($A48,Kc_Info!$A$4:$V$155,4,FALSE))</f>
        <v/>
      </c>
      <c r="E48" s="94" t="str">
        <f>IF(ISNA(VLOOKUP($A48,Kc_Info!$A$4:$V$155,5,FALSE)),"",VLOOKUP($A48,Kc_Info!$A$4:$V$155,5,FALSE))</f>
        <v/>
      </c>
      <c r="F48" s="94" t="str">
        <f>IF(ISNA(VLOOKUP($A48,Kc_Info!$A$4:$V$155,6,FALSE)),"",VLOOKUP($A48,Kc_Info!$A$4:$V$155,6,FALSE))</f>
        <v/>
      </c>
      <c r="G48" s="101" t="str">
        <f>IF(ISNA(VLOOKUP($A48,Kc_Info!$A$4:$V$155,7,FALSE)),"",VLOOKUP($A48,Kc_Info!$A$4:$V$155,7,FALSE))</f>
        <v/>
      </c>
      <c r="H48" s="101" t="str">
        <f>IF(ISNA(VLOOKUP($A48,Kc_Info!$A$4:$V$155,8,FALSE)),"",VLOOKUP($A48,Kc_Info!$A$4:$V$155,8,FALSE))</f>
        <v/>
      </c>
      <c r="I48" s="101" t="str">
        <f>IF(ISNA(VLOOKUP($A48,Kc_Info!$A$4:$V$155,9,FALSE)),"",VLOOKUP($A48,Kc_Info!$A$4:$V$155,9,FALSE))</f>
        <v/>
      </c>
      <c r="J48" s="101" t="str">
        <f>IF(ISNA(VLOOKUP($A48,Kc_Info!$A$4:$V$155,10,FALSE)),"",VLOOKUP($A48,Kc_Info!$A$4:$V$155,10,FALSE))</f>
        <v/>
      </c>
      <c r="K48" s="94" t="str">
        <f>IF(ISNA(VLOOKUP($A48,Kc_Info!$A$4:$V$155,11,FALSE)),"",VLOOKUP($A48,Kc_Info!$A$4:$V$155,11,FALSE))</f>
        <v/>
      </c>
      <c r="L48" s="94" t="str">
        <f>IF(ISNA(VLOOKUP($A48,Kc_Info!$A$4:$V$155,12,FALSE)),"",VLOOKUP($A48,Kc_Info!$A$4:$V$155,12,FALSE))</f>
        <v/>
      </c>
      <c r="M48" s="94" t="str">
        <f>IF(ISNA(VLOOKUP($A48,Kc_Info!$A$4:$V$155,13,FALSE)),"",VLOOKUP($A48,Kc_Info!$A$4:$V$155,13,FALSE))</f>
        <v/>
      </c>
      <c r="N48" s="94" t="str">
        <f>IF(ISNA(VLOOKUP($A48,Kc_Info!$A$4:$V$155,14,FALSE)),"",VLOOKUP($A48,Kc_Info!$A$4:$V$155,14,FALSE))</f>
        <v/>
      </c>
      <c r="O48" s="100" t="str">
        <f>IF(ISNA(VLOOKUP($A48,Kc_Info!$A$4:$V$155,15,FALSE)),"",VLOOKUP($A48,Kc_Info!$A$4:$V$155,15,FALSE))</f>
        <v/>
      </c>
      <c r="P48" s="100" t="str">
        <f>IF(ISNA(VLOOKUP($A48,Kc_Info!$A$4:$V$155,16,FALSE)),"",VLOOKUP($A48,Kc_Info!$A$4:$V$155,16,FALSE))</f>
        <v/>
      </c>
      <c r="Q48" s="100" t="str">
        <f>IF(ISNA(VLOOKUP($A48,Kc_Info!$A$4:$V$155,17,FALSE)),"",VLOOKUP($A48,Kc_Info!$A$4:$V$155,17,FALSE))</f>
        <v/>
      </c>
      <c r="R48" s="100" t="str">
        <f>IF(ISNA(VLOOKUP($A48,Kc_Info!$A$4:$V$155,18,FALSE)),"",VLOOKUP($A48,Kc_Info!$A$4:$V$155,18,FALSE))</f>
        <v/>
      </c>
      <c r="S48" s="100" t="str">
        <f>IF(ISNA(VLOOKUP($A48,Kc_Info!$A$4:$V$155,19,FALSE)),"",VLOOKUP($A48,Kc_Info!$A$4:$V$155,19,FALSE))</f>
        <v/>
      </c>
      <c r="T48" s="94" t="str">
        <f>IF(ISNA(VLOOKUP($A48,Kc_Info!$A$4:$V$155,20,FALSE)),"",VLOOKUP($A48,Kc_Info!$A$4:$V$155,20,FALSE))</f>
        <v/>
      </c>
      <c r="U48" s="94" t="str">
        <f>IF(ISNA(VLOOKUP($A48,Kc_Info!$A$4:$V$155,21,FALSE)),"",VLOOKUP($A48,Kc_Info!$A$4:$V$155,21,FALSE))</f>
        <v/>
      </c>
      <c r="V48" s="94" t="str">
        <f>IF(ISNA(VLOOKUP($A48,Kc_Info!$A$4:$V$155,22,FALSE)),"",VLOOKUP($A48,Kc_Info!$A$4:$V$155,22,FALSE))</f>
        <v/>
      </c>
    </row>
    <row r="49" spans="1:22">
      <c r="A49" s="92"/>
      <c r="B49" s="93" t="str">
        <f>IF(ISNA(VLOOKUP($A49,Kc_Info!$A$4:$V$155,2,FALSE)),"",VLOOKUP($A49,Kc_Info!$A$4:$V$155,2,FALSE))</f>
        <v/>
      </c>
      <c r="C49" s="94" t="str">
        <f>IF(ISNA(VLOOKUP($A49,Kc_Info!$A$4:$V$155,3,FALSE)),"",VLOOKUP($A49,Kc_Info!$A$4:$V$155,3,FALSE))</f>
        <v/>
      </c>
      <c r="D49" s="94" t="str">
        <f>IF(ISNA(VLOOKUP($A49,Kc_Info!$A$4:$V$155,4,FALSE)),"",VLOOKUP($A49,Kc_Info!$A$4:$V$155,4,FALSE))</f>
        <v/>
      </c>
      <c r="E49" s="94" t="str">
        <f>IF(ISNA(VLOOKUP($A49,Kc_Info!$A$4:$V$155,5,FALSE)),"",VLOOKUP($A49,Kc_Info!$A$4:$V$155,5,FALSE))</f>
        <v/>
      </c>
      <c r="F49" s="94" t="str">
        <f>IF(ISNA(VLOOKUP($A49,Kc_Info!$A$4:$V$155,6,FALSE)),"",VLOOKUP($A49,Kc_Info!$A$4:$V$155,6,FALSE))</f>
        <v/>
      </c>
      <c r="G49" s="101" t="str">
        <f>IF(ISNA(VLOOKUP($A49,Kc_Info!$A$4:$V$155,7,FALSE)),"",VLOOKUP($A49,Kc_Info!$A$4:$V$155,7,FALSE))</f>
        <v/>
      </c>
      <c r="H49" s="101" t="str">
        <f>IF(ISNA(VLOOKUP($A49,Kc_Info!$A$4:$V$155,8,FALSE)),"",VLOOKUP($A49,Kc_Info!$A$4:$V$155,8,FALSE))</f>
        <v/>
      </c>
      <c r="I49" s="101" t="str">
        <f>IF(ISNA(VLOOKUP($A49,Kc_Info!$A$4:$V$155,9,FALSE)),"",VLOOKUP($A49,Kc_Info!$A$4:$V$155,9,FALSE))</f>
        <v/>
      </c>
      <c r="J49" s="101" t="str">
        <f>IF(ISNA(VLOOKUP($A49,Kc_Info!$A$4:$V$155,10,FALSE)),"",VLOOKUP($A49,Kc_Info!$A$4:$V$155,10,FALSE))</f>
        <v/>
      </c>
      <c r="K49" s="94" t="str">
        <f>IF(ISNA(VLOOKUP($A49,Kc_Info!$A$4:$V$155,11,FALSE)),"",VLOOKUP($A49,Kc_Info!$A$4:$V$155,11,FALSE))</f>
        <v/>
      </c>
      <c r="L49" s="94" t="str">
        <f>IF(ISNA(VLOOKUP($A49,Kc_Info!$A$4:$V$155,12,FALSE)),"",VLOOKUP($A49,Kc_Info!$A$4:$V$155,12,FALSE))</f>
        <v/>
      </c>
      <c r="M49" s="94" t="str">
        <f>IF(ISNA(VLOOKUP($A49,Kc_Info!$A$4:$V$155,13,FALSE)),"",VLOOKUP($A49,Kc_Info!$A$4:$V$155,13,FALSE))</f>
        <v/>
      </c>
      <c r="N49" s="94" t="str">
        <f>IF(ISNA(VLOOKUP($A49,Kc_Info!$A$4:$V$155,14,FALSE)),"",VLOOKUP($A49,Kc_Info!$A$4:$V$155,14,FALSE))</f>
        <v/>
      </c>
      <c r="O49" s="100" t="str">
        <f>IF(ISNA(VLOOKUP($A49,Kc_Info!$A$4:$V$155,15,FALSE)),"",VLOOKUP($A49,Kc_Info!$A$4:$V$155,15,FALSE))</f>
        <v/>
      </c>
      <c r="P49" s="100" t="str">
        <f>IF(ISNA(VLOOKUP($A49,Kc_Info!$A$4:$V$155,16,FALSE)),"",VLOOKUP($A49,Kc_Info!$A$4:$V$155,16,FALSE))</f>
        <v/>
      </c>
      <c r="Q49" s="100" t="str">
        <f>IF(ISNA(VLOOKUP($A49,Kc_Info!$A$4:$V$155,17,FALSE)),"",VLOOKUP($A49,Kc_Info!$A$4:$V$155,17,FALSE))</f>
        <v/>
      </c>
      <c r="R49" s="100" t="str">
        <f>IF(ISNA(VLOOKUP($A49,Kc_Info!$A$4:$V$155,18,FALSE)),"",VLOOKUP($A49,Kc_Info!$A$4:$V$155,18,FALSE))</f>
        <v/>
      </c>
      <c r="S49" s="100" t="str">
        <f>IF(ISNA(VLOOKUP($A49,Kc_Info!$A$4:$V$155,19,FALSE)),"",VLOOKUP($A49,Kc_Info!$A$4:$V$155,19,FALSE))</f>
        <v/>
      </c>
      <c r="T49" s="94" t="str">
        <f>IF(ISNA(VLOOKUP($A49,Kc_Info!$A$4:$V$155,20,FALSE)),"",VLOOKUP($A49,Kc_Info!$A$4:$V$155,20,FALSE))</f>
        <v/>
      </c>
      <c r="U49" s="94" t="str">
        <f>IF(ISNA(VLOOKUP($A49,Kc_Info!$A$4:$V$155,21,FALSE)),"",VLOOKUP($A49,Kc_Info!$A$4:$V$155,21,FALSE))</f>
        <v/>
      </c>
      <c r="V49" s="94" t="str">
        <f>IF(ISNA(VLOOKUP($A49,Kc_Info!$A$4:$V$155,22,FALSE)),"",VLOOKUP($A49,Kc_Info!$A$4:$V$155,22,FALSE))</f>
        <v/>
      </c>
    </row>
    <row r="50" spans="1:22">
      <c r="A50" s="92"/>
      <c r="B50" s="93" t="str">
        <f>IF(ISNA(VLOOKUP($A50,Kc_Info!$A$4:$V$155,2,FALSE)),"",VLOOKUP($A50,Kc_Info!$A$4:$V$155,2,FALSE))</f>
        <v/>
      </c>
      <c r="C50" s="94" t="str">
        <f>IF(ISNA(VLOOKUP($A50,Kc_Info!$A$4:$V$155,3,FALSE)),"",VLOOKUP($A50,Kc_Info!$A$4:$V$155,3,FALSE))</f>
        <v/>
      </c>
      <c r="D50" s="94" t="str">
        <f>IF(ISNA(VLOOKUP($A50,Kc_Info!$A$4:$V$155,4,FALSE)),"",VLOOKUP($A50,Kc_Info!$A$4:$V$155,4,FALSE))</f>
        <v/>
      </c>
      <c r="E50" s="94" t="str">
        <f>IF(ISNA(VLOOKUP($A50,Kc_Info!$A$4:$V$155,5,FALSE)),"",VLOOKUP($A50,Kc_Info!$A$4:$V$155,5,FALSE))</f>
        <v/>
      </c>
      <c r="F50" s="94" t="str">
        <f>IF(ISNA(VLOOKUP($A50,Kc_Info!$A$4:$V$155,6,FALSE)),"",VLOOKUP($A50,Kc_Info!$A$4:$V$155,6,FALSE))</f>
        <v/>
      </c>
      <c r="G50" s="101" t="str">
        <f>IF(ISNA(VLOOKUP($A50,Kc_Info!$A$4:$V$155,7,FALSE)),"",VLOOKUP($A50,Kc_Info!$A$4:$V$155,7,FALSE))</f>
        <v/>
      </c>
      <c r="H50" s="101" t="str">
        <f>IF(ISNA(VLOOKUP($A50,Kc_Info!$A$4:$V$155,8,FALSE)),"",VLOOKUP($A50,Kc_Info!$A$4:$V$155,8,FALSE))</f>
        <v/>
      </c>
      <c r="I50" s="101" t="str">
        <f>IF(ISNA(VLOOKUP($A50,Kc_Info!$A$4:$V$155,9,FALSE)),"",VLOOKUP($A50,Kc_Info!$A$4:$V$155,9,FALSE))</f>
        <v/>
      </c>
      <c r="J50" s="101" t="str">
        <f>IF(ISNA(VLOOKUP($A50,Kc_Info!$A$4:$V$155,10,FALSE)),"",VLOOKUP($A50,Kc_Info!$A$4:$V$155,10,FALSE))</f>
        <v/>
      </c>
      <c r="K50" s="94" t="str">
        <f>IF(ISNA(VLOOKUP($A50,Kc_Info!$A$4:$V$155,11,FALSE)),"",VLOOKUP($A50,Kc_Info!$A$4:$V$155,11,FALSE))</f>
        <v/>
      </c>
      <c r="L50" s="94" t="str">
        <f>IF(ISNA(VLOOKUP($A50,Kc_Info!$A$4:$V$155,12,FALSE)),"",VLOOKUP($A50,Kc_Info!$A$4:$V$155,12,FALSE))</f>
        <v/>
      </c>
      <c r="M50" s="94" t="str">
        <f>IF(ISNA(VLOOKUP($A50,Kc_Info!$A$4:$V$155,13,FALSE)),"",VLOOKUP($A50,Kc_Info!$A$4:$V$155,13,FALSE))</f>
        <v/>
      </c>
      <c r="N50" s="94" t="str">
        <f>IF(ISNA(VLOOKUP($A50,Kc_Info!$A$4:$V$155,14,FALSE)),"",VLOOKUP($A50,Kc_Info!$A$4:$V$155,14,FALSE))</f>
        <v/>
      </c>
      <c r="O50" s="100" t="str">
        <f>IF(ISNA(VLOOKUP($A50,Kc_Info!$A$4:$V$155,15,FALSE)),"",VLOOKUP($A50,Kc_Info!$A$4:$V$155,15,FALSE))</f>
        <v/>
      </c>
      <c r="P50" s="100" t="str">
        <f>IF(ISNA(VLOOKUP($A50,Kc_Info!$A$4:$V$155,16,FALSE)),"",VLOOKUP($A50,Kc_Info!$A$4:$V$155,16,FALSE))</f>
        <v/>
      </c>
      <c r="Q50" s="100" t="str">
        <f>IF(ISNA(VLOOKUP($A50,Kc_Info!$A$4:$V$155,17,FALSE)),"",VLOOKUP($A50,Kc_Info!$A$4:$V$155,17,FALSE))</f>
        <v/>
      </c>
      <c r="R50" s="100" t="str">
        <f>IF(ISNA(VLOOKUP($A50,Kc_Info!$A$4:$V$155,18,FALSE)),"",VLOOKUP($A50,Kc_Info!$A$4:$V$155,18,FALSE))</f>
        <v/>
      </c>
      <c r="S50" s="100" t="str">
        <f>IF(ISNA(VLOOKUP($A50,Kc_Info!$A$4:$V$155,19,FALSE)),"",VLOOKUP($A50,Kc_Info!$A$4:$V$155,19,FALSE))</f>
        <v/>
      </c>
      <c r="T50" s="94" t="str">
        <f>IF(ISNA(VLOOKUP($A50,Kc_Info!$A$4:$V$155,20,FALSE)),"",VLOOKUP($A50,Kc_Info!$A$4:$V$155,20,FALSE))</f>
        <v/>
      </c>
      <c r="U50" s="94" t="str">
        <f>IF(ISNA(VLOOKUP($A50,Kc_Info!$A$4:$V$155,21,FALSE)),"",VLOOKUP($A50,Kc_Info!$A$4:$V$155,21,FALSE))</f>
        <v/>
      </c>
      <c r="V50" s="94" t="str">
        <f>IF(ISNA(VLOOKUP($A50,Kc_Info!$A$4:$V$155,22,FALSE)),"",VLOOKUP($A50,Kc_Info!$A$4:$V$155,22,FALSE))</f>
        <v/>
      </c>
    </row>
    <row r="51" spans="1:22">
      <c r="A51" s="92"/>
      <c r="B51" s="93" t="str">
        <f>IF(ISNA(VLOOKUP($A51,Kc_Info!$A$4:$V$155,2,FALSE)),"",VLOOKUP($A51,Kc_Info!$A$4:$V$155,2,FALSE))</f>
        <v/>
      </c>
      <c r="C51" s="94" t="str">
        <f>IF(ISNA(VLOOKUP($A51,Kc_Info!$A$4:$V$155,3,FALSE)),"",VLOOKUP($A51,Kc_Info!$A$4:$V$155,3,FALSE))</f>
        <v/>
      </c>
      <c r="D51" s="94" t="str">
        <f>IF(ISNA(VLOOKUP($A51,Kc_Info!$A$4:$V$155,4,FALSE)),"",VLOOKUP($A51,Kc_Info!$A$4:$V$155,4,FALSE))</f>
        <v/>
      </c>
      <c r="E51" s="94" t="str">
        <f>IF(ISNA(VLOOKUP($A51,Kc_Info!$A$4:$V$155,5,FALSE)),"",VLOOKUP($A51,Kc_Info!$A$4:$V$155,5,FALSE))</f>
        <v/>
      </c>
      <c r="F51" s="94" t="str">
        <f>IF(ISNA(VLOOKUP($A51,Kc_Info!$A$4:$V$155,6,FALSE)),"",VLOOKUP($A51,Kc_Info!$A$4:$V$155,6,FALSE))</f>
        <v/>
      </c>
      <c r="G51" s="101" t="str">
        <f>IF(ISNA(VLOOKUP($A51,Kc_Info!$A$4:$V$155,7,FALSE)),"",VLOOKUP($A51,Kc_Info!$A$4:$V$155,7,FALSE))</f>
        <v/>
      </c>
      <c r="H51" s="101" t="str">
        <f>IF(ISNA(VLOOKUP($A51,Kc_Info!$A$4:$V$155,8,FALSE)),"",VLOOKUP($A51,Kc_Info!$A$4:$V$155,8,FALSE))</f>
        <v/>
      </c>
      <c r="I51" s="101" t="str">
        <f>IF(ISNA(VLOOKUP($A51,Kc_Info!$A$4:$V$155,9,FALSE)),"",VLOOKUP($A51,Kc_Info!$A$4:$V$155,9,FALSE))</f>
        <v/>
      </c>
      <c r="J51" s="101" t="str">
        <f>IF(ISNA(VLOOKUP($A51,Kc_Info!$A$4:$V$155,10,FALSE)),"",VLOOKUP($A51,Kc_Info!$A$4:$V$155,10,FALSE))</f>
        <v/>
      </c>
      <c r="K51" s="94" t="str">
        <f>IF(ISNA(VLOOKUP($A51,Kc_Info!$A$4:$V$155,11,FALSE)),"",VLOOKUP($A51,Kc_Info!$A$4:$V$155,11,FALSE))</f>
        <v/>
      </c>
      <c r="L51" s="94" t="str">
        <f>IF(ISNA(VLOOKUP($A51,Kc_Info!$A$4:$V$155,12,FALSE)),"",VLOOKUP($A51,Kc_Info!$A$4:$V$155,12,FALSE))</f>
        <v/>
      </c>
      <c r="M51" s="94" t="str">
        <f>IF(ISNA(VLOOKUP($A51,Kc_Info!$A$4:$V$155,13,FALSE)),"",VLOOKUP($A51,Kc_Info!$A$4:$V$155,13,FALSE))</f>
        <v/>
      </c>
      <c r="N51" s="94" t="str">
        <f>IF(ISNA(VLOOKUP($A51,Kc_Info!$A$4:$V$155,14,FALSE)),"",VLOOKUP($A51,Kc_Info!$A$4:$V$155,14,FALSE))</f>
        <v/>
      </c>
      <c r="O51" s="100" t="str">
        <f>IF(ISNA(VLOOKUP($A51,Kc_Info!$A$4:$V$155,15,FALSE)),"",VLOOKUP($A51,Kc_Info!$A$4:$V$155,15,FALSE))</f>
        <v/>
      </c>
      <c r="P51" s="100" t="str">
        <f>IF(ISNA(VLOOKUP($A51,Kc_Info!$A$4:$V$155,16,FALSE)),"",VLOOKUP($A51,Kc_Info!$A$4:$V$155,16,FALSE))</f>
        <v/>
      </c>
      <c r="Q51" s="100" t="str">
        <f>IF(ISNA(VLOOKUP($A51,Kc_Info!$A$4:$V$155,17,FALSE)),"",VLOOKUP($A51,Kc_Info!$A$4:$V$155,17,FALSE))</f>
        <v/>
      </c>
      <c r="R51" s="100" t="str">
        <f>IF(ISNA(VLOOKUP($A51,Kc_Info!$A$4:$V$155,18,FALSE)),"",VLOOKUP($A51,Kc_Info!$A$4:$V$155,18,FALSE))</f>
        <v/>
      </c>
      <c r="S51" s="100" t="str">
        <f>IF(ISNA(VLOOKUP($A51,Kc_Info!$A$4:$V$155,19,FALSE)),"",VLOOKUP($A51,Kc_Info!$A$4:$V$155,19,FALSE))</f>
        <v/>
      </c>
      <c r="T51" s="94" t="str">
        <f>IF(ISNA(VLOOKUP($A51,Kc_Info!$A$4:$V$155,20,FALSE)),"",VLOOKUP($A51,Kc_Info!$A$4:$V$155,20,FALSE))</f>
        <v/>
      </c>
      <c r="U51" s="94" t="str">
        <f>IF(ISNA(VLOOKUP($A51,Kc_Info!$A$4:$V$155,21,FALSE)),"",VLOOKUP($A51,Kc_Info!$A$4:$V$155,21,FALSE))</f>
        <v/>
      </c>
      <c r="V51" s="94" t="str">
        <f>IF(ISNA(VLOOKUP($A51,Kc_Info!$A$4:$V$155,22,FALSE)),"",VLOOKUP($A51,Kc_Info!$A$4:$V$155,22,FALSE))</f>
        <v/>
      </c>
    </row>
    <row r="52" spans="1:22">
      <c r="A52" s="92"/>
      <c r="B52" s="93" t="str">
        <f>IF(ISNA(VLOOKUP($A52,Kc_Info!$A$4:$V$155,2,FALSE)),"",VLOOKUP($A52,Kc_Info!$A$4:$V$155,2,FALSE))</f>
        <v/>
      </c>
      <c r="C52" s="94" t="str">
        <f>IF(ISNA(VLOOKUP($A52,Kc_Info!$A$4:$V$155,3,FALSE)),"",VLOOKUP($A52,Kc_Info!$A$4:$V$155,3,FALSE))</f>
        <v/>
      </c>
      <c r="D52" s="94" t="str">
        <f>IF(ISNA(VLOOKUP($A52,Kc_Info!$A$4:$V$155,4,FALSE)),"",VLOOKUP($A52,Kc_Info!$A$4:$V$155,4,FALSE))</f>
        <v/>
      </c>
      <c r="E52" s="94" t="str">
        <f>IF(ISNA(VLOOKUP($A52,Kc_Info!$A$4:$V$155,5,FALSE)),"",VLOOKUP($A52,Kc_Info!$A$4:$V$155,5,FALSE))</f>
        <v/>
      </c>
      <c r="F52" s="94" t="str">
        <f>IF(ISNA(VLOOKUP($A52,Kc_Info!$A$4:$V$155,6,FALSE)),"",VLOOKUP($A52,Kc_Info!$A$4:$V$155,6,FALSE))</f>
        <v/>
      </c>
      <c r="G52" s="101" t="str">
        <f>IF(ISNA(VLOOKUP($A52,Kc_Info!$A$4:$V$155,7,FALSE)),"",VLOOKUP($A52,Kc_Info!$A$4:$V$155,7,FALSE))</f>
        <v/>
      </c>
      <c r="H52" s="101" t="str">
        <f>IF(ISNA(VLOOKUP($A52,Kc_Info!$A$4:$V$155,8,FALSE)),"",VLOOKUP($A52,Kc_Info!$A$4:$V$155,8,FALSE))</f>
        <v/>
      </c>
      <c r="I52" s="101" t="str">
        <f>IF(ISNA(VLOOKUP($A52,Kc_Info!$A$4:$V$155,9,FALSE)),"",VLOOKUP($A52,Kc_Info!$A$4:$V$155,9,FALSE))</f>
        <v/>
      </c>
      <c r="J52" s="101" t="str">
        <f>IF(ISNA(VLOOKUP($A52,Kc_Info!$A$4:$V$155,10,FALSE)),"",VLOOKUP($A52,Kc_Info!$A$4:$V$155,10,FALSE))</f>
        <v/>
      </c>
      <c r="K52" s="94" t="str">
        <f>IF(ISNA(VLOOKUP($A52,Kc_Info!$A$4:$V$155,11,FALSE)),"",VLOOKUP($A52,Kc_Info!$A$4:$V$155,11,FALSE))</f>
        <v/>
      </c>
      <c r="L52" s="94" t="str">
        <f>IF(ISNA(VLOOKUP($A52,Kc_Info!$A$4:$V$155,12,FALSE)),"",VLOOKUP($A52,Kc_Info!$A$4:$V$155,12,FALSE))</f>
        <v/>
      </c>
      <c r="M52" s="94" t="str">
        <f>IF(ISNA(VLOOKUP($A52,Kc_Info!$A$4:$V$155,13,FALSE)),"",VLOOKUP($A52,Kc_Info!$A$4:$V$155,13,FALSE))</f>
        <v/>
      </c>
      <c r="N52" s="94" t="str">
        <f>IF(ISNA(VLOOKUP($A52,Kc_Info!$A$4:$V$155,14,FALSE)),"",VLOOKUP($A52,Kc_Info!$A$4:$V$155,14,FALSE))</f>
        <v/>
      </c>
      <c r="O52" s="100" t="str">
        <f>IF(ISNA(VLOOKUP($A52,Kc_Info!$A$4:$V$155,15,FALSE)),"",VLOOKUP($A52,Kc_Info!$A$4:$V$155,15,FALSE))</f>
        <v/>
      </c>
      <c r="P52" s="100" t="str">
        <f>IF(ISNA(VLOOKUP($A52,Kc_Info!$A$4:$V$155,16,FALSE)),"",VLOOKUP($A52,Kc_Info!$A$4:$V$155,16,FALSE))</f>
        <v/>
      </c>
      <c r="Q52" s="100" t="str">
        <f>IF(ISNA(VLOOKUP($A52,Kc_Info!$A$4:$V$155,17,FALSE)),"",VLOOKUP($A52,Kc_Info!$A$4:$V$155,17,FALSE))</f>
        <v/>
      </c>
      <c r="R52" s="100" t="str">
        <f>IF(ISNA(VLOOKUP($A52,Kc_Info!$A$4:$V$155,18,FALSE)),"",VLOOKUP($A52,Kc_Info!$A$4:$V$155,18,FALSE))</f>
        <v/>
      </c>
      <c r="S52" s="100" t="str">
        <f>IF(ISNA(VLOOKUP($A52,Kc_Info!$A$4:$V$155,19,FALSE)),"",VLOOKUP($A52,Kc_Info!$A$4:$V$155,19,FALSE))</f>
        <v/>
      </c>
      <c r="T52" s="94" t="str">
        <f>IF(ISNA(VLOOKUP($A52,Kc_Info!$A$4:$V$155,20,FALSE)),"",VLOOKUP($A52,Kc_Info!$A$4:$V$155,20,FALSE))</f>
        <v/>
      </c>
      <c r="U52" s="94" t="str">
        <f>IF(ISNA(VLOOKUP($A52,Kc_Info!$A$4:$V$155,21,FALSE)),"",VLOOKUP($A52,Kc_Info!$A$4:$V$155,21,FALSE))</f>
        <v/>
      </c>
      <c r="V52" s="94" t="str">
        <f>IF(ISNA(VLOOKUP($A52,Kc_Info!$A$4:$V$155,22,FALSE)),"",VLOOKUP($A52,Kc_Info!$A$4:$V$155,22,FALSE))</f>
        <v/>
      </c>
    </row>
    <row r="53" spans="1:22">
      <c r="A53" s="92"/>
      <c r="B53" s="93" t="str">
        <f>IF(ISNA(VLOOKUP($A53,Kc_Info!$A$4:$V$155,2,FALSE)),"",VLOOKUP($A53,Kc_Info!$A$4:$V$155,2,FALSE))</f>
        <v/>
      </c>
      <c r="C53" s="94" t="str">
        <f>IF(ISNA(VLOOKUP($A53,Kc_Info!$A$4:$V$155,3,FALSE)),"",VLOOKUP($A53,Kc_Info!$A$4:$V$155,3,FALSE))</f>
        <v/>
      </c>
      <c r="D53" s="94" t="str">
        <f>IF(ISNA(VLOOKUP($A53,Kc_Info!$A$4:$V$155,4,FALSE)),"",VLOOKUP($A53,Kc_Info!$A$4:$V$155,4,FALSE))</f>
        <v/>
      </c>
      <c r="E53" s="94" t="str">
        <f>IF(ISNA(VLOOKUP($A53,Kc_Info!$A$4:$V$155,5,FALSE)),"",VLOOKUP($A53,Kc_Info!$A$4:$V$155,5,FALSE))</f>
        <v/>
      </c>
      <c r="F53" s="94" t="str">
        <f>IF(ISNA(VLOOKUP($A53,Kc_Info!$A$4:$V$155,6,FALSE)),"",VLOOKUP($A53,Kc_Info!$A$4:$V$155,6,FALSE))</f>
        <v/>
      </c>
      <c r="G53" s="101" t="str">
        <f>IF(ISNA(VLOOKUP($A53,Kc_Info!$A$4:$V$155,7,FALSE)),"",VLOOKUP($A53,Kc_Info!$A$4:$V$155,7,FALSE))</f>
        <v/>
      </c>
      <c r="H53" s="101" t="str">
        <f>IF(ISNA(VLOOKUP($A53,Kc_Info!$A$4:$V$155,8,FALSE)),"",VLOOKUP($A53,Kc_Info!$A$4:$V$155,8,FALSE))</f>
        <v/>
      </c>
      <c r="I53" s="101" t="str">
        <f>IF(ISNA(VLOOKUP($A53,Kc_Info!$A$4:$V$155,9,FALSE)),"",VLOOKUP($A53,Kc_Info!$A$4:$V$155,9,FALSE))</f>
        <v/>
      </c>
      <c r="J53" s="101" t="str">
        <f>IF(ISNA(VLOOKUP($A53,Kc_Info!$A$4:$V$155,10,FALSE)),"",VLOOKUP($A53,Kc_Info!$A$4:$V$155,10,FALSE))</f>
        <v/>
      </c>
      <c r="K53" s="94" t="str">
        <f>IF(ISNA(VLOOKUP($A53,Kc_Info!$A$4:$V$155,11,FALSE)),"",VLOOKUP($A53,Kc_Info!$A$4:$V$155,11,FALSE))</f>
        <v/>
      </c>
      <c r="L53" s="94" t="str">
        <f>IF(ISNA(VLOOKUP($A53,Kc_Info!$A$4:$V$155,12,FALSE)),"",VLOOKUP($A53,Kc_Info!$A$4:$V$155,12,FALSE))</f>
        <v/>
      </c>
      <c r="M53" s="94" t="str">
        <f>IF(ISNA(VLOOKUP($A53,Kc_Info!$A$4:$V$155,13,FALSE)),"",VLOOKUP($A53,Kc_Info!$A$4:$V$155,13,FALSE))</f>
        <v/>
      </c>
      <c r="N53" s="94" t="str">
        <f>IF(ISNA(VLOOKUP($A53,Kc_Info!$A$4:$V$155,14,FALSE)),"",VLOOKUP($A53,Kc_Info!$A$4:$V$155,14,FALSE))</f>
        <v/>
      </c>
      <c r="O53" s="100" t="str">
        <f>IF(ISNA(VLOOKUP($A53,Kc_Info!$A$4:$V$155,15,FALSE)),"",VLOOKUP($A53,Kc_Info!$A$4:$V$155,15,FALSE))</f>
        <v/>
      </c>
      <c r="P53" s="100" t="str">
        <f>IF(ISNA(VLOOKUP($A53,Kc_Info!$A$4:$V$155,16,FALSE)),"",VLOOKUP($A53,Kc_Info!$A$4:$V$155,16,FALSE))</f>
        <v/>
      </c>
      <c r="Q53" s="100" t="str">
        <f>IF(ISNA(VLOOKUP($A53,Kc_Info!$A$4:$V$155,17,FALSE)),"",VLOOKUP($A53,Kc_Info!$A$4:$V$155,17,FALSE))</f>
        <v/>
      </c>
      <c r="R53" s="100" t="str">
        <f>IF(ISNA(VLOOKUP($A53,Kc_Info!$A$4:$V$155,18,FALSE)),"",VLOOKUP($A53,Kc_Info!$A$4:$V$155,18,FALSE))</f>
        <v/>
      </c>
      <c r="S53" s="100" t="str">
        <f>IF(ISNA(VLOOKUP($A53,Kc_Info!$A$4:$V$155,19,FALSE)),"",VLOOKUP($A53,Kc_Info!$A$4:$V$155,19,FALSE))</f>
        <v/>
      </c>
      <c r="T53" s="94" t="str">
        <f>IF(ISNA(VLOOKUP($A53,Kc_Info!$A$4:$V$155,20,FALSE)),"",VLOOKUP($A53,Kc_Info!$A$4:$V$155,20,FALSE))</f>
        <v/>
      </c>
      <c r="U53" s="94" t="str">
        <f>IF(ISNA(VLOOKUP($A53,Kc_Info!$A$4:$V$155,21,FALSE)),"",VLOOKUP($A53,Kc_Info!$A$4:$V$155,21,FALSE))</f>
        <v/>
      </c>
      <c r="V53" s="94" t="str">
        <f>IF(ISNA(VLOOKUP($A53,Kc_Info!$A$4:$V$155,22,FALSE)),"",VLOOKUP($A53,Kc_Info!$A$4:$V$155,22,FALSE))</f>
        <v/>
      </c>
    </row>
    <row r="54" spans="1:22">
      <c r="A54" s="92"/>
      <c r="B54" s="93" t="str">
        <f>IF(ISNA(VLOOKUP($A54,Kc_Info!$A$4:$V$155,2,FALSE)),"",VLOOKUP($A54,Kc_Info!$A$4:$V$155,2,FALSE))</f>
        <v/>
      </c>
      <c r="C54" s="94" t="str">
        <f>IF(ISNA(VLOOKUP($A54,Kc_Info!$A$4:$V$155,3,FALSE)),"",VLOOKUP($A54,Kc_Info!$A$4:$V$155,3,FALSE))</f>
        <v/>
      </c>
      <c r="D54" s="94" t="str">
        <f>IF(ISNA(VLOOKUP($A54,Kc_Info!$A$4:$V$155,4,FALSE)),"",VLOOKUP($A54,Kc_Info!$A$4:$V$155,4,FALSE))</f>
        <v/>
      </c>
      <c r="E54" s="94" t="str">
        <f>IF(ISNA(VLOOKUP($A54,Kc_Info!$A$4:$V$155,5,FALSE)),"",VLOOKUP($A54,Kc_Info!$A$4:$V$155,5,FALSE))</f>
        <v/>
      </c>
      <c r="F54" s="94" t="str">
        <f>IF(ISNA(VLOOKUP($A54,Kc_Info!$A$4:$V$155,6,FALSE)),"",VLOOKUP($A54,Kc_Info!$A$4:$V$155,6,FALSE))</f>
        <v/>
      </c>
      <c r="G54" s="101" t="str">
        <f>IF(ISNA(VLOOKUP($A54,Kc_Info!$A$4:$V$155,7,FALSE)),"",VLOOKUP($A54,Kc_Info!$A$4:$V$155,7,FALSE))</f>
        <v/>
      </c>
      <c r="H54" s="101" t="str">
        <f>IF(ISNA(VLOOKUP($A54,Kc_Info!$A$4:$V$155,8,FALSE)),"",VLOOKUP($A54,Kc_Info!$A$4:$V$155,8,FALSE))</f>
        <v/>
      </c>
      <c r="I54" s="101" t="str">
        <f>IF(ISNA(VLOOKUP($A54,Kc_Info!$A$4:$V$155,9,FALSE)),"",VLOOKUP($A54,Kc_Info!$A$4:$V$155,9,FALSE))</f>
        <v/>
      </c>
      <c r="J54" s="101" t="str">
        <f>IF(ISNA(VLOOKUP($A54,Kc_Info!$A$4:$V$155,10,FALSE)),"",VLOOKUP($A54,Kc_Info!$A$4:$V$155,10,FALSE))</f>
        <v/>
      </c>
      <c r="K54" s="94" t="str">
        <f>IF(ISNA(VLOOKUP($A54,Kc_Info!$A$4:$V$155,11,FALSE)),"",VLOOKUP($A54,Kc_Info!$A$4:$V$155,11,FALSE))</f>
        <v/>
      </c>
      <c r="L54" s="94" t="str">
        <f>IF(ISNA(VLOOKUP($A54,Kc_Info!$A$4:$V$155,12,FALSE)),"",VLOOKUP($A54,Kc_Info!$A$4:$V$155,12,FALSE))</f>
        <v/>
      </c>
      <c r="M54" s="94" t="str">
        <f>IF(ISNA(VLOOKUP($A54,Kc_Info!$A$4:$V$155,13,FALSE)),"",VLOOKUP($A54,Kc_Info!$A$4:$V$155,13,FALSE))</f>
        <v/>
      </c>
      <c r="N54" s="94" t="str">
        <f>IF(ISNA(VLOOKUP($A54,Kc_Info!$A$4:$V$155,14,FALSE)),"",VLOOKUP($A54,Kc_Info!$A$4:$V$155,14,FALSE))</f>
        <v/>
      </c>
      <c r="O54" s="100" t="str">
        <f>IF(ISNA(VLOOKUP($A54,Kc_Info!$A$4:$V$155,15,FALSE)),"",VLOOKUP($A54,Kc_Info!$A$4:$V$155,15,FALSE))</f>
        <v/>
      </c>
      <c r="P54" s="100" t="str">
        <f>IF(ISNA(VLOOKUP($A54,Kc_Info!$A$4:$V$155,16,FALSE)),"",VLOOKUP($A54,Kc_Info!$A$4:$V$155,16,FALSE))</f>
        <v/>
      </c>
      <c r="Q54" s="100" t="str">
        <f>IF(ISNA(VLOOKUP($A54,Kc_Info!$A$4:$V$155,17,FALSE)),"",VLOOKUP($A54,Kc_Info!$A$4:$V$155,17,FALSE))</f>
        <v/>
      </c>
      <c r="R54" s="100" t="str">
        <f>IF(ISNA(VLOOKUP($A54,Kc_Info!$A$4:$V$155,18,FALSE)),"",VLOOKUP($A54,Kc_Info!$A$4:$V$155,18,FALSE))</f>
        <v/>
      </c>
      <c r="S54" s="100" t="str">
        <f>IF(ISNA(VLOOKUP($A54,Kc_Info!$A$4:$V$155,19,FALSE)),"",VLOOKUP($A54,Kc_Info!$A$4:$V$155,19,FALSE))</f>
        <v/>
      </c>
      <c r="T54" s="94" t="str">
        <f>IF(ISNA(VLOOKUP($A54,Kc_Info!$A$4:$V$155,20,FALSE)),"",VLOOKUP($A54,Kc_Info!$A$4:$V$155,20,FALSE))</f>
        <v/>
      </c>
      <c r="U54" s="94" t="str">
        <f>IF(ISNA(VLOOKUP($A54,Kc_Info!$A$4:$V$155,21,FALSE)),"",VLOOKUP($A54,Kc_Info!$A$4:$V$155,21,FALSE))</f>
        <v/>
      </c>
      <c r="V54" s="94" t="str">
        <f>IF(ISNA(VLOOKUP($A54,Kc_Info!$A$4:$V$155,22,FALSE)),"",VLOOKUP($A54,Kc_Info!$A$4:$V$155,22,FALSE))</f>
        <v/>
      </c>
    </row>
    <row r="55" spans="1:22">
      <c r="A55" s="92"/>
      <c r="B55" s="93" t="str">
        <f>IF(ISNA(VLOOKUP($A55,Kc_Info!$A$4:$V$155,2,FALSE)),"",VLOOKUP($A55,Kc_Info!$A$4:$V$155,2,FALSE))</f>
        <v/>
      </c>
      <c r="C55" s="94" t="str">
        <f>IF(ISNA(VLOOKUP($A55,Kc_Info!$A$4:$V$155,3,FALSE)),"",VLOOKUP($A55,Kc_Info!$A$4:$V$155,3,FALSE))</f>
        <v/>
      </c>
      <c r="D55" s="94" t="str">
        <f>IF(ISNA(VLOOKUP($A55,Kc_Info!$A$4:$V$155,4,FALSE)),"",VLOOKUP($A55,Kc_Info!$A$4:$V$155,4,FALSE))</f>
        <v/>
      </c>
      <c r="E55" s="94" t="str">
        <f>IF(ISNA(VLOOKUP($A55,Kc_Info!$A$4:$V$155,5,FALSE)),"",VLOOKUP($A55,Kc_Info!$A$4:$V$155,5,FALSE))</f>
        <v/>
      </c>
      <c r="F55" s="94" t="str">
        <f>IF(ISNA(VLOOKUP($A55,Kc_Info!$A$4:$V$155,6,FALSE)),"",VLOOKUP($A55,Kc_Info!$A$4:$V$155,6,FALSE))</f>
        <v/>
      </c>
      <c r="G55" s="101" t="str">
        <f>IF(ISNA(VLOOKUP($A55,Kc_Info!$A$4:$V$155,7,FALSE)),"",VLOOKUP($A55,Kc_Info!$A$4:$V$155,7,FALSE))</f>
        <v/>
      </c>
      <c r="H55" s="101" t="str">
        <f>IF(ISNA(VLOOKUP($A55,Kc_Info!$A$4:$V$155,8,FALSE)),"",VLOOKUP($A55,Kc_Info!$A$4:$V$155,8,FALSE))</f>
        <v/>
      </c>
      <c r="I55" s="101" t="str">
        <f>IF(ISNA(VLOOKUP($A55,Kc_Info!$A$4:$V$155,9,FALSE)),"",VLOOKUP($A55,Kc_Info!$A$4:$V$155,9,FALSE))</f>
        <v/>
      </c>
      <c r="J55" s="101" t="str">
        <f>IF(ISNA(VLOOKUP($A55,Kc_Info!$A$4:$V$155,10,FALSE)),"",VLOOKUP($A55,Kc_Info!$A$4:$V$155,10,FALSE))</f>
        <v/>
      </c>
      <c r="K55" s="94" t="str">
        <f>IF(ISNA(VLOOKUP($A55,Kc_Info!$A$4:$V$155,11,FALSE)),"",VLOOKUP($A55,Kc_Info!$A$4:$V$155,11,FALSE))</f>
        <v/>
      </c>
      <c r="L55" s="94" t="str">
        <f>IF(ISNA(VLOOKUP($A55,Kc_Info!$A$4:$V$155,12,FALSE)),"",VLOOKUP($A55,Kc_Info!$A$4:$V$155,12,FALSE))</f>
        <v/>
      </c>
      <c r="M55" s="94" t="str">
        <f>IF(ISNA(VLOOKUP($A55,Kc_Info!$A$4:$V$155,13,FALSE)),"",VLOOKUP($A55,Kc_Info!$A$4:$V$155,13,FALSE))</f>
        <v/>
      </c>
      <c r="N55" s="94" t="str">
        <f>IF(ISNA(VLOOKUP($A55,Kc_Info!$A$4:$V$155,14,FALSE)),"",VLOOKUP($A55,Kc_Info!$A$4:$V$155,14,FALSE))</f>
        <v/>
      </c>
      <c r="O55" s="100" t="str">
        <f>IF(ISNA(VLOOKUP($A55,Kc_Info!$A$4:$V$155,15,FALSE)),"",VLOOKUP($A55,Kc_Info!$A$4:$V$155,15,FALSE))</f>
        <v/>
      </c>
      <c r="P55" s="100" t="str">
        <f>IF(ISNA(VLOOKUP($A55,Kc_Info!$A$4:$V$155,16,FALSE)),"",VLOOKUP($A55,Kc_Info!$A$4:$V$155,16,FALSE))</f>
        <v/>
      </c>
      <c r="Q55" s="100" t="str">
        <f>IF(ISNA(VLOOKUP($A55,Kc_Info!$A$4:$V$155,17,FALSE)),"",VLOOKUP($A55,Kc_Info!$A$4:$V$155,17,FALSE))</f>
        <v/>
      </c>
      <c r="R55" s="100" t="str">
        <f>IF(ISNA(VLOOKUP($A55,Kc_Info!$A$4:$V$155,18,FALSE)),"",VLOOKUP($A55,Kc_Info!$A$4:$V$155,18,FALSE))</f>
        <v/>
      </c>
      <c r="S55" s="100" t="str">
        <f>IF(ISNA(VLOOKUP($A55,Kc_Info!$A$4:$V$155,19,FALSE)),"",VLOOKUP($A55,Kc_Info!$A$4:$V$155,19,FALSE))</f>
        <v/>
      </c>
      <c r="T55" s="94" t="str">
        <f>IF(ISNA(VLOOKUP($A55,Kc_Info!$A$4:$V$155,20,FALSE)),"",VLOOKUP($A55,Kc_Info!$A$4:$V$155,20,FALSE))</f>
        <v/>
      </c>
      <c r="U55" s="94" t="str">
        <f>IF(ISNA(VLOOKUP($A55,Kc_Info!$A$4:$V$155,21,FALSE)),"",VLOOKUP($A55,Kc_Info!$A$4:$V$155,21,FALSE))</f>
        <v/>
      </c>
      <c r="V55" s="94" t="str">
        <f>IF(ISNA(VLOOKUP($A55,Kc_Info!$A$4:$V$155,22,FALSE)),"",VLOOKUP($A55,Kc_Info!$A$4:$V$155,22,FALSE))</f>
        <v/>
      </c>
    </row>
    <row r="56" spans="1:22">
      <c r="A56" s="92"/>
      <c r="B56" s="93" t="str">
        <f>IF(ISNA(VLOOKUP($A56,Kc_Info!$A$4:$V$155,2,FALSE)),"",VLOOKUP($A56,Kc_Info!$A$4:$V$155,2,FALSE))</f>
        <v/>
      </c>
      <c r="C56" s="94" t="str">
        <f>IF(ISNA(VLOOKUP($A56,Kc_Info!$A$4:$V$155,3,FALSE)),"",VLOOKUP($A56,Kc_Info!$A$4:$V$155,3,FALSE))</f>
        <v/>
      </c>
      <c r="D56" s="94" t="str">
        <f>IF(ISNA(VLOOKUP($A56,Kc_Info!$A$4:$V$155,4,FALSE)),"",VLOOKUP($A56,Kc_Info!$A$4:$V$155,4,FALSE))</f>
        <v/>
      </c>
      <c r="E56" s="94" t="str">
        <f>IF(ISNA(VLOOKUP($A56,Kc_Info!$A$4:$V$155,5,FALSE)),"",VLOOKUP($A56,Kc_Info!$A$4:$V$155,5,FALSE))</f>
        <v/>
      </c>
      <c r="F56" s="94" t="str">
        <f>IF(ISNA(VLOOKUP($A56,Kc_Info!$A$4:$V$155,6,FALSE)),"",VLOOKUP($A56,Kc_Info!$A$4:$V$155,6,FALSE))</f>
        <v/>
      </c>
      <c r="G56" s="101" t="str">
        <f>IF(ISNA(VLOOKUP($A56,Kc_Info!$A$4:$V$155,7,FALSE)),"",VLOOKUP($A56,Kc_Info!$A$4:$V$155,7,FALSE))</f>
        <v/>
      </c>
      <c r="H56" s="101" t="str">
        <f>IF(ISNA(VLOOKUP($A56,Kc_Info!$A$4:$V$155,8,FALSE)),"",VLOOKUP($A56,Kc_Info!$A$4:$V$155,8,FALSE))</f>
        <v/>
      </c>
      <c r="I56" s="101" t="str">
        <f>IF(ISNA(VLOOKUP($A56,Kc_Info!$A$4:$V$155,9,FALSE)),"",VLOOKUP($A56,Kc_Info!$A$4:$V$155,9,FALSE))</f>
        <v/>
      </c>
      <c r="J56" s="101" t="str">
        <f>IF(ISNA(VLOOKUP($A56,Kc_Info!$A$4:$V$155,10,FALSE)),"",VLOOKUP($A56,Kc_Info!$A$4:$V$155,10,FALSE))</f>
        <v/>
      </c>
      <c r="K56" s="94" t="str">
        <f>IF(ISNA(VLOOKUP($A56,Kc_Info!$A$4:$V$155,11,FALSE)),"",VLOOKUP($A56,Kc_Info!$A$4:$V$155,11,FALSE))</f>
        <v/>
      </c>
      <c r="L56" s="94" t="str">
        <f>IF(ISNA(VLOOKUP($A56,Kc_Info!$A$4:$V$155,12,FALSE)),"",VLOOKUP($A56,Kc_Info!$A$4:$V$155,12,FALSE))</f>
        <v/>
      </c>
      <c r="M56" s="94" t="str">
        <f>IF(ISNA(VLOOKUP($A56,Kc_Info!$A$4:$V$155,13,FALSE)),"",VLOOKUP($A56,Kc_Info!$A$4:$V$155,13,FALSE))</f>
        <v/>
      </c>
      <c r="N56" s="94" t="str">
        <f>IF(ISNA(VLOOKUP($A56,Kc_Info!$A$4:$V$155,14,FALSE)),"",VLOOKUP($A56,Kc_Info!$A$4:$V$155,14,FALSE))</f>
        <v/>
      </c>
      <c r="O56" s="100" t="str">
        <f>IF(ISNA(VLOOKUP($A56,Kc_Info!$A$4:$V$155,15,FALSE)),"",VLOOKUP($A56,Kc_Info!$A$4:$V$155,15,FALSE))</f>
        <v/>
      </c>
      <c r="P56" s="100" t="str">
        <f>IF(ISNA(VLOOKUP($A56,Kc_Info!$A$4:$V$155,16,FALSE)),"",VLOOKUP($A56,Kc_Info!$A$4:$V$155,16,FALSE))</f>
        <v/>
      </c>
      <c r="Q56" s="100" t="str">
        <f>IF(ISNA(VLOOKUP($A56,Kc_Info!$A$4:$V$155,17,FALSE)),"",VLOOKUP($A56,Kc_Info!$A$4:$V$155,17,FALSE))</f>
        <v/>
      </c>
      <c r="R56" s="100" t="str">
        <f>IF(ISNA(VLOOKUP($A56,Kc_Info!$A$4:$V$155,18,FALSE)),"",VLOOKUP($A56,Kc_Info!$A$4:$V$155,18,FALSE))</f>
        <v/>
      </c>
      <c r="S56" s="100" t="str">
        <f>IF(ISNA(VLOOKUP($A56,Kc_Info!$A$4:$V$155,19,FALSE)),"",VLOOKUP($A56,Kc_Info!$A$4:$V$155,19,FALSE))</f>
        <v/>
      </c>
      <c r="T56" s="94" t="str">
        <f>IF(ISNA(VLOOKUP($A56,Kc_Info!$A$4:$V$155,20,FALSE)),"",VLOOKUP($A56,Kc_Info!$A$4:$V$155,20,FALSE))</f>
        <v/>
      </c>
      <c r="U56" s="94" t="str">
        <f>IF(ISNA(VLOOKUP($A56,Kc_Info!$A$4:$V$155,21,FALSE)),"",VLOOKUP($A56,Kc_Info!$A$4:$V$155,21,FALSE))</f>
        <v/>
      </c>
      <c r="V56" s="94" t="str">
        <f>IF(ISNA(VLOOKUP($A56,Kc_Info!$A$4:$V$155,22,FALSE)),"",VLOOKUP($A56,Kc_Info!$A$4:$V$155,22,FALSE))</f>
        <v/>
      </c>
    </row>
    <row r="57" spans="1:22">
      <c r="A57" s="92"/>
      <c r="B57" s="93" t="str">
        <f>IF(ISNA(VLOOKUP($A57,Kc_Info!$A$4:$V$155,2,FALSE)),"",VLOOKUP($A57,Kc_Info!$A$4:$V$155,2,FALSE))</f>
        <v/>
      </c>
      <c r="C57" s="94" t="str">
        <f>IF(ISNA(VLOOKUP($A57,Kc_Info!$A$4:$V$155,3,FALSE)),"",VLOOKUP($A57,Kc_Info!$A$4:$V$155,3,FALSE))</f>
        <v/>
      </c>
      <c r="D57" s="94" t="str">
        <f>IF(ISNA(VLOOKUP($A57,Kc_Info!$A$4:$V$155,4,FALSE)),"",VLOOKUP($A57,Kc_Info!$A$4:$V$155,4,FALSE))</f>
        <v/>
      </c>
      <c r="E57" s="94" t="str">
        <f>IF(ISNA(VLOOKUP($A57,Kc_Info!$A$4:$V$155,5,FALSE)),"",VLOOKUP($A57,Kc_Info!$A$4:$V$155,5,FALSE))</f>
        <v/>
      </c>
      <c r="F57" s="94" t="str">
        <f>IF(ISNA(VLOOKUP($A57,Kc_Info!$A$4:$V$155,6,FALSE)),"",VLOOKUP($A57,Kc_Info!$A$4:$V$155,6,FALSE))</f>
        <v/>
      </c>
      <c r="G57" s="101" t="str">
        <f>IF(ISNA(VLOOKUP($A57,Kc_Info!$A$4:$V$155,7,FALSE)),"",VLOOKUP($A57,Kc_Info!$A$4:$V$155,7,FALSE))</f>
        <v/>
      </c>
      <c r="H57" s="101" t="str">
        <f>IF(ISNA(VLOOKUP($A57,Kc_Info!$A$4:$V$155,8,FALSE)),"",VLOOKUP($A57,Kc_Info!$A$4:$V$155,8,FALSE))</f>
        <v/>
      </c>
      <c r="I57" s="101" t="str">
        <f>IF(ISNA(VLOOKUP($A57,Kc_Info!$A$4:$V$155,9,FALSE)),"",VLOOKUP($A57,Kc_Info!$A$4:$V$155,9,FALSE))</f>
        <v/>
      </c>
      <c r="J57" s="101" t="str">
        <f>IF(ISNA(VLOOKUP($A57,Kc_Info!$A$4:$V$155,10,FALSE)),"",VLOOKUP($A57,Kc_Info!$A$4:$V$155,10,FALSE))</f>
        <v/>
      </c>
      <c r="K57" s="94" t="str">
        <f>IF(ISNA(VLOOKUP($A57,Kc_Info!$A$4:$V$155,11,FALSE)),"",VLOOKUP($A57,Kc_Info!$A$4:$V$155,11,FALSE))</f>
        <v/>
      </c>
      <c r="L57" s="94" t="str">
        <f>IF(ISNA(VLOOKUP($A57,Kc_Info!$A$4:$V$155,12,FALSE)),"",VLOOKUP($A57,Kc_Info!$A$4:$V$155,12,FALSE))</f>
        <v/>
      </c>
      <c r="M57" s="94" t="str">
        <f>IF(ISNA(VLOOKUP($A57,Kc_Info!$A$4:$V$155,13,FALSE)),"",VLOOKUP($A57,Kc_Info!$A$4:$V$155,13,FALSE))</f>
        <v/>
      </c>
      <c r="N57" s="94" t="str">
        <f>IF(ISNA(VLOOKUP($A57,Kc_Info!$A$4:$V$155,14,FALSE)),"",VLOOKUP($A57,Kc_Info!$A$4:$V$155,14,FALSE))</f>
        <v/>
      </c>
      <c r="O57" s="100" t="str">
        <f>IF(ISNA(VLOOKUP($A57,Kc_Info!$A$4:$V$155,15,FALSE)),"",VLOOKUP($A57,Kc_Info!$A$4:$V$155,15,FALSE))</f>
        <v/>
      </c>
      <c r="P57" s="100" t="str">
        <f>IF(ISNA(VLOOKUP($A57,Kc_Info!$A$4:$V$155,16,FALSE)),"",VLOOKUP($A57,Kc_Info!$A$4:$V$155,16,FALSE))</f>
        <v/>
      </c>
      <c r="Q57" s="100" t="str">
        <f>IF(ISNA(VLOOKUP($A57,Kc_Info!$A$4:$V$155,17,FALSE)),"",VLOOKUP($A57,Kc_Info!$A$4:$V$155,17,FALSE))</f>
        <v/>
      </c>
      <c r="R57" s="100" t="str">
        <f>IF(ISNA(VLOOKUP($A57,Kc_Info!$A$4:$V$155,18,FALSE)),"",VLOOKUP($A57,Kc_Info!$A$4:$V$155,18,FALSE))</f>
        <v/>
      </c>
      <c r="S57" s="100" t="str">
        <f>IF(ISNA(VLOOKUP($A57,Kc_Info!$A$4:$V$155,19,FALSE)),"",VLOOKUP($A57,Kc_Info!$A$4:$V$155,19,FALSE))</f>
        <v/>
      </c>
      <c r="T57" s="94" t="str">
        <f>IF(ISNA(VLOOKUP($A57,Kc_Info!$A$4:$V$155,20,FALSE)),"",VLOOKUP($A57,Kc_Info!$A$4:$V$155,20,FALSE))</f>
        <v/>
      </c>
      <c r="U57" s="94" t="str">
        <f>IF(ISNA(VLOOKUP($A57,Kc_Info!$A$4:$V$155,21,FALSE)),"",VLOOKUP($A57,Kc_Info!$A$4:$V$155,21,FALSE))</f>
        <v/>
      </c>
      <c r="V57" s="94" t="str">
        <f>IF(ISNA(VLOOKUP($A57,Kc_Info!$A$4:$V$155,22,FALSE)),"",VLOOKUP($A57,Kc_Info!$A$4:$V$155,22,FALSE))</f>
        <v/>
      </c>
    </row>
    <row r="58" spans="1:22">
      <c r="A58" s="92"/>
      <c r="B58" s="93" t="str">
        <f>IF(ISNA(VLOOKUP($A58,Kc_Info!$A$4:$V$155,2,FALSE)),"",VLOOKUP($A58,Kc_Info!$A$4:$V$155,2,FALSE))</f>
        <v/>
      </c>
      <c r="C58" s="94" t="str">
        <f>IF(ISNA(VLOOKUP($A58,Kc_Info!$A$4:$V$155,3,FALSE)),"",VLOOKUP($A58,Kc_Info!$A$4:$V$155,3,FALSE))</f>
        <v/>
      </c>
      <c r="D58" s="94" t="str">
        <f>IF(ISNA(VLOOKUP($A58,Kc_Info!$A$4:$V$155,4,FALSE)),"",VLOOKUP($A58,Kc_Info!$A$4:$V$155,4,FALSE))</f>
        <v/>
      </c>
      <c r="E58" s="94" t="str">
        <f>IF(ISNA(VLOOKUP($A58,Kc_Info!$A$4:$V$155,5,FALSE)),"",VLOOKUP($A58,Kc_Info!$A$4:$V$155,5,FALSE))</f>
        <v/>
      </c>
      <c r="F58" s="94" t="str">
        <f>IF(ISNA(VLOOKUP($A58,Kc_Info!$A$4:$V$155,6,FALSE)),"",VLOOKUP($A58,Kc_Info!$A$4:$V$155,6,FALSE))</f>
        <v/>
      </c>
      <c r="G58" s="101" t="str">
        <f>IF(ISNA(VLOOKUP($A58,Kc_Info!$A$4:$V$155,7,FALSE)),"",VLOOKUP($A58,Kc_Info!$A$4:$V$155,7,FALSE))</f>
        <v/>
      </c>
      <c r="H58" s="101" t="str">
        <f>IF(ISNA(VLOOKUP($A58,Kc_Info!$A$4:$V$155,8,FALSE)),"",VLOOKUP($A58,Kc_Info!$A$4:$V$155,8,FALSE))</f>
        <v/>
      </c>
      <c r="I58" s="101" t="str">
        <f>IF(ISNA(VLOOKUP($A58,Kc_Info!$A$4:$V$155,9,FALSE)),"",VLOOKUP($A58,Kc_Info!$A$4:$V$155,9,FALSE))</f>
        <v/>
      </c>
      <c r="J58" s="101" t="str">
        <f>IF(ISNA(VLOOKUP($A58,Kc_Info!$A$4:$V$155,10,FALSE)),"",VLOOKUP($A58,Kc_Info!$A$4:$V$155,10,FALSE))</f>
        <v/>
      </c>
      <c r="K58" s="94" t="str">
        <f>IF(ISNA(VLOOKUP($A58,Kc_Info!$A$4:$V$155,11,FALSE)),"",VLOOKUP($A58,Kc_Info!$A$4:$V$155,11,FALSE))</f>
        <v/>
      </c>
      <c r="L58" s="94" t="str">
        <f>IF(ISNA(VLOOKUP($A58,Kc_Info!$A$4:$V$155,12,FALSE)),"",VLOOKUP($A58,Kc_Info!$A$4:$V$155,12,FALSE))</f>
        <v/>
      </c>
      <c r="M58" s="94" t="str">
        <f>IF(ISNA(VLOOKUP($A58,Kc_Info!$A$4:$V$155,13,FALSE)),"",VLOOKUP($A58,Kc_Info!$A$4:$V$155,13,FALSE))</f>
        <v/>
      </c>
      <c r="N58" s="94" t="str">
        <f>IF(ISNA(VLOOKUP($A58,Kc_Info!$A$4:$V$155,14,FALSE)),"",VLOOKUP($A58,Kc_Info!$A$4:$V$155,14,FALSE))</f>
        <v/>
      </c>
      <c r="O58" s="100" t="str">
        <f>IF(ISNA(VLOOKUP($A58,Kc_Info!$A$4:$V$155,15,FALSE)),"",VLOOKUP($A58,Kc_Info!$A$4:$V$155,15,FALSE))</f>
        <v/>
      </c>
      <c r="P58" s="100" t="str">
        <f>IF(ISNA(VLOOKUP($A58,Kc_Info!$A$4:$V$155,16,FALSE)),"",VLOOKUP($A58,Kc_Info!$A$4:$V$155,16,FALSE))</f>
        <v/>
      </c>
      <c r="Q58" s="100" t="str">
        <f>IF(ISNA(VLOOKUP($A58,Kc_Info!$A$4:$V$155,17,FALSE)),"",VLOOKUP($A58,Kc_Info!$A$4:$V$155,17,FALSE))</f>
        <v/>
      </c>
      <c r="R58" s="100" t="str">
        <f>IF(ISNA(VLOOKUP($A58,Kc_Info!$A$4:$V$155,18,FALSE)),"",VLOOKUP($A58,Kc_Info!$A$4:$V$155,18,FALSE))</f>
        <v/>
      </c>
      <c r="S58" s="100" t="str">
        <f>IF(ISNA(VLOOKUP($A58,Kc_Info!$A$4:$V$155,19,FALSE)),"",VLOOKUP($A58,Kc_Info!$A$4:$V$155,19,FALSE))</f>
        <v/>
      </c>
      <c r="T58" s="94" t="str">
        <f>IF(ISNA(VLOOKUP($A58,Kc_Info!$A$4:$V$155,20,FALSE)),"",VLOOKUP($A58,Kc_Info!$A$4:$V$155,20,FALSE))</f>
        <v/>
      </c>
      <c r="U58" s="94" t="str">
        <f>IF(ISNA(VLOOKUP($A58,Kc_Info!$A$4:$V$155,21,FALSE)),"",VLOOKUP($A58,Kc_Info!$A$4:$V$155,21,FALSE))</f>
        <v/>
      </c>
      <c r="V58" s="94" t="str">
        <f>IF(ISNA(VLOOKUP($A58,Kc_Info!$A$4:$V$155,22,FALSE)),"",VLOOKUP($A58,Kc_Info!$A$4:$V$155,22,FALSE))</f>
        <v/>
      </c>
    </row>
    <row r="59" spans="1:22">
      <c r="A59" s="92"/>
      <c r="B59" s="93" t="str">
        <f>IF(ISNA(VLOOKUP($A59,Kc_Info!$A$4:$V$155,2,FALSE)),"",VLOOKUP($A59,Kc_Info!$A$4:$V$155,2,FALSE))</f>
        <v/>
      </c>
      <c r="C59" s="94" t="str">
        <f>IF(ISNA(VLOOKUP($A59,Kc_Info!$A$4:$V$155,3,FALSE)),"",VLOOKUP($A59,Kc_Info!$A$4:$V$155,3,FALSE))</f>
        <v/>
      </c>
      <c r="D59" s="94" t="str">
        <f>IF(ISNA(VLOOKUP($A59,Kc_Info!$A$4:$V$155,4,FALSE)),"",VLOOKUP($A59,Kc_Info!$A$4:$V$155,4,FALSE))</f>
        <v/>
      </c>
      <c r="E59" s="94" t="str">
        <f>IF(ISNA(VLOOKUP($A59,Kc_Info!$A$4:$V$155,5,FALSE)),"",VLOOKUP($A59,Kc_Info!$A$4:$V$155,5,FALSE))</f>
        <v/>
      </c>
      <c r="F59" s="94" t="str">
        <f>IF(ISNA(VLOOKUP($A59,Kc_Info!$A$4:$V$155,6,FALSE)),"",VLOOKUP($A59,Kc_Info!$A$4:$V$155,6,FALSE))</f>
        <v/>
      </c>
      <c r="G59" s="101" t="str">
        <f>IF(ISNA(VLOOKUP($A59,Kc_Info!$A$4:$V$155,7,FALSE)),"",VLOOKUP($A59,Kc_Info!$A$4:$V$155,7,FALSE))</f>
        <v/>
      </c>
      <c r="H59" s="101" t="str">
        <f>IF(ISNA(VLOOKUP($A59,Kc_Info!$A$4:$V$155,8,FALSE)),"",VLOOKUP($A59,Kc_Info!$A$4:$V$155,8,FALSE))</f>
        <v/>
      </c>
      <c r="I59" s="101" t="str">
        <f>IF(ISNA(VLOOKUP($A59,Kc_Info!$A$4:$V$155,9,FALSE)),"",VLOOKUP($A59,Kc_Info!$A$4:$V$155,9,FALSE))</f>
        <v/>
      </c>
      <c r="J59" s="101" t="str">
        <f>IF(ISNA(VLOOKUP($A59,Kc_Info!$A$4:$V$155,10,FALSE)),"",VLOOKUP($A59,Kc_Info!$A$4:$V$155,10,FALSE))</f>
        <v/>
      </c>
      <c r="K59" s="94" t="str">
        <f>IF(ISNA(VLOOKUP($A59,Kc_Info!$A$4:$V$155,11,FALSE)),"",VLOOKUP($A59,Kc_Info!$A$4:$V$155,11,FALSE))</f>
        <v/>
      </c>
      <c r="L59" s="94" t="str">
        <f>IF(ISNA(VLOOKUP($A59,Kc_Info!$A$4:$V$155,12,FALSE)),"",VLOOKUP($A59,Kc_Info!$A$4:$V$155,12,FALSE))</f>
        <v/>
      </c>
      <c r="M59" s="94" t="str">
        <f>IF(ISNA(VLOOKUP($A59,Kc_Info!$A$4:$V$155,13,FALSE)),"",VLOOKUP($A59,Kc_Info!$A$4:$V$155,13,FALSE))</f>
        <v/>
      </c>
      <c r="N59" s="94" t="str">
        <f>IF(ISNA(VLOOKUP($A59,Kc_Info!$A$4:$V$155,14,FALSE)),"",VLOOKUP($A59,Kc_Info!$A$4:$V$155,14,FALSE))</f>
        <v/>
      </c>
      <c r="O59" s="100" t="str">
        <f>IF(ISNA(VLOOKUP($A59,Kc_Info!$A$4:$V$155,15,FALSE)),"",VLOOKUP($A59,Kc_Info!$A$4:$V$155,15,FALSE))</f>
        <v/>
      </c>
      <c r="P59" s="100" t="str">
        <f>IF(ISNA(VLOOKUP($A59,Kc_Info!$A$4:$V$155,16,FALSE)),"",VLOOKUP($A59,Kc_Info!$A$4:$V$155,16,FALSE))</f>
        <v/>
      </c>
      <c r="Q59" s="100" t="str">
        <f>IF(ISNA(VLOOKUP($A59,Kc_Info!$A$4:$V$155,17,FALSE)),"",VLOOKUP($A59,Kc_Info!$A$4:$V$155,17,FALSE))</f>
        <v/>
      </c>
      <c r="R59" s="100" t="str">
        <f>IF(ISNA(VLOOKUP($A59,Kc_Info!$A$4:$V$155,18,FALSE)),"",VLOOKUP($A59,Kc_Info!$A$4:$V$155,18,FALSE))</f>
        <v/>
      </c>
      <c r="S59" s="100" t="str">
        <f>IF(ISNA(VLOOKUP($A59,Kc_Info!$A$4:$V$155,19,FALSE)),"",VLOOKUP($A59,Kc_Info!$A$4:$V$155,19,FALSE))</f>
        <v/>
      </c>
      <c r="T59" s="94" t="str">
        <f>IF(ISNA(VLOOKUP($A59,Kc_Info!$A$4:$V$155,20,FALSE)),"",VLOOKUP($A59,Kc_Info!$A$4:$V$155,20,FALSE))</f>
        <v/>
      </c>
      <c r="U59" s="94" t="str">
        <f>IF(ISNA(VLOOKUP($A59,Kc_Info!$A$4:$V$155,21,FALSE)),"",VLOOKUP($A59,Kc_Info!$A$4:$V$155,21,FALSE))</f>
        <v/>
      </c>
      <c r="V59" s="94" t="str">
        <f>IF(ISNA(VLOOKUP($A59,Kc_Info!$A$4:$V$155,22,FALSE)),"",VLOOKUP($A59,Kc_Info!$A$4:$V$155,22,FALSE))</f>
        <v/>
      </c>
    </row>
    <row r="60" spans="1:22">
      <c r="A60" s="92"/>
      <c r="B60" s="93" t="str">
        <f>IF(ISNA(VLOOKUP($A60,Kc_Info!$A$4:$V$155,2,FALSE)),"",VLOOKUP($A60,Kc_Info!$A$4:$V$155,2,FALSE))</f>
        <v/>
      </c>
      <c r="C60" s="94" t="str">
        <f>IF(ISNA(VLOOKUP($A60,Kc_Info!$A$4:$V$155,3,FALSE)),"",VLOOKUP($A60,Kc_Info!$A$4:$V$155,3,FALSE))</f>
        <v/>
      </c>
      <c r="D60" s="94" t="str">
        <f>IF(ISNA(VLOOKUP($A60,Kc_Info!$A$4:$V$155,4,FALSE)),"",VLOOKUP($A60,Kc_Info!$A$4:$V$155,4,FALSE))</f>
        <v/>
      </c>
      <c r="E60" s="94" t="str">
        <f>IF(ISNA(VLOOKUP($A60,Kc_Info!$A$4:$V$155,5,FALSE)),"",VLOOKUP($A60,Kc_Info!$A$4:$V$155,5,FALSE))</f>
        <v/>
      </c>
      <c r="F60" s="94" t="str">
        <f>IF(ISNA(VLOOKUP($A60,Kc_Info!$A$4:$V$155,6,FALSE)),"",VLOOKUP($A60,Kc_Info!$A$4:$V$155,6,FALSE))</f>
        <v/>
      </c>
      <c r="G60" s="101" t="str">
        <f>IF(ISNA(VLOOKUP($A60,Kc_Info!$A$4:$V$155,7,FALSE)),"",VLOOKUP($A60,Kc_Info!$A$4:$V$155,7,FALSE))</f>
        <v/>
      </c>
      <c r="H60" s="101" t="str">
        <f>IF(ISNA(VLOOKUP($A60,Kc_Info!$A$4:$V$155,8,FALSE)),"",VLOOKUP($A60,Kc_Info!$A$4:$V$155,8,FALSE))</f>
        <v/>
      </c>
      <c r="I60" s="101" t="str">
        <f>IF(ISNA(VLOOKUP($A60,Kc_Info!$A$4:$V$155,9,FALSE)),"",VLOOKUP($A60,Kc_Info!$A$4:$V$155,9,FALSE))</f>
        <v/>
      </c>
      <c r="J60" s="101" t="str">
        <f>IF(ISNA(VLOOKUP($A60,Kc_Info!$A$4:$V$155,10,FALSE)),"",VLOOKUP($A60,Kc_Info!$A$4:$V$155,10,FALSE))</f>
        <v/>
      </c>
      <c r="K60" s="94" t="str">
        <f>IF(ISNA(VLOOKUP($A60,Kc_Info!$A$4:$V$155,11,FALSE)),"",VLOOKUP($A60,Kc_Info!$A$4:$V$155,11,FALSE))</f>
        <v/>
      </c>
      <c r="L60" s="94" t="str">
        <f>IF(ISNA(VLOOKUP($A60,Kc_Info!$A$4:$V$155,12,FALSE)),"",VLOOKUP($A60,Kc_Info!$A$4:$V$155,12,FALSE))</f>
        <v/>
      </c>
      <c r="M60" s="94" t="str">
        <f>IF(ISNA(VLOOKUP($A60,Kc_Info!$A$4:$V$155,13,FALSE)),"",VLOOKUP($A60,Kc_Info!$A$4:$V$155,13,FALSE))</f>
        <v/>
      </c>
      <c r="N60" s="94" t="str">
        <f>IF(ISNA(VLOOKUP($A60,Kc_Info!$A$4:$V$155,14,FALSE)),"",VLOOKUP($A60,Kc_Info!$A$4:$V$155,14,FALSE))</f>
        <v/>
      </c>
      <c r="O60" s="100" t="str">
        <f>IF(ISNA(VLOOKUP($A60,Kc_Info!$A$4:$V$155,15,FALSE)),"",VLOOKUP($A60,Kc_Info!$A$4:$V$155,15,FALSE))</f>
        <v/>
      </c>
      <c r="P60" s="100" t="str">
        <f>IF(ISNA(VLOOKUP($A60,Kc_Info!$A$4:$V$155,16,FALSE)),"",VLOOKUP($A60,Kc_Info!$A$4:$V$155,16,FALSE))</f>
        <v/>
      </c>
      <c r="Q60" s="100" t="str">
        <f>IF(ISNA(VLOOKUP($A60,Kc_Info!$A$4:$V$155,17,FALSE)),"",VLOOKUP($A60,Kc_Info!$A$4:$V$155,17,FALSE))</f>
        <v/>
      </c>
      <c r="R60" s="100" t="str">
        <f>IF(ISNA(VLOOKUP($A60,Kc_Info!$A$4:$V$155,18,FALSE)),"",VLOOKUP($A60,Kc_Info!$A$4:$V$155,18,FALSE))</f>
        <v/>
      </c>
      <c r="S60" s="100" t="str">
        <f>IF(ISNA(VLOOKUP($A60,Kc_Info!$A$4:$V$155,19,FALSE)),"",VLOOKUP($A60,Kc_Info!$A$4:$V$155,19,FALSE))</f>
        <v/>
      </c>
      <c r="T60" s="94" t="str">
        <f>IF(ISNA(VLOOKUP($A60,Kc_Info!$A$4:$V$155,20,FALSE)),"",VLOOKUP($A60,Kc_Info!$A$4:$V$155,20,FALSE))</f>
        <v/>
      </c>
      <c r="U60" s="94" t="str">
        <f>IF(ISNA(VLOOKUP($A60,Kc_Info!$A$4:$V$155,21,FALSE)),"",VLOOKUP($A60,Kc_Info!$A$4:$V$155,21,FALSE))</f>
        <v/>
      </c>
      <c r="V60" s="94" t="str">
        <f>IF(ISNA(VLOOKUP($A60,Kc_Info!$A$4:$V$155,22,FALSE)),"",VLOOKUP($A60,Kc_Info!$A$4:$V$155,22,FALSE))</f>
        <v/>
      </c>
    </row>
    <row r="61" spans="1:22">
      <c r="A61" s="92"/>
      <c r="B61" s="93" t="str">
        <f>IF(ISNA(VLOOKUP($A61,Kc_Info!$A$4:$V$155,2,FALSE)),"",VLOOKUP($A61,Kc_Info!$A$4:$V$155,2,FALSE))</f>
        <v/>
      </c>
      <c r="C61" s="94" t="str">
        <f>IF(ISNA(VLOOKUP($A61,Kc_Info!$A$4:$V$155,3,FALSE)),"",VLOOKUP($A61,Kc_Info!$A$4:$V$155,3,FALSE))</f>
        <v/>
      </c>
      <c r="D61" s="94" t="str">
        <f>IF(ISNA(VLOOKUP($A61,Kc_Info!$A$4:$V$155,4,FALSE)),"",VLOOKUP($A61,Kc_Info!$A$4:$V$155,4,FALSE))</f>
        <v/>
      </c>
      <c r="E61" s="94" t="str">
        <f>IF(ISNA(VLOOKUP($A61,Kc_Info!$A$4:$V$155,5,FALSE)),"",VLOOKUP($A61,Kc_Info!$A$4:$V$155,5,FALSE))</f>
        <v/>
      </c>
      <c r="F61" s="94" t="str">
        <f>IF(ISNA(VLOOKUP($A61,Kc_Info!$A$4:$V$155,6,FALSE)),"",VLOOKUP($A61,Kc_Info!$A$4:$V$155,6,FALSE))</f>
        <v/>
      </c>
      <c r="G61" s="101" t="str">
        <f>IF(ISNA(VLOOKUP($A61,Kc_Info!$A$4:$V$155,7,FALSE)),"",VLOOKUP($A61,Kc_Info!$A$4:$V$155,7,FALSE))</f>
        <v/>
      </c>
      <c r="H61" s="101" t="str">
        <f>IF(ISNA(VLOOKUP($A61,Kc_Info!$A$4:$V$155,8,FALSE)),"",VLOOKUP($A61,Kc_Info!$A$4:$V$155,8,FALSE))</f>
        <v/>
      </c>
      <c r="I61" s="101" t="str">
        <f>IF(ISNA(VLOOKUP($A61,Kc_Info!$A$4:$V$155,9,FALSE)),"",VLOOKUP($A61,Kc_Info!$A$4:$V$155,9,FALSE))</f>
        <v/>
      </c>
      <c r="J61" s="101" t="str">
        <f>IF(ISNA(VLOOKUP($A61,Kc_Info!$A$4:$V$155,10,FALSE)),"",VLOOKUP($A61,Kc_Info!$A$4:$V$155,10,FALSE))</f>
        <v/>
      </c>
      <c r="K61" s="94" t="str">
        <f>IF(ISNA(VLOOKUP($A61,Kc_Info!$A$4:$V$155,11,FALSE)),"",VLOOKUP($A61,Kc_Info!$A$4:$V$155,11,FALSE))</f>
        <v/>
      </c>
      <c r="L61" s="94" t="str">
        <f>IF(ISNA(VLOOKUP($A61,Kc_Info!$A$4:$V$155,12,FALSE)),"",VLOOKUP($A61,Kc_Info!$A$4:$V$155,12,FALSE))</f>
        <v/>
      </c>
      <c r="M61" s="94" t="str">
        <f>IF(ISNA(VLOOKUP($A61,Kc_Info!$A$4:$V$155,13,FALSE)),"",VLOOKUP($A61,Kc_Info!$A$4:$V$155,13,FALSE))</f>
        <v/>
      </c>
      <c r="N61" s="94" t="str">
        <f>IF(ISNA(VLOOKUP($A61,Kc_Info!$A$4:$V$155,14,FALSE)),"",VLOOKUP($A61,Kc_Info!$A$4:$V$155,14,FALSE))</f>
        <v/>
      </c>
      <c r="O61" s="100" t="str">
        <f>IF(ISNA(VLOOKUP($A61,Kc_Info!$A$4:$V$155,15,FALSE)),"",VLOOKUP($A61,Kc_Info!$A$4:$V$155,15,FALSE))</f>
        <v/>
      </c>
      <c r="P61" s="100" t="str">
        <f>IF(ISNA(VLOOKUP($A61,Kc_Info!$A$4:$V$155,16,FALSE)),"",VLOOKUP($A61,Kc_Info!$A$4:$V$155,16,FALSE))</f>
        <v/>
      </c>
      <c r="Q61" s="100" t="str">
        <f>IF(ISNA(VLOOKUP($A61,Kc_Info!$A$4:$V$155,17,FALSE)),"",VLOOKUP($A61,Kc_Info!$A$4:$V$155,17,FALSE))</f>
        <v/>
      </c>
      <c r="R61" s="100" t="str">
        <f>IF(ISNA(VLOOKUP($A61,Kc_Info!$A$4:$V$155,18,FALSE)),"",VLOOKUP($A61,Kc_Info!$A$4:$V$155,18,FALSE))</f>
        <v/>
      </c>
      <c r="S61" s="100" t="str">
        <f>IF(ISNA(VLOOKUP($A61,Kc_Info!$A$4:$V$155,19,FALSE)),"",VLOOKUP($A61,Kc_Info!$A$4:$V$155,19,FALSE))</f>
        <v/>
      </c>
      <c r="T61" s="94" t="str">
        <f>IF(ISNA(VLOOKUP($A61,Kc_Info!$A$4:$V$155,20,FALSE)),"",VLOOKUP($A61,Kc_Info!$A$4:$V$155,20,FALSE))</f>
        <v/>
      </c>
      <c r="U61" s="94" t="str">
        <f>IF(ISNA(VLOOKUP($A61,Kc_Info!$A$4:$V$155,21,FALSE)),"",VLOOKUP($A61,Kc_Info!$A$4:$V$155,21,FALSE))</f>
        <v/>
      </c>
      <c r="V61" s="94" t="str">
        <f>IF(ISNA(VLOOKUP($A61,Kc_Info!$A$4:$V$155,22,FALSE)),"",VLOOKUP($A61,Kc_Info!$A$4:$V$155,22,FALSE))</f>
        <v/>
      </c>
    </row>
    <row r="62" spans="1:22">
      <c r="A62" s="92"/>
      <c r="B62" s="93" t="str">
        <f>IF(ISNA(VLOOKUP($A62,Kc_Info!$A$4:$V$155,2,FALSE)),"",VLOOKUP($A62,Kc_Info!$A$4:$V$155,2,FALSE))</f>
        <v/>
      </c>
      <c r="C62" s="94" t="str">
        <f>IF(ISNA(VLOOKUP($A62,Kc_Info!$A$4:$V$155,3,FALSE)),"",VLOOKUP($A62,Kc_Info!$A$4:$V$155,3,FALSE))</f>
        <v/>
      </c>
      <c r="D62" s="94" t="str">
        <f>IF(ISNA(VLOOKUP($A62,Kc_Info!$A$4:$V$155,4,FALSE)),"",VLOOKUP($A62,Kc_Info!$A$4:$V$155,4,FALSE))</f>
        <v/>
      </c>
      <c r="E62" s="94" t="str">
        <f>IF(ISNA(VLOOKUP($A62,Kc_Info!$A$4:$V$155,5,FALSE)),"",VLOOKUP($A62,Kc_Info!$A$4:$V$155,5,FALSE))</f>
        <v/>
      </c>
      <c r="F62" s="94" t="str">
        <f>IF(ISNA(VLOOKUP($A62,Kc_Info!$A$4:$V$155,6,FALSE)),"",VLOOKUP($A62,Kc_Info!$A$4:$V$155,6,FALSE))</f>
        <v/>
      </c>
      <c r="G62" s="101" t="str">
        <f>IF(ISNA(VLOOKUP($A62,Kc_Info!$A$4:$V$155,7,FALSE)),"",VLOOKUP($A62,Kc_Info!$A$4:$V$155,7,FALSE))</f>
        <v/>
      </c>
      <c r="H62" s="101" t="str">
        <f>IF(ISNA(VLOOKUP($A62,Kc_Info!$A$4:$V$155,8,FALSE)),"",VLOOKUP($A62,Kc_Info!$A$4:$V$155,8,FALSE))</f>
        <v/>
      </c>
      <c r="I62" s="101" t="str">
        <f>IF(ISNA(VLOOKUP($A62,Kc_Info!$A$4:$V$155,9,FALSE)),"",VLOOKUP($A62,Kc_Info!$A$4:$V$155,9,FALSE))</f>
        <v/>
      </c>
      <c r="J62" s="101" t="str">
        <f>IF(ISNA(VLOOKUP($A62,Kc_Info!$A$4:$V$155,10,FALSE)),"",VLOOKUP($A62,Kc_Info!$A$4:$V$155,10,FALSE))</f>
        <v/>
      </c>
      <c r="K62" s="94" t="str">
        <f>IF(ISNA(VLOOKUP($A62,Kc_Info!$A$4:$V$155,11,FALSE)),"",VLOOKUP($A62,Kc_Info!$A$4:$V$155,11,FALSE))</f>
        <v/>
      </c>
      <c r="L62" s="94" t="str">
        <f>IF(ISNA(VLOOKUP($A62,Kc_Info!$A$4:$V$155,12,FALSE)),"",VLOOKUP($A62,Kc_Info!$A$4:$V$155,12,FALSE))</f>
        <v/>
      </c>
      <c r="M62" s="94" t="str">
        <f>IF(ISNA(VLOOKUP($A62,Kc_Info!$A$4:$V$155,13,FALSE)),"",VLOOKUP($A62,Kc_Info!$A$4:$V$155,13,FALSE))</f>
        <v/>
      </c>
      <c r="N62" s="94" t="str">
        <f>IF(ISNA(VLOOKUP($A62,Kc_Info!$A$4:$V$155,14,FALSE)),"",VLOOKUP($A62,Kc_Info!$A$4:$V$155,14,FALSE))</f>
        <v/>
      </c>
      <c r="O62" s="100" t="str">
        <f>IF(ISNA(VLOOKUP($A62,Kc_Info!$A$4:$V$155,15,FALSE)),"",VLOOKUP($A62,Kc_Info!$A$4:$V$155,15,FALSE))</f>
        <v/>
      </c>
      <c r="P62" s="100" t="str">
        <f>IF(ISNA(VLOOKUP($A62,Kc_Info!$A$4:$V$155,16,FALSE)),"",VLOOKUP($A62,Kc_Info!$A$4:$V$155,16,FALSE))</f>
        <v/>
      </c>
      <c r="Q62" s="100" t="str">
        <f>IF(ISNA(VLOOKUP($A62,Kc_Info!$A$4:$V$155,17,FALSE)),"",VLOOKUP($A62,Kc_Info!$A$4:$V$155,17,FALSE))</f>
        <v/>
      </c>
      <c r="R62" s="100" t="str">
        <f>IF(ISNA(VLOOKUP($A62,Kc_Info!$A$4:$V$155,18,FALSE)),"",VLOOKUP($A62,Kc_Info!$A$4:$V$155,18,FALSE))</f>
        <v/>
      </c>
      <c r="S62" s="100" t="str">
        <f>IF(ISNA(VLOOKUP($A62,Kc_Info!$A$4:$V$155,19,FALSE)),"",VLOOKUP($A62,Kc_Info!$A$4:$V$155,19,FALSE))</f>
        <v/>
      </c>
      <c r="T62" s="94" t="str">
        <f>IF(ISNA(VLOOKUP($A62,Kc_Info!$A$4:$V$155,20,FALSE)),"",VLOOKUP($A62,Kc_Info!$A$4:$V$155,20,FALSE))</f>
        <v/>
      </c>
      <c r="U62" s="94" t="str">
        <f>IF(ISNA(VLOOKUP($A62,Kc_Info!$A$4:$V$155,21,FALSE)),"",VLOOKUP($A62,Kc_Info!$A$4:$V$155,21,FALSE))</f>
        <v/>
      </c>
      <c r="V62" s="94" t="str">
        <f>IF(ISNA(VLOOKUP($A62,Kc_Info!$A$4:$V$155,22,FALSE)),"",VLOOKUP($A62,Kc_Info!$A$4:$V$155,22,FALSE))</f>
        <v/>
      </c>
    </row>
    <row r="63" spans="1:22">
      <c r="A63" s="92"/>
      <c r="B63" s="93" t="str">
        <f>IF(ISNA(VLOOKUP($A63,Kc_Info!$A$4:$V$155,2,FALSE)),"",VLOOKUP($A63,Kc_Info!$A$4:$V$155,2,FALSE))</f>
        <v/>
      </c>
      <c r="C63" s="94" t="str">
        <f>IF(ISNA(VLOOKUP($A63,Kc_Info!$A$4:$V$155,3,FALSE)),"",VLOOKUP($A63,Kc_Info!$A$4:$V$155,3,FALSE))</f>
        <v/>
      </c>
      <c r="D63" s="94" t="str">
        <f>IF(ISNA(VLOOKUP($A63,Kc_Info!$A$4:$V$155,4,FALSE)),"",VLOOKUP($A63,Kc_Info!$A$4:$V$155,4,FALSE))</f>
        <v/>
      </c>
      <c r="E63" s="94" t="str">
        <f>IF(ISNA(VLOOKUP($A63,Kc_Info!$A$4:$V$155,5,FALSE)),"",VLOOKUP($A63,Kc_Info!$A$4:$V$155,5,FALSE))</f>
        <v/>
      </c>
      <c r="F63" s="94" t="str">
        <f>IF(ISNA(VLOOKUP($A63,Kc_Info!$A$4:$V$155,6,FALSE)),"",VLOOKUP($A63,Kc_Info!$A$4:$V$155,6,FALSE))</f>
        <v/>
      </c>
      <c r="G63" s="101" t="str">
        <f>IF(ISNA(VLOOKUP($A63,Kc_Info!$A$4:$V$155,7,FALSE)),"",VLOOKUP($A63,Kc_Info!$A$4:$V$155,7,FALSE))</f>
        <v/>
      </c>
      <c r="H63" s="101" t="str">
        <f>IF(ISNA(VLOOKUP($A63,Kc_Info!$A$4:$V$155,8,FALSE)),"",VLOOKUP($A63,Kc_Info!$A$4:$V$155,8,FALSE))</f>
        <v/>
      </c>
      <c r="I63" s="101" t="str">
        <f>IF(ISNA(VLOOKUP($A63,Kc_Info!$A$4:$V$155,9,FALSE)),"",VLOOKUP($A63,Kc_Info!$A$4:$V$155,9,FALSE))</f>
        <v/>
      </c>
      <c r="J63" s="101" t="str">
        <f>IF(ISNA(VLOOKUP($A63,Kc_Info!$A$4:$V$155,10,FALSE)),"",VLOOKUP($A63,Kc_Info!$A$4:$V$155,10,FALSE))</f>
        <v/>
      </c>
      <c r="K63" s="94" t="str">
        <f>IF(ISNA(VLOOKUP($A63,Kc_Info!$A$4:$V$155,11,FALSE)),"",VLOOKUP($A63,Kc_Info!$A$4:$V$155,11,FALSE))</f>
        <v/>
      </c>
      <c r="L63" s="94" t="str">
        <f>IF(ISNA(VLOOKUP($A63,Kc_Info!$A$4:$V$155,12,FALSE)),"",VLOOKUP($A63,Kc_Info!$A$4:$V$155,12,FALSE))</f>
        <v/>
      </c>
      <c r="M63" s="94" t="str">
        <f>IF(ISNA(VLOOKUP($A63,Kc_Info!$A$4:$V$155,13,FALSE)),"",VLOOKUP($A63,Kc_Info!$A$4:$V$155,13,FALSE))</f>
        <v/>
      </c>
      <c r="N63" s="94" t="str">
        <f>IF(ISNA(VLOOKUP($A63,Kc_Info!$A$4:$V$155,14,FALSE)),"",VLOOKUP($A63,Kc_Info!$A$4:$V$155,14,FALSE))</f>
        <v/>
      </c>
      <c r="O63" s="100" t="str">
        <f>IF(ISNA(VLOOKUP($A63,Kc_Info!$A$4:$V$155,15,FALSE)),"",VLOOKUP($A63,Kc_Info!$A$4:$V$155,15,FALSE))</f>
        <v/>
      </c>
      <c r="P63" s="100" t="str">
        <f>IF(ISNA(VLOOKUP($A63,Kc_Info!$A$4:$V$155,16,FALSE)),"",VLOOKUP($A63,Kc_Info!$A$4:$V$155,16,FALSE))</f>
        <v/>
      </c>
      <c r="Q63" s="100" t="str">
        <f>IF(ISNA(VLOOKUP($A63,Kc_Info!$A$4:$V$155,17,FALSE)),"",VLOOKUP($A63,Kc_Info!$A$4:$V$155,17,FALSE))</f>
        <v/>
      </c>
      <c r="R63" s="100" t="str">
        <f>IF(ISNA(VLOOKUP($A63,Kc_Info!$A$4:$V$155,18,FALSE)),"",VLOOKUP($A63,Kc_Info!$A$4:$V$155,18,FALSE))</f>
        <v/>
      </c>
      <c r="S63" s="100" t="str">
        <f>IF(ISNA(VLOOKUP($A63,Kc_Info!$A$4:$V$155,19,FALSE)),"",VLOOKUP($A63,Kc_Info!$A$4:$V$155,19,FALSE))</f>
        <v/>
      </c>
      <c r="T63" s="94" t="str">
        <f>IF(ISNA(VLOOKUP($A63,Kc_Info!$A$4:$V$155,20,FALSE)),"",VLOOKUP($A63,Kc_Info!$A$4:$V$155,20,FALSE))</f>
        <v/>
      </c>
      <c r="U63" s="94" t="str">
        <f>IF(ISNA(VLOOKUP($A63,Kc_Info!$A$4:$V$155,21,FALSE)),"",VLOOKUP($A63,Kc_Info!$A$4:$V$155,21,FALSE))</f>
        <v/>
      </c>
      <c r="V63" s="94" t="str">
        <f>IF(ISNA(VLOOKUP($A63,Kc_Info!$A$4:$V$155,22,FALSE)),"",VLOOKUP($A63,Kc_Info!$A$4:$V$155,22,FALSE))</f>
        <v/>
      </c>
    </row>
    <row r="64" spans="1:22">
      <c r="A64" s="92"/>
      <c r="B64" s="93" t="str">
        <f>IF(ISNA(VLOOKUP($A64,Kc_Info!$A$4:$V$155,2,FALSE)),"",VLOOKUP($A64,Kc_Info!$A$4:$V$155,2,FALSE))</f>
        <v/>
      </c>
      <c r="C64" s="94" t="str">
        <f>IF(ISNA(VLOOKUP($A64,Kc_Info!$A$4:$V$155,3,FALSE)),"",VLOOKUP($A64,Kc_Info!$A$4:$V$155,3,FALSE))</f>
        <v/>
      </c>
      <c r="D64" s="94" t="str">
        <f>IF(ISNA(VLOOKUP($A64,Kc_Info!$A$4:$V$155,4,FALSE)),"",VLOOKUP($A64,Kc_Info!$A$4:$V$155,4,FALSE))</f>
        <v/>
      </c>
      <c r="E64" s="94" t="str">
        <f>IF(ISNA(VLOOKUP($A64,Kc_Info!$A$4:$V$155,5,FALSE)),"",VLOOKUP($A64,Kc_Info!$A$4:$V$155,5,FALSE))</f>
        <v/>
      </c>
      <c r="F64" s="94" t="str">
        <f>IF(ISNA(VLOOKUP($A64,Kc_Info!$A$4:$V$155,6,FALSE)),"",VLOOKUP($A64,Kc_Info!$A$4:$V$155,6,FALSE))</f>
        <v/>
      </c>
      <c r="G64" s="101" t="str">
        <f>IF(ISNA(VLOOKUP($A64,Kc_Info!$A$4:$V$155,7,FALSE)),"",VLOOKUP($A64,Kc_Info!$A$4:$V$155,7,FALSE))</f>
        <v/>
      </c>
      <c r="H64" s="101" t="str">
        <f>IF(ISNA(VLOOKUP($A64,Kc_Info!$A$4:$V$155,8,FALSE)),"",VLOOKUP($A64,Kc_Info!$A$4:$V$155,8,FALSE))</f>
        <v/>
      </c>
      <c r="I64" s="101" t="str">
        <f>IF(ISNA(VLOOKUP($A64,Kc_Info!$A$4:$V$155,9,FALSE)),"",VLOOKUP($A64,Kc_Info!$A$4:$V$155,9,FALSE))</f>
        <v/>
      </c>
      <c r="J64" s="101" t="str">
        <f>IF(ISNA(VLOOKUP($A64,Kc_Info!$A$4:$V$155,10,FALSE)),"",VLOOKUP($A64,Kc_Info!$A$4:$V$155,10,FALSE))</f>
        <v/>
      </c>
      <c r="K64" s="94" t="str">
        <f>IF(ISNA(VLOOKUP($A64,Kc_Info!$A$4:$V$155,11,FALSE)),"",VLOOKUP($A64,Kc_Info!$A$4:$V$155,11,FALSE))</f>
        <v/>
      </c>
      <c r="L64" s="94" t="str">
        <f>IF(ISNA(VLOOKUP($A64,Kc_Info!$A$4:$V$155,12,FALSE)),"",VLOOKUP($A64,Kc_Info!$A$4:$V$155,12,FALSE))</f>
        <v/>
      </c>
      <c r="M64" s="94" t="str">
        <f>IF(ISNA(VLOOKUP($A64,Kc_Info!$A$4:$V$155,13,FALSE)),"",VLOOKUP($A64,Kc_Info!$A$4:$V$155,13,FALSE))</f>
        <v/>
      </c>
      <c r="N64" s="94" t="str">
        <f>IF(ISNA(VLOOKUP($A64,Kc_Info!$A$4:$V$155,14,FALSE)),"",VLOOKUP($A64,Kc_Info!$A$4:$V$155,14,FALSE))</f>
        <v/>
      </c>
      <c r="O64" s="100" t="str">
        <f>IF(ISNA(VLOOKUP($A64,Kc_Info!$A$4:$V$155,15,FALSE)),"",VLOOKUP($A64,Kc_Info!$A$4:$V$155,15,FALSE))</f>
        <v/>
      </c>
      <c r="P64" s="100" t="str">
        <f>IF(ISNA(VLOOKUP($A64,Kc_Info!$A$4:$V$155,16,FALSE)),"",VLOOKUP($A64,Kc_Info!$A$4:$V$155,16,FALSE))</f>
        <v/>
      </c>
      <c r="Q64" s="100" t="str">
        <f>IF(ISNA(VLOOKUP($A64,Kc_Info!$A$4:$V$155,17,FALSE)),"",VLOOKUP($A64,Kc_Info!$A$4:$V$155,17,FALSE))</f>
        <v/>
      </c>
      <c r="R64" s="100" t="str">
        <f>IF(ISNA(VLOOKUP($A64,Kc_Info!$A$4:$V$155,18,FALSE)),"",VLOOKUP($A64,Kc_Info!$A$4:$V$155,18,FALSE))</f>
        <v/>
      </c>
      <c r="S64" s="100" t="str">
        <f>IF(ISNA(VLOOKUP($A64,Kc_Info!$A$4:$V$155,19,FALSE)),"",VLOOKUP($A64,Kc_Info!$A$4:$V$155,19,FALSE))</f>
        <v/>
      </c>
      <c r="T64" s="94" t="str">
        <f>IF(ISNA(VLOOKUP($A64,Kc_Info!$A$4:$V$155,20,FALSE)),"",VLOOKUP($A64,Kc_Info!$A$4:$V$155,20,FALSE))</f>
        <v/>
      </c>
      <c r="U64" s="94" t="str">
        <f>IF(ISNA(VLOOKUP($A64,Kc_Info!$A$4:$V$155,21,FALSE)),"",VLOOKUP($A64,Kc_Info!$A$4:$V$155,21,FALSE))</f>
        <v/>
      </c>
      <c r="V64" s="94" t="str">
        <f>IF(ISNA(VLOOKUP($A64,Kc_Info!$A$4:$V$155,22,FALSE)),"",VLOOKUP($A64,Kc_Info!$A$4:$V$155,22,FALSE))</f>
        <v/>
      </c>
    </row>
    <row r="65" spans="1:22">
      <c r="A65" s="92"/>
      <c r="B65" s="93" t="str">
        <f>IF(ISNA(VLOOKUP($A65,Kc_Info!$A$4:$V$155,2,FALSE)),"",VLOOKUP($A65,Kc_Info!$A$4:$V$155,2,FALSE))</f>
        <v/>
      </c>
      <c r="C65" s="94" t="str">
        <f>IF(ISNA(VLOOKUP($A65,Kc_Info!$A$4:$V$155,3,FALSE)),"",VLOOKUP($A65,Kc_Info!$A$4:$V$155,3,FALSE))</f>
        <v/>
      </c>
      <c r="D65" s="94" t="str">
        <f>IF(ISNA(VLOOKUP($A65,Kc_Info!$A$4:$V$155,4,FALSE)),"",VLOOKUP($A65,Kc_Info!$A$4:$V$155,4,FALSE))</f>
        <v/>
      </c>
      <c r="E65" s="94" t="str">
        <f>IF(ISNA(VLOOKUP($A65,Kc_Info!$A$4:$V$155,5,FALSE)),"",VLOOKUP($A65,Kc_Info!$A$4:$V$155,5,FALSE))</f>
        <v/>
      </c>
      <c r="F65" s="94" t="str">
        <f>IF(ISNA(VLOOKUP($A65,Kc_Info!$A$4:$V$155,6,FALSE)),"",VLOOKUP($A65,Kc_Info!$A$4:$V$155,6,FALSE))</f>
        <v/>
      </c>
      <c r="G65" s="101" t="str">
        <f>IF(ISNA(VLOOKUP($A65,Kc_Info!$A$4:$V$155,7,FALSE)),"",VLOOKUP($A65,Kc_Info!$A$4:$V$155,7,FALSE))</f>
        <v/>
      </c>
      <c r="H65" s="101" t="str">
        <f>IF(ISNA(VLOOKUP($A65,Kc_Info!$A$4:$V$155,8,FALSE)),"",VLOOKUP($A65,Kc_Info!$A$4:$V$155,8,FALSE))</f>
        <v/>
      </c>
      <c r="I65" s="101" t="str">
        <f>IF(ISNA(VLOOKUP($A65,Kc_Info!$A$4:$V$155,9,FALSE)),"",VLOOKUP($A65,Kc_Info!$A$4:$V$155,9,FALSE))</f>
        <v/>
      </c>
      <c r="J65" s="101" t="str">
        <f>IF(ISNA(VLOOKUP($A65,Kc_Info!$A$4:$V$155,10,FALSE)),"",VLOOKUP($A65,Kc_Info!$A$4:$V$155,10,FALSE))</f>
        <v/>
      </c>
      <c r="K65" s="94" t="str">
        <f>IF(ISNA(VLOOKUP($A65,Kc_Info!$A$4:$V$155,11,FALSE)),"",VLOOKUP($A65,Kc_Info!$A$4:$V$155,11,FALSE))</f>
        <v/>
      </c>
      <c r="L65" s="94" t="str">
        <f>IF(ISNA(VLOOKUP($A65,Kc_Info!$A$4:$V$155,12,FALSE)),"",VLOOKUP($A65,Kc_Info!$A$4:$V$155,12,FALSE))</f>
        <v/>
      </c>
      <c r="M65" s="94" t="str">
        <f>IF(ISNA(VLOOKUP($A65,Kc_Info!$A$4:$V$155,13,FALSE)),"",VLOOKUP($A65,Kc_Info!$A$4:$V$155,13,FALSE))</f>
        <v/>
      </c>
      <c r="N65" s="94" t="str">
        <f>IF(ISNA(VLOOKUP($A65,Kc_Info!$A$4:$V$155,14,FALSE)),"",VLOOKUP($A65,Kc_Info!$A$4:$V$155,14,FALSE))</f>
        <v/>
      </c>
      <c r="O65" s="100" t="str">
        <f>IF(ISNA(VLOOKUP($A65,Kc_Info!$A$4:$V$155,15,FALSE)),"",VLOOKUP($A65,Kc_Info!$A$4:$V$155,15,FALSE))</f>
        <v/>
      </c>
      <c r="P65" s="100" t="str">
        <f>IF(ISNA(VLOOKUP($A65,Kc_Info!$A$4:$V$155,16,FALSE)),"",VLOOKUP($A65,Kc_Info!$A$4:$V$155,16,FALSE))</f>
        <v/>
      </c>
      <c r="Q65" s="100" t="str">
        <f>IF(ISNA(VLOOKUP($A65,Kc_Info!$A$4:$V$155,17,FALSE)),"",VLOOKUP($A65,Kc_Info!$A$4:$V$155,17,FALSE))</f>
        <v/>
      </c>
      <c r="R65" s="100" t="str">
        <f>IF(ISNA(VLOOKUP($A65,Kc_Info!$A$4:$V$155,18,FALSE)),"",VLOOKUP($A65,Kc_Info!$A$4:$V$155,18,FALSE))</f>
        <v/>
      </c>
      <c r="S65" s="100" t="str">
        <f>IF(ISNA(VLOOKUP($A65,Kc_Info!$A$4:$V$155,19,FALSE)),"",VLOOKUP($A65,Kc_Info!$A$4:$V$155,19,FALSE))</f>
        <v/>
      </c>
      <c r="T65" s="94" t="str">
        <f>IF(ISNA(VLOOKUP($A65,Kc_Info!$A$4:$V$155,20,FALSE)),"",VLOOKUP($A65,Kc_Info!$A$4:$V$155,20,FALSE))</f>
        <v/>
      </c>
      <c r="U65" s="94" t="str">
        <f>IF(ISNA(VLOOKUP($A65,Kc_Info!$A$4:$V$155,21,FALSE)),"",VLOOKUP($A65,Kc_Info!$A$4:$V$155,21,FALSE))</f>
        <v/>
      </c>
      <c r="V65" s="94" t="str">
        <f>IF(ISNA(VLOOKUP($A65,Kc_Info!$A$4:$V$155,22,FALSE)),"",VLOOKUP($A65,Kc_Info!$A$4:$V$155,22,FALSE))</f>
        <v/>
      </c>
    </row>
    <row r="66" spans="1:22">
      <c r="A66" s="92"/>
      <c r="B66" s="93" t="str">
        <f>IF(ISNA(VLOOKUP($A66,Kc_Info!$A$4:$V$155,2,FALSE)),"",VLOOKUP($A66,Kc_Info!$A$4:$V$155,2,FALSE))</f>
        <v/>
      </c>
      <c r="C66" s="94" t="str">
        <f>IF(ISNA(VLOOKUP($A66,Kc_Info!$A$4:$V$155,3,FALSE)),"",VLOOKUP($A66,Kc_Info!$A$4:$V$155,3,FALSE))</f>
        <v/>
      </c>
      <c r="D66" s="94" t="str">
        <f>IF(ISNA(VLOOKUP($A66,Kc_Info!$A$4:$V$155,4,FALSE)),"",VLOOKUP($A66,Kc_Info!$A$4:$V$155,4,FALSE))</f>
        <v/>
      </c>
      <c r="E66" s="94" t="str">
        <f>IF(ISNA(VLOOKUP($A66,Kc_Info!$A$4:$V$155,5,FALSE)),"",VLOOKUP($A66,Kc_Info!$A$4:$V$155,5,FALSE))</f>
        <v/>
      </c>
      <c r="F66" s="94" t="str">
        <f>IF(ISNA(VLOOKUP($A66,Kc_Info!$A$4:$V$155,6,FALSE)),"",VLOOKUP($A66,Kc_Info!$A$4:$V$155,6,FALSE))</f>
        <v/>
      </c>
      <c r="G66" s="101" t="str">
        <f>IF(ISNA(VLOOKUP($A66,Kc_Info!$A$4:$V$155,7,FALSE)),"",VLOOKUP($A66,Kc_Info!$A$4:$V$155,7,FALSE))</f>
        <v/>
      </c>
      <c r="H66" s="101" t="str">
        <f>IF(ISNA(VLOOKUP($A66,Kc_Info!$A$4:$V$155,8,FALSE)),"",VLOOKUP($A66,Kc_Info!$A$4:$V$155,8,FALSE))</f>
        <v/>
      </c>
      <c r="I66" s="101" t="str">
        <f>IF(ISNA(VLOOKUP($A66,Kc_Info!$A$4:$V$155,9,FALSE)),"",VLOOKUP($A66,Kc_Info!$A$4:$V$155,9,FALSE))</f>
        <v/>
      </c>
      <c r="J66" s="101" t="str">
        <f>IF(ISNA(VLOOKUP($A66,Kc_Info!$A$4:$V$155,10,FALSE)),"",VLOOKUP($A66,Kc_Info!$A$4:$V$155,10,FALSE))</f>
        <v/>
      </c>
      <c r="K66" s="94" t="str">
        <f>IF(ISNA(VLOOKUP($A66,Kc_Info!$A$4:$V$155,11,FALSE)),"",VLOOKUP($A66,Kc_Info!$A$4:$V$155,11,FALSE))</f>
        <v/>
      </c>
      <c r="L66" s="94" t="str">
        <f>IF(ISNA(VLOOKUP($A66,Kc_Info!$A$4:$V$155,12,FALSE)),"",VLOOKUP($A66,Kc_Info!$A$4:$V$155,12,FALSE))</f>
        <v/>
      </c>
      <c r="M66" s="94" t="str">
        <f>IF(ISNA(VLOOKUP($A66,Kc_Info!$A$4:$V$155,13,FALSE)),"",VLOOKUP($A66,Kc_Info!$A$4:$V$155,13,FALSE))</f>
        <v/>
      </c>
      <c r="N66" s="94" t="str">
        <f>IF(ISNA(VLOOKUP($A66,Kc_Info!$A$4:$V$155,14,FALSE)),"",VLOOKUP($A66,Kc_Info!$A$4:$V$155,14,FALSE))</f>
        <v/>
      </c>
      <c r="O66" s="100" t="str">
        <f>IF(ISNA(VLOOKUP($A66,Kc_Info!$A$4:$V$155,15,FALSE)),"",VLOOKUP($A66,Kc_Info!$A$4:$V$155,15,FALSE))</f>
        <v/>
      </c>
      <c r="P66" s="100" t="str">
        <f>IF(ISNA(VLOOKUP($A66,Kc_Info!$A$4:$V$155,16,FALSE)),"",VLOOKUP($A66,Kc_Info!$A$4:$V$155,16,FALSE))</f>
        <v/>
      </c>
      <c r="Q66" s="100" t="str">
        <f>IF(ISNA(VLOOKUP($A66,Kc_Info!$A$4:$V$155,17,FALSE)),"",VLOOKUP($A66,Kc_Info!$A$4:$V$155,17,FALSE))</f>
        <v/>
      </c>
      <c r="R66" s="100" t="str">
        <f>IF(ISNA(VLOOKUP($A66,Kc_Info!$A$4:$V$155,18,FALSE)),"",VLOOKUP($A66,Kc_Info!$A$4:$V$155,18,FALSE))</f>
        <v/>
      </c>
      <c r="S66" s="100" t="str">
        <f>IF(ISNA(VLOOKUP($A66,Kc_Info!$A$4:$V$155,19,FALSE)),"",VLOOKUP($A66,Kc_Info!$A$4:$V$155,19,FALSE))</f>
        <v/>
      </c>
      <c r="T66" s="94" t="str">
        <f>IF(ISNA(VLOOKUP($A66,Kc_Info!$A$4:$V$155,20,FALSE)),"",VLOOKUP($A66,Kc_Info!$A$4:$V$155,20,FALSE))</f>
        <v/>
      </c>
      <c r="U66" s="94" t="str">
        <f>IF(ISNA(VLOOKUP($A66,Kc_Info!$A$4:$V$155,21,FALSE)),"",VLOOKUP($A66,Kc_Info!$A$4:$V$155,21,FALSE))</f>
        <v/>
      </c>
      <c r="V66" s="94" t="str">
        <f>IF(ISNA(VLOOKUP($A66,Kc_Info!$A$4:$V$155,22,FALSE)),"",VLOOKUP($A66,Kc_Info!$A$4:$V$155,22,FALSE))</f>
        <v/>
      </c>
    </row>
    <row r="67" spans="1:22">
      <c r="A67" s="92"/>
      <c r="B67" s="93" t="str">
        <f>IF(ISNA(VLOOKUP($A67,Kc_Info!$A$4:$V$155,2,FALSE)),"",VLOOKUP($A67,Kc_Info!$A$4:$V$155,2,FALSE))</f>
        <v/>
      </c>
      <c r="C67" s="94" t="str">
        <f>IF(ISNA(VLOOKUP($A67,Kc_Info!$A$4:$V$155,3,FALSE)),"",VLOOKUP($A67,Kc_Info!$A$4:$V$155,3,FALSE))</f>
        <v/>
      </c>
      <c r="D67" s="94" t="str">
        <f>IF(ISNA(VLOOKUP($A67,Kc_Info!$A$4:$V$155,4,FALSE)),"",VLOOKUP($A67,Kc_Info!$A$4:$V$155,4,FALSE))</f>
        <v/>
      </c>
      <c r="E67" s="94" t="str">
        <f>IF(ISNA(VLOOKUP($A67,Kc_Info!$A$4:$V$155,5,FALSE)),"",VLOOKUP($A67,Kc_Info!$A$4:$V$155,5,FALSE))</f>
        <v/>
      </c>
      <c r="F67" s="94" t="str">
        <f>IF(ISNA(VLOOKUP($A67,Kc_Info!$A$4:$V$155,6,FALSE)),"",VLOOKUP($A67,Kc_Info!$A$4:$V$155,6,FALSE))</f>
        <v/>
      </c>
      <c r="G67" s="101" t="str">
        <f>IF(ISNA(VLOOKUP($A67,Kc_Info!$A$4:$V$155,7,FALSE)),"",VLOOKUP($A67,Kc_Info!$A$4:$V$155,7,FALSE))</f>
        <v/>
      </c>
      <c r="H67" s="101" t="str">
        <f>IF(ISNA(VLOOKUP($A67,Kc_Info!$A$4:$V$155,8,FALSE)),"",VLOOKUP($A67,Kc_Info!$A$4:$V$155,8,FALSE))</f>
        <v/>
      </c>
      <c r="I67" s="101" t="str">
        <f>IF(ISNA(VLOOKUP($A67,Kc_Info!$A$4:$V$155,9,FALSE)),"",VLOOKUP($A67,Kc_Info!$A$4:$V$155,9,FALSE))</f>
        <v/>
      </c>
      <c r="J67" s="101" t="str">
        <f>IF(ISNA(VLOOKUP($A67,Kc_Info!$A$4:$V$155,10,FALSE)),"",VLOOKUP($A67,Kc_Info!$A$4:$V$155,10,FALSE))</f>
        <v/>
      </c>
      <c r="K67" s="94" t="str">
        <f>IF(ISNA(VLOOKUP($A67,Kc_Info!$A$4:$V$155,11,FALSE)),"",VLOOKUP($A67,Kc_Info!$A$4:$V$155,11,FALSE))</f>
        <v/>
      </c>
      <c r="L67" s="94" t="str">
        <f>IF(ISNA(VLOOKUP($A67,Kc_Info!$A$4:$V$155,12,FALSE)),"",VLOOKUP($A67,Kc_Info!$A$4:$V$155,12,FALSE))</f>
        <v/>
      </c>
      <c r="M67" s="94" t="str">
        <f>IF(ISNA(VLOOKUP($A67,Kc_Info!$A$4:$V$155,13,FALSE)),"",VLOOKUP($A67,Kc_Info!$A$4:$V$155,13,FALSE))</f>
        <v/>
      </c>
      <c r="N67" s="94" t="str">
        <f>IF(ISNA(VLOOKUP($A67,Kc_Info!$A$4:$V$155,14,FALSE)),"",VLOOKUP($A67,Kc_Info!$A$4:$V$155,14,FALSE))</f>
        <v/>
      </c>
      <c r="O67" s="100" t="str">
        <f>IF(ISNA(VLOOKUP($A67,Kc_Info!$A$4:$V$155,15,FALSE)),"",VLOOKUP($A67,Kc_Info!$A$4:$V$155,15,FALSE))</f>
        <v/>
      </c>
      <c r="P67" s="100" t="str">
        <f>IF(ISNA(VLOOKUP($A67,Kc_Info!$A$4:$V$155,16,FALSE)),"",VLOOKUP($A67,Kc_Info!$A$4:$V$155,16,FALSE))</f>
        <v/>
      </c>
      <c r="Q67" s="100" t="str">
        <f>IF(ISNA(VLOOKUP($A67,Kc_Info!$A$4:$V$155,17,FALSE)),"",VLOOKUP($A67,Kc_Info!$A$4:$V$155,17,FALSE))</f>
        <v/>
      </c>
      <c r="R67" s="100" t="str">
        <f>IF(ISNA(VLOOKUP($A67,Kc_Info!$A$4:$V$155,18,FALSE)),"",VLOOKUP($A67,Kc_Info!$A$4:$V$155,18,FALSE))</f>
        <v/>
      </c>
      <c r="S67" s="100" t="str">
        <f>IF(ISNA(VLOOKUP($A67,Kc_Info!$A$4:$V$155,19,FALSE)),"",VLOOKUP($A67,Kc_Info!$A$4:$V$155,19,FALSE))</f>
        <v/>
      </c>
      <c r="T67" s="94" t="str">
        <f>IF(ISNA(VLOOKUP($A67,Kc_Info!$A$4:$V$155,20,FALSE)),"",VLOOKUP($A67,Kc_Info!$A$4:$V$155,20,FALSE))</f>
        <v/>
      </c>
      <c r="U67" s="94" t="str">
        <f>IF(ISNA(VLOOKUP($A67,Kc_Info!$A$4:$V$155,21,FALSE)),"",VLOOKUP($A67,Kc_Info!$A$4:$V$155,21,FALSE))</f>
        <v/>
      </c>
      <c r="V67" s="94" t="str">
        <f>IF(ISNA(VLOOKUP($A67,Kc_Info!$A$4:$V$155,22,FALSE)),"",VLOOKUP($A67,Kc_Info!$A$4:$V$155,22,FALSE))</f>
        <v/>
      </c>
    </row>
    <row r="68" spans="1:22">
      <c r="A68" s="92"/>
      <c r="B68" s="93" t="str">
        <f>IF(ISNA(VLOOKUP($A68,Kc_Info!$A$4:$V$155,2,FALSE)),"",VLOOKUP($A68,Kc_Info!$A$4:$V$155,2,FALSE))</f>
        <v/>
      </c>
      <c r="C68" s="94" t="str">
        <f>IF(ISNA(VLOOKUP($A68,Kc_Info!$A$4:$V$155,3,FALSE)),"",VLOOKUP($A68,Kc_Info!$A$4:$V$155,3,FALSE))</f>
        <v/>
      </c>
      <c r="D68" s="94" t="str">
        <f>IF(ISNA(VLOOKUP($A68,Kc_Info!$A$4:$V$155,4,FALSE)),"",VLOOKUP($A68,Kc_Info!$A$4:$V$155,4,FALSE))</f>
        <v/>
      </c>
      <c r="E68" s="94" t="str">
        <f>IF(ISNA(VLOOKUP($A68,Kc_Info!$A$4:$V$155,5,FALSE)),"",VLOOKUP($A68,Kc_Info!$A$4:$V$155,5,FALSE))</f>
        <v/>
      </c>
      <c r="F68" s="94" t="str">
        <f>IF(ISNA(VLOOKUP($A68,Kc_Info!$A$4:$V$155,6,FALSE)),"",VLOOKUP($A68,Kc_Info!$A$4:$V$155,6,FALSE))</f>
        <v/>
      </c>
      <c r="G68" s="101" t="str">
        <f>IF(ISNA(VLOOKUP($A68,Kc_Info!$A$4:$V$155,7,FALSE)),"",VLOOKUP($A68,Kc_Info!$A$4:$V$155,7,FALSE))</f>
        <v/>
      </c>
      <c r="H68" s="101" t="str">
        <f>IF(ISNA(VLOOKUP($A68,Kc_Info!$A$4:$V$155,8,FALSE)),"",VLOOKUP($A68,Kc_Info!$A$4:$V$155,8,FALSE))</f>
        <v/>
      </c>
      <c r="I68" s="101" t="str">
        <f>IF(ISNA(VLOOKUP($A68,Kc_Info!$A$4:$V$155,9,FALSE)),"",VLOOKUP($A68,Kc_Info!$A$4:$V$155,9,FALSE))</f>
        <v/>
      </c>
      <c r="J68" s="101" t="str">
        <f>IF(ISNA(VLOOKUP($A68,Kc_Info!$A$4:$V$155,10,FALSE)),"",VLOOKUP($A68,Kc_Info!$A$4:$V$155,10,FALSE))</f>
        <v/>
      </c>
      <c r="K68" s="94" t="str">
        <f>IF(ISNA(VLOOKUP($A68,Kc_Info!$A$4:$V$155,11,FALSE)),"",VLOOKUP($A68,Kc_Info!$A$4:$V$155,11,FALSE))</f>
        <v/>
      </c>
      <c r="L68" s="94" t="str">
        <f>IF(ISNA(VLOOKUP($A68,Kc_Info!$A$4:$V$155,12,FALSE)),"",VLOOKUP($A68,Kc_Info!$A$4:$V$155,12,FALSE))</f>
        <v/>
      </c>
      <c r="M68" s="94" t="str">
        <f>IF(ISNA(VLOOKUP($A68,Kc_Info!$A$4:$V$155,13,FALSE)),"",VLOOKUP($A68,Kc_Info!$A$4:$V$155,13,FALSE))</f>
        <v/>
      </c>
      <c r="N68" s="94" t="str">
        <f>IF(ISNA(VLOOKUP($A68,Kc_Info!$A$4:$V$155,14,FALSE)),"",VLOOKUP($A68,Kc_Info!$A$4:$V$155,14,FALSE))</f>
        <v/>
      </c>
      <c r="O68" s="100" t="str">
        <f>IF(ISNA(VLOOKUP($A68,Kc_Info!$A$4:$V$155,15,FALSE)),"",VLOOKUP($A68,Kc_Info!$A$4:$V$155,15,FALSE))</f>
        <v/>
      </c>
      <c r="P68" s="100" t="str">
        <f>IF(ISNA(VLOOKUP($A68,Kc_Info!$A$4:$V$155,16,FALSE)),"",VLOOKUP($A68,Kc_Info!$A$4:$V$155,16,FALSE))</f>
        <v/>
      </c>
      <c r="Q68" s="100" t="str">
        <f>IF(ISNA(VLOOKUP($A68,Kc_Info!$A$4:$V$155,17,FALSE)),"",VLOOKUP($A68,Kc_Info!$A$4:$V$155,17,FALSE))</f>
        <v/>
      </c>
      <c r="R68" s="100" t="str">
        <f>IF(ISNA(VLOOKUP($A68,Kc_Info!$A$4:$V$155,18,FALSE)),"",VLOOKUP($A68,Kc_Info!$A$4:$V$155,18,FALSE))</f>
        <v/>
      </c>
      <c r="S68" s="100" t="str">
        <f>IF(ISNA(VLOOKUP($A68,Kc_Info!$A$4:$V$155,19,FALSE)),"",VLOOKUP($A68,Kc_Info!$A$4:$V$155,19,FALSE))</f>
        <v/>
      </c>
      <c r="T68" s="94" t="str">
        <f>IF(ISNA(VLOOKUP($A68,Kc_Info!$A$4:$V$155,20,FALSE)),"",VLOOKUP($A68,Kc_Info!$A$4:$V$155,20,FALSE))</f>
        <v/>
      </c>
      <c r="U68" s="94" t="str">
        <f>IF(ISNA(VLOOKUP($A68,Kc_Info!$A$4:$V$155,21,FALSE)),"",VLOOKUP($A68,Kc_Info!$A$4:$V$155,21,FALSE))</f>
        <v/>
      </c>
      <c r="V68" s="94" t="str">
        <f>IF(ISNA(VLOOKUP($A68,Kc_Info!$A$4:$V$155,22,FALSE)),"",VLOOKUP($A68,Kc_Info!$A$4:$V$155,22,FALSE))</f>
        <v/>
      </c>
    </row>
    <row r="69" spans="1:22">
      <c r="A69" s="92"/>
      <c r="B69" s="93" t="str">
        <f>IF(ISNA(VLOOKUP($A69,Kc_Info!$A$4:$V$155,2,FALSE)),"",VLOOKUP($A69,Kc_Info!$A$4:$V$155,2,FALSE))</f>
        <v/>
      </c>
      <c r="C69" s="94" t="str">
        <f>IF(ISNA(VLOOKUP($A69,Kc_Info!$A$4:$V$155,3,FALSE)),"",VLOOKUP($A69,Kc_Info!$A$4:$V$155,3,FALSE))</f>
        <v/>
      </c>
      <c r="D69" s="94" t="str">
        <f>IF(ISNA(VLOOKUP($A69,Kc_Info!$A$4:$V$155,4,FALSE)),"",VLOOKUP($A69,Kc_Info!$A$4:$V$155,4,FALSE))</f>
        <v/>
      </c>
      <c r="E69" s="94" t="str">
        <f>IF(ISNA(VLOOKUP($A69,Kc_Info!$A$4:$V$155,5,FALSE)),"",VLOOKUP($A69,Kc_Info!$A$4:$V$155,5,FALSE))</f>
        <v/>
      </c>
      <c r="F69" s="94" t="str">
        <f>IF(ISNA(VLOOKUP($A69,Kc_Info!$A$4:$V$155,6,FALSE)),"",VLOOKUP($A69,Kc_Info!$A$4:$V$155,6,FALSE))</f>
        <v/>
      </c>
      <c r="G69" s="101" t="str">
        <f>IF(ISNA(VLOOKUP($A69,Kc_Info!$A$4:$V$155,7,FALSE)),"",VLOOKUP($A69,Kc_Info!$A$4:$V$155,7,FALSE))</f>
        <v/>
      </c>
      <c r="H69" s="101" t="str">
        <f>IF(ISNA(VLOOKUP($A69,Kc_Info!$A$4:$V$155,8,FALSE)),"",VLOOKUP($A69,Kc_Info!$A$4:$V$155,8,FALSE))</f>
        <v/>
      </c>
      <c r="I69" s="101" t="str">
        <f>IF(ISNA(VLOOKUP($A69,Kc_Info!$A$4:$V$155,9,FALSE)),"",VLOOKUP($A69,Kc_Info!$A$4:$V$155,9,FALSE))</f>
        <v/>
      </c>
      <c r="J69" s="101" t="str">
        <f>IF(ISNA(VLOOKUP($A69,Kc_Info!$A$4:$V$155,10,FALSE)),"",VLOOKUP($A69,Kc_Info!$A$4:$V$155,10,FALSE))</f>
        <v/>
      </c>
      <c r="K69" s="94" t="str">
        <f>IF(ISNA(VLOOKUP($A69,Kc_Info!$A$4:$V$155,11,FALSE)),"",VLOOKUP($A69,Kc_Info!$A$4:$V$155,11,FALSE))</f>
        <v/>
      </c>
      <c r="L69" s="94" t="str">
        <f>IF(ISNA(VLOOKUP($A69,Kc_Info!$A$4:$V$155,12,FALSE)),"",VLOOKUP($A69,Kc_Info!$A$4:$V$155,12,FALSE))</f>
        <v/>
      </c>
      <c r="M69" s="94" t="str">
        <f>IF(ISNA(VLOOKUP($A69,Kc_Info!$A$4:$V$155,13,FALSE)),"",VLOOKUP($A69,Kc_Info!$A$4:$V$155,13,FALSE))</f>
        <v/>
      </c>
      <c r="N69" s="94" t="str">
        <f>IF(ISNA(VLOOKUP($A69,Kc_Info!$A$4:$V$155,14,FALSE)),"",VLOOKUP($A69,Kc_Info!$A$4:$V$155,14,FALSE))</f>
        <v/>
      </c>
      <c r="O69" s="100" t="str">
        <f>IF(ISNA(VLOOKUP($A69,Kc_Info!$A$4:$V$155,15,FALSE)),"",VLOOKUP($A69,Kc_Info!$A$4:$V$155,15,FALSE))</f>
        <v/>
      </c>
      <c r="P69" s="100" t="str">
        <f>IF(ISNA(VLOOKUP($A69,Kc_Info!$A$4:$V$155,16,FALSE)),"",VLOOKUP($A69,Kc_Info!$A$4:$V$155,16,FALSE))</f>
        <v/>
      </c>
      <c r="Q69" s="100" t="str">
        <f>IF(ISNA(VLOOKUP($A69,Kc_Info!$A$4:$V$155,17,FALSE)),"",VLOOKUP($A69,Kc_Info!$A$4:$V$155,17,FALSE))</f>
        <v/>
      </c>
      <c r="R69" s="100" t="str">
        <f>IF(ISNA(VLOOKUP($A69,Kc_Info!$A$4:$V$155,18,FALSE)),"",VLOOKUP($A69,Kc_Info!$A$4:$V$155,18,FALSE))</f>
        <v/>
      </c>
      <c r="S69" s="100" t="str">
        <f>IF(ISNA(VLOOKUP($A69,Kc_Info!$A$4:$V$155,19,FALSE)),"",VLOOKUP($A69,Kc_Info!$A$4:$V$155,19,FALSE))</f>
        <v/>
      </c>
      <c r="T69" s="94" t="str">
        <f>IF(ISNA(VLOOKUP($A69,Kc_Info!$A$4:$V$155,20,FALSE)),"",VLOOKUP($A69,Kc_Info!$A$4:$V$155,20,FALSE))</f>
        <v/>
      </c>
      <c r="U69" s="94" t="str">
        <f>IF(ISNA(VLOOKUP($A69,Kc_Info!$A$4:$V$155,21,FALSE)),"",VLOOKUP($A69,Kc_Info!$A$4:$V$155,21,FALSE))</f>
        <v/>
      </c>
      <c r="V69" s="94" t="str">
        <f>IF(ISNA(VLOOKUP($A69,Kc_Info!$A$4:$V$155,22,FALSE)),"",VLOOKUP($A69,Kc_Info!$A$4:$V$155,22,FALSE))</f>
        <v/>
      </c>
    </row>
    <row r="70" spans="1:22">
      <c r="A70" s="92"/>
      <c r="B70" s="93" t="str">
        <f>IF(ISNA(VLOOKUP($A70,Kc_Info!$A$4:$V$155,2,FALSE)),"",VLOOKUP($A70,Kc_Info!$A$4:$V$155,2,FALSE))</f>
        <v/>
      </c>
      <c r="C70" s="94" t="str">
        <f>IF(ISNA(VLOOKUP($A70,Kc_Info!$A$4:$V$155,3,FALSE)),"",VLOOKUP($A70,Kc_Info!$A$4:$V$155,3,FALSE))</f>
        <v/>
      </c>
      <c r="D70" s="94" t="str">
        <f>IF(ISNA(VLOOKUP($A70,Kc_Info!$A$4:$V$155,4,FALSE)),"",VLOOKUP($A70,Kc_Info!$A$4:$V$155,4,FALSE))</f>
        <v/>
      </c>
      <c r="E70" s="94" t="str">
        <f>IF(ISNA(VLOOKUP($A70,Kc_Info!$A$4:$V$155,5,FALSE)),"",VLOOKUP($A70,Kc_Info!$A$4:$V$155,5,FALSE))</f>
        <v/>
      </c>
      <c r="F70" s="94" t="str">
        <f>IF(ISNA(VLOOKUP($A70,Kc_Info!$A$4:$V$155,6,FALSE)),"",VLOOKUP($A70,Kc_Info!$A$4:$V$155,6,FALSE))</f>
        <v/>
      </c>
      <c r="G70" s="101" t="str">
        <f>IF(ISNA(VLOOKUP($A70,Kc_Info!$A$4:$V$155,7,FALSE)),"",VLOOKUP($A70,Kc_Info!$A$4:$V$155,7,FALSE))</f>
        <v/>
      </c>
      <c r="H70" s="101" t="str">
        <f>IF(ISNA(VLOOKUP($A70,Kc_Info!$A$4:$V$155,8,FALSE)),"",VLOOKUP($A70,Kc_Info!$A$4:$V$155,8,FALSE))</f>
        <v/>
      </c>
      <c r="I70" s="101" t="str">
        <f>IF(ISNA(VLOOKUP($A70,Kc_Info!$A$4:$V$155,9,FALSE)),"",VLOOKUP($A70,Kc_Info!$A$4:$V$155,9,FALSE))</f>
        <v/>
      </c>
      <c r="J70" s="101" t="str">
        <f>IF(ISNA(VLOOKUP($A70,Kc_Info!$A$4:$V$155,10,FALSE)),"",VLOOKUP($A70,Kc_Info!$A$4:$V$155,10,FALSE))</f>
        <v/>
      </c>
      <c r="K70" s="94" t="str">
        <f>IF(ISNA(VLOOKUP($A70,Kc_Info!$A$4:$V$155,11,FALSE)),"",VLOOKUP($A70,Kc_Info!$A$4:$V$155,11,FALSE))</f>
        <v/>
      </c>
      <c r="L70" s="94" t="str">
        <f>IF(ISNA(VLOOKUP($A70,Kc_Info!$A$4:$V$155,12,FALSE)),"",VLOOKUP($A70,Kc_Info!$A$4:$V$155,12,FALSE))</f>
        <v/>
      </c>
      <c r="M70" s="94" t="str">
        <f>IF(ISNA(VLOOKUP($A70,Kc_Info!$A$4:$V$155,13,FALSE)),"",VLOOKUP($A70,Kc_Info!$A$4:$V$155,13,FALSE))</f>
        <v/>
      </c>
      <c r="N70" s="94" t="str">
        <f>IF(ISNA(VLOOKUP($A70,Kc_Info!$A$4:$V$155,14,FALSE)),"",VLOOKUP($A70,Kc_Info!$A$4:$V$155,14,FALSE))</f>
        <v/>
      </c>
      <c r="O70" s="100" t="str">
        <f>IF(ISNA(VLOOKUP($A70,Kc_Info!$A$4:$V$155,15,FALSE)),"",VLOOKUP($A70,Kc_Info!$A$4:$V$155,15,FALSE))</f>
        <v/>
      </c>
      <c r="P70" s="100" t="str">
        <f>IF(ISNA(VLOOKUP($A70,Kc_Info!$A$4:$V$155,16,FALSE)),"",VLOOKUP($A70,Kc_Info!$A$4:$V$155,16,FALSE))</f>
        <v/>
      </c>
      <c r="Q70" s="100" t="str">
        <f>IF(ISNA(VLOOKUP($A70,Kc_Info!$A$4:$V$155,17,FALSE)),"",VLOOKUP($A70,Kc_Info!$A$4:$V$155,17,FALSE))</f>
        <v/>
      </c>
      <c r="R70" s="100" t="str">
        <f>IF(ISNA(VLOOKUP($A70,Kc_Info!$A$4:$V$155,18,FALSE)),"",VLOOKUP($A70,Kc_Info!$A$4:$V$155,18,FALSE))</f>
        <v/>
      </c>
      <c r="S70" s="100" t="str">
        <f>IF(ISNA(VLOOKUP($A70,Kc_Info!$A$4:$V$155,19,FALSE)),"",VLOOKUP($A70,Kc_Info!$A$4:$V$155,19,FALSE))</f>
        <v/>
      </c>
      <c r="T70" s="94" t="str">
        <f>IF(ISNA(VLOOKUP($A70,Kc_Info!$A$4:$V$155,20,FALSE)),"",VLOOKUP($A70,Kc_Info!$A$4:$V$155,20,FALSE))</f>
        <v/>
      </c>
      <c r="U70" s="94" t="str">
        <f>IF(ISNA(VLOOKUP($A70,Kc_Info!$A$4:$V$155,21,FALSE)),"",VLOOKUP($A70,Kc_Info!$A$4:$V$155,21,FALSE))</f>
        <v/>
      </c>
      <c r="V70" s="94" t="str">
        <f>IF(ISNA(VLOOKUP($A70,Kc_Info!$A$4:$V$155,22,FALSE)),"",VLOOKUP($A70,Kc_Info!$A$4:$V$155,22,FALSE))</f>
        <v/>
      </c>
    </row>
    <row r="71" spans="1:22">
      <c r="A71" s="92"/>
      <c r="B71" s="93" t="str">
        <f>IF(ISNA(VLOOKUP($A71,Kc_Info!$A$4:$V$155,2,FALSE)),"",VLOOKUP($A71,Kc_Info!$A$4:$V$155,2,FALSE))</f>
        <v/>
      </c>
      <c r="C71" s="94" t="str">
        <f>IF(ISNA(VLOOKUP($A71,Kc_Info!$A$4:$V$155,3,FALSE)),"",VLOOKUP($A71,Kc_Info!$A$4:$V$155,3,FALSE))</f>
        <v/>
      </c>
      <c r="D71" s="94" t="str">
        <f>IF(ISNA(VLOOKUP($A71,Kc_Info!$A$4:$V$155,4,FALSE)),"",VLOOKUP($A71,Kc_Info!$A$4:$V$155,4,FALSE))</f>
        <v/>
      </c>
      <c r="E71" s="94" t="str">
        <f>IF(ISNA(VLOOKUP($A71,Kc_Info!$A$4:$V$155,5,FALSE)),"",VLOOKUP($A71,Kc_Info!$A$4:$V$155,5,FALSE))</f>
        <v/>
      </c>
      <c r="F71" s="94" t="str">
        <f>IF(ISNA(VLOOKUP($A71,Kc_Info!$A$4:$V$155,6,FALSE)),"",VLOOKUP($A71,Kc_Info!$A$4:$V$155,6,FALSE))</f>
        <v/>
      </c>
      <c r="G71" s="101" t="str">
        <f>IF(ISNA(VLOOKUP($A71,Kc_Info!$A$4:$V$155,7,FALSE)),"",VLOOKUP($A71,Kc_Info!$A$4:$V$155,7,FALSE))</f>
        <v/>
      </c>
      <c r="H71" s="101" t="str">
        <f>IF(ISNA(VLOOKUP($A71,Kc_Info!$A$4:$V$155,8,FALSE)),"",VLOOKUP($A71,Kc_Info!$A$4:$V$155,8,FALSE))</f>
        <v/>
      </c>
      <c r="I71" s="101" t="str">
        <f>IF(ISNA(VLOOKUP($A71,Kc_Info!$A$4:$V$155,9,FALSE)),"",VLOOKUP($A71,Kc_Info!$A$4:$V$155,9,FALSE))</f>
        <v/>
      </c>
      <c r="J71" s="101" t="str">
        <f>IF(ISNA(VLOOKUP($A71,Kc_Info!$A$4:$V$155,10,FALSE)),"",VLOOKUP($A71,Kc_Info!$A$4:$V$155,10,FALSE))</f>
        <v/>
      </c>
      <c r="K71" s="94" t="str">
        <f>IF(ISNA(VLOOKUP($A71,Kc_Info!$A$4:$V$155,11,FALSE)),"",VLOOKUP($A71,Kc_Info!$A$4:$V$155,11,FALSE))</f>
        <v/>
      </c>
      <c r="L71" s="94" t="str">
        <f>IF(ISNA(VLOOKUP($A71,Kc_Info!$A$4:$V$155,12,FALSE)),"",VLOOKUP($A71,Kc_Info!$A$4:$V$155,12,FALSE))</f>
        <v/>
      </c>
      <c r="M71" s="94" t="str">
        <f>IF(ISNA(VLOOKUP($A71,Kc_Info!$A$4:$V$155,13,FALSE)),"",VLOOKUP($A71,Kc_Info!$A$4:$V$155,13,FALSE))</f>
        <v/>
      </c>
      <c r="N71" s="94" t="str">
        <f>IF(ISNA(VLOOKUP($A71,Kc_Info!$A$4:$V$155,14,FALSE)),"",VLOOKUP($A71,Kc_Info!$A$4:$V$155,14,FALSE))</f>
        <v/>
      </c>
      <c r="O71" s="100" t="str">
        <f>IF(ISNA(VLOOKUP($A71,Kc_Info!$A$4:$V$155,15,FALSE)),"",VLOOKUP($A71,Kc_Info!$A$4:$V$155,15,FALSE))</f>
        <v/>
      </c>
      <c r="P71" s="100" t="str">
        <f>IF(ISNA(VLOOKUP($A71,Kc_Info!$A$4:$V$155,16,FALSE)),"",VLOOKUP($A71,Kc_Info!$A$4:$V$155,16,FALSE))</f>
        <v/>
      </c>
      <c r="Q71" s="100" t="str">
        <f>IF(ISNA(VLOOKUP($A71,Kc_Info!$A$4:$V$155,17,FALSE)),"",VLOOKUP($A71,Kc_Info!$A$4:$V$155,17,FALSE))</f>
        <v/>
      </c>
      <c r="R71" s="100" t="str">
        <f>IF(ISNA(VLOOKUP($A71,Kc_Info!$A$4:$V$155,18,FALSE)),"",VLOOKUP($A71,Kc_Info!$A$4:$V$155,18,FALSE))</f>
        <v/>
      </c>
      <c r="S71" s="100" t="str">
        <f>IF(ISNA(VLOOKUP($A71,Kc_Info!$A$4:$V$155,19,FALSE)),"",VLOOKUP($A71,Kc_Info!$A$4:$V$155,19,FALSE))</f>
        <v/>
      </c>
      <c r="T71" s="94" t="str">
        <f>IF(ISNA(VLOOKUP($A71,Kc_Info!$A$4:$V$155,20,FALSE)),"",VLOOKUP($A71,Kc_Info!$A$4:$V$155,20,FALSE))</f>
        <v/>
      </c>
      <c r="U71" s="94" t="str">
        <f>IF(ISNA(VLOOKUP($A71,Kc_Info!$A$4:$V$155,21,FALSE)),"",VLOOKUP($A71,Kc_Info!$A$4:$V$155,21,FALSE))</f>
        <v/>
      </c>
      <c r="V71" s="94" t="str">
        <f>IF(ISNA(VLOOKUP($A71,Kc_Info!$A$4:$V$155,22,FALSE)),"",VLOOKUP($A71,Kc_Info!$A$4:$V$155,22,FALSE))</f>
        <v/>
      </c>
    </row>
    <row r="72" spans="1:22">
      <c r="A72" s="92"/>
      <c r="B72" s="93" t="str">
        <f>IF(ISNA(VLOOKUP($A72,Kc_Info!$A$4:$V$155,2,FALSE)),"",VLOOKUP($A72,Kc_Info!$A$4:$V$155,2,FALSE))</f>
        <v/>
      </c>
      <c r="C72" s="94" t="str">
        <f>IF(ISNA(VLOOKUP($A72,Kc_Info!$A$4:$V$155,3,FALSE)),"",VLOOKUP($A72,Kc_Info!$A$4:$V$155,3,FALSE))</f>
        <v/>
      </c>
      <c r="D72" s="94" t="str">
        <f>IF(ISNA(VLOOKUP($A72,Kc_Info!$A$4:$V$155,4,FALSE)),"",VLOOKUP($A72,Kc_Info!$A$4:$V$155,4,FALSE))</f>
        <v/>
      </c>
      <c r="E72" s="94" t="str">
        <f>IF(ISNA(VLOOKUP($A72,Kc_Info!$A$4:$V$155,5,FALSE)),"",VLOOKUP($A72,Kc_Info!$A$4:$V$155,5,FALSE))</f>
        <v/>
      </c>
      <c r="F72" s="94" t="str">
        <f>IF(ISNA(VLOOKUP($A72,Kc_Info!$A$4:$V$155,6,FALSE)),"",VLOOKUP($A72,Kc_Info!$A$4:$V$155,6,FALSE))</f>
        <v/>
      </c>
      <c r="G72" s="101" t="str">
        <f>IF(ISNA(VLOOKUP($A72,Kc_Info!$A$4:$V$155,7,FALSE)),"",VLOOKUP($A72,Kc_Info!$A$4:$V$155,7,FALSE))</f>
        <v/>
      </c>
      <c r="H72" s="101" t="str">
        <f>IF(ISNA(VLOOKUP($A72,Kc_Info!$A$4:$V$155,8,FALSE)),"",VLOOKUP($A72,Kc_Info!$A$4:$V$155,8,FALSE))</f>
        <v/>
      </c>
      <c r="I72" s="101" t="str">
        <f>IF(ISNA(VLOOKUP($A72,Kc_Info!$A$4:$V$155,9,FALSE)),"",VLOOKUP($A72,Kc_Info!$A$4:$V$155,9,FALSE))</f>
        <v/>
      </c>
      <c r="J72" s="101" t="str">
        <f>IF(ISNA(VLOOKUP($A72,Kc_Info!$A$4:$V$155,10,FALSE)),"",VLOOKUP($A72,Kc_Info!$A$4:$V$155,10,FALSE))</f>
        <v/>
      </c>
      <c r="K72" s="94" t="str">
        <f>IF(ISNA(VLOOKUP($A72,Kc_Info!$A$4:$V$155,11,FALSE)),"",VLOOKUP($A72,Kc_Info!$A$4:$V$155,11,FALSE))</f>
        <v/>
      </c>
      <c r="L72" s="94" t="str">
        <f>IF(ISNA(VLOOKUP($A72,Kc_Info!$A$4:$V$155,12,FALSE)),"",VLOOKUP($A72,Kc_Info!$A$4:$V$155,12,FALSE))</f>
        <v/>
      </c>
      <c r="M72" s="94" t="str">
        <f>IF(ISNA(VLOOKUP($A72,Kc_Info!$A$4:$V$155,13,FALSE)),"",VLOOKUP($A72,Kc_Info!$A$4:$V$155,13,FALSE))</f>
        <v/>
      </c>
      <c r="N72" s="94" t="str">
        <f>IF(ISNA(VLOOKUP($A72,Kc_Info!$A$4:$V$155,14,FALSE)),"",VLOOKUP($A72,Kc_Info!$A$4:$V$155,14,FALSE))</f>
        <v/>
      </c>
      <c r="O72" s="100" t="str">
        <f>IF(ISNA(VLOOKUP($A72,Kc_Info!$A$4:$V$155,15,FALSE)),"",VLOOKUP($A72,Kc_Info!$A$4:$V$155,15,FALSE))</f>
        <v/>
      </c>
      <c r="P72" s="100" t="str">
        <f>IF(ISNA(VLOOKUP($A72,Kc_Info!$A$4:$V$155,16,FALSE)),"",VLOOKUP($A72,Kc_Info!$A$4:$V$155,16,FALSE))</f>
        <v/>
      </c>
      <c r="Q72" s="100" t="str">
        <f>IF(ISNA(VLOOKUP($A72,Kc_Info!$A$4:$V$155,17,FALSE)),"",VLOOKUP($A72,Kc_Info!$A$4:$V$155,17,FALSE))</f>
        <v/>
      </c>
      <c r="R72" s="100" t="str">
        <f>IF(ISNA(VLOOKUP($A72,Kc_Info!$A$4:$V$155,18,FALSE)),"",VLOOKUP($A72,Kc_Info!$A$4:$V$155,18,FALSE))</f>
        <v/>
      </c>
      <c r="S72" s="100" t="str">
        <f>IF(ISNA(VLOOKUP($A72,Kc_Info!$A$4:$V$155,19,FALSE)),"",VLOOKUP($A72,Kc_Info!$A$4:$V$155,19,FALSE))</f>
        <v/>
      </c>
      <c r="T72" s="94" t="str">
        <f>IF(ISNA(VLOOKUP($A72,Kc_Info!$A$4:$V$155,20,FALSE)),"",VLOOKUP($A72,Kc_Info!$A$4:$V$155,20,FALSE))</f>
        <v/>
      </c>
      <c r="U72" s="94" t="str">
        <f>IF(ISNA(VLOOKUP($A72,Kc_Info!$A$4:$V$155,21,FALSE)),"",VLOOKUP($A72,Kc_Info!$A$4:$V$155,21,FALSE))</f>
        <v/>
      </c>
      <c r="V72" s="94" t="str">
        <f>IF(ISNA(VLOOKUP($A72,Kc_Info!$A$4:$V$155,22,FALSE)),"",VLOOKUP($A72,Kc_Info!$A$4:$V$155,22,FALSE))</f>
        <v/>
      </c>
    </row>
    <row r="73" spans="1:22">
      <c r="A73" s="92"/>
      <c r="B73" s="93" t="str">
        <f>IF(ISNA(VLOOKUP($A73,Kc_Info!$A$4:$V$155,2,FALSE)),"",VLOOKUP($A73,Kc_Info!$A$4:$V$155,2,FALSE))</f>
        <v/>
      </c>
      <c r="C73" s="94" t="str">
        <f>IF(ISNA(VLOOKUP($A73,Kc_Info!$A$4:$V$155,3,FALSE)),"",VLOOKUP($A73,Kc_Info!$A$4:$V$155,3,FALSE))</f>
        <v/>
      </c>
      <c r="D73" s="94" t="str">
        <f>IF(ISNA(VLOOKUP($A73,Kc_Info!$A$4:$V$155,4,FALSE)),"",VLOOKUP($A73,Kc_Info!$A$4:$V$155,4,FALSE))</f>
        <v/>
      </c>
      <c r="E73" s="94" t="str">
        <f>IF(ISNA(VLOOKUP($A73,Kc_Info!$A$4:$V$155,5,FALSE)),"",VLOOKUP($A73,Kc_Info!$A$4:$V$155,5,FALSE))</f>
        <v/>
      </c>
      <c r="F73" s="94" t="str">
        <f>IF(ISNA(VLOOKUP($A73,Kc_Info!$A$4:$V$155,6,FALSE)),"",VLOOKUP($A73,Kc_Info!$A$4:$V$155,6,FALSE))</f>
        <v/>
      </c>
      <c r="G73" s="101" t="str">
        <f>IF(ISNA(VLOOKUP($A73,Kc_Info!$A$4:$V$155,7,FALSE)),"",VLOOKUP($A73,Kc_Info!$A$4:$V$155,7,FALSE))</f>
        <v/>
      </c>
      <c r="H73" s="101" t="str">
        <f>IF(ISNA(VLOOKUP($A73,Kc_Info!$A$4:$V$155,8,FALSE)),"",VLOOKUP($A73,Kc_Info!$A$4:$V$155,8,FALSE))</f>
        <v/>
      </c>
      <c r="I73" s="101" t="str">
        <f>IF(ISNA(VLOOKUP($A73,Kc_Info!$A$4:$V$155,9,FALSE)),"",VLOOKUP($A73,Kc_Info!$A$4:$V$155,9,FALSE))</f>
        <v/>
      </c>
      <c r="J73" s="101" t="str">
        <f>IF(ISNA(VLOOKUP($A73,Kc_Info!$A$4:$V$155,10,FALSE)),"",VLOOKUP($A73,Kc_Info!$A$4:$V$155,10,FALSE))</f>
        <v/>
      </c>
      <c r="K73" s="94" t="str">
        <f>IF(ISNA(VLOOKUP($A73,Kc_Info!$A$4:$V$155,11,FALSE)),"",VLOOKUP($A73,Kc_Info!$A$4:$V$155,11,FALSE))</f>
        <v/>
      </c>
      <c r="L73" s="94" t="str">
        <f>IF(ISNA(VLOOKUP($A73,Kc_Info!$A$4:$V$155,12,FALSE)),"",VLOOKUP($A73,Kc_Info!$A$4:$V$155,12,FALSE))</f>
        <v/>
      </c>
      <c r="M73" s="94" t="str">
        <f>IF(ISNA(VLOOKUP($A73,Kc_Info!$A$4:$V$155,13,FALSE)),"",VLOOKUP($A73,Kc_Info!$A$4:$V$155,13,FALSE))</f>
        <v/>
      </c>
      <c r="N73" s="94" t="str">
        <f>IF(ISNA(VLOOKUP($A73,Kc_Info!$A$4:$V$155,14,FALSE)),"",VLOOKUP($A73,Kc_Info!$A$4:$V$155,14,FALSE))</f>
        <v/>
      </c>
      <c r="O73" s="100" t="str">
        <f>IF(ISNA(VLOOKUP($A73,Kc_Info!$A$4:$V$155,15,FALSE)),"",VLOOKUP($A73,Kc_Info!$A$4:$V$155,15,FALSE))</f>
        <v/>
      </c>
      <c r="P73" s="100" t="str">
        <f>IF(ISNA(VLOOKUP($A73,Kc_Info!$A$4:$V$155,16,FALSE)),"",VLOOKUP($A73,Kc_Info!$A$4:$V$155,16,FALSE))</f>
        <v/>
      </c>
      <c r="Q73" s="100" t="str">
        <f>IF(ISNA(VLOOKUP($A73,Kc_Info!$A$4:$V$155,17,FALSE)),"",VLOOKUP($A73,Kc_Info!$A$4:$V$155,17,FALSE))</f>
        <v/>
      </c>
      <c r="R73" s="100" t="str">
        <f>IF(ISNA(VLOOKUP($A73,Kc_Info!$A$4:$V$155,18,FALSE)),"",VLOOKUP($A73,Kc_Info!$A$4:$V$155,18,FALSE))</f>
        <v/>
      </c>
      <c r="S73" s="100" t="str">
        <f>IF(ISNA(VLOOKUP($A73,Kc_Info!$A$4:$V$155,19,FALSE)),"",VLOOKUP($A73,Kc_Info!$A$4:$V$155,19,FALSE))</f>
        <v/>
      </c>
      <c r="T73" s="94" t="str">
        <f>IF(ISNA(VLOOKUP($A73,Kc_Info!$A$4:$V$155,20,FALSE)),"",VLOOKUP($A73,Kc_Info!$A$4:$V$155,20,FALSE))</f>
        <v/>
      </c>
      <c r="U73" s="94" t="str">
        <f>IF(ISNA(VLOOKUP($A73,Kc_Info!$A$4:$V$155,21,FALSE)),"",VLOOKUP($A73,Kc_Info!$A$4:$V$155,21,FALSE))</f>
        <v/>
      </c>
      <c r="V73" s="94" t="str">
        <f>IF(ISNA(VLOOKUP($A73,Kc_Info!$A$4:$V$155,22,FALSE)),"",VLOOKUP($A73,Kc_Info!$A$4:$V$155,22,FALSE))</f>
        <v/>
      </c>
    </row>
    <row r="74" spans="1:22">
      <c r="A74" s="92"/>
      <c r="B74" s="93" t="str">
        <f>IF(ISNA(VLOOKUP($A74,Kc_Info!$A$4:$V$155,2,FALSE)),"",VLOOKUP($A74,Kc_Info!$A$4:$V$155,2,FALSE))</f>
        <v/>
      </c>
      <c r="C74" s="94" t="str">
        <f>IF(ISNA(VLOOKUP($A74,Kc_Info!$A$4:$V$155,3,FALSE)),"",VLOOKUP($A74,Kc_Info!$A$4:$V$155,3,FALSE))</f>
        <v/>
      </c>
      <c r="D74" s="94" t="str">
        <f>IF(ISNA(VLOOKUP($A74,Kc_Info!$A$4:$V$155,4,FALSE)),"",VLOOKUP($A74,Kc_Info!$A$4:$V$155,4,FALSE))</f>
        <v/>
      </c>
      <c r="E74" s="94" t="str">
        <f>IF(ISNA(VLOOKUP($A74,Kc_Info!$A$4:$V$155,5,FALSE)),"",VLOOKUP($A74,Kc_Info!$A$4:$V$155,5,FALSE))</f>
        <v/>
      </c>
      <c r="F74" s="94" t="str">
        <f>IF(ISNA(VLOOKUP($A74,Kc_Info!$A$4:$V$155,6,FALSE)),"",VLOOKUP($A74,Kc_Info!$A$4:$V$155,6,FALSE))</f>
        <v/>
      </c>
      <c r="G74" s="101" t="str">
        <f>IF(ISNA(VLOOKUP($A74,Kc_Info!$A$4:$V$155,7,FALSE)),"",VLOOKUP($A74,Kc_Info!$A$4:$V$155,7,FALSE))</f>
        <v/>
      </c>
      <c r="H74" s="101" t="str">
        <f>IF(ISNA(VLOOKUP($A74,Kc_Info!$A$4:$V$155,8,FALSE)),"",VLOOKUP($A74,Kc_Info!$A$4:$V$155,8,FALSE))</f>
        <v/>
      </c>
      <c r="I74" s="101" t="str">
        <f>IF(ISNA(VLOOKUP($A74,Kc_Info!$A$4:$V$155,9,FALSE)),"",VLOOKUP($A74,Kc_Info!$A$4:$V$155,9,FALSE))</f>
        <v/>
      </c>
      <c r="J74" s="101" t="str">
        <f>IF(ISNA(VLOOKUP($A74,Kc_Info!$A$4:$V$155,10,FALSE)),"",VLOOKUP($A74,Kc_Info!$A$4:$V$155,10,FALSE))</f>
        <v/>
      </c>
      <c r="K74" s="94" t="str">
        <f>IF(ISNA(VLOOKUP($A74,Kc_Info!$A$4:$V$155,11,FALSE)),"",VLOOKUP($A74,Kc_Info!$A$4:$V$155,11,FALSE))</f>
        <v/>
      </c>
      <c r="L74" s="94" t="str">
        <f>IF(ISNA(VLOOKUP($A74,Kc_Info!$A$4:$V$155,12,FALSE)),"",VLOOKUP($A74,Kc_Info!$A$4:$V$155,12,FALSE))</f>
        <v/>
      </c>
      <c r="M74" s="94" t="str">
        <f>IF(ISNA(VLOOKUP($A74,Kc_Info!$A$4:$V$155,13,FALSE)),"",VLOOKUP($A74,Kc_Info!$A$4:$V$155,13,FALSE))</f>
        <v/>
      </c>
      <c r="N74" s="94" t="str">
        <f>IF(ISNA(VLOOKUP($A74,Kc_Info!$A$4:$V$155,14,FALSE)),"",VLOOKUP($A74,Kc_Info!$A$4:$V$155,14,FALSE))</f>
        <v/>
      </c>
      <c r="O74" s="100" t="str">
        <f>IF(ISNA(VLOOKUP($A74,Kc_Info!$A$4:$V$155,15,FALSE)),"",VLOOKUP($A74,Kc_Info!$A$4:$V$155,15,FALSE))</f>
        <v/>
      </c>
      <c r="P74" s="100" t="str">
        <f>IF(ISNA(VLOOKUP($A74,Kc_Info!$A$4:$V$155,16,FALSE)),"",VLOOKUP($A74,Kc_Info!$A$4:$V$155,16,FALSE))</f>
        <v/>
      </c>
      <c r="Q74" s="100" t="str">
        <f>IF(ISNA(VLOOKUP($A74,Kc_Info!$A$4:$V$155,17,FALSE)),"",VLOOKUP($A74,Kc_Info!$A$4:$V$155,17,FALSE))</f>
        <v/>
      </c>
      <c r="R74" s="100" t="str">
        <f>IF(ISNA(VLOOKUP($A74,Kc_Info!$A$4:$V$155,18,FALSE)),"",VLOOKUP($A74,Kc_Info!$A$4:$V$155,18,FALSE))</f>
        <v/>
      </c>
      <c r="S74" s="100" t="str">
        <f>IF(ISNA(VLOOKUP($A74,Kc_Info!$A$4:$V$155,19,FALSE)),"",VLOOKUP($A74,Kc_Info!$A$4:$V$155,19,FALSE))</f>
        <v/>
      </c>
      <c r="T74" s="94" t="str">
        <f>IF(ISNA(VLOOKUP($A74,Kc_Info!$A$4:$V$155,20,FALSE)),"",VLOOKUP($A74,Kc_Info!$A$4:$V$155,20,FALSE))</f>
        <v/>
      </c>
      <c r="U74" s="94" t="str">
        <f>IF(ISNA(VLOOKUP($A74,Kc_Info!$A$4:$V$155,21,FALSE)),"",VLOOKUP($A74,Kc_Info!$A$4:$V$155,21,FALSE))</f>
        <v/>
      </c>
      <c r="V74" s="94" t="str">
        <f>IF(ISNA(VLOOKUP($A74,Kc_Info!$A$4:$V$155,22,FALSE)),"",VLOOKUP($A74,Kc_Info!$A$4:$V$155,22,FALSE))</f>
        <v/>
      </c>
    </row>
    <row r="75" spans="1:22">
      <c r="A75" s="92"/>
      <c r="B75" s="93" t="str">
        <f>IF(ISNA(VLOOKUP($A75,Kc_Info!$A$4:$V$155,2,FALSE)),"",VLOOKUP($A75,Kc_Info!$A$4:$V$155,2,FALSE))</f>
        <v/>
      </c>
      <c r="C75" s="94" t="str">
        <f>IF(ISNA(VLOOKUP($A75,Kc_Info!$A$4:$V$155,3,FALSE)),"",VLOOKUP($A75,Kc_Info!$A$4:$V$155,3,FALSE))</f>
        <v/>
      </c>
      <c r="D75" s="94" t="str">
        <f>IF(ISNA(VLOOKUP($A75,Kc_Info!$A$4:$V$155,4,FALSE)),"",VLOOKUP($A75,Kc_Info!$A$4:$V$155,4,FALSE))</f>
        <v/>
      </c>
      <c r="E75" s="94" t="str">
        <f>IF(ISNA(VLOOKUP($A75,Kc_Info!$A$4:$V$155,5,FALSE)),"",VLOOKUP($A75,Kc_Info!$A$4:$V$155,5,FALSE))</f>
        <v/>
      </c>
      <c r="F75" s="94" t="str">
        <f>IF(ISNA(VLOOKUP($A75,Kc_Info!$A$4:$V$155,6,FALSE)),"",VLOOKUP($A75,Kc_Info!$A$4:$V$155,6,FALSE))</f>
        <v/>
      </c>
      <c r="G75" s="101" t="str">
        <f>IF(ISNA(VLOOKUP($A75,Kc_Info!$A$4:$V$155,7,FALSE)),"",VLOOKUP($A75,Kc_Info!$A$4:$V$155,7,FALSE))</f>
        <v/>
      </c>
      <c r="H75" s="101" t="str">
        <f>IF(ISNA(VLOOKUP($A75,Kc_Info!$A$4:$V$155,8,FALSE)),"",VLOOKUP($A75,Kc_Info!$A$4:$V$155,8,FALSE))</f>
        <v/>
      </c>
      <c r="I75" s="101" t="str">
        <f>IF(ISNA(VLOOKUP($A75,Kc_Info!$A$4:$V$155,9,FALSE)),"",VLOOKUP($A75,Kc_Info!$A$4:$V$155,9,FALSE))</f>
        <v/>
      </c>
      <c r="J75" s="101" t="str">
        <f>IF(ISNA(VLOOKUP($A75,Kc_Info!$A$4:$V$155,10,FALSE)),"",VLOOKUP($A75,Kc_Info!$A$4:$V$155,10,FALSE))</f>
        <v/>
      </c>
      <c r="K75" s="94" t="str">
        <f>IF(ISNA(VLOOKUP($A75,Kc_Info!$A$4:$V$155,11,FALSE)),"",VLOOKUP($A75,Kc_Info!$A$4:$V$155,11,FALSE))</f>
        <v/>
      </c>
      <c r="L75" s="94" t="str">
        <f>IF(ISNA(VLOOKUP($A75,Kc_Info!$A$4:$V$155,12,FALSE)),"",VLOOKUP($A75,Kc_Info!$A$4:$V$155,12,FALSE))</f>
        <v/>
      </c>
      <c r="M75" s="94" t="str">
        <f>IF(ISNA(VLOOKUP($A75,Kc_Info!$A$4:$V$155,13,FALSE)),"",VLOOKUP($A75,Kc_Info!$A$4:$V$155,13,FALSE))</f>
        <v/>
      </c>
      <c r="N75" s="94" t="str">
        <f>IF(ISNA(VLOOKUP($A75,Kc_Info!$A$4:$V$155,14,FALSE)),"",VLOOKUP($A75,Kc_Info!$A$4:$V$155,14,FALSE))</f>
        <v/>
      </c>
      <c r="O75" s="100" t="str">
        <f>IF(ISNA(VLOOKUP($A75,Kc_Info!$A$4:$V$155,15,FALSE)),"",VLOOKUP($A75,Kc_Info!$A$4:$V$155,15,FALSE))</f>
        <v/>
      </c>
      <c r="P75" s="100" t="str">
        <f>IF(ISNA(VLOOKUP($A75,Kc_Info!$A$4:$V$155,16,FALSE)),"",VLOOKUP($A75,Kc_Info!$A$4:$V$155,16,FALSE))</f>
        <v/>
      </c>
      <c r="Q75" s="100" t="str">
        <f>IF(ISNA(VLOOKUP($A75,Kc_Info!$A$4:$V$155,17,FALSE)),"",VLOOKUP($A75,Kc_Info!$A$4:$V$155,17,FALSE))</f>
        <v/>
      </c>
      <c r="R75" s="100" t="str">
        <f>IF(ISNA(VLOOKUP($A75,Kc_Info!$A$4:$V$155,18,FALSE)),"",VLOOKUP($A75,Kc_Info!$A$4:$V$155,18,FALSE))</f>
        <v/>
      </c>
      <c r="S75" s="100" t="str">
        <f>IF(ISNA(VLOOKUP($A75,Kc_Info!$A$4:$V$155,19,FALSE)),"",VLOOKUP($A75,Kc_Info!$A$4:$V$155,19,FALSE))</f>
        <v/>
      </c>
      <c r="T75" s="94" t="str">
        <f>IF(ISNA(VLOOKUP($A75,Kc_Info!$A$4:$V$155,20,FALSE)),"",VLOOKUP($A75,Kc_Info!$A$4:$V$155,20,FALSE))</f>
        <v/>
      </c>
      <c r="U75" s="94" t="str">
        <f>IF(ISNA(VLOOKUP($A75,Kc_Info!$A$4:$V$155,21,FALSE)),"",VLOOKUP($A75,Kc_Info!$A$4:$V$155,21,FALSE))</f>
        <v/>
      </c>
      <c r="V75" s="94" t="str">
        <f>IF(ISNA(VLOOKUP($A75,Kc_Info!$A$4:$V$155,22,FALSE)),"",VLOOKUP($A75,Kc_Info!$A$4:$V$155,22,FALSE))</f>
        <v/>
      </c>
    </row>
    <row r="76" spans="1:22">
      <c r="A76" s="92"/>
      <c r="B76" s="93" t="str">
        <f>IF(ISNA(VLOOKUP($A76,Kc_Info!$A$4:$V$155,2,FALSE)),"",VLOOKUP($A76,Kc_Info!$A$4:$V$155,2,FALSE))</f>
        <v/>
      </c>
      <c r="C76" s="94" t="str">
        <f>IF(ISNA(VLOOKUP($A76,Kc_Info!$A$4:$V$155,3,FALSE)),"",VLOOKUP($A76,Kc_Info!$A$4:$V$155,3,FALSE))</f>
        <v/>
      </c>
      <c r="D76" s="94" t="str">
        <f>IF(ISNA(VLOOKUP($A76,Kc_Info!$A$4:$V$155,4,FALSE)),"",VLOOKUP($A76,Kc_Info!$A$4:$V$155,4,FALSE))</f>
        <v/>
      </c>
      <c r="E76" s="94" t="str">
        <f>IF(ISNA(VLOOKUP($A76,Kc_Info!$A$4:$V$155,5,FALSE)),"",VLOOKUP($A76,Kc_Info!$A$4:$V$155,5,FALSE))</f>
        <v/>
      </c>
      <c r="F76" s="94" t="str">
        <f>IF(ISNA(VLOOKUP($A76,Kc_Info!$A$4:$V$155,6,FALSE)),"",VLOOKUP($A76,Kc_Info!$A$4:$V$155,6,FALSE))</f>
        <v/>
      </c>
      <c r="G76" s="101" t="str">
        <f>IF(ISNA(VLOOKUP($A76,Kc_Info!$A$4:$V$155,7,FALSE)),"",VLOOKUP($A76,Kc_Info!$A$4:$V$155,7,FALSE))</f>
        <v/>
      </c>
      <c r="H76" s="101" t="str">
        <f>IF(ISNA(VLOOKUP($A76,Kc_Info!$A$4:$V$155,8,FALSE)),"",VLOOKUP($A76,Kc_Info!$A$4:$V$155,8,FALSE))</f>
        <v/>
      </c>
      <c r="I76" s="101" t="str">
        <f>IF(ISNA(VLOOKUP($A76,Kc_Info!$A$4:$V$155,9,FALSE)),"",VLOOKUP($A76,Kc_Info!$A$4:$V$155,9,FALSE))</f>
        <v/>
      </c>
      <c r="J76" s="101" t="str">
        <f>IF(ISNA(VLOOKUP($A76,Kc_Info!$A$4:$V$155,10,FALSE)),"",VLOOKUP($A76,Kc_Info!$A$4:$V$155,10,FALSE))</f>
        <v/>
      </c>
      <c r="K76" s="94" t="str">
        <f>IF(ISNA(VLOOKUP($A76,Kc_Info!$A$4:$V$155,11,FALSE)),"",VLOOKUP($A76,Kc_Info!$A$4:$V$155,11,FALSE))</f>
        <v/>
      </c>
      <c r="L76" s="94" t="str">
        <f>IF(ISNA(VLOOKUP($A76,Kc_Info!$A$4:$V$155,12,FALSE)),"",VLOOKUP($A76,Kc_Info!$A$4:$V$155,12,FALSE))</f>
        <v/>
      </c>
      <c r="M76" s="94" t="str">
        <f>IF(ISNA(VLOOKUP($A76,Kc_Info!$A$4:$V$155,13,FALSE)),"",VLOOKUP($A76,Kc_Info!$A$4:$V$155,13,FALSE))</f>
        <v/>
      </c>
      <c r="N76" s="94" t="str">
        <f>IF(ISNA(VLOOKUP($A76,Kc_Info!$A$4:$V$155,14,FALSE)),"",VLOOKUP($A76,Kc_Info!$A$4:$V$155,14,FALSE))</f>
        <v/>
      </c>
      <c r="O76" s="100" t="str">
        <f>IF(ISNA(VLOOKUP($A76,Kc_Info!$A$4:$V$155,15,FALSE)),"",VLOOKUP($A76,Kc_Info!$A$4:$V$155,15,FALSE))</f>
        <v/>
      </c>
      <c r="P76" s="100" t="str">
        <f>IF(ISNA(VLOOKUP($A76,Kc_Info!$A$4:$V$155,16,FALSE)),"",VLOOKUP($A76,Kc_Info!$A$4:$V$155,16,FALSE))</f>
        <v/>
      </c>
      <c r="Q76" s="100" t="str">
        <f>IF(ISNA(VLOOKUP($A76,Kc_Info!$A$4:$V$155,17,FALSE)),"",VLOOKUP($A76,Kc_Info!$A$4:$V$155,17,FALSE))</f>
        <v/>
      </c>
      <c r="R76" s="100" t="str">
        <f>IF(ISNA(VLOOKUP($A76,Kc_Info!$A$4:$V$155,18,FALSE)),"",VLOOKUP($A76,Kc_Info!$A$4:$V$155,18,FALSE))</f>
        <v/>
      </c>
      <c r="S76" s="100" t="str">
        <f>IF(ISNA(VLOOKUP($A76,Kc_Info!$A$4:$V$155,19,FALSE)),"",VLOOKUP($A76,Kc_Info!$A$4:$V$155,19,FALSE))</f>
        <v/>
      </c>
      <c r="T76" s="94" t="str">
        <f>IF(ISNA(VLOOKUP($A76,Kc_Info!$A$4:$V$155,20,FALSE)),"",VLOOKUP($A76,Kc_Info!$A$4:$V$155,20,FALSE))</f>
        <v/>
      </c>
      <c r="U76" s="94" t="str">
        <f>IF(ISNA(VLOOKUP($A76,Kc_Info!$A$4:$V$155,21,FALSE)),"",VLOOKUP($A76,Kc_Info!$A$4:$V$155,21,FALSE))</f>
        <v/>
      </c>
      <c r="V76" s="94" t="str">
        <f>IF(ISNA(VLOOKUP($A76,Kc_Info!$A$4:$V$155,22,FALSE)),"",VLOOKUP($A76,Kc_Info!$A$4:$V$155,22,FALSE))</f>
        <v/>
      </c>
    </row>
    <row r="77" spans="1:22">
      <c r="A77" s="92"/>
      <c r="B77" s="93" t="str">
        <f>IF(ISNA(VLOOKUP($A77,Kc_Info!$A$4:$V$155,2,FALSE)),"",VLOOKUP($A77,Kc_Info!$A$4:$V$155,2,FALSE))</f>
        <v/>
      </c>
      <c r="C77" s="94" t="str">
        <f>IF(ISNA(VLOOKUP($A77,Kc_Info!$A$4:$V$155,3,FALSE)),"",VLOOKUP($A77,Kc_Info!$A$4:$V$155,3,FALSE))</f>
        <v/>
      </c>
      <c r="D77" s="94" t="str">
        <f>IF(ISNA(VLOOKUP($A77,Kc_Info!$A$4:$V$155,4,FALSE)),"",VLOOKUP($A77,Kc_Info!$A$4:$V$155,4,FALSE))</f>
        <v/>
      </c>
      <c r="E77" s="94" t="str">
        <f>IF(ISNA(VLOOKUP($A77,Kc_Info!$A$4:$V$155,5,FALSE)),"",VLOOKUP($A77,Kc_Info!$A$4:$V$155,5,FALSE))</f>
        <v/>
      </c>
      <c r="F77" s="94" t="str">
        <f>IF(ISNA(VLOOKUP($A77,Kc_Info!$A$4:$V$155,6,FALSE)),"",VLOOKUP($A77,Kc_Info!$A$4:$V$155,6,FALSE))</f>
        <v/>
      </c>
      <c r="G77" s="101" t="str">
        <f>IF(ISNA(VLOOKUP($A77,Kc_Info!$A$4:$V$155,7,FALSE)),"",VLOOKUP($A77,Kc_Info!$A$4:$V$155,7,FALSE))</f>
        <v/>
      </c>
      <c r="H77" s="101" t="str">
        <f>IF(ISNA(VLOOKUP($A77,Kc_Info!$A$4:$V$155,8,FALSE)),"",VLOOKUP($A77,Kc_Info!$A$4:$V$155,8,FALSE))</f>
        <v/>
      </c>
      <c r="I77" s="101" t="str">
        <f>IF(ISNA(VLOOKUP($A77,Kc_Info!$A$4:$V$155,9,FALSE)),"",VLOOKUP($A77,Kc_Info!$A$4:$V$155,9,FALSE))</f>
        <v/>
      </c>
      <c r="J77" s="101" t="str">
        <f>IF(ISNA(VLOOKUP($A77,Kc_Info!$A$4:$V$155,10,FALSE)),"",VLOOKUP($A77,Kc_Info!$A$4:$V$155,10,FALSE))</f>
        <v/>
      </c>
      <c r="K77" s="94" t="str">
        <f>IF(ISNA(VLOOKUP($A77,Kc_Info!$A$4:$V$155,11,FALSE)),"",VLOOKUP($A77,Kc_Info!$A$4:$V$155,11,FALSE))</f>
        <v/>
      </c>
      <c r="L77" s="94" t="str">
        <f>IF(ISNA(VLOOKUP($A77,Kc_Info!$A$4:$V$155,12,FALSE)),"",VLOOKUP($A77,Kc_Info!$A$4:$V$155,12,FALSE))</f>
        <v/>
      </c>
      <c r="M77" s="94" t="str">
        <f>IF(ISNA(VLOOKUP($A77,Kc_Info!$A$4:$V$155,13,FALSE)),"",VLOOKUP($A77,Kc_Info!$A$4:$V$155,13,FALSE))</f>
        <v/>
      </c>
      <c r="N77" s="94" t="str">
        <f>IF(ISNA(VLOOKUP($A77,Kc_Info!$A$4:$V$155,14,FALSE)),"",VLOOKUP($A77,Kc_Info!$A$4:$V$155,14,FALSE))</f>
        <v/>
      </c>
      <c r="O77" s="100" t="str">
        <f>IF(ISNA(VLOOKUP($A77,Kc_Info!$A$4:$V$155,15,FALSE)),"",VLOOKUP($A77,Kc_Info!$A$4:$V$155,15,FALSE))</f>
        <v/>
      </c>
      <c r="P77" s="100" t="str">
        <f>IF(ISNA(VLOOKUP($A77,Kc_Info!$A$4:$V$155,16,FALSE)),"",VLOOKUP($A77,Kc_Info!$A$4:$V$155,16,FALSE))</f>
        <v/>
      </c>
      <c r="Q77" s="100" t="str">
        <f>IF(ISNA(VLOOKUP($A77,Kc_Info!$A$4:$V$155,17,FALSE)),"",VLOOKUP($A77,Kc_Info!$A$4:$V$155,17,FALSE))</f>
        <v/>
      </c>
      <c r="R77" s="100" t="str">
        <f>IF(ISNA(VLOOKUP($A77,Kc_Info!$A$4:$V$155,18,FALSE)),"",VLOOKUP($A77,Kc_Info!$A$4:$V$155,18,FALSE))</f>
        <v/>
      </c>
      <c r="S77" s="100" t="str">
        <f>IF(ISNA(VLOOKUP($A77,Kc_Info!$A$4:$V$155,19,FALSE)),"",VLOOKUP($A77,Kc_Info!$A$4:$V$155,19,FALSE))</f>
        <v/>
      </c>
      <c r="T77" s="94" t="str">
        <f>IF(ISNA(VLOOKUP($A77,Kc_Info!$A$4:$V$155,20,FALSE)),"",VLOOKUP($A77,Kc_Info!$A$4:$V$155,20,FALSE))</f>
        <v/>
      </c>
      <c r="U77" s="94" t="str">
        <f>IF(ISNA(VLOOKUP($A77,Kc_Info!$A$4:$V$155,21,FALSE)),"",VLOOKUP($A77,Kc_Info!$A$4:$V$155,21,FALSE))</f>
        <v/>
      </c>
      <c r="V77" s="94" t="str">
        <f>IF(ISNA(VLOOKUP($A77,Kc_Info!$A$4:$V$155,22,FALSE)),"",VLOOKUP($A77,Kc_Info!$A$4:$V$155,22,FALSE))</f>
        <v/>
      </c>
    </row>
    <row r="78" spans="1:22">
      <c r="A78" s="92"/>
      <c r="B78" s="93" t="str">
        <f>IF(ISNA(VLOOKUP($A78,Kc_Info!$A$4:$V$155,2,FALSE)),"",VLOOKUP($A78,Kc_Info!$A$4:$V$155,2,FALSE))</f>
        <v/>
      </c>
      <c r="C78" s="94" t="str">
        <f>IF(ISNA(VLOOKUP($A78,Kc_Info!$A$4:$V$155,3,FALSE)),"",VLOOKUP($A78,Kc_Info!$A$4:$V$155,3,FALSE))</f>
        <v/>
      </c>
      <c r="D78" s="94" t="str">
        <f>IF(ISNA(VLOOKUP($A78,Kc_Info!$A$4:$V$155,4,FALSE)),"",VLOOKUP($A78,Kc_Info!$A$4:$V$155,4,FALSE))</f>
        <v/>
      </c>
      <c r="E78" s="94" t="str">
        <f>IF(ISNA(VLOOKUP($A78,Kc_Info!$A$4:$V$155,5,FALSE)),"",VLOOKUP($A78,Kc_Info!$A$4:$V$155,5,FALSE))</f>
        <v/>
      </c>
      <c r="F78" s="94" t="str">
        <f>IF(ISNA(VLOOKUP($A78,Kc_Info!$A$4:$V$155,6,FALSE)),"",VLOOKUP($A78,Kc_Info!$A$4:$V$155,6,FALSE))</f>
        <v/>
      </c>
      <c r="G78" s="101" t="str">
        <f>IF(ISNA(VLOOKUP($A78,Kc_Info!$A$4:$V$155,7,FALSE)),"",VLOOKUP($A78,Kc_Info!$A$4:$V$155,7,FALSE))</f>
        <v/>
      </c>
      <c r="H78" s="101" t="str">
        <f>IF(ISNA(VLOOKUP($A78,Kc_Info!$A$4:$V$155,8,FALSE)),"",VLOOKUP($A78,Kc_Info!$A$4:$V$155,8,FALSE))</f>
        <v/>
      </c>
      <c r="I78" s="101" t="str">
        <f>IF(ISNA(VLOOKUP($A78,Kc_Info!$A$4:$V$155,9,FALSE)),"",VLOOKUP($A78,Kc_Info!$A$4:$V$155,9,FALSE))</f>
        <v/>
      </c>
      <c r="J78" s="101" t="str">
        <f>IF(ISNA(VLOOKUP($A78,Kc_Info!$A$4:$V$155,10,FALSE)),"",VLOOKUP($A78,Kc_Info!$A$4:$V$155,10,FALSE))</f>
        <v/>
      </c>
      <c r="K78" s="94" t="str">
        <f>IF(ISNA(VLOOKUP($A78,Kc_Info!$A$4:$V$155,11,FALSE)),"",VLOOKUP($A78,Kc_Info!$A$4:$V$155,11,FALSE))</f>
        <v/>
      </c>
      <c r="L78" s="94" t="str">
        <f>IF(ISNA(VLOOKUP($A78,Kc_Info!$A$4:$V$155,12,FALSE)),"",VLOOKUP($A78,Kc_Info!$A$4:$V$155,12,FALSE))</f>
        <v/>
      </c>
      <c r="M78" s="94" t="str">
        <f>IF(ISNA(VLOOKUP($A78,Kc_Info!$A$4:$V$155,13,FALSE)),"",VLOOKUP($A78,Kc_Info!$A$4:$V$155,13,FALSE))</f>
        <v/>
      </c>
      <c r="N78" s="94" t="str">
        <f>IF(ISNA(VLOOKUP($A78,Kc_Info!$A$4:$V$155,14,FALSE)),"",VLOOKUP($A78,Kc_Info!$A$4:$V$155,14,FALSE))</f>
        <v/>
      </c>
      <c r="O78" s="100" t="str">
        <f>IF(ISNA(VLOOKUP($A78,Kc_Info!$A$4:$V$155,15,FALSE)),"",VLOOKUP($A78,Kc_Info!$A$4:$V$155,15,FALSE))</f>
        <v/>
      </c>
      <c r="P78" s="100" t="str">
        <f>IF(ISNA(VLOOKUP($A78,Kc_Info!$A$4:$V$155,16,FALSE)),"",VLOOKUP($A78,Kc_Info!$A$4:$V$155,16,FALSE))</f>
        <v/>
      </c>
      <c r="Q78" s="100" t="str">
        <f>IF(ISNA(VLOOKUP($A78,Kc_Info!$A$4:$V$155,17,FALSE)),"",VLOOKUP($A78,Kc_Info!$A$4:$V$155,17,FALSE))</f>
        <v/>
      </c>
      <c r="R78" s="100" t="str">
        <f>IF(ISNA(VLOOKUP($A78,Kc_Info!$A$4:$V$155,18,FALSE)),"",VLOOKUP($A78,Kc_Info!$A$4:$V$155,18,FALSE))</f>
        <v/>
      </c>
      <c r="S78" s="100" t="str">
        <f>IF(ISNA(VLOOKUP($A78,Kc_Info!$A$4:$V$155,19,FALSE)),"",VLOOKUP($A78,Kc_Info!$A$4:$V$155,19,FALSE))</f>
        <v/>
      </c>
      <c r="T78" s="94" t="str">
        <f>IF(ISNA(VLOOKUP($A78,Kc_Info!$A$4:$V$155,20,FALSE)),"",VLOOKUP($A78,Kc_Info!$A$4:$V$155,20,FALSE))</f>
        <v/>
      </c>
      <c r="U78" s="94" t="str">
        <f>IF(ISNA(VLOOKUP($A78,Kc_Info!$A$4:$V$155,21,FALSE)),"",VLOOKUP($A78,Kc_Info!$A$4:$V$155,21,FALSE))</f>
        <v/>
      </c>
      <c r="V78" s="94" t="str">
        <f>IF(ISNA(VLOOKUP($A78,Kc_Info!$A$4:$V$155,22,FALSE)),"",VLOOKUP($A78,Kc_Info!$A$4:$V$155,22,FALSE))</f>
        <v/>
      </c>
    </row>
    <row r="79" spans="1:22">
      <c r="A79" s="92"/>
      <c r="B79" s="93" t="str">
        <f>IF(ISNA(VLOOKUP($A79,Kc_Info!$A$4:$V$155,2,FALSE)),"",VLOOKUP($A79,Kc_Info!$A$4:$V$155,2,FALSE))</f>
        <v/>
      </c>
      <c r="C79" s="94" t="str">
        <f>IF(ISNA(VLOOKUP($A79,Kc_Info!$A$4:$V$155,3,FALSE)),"",VLOOKUP($A79,Kc_Info!$A$4:$V$155,3,FALSE))</f>
        <v/>
      </c>
      <c r="D79" s="94" t="str">
        <f>IF(ISNA(VLOOKUP($A79,Kc_Info!$A$4:$V$155,4,FALSE)),"",VLOOKUP($A79,Kc_Info!$A$4:$V$155,4,FALSE))</f>
        <v/>
      </c>
      <c r="E79" s="94" t="str">
        <f>IF(ISNA(VLOOKUP($A79,Kc_Info!$A$4:$V$155,5,FALSE)),"",VLOOKUP($A79,Kc_Info!$A$4:$V$155,5,FALSE))</f>
        <v/>
      </c>
      <c r="F79" s="94" t="str">
        <f>IF(ISNA(VLOOKUP($A79,Kc_Info!$A$4:$V$155,6,FALSE)),"",VLOOKUP($A79,Kc_Info!$A$4:$V$155,6,FALSE))</f>
        <v/>
      </c>
      <c r="G79" s="101" t="str">
        <f>IF(ISNA(VLOOKUP($A79,Kc_Info!$A$4:$V$155,7,FALSE)),"",VLOOKUP($A79,Kc_Info!$A$4:$V$155,7,FALSE))</f>
        <v/>
      </c>
      <c r="H79" s="101" t="str">
        <f>IF(ISNA(VLOOKUP($A79,Kc_Info!$A$4:$V$155,8,FALSE)),"",VLOOKUP($A79,Kc_Info!$A$4:$V$155,8,FALSE))</f>
        <v/>
      </c>
      <c r="I79" s="101" t="str">
        <f>IF(ISNA(VLOOKUP($A79,Kc_Info!$A$4:$V$155,9,FALSE)),"",VLOOKUP($A79,Kc_Info!$A$4:$V$155,9,FALSE))</f>
        <v/>
      </c>
      <c r="J79" s="101" t="str">
        <f>IF(ISNA(VLOOKUP($A79,Kc_Info!$A$4:$V$155,10,FALSE)),"",VLOOKUP($A79,Kc_Info!$A$4:$V$155,10,FALSE))</f>
        <v/>
      </c>
      <c r="K79" s="94" t="str">
        <f>IF(ISNA(VLOOKUP($A79,Kc_Info!$A$4:$V$155,11,FALSE)),"",VLOOKUP($A79,Kc_Info!$A$4:$V$155,11,FALSE))</f>
        <v/>
      </c>
      <c r="L79" s="94" t="str">
        <f>IF(ISNA(VLOOKUP($A79,Kc_Info!$A$4:$V$155,12,FALSE)),"",VLOOKUP($A79,Kc_Info!$A$4:$V$155,12,FALSE))</f>
        <v/>
      </c>
      <c r="M79" s="94" t="str">
        <f>IF(ISNA(VLOOKUP($A79,Kc_Info!$A$4:$V$155,13,FALSE)),"",VLOOKUP($A79,Kc_Info!$A$4:$V$155,13,FALSE))</f>
        <v/>
      </c>
      <c r="N79" s="94" t="str">
        <f>IF(ISNA(VLOOKUP($A79,Kc_Info!$A$4:$V$155,14,FALSE)),"",VLOOKUP($A79,Kc_Info!$A$4:$V$155,14,FALSE))</f>
        <v/>
      </c>
      <c r="O79" s="100" t="str">
        <f>IF(ISNA(VLOOKUP($A79,Kc_Info!$A$4:$V$155,15,FALSE)),"",VLOOKUP($A79,Kc_Info!$A$4:$V$155,15,FALSE))</f>
        <v/>
      </c>
      <c r="P79" s="100" t="str">
        <f>IF(ISNA(VLOOKUP($A79,Kc_Info!$A$4:$V$155,16,FALSE)),"",VLOOKUP($A79,Kc_Info!$A$4:$V$155,16,FALSE))</f>
        <v/>
      </c>
      <c r="Q79" s="100" t="str">
        <f>IF(ISNA(VLOOKUP($A79,Kc_Info!$A$4:$V$155,17,FALSE)),"",VLOOKUP($A79,Kc_Info!$A$4:$V$155,17,FALSE))</f>
        <v/>
      </c>
      <c r="R79" s="100" t="str">
        <f>IF(ISNA(VLOOKUP($A79,Kc_Info!$A$4:$V$155,18,FALSE)),"",VLOOKUP($A79,Kc_Info!$A$4:$V$155,18,FALSE))</f>
        <v/>
      </c>
      <c r="S79" s="100" t="str">
        <f>IF(ISNA(VLOOKUP($A79,Kc_Info!$A$4:$V$155,19,FALSE)),"",VLOOKUP($A79,Kc_Info!$A$4:$V$155,19,FALSE))</f>
        <v/>
      </c>
      <c r="T79" s="94" t="str">
        <f>IF(ISNA(VLOOKUP($A79,Kc_Info!$A$4:$V$155,20,FALSE)),"",VLOOKUP($A79,Kc_Info!$A$4:$V$155,20,FALSE))</f>
        <v/>
      </c>
      <c r="U79" s="94" t="str">
        <f>IF(ISNA(VLOOKUP($A79,Kc_Info!$A$4:$V$155,21,FALSE)),"",VLOOKUP($A79,Kc_Info!$A$4:$V$155,21,FALSE))</f>
        <v/>
      </c>
      <c r="V79" s="94" t="str">
        <f>IF(ISNA(VLOOKUP($A79,Kc_Info!$A$4:$V$155,22,FALSE)),"",VLOOKUP($A79,Kc_Info!$A$4:$V$155,22,FALSE))</f>
        <v/>
      </c>
    </row>
    <row r="80" spans="1:22">
      <c r="A80" s="92"/>
      <c r="B80" s="93" t="str">
        <f>IF(ISNA(VLOOKUP($A80,Kc_Info!$A$4:$V$155,2,FALSE)),"",VLOOKUP($A80,Kc_Info!$A$4:$V$155,2,FALSE))</f>
        <v/>
      </c>
      <c r="C80" s="94" t="str">
        <f>IF(ISNA(VLOOKUP($A80,Kc_Info!$A$4:$V$155,3,FALSE)),"",VLOOKUP($A80,Kc_Info!$A$4:$V$155,3,FALSE))</f>
        <v/>
      </c>
      <c r="D80" s="94" t="str">
        <f>IF(ISNA(VLOOKUP($A80,Kc_Info!$A$4:$V$155,4,FALSE)),"",VLOOKUP($A80,Kc_Info!$A$4:$V$155,4,FALSE))</f>
        <v/>
      </c>
      <c r="E80" s="94" t="str">
        <f>IF(ISNA(VLOOKUP($A80,Kc_Info!$A$4:$V$155,5,FALSE)),"",VLOOKUP($A80,Kc_Info!$A$4:$V$155,5,FALSE))</f>
        <v/>
      </c>
      <c r="F80" s="94" t="str">
        <f>IF(ISNA(VLOOKUP($A80,Kc_Info!$A$4:$V$155,6,FALSE)),"",VLOOKUP($A80,Kc_Info!$A$4:$V$155,6,FALSE))</f>
        <v/>
      </c>
      <c r="G80" s="101" t="str">
        <f>IF(ISNA(VLOOKUP($A80,Kc_Info!$A$4:$V$155,7,FALSE)),"",VLOOKUP($A80,Kc_Info!$A$4:$V$155,7,FALSE))</f>
        <v/>
      </c>
      <c r="H80" s="101" t="str">
        <f>IF(ISNA(VLOOKUP($A80,Kc_Info!$A$4:$V$155,8,FALSE)),"",VLOOKUP($A80,Kc_Info!$A$4:$V$155,8,FALSE))</f>
        <v/>
      </c>
      <c r="I80" s="101" t="str">
        <f>IF(ISNA(VLOOKUP($A80,Kc_Info!$A$4:$V$155,9,FALSE)),"",VLOOKUP($A80,Kc_Info!$A$4:$V$155,9,FALSE))</f>
        <v/>
      </c>
      <c r="J80" s="101" t="str">
        <f>IF(ISNA(VLOOKUP($A80,Kc_Info!$A$4:$V$155,10,FALSE)),"",VLOOKUP($A80,Kc_Info!$A$4:$V$155,10,FALSE))</f>
        <v/>
      </c>
      <c r="K80" s="94" t="str">
        <f>IF(ISNA(VLOOKUP($A80,Kc_Info!$A$4:$V$155,11,FALSE)),"",VLOOKUP($A80,Kc_Info!$A$4:$V$155,11,FALSE))</f>
        <v/>
      </c>
      <c r="L80" s="94" t="str">
        <f>IF(ISNA(VLOOKUP($A80,Kc_Info!$A$4:$V$155,12,FALSE)),"",VLOOKUP($A80,Kc_Info!$A$4:$V$155,12,FALSE))</f>
        <v/>
      </c>
      <c r="M80" s="94" t="str">
        <f>IF(ISNA(VLOOKUP($A80,Kc_Info!$A$4:$V$155,13,FALSE)),"",VLOOKUP($A80,Kc_Info!$A$4:$V$155,13,FALSE))</f>
        <v/>
      </c>
      <c r="N80" s="94" t="str">
        <f>IF(ISNA(VLOOKUP($A80,Kc_Info!$A$4:$V$155,14,FALSE)),"",VLOOKUP($A80,Kc_Info!$A$4:$V$155,14,FALSE))</f>
        <v/>
      </c>
      <c r="O80" s="100" t="str">
        <f>IF(ISNA(VLOOKUP($A80,Kc_Info!$A$4:$V$155,15,FALSE)),"",VLOOKUP($A80,Kc_Info!$A$4:$V$155,15,FALSE))</f>
        <v/>
      </c>
      <c r="P80" s="100" t="str">
        <f>IF(ISNA(VLOOKUP($A80,Kc_Info!$A$4:$V$155,16,FALSE)),"",VLOOKUP($A80,Kc_Info!$A$4:$V$155,16,FALSE))</f>
        <v/>
      </c>
      <c r="Q80" s="100" t="str">
        <f>IF(ISNA(VLOOKUP($A80,Kc_Info!$A$4:$V$155,17,FALSE)),"",VLOOKUP($A80,Kc_Info!$A$4:$V$155,17,FALSE))</f>
        <v/>
      </c>
      <c r="R80" s="100" t="str">
        <f>IF(ISNA(VLOOKUP($A80,Kc_Info!$A$4:$V$155,18,FALSE)),"",VLOOKUP($A80,Kc_Info!$A$4:$V$155,18,FALSE))</f>
        <v/>
      </c>
      <c r="S80" s="100" t="str">
        <f>IF(ISNA(VLOOKUP($A80,Kc_Info!$A$4:$V$155,19,FALSE)),"",VLOOKUP($A80,Kc_Info!$A$4:$V$155,19,FALSE))</f>
        <v/>
      </c>
      <c r="T80" s="94" t="str">
        <f>IF(ISNA(VLOOKUP($A80,Kc_Info!$A$4:$V$155,20,FALSE)),"",VLOOKUP($A80,Kc_Info!$A$4:$V$155,20,FALSE))</f>
        <v/>
      </c>
      <c r="U80" s="94" t="str">
        <f>IF(ISNA(VLOOKUP($A80,Kc_Info!$A$4:$V$155,21,FALSE)),"",VLOOKUP($A80,Kc_Info!$A$4:$V$155,21,FALSE))</f>
        <v/>
      </c>
      <c r="V80" s="94" t="str">
        <f>IF(ISNA(VLOOKUP($A80,Kc_Info!$A$4:$V$155,22,FALSE)),"",VLOOKUP($A80,Kc_Info!$A$4:$V$155,22,FALSE))</f>
        <v/>
      </c>
    </row>
    <row r="81" spans="1:22">
      <c r="A81" s="92"/>
      <c r="B81" s="93" t="str">
        <f>IF(ISNA(VLOOKUP($A81,Kc_Info!$A$4:$V$155,2,FALSE)),"",VLOOKUP($A81,Kc_Info!$A$4:$V$155,2,FALSE))</f>
        <v/>
      </c>
      <c r="C81" s="94" t="str">
        <f>IF(ISNA(VLOOKUP($A81,Kc_Info!$A$4:$V$155,3,FALSE)),"",VLOOKUP($A81,Kc_Info!$A$4:$V$155,3,FALSE))</f>
        <v/>
      </c>
      <c r="D81" s="94" t="str">
        <f>IF(ISNA(VLOOKUP($A81,Kc_Info!$A$4:$V$155,4,FALSE)),"",VLOOKUP($A81,Kc_Info!$A$4:$V$155,4,FALSE))</f>
        <v/>
      </c>
      <c r="E81" s="94" t="str">
        <f>IF(ISNA(VLOOKUP($A81,Kc_Info!$A$4:$V$155,5,FALSE)),"",VLOOKUP($A81,Kc_Info!$A$4:$V$155,5,FALSE))</f>
        <v/>
      </c>
      <c r="F81" s="94" t="str">
        <f>IF(ISNA(VLOOKUP($A81,Kc_Info!$A$4:$V$155,6,FALSE)),"",VLOOKUP($A81,Kc_Info!$A$4:$V$155,6,FALSE))</f>
        <v/>
      </c>
      <c r="G81" s="101" t="str">
        <f>IF(ISNA(VLOOKUP($A81,Kc_Info!$A$4:$V$155,7,FALSE)),"",VLOOKUP($A81,Kc_Info!$A$4:$V$155,7,FALSE))</f>
        <v/>
      </c>
      <c r="H81" s="101" t="str">
        <f>IF(ISNA(VLOOKUP($A81,Kc_Info!$A$4:$V$155,8,FALSE)),"",VLOOKUP($A81,Kc_Info!$A$4:$V$155,8,FALSE))</f>
        <v/>
      </c>
      <c r="I81" s="101" t="str">
        <f>IF(ISNA(VLOOKUP($A81,Kc_Info!$A$4:$V$155,9,FALSE)),"",VLOOKUP($A81,Kc_Info!$A$4:$V$155,9,FALSE))</f>
        <v/>
      </c>
      <c r="J81" s="101" t="str">
        <f>IF(ISNA(VLOOKUP($A81,Kc_Info!$A$4:$V$155,10,FALSE)),"",VLOOKUP($A81,Kc_Info!$A$4:$V$155,10,FALSE))</f>
        <v/>
      </c>
      <c r="K81" s="94" t="str">
        <f>IF(ISNA(VLOOKUP($A81,Kc_Info!$A$4:$V$155,11,FALSE)),"",VLOOKUP($A81,Kc_Info!$A$4:$V$155,11,FALSE))</f>
        <v/>
      </c>
      <c r="L81" s="94" t="str">
        <f>IF(ISNA(VLOOKUP($A81,Kc_Info!$A$4:$V$155,12,FALSE)),"",VLOOKUP($A81,Kc_Info!$A$4:$V$155,12,FALSE))</f>
        <v/>
      </c>
      <c r="M81" s="94" t="str">
        <f>IF(ISNA(VLOOKUP($A81,Kc_Info!$A$4:$V$155,13,FALSE)),"",VLOOKUP($A81,Kc_Info!$A$4:$V$155,13,FALSE))</f>
        <v/>
      </c>
      <c r="N81" s="94" t="str">
        <f>IF(ISNA(VLOOKUP($A81,Kc_Info!$A$4:$V$155,14,FALSE)),"",VLOOKUP($A81,Kc_Info!$A$4:$V$155,14,FALSE))</f>
        <v/>
      </c>
      <c r="O81" s="100" t="str">
        <f>IF(ISNA(VLOOKUP($A81,Kc_Info!$A$4:$V$155,15,FALSE)),"",VLOOKUP($A81,Kc_Info!$A$4:$V$155,15,FALSE))</f>
        <v/>
      </c>
      <c r="P81" s="100" t="str">
        <f>IF(ISNA(VLOOKUP($A81,Kc_Info!$A$4:$V$155,16,FALSE)),"",VLOOKUP($A81,Kc_Info!$A$4:$V$155,16,FALSE))</f>
        <v/>
      </c>
      <c r="Q81" s="100" t="str">
        <f>IF(ISNA(VLOOKUP($A81,Kc_Info!$A$4:$V$155,17,FALSE)),"",VLOOKUP($A81,Kc_Info!$A$4:$V$155,17,FALSE))</f>
        <v/>
      </c>
      <c r="R81" s="100" t="str">
        <f>IF(ISNA(VLOOKUP($A81,Kc_Info!$A$4:$V$155,18,FALSE)),"",VLOOKUP($A81,Kc_Info!$A$4:$V$155,18,FALSE))</f>
        <v/>
      </c>
      <c r="S81" s="100" t="str">
        <f>IF(ISNA(VLOOKUP($A81,Kc_Info!$A$4:$V$155,19,FALSE)),"",VLOOKUP($A81,Kc_Info!$A$4:$V$155,19,FALSE))</f>
        <v/>
      </c>
      <c r="T81" s="94" t="str">
        <f>IF(ISNA(VLOOKUP($A81,Kc_Info!$A$4:$V$155,20,FALSE)),"",VLOOKUP($A81,Kc_Info!$A$4:$V$155,20,FALSE))</f>
        <v/>
      </c>
      <c r="U81" s="94" t="str">
        <f>IF(ISNA(VLOOKUP($A81,Kc_Info!$A$4:$V$155,21,FALSE)),"",VLOOKUP($A81,Kc_Info!$A$4:$V$155,21,FALSE))</f>
        <v/>
      </c>
      <c r="V81" s="94" t="str">
        <f>IF(ISNA(VLOOKUP($A81,Kc_Info!$A$4:$V$155,22,FALSE)),"",VLOOKUP($A81,Kc_Info!$A$4:$V$155,22,FALSE))</f>
        <v/>
      </c>
    </row>
    <row r="82" spans="1:22">
      <c r="A82" s="92"/>
      <c r="B82" s="93" t="str">
        <f>IF(ISNA(VLOOKUP($A82,Kc_Info!$A$4:$V$155,2,FALSE)),"",VLOOKUP($A82,Kc_Info!$A$4:$V$155,2,FALSE))</f>
        <v/>
      </c>
      <c r="C82" s="94" t="str">
        <f>IF(ISNA(VLOOKUP($A82,Kc_Info!$A$4:$V$155,3,FALSE)),"",VLOOKUP($A82,Kc_Info!$A$4:$V$155,3,FALSE))</f>
        <v/>
      </c>
      <c r="D82" s="94" t="str">
        <f>IF(ISNA(VLOOKUP($A82,Kc_Info!$A$4:$V$155,4,FALSE)),"",VLOOKUP($A82,Kc_Info!$A$4:$V$155,4,FALSE))</f>
        <v/>
      </c>
      <c r="E82" s="94" t="str">
        <f>IF(ISNA(VLOOKUP($A82,Kc_Info!$A$4:$V$155,5,FALSE)),"",VLOOKUP($A82,Kc_Info!$A$4:$V$155,5,FALSE))</f>
        <v/>
      </c>
      <c r="F82" s="94" t="str">
        <f>IF(ISNA(VLOOKUP($A82,Kc_Info!$A$4:$V$155,6,FALSE)),"",VLOOKUP($A82,Kc_Info!$A$4:$V$155,6,FALSE))</f>
        <v/>
      </c>
      <c r="G82" s="101" t="str">
        <f>IF(ISNA(VLOOKUP($A82,Kc_Info!$A$4:$V$155,7,FALSE)),"",VLOOKUP($A82,Kc_Info!$A$4:$V$155,7,FALSE))</f>
        <v/>
      </c>
      <c r="H82" s="101" t="str">
        <f>IF(ISNA(VLOOKUP($A82,Kc_Info!$A$4:$V$155,8,FALSE)),"",VLOOKUP($A82,Kc_Info!$A$4:$V$155,8,FALSE))</f>
        <v/>
      </c>
      <c r="I82" s="101" t="str">
        <f>IF(ISNA(VLOOKUP($A82,Kc_Info!$A$4:$V$155,9,FALSE)),"",VLOOKUP($A82,Kc_Info!$A$4:$V$155,9,FALSE))</f>
        <v/>
      </c>
      <c r="J82" s="101" t="str">
        <f>IF(ISNA(VLOOKUP($A82,Kc_Info!$A$4:$V$155,10,FALSE)),"",VLOOKUP($A82,Kc_Info!$A$4:$V$155,10,FALSE))</f>
        <v/>
      </c>
      <c r="K82" s="94" t="str">
        <f>IF(ISNA(VLOOKUP($A82,Kc_Info!$A$4:$V$155,11,FALSE)),"",VLOOKUP($A82,Kc_Info!$A$4:$V$155,11,FALSE))</f>
        <v/>
      </c>
      <c r="L82" s="94" t="str">
        <f>IF(ISNA(VLOOKUP($A82,Kc_Info!$A$4:$V$155,12,FALSE)),"",VLOOKUP($A82,Kc_Info!$A$4:$V$155,12,FALSE))</f>
        <v/>
      </c>
      <c r="M82" s="94" t="str">
        <f>IF(ISNA(VLOOKUP($A82,Kc_Info!$A$4:$V$155,13,FALSE)),"",VLOOKUP($A82,Kc_Info!$A$4:$V$155,13,FALSE))</f>
        <v/>
      </c>
      <c r="N82" s="94" t="str">
        <f>IF(ISNA(VLOOKUP($A82,Kc_Info!$A$4:$V$155,14,FALSE)),"",VLOOKUP($A82,Kc_Info!$A$4:$V$155,14,FALSE))</f>
        <v/>
      </c>
      <c r="O82" s="100" t="str">
        <f>IF(ISNA(VLOOKUP($A82,Kc_Info!$A$4:$V$155,15,FALSE)),"",VLOOKUP($A82,Kc_Info!$A$4:$V$155,15,FALSE))</f>
        <v/>
      </c>
      <c r="P82" s="100" t="str">
        <f>IF(ISNA(VLOOKUP($A82,Kc_Info!$A$4:$V$155,16,FALSE)),"",VLOOKUP($A82,Kc_Info!$A$4:$V$155,16,FALSE))</f>
        <v/>
      </c>
      <c r="Q82" s="100" t="str">
        <f>IF(ISNA(VLOOKUP($A82,Kc_Info!$A$4:$V$155,17,FALSE)),"",VLOOKUP($A82,Kc_Info!$A$4:$V$155,17,FALSE))</f>
        <v/>
      </c>
      <c r="R82" s="100" t="str">
        <f>IF(ISNA(VLOOKUP($A82,Kc_Info!$A$4:$V$155,18,FALSE)),"",VLOOKUP($A82,Kc_Info!$A$4:$V$155,18,FALSE))</f>
        <v/>
      </c>
      <c r="S82" s="100" t="str">
        <f>IF(ISNA(VLOOKUP($A82,Kc_Info!$A$4:$V$155,19,FALSE)),"",VLOOKUP($A82,Kc_Info!$A$4:$V$155,19,FALSE))</f>
        <v/>
      </c>
      <c r="T82" s="94" t="str">
        <f>IF(ISNA(VLOOKUP($A82,Kc_Info!$A$4:$V$155,20,FALSE)),"",VLOOKUP($A82,Kc_Info!$A$4:$V$155,20,FALSE))</f>
        <v/>
      </c>
      <c r="U82" s="94" t="str">
        <f>IF(ISNA(VLOOKUP($A82,Kc_Info!$A$4:$V$155,21,FALSE)),"",VLOOKUP($A82,Kc_Info!$A$4:$V$155,21,FALSE))</f>
        <v/>
      </c>
      <c r="V82" s="94" t="str">
        <f>IF(ISNA(VLOOKUP($A82,Kc_Info!$A$4:$V$155,22,FALSE)),"",VLOOKUP($A82,Kc_Info!$A$4:$V$155,22,FALSE))</f>
        <v/>
      </c>
    </row>
    <row r="83" spans="1:22">
      <c r="A83" s="92"/>
      <c r="B83" s="93" t="str">
        <f>IF(ISNA(VLOOKUP($A83,Kc_Info!$A$4:$V$155,2,FALSE)),"",VLOOKUP($A83,Kc_Info!$A$4:$V$155,2,FALSE))</f>
        <v/>
      </c>
      <c r="C83" s="94" t="str">
        <f>IF(ISNA(VLOOKUP($A83,Kc_Info!$A$4:$V$155,3,FALSE)),"",VLOOKUP($A83,Kc_Info!$A$4:$V$155,3,FALSE))</f>
        <v/>
      </c>
      <c r="D83" s="94" t="str">
        <f>IF(ISNA(VLOOKUP($A83,Kc_Info!$A$4:$V$155,4,FALSE)),"",VLOOKUP($A83,Kc_Info!$A$4:$V$155,4,FALSE))</f>
        <v/>
      </c>
      <c r="E83" s="94" t="str">
        <f>IF(ISNA(VLOOKUP($A83,Kc_Info!$A$4:$V$155,5,FALSE)),"",VLOOKUP($A83,Kc_Info!$A$4:$V$155,5,FALSE))</f>
        <v/>
      </c>
      <c r="F83" s="94" t="str">
        <f>IF(ISNA(VLOOKUP($A83,Kc_Info!$A$4:$V$155,6,FALSE)),"",VLOOKUP($A83,Kc_Info!$A$4:$V$155,6,FALSE))</f>
        <v/>
      </c>
      <c r="G83" s="101" t="str">
        <f>IF(ISNA(VLOOKUP($A83,Kc_Info!$A$4:$V$155,7,FALSE)),"",VLOOKUP($A83,Kc_Info!$A$4:$V$155,7,FALSE))</f>
        <v/>
      </c>
      <c r="H83" s="101" t="str">
        <f>IF(ISNA(VLOOKUP($A83,Kc_Info!$A$4:$V$155,8,FALSE)),"",VLOOKUP($A83,Kc_Info!$A$4:$V$155,8,FALSE))</f>
        <v/>
      </c>
      <c r="I83" s="101" t="str">
        <f>IF(ISNA(VLOOKUP($A83,Kc_Info!$A$4:$V$155,9,FALSE)),"",VLOOKUP($A83,Kc_Info!$A$4:$V$155,9,FALSE))</f>
        <v/>
      </c>
      <c r="J83" s="101" t="str">
        <f>IF(ISNA(VLOOKUP($A83,Kc_Info!$A$4:$V$155,10,FALSE)),"",VLOOKUP($A83,Kc_Info!$A$4:$V$155,10,FALSE))</f>
        <v/>
      </c>
      <c r="K83" s="94" t="str">
        <f>IF(ISNA(VLOOKUP($A83,Kc_Info!$A$4:$V$155,11,FALSE)),"",VLOOKUP($A83,Kc_Info!$A$4:$V$155,11,FALSE))</f>
        <v/>
      </c>
      <c r="L83" s="94" t="str">
        <f>IF(ISNA(VLOOKUP($A83,Kc_Info!$A$4:$V$155,12,FALSE)),"",VLOOKUP($A83,Kc_Info!$A$4:$V$155,12,FALSE))</f>
        <v/>
      </c>
      <c r="M83" s="94" t="str">
        <f>IF(ISNA(VLOOKUP($A83,Kc_Info!$A$4:$V$155,13,FALSE)),"",VLOOKUP($A83,Kc_Info!$A$4:$V$155,13,FALSE))</f>
        <v/>
      </c>
      <c r="N83" s="94" t="str">
        <f>IF(ISNA(VLOOKUP($A83,Kc_Info!$A$4:$V$155,14,FALSE)),"",VLOOKUP($A83,Kc_Info!$A$4:$V$155,14,FALSE))</f>
        <v/>
      </c>
      <c r="O83" s="100" t="str">
        <f>IF(ISNA(VLOOKUP($A83,Kc_Info!$A$4:$V$155,15,FALSE)),"",VLOOKUP($A83,Kc_Info!$A$4:$V$155,15,FALSE))</f>
        <v/>
      </c>
      <c r="P83" s="100" t="str">
        <f>IF(ISNA(VLOOKUP($A83,Kc_Info!$A$4:$V$155,16,FALSE)),"",VLOOKUP($A83,Kc_Info!$A$4:$V$155,16,FALSE))</f>
        <v/>
      </c>
      <c r="Q83" s="100" t="str">
        <f>IF(ISNA(VLOOKUP($A83,Kc_Info!$A$4:$V$155,17,FALSE)),"",VLOOKUP($A83,Kc_Info!$A$4:$V$155,17,FALSE))</f>
        <v/>
      </c>
      <c r="R83" s="100" t="str">
        <f>IF(ISNA(VLOOKUP($A83,Kc_Info!$A$4:$V$155,18,FALSE)),"",VLOOKUP($A83,Kc_Info!$A$4:$V$155,18,FALSE))</f>
        <v/>
      </c>
      <c r="S83" s="100" t="str">
        <f>IF(ISNA(VLOOKUP($A83,Kc_Info!$A$4:$V$155,19,FALSE)),"",VLOOKUP($A83,Kc_Info!$A$4:$V$155,19,FALSE))</f>
        <v/>
      </c>
      <c r="T83" s="94" t="str">
        <f>IF(ISNA(VLOOKUP($A83,Kc_Info!$A$4:$V$155,20,FALSE)),"",VLOOKUP($A83,Kc_Info!$A$4:$V$155,20,FALSE))</f>
        <v/>
      </c>
      <c r="U83" s="94" t="str">
        <f>IF(ISNA(VLOOKUP($A83,Kc_Info!$A$4:$V$155,21,FALSE)),"",VLOOKUP($A83,Kc_Info!$A$4:$V$155,21,FALSE))</f>
        <v/>
      </c>
      <c r="V83" s="94" t="str">
        <f>IF(ISNA(VLOOKUP($A83,Kc_Info!$A$4:$V$155,22,FALSE)),"",VLOOKUP($A83,Kc_Info!$A$4:$V$155,22,FALSE))</f>
        <v/>
      </c>
    </row>
    <row r="84" spans="1:22">
      <c r="A84" s="92"/>
      <c r="B84" s="93" t="str">
        <f>IF(ISNA(VLOOKUP($A84,Kc_Info!$A$4:$V$155,2,FALSE)),"",VLOOKUP($A84,Kc_Info!$A$4:$V$155,2,FALSE))</f>
        <v/>
      </c>
      <c r="C84" s="94" t="str">
        <f>IF(ISNA(VLOOKUP($A84,Kc_Info!$A$4:$V$155,3,FALSE)),"",VLOOKUP($A84,Kc_Info!$A$4:$V$155,3,FALSE))</f>
        <v/>
      </c>
      <c r="D84" s="94" t="str">
        <f>IF(ISNA(VLOOKUP($A84,Kc_Info!$A$4:$V$155,4,FALSE)),"",VLOOKUP($A84,Kc_Info!$A$4:$V$155,4,FALSE))</f>
        <v/>
      </c>
      <c r="E84" s="94" t="str">
        <f>IF(ISNA(VLOOKUP($A84,Kc_Info!$A$4:$V$155,5,FALSE)),"",VLOOKUP($A84,Kc_Info!$A$4:$V$155,5,FALSE))</f>
        <v/>
      </c>
      <c r="F84" s="94" t="str">
        <f>IF(ISNA(VLOOKUP($A84,Kc_Info!$A$4:$V$155,6,FALSE)),"",VLOOKUP($A84,Kc_Info!$A$4:$V$155,6,FALSE))</f>
        <v/>
      </c>
      <c r="G84" s="101" t="str">
        <f>IF(ISNA(VLOOKUP($A84,Kc_Info!$A$4:$V$155,7,FALSE)),"",VLOOKUP($A84,Kc_Info!$A$4:$V$155,7,FALSE))</f>
        <v/>
      </c>
      <c r="H84" s="101" t="str">
        <f>IF(ISNA(VLOOKUP($A84,Kc_Info!$A$4:$V$155,8,FALSE)),"",VLOOKUP($A84,Kc_Info!$A$4:$V$155,8,FALSE))</f>
        <v/>
      </c>
      <c r="I84" s="101" t="str">
        <f>IF(ISNA(VLOOKUP($A84,Kc_Info!$A$4:$V$155,9,FALSE)),"",VLOOKUP($A84,Kc_Info!$A$4:$V$155,9,FALSE))</f>
        <v/>
      </c>
      <c r="J84" s="101" t="str">
        <f>IF(ISNA(VLOOKUP($A84,Kc_Info!$A$4:$V$155,10,FALSE)),"",VLOOKUP($A84,Kc_Info!$A$4:$V$155,10,FALSE))</f>
        <v/>
      </c>
      <c r="K84" s="94" t="str">
        <f>IF(ISNA(VLOOKUP($A84,Kc_Info!$A$4:$V$155,11,FALSE)),"",VLOOKUP($A84,Kc_Info!$A$4:$V$155,11,FALSE))</f>
        <v/>
      </c>
      <c r="L84" s="94" t="str">
        <f>IF(ISNA(VLOOKUP($A84,Kc_Info!$A$4:$V$155,12,FALSE)),"",VLOOKUP($A84,Kc_Info!$A$4:$V$155,12,FALSE))</f>
        <v/>
      </c>
      <c r="M84" s="94" t="str">
        <f>IF(ISNA(VLOOKUP($A84,Kc_Info!$A$4:$V$155,13,FALSE)),"",VLOOKUP($A84,Kc_Info!$A$4:$V$155,13,FALSE))</f>
        <v/>
      </c>
      <c r="N84" s="94" t="str">
        <f>IF(ISNA(VLOOKUP($A84,Kc_Info!$A$4:$V$155,14,FALSE)),"",VLOOKUP($A84,Kc_Info!$A$4:$V$155,14,FALSE))</f>
        <v/>
      </c>
      <c r="O84" s="100" t="str">
        <f>IF(ISNA(VLOOKUP($A84,Kc_Info!$A$4:$V$155,15,FALSE)),"",VLOOKUP($A84,Kc_Info!$A$4:$V$155,15,FALSE))</f>
        <v/>
      </c>
      <c r="P84" s="100" t="str">
        <f>IF(ISNA(VLOOKUP($A84,Kc_Info!$A$4:$V$155,16,FALSE)),"",VLOOKUP($A84,Kc_Info!$A$4:$V$155,16,FALSE))</f>
        <v/>
      </c>
      <c r="Q84" s="100" t="str">
        <f>IF(ISNA(VLOOKUP($A84,Kc_Info!$A$4:$V$155,17,FALSE)),"",VLOOKUP($A84,Kc_Info!$A$4:$V$155,17,FALSE))</f>
        <v/>
      </c>
      <c r="R84" s="100" t="str">
        <f>IF(ISNA(VLOOKUP($A84,Kc_Info!$A$4:$V$155,18,FALSE)),"",VLOOKUP($A84,Kc_Info!$A$4:$V$155,18,FALSE))</f>
        <v/>
      </c>
      <c r="S84" s="100" t="str">
        <f>IF(ISNA(VLOOKUP($A84,Kc_Info!$A$4:$V$155,19,FALSE)),"",VLOOKUP($A84,Kc_Info!$A$4:$V$155,19,FALSE))</f>
        <v/>
      </c>
      <c r="T84" s="94" t="str">
        <f>IF(ISNA(VLOOKUP($A84,Kc_Info!$A$4:$V$155,20,FALSE)),"",VLOOKUP($A84,Kc_Info!$A$4:$V$155,20,FALSE))</f>
        <v/>
      </c>
      <c r="U84" s="94" t="str">
        <f>IF(ISNA(VLOOKUP($A84,Kc_Info!$A$4:$V$155,21,FALSE)),"",VLOOKUP($A84,Kc_Info!$A$4:$V$155,21,FALSE))</f>
        <v/>
      </c>
      <c r="V84" s="94" t="str">
        <f>IF(ISNA(VLOOKUP($A84,Kc_Info!$A$4:$V$155,22,FALSE)),"",VLOOKUP($A84,Kc_Info!$A$4:$V$155,22,FALSE))</f>
        <v/>
      </c>
    </row>
    <row r="85" spans="1:22">
      <c r="A85" s="92"/>
      <c r="B85" s="93" t="str">
        <f>IF(ISNA(VLOOKUP($A85,Kc_Info!$A$4:$V$155,2,FALSE)),"",VLOOKUP($A85,Kc_Info!$A$4:$V$155,2,FALSE))</f>
        <v/>
      </c>
      <c r="C85" s="94" t="str">
        <f>IF(ISNA(VLOOKUP($A85,Kc_Info!$A$4:$V$155,3,FALSE)),"",VLOOKUP($A85,Kc_Info!$A$4:$V$155,3,FALSE))</f>
        <v/>
      </c>
      <c r="D85" s="94" t="str">
        <f>IF(ISNA(VLOOKUP($A85,Kc_Info!$A$4:$V$155,4,FALSE)),"",VLOOKUP($A85,Kc_Info!$A$4:$V$155,4,FALSE))</f>
        <v/>
      </c>
      <c r="E85" s="94" t="str">
        <f>IF(ISNA(VLOOKUP($A85,Kc_Info!$A$4:$V$155,5,FALSE)),"",VLOOKUP($A85,Kc_Info!$A$4:$V$155,5,FALSE))</f>
        <v/>
      </c>
      <c r="F85" s="94" t="str">
        <f>IF(ISNA(VLOOKUP($A85,Kc_Info!$A$4:$V$155,6,FALSE)),"",VLOOKUP($A85,Kc_Info!$A$4:$V$155,6,FALSE))</f>
        <v/>
      </c>
      <c r="G85" s="101" t="str">
        <f>IF(ISNA(VLOOKUP($A85,Kc_Info!$A$4:$V$155,7,FALSE)),"",VLOOKUP($A85,Kc_Info!$A$4:$V$155,7,FALSE))</f>
        <v/>
      </c>
      <c r="H85" s="101" t="str">
        <f>IF(ISNA(VLOOKUP($A85,Kc_Info!$A$4:$V$155,8,FALSE)),"",VLOOKUP($A85,Kc_Info!$A$4:$V$155,8,FALSE))</f>
        <v/>
      </c>
      <c r="I85" s="101" t="str">
        <f>IF(ISNA(VLOOKUP($A85,Kc_Info!$A$4:$V$155,9,FALSE)),"",VLOOKUP($A85,Kc_Info!$A$4:$V$155,9,FALSE))</f>
        <v/>
      </c>
      <c r="J85" s="101" t="str">
        <f>IF(ISNA(VLOOKUP($A85,Kc_Info!$A$4:$V$155,10,FALSE)),"",VLOOKUP($A85,Kc_Info!$A$4:$V$155,10,FALSE))</f>
        <v/>
      </c>
      <c r="K85" s="94" t="str">
        <f>IF(ISNA(VLOOKUP($A85,Kc_Info!$A$4:$V$155,11,FALSE)),"",VLOOKUP($A85,Kc_Info!$A$4:$V$155,11,FALSE))</f>
        <v/>
      </c>
      <c r="L85" s="94" t="str">
        <f>IF(ISNA(VLOOKUP($A85,Kc_Info!$A$4:$V$155,12,FALSE)),"",VLOOKUP($A85,Kc_Info!$A$4:$V$155,12,FALSE))</f>
        <v/>
      </c>
      <c r="M85" s="94" t="str">
        <f>IF(ISNA(VLOOKUP($A85,Kc_Info!$A$4:$V$155,13,FALSE)),"",VLOOKUP($A85,Kc_Info!$A$4:$V$155,13,FALSE))</f>
        <v/>
      </c>
      <c r="N85" s="94" t="str">
        <f>IF(ISNA(VLOOKUP($A85,Kc_Info!$A$4:$V$155,14,FALSE)),"",VLOOKUP($A85,Kc_Info!$A$4:$V$155,14,FALSE))</f>
        <v/>
      </c>
      <c r="O85" s="100" t="str">
        <f>IF(ISNA(VLOOKUP($A85,Kc_Info!$A$4:$V$155,15,FALSE)),"",VLOOKUP($A85,Kc_Info!$A$4:$V$155,15,FALSE))</f>
        <v/>
      </c>
      <c r="P85" s="100" t="str">
        <f>IF(ISNA(VLOOKUP($A85,Kc_Info!$A$4:$V$155,16,FALSE)),"",VLOOKUP($A85,Kc_Info!$A$4:$V$155,16,FALSE))</f>
        <v/>
      </c>
      <c r="Q85" s="100" t="str">
        <f>IF(ISNA(VLOOKUP($A85,Kc_Info!$A$4:$V$155,17,FALSE)),"",VLOOKUP($A85,Kc_Info!$A$4:$V$155,17,FALSE))</f>
        <v/>
      </c>
      <c r="R85" s="100" t="str">
        <f>IF(ISNA(VLOOKUP($A85,Kc_Info!$A$4:$V$155,18,FALSE)),"",VLOOKUP($A85,Kc_Info!$A$4:$V$155,18,FALSE))</f>
        <v/>
      </c>
      <c r="S85" s="100" t="str">
        <f>IF(ISNA(VLOOKUP($A85,Kc_Info!$A$4:$V$155,19,FALSE)),"",VLOOKUP($A85,Kc_Info!$A$4:$V$155,19,FALSE))</f>
        <v/>
      </c>
      <c r="T85" s="94" t="str">
        <f>IF(ISNA(VLOOKUP($A85,Kc_Info!$A$4:$V$155,20,FALSE)),"",VLOOKUP($A85,Kc_Info!$A$4:$V$155,20,FALSE))</f>
        <v/>
      </c>
      <c r="U85" s="94" t="str">
        <f>IF(ISNA(VLOOKUP($A85,Kc_Info!$A$4:$V$155,21,FALSE)),"",VLOOKUP($A85,Kc_Info!$A$4:$V$155,21,FALSE))</f>
        <v/>
      </c>
      <c r="V85" s="94" t="str">
        <f>IF(ISNA(VLOOKUP($A85,Kc_Info!$A$4:$V$155,22,FALSE)),"",VLOOKUP($A85,Kc_Info!$A$4:$V$155,22,FALSE))</f>
        <v/>
      </c>
    </row>
    <row r="86" spans="1:22">
      <c r="A86" s="92"/>
      <c r="B86" s="93" t="str">
        <f>IF(ISNA(VLOOKUP($A86,Kc_Info!$A$4:$V$155,2,FALSE)),"",VLOOKUP($A86,Kc_Info!$A$4:$V$155,2,FALSE))</f>
        <v/>
      </c>
      <c r="C86" s="94" t="str">
        <f>IF(ISNA(VLOOKUP($A86,Kc_Info!$A$4:$V$155,3,FALSE)),"",VLOOKUP($A86,Kc_Info!$A$4:$V$155,3,FALSE))</f>
        <v/>
      </c>
      <c r="D86" s="94" t="str">
        <f>IF(ISNA(VLOOKUP($A86,Kc_Info!$A$4:$V$155,4,FALSE)),"",VLOOKUP($A86,Kc_Info!$A$4:$V$155,4,FALSE))</f>
        <v/>
      </c>
      <c r="E86" s="94" t="str">
        <f>IF(ISNA(VLOOKUP($A86,Kc_Info!$A$4:$V$155,5,FALSE)),"",VLOOKUP($A86,Kc_Info!$A$4:$V$155,5,FALSE))</f>
        <v/>
      </c>
      <c r="F86" s="94" t="str">
        <f>IF(ISNA(VLOOKUP($A86,Kc_Info!$A$4:$V$155,6,FALSE)),"",VLOOKUP($A86,Kc_Info!$A$4:$V$155,6,FALSE))</f>
        <v/>
      </c>
      <c r="G86" s="101" t="str">
        <f>IF(ISNA(VLOOKUP($A86,Kc_Info!$A$4:$V$155,7,FALSE)),"",VLOOKUP($A86,Kc_Info!$A$4:$V$155,7,FALSE))</f>
        <v/>
      </c>
      <c r="H86" s="101" t="str">
        <f>IF(ISNA(VLOOKUP($A86,Kc_Info!$A$4:$V$155,8,FALSE)),"",VLOOKUP($A86,Kc_Info!$A$4:$V$155,8,FALSE))</f>
        <v/>
      </c>
      <c r="I86" s="101" t="str">
        <f>IF(ISNA(VLOOKUP($A86,Kc_Info!$A$4:$V$155,9,FALSE)),"",VLOOKUP($A86,Kc_Info!$A$4:$V$155,9,FALSE))</f>
        <v/>
      </c>
      <c r="J86" s="101" t="str">
        <f>IF(ISNA(VLOOKUP($A86,Kc_Info!$A$4:$V$155,10,FALSE)),"",VLOOKUP($A86,Kc_Info!$A$4:$V$155,10,FALSE))</f>
        <v/>
      </c>
      <c r="K86" s="94" t="str">
        <f>IF(ISNA(VLOOKUP($A86,Kc_Info!$A$4:$V$155,11,FALSE)),"",VLOOKUP($A86,Kc_Info!$A$4:$V$155,11,FALSE))</f>
        <v/>
      </c>
      <c r="L86" s="94" t="str">
        <f>IF(ISNA(VLOOKUP($A86,Kc_Info!$A$4:$V$155,12,FALSE)),"",VLOOKUP($A86,Kc_Info!$A$4:$V$155,12,FALSE))</f>
        <v/>
      </c>
      <c r="M86" s="94" t="str">
        <f>IF(ISNA(VLOOKUP($A86,Kc_Info!$A$4:$V$155,13,FALSE)),"",VLOOKUP($A86,Kc_Info!$A$4:$V$155,13,FALSE))</f>
        <v/>
      </c>
      <c r="N86" s="94" t="str">
        <f>IF(ISNA(VLOOKUP($A86,Kc_Info!$A$4:$V$155,14,FALSE)),"",VLOOKUP($A86,Kc_Info!$A$4:$V$155,14,FALSE))</f>
        <v/>
      </c>
      <c r="O86" s="100" t="str">
        <f>IF(ISNA(VLOOKUP($A86,Kc_Info!$A$4:$V$155,15,FALSE)),"",VLOOKUP($A86,Kc_Info!$A$4:$V$155,15,FALSE))</f>
        <v/>
      </c>
      <c r="P86" s="100" t="str">
        <f>IF(ISNA(VLOOKUP($A86,Kc_Info!$A$4:$V$155,16,FALSE)),"",VLOOKUP($A86,Kc_Info!$A$4:$V$155,16,FALSE))</f>
        <v/>
      </c>
      <c r="Q86" s="100" t="str">
        <f>IF(ISNA(VLOOKUP($A86,Kc_Info!$A$4:$V$155,17,FALSE)),"",VLOOKUP($A86,Kc_Info!$A$4:$V$155,17,FALSE))</f>
        <v/>
      </c>
      <c r="R86" s="100" t="str">
        <f>IF(ISNA(VLOOKUP($A86,Kc_Info!$A$4:$V$155,18,FALSE)),"",VLOOKUP($A86,Kc_Info!$A$4:$V$155,18,FALSE))</f>
        <v/>
      </c>
      <c r="S86" s="100" t="str">
        <f>IF(ISNA(VLOOKUP($A86,Kc_Info!$A$4:$V$155,19,FALSE)),"",VLOOKUP($A86,Kc_Info!$A$4:$V$155,19,FALSE))</f>
        <v/>
      </c>
      <c r="T86" s="94" t="str">
        <f>IF(ISNA(VLOOKUP($A86,Kc_Info!$A$4:$V$155,20,FALSE)),"",VLOOKUP($A86,Kc_Info!$A$4:$V$155,20,FALSE))</f>
        <v/>
      </c>
      <c r="U86" s="94" t="str">
        <f>IF(ISNA(VLOOKUP($A86,Kc_Info!$A$4:$V$155,21,FALSE)),"",VLOOKUP($A86,Kc_Info!$A$4:$V$155,21,FALSE))</f>
        <v/>
      </c>
      <c r="V86" s="94" t="str">
        <f>IF(ISNA(VLOOKUP($A86,Kc_Info!$A$4:$V$155,22,FALSE)),"",VLOOKUP($A86,Kc_Info!$A$4:$V$155,22,FALSE))</f>
        <v/>
      </c>
    </row>
    <row r="87" spans="1:22">
      <c r="A87" s="92"/>
      <c r="B87" s="93" t="str">
        <f>IF(ISNA(VLOOKUP($A87,Kc_Info!$A$4:$V$155,2,FALSE)),"",VLOOKUP($A87,Kc_Info!$A$4:$V$155,2,FALSE))</f>
        <v/>
      </c>
      <c r="C87" s="94" t="str">
        <f>IF(ISNA(VLOOKUP($A87,Kc_Info!$A$4:$V$155,3,FALSE)),"",VLOOKUP($A87,Kc_Info!$A$4:$V$155,3,FALSE))</f>
        <v/>
      </c>
      <c r="D87" s="94" t="str">
        <f>IF(ISNA(VLOOKUP($A87,Kc_Info!$A$4:$V$155,4,FALSE)),"",VLOOKUP($A87,Kc_Info!$A$4:$V$155,4,FALSE))</f>
        <v/>
      </c>
      <c r="E87" s="94" t="str">
        <f>IF(ISNA(VLOOKUP($A87,Kc_Info!$A$4:$V$155,5,FALSE)),"",VLOOKUP($A87,Kc_Info!$A$4:$V$155,5,FALSE))</f>
        <v/>
      </c>
      <c r="F87" s="94" t="str">
        <f>IF(ISNA(VLOOKUP($A87,Kc_Info!$A$4:$V$155,6,FALSE)),"",VLOOKUP($A87,Kc_Info!$A$4:$V$155,6,FALSE))</f>
        <v/>
      </c>
      <c r="G87" s="101" t="str">
        <f>IF(ISNA(VLOOKUP($A87,Kc_Info!$A$4:$V$155,7,FALSE)),"",VLOOKUP($A87,Kc_Info!$A$4:$V$155,7,FALSE))</f>
        <v/>
      </c>
      <c r="H87" s="101" t="str">
        <f>IF(ISNA(VLOOKUP($A87,Kc_Info!$A$4:$V$155,8,FALSE)),"",VLOOKUP($A87,Kc_Info!$A$4:$V$155,8,FALSE))</f>
        <v/>
      </c>
      <c r="I87" s="101" t="str">
        <f>IF(ISNA(VLOOKUP($A87,Kc_Info!$A$4:$V$155,9,FALSE)),"",VLOOKUP($A87,Kc_Info!$A$4:$V$155,9,FALSE))</f>
        <v/>
      </c>
      <c r="J87" s="101" t="str">
        <f>IF(ISNA(VLOOKUP($A87,Kc_Info!$A$4:$V$155,10,FALSE)),"",VLOOKUP($A87,Kc_Info!$A$4:$V$155,10,FALSE))</f>
        <v/>
      </c>
      <c r="K87" s="94" t="str">
        <f>IF(ISNA(VLOOKUP($A87,Kc_Info!$A$4:$V$155,11,FALSE)),"",VLOOKUP($A87,Kc_Info!$A$4:$V$155,11,FALSE))</f>
        <v/>
      </c>
      <c r="L87" s="94" t="str">
        <f>IF(ISNA(VLOOKUP($A87,Kc_Info!$A$4:$V$155,12,FALSE)),"",VLOOKUP($A87,Kc_Info!$A$4:$V$155,12,FALSE))</f>
        <v/>
      </c>
      <c r="M87" s="94" t="str">
        <f>IF(ISNA(VLOOKUP($A87,Kc_Info!$A$4:$V$155,13,FALSE)),"",VLOOKUP($A87,Kc_Info!$A$4:$V$155,13,FALSE))</f>
        <v/>
      </c>
      <c r="N87" s="94" t="str">
        <f>IF(ISNA(VLOOKUP($A87,Kc_Info!$A$4:$V$155,14,FALSE)),"",VLOOKUP($A87,Kc_Info!$A$4:$V$155,14,FALSE))</f>
        <v/>
      </c>
      <c r="O87" s="100" t="str">
        <f>IF(ISNA(VLOOKUP($A87,Kc_Info!$A$4:$V$155,15,FALSE)),"",VLOOKUP($A87,Kc_Info!$A$4:$V$155,15,FALSE))</f>
        <v/>
      </c>
      <c r="P87" s="100" t="str">
        <f>IF(ISNA(VLOOKUP($A87,Kc_Info!$A$4:$V$155,16,FALSE)),"",VLOOKUP($A87,Kc_Info!$A$4:$V$155,16,FALSE))</f>
        <v/>
      </c>
      <c r="Q87" s="100" t="str">
        <f>IF(ISNA(VLOOKUP($A87,Kc_Info!$A$4:$V$155,17,FALSE)),"",VLOOKUP($A87,Kc_Info!$A$4:$V$155,17,FALSE))</f>
        <v/>
      </c>
      <c r="R87" s="100" t="str">
        <f>IF(ISNA(VLOOKUP($A87,Kc_Info!$A$4:$V$155,18,FALSE)),"",VLOOKUP($A87,Kc_Info!$A$4:$V$155,18,FALSE))</f>
        <v/>
      </c>
      <c r="S87" s="100" t="str">
        <f>IF(ISNA(VLOOKUP($A87,Kc_Info!$A$4:$V$155,19,FALSE)),"",VLOOKUP($A87,Kc_Info!$A$4:$V$155,19,FALSE))</f>
        <v/>
      </c>
      <c r="T87" s="94" t="str">
        <f>IF(ISNA(VLOOKUP($A87,Kc_Info!$A$4:$V$155,20,FALSE)),"",VLOOKUP($A87,Kc_Info!$A$4:$V$155,20,FALSE))</f>
        <v/>
      </c>
      <c r="U87" s="94" t="str">
        <f>IF(ISNA(VLOOKUP($A87,Kc_Info!$A$4:$V$155,21,FALSE)),"",VLOOKUP($A87,Kc_Info!$A$4:$V$155,21,FALSE))</f>
        <v/>
      </c>
      <c r="V87" s="94" t="str">
        <f>IF(ISNA(VLOOKUP($A87,Kc_Info!$A$4:$V$155,22,FALSE)),"",VLOOKUP($A87,Kc_Info!$A$4:$V$155,22,FALSE))</f>
        <v/>
      </c>
    </row>
    <row r="88" spans="1:22">
      <c r="A88" s="92"/>
      <c r="B88" s="93" t="str">
        <f>IF(ISNA(VLOOKUP($A88,Kc_Info!$A$4:$V$155,2,FALSE)),"",VLOOKUP($A88,Kc_Info!$A$4:$V$155,2,FALSE))</f>
        <v/>
      </c>
      <c r="C88" s="94" t="str">
        <f>IF(ISNA(VLOOKUP($A88,Kc_Info!$A$4:$V$155,3,FALSE)),"",VLOOKUP($A88,Kc_Info!$A$4:$V$155,3,FALSE))</f>
        <v/>
      </c>
      <c r="D88" s="94" t="str">
        <f>IF(ISNA(VLOOKUP($A88,Kc_Info!$A$4:$V$155,4,FALSE)),"",VLOOKUP($A88,Kc_Info!$A$4:$V$155,4,FALSE))</f>
        <v/>
      </c>
      <c r="E88" s="94" t="str">
        <f>IF(ISNA(VLOOKUP($A88,Kc_Info!$A$4:$V$155,5,FALSE)),"",VLOOKUP($A88,Kc_Info!$A$4:$V$155,5,FALSE))</f>
        <v/>
      </c>
      <c r="F88" s="94" t="str">
        <f>IF(ISNA(VLOOKUP($A88,Kc_Info!$A$4:$V$155,6,FALSE)),"",VLOOKUP($A88,Kc_Info!$A$4:$V$155,6,FALSE))</f>
        <v/>
      </c>
      <c r="G88" s="101" t="str">
        <f>IF(ISNA(VLOOKUP($A88,Kc_Info!$A$4:$V$155,7,FALSE)),"",VLOOKUP($A88,Kc_Info!$A$4:$V$155,7,FALSE))</f>
        <v/>
      </c>
      <c r="H88" s="101" t="str">
        <f>IF(ISNA(VLOOKUP($A88,Kc_Info!$A$4:$V$155,8,FALSE)),"",VLOOKUP($A88,Kc_Info!$A$4:$V$155,8,FALSE))</f>
        <v/>
      </c>
      <c r="I88" s="101" t="str">
        <f>IF(ISNA(VLOOKUP($A88,Kc_Info!$A$4:$V$155,9,FALSE)),"",VLOOKUP($A88,Kc_Info!$A$4:$V$155,9,FALSE))</f>
        <v/>
      </c>
      <c r="J88" s="101" t="str">
        <f>IF(ISNA(VLOOKUP($A88,Kc_Info!$A$4:$V$155,10,FALSE)),"",VLOOKUP($A88,Kc_Info!$A$4:$V$155,10,FALSE))</f>
        <v/>
      </c>
      <c r="K88" s="94" t="str">
        <f>IF(ISNA(VLOOKUP($A88,Kc_Info!$A$4:$V$155,11,FALSE)),"",VLOOKUP($A88,Kc_Info!$A$4:$V$155,11,FALSE))</f>
        <v/>
      </c>
      <c r="L88" s="94" t="str">
        <f>IF(ISNA(VLOOKUP($A88,Kc_Info!$A$4:$V$155,12,FALSE)),"",VLOOKUP($A88,Kc_Info!$A$4:$V$155,12,FALSE))</f>
        <v/>
      </c>
      <c r="M88" s="94" t="str">
        <f>IF(ISNA(VLOOKUP($A88,Kc_Info!$A$4:$V$155,13,FALSE)),"",VLOOKUP($A88,Kc_Info!$A$4:$V$155,13,FALSE))</f>
        <v/>
      </c>
      <c r="N88" s="94" t="str">
        <f>IF(ISNA(VLOOKUP($A88,Kc_Info!$A$4:$V$155,14,FALSE)),"",VLOOKUP($A88,Kc_Info!$A$4:$V$155,14,FALSE))</f>
        <v/>
      </c>
      <c r="O88" s="100" t="str">
        <f>IF(ISNA(VLOOKUP($A88,Kc_Info!$A$4:$V$155,15,FALSE)),"",VLOOKUP($A88,Kc_Info!$A$4:$V$155,15,FALSE))</f>
        <v/>
      </c>
      <c r="P88" s="100" t="str">
        <f>IF(ISNA(VLOOKUP($A88,Kc_Info!$A$4:$V$155,16,FALSE)),"",VLOOKUP($A88,Kc_Info!$A$4:$V$155,16,FALSE))</f>
        <v/>
      </c>
      <c r="Q88" s="100" t="str">
        <f>IF(ISNA(VLOOKUP($A88,Kc_Info!$A$4:$V$155,17,FALSE)),"",VLOOKUP($A88,Kc_Info!$A$4:$V$155,17,FALSE))</f>
        <v/>
      </c>
      <c r="R88" s="100" t="str">
        <f>IF(ISNA(VLOOKUP($A88,Kc_Info!$A$4:$V$155,18,FALSE)),"",VLOOKUP($A88,Kc_Info!$A$4:$V$155,18,FALSE))</f>
        <v/>
      </c>
      <c r="S88" s="100" t="str">
        <f>IF(ISNA(VLOOKUP($A88,Kc_Info!$A$4:$V$155,19,FALSE)),"",VLOOKUP($A88,Kc_Info!$A$4:$V$155,19,FALSE))</f>
        <v/>
      </c>
      <c r="T88" s="94" t="str">
        <f>IF(ISNA(VLOOKUP($A88,Kc_Info!$A$4:$V$155,20,FALSE)),"",VLOOKUP($A88,Kc_Info!$A$4:$V$155,20,FALSE))</f>
        <v/>
      </c>
      <c r="U88" s="94" t="str">
        <f>IF(ISNA(VLOOKUP($A88,Kc_Info!$A$4:$V$155,21,FALSE)),"",VLOOKUP($A88,Kc_Info!$A$4:$V$155,21,FALSE))</f>
        <v/>
      </c>
      <c r="V88" s="94" t="str">
        <f>IF(ISNA(VLOOKUP($A88,Kc_Info!$A$4:$V$155,22,FALSE)),"",VLOOKUP($A88,Kc_Info!$A$4:$V$155,22,FALSE))</f>
        <v/>
      </c>
    </row>
    <row r="89" spans="1:22">
      <c r="A89" s="92"/>
      <c r="B89" s="93" t="str">
        <f>IF(ISNA(VLOOKUP($A89,Kc_Info!$A$4:$V$155,2,FALSE)),"",VLOOKUP($A89,Kc_Info!$A$4:$V$155,2,FALSE))</f>
        <v/>
      </c>
      <c r="C89" s="94" t="str">
        <f>IF(ISNA(VLOOKUP($A89,Kc_Info!$A$4:$V$155,3,FALSE)),"",VLOOKUP($A89,Kc_Info!$A$4:$V$155,3,FALSE))</f>
        <v/>
      </c>
      <c r="D89" s="94" t="str">
        <f>IF(ISNA(VLOOKUP($A89,Kc_Info!$A$4:$V$155,4,FALSE)),"",VLOOKUP($A89,Kc_Info!$A$4:$V$155,4,FALSE))</f>
        <v/>
      </c>
      <c r="E89" s="94" t="str">
        <f>IF(ISNA(VLOOKUP($A89,Kc_Info!$A$4:$V$155,5,FALSE)),"",VLOOKUP($A89,Kc_Info!$A$4:$V$155,5,FALSE))</f>
        <v/>
      </c>
      <c r="F89" s="94" t="str">
        <f>IF(ISNA(VLOOKUP($A89,Kc_Info!$A$4:$V$155,6,FALSE)),"",VLOOKUP($A89,Kc_Info!$A$4:$V$155,6,FALSE))</f>
        <v/>
      </c>
      <c r="G89" s="101" t="str">
        <f>IF(ISNA(VLOOKUP($A89,Kc_Info!$A$4:$V$155,7,FALSE)),"",VLOOKUP($A89,Kc_Info!$A$4:$V$155,7,FALSE))</f>
        <v/>
      </c>
      <c r="H89" s="101" t="str">
        <f>IF(ISNA(VLOOKUP($A89,Kc_Info!$A$4:$V$155,8,FALSE)),"",VLOOKUP($A89,Kc_Info!$A$4:$V$155,8,FALSE))</f>
        <v/>
      </c>
      <c r="I89" s="101" t="str">
        <f>IF(ISNA(VLOOKUP($A89,Kc_Info!$A$4:$V$155,9,FALSE)),"",VLOOKUP($A89,Kc_Info!$A$4:$V$155,9,FALSE))</f>
        <v/>
      </c>
      <c r="J89" s="101" t="str">
        <f>IF(ISNA(VLOOKUP($A89,Kc_Info!$A$4:$V$155,10,FALSE)),"",VLOOKUP($A89,Kc_Info!$A$4:$V$155,10,FALSE))</f>
        <v/>
      </c>
      <c r="K89" s="94" t="str">
        <f>IF(ISNA(VLOOKUP($A89,Kc_Info!$A$4:$V$155,11,FALSE)),"",VLOOKUP($A89,Kc_Info!$A$4:$V$155,11,FALSE))</f>
        <v/>
      </c>
      <c r="L89" s="94" t="str">
        <f>IF(ISNA(VLOOKUP($A89,Kc_Info!$A$4:$V$155,12,FALSE)),"",VLOOKUP($A89,Kc_Info!$A$4:$V$155,12,FALSE))</f>
        <v/>
      </c>
      <c r="M89" s="94" t="str">
        <f>IF(ISNA(VLOOKUP($A89,Kc_Info!$A$4:$V$155,13,FALSE)),"",VLOOKUP($A89,Kc_Info!$A$4:$V$155,13,FALSE))</f>
        <v/>
      </c>
      <c r="N89" s="94" t="str">
        <f>IF(ISNA(VLOOKUP($A89,Kc_Info!$A$4:$V$155,14,FALSE)),"",VLOOKUP($A89,Kc_Info!$A$4:$V$155,14,FALSE))</f>
        <v/>
      </c>
      <c r="O89" s="100" t="str">
        <f>IF(ISNA(VLOOKUP($A89,Kc_Info!$A$4:$V$155,15,FALSE)),"",VLOOKUP($A89,Kc_Info!$A$4:$V$155,15,FALSE))</f>
        <v/>
      </c>
      <c r="P89" s="100" t="str">
        <f>IF(ISNA(VLOOKUP($A89,Kc_Info!$A$4:$V$155,16,FALSE)),"",VLOOKUP($A89,Kc_Info!$A$4:$V$155,16,FALSE))</f>
        <v/>
      </c>
      <c r="Q89" s="100" t="str">
        <f>IF(ISNA(VLOOKUP($A89,Kc_Info!$A$4:$V$155,17,FALSE)),"",VLOOKUP($A89,Kc_Info!$A$4:$V$155,17,FALSE))</f>
        <v/>
      </c>
      <c r="R89" s="100" t="str">
        <f>IF(ISNA(VLOOKUP($A89,Kc_Info!$A$4:$V$155,18,FALSE)),"",VLOOKUP($A89,Kc_Info!$A$4:$V$155,18,FALSE))</f>
        <v/>
      </c>
      <c r="S89" s="100" t="str">
        <f>IF(ISNA(VLOOKUP($A89,Kc_Info!$A$4:$V$155,19,FALSE)),"",VLOOKUP($A89,Kc_Info!$A$4:$V$155,19,FALSE))</f>
        <v/>
      </c>
      <c r="T89" s="94" t="str">
        <f>IF(ISNA(VLOOKUP($A89,Kc_Info!$A$4:$V$155,20,FALSE)),"",VLOOKUP($A89,Kc_Info!$A$4:$V$155,20,FALSE))</f>
        <v/>
      </c>
      <c r="U89" s="94" t="str">
        <f>IF(ISNA(VLOOKUP($A89,Kc_Info!$A$4:$V$155,21,FALSE)),"",VLOOKUP($A89,Kc_Info!$A$4:$V$155,21,FALSE))</f>
        <v/>
      </c>
      <c r="V89" s="94" t="str">
        <f>IF(ISNA(VLOOKUP($A89,Kc_Info!$A$4:$V$155,22,FALSE)),"",VLOOKUP($A89,Kc_Info!$A$4:$V$155,22,FALSE))</f>
        <v/>
      </c>
    </row>
    <row r="90" spans="1:22">
      <c r="A90" s="92"/>
      <c r="B90" s="93" t="str">
        <f>IF(ISNA(VLOOKUP($A90,Kc_Info!$A$4:$V$155,2,FALSE)),"",VLOOKUP($A90,Kc_Info!$A$4:$V$155,2,FALSE))</f>
        <v/>
      </c>
      <c r="C90" s="94" t="str">
        <f>IF(ISNA(VLOOKUP($A90,Kc_Info!$A$4:$V$155,3,FALSE)),"",VLOOKUP($A90,Kc_Info!$A$4:$V$155,3,FALSE))</f>
        <v/>
      </c>
      <c r="D90" s="94" t="str">
        <f>IF(ISNA(VLOOKUP($A90,Kc_Info!$A$4:$V$155,4,FALSE)),"",VLOOKUP($A90,Kc_Info!$A$4:$V$155,4,FALSE))</f>
        <v/>
      </c>
      <c r="E90" s="94" t="str">
        <f>IF(ISNA(VLOOKUP($A90,Kc_Info!$A$4:$V$155,5,FALSE)),"",VLOOKUP($A90,Kc_Info!$A$4:$V$155,5,FALSE))</f>
        <v/>
      </c>
      <c r="F90" s="94" t="str">
        <f>IF(ISNA(VLOOKUP($A90,Kc_Info!$A$4:$V$155,6,FALSE)),"",VLOOKUP($A90,Kc_Info!$A$4:$V$155,6,FALSE))</f>
        <v/>
      </c>
      <c r="G90" s="101" t="str">
        <f>IF(ISNA(VLOOKUP($A90,Kc_Info!$A$4:$V$155,7,FALSE)),"",VLOOKUP($A90,Kc_Info!$A$4:$V$155,7,FALSE))</f>
        <v/>
      </c>
      <c r="H90" s="101" t="str">
        <f>IF(ISNA(VLOOKUP($A90,Kc_Info!$A$4:$V$155,8,FALSE)),"",VLOOKUP($A90,Kc_Info!$A$4:$V$155,8,FALSE))</f>
        <v/>
      </c>
      <c r="I90" s="101" t="str">
        <f>IF(ISNA(VLOOKUP($A90,Kc_Info!$A$4:$V$155,9,FALSE)),"",VLOOKUP($A90,Kc_Info!$A$4:$V$155,9,FALSE))</f>
        <v/>
      </c>
      <c r="J90" s="101" t="str">
        <f>IF(ISNA(VLOOKUP($A90,Kc_Info!$A$4:$V$155,10,FALSE)),"",VLOOKUP($A90,Kc_Info!$A$4:$V$155,10,FALSE))</f>
        <v/>
      </c>
      <c r="K90" s="94" t="str">
        <f>IF(ISNA(VLOOKUP($A90,Kc_Info!$A$4:$V$155,11,FALSE)),"",VLOOKUP($A90,Kc_Info!$A$4:$V$155,11,FALSE))</f>
        <v/>
      </c>
      <c r="L90" s="94" t="str">
        <f>IF(ISNA(VLOOKUP($A90,Kc_Info!$A$4:$V$155,12,FALSE)),"",VLOOKUP($A90,Kc_Info!$A$4:$V$155,12,FALSE))</f>
        <v/>
      </c>
      <c r="M90" s="94" t="str">
        <f>IF(ISNA(VLOOKUP($A90,Kc_Info!$A$4:$V$155,13,FALSE)),"",VLOOKUP($A90,Kc_Info!$A$4:$V$155,13,FALSE))</f>
        <v/>
      </c>
      <c r="N90" s="94" t="str">
        <f>IF(ISNA(VLOOKUP($A90,Kc_Info!$A$4:$V$155,14,FALSE)),"",VLOOKUP($A90,Kc_Info!$A$4:$V$155,14,FALSE))</f>
        <v/>
      </c>
      <c r="O90" s="100" t="str">
        <f>IF(ISNA(VLOOKUP($A90,Kc_Info!$A$4:$V$155,15,FALSE)),"",VLOOKUP($A90,Kc_Info!$A$4:$V$155,15,FALSE))</f>
        <v/>
      </c>
      <c r="P90" s="100" t="str">
        <f>IF(ISNA(VLOOKUP($A90,Kc_Info!$A$4:$V$155,16,FALSE)),"",VLOOKUP($A90,Kc_Info!$A$4:$V$155,16,FALSE))</f>
        <v/>
      </c>
      <c r="Q90" s="100" t="str">
        <f>IF(ISNA(VLOOKUP($A90,Kc_Info!$A$4:$V$155,17,FALSE)),"",VLOOKUP($A90,Kc_Info!$A$4:$V$155,17,FALSE))</f>
        <v/>
      </c>
      <c r="R90" s="100" t="str">
        <f>IF(ISNA(VLOOKUP($A90,Kc_Info!$A$4:$V$155,18,FALSE)),"",VLOOKUP($A90,Kc_Info!$A$4:$V$155,18,FALSE))</f>
        <v/>
      </c>
      <c r="S90" s="100" t="str">
        <f>IF(ISNA(VLOOKUP($A90,Kc_Info!$A$4:$V$155,19,FALSE)),"",VLOOKUP($A90,Kc_Info!$A$4:$V$155,19,FALSE))</f>
        <v/>
      </c>
      <c r="T90" s="94" t="str">
        <f>IF(ISNA(VLOOKUP($A90,Kc_Info!$A$4:$V$155,20,FALSE)),"",VLOOKUP($A90,Kc_Info!$A$4:$V$155,20,FALSE))</f>
        <v/>
      </c>
      <c r="U90" s="94" t="str">
        <f>IF(ISNA(VLOOKUP($A90,Kc_Info!$A$4:$V$155,21,FALSE)),"",VLOOKUP($A90,Kc_Info!$A$4:$V$155,21,FALSE))</f>
        <v/>
      </c>
      <c r="V90" s="94" t="str">
        <f>IF(ISNA(VLOOKUP($A90,Kc_Info!$A$4:$V$155,22,FALSE)),"",VLOOKUP($A90,Kc_Info!$A$4:$V$155,22,FALSE))</f>
        <v/>
      </c>
    </row>
    <row r="91" spans="1:22">
      <c r="A91" s="92"/>
      <c r="B91" s="93" t="str">
        <f>IF(ISNA(VLOOKUP($A91,Kc_Info!$A$4:$V$155,2,FALSE)),"",VLOOKUP($A91,Kc_Info!$A$4:$V$155,2,FALSE))</f>
        <v/>
      </c>
      <c r="C91" s="94" t="str">
        <f>IF(ISNA(VLOOKUP($A91,Kc_Info!$A$4:$V$155,3,FALSE)),"",VLOOKUP($A91,Kc_Info!$A$4:$V$155,3,FALSE))</f>
        <v/>
      </c>
      <c r="D91" s="94" t="str">
        <f>IF(ISNA(VLOOKUP($A91,Kc_Info!$A$4:$V$155,4,FALSE)),"",VLOOKUP($A91,Kc_Info!$A$4:$V$155,4,FALSE))</f>
        <v/>
      </c>
      <c r="E91" s="94" t="str">
        <f>IF(ISNA(VLOOKUP($A91,Kc_Info!$A$4:$V$155,5,FALSE)),"",VLOOKUP($A91,Kc_Info!$A$4:$V$155,5,FALSE))</f>
        <v/>
      </c>
      <c r="F91" s="94" t="str">
        <f>IF(ISNA(VLOOKUP($A91,Kc_Info!$A$4:$V$155,6,FALSE)),"",VLOOKUP($A91,Kc_Info!$A$4:$V$155,6,FALSE))</f>
        <v/>
      </c>
      <c r="G91" s="101" t="str">
        <f>IF(ISNA(VLOOKUP($A91,Kc_Info!$A$4:$V$155,7,FALSE)),"",VLOOKUP($A91,Kc_Info!$A$4:$V$155,7,FALSE))</f>
        <v/>
      </c>
      <c r="H91" s="101" t="str">
        <f>IF(ISNA(VLOOKUP($A91,Kc_Info!$A$4:$V$155,8,FALSE)),"",VLOOKUP($A91,Kc_Info!$A$4:$V$155,8,FALSE))</f>
        <v/>
      </c>
      <c r="I91" s="101" t="str">
        <f>IF(ISNA(VLOOKUP($A91,Kc_Info!$A$4:$V$155,9,FALSE)),"",VLOOKUP($A91,Kc_Info!$A$4:$V$155,9,FALSE))</f>
        <v/>
      </c>
      <c r="J91" s="101" t="str">
        <f>IF(ISNA(VLOOKUP($A91,Kc_Info!$A$4:$V$155,10,FALSE)),"",VLOOKUP($A91,Kc_Info!$A$4:$V$155,10,FALSE))</f>
        <v/>
      </c>
      <c r="K91" s="94" t="str">
        <f>IF(ISNA(VLOOKUP($A91,Kc_Info!$A$4:$V$155,11,FALSE)),"",VLOOKUP($A91,Kc_Info!$A$4:$V$155,11,FALSE))</f>
        <v/>
      </c>
      <c r="L91" s="94" t="str">
        <f>IF(ISNA(VLOOKUP($A91,Kc_Info!$A$4:$V$155,12,FALSE)),"",VLOOKUP($A91,Kc_Info!$A$4:$V$155,12,FALSE))</f>
        <v/>
      </c>
      <c r="M91" s="94" t="str">
        <f>IF(ISNA(VLOOKUP($A91,Kc_Info!$A$4:$V$155,13,FALSE)),"",VLOOKUP($A91,Kc_Info!$A$4:$V$155,13,FALSE))</f>
        <v/>
      </c>
      <c r="N91" s="94" t="str">
        <f>IF(ISNA(VLOOKUP($A91,Kc_Info!$A$4:$V$155,14,FALSE)),"",VLOOKUP($A91,Kc_Info!$A$4:$V$155,14,FALSE))</f>
        <v/>
      </c>
      <c r="O91" s="100" t="str">
        <f>IF(ISNA(VLOOKUP($A91,Kc_Info!$A$4:$V$155,15,FALSE)),"",VLOOKUP($A91,Kc_Info!$A$4:$V$155,15,FALSE))</f>
        <v/>
      </c>
      <c r="P91" s="100" t="str">
        <f>IF(ISNA(VLOOKUP($A91,Kc_Info!$A$4:$V$155,16,FALSE)),"",VLOOKUP($A91,Kc_Info!$A$4:$V$155,16,FALSE))</f>
        <v/>
      </c>
      <c r="Q91" s="100" t="str">
        <f>IF(ISNA(VLOOKUP($A91,Kc_Info!$A$4:$V$155,17,FALSE)),"",VLOOKUP($A91,Kc_Info!$A$4:$V$155,17,FALSE))</f>
        <v/>
      </c>
      <c r="R91" s="100" t="str">
        <f>IF(ISNA(VLOOKUP($A91,Kc_Info!$A$4:$V$155,18,FALSE)),"",VLOOKUP($A91,Kc_Info!$A$4:$V$155,18,FALSE))</f>
        <v/>
      </c>
      <c r="S91" s="100" t="str">
        <f>IF(ISNA(VLOOKUP($A91,Kc_Info!$A$4:$V$155,19,FALSE)),"",VLOOKUP($A91,Kc_Info!$A$4:$V$155,19,FALSE))</f>
        <v/>
      </c>
      <c r="T91" s="94" t="str">
        <f>IF(ISNA(VLOOKUP($A91,Kc_Info!$A$4:$V$155,20,FALSE)),"",VLOOKUP($A91,Kc_Info!$A$4:$V$155,20,FALSE))</f>
        <v/>
      </c>
      <c r="U91" s="94" t="str">
        <f>IF(ISNA(VLOOKUP($A91,Kc_Info!$A$4:$V$155,21,FALSE)),"",VLOOKUP($A91,Kc_Info!$A$4:$V$155,21,FALSE))</f>
        <v/>
      </c>
      <c r="V91" s="94" t="str">
        <f>IF(ISNA(VLOOKUP($A91,Kc_Info!$A$4:$V$155,22,FALSE)),"",VLOOKUP($A91,Kc_Info!$A$4:$V$155,22,FALSE))</f>
        <v/>
      </c>
    </row>
    <row r="92" spans="1:22">
      <c r="A92" s="92"/>
      <c r="B92" s="93" t="str">
        <f>IF(ISNA(VLOOKUP($A92,Kc_Info!$A$4:$V$155,2,FALSE)),"",VLOOKUP($A92,Kc_Info!$A$4:$V$155,2,FALSE))</f>
        <v/>
      </c>
      <c r="C92" s="94" t="str">
        <f>IF(ISNA(VLOOKUP($A92,Kc_Info!$A$4:$V$155,3,FALSE)),"",VLOOKUP($A92,Kc_Info!$A$4:$V$155,3,FALSE))</f>
        <v/>
      </c>
      <c r="D92" s="94" t="str">
        <f>IF(ISNA(VLOOKUP($A92,Kc_Info!$A$4:$V$155,4,FALSE)),"",VLOOKUP($A92,Kc_Info!$A$4:$V$155,4,FALSE))</f>
        <v/>
      </c>
      <c r="E92" s="94" t="str">
        <f>IF(ISNA(VLOOKUP($A92,Kc_Info!$A$4:$V$155,5,FALSE)),"",VLOOKUP($A92,Kc_Info!$A$4:$V$155,5,FALSE))</f>
        <v/>
      </c>
      <c r="F92" s="94" t="str">
        <f>IF(ISNA(VLOOKUP($A92,Kc_Info!$A$4:$V$155,6,FALSE)),"",VLOOKUP($A92,Kc_Info!$A$4:$V$155,6,FALSE))</f>
        <v/>
      </c>
      <c r="G92" s="101" t="str">
        <f>IF(ISNA(VLOOKUP($A92,Kc_Info!$A$4:$V$155,7,FALSE)),"",VLOOKUP($A92,Kc_Info!$A$4:$V$155,7,FALSE))</f>
        <v/>
      </c>
      <c r="H92" s="101" t="str">
        <f>IF(ISNA(VLOOKUP($A92,Kc_Info!$A$4:$V$155,8,FALSE)),"",VLOOKUP($A92,Kc_Info!$A$4:$V$155,8,FALSE))</f>
        <v/>
      </c>
      <c r="I92" s="101" t="str">
        <f>IF(ISNA(VLOOKUP($A92,Kc_Info!$A$4:$V$155,9,FALSE)),"",VLOOKUP($A92,Kc_Info!$A$4:$V$155,9,FALSE))</f>
        <v/>
      </c>
      <c r="J92" s="101" t="str">
        <f>IF(ISNA(VLOOKUP($A92,Kc_Info!$A$4:$V$155,10,FALSE)),"",VLOOKUP($A92,Kc_Info!$A$4:$V$155,10,FALSE))</f>
        <v/>
      </c>
      <c r="K92" s="94" t="str">
        <f>IF(ISNA(VLOOKUP($A92,Kc_Info!$A$4:$V$155,11,FALSE)),"",VLOOKUP($A92,Kc_Info!$A$4:$V$155,11,FALSE))</f>
        <v/>
      </c>
      <c r="L92" s="94" t="str">
        <f>IF(ISNA(VLOOKUP($A92,Kc_Info!$A$4:$V$155,12,FALSE)),"",VLOOKUP($A92,Kc_Info!$A$4:$V$155,12,FALSE))</f>
        <v/>
      </c>
      <c r="M92" s="94" t="str">
        <f>IF(ISNA(VLOOKUP($A92,Kc_Info!$A$4:$V$155,13,FALSE)),"",VLOOKUP($A92,Kc_Info!$A$4:$V$155,13,FALSE))</f>
        <v/>
      </c>
      <c r="N92" s="94" t="str">
        <f>IF(ISNA(VLOOKUP($A92,Kc_Info!$A$4:$V$155,14,FALSE)),"",VLOOKUP($A92,Kc_Info!$A$4:$V$155,14,FALSE))</f>
        <v/>
      </c>
      <c r="O92" s="100" t="str">
        <f>IF(ISNA(VLOOKUP($A92,Kc_Info!$A$4:$V$155,15,FALSE)),"",VLOOKUP($A92,Kc_Info!$A$4:$V$155,15,FALSE))</f>
        <v/>
      </c>
      <c r="P92" s="100" t="str">
        <f>IF(ISNA(VLOOKUP($A92,Kc_Info!$A$4:$V$155,16,FALSE)),"",VLOOKUP($A92,Kc_Info!$A$4:$V$155,16,FALSE))</f>
        <v/>
      </c>
      <c r="Q92" s="100" t="str">
        <f>IF(ISNA(VLOOKUP($A92,Kc_Info!$A$4:$V$155,17,FALSE)),"",VLOOKUP($A92,Kc_Info!$A$4:$V$155,17,FALSE))</f>
        <v/>
      </c>
      <c r="R92" s="100" t="str">
        <f>IF(ISNA(VLOOKUP($A92,Kc_Info!$A$4:$V$155,18,FALSE)),"",VLOOKUP($A92,Kc_Info!$A$4:$V$155,18,FALSE))</f>
        <v/>
      </c>
      <c r="S92" s="100" t="str">
        <f>IF(ISNA(VLOOKUP($A92,Kc_Info!$A$4:$V$155,19,FALSE)),"",VLOOKUP($A92,Kc_Info!$A$4:$V$155,19,FALSE))</f>
        <v/>
      </c>
      <c r="T92" s="94" t="str">
        <f>IF(ISNA(VLOOKUP($A92,Kc_Info!$A$4:$V$155,20,FALSE)),"",VLOOKUP($A92,Kc_Info!$A$4:$V$155,20,FALSE))</f>
        <v/>
      </c>
      <c r="U92" s="94" t="str">
        <f>IF(ISNA(VLOOKUP($A92,Kc_Info!$A$4:$V$155,21,FALSE)),"",VLOOKUP($A92,Kc_Info!$A$4:$V$155,21,FALSE))</f>
        <v/>
      </c>
      <c r="V92" s="94" t="str">
        <f>IF(ISNA(VLOOKUP($A92,Kc_Info!$A$4:$V$155,22,FALSE)),"",VLOOKUP($A92,Kc_Info!$A$4:$V$155,22,FALSE))</f>
        <v/>
      </c>
    </row>
    <row r="93" spans="1:22">
      <c r="A93" s="92"/>
      <c r="B93" s="93" t="str">
        <f>IF(ISNA(VLOOKUP($A93,Kc_Info!$A$4:$V$155,2,FALSE)),"",VLOOKUP($A93,Kc_Info!$A$4:$V$155,2,FALSE))</f>
        <v/>
      </c>
      <c r="C93" s="94" t="str">
        <f>IF(ISNA(VLOOKUP($A93,Kc_Info!$A$4:$V$155,3,FALSE)),"",VLOOKUP($A93,Kc_Info!$A$4:$V$155,3,FALSE))</f>
        <v/>
      </c>
      <c r="D93" s="94" t="str">
        <f>IF(ISNA(VLOOKUP($A93,Kc_Info!$A$4:$V$155,4,FALSE)),"",VLOOKUP($A93,Kc_Info!$A$4:$V$155,4,FALSE))</f>
        <v/>
      </c>
      <c r="E93" s="94" t="str">
        <f>IF(ISNA(VLOOKUP($A93,Kc_Info!$A$4:$V$155,5,FALSE)),"",VLOOKUP($A93,Kc_Info!$A$4:$V$155,5,FALSE))</f>
        <v/>
      </c>
      <c r="F93" s="94" t="str">
        <f>IF(ISNA(VLOOKUP($A93,Kc_Info!$A$4:$V$155,6,FALSE)),"",VLOOKUP($A93,Kc_Info!$A$4:$V$155,6,FALSE))</f>
        <v/>
      </c>
      <c r="G93" s="101" t="str">
        <f>IF(ISNA(VLOOKUP($A93,Kc_Info!$A$4:$V$155,7,FALSE)),"",VLOOKUP($A93,Kc_Info!$A$4:$V$155,7,FALSE))</f>
        <v/>
      </c>
      <c r="H93" s="101" t="str">
        <f>IF(ISNA(VLOOKUP($A93,Kc_Info!$A$4:$V$155,8,FALSE)),"",VLOOKUP($A93,Kc_Info!$A$4:$V$155,8,FALSE))</f>
        <v/>
      </c>
      <c r="I93" s="101" t="str">
        <f>IF(ISNA(VLOOKUP($A93,Kc_Info!$A$4:$V$155,9,FALSE)),"",VLOOKUP($A93,Kc_Info!$A$4:$V$155,9,FALSE))</f>
        <v/>
      </c>
      <c r="J93" s="101" t="str">
        <f>IF(ISNA(VLOOKUP($A93,Kc_Info!$A$4:$V$155,10,FALSE)),"",VLOOKUP($A93,Kc_Info!$A$4:$V$155,10,FALSE))</f>
        <v/>
      </c>
      <c r="K93" s="94" t="str">
        <f>IF(ISNA(VLOOKUP($A93,Kc_Info!$A$4:$V$155,11,FALSE)),"",VLOOKUP($A93,Kc_Info!$A$4:$V$155,11,FALSE))</f>
        <v/>
      </c>
      <c r="L93" s="94" t="str">
        <f>IF(ISNA(VLOOKUP($A93,Kc_Info!$A$4:$V$155,12,FALSE)),"",VLOOKUP($A93,Kc_Info!$A$4:$V$155,12,FALSE))</f>
        <v/>
      </c>
      <c r="M93" s="94" t="str">
        <f>IF(ISNA(VLOOKUP($A93,Kc_Info!$A$4:$V$155,13,FALSE)),"",VLOOKUP($A93,Kc_Info!$A$4:$V$155,13,FALSE))</f>
        <v/>
      </c>
      <c r="N93" s="94" t="str">
        <f>IF(ISNA(VLOOKUP($A93,Kc_Info!$A$4:$V$155,14,FALSE)),"",VLOOKUP($A93,Kc_Info!$A$4:$V$155,14,FALSE))</f>
        <v/>
      </c>
      <c r="O93" s="100" t="str">
        <f>IF(ISNA(VLOOKUP($A93,Kc_Info!$A$4:$V$155,15,FALSE)),"",VLOOKUP($A93,Kc_Info!$A$4:$V$155,15,FALSE))</f>
        <v/>
      </c>
      <c r="P93" s="100" t="str">
        <f>IF(ISNA(VLOOKUP($A93,Kc_Info!$A$4:$V$155,16,FALSE)),"",VLOOKUP($A93,Kc_Info!$A$4:$V$155,16,FALSE))</f>
        <v/>
      </c>
      <c r="Q93" s="100" t="str">
        <f>IF(ISNA(VLOOKUP($A93,Kc_Info!$A$4:$V$155,17,FALSE)),"",VLOOKUP($A93,Kc_Info!$A$4:$V$155,17,FALSE))</f>
        <v/>
      </c>
      <c r="R93" s="100" t="str">
        <f>IF(ISNA(VLOOKUP($A93,Kc_Info!$A$4:$V$155,18,FALSE)),"",VLOOKUP($A93,Kc_Info!$A$4:$V$155,18,FALSE))</f>
        <v/>
      </c>
      <c r="S93" s="100" t="str">
        <f>IF(ISNA(VLOOKUP($A93,Kc_Info!$A$4:$V$155,19,FALSE)),"",VLOOKUP($A93,Kc_Info!$A$4:$V$155,19,FALSE))</f>
        <v/>
      </c>
      <c r="T93" s="94" t="str">
        <f>IF(ISNA(VLOOKUP($A93,Kc_Info!$A$4:$V$155,20,FALSE)),"",VLOOKUP($A93,Kc_Info!$A$4:$V$155,20,FALSE))</f>
        <v/>
      </c>
      <c r="U93" s="94" t="str">
        <f>IF(ISNA(VLOOKUP($A93,Kc_Info!$A$4:$V$155,21,FALSE)),"",VLOOKUP($A93,Kc_Info!$A$4:$V$155,21,FALSE))</f>
        <v/>
      </c>
      <c r="V93" s="94" t="str">
        <f>IF(ISNA(VLOOKUP($A93,Kc_Info!$A$4:$V$155,22,FALSE)),"",VLOOKUP($A93,Kc_Info!$A$4:$V$155,22,FALSE))</f>
        <v/>
      </c>
    </row>
    <row r="94" spans="1:22">
      <c r="A94" s="92"/>
      <c r="B94" s="93" t="str">
        <f>IF(ISNA(VLOOKUP($A94,Kc_Info!$A$4:$V$155,2,FALSE)),"",VLOOKUP($A94,Kc_Info!$A$4:$V$155,2,FALSE))</f>
        <v/>
      </c>
      <c r="C94" s="94" t="str">
        <f>IF(ISNA(VLOOKUP($A94,Kc_Info!$A$4:$V$155,3,FALSE)),"",VLOOKUP($A94,Kc_Info!$A$4:$V$155,3,FALSE))</f>
        <v/>
      </c>
      <c r="D94" s="94" t="str">
        <f>IF(ISNA(VLOOKUP($A94,Kc_Info!$A$4:$V$155,4,FALSE)),"",VLOOKUP($A94,Kc_Info!$A$4:$V$155,4,FALSE))</f>
        <v/>
      </c>
      <c r="E94" s="94" t="str">
        <f>IF(ISNA(VLOOKUP($A94,Kc_Info!$A$4:$V$155,5,FALSE)),"",VLOOKUP($A94,Kc_Info!$A$4:$V$155,5,FALSE))</f>
        <v/>
      </c>
      <c r="F94" s="94" t="str">
        <f>IF(ISNA(VLOOKUP($A94,Kc_Info!$A$4:$V$155,6,FALSE)),"",VLOOKUP($A94,Kc_Info!$A$4:$V$155,6,FALSE))</f>
        <v/>
      </c>
      <c r="G94" s="101" t="str">
        <f>IF(ISNA(VLOOKUP($A94,Kc_Info!$A$4:$V$155,7,FALSE)),"",VLOOKUP($A94,Kc_Info!$A$4:$V$155,7,FALSE))</f>
        <v/>
      </c>
      <c r="H94" s="101" t="str">
        <f>IF(ISNA(VLOOKUP($A94,Kc_Info!$A$4:$V$155,8,FALSE)),"",VLOOKUP($A94,Kc_Info!$A$4:$V$155,8,FALSE))</f>
        <v/>
      </c>
      <c r="I94" s="101" t="str">
        <f>IF(ISNA(VLOOKUP($A94,Kc_Info!$A$4:$V$155,9,FALSE)),"",VLOOKUP($A94,Kc_Info!$A$4:$V$155,9,FALSE))</f>
        <v/>
      </c>
      <c r="J94" s="101" t="str">
        <f>IF(ISNA(VLOOKUP($A94,Kc_Info!$A$4:$V$155,10,FALSE)),"",VLOOKUP($A94,Kc_Info!$A$4:$V$155,10,FALSE))</f>
        <v/>
      </c>
      <c r="K94" s="94" t="str">
        <f>IF(ISNA(VLOOKUP($A94,Kc_Info!$A$4:$V$155,11,FALSE)),"",VLOOKUP($A94,Kc_Info!$A$4:$V$155,11,FALSE))</f>
        <v/>
      </c>
      <c r="L94" s="94" t="str">
        <f>IF(ISNA(VLOOKUP($A94,Kc_Info!$A$4:$V$155,12,FALSE)),"",VLOOKUP($A94,Kc_Info!$A$4:$V$155,12,FALSE))</f>
        <v/>
      </c>
      <c r="M94" s="94" t="str">
        <f>IF(ISNA(VLOOKUP($A94,Kc_Info!$A$4:$V$155,13,FALSE)),"",VLOOKUP($A94,Kc_Info!$A$4:$V$155,13,FALSE))</f>
        <v/>
      </c>
      <c r="N94" s="94" t="str">
        <f>IF(ISNA(VLOOKUP($A94,Kc_Info!$A$4:$V$155,14,FALSE)),"",VLOOKUP($A94,Kc_Info!$A$4:$V$155,14,FALSE))</f>
        <v/>
      </c>
      <c r="O94" s="100" t="str">
        <f>IF(ISNA(VLOOKUP($A94,Kc_Info!$A$4:$V$155,15,FALSE)),"",VLOOKUP($A94,Kc_Info!$A$4:$V$155,15,FALSE))</f>
        <v/>
      </c>
      <c r="P94" s="100" t="str">
        <f>IF(ISNA(VLOOKUP($A94,Kc_Info!$A$4:$V$155,16,FALSE)),"",VLOOKUP($A94,Kc_Info!$A$4:$V$155,16,FALSE))</f>
        <v/>
      </c>
      <c r="Q94" s="100" t="str">
        <f>IF(ISNA(VLOOKUP($A94,Kc_Info!$A$4:$V$155,17,FALSE)),"",VLOOKUP($A94,Kc_Info!$A$4:$V$155,17,FALSE))</f>
        <v/>
      </c>
      <c r="R94" s="100" t="str">
        <f>IF(ISNA(VLOOKUP($A94,Kc_Info!$A$4:$V$155,18,FALSE)),"",VLOOKUP($A94,Kc_Info!$A$4:$V$155,18,FALSE))</f>
        <v/>
      </c>
      <c r="S94" s="100" t="str">
        <f>IF(ISNA(VLOOKUP($A94,Kc_Info!$A$4:$V$155,19,FALSE)),"",VLOOKUP($A94,Kc_Info!$A$4:$V$155,19,FALSE))</f>
        <v/>
      </c>
      <c r="T94" s="94" t="str">
        <f>IF(ISNA(VLOOKUP($A94,Kc_Info!$A$4:$V$155,20,FALSE)),"",VLOOKUP($A94,Kc_Info!$A$4:$V$155,20,FALSE))</f>
        <v/>
      </c>
      <c r="U94" s="94" t="str">
        <f>IF(ISNA(VLOOKUP($A94,Kc_Info!$A$4:$V$155,21,FALSE)),"",VLOOKUP($A94,Kc_Info!$A$4:$V$155,21,FALSE))</f>
        <v/>
      </c>
      <c r="V94" s="94" t="str">
        <f>IF(ISNA(VLOOKUP($A94,Kc_Info!$A$4:$V$155,22,FALSE)),"",VLOOKUP($A94,Kc_Info!$A$4:$V$155,22,FALSE))</f>
        <v/>
      </c>
    </row>
    <row r="95" spans="1:22">
      <c r="A95" s="92"/>
      <c r="B95" s="93" t="str">
        <f>IF(ISNA(VLOOKUP($A95,Kc_Info!$A$4:$V$155,2,FALSE)),"",VLOOKUP($A95,Kc_Info!$A$4:$V$155,2,FALSE))</f>
        <v/>
      </c>
      <c r="C95" s="94" t="str">
        <f>IF(ISNA(VLOOKUP($A95,Kc_Info!$A$4:$V$155,3,FALSE)),"",VLOOKUP($A95,Kc_Info!$A$4:$V$155,3,FALSE))</f>
        <v/>
      </c>
      <c r="D95" s="94" t="str">
        <f>IF(ISNA(VLOOKUP($A95,Kc_Info!$A$4:$V$155,4,FALSE)),"",VLOOKUP($A95,Kc_Info!$A$4:$V$155,4,FALSE))</f>
        <v/>
      </c>
      <c r="E95" s="94" t="str">
        <f>IF(ISNA(VLOOKUP($A95,Kc_Info!$A$4:$V$155,5,FALSE)),"",VLOOKUP($A95,Kc_Info!$A$4:$V$155,5,FALSE))</f>
        <v/>
      </c>
      <c r="F95" s="94" t="str">
        <f>IF(ISNA(VLOOKUP($A95,Kc_Info!$A$4:$V$155,6,FALSE)),"",VLOOKUP($A95,Kc_Info!$A$4:$V$155,6,FALSE))</f>
        <v/>
      </c>
      <c r="G95" s="101" t="str">
        <f>IF(ISNA(VLOOKUP($A95,Kc_Info!$A$4:$V$155,7,FALSE)),"",VLOOKUP($A95,Kc_Info!$A$4:$V$155,7,FALSE))</f>
        <v/>
      </c>
      <c r="H95" s="101" t="str">
        <f>IF(ISNA(VLOOKUP($A95,Kc_Info!$A$4:$V$155,8,FALSE)),"",VLOOKUP($A95,Kc_Info!$A$4:$V$155,8,FALSE))</f>
        <v/>
      </c>
      <c r="I95" s="101" t="str">
        <f>IF(ISNA(VLOOKUP($A95,Kc_Info!$A$4:$V$155,9,FALSE)),"",VLOOKUP($A95,Kc_Info!$A$4:$V$155,9,FALSE))</f>
        <v/>
      </c>
      <c r="J95" s="101" t="str">
        <f>IF(ISNA(VLOOKUP($A95,Kc_Info!$A$4:$V$155,10,FALSE)),"",VLOOKUP($A95,Kc_Info!$A$4:$V$155,10,FALSE))</f>
        <v/>
      </c>
      <c r="K95" s="94" t="str">
        <f>IF(ISNA(VLOOKUP($A95,Kc_Info!$A$4:$V$155,11,FALSE)),"",VLOOKUP($A95,Kc_Info!$A$4:$V$155,11,FALSE))</f>
        <v/>
      </c>
      <c r="L95" s="94" t="str">
        <f>IF(ISNA(VLOOKUP($A95,Kc_Info!$A$4:$V$155,12,FALSE)),"",VLOOKUP($A95,Kc_Info!$A$4:$V$155,12,FALSE))</f>
        <v/>
      </c>
      <c r="M95" s="94" t="str">
        <f>IF(ISNA(VLOOKUP($A95,Kc_Info!$A$4:$V$155,13,FALSE)),"",VLOOKUP($A95,Kc_Info!$A$4:$V$155,13,FALSE))</f>
        <v/>
      </c>
      <c r="N95" s="94" t="str">
        <f>IF(ISNA(VLOOKUP($A95,Kc_Info!$A$4:$V$155,14,FALSE)),"",VLOOKUP($A95,Kc_Info!$A$4:$V$155,14,FALSE))</f>
        <v/>
      </c>
      <c r="O95" s="100" t="str">
        <f>IF(ISNA(VLOOKUP($A95,Kc_Info!$A$4:$V$155,15,FALSE)),"",VLOOKUP($A95,Kc_Info!$A$4:$V$155,15,FALSE))</f>
        <v/>
      </c>
      <c r="P95" s="100" t="str">
        <f>IF(ISNA(VLOOKUP($A95,Kc_Info!$A$4:$V$155,16,FALSE)),"",VLOOKUP($A95,Kc_Info!$A$4:$V$155,16,FALSE))</f>
        <v/>
      </c>
      <c r="Q95" s="100" t="str">
        <f>IF(ISNA(VLOOKUP($A95,Kc_Info!$A$4:$V$155,17,FALSE)),"",VLOOKUP($A95,Kc_Info!$A$4:$V$155,17,FALSE))</f>
        <v/>
      </c>
      <c r="R95" s="100" t="str">
        <f>IF(ISNA(VLOOKUP($A95,Kc_Info!$A$4:$V$155,18,FALSE)),"",VLOOKUP($A95,Kc_Info!$A$4:$V$155,18,FALSE))</f>
        <v/>
      </c>
      <c r="S95" s="100" t="str">
        <f>IF(ISNA(VLOOKUP($A95,Kc_Info!$A$4:$V$155,19,FALSE)),"",VLOOKUP($A95,Kc_Info!$A$4:$V$155,19,FALSE))</f>
        <v/>
      </c>
      <c r="T95" s="94" t="str">
        <f>IF(ISNA(VLOOKUP($A95,Kc_Info!$A$4:$V$155,20,FALSE)),"",VLOOKUP($A95,Kc_Info!$A$4:$V$155,20,FALSE))</f>
        <v/>
      </c>
      <c r="U95" s="94" t="str">
        <f>IF(ISNA(VLOOKUP($A95,Kc_Info!$A$4:$V$155,21,FALSE)),"",VLOOKUP($A95,Kc_Info!$A$4:$V$155,21,FALSE))</f>
        <v/>
      </c>
      <c r="V95" s="94" t="str">
        <f>IF(ISNA(VLOOKUP($A95,Kc_Info!$A$4:$V$155,22,FALSE)),"",VLOOKUP($A95,Kc_Info!$A$4:$V$155,22,FALSE))</f>
        <v/>
      </c>
    </row>
    <row r="96" spans="1:22">
      <c r="A96" s="92"/>
      <c r="B96" s="93" t="str">
        <f>IF(ISNA(VLOOKUP($A96,Kc_Info!$A$4:$V$155,2,FALSE)),"",VLOOKUP($A96,Kc_Info!$A$4:$V$155,2,FALSE))</f>
        <v/>
      </c>
      <c r="C96" s="94" t="str">
        <f>IF(ISNA(VLOOKUP($A96,Kc_Info!$A$4:$V$155,3,FALSE)),"",VLOOKUP($A96,Kc_Info!$A$4:$V$155,3,FALSE))</f>
        <v/>
      </c>
      <c r="D96" s="94" t="str">
        <f>IF(ISNA(VLOOKUP($A96,Kc_Info!$A$4:$V$155,4,FALSE)),"",VLOOKUP($A96,Kc_Info!$A$4:$V$155,4,FALSE))</f>
        <v/>
      </c>
      <c r="E96" s="94" t="str">
        <f>IF(ISNA(VLOOKUP($A96,Kc_Info!$A$4:$V$155,5,FALSE)),"",VLOOKUP($A96,Kc_Info!$A$4:$V$155,5,FALSE))</f>
        <v/>
      </c>
      <c r="F96" s="94" t="str">
        <f>IF(ISNA(VLOOKUP($A96,Kc_Info!$A$4:$V$155,6,FALSE)),"",VLOOKUP($A96,Kc_Info!$A$4:$V$155,6,FALSE))</f>
        <v/>
      </c>
      <c r="G96" s="101" t="str">
        <f>IF(ISNA(VLOOKUP($A96,Kc_Info!$A$4:$V$155,7,FALSE)),"",VLOOKUP($A96,Kc_Info!$A$4:$V$155,7,FALSE))</f>
        <v/>
      </c>
      <c r="H96" s="101" t="str">
        <f>IF(ISNA(VLOOKUP($A96,Kc_Info!$A$4:$V$155,8,FALSE)),"",VLOOKUP($A96,Kc_Info!$A$4:$V$155,8,FALSE))</f>
        <v/>
      </c>
      <c r="I96" s="101" t="str">
        <f>IF(ISNA(VLOOKUP($A96,Kc_Info!$A$4:$V$155,9,FALSE)),"",VLOOKUP($A96,Kc_Info!$A$4:$V$155,9,FALSE))</f>
        <v/>
      </c>
      <c r="J96" s="101" t="str">
        <f>IF(ISNA(VLOOKUP($A96,Kc_Info!$A$4:$V$155,10,FALSE)),"",VLOOKUP($A96,Kc_Info!$A$4:$V$155,10,FALSE))</f>
        <v/>
      </c>
      <c r="K96" s="94" t="str">
        <f>IF(ISNA(VLOOKUP($A96,Kc_Info!$A$4:$V$155,11,FALSE)),"",VLOOKUP($A96,Kc_Info!$A$4:$V$155,11,FALSE))</f>
        <v/>
      </c>
      <c r="L96" s="94" t="str">
        <f>IF(ISNA(VLOOKUP($A96,Kc_Info!$A$4:$V$155,12,FALSE)),"",VLOOKUP($A96,Kc_Info!$A$4:$V$155,12,FALSE))</f>
        <v/>
      </c>
      <c r="M96" s="94" t="str">
        <f>IF(ISNA(VLOOKUP($A96,Kc_Info!$A$4:$V$155,13,FALSE)),"",VLOOKUP($A96,Kc_Info!$A$4:$V$155,13,FALSE))</f>
        <v/>
      </c>
      <c r="N96" s="94" t="str">
        <f>IF(ISNA(VLOOKUP($A96,Kc_Info!$A$4:$V$155,14,FALSE)),"",VLOOKUP($A96,Kc_Info!$A$4:$V$155,14,FALSE))</f>
        <v/>
      </c>
      <c r="O96" s="100" t="str">
        <f>IF(ISNA(VLOOKUP($A96,Kc_Info!$A$4:$V$155,15,FALSE)),"",VLOOKUP($A96,Kc_Info!$A$4:$V$155,15,FALSE))</f>
        <v/>
      </c>
      <c r="P96" s="100" t="str">
        <f>IF(ISNA(VLOOKUP($A96,Kc_Info!$A$4:$V$155,16,FALSE)),"",VLOOKUP($A96,Kc_Info!$A$4:$V$155,16,FALSE))</f>
        <v/>
      </c>
      <c r="Q96" s="100" t="str">
        <f>IF(ISNA(VLOOKUP($A96,Kc_Info!$A$4:$V$155,17,FALSE)),"",VLOOKUP($A96,Kc_Info!$A$4:$V$155,17,FALSE))</f>
        <v/>
      </c>
      <c r="R96" s="100" t="str">
        <f>IF(ISNA(VLOOKUP($A96,Kc_Info!$A$4:$V$155,18,FALSE)),"",VLOOKUP($A96,Kc_Info!$A$4:$V$155,18,FALSE))</f>
        <v/>
      </c>
      <c r="S96" s="100" t="str">
        <f>IF(ISNA(VLOOKUP($A96,Kc_Info!$A$4:$V$155,19,FALSE)),"",VLOOKUP($A96,Kc_Info!$A$4:$V$155,19,FALSE))</f>
        <v/>
      </c>
      <c r="T96" s="94" t="str">
        <f>IF(ISNA(VLOOKUP($A96,Kc_Info!$A$4:$V$155,20,FALSE)),"",VLOOKUP($A96,Kc_Info!$A$4:$V$155,20,FALSE))</f>
        <v/>
      </c>
      <c r="U96" s="94" t="str">
        <f>IF(ISNA(VLOOKUP($A96,Kc_Info!$A$4:$V$155,21,FALSE)),"",VLOOKUP($A96,Kc_Info!$A$4:$V$155,21,FALSE))</f>
        <v/>
      </c>
      <c r="V96" s="94" t="str">
        <f>IF(ISNA(VLOOKUP($A96,Kc_Info!$A$4:$V$155,22,FALSE)),"",VLOOKUP($A96,Kc_Info!$A$4:$V$155,22,FALSE))</f>
        <v/>
      </c>
    </row>
    <row r="97" spans="1:22">
      <c r="A97" s="92"/>
      <c r="B97" s="93" t="str">
        <f>IF(ISNA(VLOOKUP($A97,Kc_Info!$A$4:$V$155,2,FALSE)),"",VLOOKUP($A97,Kc_Info!$A$4:$V$155,2,FALSE))</f>
        <v/>
      </c>
      <c r="C97" s="94" t="str">
        <f>IF(ISNA(VLOOKUP($A97,Kc_Info!$A$4:$V$155,3,FALSE)),"",VLOOKUP($A97,Kc_Info!$A$4:$V$155,3,FALSE))</f>
        <v/>
      </c>
      <c r="D97" s="94" t="str">
        <f>IF(ISNA(VLOOKUP($A97,Kc_Info!$A$4:$V$155,4,FALSE)),"",VLOOKUP($A97,Kc_Info!$A$4:$V$155,4,FALSE))</f>
        <v/>
      </c>
      <c r="E97" s="94" t="str">
        <f>IF(ISNA(VLOOKUP($A97,Kc_Info!$A$4:$V$155,5,FALSE)),"",VLOOKUP($A97,Kc_Info!$A$4:$V$155,5,FALSE))</f>
        <v/>
      </c>
      <c r="F97" s="94" t="str">
        <f>IF(ISNA(VLOOKUP($A97,Kc_Info!$A$4:$V$155,6,FALSE)),"",VLOOKUP($A97,Kc_Info!$A$4:$V$155,6,FALSE))</f>
        <v/>
      </c>
      <c r="G97" s="101" t="str">
        <f>IF(ISNA(VLOOKUP($A97,Kc_Info!$A$4:$V$155,7,FALSE)),"",VLOOKUP($A97,Kc_Info!$A$4:$V$155,7,FALSE))</f>
        <v/>
      </c>
      <c r="H97" s="101" t="str">
        <f>IF(ISNA(VLOOKUP($A97,Kc_Info!$A$4:$V$155,8,FALSE)),"",VLOOKUP($A97,Kc_Info!$A$4:$V$155,8,FALSE))</f>
        <v/>
      </c>
      <c r="I97" s="101" t="str">
        <f>IF(ISNA(VLOOKUP($A97,Kc_Info!$A$4:$V$155,9,FALSE)),"",VLOOKUP($A97,Kc_Info!$A$4:$V$155,9,FALSE))</f>
        <v/>
      </c>
      <c r="J97" s="101" t="str">
        <f>IF(ISNA(VLOOKUP($A97,Kc_Info!$A$4:$V$155,10,FALSE)),"",VLOOKUP($A97,Kc_Info!$A$4:$V$155,10,FALSE))</f>
        <v/>
      </c>
      <c r="K97" s="94" t="str">
        <f>IF(ISNA(VLOOKUP($A97,Kc_Info!$A$4:$V$155,11,FALSE)),"",VLOOKUP($A97,Kc_Info!$A$4:$V$155,11,FALSE))</f>
        <v/>
      </c>
      <c r="L97" s="94" t="str">
        <f>IF(ISNA(VLOOKUP($A97,Kc_Info!$A$4:$V$155,12,FALSE)),"",VLOOKUP($A97,Kc_Info!$A$4:$V$155,12,FALSE))</f>
        <v/>
      </c>
      <c r="M97" s="94" t="str">
        <f>IF(ISNA(VLOOKUP($A97,Kc_Info!$A$4:$V$155,13,FALSE)),"",VLOOKUP($A97,Kc_Info!$A$4:$V$155,13,FALSE))</f>
        <v/>
      </c>
      <c r="N97" s="94" t="str">
        <f>IF(ISNA(VLOOKUP($A97,Kc_Info!$A$4:$V$155,14,FALSE)),"",VLOOKUP($A97,Kc_Info!$A$4:$V$155,14,FALSE))</f>
        <v/>
      </c>
      <c r="O97" s="100" t="str">
        <f>IF(ISNA(VLOOKUP($A97,Kc_Info!$A$4:$V$155,15,FALSE)),"",VLOOKUP($A97,Kc_Info!$A$4:$V$155,15,FALSE))</f>
        <v/>
      </c>
      <c r="P97" s="100" t="str">
        <f>IF(ISNA(VLOOKUP($A97,Kc_Info!$A$4:$V$155,16,FALSE)),"",VLOOKUP($A97,Kc_Info!$A$4:$V$155,16,FALSE))</f>
        <v/>
      </c>
      <c r="Q97" s="100" t="str">
        <f>IF(ISNA(VLOOKUP($A97,Kc_Info!$A$4:$V$155,17,FALSE)),"",VLOOKUP($A97,Kc_Info!$A$4:$V$155,17,FALSE))</f>
        <v/>
      </c>
      <c r="R97" s="100" t="str">
        <f>IF(ISNA(VLOOKUP($A97,Kc_Info!$A$4:$V$155,18,FALSE)),"",VLOOKUP($A97,Kc_Info!$A$4:$V$155,18,FALSE))</f>
        <v/>
      </c>
      <c r="S97" s="100" t="str">
        <f>IF(ISNA(VLOOKUP($A97,Kc_Info!$A$4:$V$155,19,FALSE)),"",VLOOKUP($A97,Kc_Info!$A$4:$V$155,19,FALSE))</f>
        <v/>
      </c>
      <c r="T97" s="94" t="str">
        <f>IF(ISNA(VLOOKUP($A97,Kc_Info!$A$4:$V$155,20,FALSE)),"",VLOOKUP($A97,Kc_Info!$A$4:$V$155,20,FALSE))</f>
        <v/>
      </c>
      <c r="U97" s="94" t="str">
        <f>IF(ISNA(VLOOKUP($A97,Kc_Info!$A$4:$V$155,21,FALSE)),"",VLOOKUP($A97,Kc_Info!$A$4:$V$155,21,FALSE))</f>
        <v/>
      </c>
      <c r="V97" s="94" t="str">
        <f>IF(ISNA(VLOOKUP($A97,Kc_Info!$A$4:$V$155,22,FALSE)),"",VLOOKUP($A97,Kc_Info!$A$4:$V$155,22,FALSE))</f>
        <v/>
      </c>
    </row>
    <row r="98" spans="1:22">
      <c r="A98" s="92"/>
      <c r="B98" s="93" t="str">
        <f>IF(ISNA(VLOOKUP($A98,Kc_Info!$A$4:$V$155,2,FALSE)),"",VLOOKUP($A98,Kc_Info!$A$4:$V$155,2,FALSE))</f>
        <v/>
      </c>
      <c r="C98" s="94" t="str">
        <f>IF(ISNA(VLOOKUP($A98,Kc_Info!$A$4:$V$155,3,FALSE)),"",VLOOKUP($A98,Kc_Info!$A$4:$V$155,3,FALSE))</f>
        <v/>
      </c>
      <c r="D98" s="94" t="str">
        <f>IF(ISNA(VLOOKUP($A98,Kc_Info!$A$4:$V$155,4,FALSE)),"",VLOOKUP($A98,Kc_Info!$A$4:$V$155,4,FALSE))</f>
        <v/>
      </c>
      <c r="E98" s="94" t="str">
        <f>IF(ISNA(VLOOKUP($A98,Kc_Info!$A$4:$V$155,5,FALSE)),"",VLOOKUP($A98,Kc_Info!$A$4:$V$155,5,FALSE))</f>
        <v/>
      </c>
      <c r="F98" s="94" t="str">
        <f>IF(ISNA(VLOOKUP($A98,Kc_Info!$A$4:$V$155,6,FALSE)),"",VLOOKUP($A98,Kc_Info!$A$4:$V$155,6,FALSE))</f>
        <v/>
      </c>
      <c r="G98" s="101" t="str">
        <f>IF(ISNA(VLOOKUP($A98,Kc_Info!$A$4:$V$155,7,FALSE)),"",VLOOKUP($A98,Kc_Info!$A$4:$V$155,7,FALSE))</f>
        <v/>
      </c>
      <c r="H98" s="101" t="str">
        <f>IF(ISNA(VLOOKUP($A98,Kc_Info!$A$4:$V$155,8,FALSE)),"",VLOOKUP($A98,Kc_Info!$A$4:$V$155,8,FALSE))</f>
        <v/>
      </c>
      <c r="I98" s="101" t="str">
        <f>IF(ISNA(VLOOKUP($A98,Kc_Info!$A$4:$V$155,9,FALSE)),"",VLOOKUP($A98,Kc_Info!$A$4:$V$155,9,FALSE))</f>
        <v/>
      </c>
      <c r="J98" s="101" t="str">
        <f>IF(ISNA(VLOOKUP($A98,Kc_Info!$A$4:$V$155,10,FALSE)),"",VLOOKUP($A98,Kc_Info!$A$4:$V$155,10,FALSE))</f>
        <v/>
      </c>
      <c r="K98" s="94" t="str">
        <f>IF(ISNA(VLOOKUP($A98,Kc_Info!$A$4:$V$155,11,FALSE)),"",VLOOKUP($A98,Kc_Info!$A$4:$V$155,11,FALSE))</f>
        <v/>
      </c>
      <c r="L98" s="94" t="str">
        <f>IF(ISNA(VLOOKUP($A98,Kc_Info!$A$4:$V$155,12,FALSE)),"",VLOOKUP($A98,Kc_Info!$A$4:$V$155,12,FALSE))</f>
        <v/>
      </c>
      <c r="M98" s="94" t="str">
        <f>IF(ISNA(VLOOKUP($A98,Kc_Info!$A$4:$V$155,13,FALSE)),"",VLOOKUP($A98,Kc_Info!$A$4:$V$155,13,FALSE))</f>
        <v/>
      </c>
      <c r="N98" s="94" t="str">
        <f>IF(ISNA(VLOOKUP($A98,Kc_Info!$A$4:$V$155,14,FALSE)),"",VLOOKUP($A98,Kc_Info!$A$4:$V$155,14,FALSE))</f>
        <v/>
      </c>
      <c r="O98" s="100" t="str">
        <f>IF(ISNA(VLOOKUP($A98,Kc_Info!$A$4:$V$155,15,FALSE)),"",VLOOKUP($A98,Kc_Info!$A$4:$V$155,15,FALSE))</f>
        <v/>
      </c>
      <c r="P98" s="100" t="str">
        <f>IF(ISNA(VLOOKUP($A98,Kc_Info!$A$4:$V$155,16,FALSE)),"",VLOOKUP($A98,Kc_Info!$A$4:$V$155,16,FALSE))</f>
        <v/>
      </c>
      <c r="Q98" s="100" t="str">
        <f>IF(ISNA(VLOOKUP($A98,Kc_Info!$A$4:$V$155,17,FALSE)),"",VLOOKUP($A98,Kc_Info!$A$4:$V$155,17,FALSE))</f>
        <v/>
      </c>
      <c r="R98" s="100" t="str">
        <f>IF(ISNA(VLOOKUP($A98,Kc_Info!$A$4:$V$155,18,FALSE)),"",VLOOKUP($A98,Kc_Info!$A$4:$V$155,18,FALSE))</f>
        <v/>
      </c>
      <c r="S98" s="100" t="str">
        <f>IF(ISNA(VLOOKUP($A98,Kc_Info!$A$4:$V$155,19,FALSE)),"",VLOOKUP($A98,Kc_Info!$A$4:$V$155,19,FALSE))</f>
        <v/>
      </c>
      <c r="T98" s="94" t="str">
        <f>IF(ISNA(VLOOKUP($A98,Kc_Info!$A$4:$V$155,20,FALSE)),"",VLOOKUP($A98,Kc_Info!$A$4:$V$155,20,FALSE))</f>
        <v/>
      </c>
      <c r="U98" s="94" t="str">
        <f>IF(ISNA(VLOOKUP($A98,Kc_Info!$A$4:$V$155,21,FALSE)),"",VLOOKUP($A98,Kc_Info!$A$4:$V$155,21,FALSE))</f>
        <v/>
      </c>
      <c r="V98" s="94" t="str">
        <f>IF(ISNA(VLOOKUP($A98,Kc_Info!$A$4:$V$155,22,FALSE)),"",VLOOKUP($A98,Kc_Info!$A$4:$V$155,22,FALSE))</f>
        <v/>
      </c>
    </row>
    <row r="99" spans="1:22">
      <c r="A99" s="92"/>
      <c r="B99" s="93" t="str">
        <f>IF(ISNA(VLOOKUP($A99,Kc_Info!$A$4:$V$155,2,FALSE)),"",VLOOKUP($A99,Kc_Info!$A$4:$V$155,2,FALSE))</f>
        <v/>
      </c>
      <c r="C99" s="94" t="str">
        <f>IF(ISNA(VLOOKUP($A99,Kc_Info!$A$4:$V$155,3,FALSE)),"",VLOOKUP($A99,Kc_Info!$A$4:$V$155,3,FALSE))</f>
        <v/>
      </c>
      <c r="D99" s="94" t="str">
        <f>IF(ISNA(VLOOKUP($A99,Kc_Info!$A$4:$V$155,4,FALSE)),"",VLOOKUP($A99,Kc_Info!$A$4:$V$155,4,FALSE))</f>
        <v/>
      </c>
      <c r="E99" s="94" t="str">
        <f>IF(ISNA(VLOOKUP($A99,Kc_Info!$A$4:$V$155,5,FALSE)),"",VLOOKUP($A99,Kc_Info!$A$4:$V$155,5,FALSE))</f>
        <v/>
      </c>
      <c r="F99" s="94" t="str">
        <f>IF(ISNA(VLOOKUP($A99,Kc_Info!$A$4:$V$155,6,FALSE)),"",VLOOKUP($A99,Kc_Info!$A$4:$V$155,6,FALSE))</f>
        <v/>
      </c>
      <c r="G99" s="101" t="str">
        <f>IF(ISNA(VLOOKUP($A99,Kc_Info!$A$4:$V$155,7,FALSE)),"",VLOOKUP($A99,Kc_Info!$A$4:$V$155,7,FALSE))</f>
        <v/>
      </c>
      <c r="H99" s="101" t="str">
        <f>IF(ISNA(VLOOKUP($A99,Kc_Info!$A$4:$V$155,8,FALSE)),"",VLOOKUP($A99,Kc_Info!$A$4:$V$155,8,FALSE))</f>
        <v/>
      </c>
      <c r="I99" s="101" t="str">
        <f>IF(ISNA(VLOOKUP($A99,Kc_Info!$A$4:$V$155,9,FALSE)),"",VLOOKUP($A99,Kc_Info!$A$4:$V$155,9,FALSE))</f>
        <v/>
      </c>
      <c r="J99" s="101" t="str">
        <f>IF(ISNA(VLOOKUP($A99,Kc_Info!$A$4:$V$155,10,FALSE)),"",VLOOKUP($A99,Kc_Info!$A$4:$V$155,10,FALSE))</f>
        <v/>
      </c>
      <c r="K99" s="94" t="str">
        <f>IF(ISNA(VLOOKUP($A99,Kc_Info!$A$4:$V$155,11,FALSE)),"",VLOOKUP($A99,Kc_Info!$A$4:$V$155,11,FALSE))</f>
        <v/>
      </c>
      <c r="L99" s="94" t="str">
        <f>IF(ISNA(VLOOKUP($A99,Kc_Info!$A$4:$V$155,12,FALSE)),"",VLOOKUP($A99,Kc_Info!$A$4:$V$155,12,FALSE))</f>
        <v/>
      </c>
      <c r="M99" s="94" t="str">
        <f>IF(ISNA(VLOOKUP($A99,Kc_Info!$A$4:$V$155,13,FALSE)),"",VLOOKUP($A99,Kc_Info!$A$4:$V$155,13,FALSE))</f>
        <v/>
      </c>
      <c r="N99" s="94" t="str">
        <f>IF(ISNA(VLOOKUP($A99,Kc_Info!$A$4:$V$155,14,FALSE)),"",VLOOKUP($A99,Kc_Info!$A$4:$V$155,14,FALSE))</f>
        <v/>
      </c>
      <c r="O99" s="100" t="str">
        <f>IF(ISNA(VLOOKUP($A99,Kc_Info!$A$4:$V$155,15,FALSE)),"",VLOOKUP($A99,Kc_Info!$A$4:$V$155,15,FALSE))</f>
        <v/>
      </c>
      <c r="P99" s="100" t="str">
        <f>IF(ISNA(VLOOKUP($A99,Kc_Info!$A$4:$V$155,16,FALSE)),"",VLOOKUP($A99,Kc_Info!$A$4:$V$155,16,FALSE))</f>
        <v/>
      </c>
      <c r="Q99" s="100" t="str">
        <f>IF(ISNA(VLOOKUP($A99,Kc_Info!$A$4:$V$155,17,FALSE)),"",VLOOKUP($A99,Kc_Info!$A$4:$V$155,17,FALSE))</f>
        <v/>
      </c>
      <c r="R99" s="100" t="str">
        <f>IF(ISNA(VLOOKUP($A99,Kc_Info!$A$4:$V$155,18,FALSE)),"",VLOOKUP($A99,Kc_Info!$A$4:$V$155,18,FALSE))</f>
        <v/>
      </c>
      <c r="S99" s="100" t="str">
        <f>IF(ISNA(VLOOKUP($A99,Kc_Info!$A$4:$V$155,19,FALSE)),"",VLOOKUP($A99,Kc_Info!$A$4:$V$155,19,FALSE))</f>
        <v/>
      </c>
      <c r="T99" s="94" t="str">
        <f>IF(ISNA(VLOOKUP($A99,Kc_Info!$A$4:$V$155,20,FALSE)),"",VLOOKUP($A99,Kc_Info!$A$4:$V$155,20,FALSE))</f>
        <v/>
      </c>
      <c r="U99" s="94" t="str">
        <f>IF(ISNA(VLOOKUP($A99,Kc_Info!$A$4:$V$155,21,FALSE)),"",VLOOKUP($A99,Kc_Info!$A$4:$V$155,21,FALSE))</f>
        <v/>
      </c>
      <c r="V99" s="94" t="str">
        <f>IF(ISNA(VLOOKUP($A99,Kc_Info!$A$4:$V$155,22,FALSE)),"",VLOOKUP($A99,Kc_Info!$A$4:$V$155,22,FALSE))</f>
        <v/>
      </c>
    </row>
    <row r="100" spans="1:22">
      <c r="A100" s="92"/>
      <c r="B100" s="93" t="str">
        <f>IF(ISNA(VLOOKUP($A100,Kc_Info!$A$4:$V$155,2,FALSE)),"",VLOOKUP($A100,Kc_Info!$A$4:$V$155,2,FALSE))</f>
        <v/>
      </c>
      <c r="C100" s="94" t="str">
        <f>IF(ISNA(VLOOKUP($A100,Kc_Info!$A$4:$V$155,3,FALSE)),"",VLOOKUP($A100,Kc_Info!$A$4:$V$155,3,FALSE))</f>
        <v/>
      </c>
      <c r="D100" s="94" t="str">
        <f>IF(ISNA(VLOOKUP($A100,Kc_Info!$A$4:$V$155,4,FALSE)),"",VLOOKUP($A100,Kc_Info!$A$4:$V$155,4,FALSE))</f>
        <v/>
      </c>
      <c r="E100" s="94" t="str">
        <f>IF(ISNA(VLOOKUP($A100,Kc_Info!$A$4:$V$155,5,FALSE)),"",VLOOKUP($A100,Kc_Info!$A$4:$V$155,5,FALSE))</f>
        <v/>
      </c>
      <c r="F100" s="94" t="str">
        <f>IF(ISNA(VLOOKUP($A100,Kc_Info!$A$4:$V$155,6,FALSE)),"",VLOOKUP($A100,Kc_Info!$A$4:$V$155,6,FALSE))</f>
        <v/>
      </c>
      <c r="G100" s="101" t="str">
        <f>IF(ISNA(VLOOKUP($A100,Kc_Info!$A$4:$V$155,7,FALSE)),"",VLOOKUP($A100,Kc_Info!$A$4:$V$155,7,FALSE))</f>
        <v/>
      </c>
      <c r="H100" s="101" t="str">
        <f>IF(ISNA(VLOOKUP($A100,Kc_Info!$A$4:$V$155,8,FALSE)),"",VLOOKUP($A100,Kc_Info!$A$4:$V$155,8,FALSE))</f>
        <v/>
      </c>
      <c r="I100" s="101" t="str">
        <f>IF(ISNA(VLOOKUP($A100,Kc_Info!$A$4:$V$155,9,FALSE)),"",VLOOKUP($A100,Kc_Info!$A$4:$V$155,9,FALSE))</f>
        <v/>
      </c>
      <c r="J100" s="101" t="str">
        <f>IF(ISNA(VLOOKUP($A100,Kc_Info!$A$4:$V$155,10,FALSE)),"",VLOOKUP($A100,Kc_Info!$A$4:$V$155,10,FALSE))</f>
        <v/>
      </c>
      <c r="K100" s="94" t="str">
        <f>IF(ISNA(VLOOKUP($A100,Kc_Info!$A$4:$V$155,11,FALSE)),"",VLOOKUP($A100,Kc_Info!$A$4:$V$155,11,FALSE))</f>
        <v/>
      </c>
      <c r="L100" s="94" t="str">
        <f>IF(ISNA(VLOOKUP($A100,Kc_Info!$A$4:$V$155,12,FALSE)),"",VLOOKUP($A100,Kc_Info!$A$4:$V$155,12,FALSE))</f>
        <v/>
      </c>
      <c r="M100" s="94" t="str">
        <f>IF(ISNA(VLOOKUP($A100,Kc_Info!$A$4:$V$155,13,FALSE)),"",VLOOKUP($A100,Kc_Info!$A$4:$V$155,13,FALSE))</f>
        <v/>
      </c>
      <c r="N100" s="94" t="str">
        <f>IF(ISNA(VLOOKUP($A100,Kc_Info!$A$4:$V$155,14,FALSE)),"",VLOOKUP($A100,Kc_Info!$A$4:$V$155,14,FALSE))</f>
        <v/>
      </c>
      <c r="O100" s="100" t="str">
        <f>IF(ISNA(VLOOKUP($A100,Kc_Info!$A$4:$V$155,15,FALSE)),"",VLOOKUP($A100,Kc_Info!$A$4:$V$155,15,FALSE))</f>
        <v/>
      </c>
      <c r="P100" s="100" t="str">
        <f>IF(ISNA(VLOOKUP($A100,Kc_Info!$A$4:$V$155,16,FALSE)),"",VLOOKUP($A100,Kc_Info!$A$4:$V$155,16,FALSE))</f>
        <v/>
      </c>
      <c r="Q100" s="100" t="str">
        <f>IF(ISNA(VLOOKUP($A100,Kc_Info!$A$4:$V$155,17,FALSE)),"",VLOOKUP($A100,Kc_Info!$A$4:$V$155,17,FALSE))</f>
        <v/>
      </c>
      <c r="R100" s="100" t="str">
        <f>IF(ISNA(VLOOKUP($A100,Kc_Info!$A$4:$V$155,18,FALSE)),"",VLOOKUP($A100,Kc_Info!$A$4:$V$155,18,FALSE))</f>
        <v/>
      </c>
      <c r="S100" s="100" t="str">
        <f>IF(ISNA(VLOOKUP($A100,Kc_Info!$A$4:$V$155,19,FALSE)),"",VLOOKUP($A100,Kc_Info!$A$4:$V$155,19,FALSE))</f>
        <v/>
      </c>
      <c r="T100" s="94" t="str">
        <f>IF(ISNA(VLOOKUP($A100,Kc_Info!$A$4:$V$155,20,FALSE)),"",VLOOKUP($A100,Kc_Info!$A$4:$V$155,20,FALSE))</f>
        <v/>
      </c>
      <c r="U100" s="94" t="str">
        <f>IF(ISNA(VLOOKUP($A100,Kc_Info!$A$4:$V$155,21,FALSE)),"",VLOOKUP($A100,Kc_Info!$A$4:$V$155,21,FALSE))</f>
        <v/>
      </c>
      <c r="V100" s="94" t="str">
        <f>IF(ISNA(VLOOKUP($A100,Kc_Info!$A$4:$V$155,22,FALSE)),"",VLOOKUP($A100,Kc_Info!$A$4:$V$155,22,FALSE))</f>
        <v/>
      </c>
    </row>
    <row r="101" spans="1:22">
      <c r="A101" s="92"/>
      <c r="B101" s="93" t="str">
        <f>IF(ISNA(VLOOKUP($A101,Kc_Info!$A$4:$V$155,2,FALSE)),"",VLOOKUP($A101,Kc_Info!$A$4:$V$155,2,FALSE))</f>
        <v/>
      </c>
      <c r="C101" s="94" t="str">
        <f>IF(ISNA(VLOOKUP($A101,Kc_Info!$A$4:$V$155,3,FALSE)),"",VLOOKUP($A101,Kc_Info!$A$4:$V$155,3,FALSE))</f>
        <v/>
      </c>
      <c r="D101" s="94" t="str">
        <f>IF(ISNA(VLOOKUP($A101,Kc_Info!$A$4:$V$155,4,FALSE)),"",VLOOKUP($A101,Kc_Info!$A$4:$V$155,4,FALSE))</f>
        <v/>
      </c>
      <c r="E101" s="94" t="str">
        <f>IF(ISNA(VLOOKUP($A101,Kc_Info!$A$4:$V$155,5,FALSE)),"",VLOOKUP($A101,Kc_Info!$A$4:$V$155,5,FALSE))</f>
        <v/>
      </c>
      <c r="F101" s="94" t="str">
        <f>IF(ISNA(VLOOKUP($A101,Kc_Info!$A$4:$V$155,6,FALSE)),"",VLOOKUP($A101,Kc_Info!$A$4:$V$155,6,FALSE))</f>
        <v/>
      </c>
      <c r="G101" s="101" t="str">
        <f>IF(ISNA(VLOOKUP($A101,Kc_Info!$A$4:$V$155,7,FALSE)),"",VLOOKUP($A101,Kc_Info!$A$4:$V$155,7,FALSE))</f>
        <v/>
      </c>
      <c r="H101" s="101" t="str">
        <f>IF(ISNA(VLOOKUP($A101,Kc_Info!$A$4:$V$155,8,FALSE)),"",VLOOKUP($A101,Kc_Info!$A$4:$V$155,8,FALSE))</f>
        <v/>
      </c>
      <c r="I101" s="101" t="str">
        <f>IF(ISNA(VLOOKUP($A101,Kc_Info!$A$4:$V$155,9,FALSE)),"",VLOOKUP($A101,Kc_Info!$A$4:$V$155,9,FALSE))</f>
        <v/>
      </c>
      <c r="J101" s="101" t="str">
        <f>IF(ISNA(VLOOKUP($A101,Kc_Info!$A$4:$V$155,10,FALSE)),"",VLOOKUP($A101,Kc_Info!$A$4:$V$155,10,FALSE))</f>
        <v/>
      </c>
      <c r="K101" s="94" t="str">
        <f>IF(ISNA(VLOOKUP($A101,Kc_Info!$A$4:$V$155,11,FALSE)),"",VLOOKUP($A101,Kc_Info!$A$4:$V$155,11,FALSE))</f>
        <v/>
      </c>
      <c r="L101" s="94" t="str">
        <f>IF(ISNA(VLOOKUP($A101,Kc_Info!$A$4:$V$155,12,FALSE)),"",VLOOKUP($A101,Kc_Info!$A$4:$V$155,12,FALSE))</f>
        <v/>
      </c>
      <c r="M101" s="94" t="str">
        <f>IF(ISNA(VLOOKUP($A101,Kc_Info!$A$4:$V$155,13,FALSE)),"",VLOOKUP($A101,Kc_Info!$A$4:$V$155,13,FALSE))</f>
        <v/>
      </c>
      <c r="N101" s="94" t="str">
        <f>IF(ISNA(VLOOKUP($A101,Kc_Info!$A$4:$V$155,14,FALSE)),"",VLOOKUP($A101,Kc_Info!$A$4:$V$155,14,FALSE))</f>
        <v/>
      </c>
      <c r="O101" s="100" t="str">
        <f>IF(ISNA(VLOOKUP($A101,Kc_Info!$A$4:$V$155,15,FALSE)),"",VLOOKUP($A101,Kc_Info!$A$4:$V$155,15,FALSE))</f>
        <v/>
      </c>
      <c r="P101" s="100" t="str">
        <f>IF(ISNA(VLOOKUP($A101,Kc_Info!$A$4:$V$155,16,FALSE)),"",VLOOKUP($A101,Kc_Info!$A$4:$V$155,16,FALSE))</f>
        <v/>
      </c>
      <c r="Q101" s="100" t="str">
        <f>IF(ISNA(VLOOKUP($A101,Kc_Info!$A$4:$V$155,17,FALSE)),"",VLOOKUP($A101,Kc_Info!$A$4:$V$155,17,FALSE))</f>
        <v/>
      </c>
      <c r="R101" s="100" t="str">
        <f>IF(ISNA(VLOOKUP($A101,Kc_Info!$A$4:$V$155,18,FALSE)),"",VLOOKUP($A101,Kc_Info!$A$4:$V$155,18,FALSE))</f>
        <v/>
      </c>
      <c r="S101" s="100" t="str">
        <f>IF(ISNA(VLOOKUP($A101,Kc_Info!$A$4:$V$155,19,FALSE)),"",VLOOKUP($A101,Kc_Info!$A$4:$V$155,19,FALSE))</f>
        <v/>
      </c>
      <c r="T101" s="94" t="str">
        <f>IF(ISNA(VLOOKUP($A101,Kc_Info!$A$4:$V$155,20,FALSE)),"",VLOOKUP($A101,Kc_Info!$A$4:$V$155,20,FALSE))</f>
        <v/>
      </c>
      <c r="U101" s="94" t="str">
        <f>IF(ISNA(VLOOKUP($A101,Kc_Info!$A$4:$V$155,21,FALSE)),"",VLOOKUP($A101,Kc_Info!$A$4:$V$155,21,FALSE))</f>
        <v/>
      </c>
      <c r="V101" s="94" t="str">
        <f>IF(ISNA(VLOOKUP($A101,Kc_Info!$A$4:$V$155,22,FALSE)),"",VLOOKUP($A101,Kc_Info!$A$4:$V$155,22,FALSE))</f>
        <v/>
      </c>
    </row>
    <row r="102" spans="1:22">
      <c r="A102" s="92"/>
      <c r="B102" s="93" t="str">
        <f>IF(ISNA(VLOOKUP($A102,Kc_Info!$A$4:$V$155,2,FALSE)),"",VLOOKUP($A102,Kc_Info!$A$4:$V$155,2,FALSE))</f>
        <v/>
      </c>
      <c r="C102" s="94" t="str">
        <f>IF(ISNA(VLOOKUP($A102,Kc_Info!$A$4:$V$155,3,FALSE)),"",VLOOKUP($A102,Kc_Info!$A$4:$V$155,3,FALSE))</f>
        <v/>
      </c>
      <c r="D102" s="94" t="str">
        <f>IF(ISNA(VLOOKUP($A102,Kc_Info!$A$4:$V$155,4,FALSE)),"",VLOOKUP($A102,Kc_Info!$A$4:$V$155,4,FALSE))</f>
        <v/>
      </c>
      <c r="E102" s="94" t="str">
        <f>IF(ISNA(VLOOKUP($A102,Kc_Info!$A$4:$V$155,5,FALSE)),"",VLOOKUP($A102,Kc_Info!$A$4:$V$155,5,FALSE))</f>
        <v/>
      </c>
      <c r="F102" s="94" t="str">
        <f>IF(ISNA(VLOOKUP($A102,Kc_Info!$A$4:$V$155,6,FALSE)),"",VLOOKUP($A102,Kc_Info!$A$4:$V$155,6,FALSE))</f>
        <v/>
      </c>
      <c r="G102" s="101" t="str">
        <f>IF(ISNA(VLOOKUP($A102,Kc_Info!$A$4:$V$155,7,FALSE)),"",VLOOKUP($A102,Kc_Info!$A$4:$V$155,7,FALSE))</f>
        <v/>
      </c>
      <c r="H102" s="101" t="str">
        <f>IF(ISNA(VLOOKUP($A102,Kc_Info!$A$4:$V$155,8,FALSE)),"",VLOOKUP($A102,Kc_Info!$A$4:$V$155,8,FALSE))</f>
        <v/>
      </c>
      <c r="I102" s="101" t="str">
        <f>IF(ISNA(VLOOKUP($A102,Kc_Info!$A$4:$V$155,9,FALSE)),"",VLOOKUP($A102,Kc_Info!$A$4:$V$155,9,FALSE))</f>
        <v/>
      </c>
      <c r="J102" s="101" t="str">
        <f>IF(ISNA(VLOOKUP($A102,Kc_Info!$A$4:$V$155,10,FALSE)),"",VLOOKUP($A102,Kc_Info!$A$4:$V$155,10,FALSE))</f>
        <v/>
      </c>
      <c r="K102" s="94" t="str">
        <f>IF(ISNA(VLOOKUP($A102,Kc_Info!$A$4:$V$155,11,FALSE)),"",VLOOKUP($A102,Kc_Info!$A$4:$V$155,11,FALSE))</f>
        <v/>
      </c>
      <c r="L102" s="94" t="str">
        <f>IF(ISNA(VLOOKUP($A102,Kc_Info!$A$4:$V$155,12,FALSE)),"",VLOOKUP($A102,Kc_Info!$A$4:$V$155,12,FALSE))</f>
        <v/>
      </c>
      <c r="M102" s="94" t="str">
        <f>IF(ISNA(VLOOKUP($A102,Kc_Info!$A$4:$V$155,13,FALSE)),"",VLOOKUP($A102,Kc_Info!$A$4:$V$155,13,FALSE))</f>
        <v/>
      </c>
      <c r="N102" s="94" t="str">
        <f>IF(ISNA(VLOOKUP($A102,Kc_Info!$A$4:$V$155,14,FALSE)),"",VLOOKUP($A102,Kc_Info!$A$4:$V$155,14,FALSE))</f>
        <v/>
      </c>
      <c r="O102" s="100" t="str">
        <f>IF(ISNA(VLOOKUP($A102,Kc_Info!$A$4:$V$155,15,FALSE)),"",VLOOKUP($A102,Kc_Info!$A$4:$V$155,15,FALSE))</f>
        <v/>
      </c>
      <c r="P102" s="100" t="str">
        <f>IF(ISNA(VLOOKUP($A102,Kc_Info!$A$4:$V$155,16,FALSE)),"",VLOOKUP($A102,Kc_Info!$A$4:$V$155,16,FALSE))</f>
        <v/>
      </c>
      <c r="Q102" s="100" t="str">
        <f>IF(ISNA(VLOOKUP($A102,Kc_Info!$A$4:$V$155,17,FALSE)),"",VLOOKUP($A102,Kc_Info!$A$4:$V$155,17,FALSE))</f>
        <v/>
      </c>
      <c r="R102" s="100" t="str">
        <f>IF(ISNA(VLOOKUP($A102,Kc_Info!$A$4:$V$155,18,FALSE)),"",VLOOKUP($A102,Kc_Info!$A$4:$V$155,18,FALSE))</f>
        <v/>
      </c>
      <c r="S102" s="100" t="str">
        <f>IF(ISNA(VLOOKUP($A102,Kc_Info!$A$4:$V$155,19,FALSE)),"",VLOOKUP($A102,Kc_Info!$A$4:$V$155,19,FALSE))</f>
        <v/>
      </c>
      <c r="T102" s="94" t="str">
        <f>IF(ISNA(VLOOKUP($A102,Kc_Info!$A$4:$V$155,20,FALSE)),"",VLOOKUP($A102,Kc_Info!$A$4:$V$155,20,FALSE))</f>
        <v/>
      </c>
      <c r="U102" s="94" t="str">
        <f>IF(ISNA(VLOOKUP($A102,Kc_Info!$A$4:$V$155,21,FALSE)),"",VLOOKUP($A102,Kc_Info!$A$4:$V$155,21,FALSE))</f>
        <v/>
      </c>
      <c r="V102" s="94" t="str">
        <f>IF(ISNA(VLOOKUP($A102,Kc_Info!$A$4:$V$155,22,FALSE)),"",VLOOKUP($A102,Kc_Info!$A$4:$V$155,22,FALSE))</f>
        <v/>
      </c>
    </row>
    <row r="103" spans="1:22">
      <c r="A103" s="92"/>
      <c r="B103" s="93" t="str">
        <f>IF(ISNA(VLOOKUP($A103,Kc_Info!$A$4:$V$155,2,FALSE)),"",VLOOKUP($A103,Kc_Info!$A$4:$V$155,2,FALSE))</f>
        <v/>
      </c>
      <c r="C103" s="94" t="str">
        <f>IF(ISNA(VLOOKUP($A103,Kc_Info!$A$4:$V$155,3,FALSE)),"",VLOOKUP($A103,Kc_Info!$A$4:$V$155,3,FALSE))</f>
        <v/>
      </c>
      <c r="D103" s="94" t="str">
        <f>IF(ISNA(VLOOKUP($A103,Kc_Info!$A$4:$V$155,4,FALSE)),"",VLOOKUP($A103,Kc_Info!$A$4:$V$155,4,FALSE))</f>
        <v/>
      </c>
      <c r="E103" s="94" t="str">
        <f>IF(ISNA(VLOOKUP($A103,Kc_Info!$A$4:$V$155,5,FALSE)),"",VLOOKUP($A103,Kc_Info!$A$4:$V$155,5,FALSE))</f>
        <v/>
      </c>
      <c r="F103" s="94" t="str">
        <f>IF(ISNA(VLOOKUP($A103,Kc_Info!$A$4:$V$155,6,FALSE)),"",VLOOKUP($A103,Kc_Info!$A$4:$V$155,6,FALSE))</f>
        <v/>
      </c>
      <c r="G103" s="101" t="str">
        <f>IF(ISNA(VLOOKUP($A103,Kc_Info!$A$4:$V$155,7,FALSE)),"",VLOOKUP($A103,Kc_Info!$A$4:$V$155,7,FALSE))</f>
        <v/>
      </c>
      <c r="H103" s="101" t="str">
        <f>IF(ISNA(VLOOKUP($A103,Kc_Info!$A$4:$V$155,8,FALSE)),"",VLOOKUP($A103,Kc_Info!$A$4:$V$155,8,FALSE))</f>
        <v/>
      </c>
      <c r="I103" s="101" t="str">
        <f>IF(ISNA(VLOOKUP($A103,Kc_Info!$A$4:$V$155,9,FALSE)),"",VLOOKUP($A103,Kc_Info!$A$4:$V$155,9,FALSE))</f>
        <v/>
      </c>
      <c r="J103" s="101" t="str">
        <f>IF(ISNA(VLOOKUP($A103,Kc_Info!$A$4:$V$155,10,FALSE)),"",VLOOKUP($A103,Kc_Info!$A$4:$V$155,10,FALSE))</f>
        <v/>
      </c>
      <c r="K103" s="94" t="str">
        <f>IF(ISNA(VLOOKUP($A103,Kc_Info!$A$4:$V$155,11,FALSE)),"",VLOOKUP($A103,Kc_Info!$A$4:$V$155,11,FALSE))</f>
        <v/>
      </c>
      <c r="L103" s="94" t="str">
        <f>IF(ISNA(VLOOKUP($A103,Kc_Info!$A$4:$V$155,12,FALSE)),"",VLOOKUP($A103,Kc_Info!$A$4:$V$155,12,FALSE))</f>
        <v/>
      </c>
      <c r="M103" s="94" t="str">
        <f>IF(ISNA(VLOOKUP($A103,Kc_Info!$A$4:$V$155,13,FALSE)),"",VLOOKUP($A103,Kc_Info!$A$4:$V$155,13,FALSE))</f>
        <v/>
      </c>
      <c r="N103" s="94" t="str">
        <f>IF(ISNA(VLOOKUP($A103,Kc_Info!$A$4:$V$155,14,FALSE)),"",VLOOKUP($A103,Kc_Info!$A$4:$V$155,14,FALSE))</f>
        <v/>
      </c>
      <c r="O103" s="100" t="str">
        <f>IF(ISNA(VLOOKUP($A103,Kc_Info!$A$4:$V$155,15,FALSE)),"",VLOOKUP($A103,Kc_Info!$A$4:$V$155,15,FALSE))</f>
        <v/>
      </c>
      <c r="P103" s="100" t="str">
        <f>IF(ISNA(VLOOKUP($A103,Kc_Info!$A$4:$V$155,16,FALSE)),"",VLOOKUP($A103,Kc_Info!$A$4:$V$155,16,FALSE))</f>
        <v/>
      </c>
      <c r="Q103" s="100" t="str">
        <f>IF(ISNA(VLOOKUP($A103,Kc_Info!$A$4:$V$155,17,FALSE)),"",VLOOKUP($A103,Kc_Info!$A$4:$V$155,17,FALSE))</f>
        <v/>
      </c>
      <c r="R103" s="100" t="str">
        <f>IF(ISNA(VLOOKUP($A103,Kc_Info!$A$4:$V$155,18,FALSE)),"",VLOOKUP($A103,Kc_Info!$A$4:$V$155,18,FALSE))</f>
        <v/>
      </c>
      <c r="S103" s="100" t="str">
        <f>IF(ISNA(VLOOKUP($A103,Kc_Info!$A$4:$V$155,19,FALSE)),"",VLOOKUP($A103,Kc_Info!$A$4:$V$155,19,FALSE))</f>
        <v/>
      </c>
      <c r="T103" s="94" t="str">
        <f>IF(ISNA(VLOOKUP($A103,Kc_Info!$A$4:$V$155,20,FALSE)),"",VLOOKUP($A103,Kc_Info!$A$4:$V$155,20,FALSE))</f>
        <v/>
      </c>
      <c r="U103" s="94" t="str">
        <f>IF(ISNA(VLOOKUP($A103,Kc_Info!$A$4:$V$155,21,FALSE)),"",VLOOKUP($A103,Kc_Info!$A$4:$V$155,21,FALSE))</f>
        <v/>
      </c>
      <c r="V103" s="94" t="str">
        <f>IF(ISNA(VLOOKUP($A103,Kc_Info!$A$4:$V$155,22,FALSE)),"",VLOOKUP($A103,Kc_Info!$A$4:$V$155,22,FALSE))</f>
        <v/>
      </c>
    </row>
    <row r="104" spans="1:22">
      <c r="A104" s="92"/>
      <c r="B104" s="93" t="str">
        <f>IF(ISNA(VLOOKUP($A104,Kc_Info!$A$4:$V$155,2,FALSE)),"",VLOOKUP($A104,Kc_Info!$A$4:$V$155,2,FALSE))</f>
        <v/>
      </c>
      <c r="C104" s="94" t="str">
        <f>IF(ISNA(VLOOKUP($A104,Kc_Info!$A$4:$V$155,3,FALSE)),"",VLOOKUP($A104,Kc_Info!$A$4:$V$155,3,FALSE))</f>
        <v/>
      </c>
      <c r="D104" s="94" t="str">
        <f>IF(ISNA(VLOOKUP($A104,Kc_Info!$A$4:$V$155,4,FALSE)),"",VLOOKUP($A104,Kc_Info!$A$4:$V$155,4,FALSE))</f>
        <v/>
      </c>
      <c r="E104" s="94" t="str">
        <f>IF(ISNA(VLOOKUP($A104,Kc_Info!$A$4:$V$155,5,FALSE)),"",VLOOKUP($A104,Kc_Info!$A$4:$V$155,5,FALSE))</f>
        <v/>
      </c>
      <c r="F104" s="94" t="str">
        <f>IF(ISNA(VLOOKUP($A104,Kc_Info!$A$4:$V$155,6,FALSE)),"",VLOOKUP($A104,Kc_Info!$A$4:$V$155,6,FALSE))</f>
        <v/>
      </c>
      <c r="G104" s="101" t="str">
        <f>IF(ISNA(VLOOKUP($A104,Kc_Info!$A$4:$V$155,7,FALSE)),"",VLOOKUP($A104,Kc_Info!$A$4:$V$155,7,FALSE))</f>
        <v/>
      </c>
      <c r="H104" s="101" t="str">
        <f>IF(ISNA(VLOOKUP($A104,Kc_Info!$A$4:$V$155,8,FALSE)),"",VLOOKUP($A104,Kc_Info!$A$4:$V$155,8,FALSE))</f>
        <v/>
      </c>
      <c r="I104" s="101" t="str">
        <f>IF(ISNA(VLOOKUP($A104,Kc_Info!$A$4:$V$155,9,FALSE)),"",VLOOKUP($A104,Kc_Info!$A$4:$V$155,9,FALSE))</f>
        <v/>
      </c>
      <c r="J104" s="101" t="str">
        <f>IF(ISNA(VLOOKUP($A104,Kc_Info!$A$4:$V$155,10,FALSE)),"",VLOOKUP($A104,Kc_Info!$A$4:$V$155,10,FALSE))</f>
        <v/>
      </c>
      <c r="K104" s="94" t="str">
        <f>IF(ISNA(VLOOKUP($A104,Kc_Info!$A$4:$V$155,11,FALSE)),"",VLOOKUP($A104,Kc_Info!$A$4:$V$155,11,FALSE))</f>
        <v/>
      </c>
      <c r="L104" s="94" t="str">
        <f>IF(ISNA(VLOOKUP($A104,Kc_Info!$A$4:$V$155,12,FALSE)),"",VLOOKUP($A104,Kc_Info!$A$4:$V$155,12,FALSE))</f>
        <v/>
      </c>
      <c r="M104" s="94" t="str">
        <f>IF(ISNA(VLOOKUP($A104,Kc_Info!$A$4:$V$155,13,FALSE)),"",VLOOKUP($A104,Kc_Info!$A$4:$V$155,13,FALSE))</f>
        <v/>
      </c>
      <c r="N104" s="94" t="str">
        <f>IF(ISNA(VLOOKUP($A104,Kc_Info!$A$4:$V$155,14,FALSE)),"",VLOOKUP($A104,Kc_Info!$A$4:$V$155,14,FALSE))</f>
        <v/>
      </c>
      <c r="O104" s="100" t="str">
        <f>IF(ISNA(VLOOKUP($A104,Kc_Info!$A$4:$V$155,15,FALSE)),"",VLOOKUP($A104,Kc_Info!$A$4:$V$155,15,FALSE))</f>
        <v/>
      </c>
      <c r="P104" s="100" t="str">
        <f>IF(ISNA(VLOOKUP($A104,Kc_Info!$A$4:$V$155,16,FALSE)),"",VLOOKUP($A104,Kc_Info!$A$4:$V$155,16,FALSE))</f>
        <v/>
      </c>
      <c r="Q104" s="100" t="str">
        <f>IF(ISNA(VLOOKUP($A104,Kc_Info!$A$4:$V$155,17,FALSE)),"",VLOOKUP($A104,Kc_Info!$A$4:$V$155,17,FALSE))</f>
        <v/>
      </c>
      <c r="R104" s="100" t="str">
        <f>IF(ISNA(VLOOKUP($A104,Kc_Info!$A$4:$V$155,18,FALSE)),"",VLOOKUP($A104,Kc_Info!$A$4:$V$155,18,FALSE))</f>
        <v/>
      </c>
      <c r="S104" s="100" t="str">
        <f>IF(ISNA(VLOOKUP($A104,Kc_Info!$A$4:$V$155,19,FALSE)),"",VLOOKUP($A104,Kc_Info!$A$4:$V$155,19,FALSE))</f>
        <v/>
      </c>
      <c r="T104" s="94" t="str">
        <f>IF(ISNA(VLOOKUP($A104,Kc_Info!$A$4:$V$155,20,FALSE)),"",VLOOKUP($A104,Kc_Info!$A$4:$V$155,20,FALSE))</f>
        <v/>
      </c>
      <c r="U104" s="94" t="str">
        <f>IF(ISNA(VLOOKUP($A104,Kc_Info!$A$4:$V$155,21,FALSE)),"",VLOOKUP($A104,Kc_Info!$A$4:$V$155,21,FALSE))</f>
        <v/>
      </c>
      <c r="V104" s="94" t="str">
        <f>IF(ISNA(VLOOKUP($A104,Kc_Info!$A$4:$V$155,22,FALSE)),"",VLOOKUP($A104,Kc_Info!$A$4:$V$155,22,FALSE))</f>
        <v/>
      </c>
    </row>
    <row r="105" spans="1:22">
      <c r="A105" s="92"/>
      <c r="B105" s="93" t="str">
        <f>IF(ISNA(VLOOKUP($A105,Kc_Info!$A$4:$V$155,2,FALSE)),"",VLOOKUP($A105,Kc_Info!$A$4:$V$155,2,FALSE))</f>
        <v/>
      </c>
      <c r="C105" s="94" t="str">
        <f>IF(ISNA(VLOOKUP($A105,Kc_Info!$A$4:$V$155,3,FALSE)),"",VLOOKUP($A105,Kc_Info!$A$4:$V$155,3,FALSE))</f>
        <v/>
      </c>
      <c r="D105" s="94" t="str">
        <f>IF(ISNA(VLOOKUP($A105,Kc_Info!$A$4:$V$155,4,FALSE)),"",VLOOKUP($A105,Kc_Info!$A$4:$V$155,4,FALSE))</f>
        <v/>
      </c>
      <c r="E105" s="94" t="str">
        <f>IF(ISNA(VLOOKUP($A105,Kc_Info!$A$4:$V$155,5,FALSE)),"",VLOOKUP($A105,Kc_Info!$A$4:$V$155,5,FALSE))</f>
        <v/>
      </c>
      <c r="F105" s="94" t="str">
        <f>IF(ISNA(VLOOKUP($A105,Kc_Info!$A$4:$V$155,6,FALSE)),"",VLOOKUP($A105,Kc_Info!$A$4:$V$155,6,FALSE))</f>
        <v/>
      </c>
      <c r="G105" s="101" t="str">
        <f>IF(ISNA(VLOOKUP($A105,Kc_Info!$A$4:$V$155,7,FALSE)),"",VLOOKUP($A105,Kc_Info!$A$4:$V$155,7,FALSE))</f>
        <v/>
      </c>
      <c r="H105" s="101" t="str">
        <f>IF(ISNA(VLOOKUP($A105,Kc_Info!$A$4:$V$155,8,FALSE)),"",VLOOKUP($A105,Kc_Info!$A$4:$V$155,8,FALSE))</f>
        <v/>
      </c>
      <c r="I105" s="101" t="str">
        <f>IF(ISNA(VLOOKUP($A105,Kc_Info!$A$4:$V$155,9,FALSE)),"",VLOOKUP($A105,Kc_Info!$A$4:$V$155,9,FALSE))</f>
        <v/>
      </c>
      <c r="J105" s="101" t="str">
        <f>IF(ISNA(VLOOKUP($A105,Kc_Info!$A$4:$V$155,10,FALSE)),"",VLOOKUP($A105,Kc_Info!$A$4:$V$155,10,FALSE))</f>
        <v/>
      </c>
      <c r="K105" s="94" t="str">
        <f>IF(ISNA(VLOOKUP($A105,Kc_Info!$A$4:$V$155,11,FALSE)),"",VLOOKUP($A105,Kc_Info!$A$4:$V$155,11,FALSE))</f>
        <v/>
      </c>
      <c r="L105" s="94" t="str">
        <f>IF(ISNA(VLOOKUP($A105,Kc_Info!$A$4:$V$155,12,FALSE)),"",VLOOKUP($A105,Kc_Info!$A$4:$V$155,12,FALSE))</f>
        <v/>
      </c>
      <c r="M105" s="94" t="str">
        <f>IF(ISNA(VLOOKUP($A105,Kc_Info!$A$4:$V$155,13,FALSE)),"",VLOOKUP($A105,Kc_Info!$A$4:$V$155,13,FALSE))</f>
        <v/>
      </c>
      <c r="N105" s="94" t="str">
        <f>IF(ISNA(VLOOKUP($A105,Kc_Info!$A$4:$V$155,14,FALSE)),"",VLOOKUP($A105,Kc_Info!$A$4:$V$155,14,FALSE))</f>
        <v/>
      </c>
      <c r="O105" s="100" t="str">
        <f>IF(ISNA(VLOOKUP($A105,Kc_Info!$A$4:$V$155,15,FALSE)),"",VLOOKUP($A105,Kc_Info!$A$4:$V$155,15,FALSE))</f>
        <v/>
      </c>
      <c r="P105" s="100" t="str">
        <f>IF(ISNA(VLOOKUP($A105,Kc_Info!$A$4:$V$155,16,FALSE)),"",VLOOKUP($A105,Kc_Info!$A$4:$V$155,16,FALSE))</f>
        <v/>
      </c>
      <c r="Q105" s="100" t="str">
        <f>IF(ISNA(VLOOKUP($A105,Kc_Info!$A$4:$V$155,17,FALSE)),"",VLOOKUP($A105,Kc_Info!$A$4:$V$155,17,FALSE))</f>
        <v/>
      </c>
      <c r="R105" s="100" t="str">
        <f>IF(ISNA(VLOOKUP($A105,Kc_Info!$A$4:$V$155,18,FALSE)),"",VLOOKUP($A105,Kc_Info!$A$4:$V$155,18,FALSE))</f>
        <v/>
      </c>
      <c r="S105" s="100" t="str">
        <f>IF(ISNA(VLOOKUP($A105,Kc_Info!$A$4:$V$155,19,FALSE)),"",VLOOKUP($A105,Kc_Info!$A$4:$V$155,19,FALSE))</f>
        <v/>
      </c>
      <c r="T105" s="94" t="str">
        <f>IF(ISNA(VLOOKUP($A105,Kc_Info!$A$4:$V$155,20,FALSE)),"",VLOOKUP($A105,Kc_Info!$A$4:$V$155,20,FALSE))</f>
        <v/>
      </c>
      <c r="U105" s="94" t="str">
        <f>IF(ISNA(VLOOKUP($A105,Kc_Info!$A$4:$V$155,21,FALSE)),"",VLOOKUP($A105,Kc_Info!$A$4:$V$155,21,FALSE))</f>
        <v/>
      </c>
      <c r="V105" s="94" t="str">
        <f>IF(ISNA(VLOOKUP($A105,Kc_Info!$A$4:$V$155,22,FALSE)),"",VLOOKUP($A105,Kc_Info!$A$4:$V$155,22,FALSE))</f>
        <v/>
      </c>
    </row>
    <row r="106" spans="1:22">
      <c r="A106" s="92"/>
      <c r="B106" s="93" t="str">
        <f>IF(ISNA(VLOOKUP($A106,Kc_Info!$A$4:$V$155,2,FALSE)),"",VLOOKUP($A106,Kc_Info!$A$4:$V$155,2,FALSE))</f>
        <v/>
      </c>
      <c r="C106" s="94" t="str">
        <f>IF(ISNA(VLOOKUP($A106,Kc_Info!$A$4:$V$155,3,FALSE)),"",VLOOKUP($A106,Kc_Info!$A$4:$V$155,3,FALSE))</f>
        <v/>
      </c>
      <c r="D106" s="94" t="str">
        <f>IF(ISNA(VLOOKUP($A106,Kc_Info!$A$4:$V$155,4,FALSE)),"",VLOOKUP($A106,Kc_Info!$A$4:$V$155,4,FALSE))</f>
        <v/>
      </c>
      <c r="E106" s="94" t="str">
        <f>IF(ISNA(VLOOKUP($A106,Kc_Info!$A$4:$V$155,5,FALSE)),"",VLOOKUP($A106,Kc_Info!$A$4:$V$155,5,FALSE))</f>
        <v/>
      </c>
      <c r="F106" s="94" t="str">
        <f>IF(ISNA(VLOOKUP($A106,Kc_Info!$A$4:$V$155,6,FALSE)),"",VLOOKUP($A106,Kc_Info!$A$4:$V$155,6,FALSE))</f>
        <v/>
      </c>
      <c r="G106" s="101" t="str">
        <f>IF(ISNA(VLOOKUP($A106,Kc_Info!$A$4:$V$155,7,FALSE)),"",VLOOKUP($A106,Kc_Info!$A$4:$V$155,7,FALSE))</f>
        <v/>
      </c>
      <c r="H106" s="101" t="str">
        <f>IF(ISNA(VLOOKUP($A106,Kc_Info!$A$4:$V$155,8,FALSE)),"",VLOOKUP($A106,Kc_Info!$A$4:$V$155,8,FALSE))</f>
        <v/>
      </c>
      <c r="I106" s="101" t="str">
        <f>IF(ISNA(VLOOKUP($A106,Kc_Info!$A$4:$V$155,9,FALSE)),"",VLOOKUP($A106,Kc_Info!$A$4:$V$155,9,FALSE))</f>
        <v/>
      </c>
      <c r="J106" s="101" t="str">
        <f>IF(ISNA(VLOOKUP($A106,Kc_Info!$A$4:$V$155,10,FALSE)),"",VLOOKUP($A106,Kc_Info!$A$4:$V$155,10,FALSE))</f>
        <v/>
      </c>
      <c r="K106" s="94" t="str">
        <f>IF(ISNA(VLOOKUP($A106,Kc_Info!$A$4:$V$155,11,FALSE)),"",VLOOKUP($A106,Kc_Info!$A$4:$V$155,11,FALSE))</f>
        <v/>
      </c>
      <c r="L106" s="94" t="str">
        <f>IF(ISNA(VLOOKUP($A106,Kc_Info!$A$4:$V$155,12,FALSE)),"",VLOOKUP($A106,Kc_Info!$A$4:$V$155,12,FALSE))</f>
        <v/>
      </c>
      <c r="M106" s="94" t="str">
        <f>IF(ISNA(VLOOKUP($A106,Kc_Info!$A$4:$V$155,13,FALSE)),"",VLOOKUP($A106,Kc_Info!$A$4:$V$155,13,FALSE))</f>
        <v/>
      </c>
      <c r="N106" s="94" t="str">
        <f>IF(ISNA(VLOOKUP($A106,Kc_Info!$A$4:$V$155,14,FALSE)),"",VLOOKUP($A106,Kc_Info!$A$4:$V$155,14,FALSE))</f>
        <v/>
      </c>
      <c r="O106" s="100" t="str">
        <f>IF(ISNA(VLOOKUP($A106,Kc_Info!$A$4:$V$155,15,FALSE)),"",VLOOKUP($A106,Kc_Info!$A$4:$V$155,15,FALSE))</f>
        <v/>
      </c>
      <c r="P106" s="100" t="str">
        <f>IF(ISNA(VLOOKUP($A106,Kc_Info!$A$4:$V$155,16,FALSE)),"",VLOOKUP($A106,Kc_Info!$A$4:$V$155,16,FALSE))</f>
        <v/>
      </c>
      <c r="Q106" s="100" t="str">
        <f>IF(ISNA(VLOOKUP($A106,Kc_Info!$A$4:$V$155,17,FALSE)),"",VLOOKUP($A106,Kc_Info!$A$4:$V$155,17,FALSE))</f>
        <v/>
      </c>
      <c r="R106" s="100" t="str">
        <f>IF(ISNA(VLOOKUP($A106,Kc_Info!$A$4:$V$155,18,FALSE)),"",VLOOKUP($A106,Kc_Info!$A$4:$V$155,18,FALSE))</f>
        <v/>
      </c>
      <c r="S106" s="100" t="str">
        <f>IF(ISNA(VLOOKUP($A106,Kc_Info!$A$4:$V$155,19,FALSE)),"",VLOOKUP($A106,Kc_Info!$A$4:$V$155,19,FALSE))</f>
        <v/>
      </c>
      <c r="T106" s="94" t="str">
        <f>IF(ISNA(VLOOKUP($A106,Kc_Info!$A$4:$V$155,20,FALSE)),"",VLOOKUP($A106,Kc_Info!$A$4:$V$155,20,FALSE))</f>
        <v/>
      </c>
      <c r="U106" s="94" t="str">
        <f>IF(ISNA(VLOOKUP($A106,Kc_Info!$A$4:$V$155,21,FALSE)),"",VLOOKUP($A106,Kc_Info!$A$4:$V$155,21,FALSE))</f>
        <v/>
      </c>
      <c r="V106" s="94" t="str">
        <f>IF(ISNA(VLOOKUP($A106,Kc_Info!$A$4:$V$155,22,FALSE)),"",VLOOKUP($A106,Kc_Info!$A$4:$V$155,22,FALSE))</f>
        <v/>
      </c>
    </row>
    <row r="107" spans="1:22">
      <c r="A107" s="92"/>
      <c r="B107" s="93" t="str">
        <f>IF(ISNA(VLOOKUP($A107,Kc_Info!$A$4:$V$155,2,FALSE)),"",VLOOKUP($A107,Kc_Info!$A$4:$V$155,2,FALSE))</f>
        <v/>
      </c>
      <c r="C107" s="94" t="str">
        <f>IF(ISNA(VLOOKUP($A107,Kc_Info!$A$4:$V$155,3,FALSE)),"",VLOOKUP($A107,Kc_Info!$A$4:$V$155,3,FALSE))</f>
        <v/>
      </c>
      <c r="D107" s="94" t="str">
        <f>IF(ISNA(VLOOKUP($A107,Kc_Info!$A$4:$V$155,4,FALSE)),"",VLOOKUP($A107,Kc_Info!$A$4:$V$155,4,FALSE))</f>
        <v/>
      </c>
      <c r="E107" s="94" t="str">
        <f>IF(ISNA(VLOOKUP($A107,Kc_Info!$A$4:$V$155,5,FALSE)),"",VLOOKUP($A107,Kc_Info!$A$4:$V$155,5,FALSE))</f>
        <v/>
      </c>
      <c r="F107" s="94" t="str">
        <f>IF(ISNA(VLOOKUP($A107,Kc_Info!$A$4:$V$155,6,FALSE)),"",VLOOKUP($A107,Kc_Info!$A$4:$V$155,6,FALSE))</f>
        <v/>
      </c>
      <c r="G107" s="101" t="str">
        <f>IF(ISNA(VLOOKUP($A107,Kc_Info!$A$4:$V$155,7,FALSE)),"",VLOOKUP($A107,Kc_Info!$A$4:$V$155,7,FALSE))</f>
        <v/>
      </c>
      <c r="H107" s="101" t="str">
        <f>IF(ISNA(VLOOKUP($A107,Kc_Info!$A$4:$V$155,8,FALSE)),"",VLOOKUP($A107,Kc_Info!$A$4:$V$155,8,FALSE))</f>
        <v/>
      </c>
      <c r="I107" s="101" t="str">
        <f>IF(ISNA(VLOOKUP($A107,Kc_Info!$A$4:$V$155,9,FALSE)),"",VLOOKUP($A107,Kc_Info!$A$4:$V$155,9,FALSE))</f>
        <v/>
      </c>
      <c r="J107" s="101" t="str">
        <f>IF(ISNA(VLOOKUP($A107,Kc_Info!$A$4:$V$155,10,FALSE)),"",VLOOKUP($A107,Kc_Info!$A$4:$V$155,10,FALSE))</f>
        <v/>
      </c>
      <c r="K107" s="94" t="str">
        <f>IF(ISNA(VLOOKUP($A107,Kc_Info!$A$4:$V$155,11,FALSE)),"",VLOOKUP($A107,Kc_Info!$A$4:$V$155,11,FALSE))</f>
        <v/>
      </c>
      <c r="L107" s="94" t="str">
        <f>IF(ISNA(VLOOKUP($A107,Kc_Info!$A$4:$V$155,12,FALSE)),"",VLOOKUP($A107,Kc_Info!$A$4:$V$155,12,FALSE))</f>
        <v/>
      </c>
      <c r="M107" s="94" t="str">
        <f>IF(ISNA(VLOOKUP($A107,Kc_Info!$A$4:$V$155,13,FALSE)),"",VLOOKUP($A107,Kc_Info!$A$4:$V$155,13,FALSE))</f>
        <v/>
      </c>
      <c r="N107" s="94" t="str">
        <f>IF(ISNA(VLOOKUP($A107,Kc_Info!$A$4:$V$155,14,FALSE)),"",VLOOKUP($A107,Kc_Info!$A$4:$V$155,14,FALSE))</f>
        <v/>
      </c>
      <c r="O107" s="100" t="str">
        <f>IF(ISNA(VLOOKUP($A107,Kc_Info!$A$4:$V$155,15,FALSE)),"",VLOOKUP($A107,Kc_Info!$A$4:$V$155,15,FALSE))</f>
        <v/>
      </c>
      <c r="P107" s="100" t="str">
        <f>IF(ISNA(VLOOKUP($A107,Kc_Info!$A$4:$V$155,16,FALSE)),"",VLOOKUP($A107,Kc_Info!$A$4:$V$155,16,FALSE))</f>
        <v/>
      </c>
      <c r="Q107" s="100" t="str">
        <f>IF(ISNA(VLOOKUP($A107,Kc_Info!$A$4:$V$155,17,FALSE)),"",VLOOKUP($A107,Kc_Info!$A$4:$V$155,17,FALSE))</f>
        <v/>
      </c>
      <c r="R107" s="100" t="str">
        <f>IF(ISNA(VLOOKUP($A107,Kc_Info!$A$4:$V$155,18,FALSE)),"",VLOOKUP($A107,Kc_Info!$A$4:$V$155,18,FALSE))</f>
        <v/>
      </c>
      <c r="S107" s="100" t="str">
        <f>IF(ISNA(VLOOKUP($A107,Kc_Info!$A$4:$V$155,19,FALSE)),"",VLOOKUP($A107,Kc_Info!$A$4:$V$155,19,FALSE))</f>
        <v/>
      </c>
      <c r="T107" s="94" t="str">
        <f>IF(ISNA(VLOOKUP($A107,Kc_Info!$A$4:$V$155,20,FALSE)),"",VLOOKUP($A107,Kc_Info!$A$4:$V$155,20,FALSE))</f>
        <v/>
      </c>
      <c r="U107" s="94" t="str">
        <f>IF(ISNA(VLOOKUP($A107,Kc_Info!$A$4:$V$155,21,FALSE)),"",VLOOKUP($A107,Kc_Info!$A$4:$V$155,21,FALSE))</f>
        <v/>
      </c>
      <c r="V107" s="94" t="str">
        <f>IF(ISNA(VLOOKUP($A107,Kc_Info!$A$4:$V$155,22,FALSE)),"",VLOOKUP($A107,Kc_Info!$A$4:$V$155,22,FALSE))</f>
        <v/>
      </c>
    </row>
    <row r="108" spans="1:22">
      <c r="A108" s="92"/>
      <c r="B108" s="93" t="str">
        <f>IF(ISNA(VLOOKUP($A108,Kc_Info!$A$4:$V$155,2,FALSE)),"",VLOOKUP($A108,Kc_Info!$A$4:$V$155,2,FALSE))</f>
        <v/>
      </c>
      <c r="C108" s="94" t="str">
        <f>IF(ISNA(VLOOKUP($A108,Kc_Info!$A$4:$V$155,3,FALSE)),"",VLOOKUP($A108,Kc_Info!$A$4:$V$155,3,FALSE))</f>
        <v/>
      </c>
      <c r="D108" s="94" t="str">
        <f>IF(ISNA(VLOOKUP($A108,Kc_Info!$A$4:$V$155,4,FALSE)),"",VLOOKUP($A108,Kc_Info!$A$4:$V$155,4,FALSE))</f>
        <v/>
      </c>
      <c r="E108" s="94" t="str">
        <f>IF(ISNA(VLOOKUP($A108,Kc_Info!$A$4:$V$155,5,FALSE)),"",VLOOKUP($A108,Kc_Info!$A$4:$V$155,5,FALSE))</f>
        <v/>
      </c>
      <c r="F108" s="94" t="str">
        <f>IF(ISNA(VLOOKUP($A108,Kc_Info!$A$4:$V$155,6,FALSE)),"",VLOOKUP($A108,Kc_Info!$A$4:$V$155,6,FALSE))</f>
        <v/>
      </c>
      <c r="G108" s="101" t="str">
        <f>IF(ISNA(VLOOKUP($A108,Kc_Info!$A$4:$V$155,7,FALSE)),"",VLOOKUP($A108,Kc_Info!$A$4:$V$155,7,FALSE))</f>
        <v/>
      </c>
      <c r="H108" s="101" t="str">
        <f>IF(ISNA(VLOOKUP($A108,Kc_Info!$A$4:$V$155,8,FALSE)),"",VLOOKUP($A108,Kc_Info!$A$4:$V$155,8,FALSE))</f>
        <v/>
      </c>
      <c r="I108" s="101" t="str">
        <f>IF(ISNA(VLOOKUP($A108,Kc_Info!$A$4:$V$155,9,FALSE)),"",VLOOKUP($A108,Kc_Info!$A$4:$V$155,9,FALSE))</f>
        <v/>
      </c>
      <c r="J108" s="101" t="str">
        <f>IF(ISNA(VLOOKUP($A108,Kc_Info!$A$4:$V$155,10,FALSE)),"",VLOOKUP($A108,Kc_Info!$A$4:$V$155,10,FALSE))</f>
        <v/>
      </c>
      <c r="K108" s="94" t="str">
        <f>IF(ISNA(VLOOKUP($A108,Kc_Info!$A$4:$V$155,11,FALSE)),"",VLOOKUP($A108,Kc_Info!$A$4:$V$155,11,FALSE))</f>
        <v/>
      </c>
      <c r="L108" s="94" t="str">
        <f>IF(ISNA(VLOOKUP($A108,Kc_Info!$A$4:$V$155,12,FALSE)),"",VLOOKUP($A108,Kc_Info!$A$4:$V$155,12,FALSE))</f>
        <v/>
      </c>
      <c r="M108" s="94" t="str">
        <f>IF(ISNA(VLOOKUP($A108,Kc_Info!$A$4:$V$155,13,FALSE)),"",VLOOKUP($A108,Kc_Info!$A$4:$V$155,13,FALSE))</f>
        <v/>
      </c>
      <c r="N108" s="94" t="str">
        <f>IF(ISNA(VLOOKUP($A108,Kc_Info!$A$4:$V$155,14,FALSE)),"",VLOOKUP($A108,Kc_Info!$A$4:$V$155,14,FALSE))</f>
        <v/>
      </c>
      <c r="O108" s="100" t="str">
        <f>IF(ISNA(VLOOKUP($A108,Kc_Info!$A$4:$V$155,15,FALSE)),"",VLOOKUP($A108,Kc_Info!$A$4:$V$155,15,FALSE))</f>
        <v/>
      </c>
      <c r="P108" s="100" t="str">
        <f>IF(ISNA(VLOOKUP($A108,Kc_Info!$A$4:$V$155,16,FALSE)),"",VLOOKUP($A108,Kc_Info!$A$4:$V$155,16,FALSE))</f>
        <v/>
      </c>
      <c r="Q108" s="100" t="str">
        <f>IF(ISNA(VLOOKUP($A108,Kc_Info!$A$4:$V$155,17,FALSE)),"",VLOOKUP($A108,Kc_Info!$A$4:$V$155,17,FALSE))</f>
        <v/>
      </c>
      <c r="R108" s="100" t="str">
        <f>IF(ISNA(VLOOKUP($A108,Kc_Info!$A$4:$V$155,18,FALSE)),"",VLOOKUP($A108,Kc_Info!$A$4:$V$155,18,FALSE))</f>
        <v/>
      </c>
      <c r="S108" s="100" t="str">
        <f>IF(ISNA(VLOOKUP($A108,Kc_Info!$A$4:$V$155,19,FALSE)),"",VLOOKUP($A108,Kc_Info!$A$4:$V$155,19,FALSE))</f>
        <v/>
      </c>
      <c r="T108" s="94" t="str">
        <f>IF(ISNA(VLOOKUP($A108,Kc_Info!$A$4:$V$155,20,FALSE)),"",VLOOKUP($A108,Kc_Info!$A$4:$V$155,20,FALSE))</f>
        <v/>
      </c>
      <c r="U108" s="94" t="str">
        <f>IF(ISNA(VLOOKUP($A108,Kc_Info!$A$4:$V$155,21,FALSE)),"",VLOOKUP($A108,Kc_Info!$A$4:$V$155,21,FALSE))</f>
        <v/>
      </c>
      <c r="V108" s="94" t="str">
        <f>IF(ISNA(VLOOKUP($A108,Kc_Info!$A$4:$V$155,22,FALSE)),"",VLOOKUP($A108,Kc_Info!$A$4:$V$155,22,FALSE))</f>
        <v/>
      </c>
    </row>
    <row r="109" spans="1:22">
      <c r="A109" s="92"/>
      <c r="B109" s="93" t="str">
        <f>IF(ISNA(VLOOKUP($A109,Kc_Info!$A$4:$V$155,2,FALSE)),"",VLOOKUP($A109,Kc_Info!$A$4:$V$155,2,FALSE))</f>
        <v/>
      </c>
      <c r="C109" s="94" t="str">
        <f>IF(ISNA(VLOOKUP($A109,Kc_Info!$A$4:$V$155,3,FALSE)),"",VLOOKUP($A109,Kc_Info!$A$4:$V$155,3,FALSE))</f>
        <v/>
      </c>
      <c r="D109" s="94" t="str">
        <f>IF(ISNA(VLOOKUP($A109,Kc_Info!$A$4:$V$155,4,FALSE)),"",VLOOKUP($A109,Kc_Info!$A$4:$V$155,4,FALSE))</f>
        <v/>
      </c>
      <c r="E109" s="94" t="str">
        <f>IF(ISNA(VLOOKUP($A109,Kc_Info!$A$4:$V$155,5,FALSE)),"",VLOOKUP($A109,Kc_Info!$A$4:$V$155,5,FALSE))</f>
        <v/>
      </c>
      <c r="F109" s="94" t="str">
        <f>IF(ISNA(VLOOKUP($A109,Kc_Info!$A$4:$V$155,6,FALSE)),"",VLOOKUP($A109,Kc_Info!$A$4:$V$155,6,FALSE))</f>
        <v/>
      </c>
      <c r="G109" s="101" t="str">
        <f>IF(ISNA(VLOOKUP($A109,Kc_Info!$A$4:$V$155,7,FALSE)),"",VLOOKUP($A109,Kc_Info!$A$4:$V$155,7,FALSE))</f>
        <v/>
      </c>
      <c r="H109" s="101" t="str">
        <f>IF(ISNA(VLOOKUP($A109,Kc_Info!$A$4:$V$155,8,FALSE)),"",VLOOKUP($A109,Kc_Info!$A$4:$V$155,8,FALSE))</f>
        <v/>
      </c>
      <c r="I109" s="101" t="str">
        <f>IF(ISNA(VLOOKUP($A109,Kc_Info!$A$4:$V$155,9,FALSE)),"",VLOOKUP($A109,Kc_Info!$A$4:$V$155,9,FALSE))</f>
        <v/>
      </c>
      <c r="J109" s="101" t="str">
        <f>IF(ISNA(VLOOKUP($A109,Kc_Info!$A$4:$V$155,10,FALSE)),"",VLOOKUP($A109,Kc_Info!$A$4:$V$155,10,FALSE))</f>
        <v/>
      </c>
      <c r="K109" s="94" t="str">
        <f>IF(ISNA(VLOOKUP($A109,Kc_Info!$A$4:$V$155,11,FALSE)),"",VLOOKUP($A109,Kc_Info!$A$4:$V$155,11,FALSE))</f>
        <v/>
      </c>
      <c r="L109" s="94" t="str">
        <f>IF(ISNA(VLOOKUP($A109,Kc_Info!$A$4:$V$155,12,FALSE)),"",VLOOKUP($A109,Kc_Info!$A$4:$V$155,12,FALSE))</f>
        <v/>
      </c>
      <c r="M109" s="94" t="str">
        <f>IF(ISNA(VLOOKUP($A109,Kc_Info!$A$4:$V$155,13,FALSE)),"",VLOOKUP($A109,Kc_Info!$A$4:$V$155,13,FALSE))</f>
        <v/>
      </c>
      <c r="N109" s="94" t="str">
        <f>IF(ISNA(VLOOKUP($A109,Kc_Info!$A$4:$V$155,14,FALSE)),"",VLOOKUP($A109,Kc_Info!$A$4:$V$155,14,FALSE))</f>
        <v/>
      </c>
      <c r="O109" s="100" t="str">
        <f>IF(ISNA(VLOOKUP($A109,Kc_Info!$A$4:$V$155,15,FALSE)),"",VLOOKUP($A109,Kc_Info!$A$4:$V$155,15,FALSE))</f>
        <v/>
      </c>
      <c r="P109" s="100" t="str">
        <f>IF(ISNA(VLOOKUP($A109,Kc_Info!$A$4:$V$155,16,FALSE)),"",VLOOKUP($A109,Kc_Info!$A$4:$V$155,16,FALSE))</f>
        <v/>
      </c>
      <c r="Q109" s="100" t="str">
        <f>IF(ISNA(VLOOKUP($A109,Kc_Info!$A$4:$V$155,17,FALSE)),"",VLOOKUP($A109,Kc_Info!$A$4:$V$155,17,FALSE))</f>
        <v/>
      </c>
      <c r="R109" s="100" t="str">
        <f>IF(ISNA(VLOOKUP($A109,Kc_Info!$A$4:$V$155,18,FALSE)),"",VLOOKUP($A109,Kc_Info!$A$4:$V$155,18,FALSE))</f>
        <v/>
      </c>
      <c r="S109" s="100" t="str">
        <f>IF(ISNA(VLOOKUP($A109,Kc_Info!$A$4:$V$155,19,FALSE)),"",VLOOKUP($A109,Kc_Info!$A$4:$V$155,19,FALSE))</f>
        <v/>
      </c>
      <c r="T109" s="94" t="str">
        <f>IF(ISNA(VLOOKUP($A109,Kc_Info!$A$4:$V$155,20,FALSE)),"",VLOOKUP($A109,Kc_Info!$A$4:$V$155,20,FALSE))</f>
        <v/>
      </c>
      <c r="U109" s="94" t="str">
        <f>IF(ISNA(VLOOKUP($A109,Kc_Info!$A$4:$V$155,21,FALSE)),"",VLOOKUP($A109,Kc_Info!$A$4:$V$155,21,FALSE))</f>
        <v/>
      </c>
      <c r="V109" s="94" t="str">
        <f>IF(ISNA(VLOOKUP($A109,Kc_Info!$A$4:$V$155,22,FALSE)),"",VLOOKUP($A109,Kc_Info!$A$4:$V$155,22,FALSE))</f>
        <v/>
      </c>
    </row>
    <row r="110" spans="1:22">
      <c r="A110" s="92"/>
      <c r="B110" s="93" t="str">
        <f>IF(ISNA(VLOOKUP($A110,Kc_Info!$A$4:$V$155,2,FALSE)),"",VLOOKUP($A110,Kc_Info!$A$4:$V$155,2,FALSE))</f>
        <v/>
      </c>
      <c r="C110" s="94" t="str">
        <f>IF(ISNA(VLOOKUP($A110,Kc_Info!$A$4:$V$155,3,FALSE)),"",VLOOKUP($A110,Kc_Info!$A$4:$V$155,3,FALSE))</f>
        <v/>
      </c>
      <c r="D110" s="94" t="str">
        <f>IF(ISNA(VLOOKUP($A110,Kc_Info!$A$4:$V$155,4,FALSE)),"",VLOOKUP($A110,Kc_Info!$A$4:$V$155,4,FALSE))</f>
        <v/>
      </c>
      <c r="E110" s="94" t="str">
        <f>IF(ISNA(VLOOKUP($A110,Kc_Info!$A$4:$V$155,5,FALSE)),"",VLOOKUP($A110,Kc_Info!$A$4:$V$155,5,FALSE))</f>
        <v/>
      </c>
      <c r="F110" s="94" t="str">
        <f>IF(ISNA(VLOOKUP($A110,Kc_Info!$A$4:$V$155,6,FALSE)),"",VLOOKUP($A110,Kc_Info!$A$4:$V$155,6,FALSE))</f>
        <v/>
      </c>
      <c r="G110" s="101" t="str">
        <f>IF(ISNA(VLOOKUP($A110,Kc_Info!$A$4:$V$155,7,FALSE)),"",VLOOKUP($A110,Kc_Info!$A$4:$V$155,7,FALSE))</f>
        <v/>
      </c>
      <c r="H110" s="101" t="str">
        <f>IF(ISNA(VLOOKUP($A110,Kc_Info!$A$4:$V$155,8,FALSE)),"",VLOOKUP($A110,Kc_Info!$A$4:$V$155,8,FALSE))</f>
        <v/>
      </c>
      <c r="I110" s="101" t="str">
        <f>IF(ISNA(VLOOKUP($A110,Kc_Info!$A$4:$V$155,9,FALSE)),"",VLOOKUP($A110,Kc_Info!$A$4:$V$155,9,FALSE))</f>
        <v/>
      </c>
      <c r="J110" s="101" t="str">
        <f>IF(ISNA(VLOOKUP($A110,Kc_Info!$A$4:$V$155,10,FALSE)),"",VLOOKUP($A110,Kc_Info!$A$4:$V$155,10,FALSE))</f>
        <v/>
      </c>
      <c r="K110" s="94" t="str">
        <f>IF(ISNA(VLOOKUP($A110,Kc_Info!$A$4:$V$155,11,FALSE)),"",VLOOKUP($A110,Kc_Info!$A$4:$V$155,11,FALSE))</f>
        <v/>
      </c>
      <c r="L110" s="94" t="str">
        <f>IF(ISNA(VLOOKUP($A110,Kc_Info!$A$4:$V$155,12,FALSE)),"",VLOOKUP($A110,Kc_Info!$A$4:$V$155,12,FALSE))</f>
        <v/>
      </c>
      <c r="M110" s="94" t="str">
        <f>IF(ISNA(VLOOKUP($A110,Kc_Info!$A$4:$V$155,13,FALSE)),"",VLOOKUP($A110,Kc_Info!$A$4:$V$155,13,FALSE))</f>
        <v/>
      </c>
      <c r="N110" s="94" t="str">
        <f>IF(ISNA(VLOOKUP($A110,Kc_Info!$A$4:$V$155,14,FALSE)),"",VLOOKUP($A110,Kc_Info!$A$4:$V$155,14,FALSE))</f>
        <v/>
      </c>
      <c r="O110" s="100" t="str">
        <f>IF(ISNA(VLOOKUP($A110,Kc_Info!$A$4:$V$155,15,FALSE)),"",VLOOKUP($A110,Kc_Info!$A$4:$V$155,15,FALSE))</f>
        <v/>
      </c>
      <c r="P110" s="100" t="str">
        <f>IF(ISNA(VLOOKUP($A110,Kc_Info!$A$4:$V$155,16,FALSE)),"",VLOOKUP($A110,Kc_Info!$A$4:$V$155,16,FALSE))</f>
        <v/>
      </c>
      <c r="Q110" s="100" t="str">
        <f>IF(ISNA(VLOOKUP($A110,Kc_Info!$A$4:$V$155,17,FALSE)),"",VLOOKUP($A110,Kc_Info!$A$4:$V$155,17,FALSE))</f>
        <v/>
      </c>
      <c r="R110" s="100" t="str">
        <f>IF(ISNA(VLOOKUP($A110,Kc_Info!$A$4:$V$155,18,FALSE)),"",VLOOKUP($A110,Kc_Info!$A$4:$V$155,18,FALSE))</f>
        <v/>
      </c>
      <c r="S110" s="100" t="str">
        <f>IF(ISNA(VLOOKUP($A110,Kc_Info!$A$4:$V$155,19,FALSE)),"",VLOOKUP($A110,Kc_Info!$A$4:$V$155,19,FALSE))</f>
        <v/>
      </c>
      <c r="T110" s="94" t="str">
        <f>IF(ISNA(VLOOKUP($A110,Kc_Info!$A$4:$V$155,20,FALSE)),"",VLOOKUP($A110,Kc_Info!$A$4:$V$155,20,FALSE))</f>
        <v/>
      </c>
      <c r="U110" s="94" t="str">
        <f>IF(ISNA(VLOOKUP($A110,Kc_Info!$A$4:$V$155,21,FALSE)),"",VLOOKUP($A110,Kc_Info!$A$4:$V$155,21,FALSE))</f>
        <v/>
      </c>
      <c r="V110" s="94" t="str">
        <f>IF(ISNA(VLOOKUP($A110,Kc_Info!$A$4:$V$155,22,FALSE)),"",VLOOKUP($A110,Kc_Info!$A$4:$V$155,22,FALSE))</f>
        <v/>
      </c>
    </row>
    <row r="111" spans="1:22">
      <c r="A111" s="92"/>
      <c r="B111" s="93" t="str">
        <f>IF(ISNA(VLOOKUP($A111,Kc_Info!$A$4:$V$155,2,FALSE)),"",VLOOKUP($A111,Kc_Info!$A$4:$V$155,2,FALSE))</f>
        <v/>
      </c>
      <c r="C111" s="94" t="str">
        <f>IF(ISNA(VLOOKUP($A111,Kc_Info!$A$4:$V$155,3,FALSE)),"",VLOOKUP($A111,Kc_Info!$A$4:$V$155,3,FALSE))</f>
        <v/>
      </c>
      <c r="D111" s="94" t="str">
        <f>IF(ISNA(VLOOKUP($A111,Kc_Info!$A$4:$V$155,4,FALSE)),"",VLOOKUP($A111,Kc_Info!$A$4:$V$155,4,FALSE))</f>
        <v/>
      </c>
      <c r="E111" s="94" t="str">
        <f>IF(ISNA(VLOOKUP($A111,Kc_Info!$A$4:$V$155,5,FALSE)),"",VLOOKUP($A111,Kc_Info!$A$4:$V$155,5,FALSE))</f>
        <v/>
      </c>
      <c r="F111" s="94" t="str">
        <f>IF(ISNA(VLOOKUP($A111,Kc_Info!$A$4:$V$155,6,FALSE)),"",VLOOKUP($A111,Kc_Info!$A$4:$V$155,6,FALSE))</f>
        <v/>
      </c>
      <c r="G111" s="101" t="str">
        <f>IF(ISNA(VLOOKUP($A111,Kc_Info!$A$4:$V$155,7,FALSE)),"",VLOOKUP($A111,Kc_Info!$A$4:$V$155,7,FALSE))</f>
        <v/>
      </c>
      <c r="H111" s="101" t="str">
        <f>IF(ISNA(VLOOKUP($A111,Kc_Info!$A$4:$V$155,8,FALSE)),"",VLOOKUP($A111,Kc_Info!$A$4:$V$155,8,FALSE))</f>
        <v/>
      </c>
      <c r="I111" s="101" t="str">
        <f>IF(ISNA(VLOOKUP($A111,Kc_Info!$A$4:$V$155,9,FALSE)),"",VLOOKUP($A111,Kc_Info!$A$4:$V$155,9,FALSE))</f>
        <v/>
      </c>
      <c r="J111" s="101" t="str">
        <f>IF(ISNA(VLOOKUP($A111,Kc_Info!$A$4:$V$155,10,FALSE)),"",VLOOKUP($A111,Kc_Info!$A$4:$V$155,10,FALSE))</f>
        <v/>
      </c>
      <c r="K111" s="94" t="str">
        <f>IF(ISNA(VLOOKUP($A111,Kc_Info!$A$4:$V$155,11,FALSE)),"",VLOOKUP($A111,Kc_Info!$A$4:$V$155,11,FALSE))</f>
        <v/>
      </c>
      <c r="L111" s="94" t="str">
        <f>IF(ISNA(VLOOKUP($A111,Kc_Info!$A$4:$V$155,12,FALSE)),"",VLOOKUP($A111,Kc_Info!$A$4:$V$155,12,FALSE))</f>
        <v/>
      </c>
      <c r="M111" s="94" t="str">
        <f>IF(ISNA(VLOOKUP($A111,Kc_Info!$A$4:$V$155,13,FALSE)),"",VLOOKUP($A111,Kc_Info!$A$4:$V$155,13,FALSE))</f>
        <v/>
      </c>
      <c r="N111" s="94" t="str">
        <f>IF(ISNA(VLOOKUP($A111,Kc_Info!$A$4:$V$155,14,FALSE)),"",VLOOKUP($A111,Kc_Info!$A$4:$V$155,14,FALSE))</f>
        <v/>
      </c>
      <c r="O111" s="100" t="str">
        <f>IF(ISNA(VLOOKUP($A111,Kc_Info!$A$4:$V$155,15,FALSE)),"",VLOOKUP($A111,Kc_Info!$A$4:$V$155,15,FALSE))</f>
        <v/>
      </c>
      <c r="P111" s="100" t="str">
        <f>IF(ISNA(VLOOKUP($A111,Kc_Info!$A$4:$V$155,16,FALSE)),"",VLOOKUP($A111,Kc_Info!$A$4:$V$155,16,FALSE))</f>
        <v/>
      </c>
      <c r="Q111" s="100" t="str">
        <f>IF(ISNA(VLOOKUP($A111,Kc_Info!$A$4:$V$155,17,FALSE)),"",VLOOKUP($A111,Kc_Info!$A$4:$V$155,17,FALSE))</f>
        <v/>
      </c>
      <c r="R111" s="100" t="str">
        <f>IF(ISNA(VLOOKUP($A111,Kc_Info!$A$4:$V$155,18,FALSE)),"",VLOOKUP($A111,Kc_Info!$A$4:$V$155,18,FALSE))</f>
        <v/>
      </c>
      <c r="S111" s="100" t="str">
        <f>IF(ISNA(VLOOKUP($A111,Kc_Info!$A$4:$V$155,19,FALSE)),"",VLOOKUP($A111,Kc_Info!$A$4:$V$155,19,FALSE))</f>
        <v/>
      </c>
      <c r="T111" s="94" t="str">
        <f>IF(ISNA(VLOOKUP($A111,Kc_Info!$A$4:$V$155,20,FALSE)),"",VLOOKUP($A111,Kc_Info!$A$4:$V$155,20,FALSE))</f>
        <v/>
      </c>
      <c r="U111" s="94" t="str">
        <f>IF(ISNA(VLOOKUP($A111,Kc_Info!$A$4:$V$155,21,FALSE)),"",VLOOKUP($A111,Kc_Info!$A$4:$V$155,21,FALSE))</f>
        <v/>
      </c>
      <c r="V111" s="94" t="str">
        <f>IF(ISNA(VLOOKUP($A111,Kc_Info!$A$4:$V$155,22,FALSE)),"",VLOOKUP($A111,Kc_Info!$A$4:$V$155,22,FALSE))</f>
        <v/>
      </c>
    </row>
    <row r="112" spans="1:22">
      <c r="A112" s="92"/>
      <c r="B112" s="93" t="str">
        <f>IF(ISNA(VLOOKUP($A112,Kc_Info!$A$4:$V$155,2,FALSE)),"",VLOOKUP($A112,Kc_Info!$A$4:$V$155,2,FALSE))</f>
        <v/>
      </c>
      <c r="C112" s="94" t="str">
        <f>IF(ISNA(VLOOKUP($A112,Kc_Info!$A$4:$V$155,3,FALSE)),"",VLOOKUP($A112,Kc_Info!$A$4:$V$155,3,FALSE))</f>
        <v/>
      </c>
      <c r="D112" s="94" t="str">
        <f>IF(ISNA(VLOOKUP($A112,Kc_Info!$A$4:$V$155,4,FALSE)),"",VLOOKUP($A112,Kc_Info!$A$4:$V$155,4,FALSE))</f>
        <v/>
      </c>
      <c r="E112" s="94" t="str">
        <f>IF(ISNA(VLOOKUP($A112,Kc_Info!$A$4:$V$155,5,FALSE)),"",VLOOKUP($A112,Kc_Info!$A$4:$V$155,5,FALSE))</f>
        <v/>
      </c>
      <c r="F112" s="94" t="str">
        <f>IF(ISNA(VLOOKUP($A112,Kc_Info!$A$4:$V$155,6,FALSE)),"",VLOOKUP($A112,Kc_Info!$A$4:$V$155,6,FALSE))</f>
        <v/>
      </c>
      <c r="G112" s="101" t="str">
        <f>IF(ISNA(VLOOKUP($A112,Kc_Info!$A$4:$V$155,7,FALSE)),"",VLOOKUP($A112,Kc_Info!$A$4:$V$155,7,FALSE))</f>
        <v/>
      </c>
      <c r="H112" s="101" t="str">
        <f>IF(ISNA(VLOOKUP($A112,Kc_Info!$A$4:$V$155,8,FALSE)),"",VLOOKUP($A112,Kc_Info!$A$4:$V$155,8,FALSE))</f>
        <v/>
      </c>
      <c r="I112" s="101" t="str">
        <f>IF(ISNA(VLOOKUP($A112,Kc_Info!$A$4:$V$155,9,FALSE)),"",VLOOKUP($A112,Kc_Info!$A$4:$V$155,9,FALSE))</f>
        <v/>
      </c>
      <c r="J112" s="101" t="str">
        <f>IF(ISNA(VLOOKUP($A112,Kc_Info!$A$4:$V$155,10,FALSE)),"",VLOOKUP($A112,Kc_Info!$A$4:$V$155,10,FALSE))</f>
        <v/>
      </c>
      <c r="K112" s="94" t="str">
        <f>IF(ISNA(VLOOKUP($A112,Kc_Info!$A$4:$V$155,11,FALSE)),"",VLOOKUP($A112,Kc_Info!$A$4:$V$155,11,FALSE))</f>
        <v/>
      </c>
      <c r="L112" s="94" t="str">
        <f>IF(ISNA(VLOOKUP($A112,Kc_Info!$A$4:$V$155,12,FALSE)),"",VLOOKUP($A112,Kc_Info!$A$4:$V$155,12,FALSE))</f>
        <v/>
      </c>
      <c r="M112" s="94" t="str">
        <f>IF(ISNA(VLOOKUP($A112,Kc_Info!$A$4:$V$155,13,FALSE)),"",VLOOKUP($A112,Kc_Info!$A$4:$V$155,13,FALSE))</f>
        <v/>
      </c>
      <c r="N112" s="94" t="str">
        <f>IF(ISNA(VLOOKUP($A112,Kc_Info!$A$4:$V$155,14,FALSE)),"",VLOOKUP($A112,Kc_Info!$A$4:$V$155,14,FALSE))</f>
        <v/>
      </c>
      <c r="O112" s="100" t="str">
        <f>IF(ISNA(VLOOKUP($A112,Kc_Info!$A$4:$V$155,15,FALSE)),"",VLOOKUP($A112,Kc_Info!$A$4:$V$155,15,FALSE))</f>
        <v/>
      </c>
      <c r="P112" s="100" t="str">
        <f>IF(ISNA(VLOOKUP($A112,Kc_Info!$A$4:$V$155,16,FALSE)),"",VLOOKUP($A112,Kc_Info!$A$4:$V$155,16,FALSE))</f>
        <v/>
      </c>
      <c r="Q112" s="100" t="str">
        <f>IF(ISNA(VLOOKUP($A112,Kc_Info!$A$4:$V$155,17,FALSE)),"",VLOOKUP($A112,Kc_Info!$A$4:$V$155,17,FALSE))</f>
        <v/>
      </c>
      <c r="R112" s="100" t="str">
        <f>IF(ISNA(VLOOKUP($A112,Kc_Info!$A$4:$V$155,18,FALSE)),"",VLOOKUP($A112,Kc_Info!$A$4:$V$155,18,FALSE))</f>
        <v/>
      </c>
      <c r="S112" s="100" t="str">
        <f>IF(ISNA(VLOOKUP($A112,Kc_Info!$A$4:$V$155,19,FALSE)),"",VLOOKUP($A112,Kc_Info!$A$4:$V$155,19,FALSE))</f>
        <v/>
      </c>
      <c r="T112" s="94" t="str">
        <f>IF(ISNA(VLOOKUP($A112,Kc_Info!$A$4:$V$155,20,FALSE)),"",VLOOKUP($A112,Kc_Info!$A$4:$V$155,20,FALSE))</f>
        <v/>
      </c>
      <c r="U112" s="94" t="str">
        <f>IF(ISNA(VLOOKUP($A112,Kc_Info!$A$4:$V$155,21,FALSE)),"",VLOOKUP($A112,Kc_Info!$A$4:$V$155,21,FALSE))</f>
        <v/>
      </c>
      <c r="V112" s="94" t="str">
        <f>IF(ISNA(VLOOKUP($A112,Kc_Info!$A$4:$V$155,22,FALSE)),"",VLOOKUP($A112,Kc_Info!$A$4:$V$155,22,FALSE))</f>
        <v/>
      </c>
    </row>
    <row r="113" spans="1:22">
      <c r="A113" s="92"/>
      <c r="B113" s="93" t="str">
        <f>IF(ISNA(VLOOKUP($A113,Kc_Info!$A$4:$V$155,2,FALSE)),"",VLOOKUP($A113,Kc_Info!$A$4:$V$155,2,FALSE))</f>
        <v/>
      </c>
      <c r="C113" s="94" t="str">
        <f>IF(ISNA(VLOOKUP($A113,Kc_Info!$A$4:$V$155,3,FALSE)),"",VLOOKUP($A113,Kc_Info!$A$4:$V$155,3,FALSE))</f>
        <v/>
      </c>
      <c r="D113" s="94" t="str">
        <f>IF(ISNA(VLOOKUP($A113,Kc_Info!$A$4:$V$155,4,FALSE)),"",VLOOKUP($A113,Kc_Info!$A$4:$V$155,4,FALSE))</f>
        <v/>
      </c>
      <c r="E113" s="94" t="str">
        <f>IF(ISNA(VLOOKUP($A113,Kc_Info!$A$4:$V$155,5,FALSE)),"",VLOOKUP($A113,Kc_Info!$A$4:$V$155,5,FALSE))</f>
        <v/>
      </c>
      <c r="F113" s="94" t="str">
        <f>IF(ISNA(VLOOKUP($A113,Kc_Info!$A$4:$V$155,6,FALSE)),"",VLOOKUP($A113,Kc_Info!$A$4:$V$155,6,FALSE))</f>
        <v/>
      </c>
      <c r="G113" s="101" t="str">
        <f>IF(ISNA(VLOOKUP($A113,Kc_Info!$A$4:$V$155,7,FALSE)),"",VLOOKUP($A113,Kc_Info!$A$4:$V$155,7,FALSE))</f>
        <v/>
      </c>
      <c r="H113" s="101" t="str">
        <f>IF(ISNA(VLOOKUP($A113,Kc_Info!$A$4:$V$155,8,FALSE)),"",VLOOKUP($A113,Kc_Info!$A$4:$V$155,8,FALSE))</f>
        <v/>
      </c>
      <c r="I113" s="101" t="str">
        <f>IF(ISNA(VLOOKUP($A113,Kc_Info!$A$4:$V$155,9,FALSE)),"",VLOOKUP($A113,Kc_Info!$A$4:$V$155,9,FALSE))</f>
        <v/>
      </c>
      <c r="J113" s="101" t="str">
        <f>IF(ISNA(VLOOKUP($A113,Kc_Info!$A$4:$V$155,10,FALSE)),"",VLOOKUP($A113,Kc_Info!$A$4:$V$155,10,FALSE))</f>
        <v/>
      </c>
      <c r="K113" s="94" t="str">
        <f>IF(ISNA(VLOOKUP($A113,Kc_Info!$A$4:$V$155,11,FALSE)),"",VLOOKUP($A113,Kc_Info!$A$4:$V$155,11,FALSE))</f>
        <v/>
      </c>
      <c r="L113" s="94" t="str">
        <f>IF(ISNA(VLOOKUP($A113,Kc_Info!$A$4:$V$155,12,FALSE)),"",VLOOKUP($A113,Kc_Info!$A$4:$V$155,12,FALSE))</f>
        <v/>
      </c>
      <c r="M113" s="94" t="str">
        <f>IF(ISNA(VLOOKUP($A113,Kc_Info!$A$4:$V$155,13,FALSE)),"",VLOOKUP($A113,Kc_Info!$A$4:$V$155,13,FALSE))</f>
        <v/>
      </c>
      <c r="N113" s="94" t="str">
        <f>IF(ISNA(VLOOKUP($A113,Kc_Info!$A$4:$V$155,14,FALSE)),"",VLOOKUP($A113,Kc_Info!$A$4:$V$155,14,FALSE))</f>
        <v/>
      </c>
      <c r="O113" s="100" t="str">
        <f>IF(ISNA(VLOOKUP($A113,Kc_Info!$A$4:$V$155,15,FALSE)),"",VLOOKUP($A113,Kc_Info!$A$4:$V$155,15,FALSE))</f>
        <v/>
      </c>
      <c r="P113" s="100" t="str">
        <f>IF(ISNA(VLOOKUP($A113,Kc_Info!$A$4:$V$155,16,FALSE)),"",VLOOKUP($A113,Kc_Info!$A$4:$V$155,16,FALSE))</f>
        <v/>
      </c>
      <c r="Q113" s="100" t="str">
        <f>IF(ISNA(VLOOKUP($A113,Kc_Info!$A$4:$V$155,17,FALSE)),"",VLOOKUP($A113,Kc_Info!$A$4:$V$155,17,FALSE))</f>
        <v/>
      </c>
      <c r="R113" s="100" t="str">
        <f>IF(ISNA(VLOOKUP($A113,Kc_Info!$A$4:$V$155,18,FALSE)),"",VLOOKUP($A113,Kc_Info!$A$4:$V$155,18,FALSE))</f>
        <v/>
      </c>
      <c r="S113" s="100" t="str">
        <f>IF(ISNA(VLOOKUP($A113,Kc_Info!$A$4:$V$155,19,FALSE)),"",VLOOKUP($A113,Kc_Info!$A$4:$V$155,19,FALSE))</f>
        <v/>
      </c>
      <c r="T113" s="94" t="str">
        <f>IF(ISNA(VLOOKUP($A113,Kc_Info!$A$4:$V$155,20,FALSE)),"",VLOOKUP($A113,Kc_Info!$A$4:$V$155,20,FALSE))</f>
        <v/>
      </c>
      <c r="U113" s="94" t="str">
        <f>IF(ISNA(VLOOKUP($A113,Kc_Info!$A$4:$V$155,21,FALSE)),"",VLOOKUP($A113,Kc_Info!$A$4:$V$155,21,FALSE))</f>
        <v/>
      </c>
      <c r="V113" s="94" t="str">
        <f>IF(ISNA(VLOOKUP($A113,Kc_Info!$A$4:$V$155,22,FALSE)),"",VLOOKUP($A113,Kc_Info!$A$4:$V$155,22,FALSE))</f>
        <v/>
      </c>
    </row>
    <row r="114" spans="1:22">
      <c r="A114" s="92"/>
      <c r="B114" s="93" t="str">
        <f>IF(ISNA(VLOOKUP($A114,Kc_Info!$A$4:$V$155,2,FALSE)),"",VLOOKUP($A114,Kc_Info!$A$4:$V$155,2,FALSE))</f>
        <v/>
      </c>
      <c r="C114" s="94" t="str">
        <f>IF(ISNA(VLOOKUP($A114,Kc_Info!$A$4:$V$155,3,FALSE)),"",VLOOKUP($A114,Kc_Info!$A$4:$V$155,3,FALSE))</f>
        <v/>
      </c>
      <c r="D114" s="94" t="str">
        <f>IF(ISNA(VLOOKUP($A114,Kc_Info!$A$4:$V$155,4,FALSE)),"",VLOOKUP($A114,Kc_Info!$A$4:$V$155,4,FALSE))</f>
        <v/>
      </c>
      <c r="E114" s="94" t="str">
        <f>IF(ISNA(VLOOKUP($A114,Kc_Info!$A$4:$V$155,5,FALSE)),"",VLOOKUP($A114,Kc_Info!$A$4:$V$155,5,FALSE))</f>
        <v/>
      </c>
      <c r="F114" s="94" t="str">
        <f>IF(ISNA(VLOOKUP($A114,Kc_Info!$A$4:$V$155,6,FALSE)),"",VLOOKUP($A114,Kc_Info!$A$4:$V$155,6,FALSE))</f>
        <v/>
      </c>
      <c r="G114" s="101" t="str">
        <f>IF(ISNA(VLOOKUP($A114,Kc_Info!$A$4:$V$155,7,FALSE)),"",VLOOKUP($A114,Kc_Info!$A$4:$V$155,7,FALSE))</f>
        <v/>
      </c>
      <c r="H114" s="101" t="str">
        <f>IF(ISNA(VLOOKUP($A114,Kc_Info!$A$4:$V$155,8,FALSE)),"",VLOOKUP($A114,Kc_Info!$A$4:$V$155,8,FALSE))</f>
        <v/>
      </c>
      <c r="I114" s="101" t="str">
        <f>IF(ISNA(VLOOKUP($A114,Kc_Info!$A$4:$V$155,9,FALSE)),"",VLOOKUP($A114,Kc_Info!$A$4:$V$155,9,FALSE))</f>
        <v/>
      </c>
      <c r="J114" s="101" t="str">
        <f>IF(ISNA(VLOOKUP($A114,Kc_Info!$A$4:$V$155,10,FALSE)),"",VLOOKUP($A114,Kc_Info!$A$4:$V$155,10,FALSE))</f>
        <v/>
      </c>
      <c r="K114" s="94" t="str">
        <f>IF(ISNA(VLOOKUP($A114,Kc_Info!$A$4:$V$155,11,FALSE)),"",VLOOKUP($A114,Kc_Info!$A$4:$V$155,11,FALSE))</f>
        <v/>
      </c>
      <c r="L114" s="94" t="str">
        <f>IF(ISNA(VLOOKUP($A114,Kc_Info!$A$4:$V$155,12,FALSE)),"",VLOOKUP($A114,Kc_Info!$A$4:$V$155,12,FALSE))</f>
        <v/>
      </c>
      <c r="M114" s="94" t="str">
        <f>IF(ISNA(VLOOKUP($A114,Kc_Info!$A$4:$V$155,13,FALSE)),"",VLOOKUP($A114,Kc_Info!$A$4:$V$155,13,FALSE))</f>
        <v/>
      </c>
      <c r="N114" s="94" t="str">
        <f>IF(ISNA(VLOOKUP($A114,Kc_Info!$A$4:$V$155,14,FALSE)),"",VLOOKUP($A114,Kc_Info!$A$4:$V$155,14,FALSE))</f>
        <v/>
      </c>
      <c r="O114" s="100" t="str">
        <f>IF(ISNA(VLOOKUP($A114,Kc_Info!$A$4:$V$155,15,FALSE)),"",VLOOKUP($A114,Kc_Info!$A$4:$V$155,15,FALSE))</f>
        <v/>
      </c>
      <c r="P114" s="100" t="str">
        <f>IF(ISNA(VLOOKUP($A114,Kc_Info!$A$4:$V$155,16,FALSE)),"",VLOOKUP($A114,Kc_Info!$A$4:$V$155,16,FALSE))</f>
        <v/>
      </c>
      <c r="Q114" s="100" t="str">
        <f>IF(ISNA(VLOOKUP($A114,Kc_Info!$A$4:$V$155,17,FALSE)),"",VLOOKUP($A114,Kc_Info!$A$4:$V$155,17,FALSE))</f>
        <v/>
      </c>
      <c r="R114" s="100" t="str">
        <f>IF(ISNA(VLOOKUP($A114,Kc_Info!$A$4:$V$155,18,FALSE)),"",VLOOKUP($A114,Kc_Info!$A$4:$V$155,18,FALSE))</f>
        <v/>
      </c>
      <c r="S114" s="100" t="str">
        <f>IF(ISNA(VLOOKUP($A114,Kc_Info!$A$4:$V$155,19,FALSE)),"",VLOOKUP($A114,Kc_Info!$A$4:$V$155,19,FALSE))</f>
        <v/>
      </c>
      <c r="T114" s="94" t="str">
        <f>IF(ISNA(VLOOKUP($A114,Kc_Info!$A$4:$V$155,20,FALSE)),"",VLOOKUP($A114,Kc_Info!$A$4:$V$155,20,FALSE))</f>
        <v/>
      </c>
      <c r="U114" s="94" t="str">
        <f>IF(ISNA(VLOOKUP($A114,Kc_Info!$A$4:$V$155,21,FALSE)),"",VLOOKUP($A114,Kc_Info!$A$4:$V$155,21,FALSE))</f>
        <v/>
      </c>
      <c r="V114" s="94" t="str">
        <f>IF(ISNA(VLOOKUP($A114,Kc_Info!$A$4:$V$155,22,FALSE)),"",VLOOKUP($A114,Kc_Info!$A$4:$V$155,22,FALSE))</f>
        <v/>
      </c>
    </row>
    <row r="115" spans="1:22">
      <c r="A115" s="92"/>
      <c r="B115" s="93" t="str">
        <f>IF(ISNA(VLOOKUP($A115,Kc_Info!$A$4:$V$155,2,FALSE)),"",VLOOKUP($A115,Kc_Info!$A$4:$V$155,2,FALSE))</f>
        <v/>
      </c>
      <c r="C115" s="94" t="str">
        <f>IF(ISNA(VLOOKUP($A115,Kc_Info!$A$4:$V$155,3,FALSE)),"",VLOOKUP($A115,Kc_Info!$A$4:$V$155,3,FALSE))</f>
        <v/>
      </c>
      <c r="D115" s="94" t="str">
        <f>IF(ISNA(VLOOKUP($A115,Kc_Info!$A$4:$V$155,4,FALSE)),"",VLOOKUP($A115,Kc_Info!$A$4:$V$155,4,FALSE))</f>
        <v/>
      </c>
      <c r="E115" s="94" t="str">
        <f>IF(ISNA(VLOOKUP($A115,Kc_Info!$A$4:$V$155,5,FALSE)),"",VLOOKUP($A115,Kc_Info!$A$4:$V$155,5,FALSE))</f>
        <v/>
      </c>
      <c r="F115" s="94" t="str">
        <f>IF(ISNA(VLOOKUP($A115,Kc_Info!$A$4:$V$155,6,FALSE)),"",VLOOKUP($A115,Kc_Info!$A$4:$V$155,6,FALSE))</f>
        <v/>
      </c>
      <c r="G115" s="101" t="str">
        <f>IF(ISNA(VLOOKUP($A115,Kc_Info!$A$4:$V$155,7,FALSE)),"",VLOOKUP($A115,Kc_Info!$A$4:$V$155,7,FALSE))</f>
        <v/>
      </c>
      <c r="H115" s="101" t="str">
        <f>IF(ISNA(VLOOKUP($A115,Kc_Info!$A$4:$V$155,8,FALSE)),"",VLOOKUP($A115,Kc_Info!$A$4:$V$155,8,FALSE))</f>
        <v/>
      </c>
      <c r="I115" s="101" t="str">
        <f>IF(ISNA(VLOOKUP($A115,Kc_Info!$A$4:$V$155,9,FALSE)),"",VLOOKUP($A115,Kc_Info!$A$4:$V$155,9,FALSE))</f>
        <v/>
      </c>
      <c r="J115" s="101" t="str">
        <f>IF(ISNA(VLOOKUP($A115,Kc_Info!$A$4:$V$155,10,FALSE)),"",VLOOKUP($A115,Kc_Info!$A$4:$V$155,10,FALSE))</f>
        <v/>
      </c>
      <c r="K115" s="94" t="str">
        <f>IF(ISNA(VLOOKUP($A115,Kc_Info!$A$4:$V$155,11,FALSE)),"",VLOOKUP($A115,Kc_Info!$A$4:$V$155,11,FALSE))</f>
        <v/>
      </c>
      <c r="L115" s="94" t="str">
        <f>IF(ISNA(VLOOKUP($A115,Kc_Info!$A$4:$V$155,12,FALSE)),"",VLOOKUP($A115,Kc_Info!$A$4:$V$155,12,FALSE))</f>
        <v/>
      </c>
      <c r="M115" s="94" t="str">
        <f>IF(ISNA(VLOOKUP($A115,Kc_Info!$A$4:$V$155,13,FALSE)),"",VLOOKUP($A115,Kc_Info!$A$4:$V$155,13,FALSE))</f>
        <v/>
      </c>
      <c r="N115" s="94" t="str">
        <f>IF(ISNA(VLOOKUP($A115,Kc_Info!$A$4:$V$155,14,FALSE)),"",VLOOKUP($A115,Kc_Info!$A$4:$V$155,14,FALSE))</f>
        <v/>
      </c>
      <c r="O115" s="100" t="str">
        <f>IF(ISNA(VLOOKUP($A115,Kc_Info!$A$4:$V$155,15,FALSE)),"",VLOOKUP($A115,Kc_Info!$A$4:$V$155,15,FALSE))</f>
        <v/>
      </c>
      <c r="P115" s="100" t="str">
        <f>IF(ISNA(VLOOKUP($A115,Kc_Info!$A$4:$V$155,16,FALSE)),"",VLOOKUP($A115,Kc_Info!$A$4:$V$155,16,FALSE))</f>
        <v/>
      </c>
      <c r="Q115" s="100" t="str">
        <f>IF(ISNA(VLOOKUP($A115,Kc_Info!$A$4:$V$155,17,FALSE)),"",VLOOKUP($A115,Kc_Info!$A$4:$V$155,17,FALSE))</f>
        <v/>
      </c>
      <c r="R115" s="100" t="str">
        <f>IF(ISNA(VLOOKUP($A115,Kc_Info!$A$4:$V$155,18,FALSE)),"",VLOOKUP($A115,Kc_Info!$A$4:$V$155,18,FALSE))</f>
        <v/>
      </c>
      <c r="S115" s="100" t="str">
        <f>IF(ISNA(VLOOKUP($A115,Kc_Info!$A$4:$V$155,19,FALSE)),"",VLOOKUP($A115,Kc_Info!$A$4:$V$155,19,FALSE))</f>
        <v/>
      </c>
      <c r="T115" s="94" t="str">
        <f>IF(ISNA(VLOOKUP($A115,Kc_Info!$A$4:$V$155,20,FALSE)),"",VLOOKUP($A115,Kc_Info!$A$4:$V$155,20,FALSE))</f>
        <v/>
      </c>
      <c r="U115" s="94" t="str">
        <f>IF(ISNA(VLOOKUP($A115,Kc_Info!$A$4:$V$155,21,FALSE)),"",VLOOKUP($A115,Kc_Info!$A$4:$V$155,21,FALSE))</f>
        <v/>
      </c>
      <c r="V115" s="94" t="str">
        <f>IF(ISNA(VLOOKUP($A115,Kc_Info!$A$4:$V$155,22,FALSE)),"",VLOOKUP($A115,Kc_Info!$A$4:$V$155,22,FALSE))</f>
        <v/>
      </c>
    </row>
    <row r="116" spans="1:22">
      <c r="A116" s="92"/>
      <c r="B116" s="93" t="str">
        <f>IF(ISNA(VLOOKUP($A116,Kc_Info!$A$4:$V$155,2,FALSE)),"",VLOOKUP($A116,Kc_Info!$A$4:$V$155,2,FALSE))</f>
        <v/>
      </c>
      <c r="C116" s="94" t="str">
        <f>IF(ISNA(VLOOKUP($A116,Kc_Info!$A$4:$V$155,3,FALSE)),"",VLOOKUP($A116,Kc_Info!$A$4:$V$155,3,FALSE))</f>
        <v/>
      </c>
      <c r="D116" s="94" t="str">
        <f>IF(ISNA(VLOOKUP($A116,Kc_Info!$A$4:$V$155,4,FALSE)),"",VLOOKUP($A116,Kc_Info!$A$4:$V$155,4,FALSE))</f>
        <v/>
      </c>
      <c r="E116" s="94" t="str">
        <f>IF(ISNA(VLOOKUP($A116,Kc_Info!$A$4:$V$155,5,FALSE)),"",VLOOKUP($A116,Kc_Info!$A$4:$V$155,5,FALSE))</f>
        <v/>
      </c>
      <c r="F116" s="94" t="str">
        <f>IF(ISNA(VLOOKUP($A116,Kc_Info!$A$4:$V$155,6,FALSE)),"",VLOOKUP($A116,Kc_Info!$A$4:$V$155,6,FALSE))</f>
        <v/>
      </c>
      <c r="G116" s="101" t="str">
        <f>IF(ISNA(VLOOKUP($A116,Kc_Info!$A$4:$V$155,7,FALSE)),"",VLOOKUP($A116,Kc_Info!$A$4:$V$155,7,FALSE))</f>
        <v/>
      </c>
      <c r="H116" s="101" t="str">
        <f>IF(ISNA(VLOOKUP($A116,Kc_Info!$A$4:$V$155,8,FALSE)),"",VLOOKUP($A116,Kc_Info!$A$4:$V$155,8,FALSE))</f>
        <v/>
      </c>
      <c r="I116" s="101" t="str">
        <f>IF(ISNA(VLOOKUP($A116,Kc_Info!$A$4:$V$155,9,FALSE)),"",VLOOKUP($A116,Kc_Info!$A$4:$V$155,9,FALSE))</f>
        <v/>
      </c>
      <c r="J116" s="101" t="str">
        <f>IF(ISNA(VLOOKUP($A116,Kc_Info!$A$4:$V$155,10,FALSE)),"",VLOOKUP($A116,Kc_Info!$A$4:$V$155,10,FALSE))</f>
        <v/>
      </c>
      <c r="K116" s="94" t="str">
        <f>IF(ISNA(VLOOKUP($A116,Kc_Info!$A$4:$V$155,11,FALSE)),"",VLOOKUP($A116,Kc_Info!$A$4:$V$155,11,FALSE))</f>
        <v/>
      </c>
      <c r="L116" s="94" t="str">
        <f>IF(ISNA(VLOOKUP($A116,Kc_Info!$A$4:$V$155,12,FALSE)),"",VLOOKUP($A116,Kc_Info!$A$4:$V$155,12,FALSE))</f>
        <v/>
      </c>
      <c r="M116" s="94" t="str">
        <f>IF(ISNA(VLOOKUP($A116,Kc_Info!$A$4:$V$155,13,FALSE)),"",VLOOKUP($A116,Kc_Info!$A$4:$V$155,13,FALSE))</f>
        <v/>
      </c>
      <c r="N116" s="94" t="str">
        <f>IF(ISNA(VLOOKUP($A116,Kc_Info!$A$4:$V$155,14,FALSE)),"",VLOOKUP($A116,Kc_Info!$A$4:$V$155,14,FALSE))</f>
        <v/>
      </c>
      <c r="O116" s="100" t="str">
        <f>IF(ISNA(VLOOKUP($A116,Kc_Info!$A$4:$V$155,15,FALSE)),"",VLOOKUP($A116,Kc_Info!$A$4:$V$155,15,FALSE))</f>
        <v/>
      </c>
      <c r="P116" s="100" t="str">
        <f>IF(ISNA(VLOOKUP($A116,Kc_Info!$A$4:$V$155,16,FALSE)),"",VLOOKUP($A116,Kc_Info!$A$4:$V$155,16,FALSE))</f>
        <v/>
      </c>
      <c r="Q116" s="100" t="str">
        <f>IF(ISNA(VLOOKUP($A116,Kc_Info!$A$4:$V$155,17,FALSE)),"",VLOOKUP($A116,Kc_Info!$A$4:$V$155,17,FALSE))</f>
        <v/>
      </c>
      <c r="R116" s="100" t="str">
        <f>IF(ISNA(VLOOKUP($A116,Kc_Info!$A$4:$V$155,18,FALSE)),"",VLOOKUP($A116,Kc_Info!$A$4:$V$155,18,FALSE))</f>
        <v/>
      </c>
      <c r="S116" s="100" t="str">
        <f>IF(ISNA(VLOOKUP($A116,Kc_Info!$A$4:$V$155,19,FALSE)),"",VLOOKUP($A116,Kc_Info!$A$4:$V$155,19,FALSE))</f>
        <v/>
      </c>
      <c r="T116" s="94" t="str">
        <f>IF(ISNA(VLOOKUP($A116,Kc_Info!$A$4:$V$155,20,FALSE)),"",VLOOKUP($A116,Kc_Info!$A$4:$V$155,20,FALSE))</f>
        <v/>
      </c>
      <c r="U116" s="94" t="str">
        <f>IF(ISNA(VLOOKUP($A116,Kc_Info!$A$4:$V$155,21,FALSE)),"",VLOOKUP($A116,Kc_Info!$A$4:$V$155,21,FALSE))</f>
        <v/>
      </c>
      <c r="V116" s="94" t="str">
        <f>IF(ISNA(VLOOKUP($A116,Kc_Info!$A$4:$V$155,22,FALSE)),"",VLOOKUP($A116,Kc_Info!$A$4:$V$155,22,FALSE))</f>
        <v/>
      </c>
    </row>
    <row r="117" spans="1:22">
      <c r="A117" s="92"/>
      <c r="B117" s="93" t="str">
        <f>IF(ISNA(VLOOKUP($A117,Kc_Info!$A$4:$V$155,2,FALSE)),"",VLOOKUP($A117,Kc_Info!$A$4:$V$155,2,FALSE))</f>
        <v/>
      </c>
      <c r="C117" s="94" t="str">
        <f>IF(ISNA(VLOOKUP($A117,Kc_Info!$A$4:$V$155,3,FALSE)),"",VLOOKUP($A117,Kc_Info!$A$4:$V$155,3,FALSE))</f>
        <v/>
      </c>
      <c r="D117" s="94" t="str">
        <f>IF(ISNA(VLOOKUP($A117,Kc_Info!$A$4:$V$155,4,FALSE)),"",VLOOKUP($A117,Kc_Info!$A$4:$V$155,4,FALSE))</f>
        <v/>
      </c>
      <c r="E117" s="94" t="str">
        <f>IF(ISNA(VLOOKUP($A117,Kc_Info!$A$4:$V$155,5,FALSE)),"",VLOOKUP($A117,Kc_Info!$A$4:$V$155,5,FALSE))</f>
        <v/>
      </c>
      <c r="F117" s="94" t="str">
        <f>IF(ISNA(VLOOKUP($A117,Kc_Info!$A$4:$V$155,6,FALSE)),"",VLOOKUP($A117,Kc_Info!$A$4:$V$155,6,FALSE))</f>
        <v/>
      </c>
      <c r="G117" s="101" t="str">
        <f>IF(ISNA(VLOOKUP($A117,Kc_Info!$A$4:$V$155,7,FALSE)),"",VLOOKUP($A117,Kc_Info!$A$4:$V$155,7,FALSE))</f>
        <v/>
      </c>
      <c r="H117" s="101" t="str">
        <f>IF(ISNA(VLOOKUP($A117,Kc_Info!$A$4:$V$155,8,FALSE)),"",VLOOKUP($A117,Kc_Info!$A$4:$V$155,8,FALSE))</f>
        <v/>
      </c>
      <c r="I117" s="101" t="str">
        <f>IF(ISNA(VLOOKUP($A117,Kc_Info!$A$4:$V$155,9,FALSE)),"",VLOOKUP($A117,Kc_Info!$A$4:$V$155,9,FALSE))</f>
        <v/>
      </c>
      <c r="J117" s="101" t="str">
        <f>IF(ISNA(VLOOKUP($A117,Kc_Info!$A$4:$V$155,10,FALSE)),"",VLOOKUP($A117,Kc_Info!$A$4:$V$155,10,FALSE))</f>
        <v/>
      </c>
      <c r="K117" s="94" t="str">
        <f>IF(ISNA(VLOOKUP($A117,Kc_Info!$A$4:$V$155,11,FALSE)),"",VLOOKUP($A117,Kc_Info!$A$4:$V$155,11,FALSE))</f>
        <v/>
      </c>
      <c r="L117" s="94" t="str">
        <f>IF(ISNA(VLOOKUP($A117,Kc_Info!$A$4:$V$155,12,FALSE)),"",VLOOKUP($A117,Kc_Info!$A$4:$V$155,12,FALSE))</f>
        <v/>
      </c>
      <c r="M117" s="94" t="str">
        <f>IF(ISNA(VLOOKUP($A117,Kc_Info!$A$4:$V$155,13,FALSE)),"",VLOOKUP($A117,Kc_Info!$A$4:$V$155,13,FALSE))</f>
        <v/>
      </c>
      <c r="N117" s="94" t="str">
        <f>IF(ISNA(VLOOKUP($A117,Kc_Info!$A$4:$V$155,14,FALSE)),"",VLOOKUP($A117,Kc_Info!$A$4:$V$155,14,FALSE))</f>
        <v/>
      </c>
      <c r="O117" s="100" t="str">
        <f>IF(ISNA(VLOOKUP($A117,Kc_Info!$A$4:$V$155,15,FALSE)),"",VLOOKUP($A117,Kc_Info!$A$4:$V$155,15,FALSE))</f>
        <v/>
      </c>
      <c r="P117" s="100" t="str">
        <f>IF(ISNA(VLOOKUP($A117,Kc_Info!$A$4:$V$155,16,FALSE)),"",VLOOKUP($A117,Kc_Info!$A$4:$V$155,16,FALSE))</f>
        <v/>
      </c>
      <c r="Q117" s="100" t="str">
        <f>IF(ISNA(VLOOKUP($A117,Kc_Info!$A$4:$V$155,17,FALSE)),"",VLOOKUP($A117,Kc_Info!$A$4:$V$155,17,FALSE))</f>
        <v/>
      </c>
      <c r="R117" s="100" t="str">
        <f>IF(ISNA(VLOOKUP($A117,Kc_Info!$A$4:$V$155,18,FALSE)),"",VLOOKUP($A117,Kc_Info!$A$4:$V$155,18,FALSE))</f>
        <v/>
      </c>
      <c r="S117" s="100" t="str">
        <f>IF(ISNA(VLOOKUP($A117,Kc_Info!$A$4:$V$155,19,FALSE)),"",VLOOKUP($A117,Kc_Info!$A$4:$V$155,19,FALSE))</f>
        <v/>
      </c>
      <c r="T117" s="94" t="str">
        <f>IF(ISNA(VLOOKUP($A117,Kc_Info!$A$4:$V$155,20,FALSE)),"",VLOOKUP($A117,Kc_Info!$A$4:$V$155,20,FALSE))</f>
        <v/>
      </c>
      <c r="U117" s="94" t="str">
        <f>IF(ISNA(VLOOKUP($A117,Kc_Info!$A$4:$V$155,21,FALSE)),"",VLOOKUP($A117,Kc_Info!$A$4:$V$155,21,FALSE))</f>
        <v/>
      </c>
      <c r="V117" s="94" t="str">
        <f>IF(ISNA(VLOOKUP($A117,Kc_Info!$A$4:$V$155,22,FALSE)),"",VLOOKUP($A117,Kc_Info!$A$4:$V$155,22,FALSE))</f>
        <v/>
      </c>
    </row>
    <row r="118" spans="1:22">
      <c r="A118" s="92"/>
      <c r="B118" s="93" t="str">
        <f>IF(ISNA(VLOOKUP($A118,Kc_Info!$A$4:$V$155,2,FALSE)),"",VLOOKUP($A118,Kc_Info!$A$4:$V$155,2,FALSE))</f>
        <v/>
      </c>
      <c r="C118" s="94" t="str">
        <f>IF(ISNA(VLOOKUP($A118,Kc_Info!$A$4:$V$155,3,FALSE)),"",VLOOKUP($A118,Kc_Info!$A$4:$V$155,3,FALSE))</f>
        <v/>
      </c>
      <c r="D118" s="94" t="str">
        <f>IF(ISNA(VLOOKUP($A118,Kc_Info!$A$4:$V$155,4,FALSE)),"",VLOOKUP($A118,Kc_Info!$A$4:$V$155,4,FALSE))</f>
        <v/>
      </c>
      <c r="E118" s="94" t="str">
        <f>IF(ISNA(VLOOKUP($A118,Kc_Info!$A$4:$V$155,5,FALSE)),"",VLOOKUP($A118,Kc_Info!$A$4:$V$155,5,FALSE))</f>
        <v/>
      </c>
      <c r="F118" s="94" t="str">
        <f>IF(ISNA(VLOOKUP($A118,Kc_Info!$A$4:$V$155,6,FALSE)),"",VLOOKUP($A118,Kc_Info!$A$4:$V$155,6,FALSE))</f>
        <v/>
      </c>
      <c r="G118" s="101" t="str">
        <f>IF(ISNA(VLOOKUP($A118,Kc_Info!$A$4:$V$155,7,FALSE)),"",VLOOKUP($A118,Kc_Info!$A$4:$V$155,7,FALSE))</f>
        <v/>
      </c>
      <c r="H118" s="101" t="str">
        <f>IF(ISNA(VLOOKUP($A118,Kc_Info!$A$4:$V$155,8,FALSE)),"",VLOOKUP($A118,Kc_Info!$A$4:$V$155,8,FALSE))</f>
        <v/>
      </c>
      <c r="I118" s="101" t="str">
        <f>IF(ISNA(VLOOKUP($A118,Kc_Info!$A$4:$V$155,9,FALSE)),"",VLOOKUP($A118,Kc_Info!$A$4:$V$155,9,FALSE))</f>
        <v/>
      </c>
      <c r="J118" s="101" t="str">
        <f>IF(ISNA(VLOOKUP($A118,Kc_Info!$A$4:$V$155,10,FALSE)),"",VLOOKUP($A118,Kc_Info!$A$4:$V$155,10,FALSE))</f>
        <v/>
      </c>
      <c r="K118" s="94" t="str">
        <f>IF(ISNA(VLOOKUP($A118,Kc_Info!$A$4:$V$155,11,FALSE)),"",VLOOKUP($A118,Kc_Info!$A$4:$V$155,11,FALSE))</f>
        <v/>
      </c>
      <c r="L118" s="94" t="str">
        <f>IF(ISNA(VLOOKUP($A118,Kc_Info!$A$4:$V$155,12,FALSE)),"",VLOOKUP($A118,Kc_Info!$A$4:$V$155,12,FALSE))</f>
        <v/>
      </c>
      <c r="M118" s="94" t="str">
        <f>IF(ISNA(VLOOKUP($A118,Kc_Info!$A$4:$V$155,13,FALSE)),"",VLOOKUP($A118,Kc_Info!$A$4:$V$155,13,FALSE))</f>
        <v/>
      </c>
      <c r="N118" s="94" t="str">
        <f>IF(ISNA(VLOOKUP($A118,Kc_Info!$A$4:$V$155,14,FALSE)),"",VLOOKUP($A118,Kc_Info!$A$4:$V$155,14,FALSE))</f>
        <v/>
      </c>
      <c r="O118" s="100" t="str">
        <f>IF(ISNA(VLOOKUP($A118,Kc_Info!$A$4:$V$155,15,FALSE)),"",VLOOKUP($A118,Kc_Info!$A$4:$V$155,15,FALSE))</f>
        <v/>
      </c>
      <c r="P118" s="100" t="str">
        <f>IF(ISNA(VLOOKUP($A118,Kc_Info!$A$4:$V$155,16,FALSE)),"",VLOOKUP($A118,Kc_Info!$A$4:$V$155,16,FALSE))</f>
        <v/>
      </c>
      <c r="Q118" s="100" t="str">
        <f>IF(ISNA(VLOOKUP($A118,Kc_Info!$A$4:$V$155,17,FALSE)),"",VLOOKUP($A118,Kc_Info!$A$4:$V$155,17,FALSE))</f>
        <v/>
      </c>
      <c r="R118" s="100" t="str">
        <f>IF(ISNA(VLOOKUP($A118,Kc_Info!$A$4:$V$155,18,FALSE)),"",VLOOKUP($A118,Kc_Info!$A$4:$V$155,18,FALSE))</f>
        <v/>
      </c>
      <c r="S118" s="100" t="str">
        <f>IF(ISNA(VLOOKUP($A118,Kc_Info!$A$4:$V$155,19,FALSE)),"",VLOOKUP($A118,Kc_Info!$A$4:$V$155,19,FALSE))</f>
        <v/>
      </c>
      <c r="T118" s="94" t="str">
        <f>IF(ISNA(VLOOKUP($A118,Kc_Info!$A$4:$V$155,20,FALSE)),"",VLOOKUP($A118,Kc_Info!$A$4:$V$155,20,FALSE))</f>
        <v/>
      </c>
      <c r="U118" s="94" t="str">
        <f>IF(ISNA(VLOOKUP($A118,Kc_Info!$A$4:$V$155,21,FALSE)),"",VLOOKUP($A118,Kc_Info!$A$4:$V$155,21,FALSE))</f>
        <v/>
      </c>
      <c r="V118" s="94" t="str">
        <f>IF(ISNA(VLOOKUP($A118,Kc_Info!$A$4:$V$155,22,FALSE)),"",VLOOKUP($A118,Kc_Info!$A$4:$V$155,22,FALSE))</f>
        <v/>
      </c>
    </row>
    <row r="119" spans="1:22">
      <c r="A119" s="92"/>
      <c r="B119" s="93" t="str">
        <f>IF(ISNA(VLOOKUP($A119,Kc_Info!$A$4:$V$155,2,FALSE)),"",VLOOKUP($A119,Kc_Info!$A$4:$V$155,2,FALSE))</f>
        <v/>
      </c>
      <c r="C119" s="94" t="str">
        <f>IF(ISNA(VLOOKUP($A119,Kc_Info!$A$4:$V$155,3,FALSE)),"",VLOOKUP($A119,Kc_Info!$A$4:$V$155,3,FALSE))</f>
        <v/>
      </c>
      <c r="D119" s="94" t="str">
        <f>IF(ISNA(VLOOKUP($A119,Kc_Info!$A$4:$V$155,4,FALSE)),"",VLOOKUP($A119,Kc_Info!$A$4:$V$155,4,FALSE))</f>
        <v/>
      </c>
      <c r="E119" s="94" t="str">
        <f>IF(ISNA(VLOOKUP($A119,Kc_Info!$A$4:$V$155,5,FALSE)),"",VLOOKUP($A119,Kc_Info!$A$4:$V$155,5,FALSE))</f>
        <v/>
      </c>
      <c r="F119" s="94" t="str">
        <f>IF(ISNA(VLOOKUP($A119,Kc_Info!$A$4:$V$155,6,FALSE)),"",VLOOKUP($A119,Kc_Info!$A$4:$V$155,6,FALSE))</f>
        <v/>
      </c>
      <c r="G119" s="101" t="str">
        <f>IF(ISNA(VLOOKUP($A119,Kc_Info!$A$4:$V$155,7,FALSE)),"",VLOOKUP($A119,Kc_Info!$A$4:$V$155,7,FALSE))</f>
        <v/>
      </c>
      <c r="H119" s="101" t="str">
        <f>IF(ISNA(VLOOKUP($A119,Kc_Info!$A$4:$V$155,8,FALSE)),"",VLOOKUP($A119,Kc_Info!$A$4:$V$155,8,FALSE))</f>
        <v/>
      </c>
      <c r="I119" s="101" t="str">
        <f>IF(ISNA(VLOOKUP($A119,Kc_Info!$A$4:$V$155,9,FALSE)),"",VLOOKUP($A119,Kc_Info!$A$4:$V$155,9,FALSE))</f>
        <v/>
      </c>
      <c r="J119" s="101" t="str">
        <f>IF(ISNA(VLOOKUP($A119,Kc_Info!$A$4:$V$155,10,FALSE)),"",VLOOKUP($A119,Kc_Info!$A$4:$V$155,10,FALSE))</f>
        <v/>
      </c>
      <c r="K119" s="94" t="str">
        <f>IF(ISNA(VLOOKUP($A119,Kc_Info!$A$4:$V$155,11,FALSE)),"",VLOOKUP($A119,Kc_Info!$A$4:$V$155,11,FALSE))</f>
        <v/>
      </c>
      <c r="L119" s="94" t="str">
        <f>IF(ISNA(VLOOKUP($A119,Kc_Info!$A$4:$V$155,12,FALSE)),"",VLOOKUP($A119,Kc_Info!$A$4:$V$155,12,FALSE))</f>
        <v/>
      </c>
      <c r="M119" s="94" t="str">
        <f>IF(ISNA(VLOOKUP($A119,Kc_Info!$A$4:$V$155,13,FALSE)),"",VLOOKUP($A119,Kc_Info!$A$4:$V$155,13,FALSE))</f>
        <v/>
      </c>
      <c r="N119" s="94" t="str">
        <f>IF(ISNA(VLOOKUP($A119,Kc_Info!$A$4:$V$155,14,FALSE)),"",VLOOKUP($A119,Kc_Info!$A$4:$V$155,14,FALSE))</f>
        <v/>
      </c>
      <c r="O119" s="100" t="str">
        <f>IF(ISNA(VLOOKUP($A119,Kc_Info!$A$4:$V$155,15,FALSE)),"",VLOOKUP($A119,Kc_Info!$A$4:$V$155,15,FALSE))</f>
        <v/>
      </c>
      <c r="P119" s="100" t="str">
        <f>IF(ISNA(VLOOKUP($A119,Kc_Info!$A$4:$V$155,16,FALSE)),"",VLOOKUP($A119,Kc_Info!$A$4:$V$155,16,FALSE))</f>
        <v/>
      </c>
      <c r="Q119" s="100" t="str">
        <f>IF(ISNA(VLOOKUP($A119,Kc_Info!$A$4:$V$155,17,FALSE)),"",VLOOKUP($A119,Kc_Info!$A$4:$V$155,17,FALSE))</f>
        <v/>
      </c>
      <c r="R119" s="100" t="str">
        <f>IF(ISNA(VLOOKUP($A119,Kc_Info!$A$4:$V$155,18,FALSE)),"",VLOOKUP($A119,Kc_Info!$A$4:$V$155,18,FALSE))</f>
        <v/>
      </c>
      <c r="S119" s="100" t="str">
        <f>IF(ISNA(VLOOKUP($A119,Kc_Info!$A$4:$V$155,19,FALSE)),"",VLOOKUP($A119,Kc_Info!$A$4:$V$155,19,FALSE))</f>
        <v/>
      </c>
      <c r="T119" s="94" t="str">
        <f>IF(ISNA(VLOOKUP($A119,Kc_Info!$A$4:$V$155,20,FALSE)),"",VLOOKUP($A119,Kc_Info!$A$4:$V$155,20,FALSE))</f>
        <v/>
      </c>
      <c r="U119" s="94" t="str">
        <f>IF(ISNA(VLOOKUP($A119,Kc_Info!$A$4:$V$155,21,FALSE)),"",VLOOKUP($A119,Kc_Info!$A$4:$V$155,21,FALSE))</f>
        <v/>
      </c>
      <c r="V119" s="94" t="str">
        <f>IF(ISNA(VLOOKUP($A119,Kc_Info!$A$4:$V$155,22,FALSE)),"",VLOOKUP($A119,Kc_Info!$A$4:$V$155,22,FALSE))</f>
        <v/>
      </c>
    </row>
    <row r="120" spans="1:22">
      <c r="A120" s="92"/>
      <c r="B120" s="93" t="str">
        <f>IF(ISNA(VLOOKUP($A120,Kc_Info!$A$4:$V$155,2,FALSE)),"",VLOOKUP($A120,Kc_Info!$A$4:$V$155,2,FALSE))</f>
        <v/>
      </c>
      <c r="C120" s="94" t="str">
        <f>IF(ISNA(VLOOKUP($A120,Kc_Info!$A$4:$V$155,3,FALSE)),"",VLOOKUP($A120,Kc_Info!$A$4:$V$155,3,FALSE))</f>
        <v/>
      </c>
      <c r="D120" s="94" t="str">
        <f>IF(ISNA(VLOOKUP($A120,Kc_Info!$A$4:$V$155,4,FALSE)),"",VLOOKUP($A120,Kc_Info!$A$4:$V$155,4,FALSE))</f>
        <v/>
      </c>
      <c r="E120" s="94" t="str">
        <f>IF(ISNA(VLOOKUP($A120,Kc_Info!$A$4:$V$155,5,FALSE)),"",VLOOKUP($A120,Kc_Info!$A$4:$V$155,5,FALSE))</f>
        <v/>
      </c>
      <c r="F120" s="94" t="str">
        <f>IF(ISNA(VLOOKUP($A120,Kc_Info!$A$4:$V$155,6,FALSE)),"",VLOOKUP($A120,Kc_Info!$A$4:$V$155,6,FALSE))</f>
        <v/>
      </c>
      <c r="G120" s="101" t="str">
        <f>IF(ISNA(VLOOKUP($A120,Kc_Info!$A$4:$V$155,7,FALSE)),"",VLOOKUP($A120,Kc_Info!$A$4:$V$155,7,FALSE))</f>
        <v/>
      </c>
      <c r="H120" s="101" t="str">
        <f>IF(ISNA(VLOOKUP($A120,Kc_Info!$A$4:$V$155,8,FALSE)),"",VLOOKUP($A120,Kc_Info!$A$4:$V$155,8,FALSE))</f>
        <v/>
      </c>
      <c r="I120" s="101" t="str">
        <f>IF(ISNA(VLOOKUP($A120,Kc_Info!$A$4:$V$155,9,FALSE)),"",VLOOKUP($A120,Kc_Info!$A$4:$V$155,9,FALSE))</f>
        <v/>
      </c>
      <c r="J120" s="101" t="str">
        <f>IF(ISNA(VLOOKUP($A120,Kc_Info!$A$4:$V$155,10,FALSE)),"",VLOOKUP($A120,Kc_Info!$A$4:$V$155,10,FALSE))</f>
        <v/>
      </c>
      <c r="K120" s="94" t="str">
        <f>IF(ISNA(VLOOKUP($A120,Kc_Info!$A$4:$V$155,11,FALSE)),"",VLOOKUP($A120,Kc_Info!$A$4:$V$155,11,FALSE))</f>
        <v/>
      </c>
      <c r="L120" s="94" t="str">
        <f>IF(ISNA(VLOOKUP($A120,Kc_Info!$A$4:$V$155,12,FALSE)),"",VLOOKUP($A120,Kc_Info!$A$4:$V$155,12,FALSE))</f>
        <v/>
      </c>
      <c r="M120" s="94" t="str">
        <f>IF(ISNA(VLOOKUP($A120,Kc_Info!$A$4:$V$155,13,FALSE)),"",VLOOKUP($A120,Kc_Info!$A$4:$V$155,13,FALSE))</f>
        <v/>
      </c>
      <c r="N120" s="94" t="str">
        <f>IF(ISNA(VLOOKUP($A120,Kc_Info!$A$4:$V$155,14,FALSE)),"",VLOOKUP($A120,Kc_Info!$A$4:$V$155,14,FALSE))</f>
        <v/>
      </c>
      <c r="O120" s="100" t="str">
        <f>IF(ISNA(VLOOKUP($A120,Kc_Info!$A$4:$V$155,15,FALSE)),"",VLOOKUP($A120,Kc_Info!$A$4:$V$155,15,FALSE))</f>
        <v/>
      </c>
      <c r="P120" s="100" t="str">
        <f>IF(ISNA(VLOOKUP($A120,Kc_Info!$A$4:$V$155,16,FALSE)),"",VLOOKUP($A120,Kc_Info!$A$4:$V$155,16,FALSE))</f>
        <v/>
      </c>
      <c r="Q120" s="100" t="str">
        <f>IF(ISNA(VLOOKUP($A120,Kc_Info!$A$4:$V$155,17,FALSE)),"",VLOOKUP($A120,Kc_Info!$A$4:$V$155,17,FALSE))</f>
        <v/>
      </c>
      <c r="R120" s="100" t="str">
        <f>IF(ISNA(VLOOKUP($A120,Kc_Info!$A$4:$V$155,18,FALSE)),"",VLOOKUP($A120,Kc_Info!$A$4:$V$155,18,FALSE))</f>
        <v/>
      </c>
      <c r="S120" s="100" t="str">
        <f>IF(ISNA(VLOOKUP($A120,Kc_Info!$A$4:$V$155,19,FALSE)),"",VLOOKUP($A120,Kc_Info!$A$4:$V$155,19,FALSE))</f>
        <v/>
      </c>
      <c r="T120" s="94" t="str">
        <f>IF(ISNA(VLOOKUP($A120,Kc_Info!$A$4:$V$155,20,FALSE)),"",VLOOKUP($A120,Kc_Info!$A$4:$V$155,20,FALSE))</f>
        <v/>
      </c>
      <c r="U120" s="94" t="str">
        <f>IF(ISNA(VLOOKUP($A120,Kc_Info!$A$4:$V$155,21,FALSE)),"",VLOOKUP($A120,Kc_Info!$A$4:$V$155,21,FALSE))</f>
        <v/>
      </c>
      <c r="V120" s="94" t="str">
        <f>IF(ISNA(VLOOKUP($A120,Kc_Info!$A$4:$V$155,22,FALSE)),"",VLOOKUP($A120,Kc_Info!$A$4:$V$155,22,FALSE))</f>
        <v/>
      </c>
    </row>
    <row r="121" spans="1:22">
      <c r="A121" s="92"/>
      <c r="B121" s="93" t="str">
        <f>IF(ISNA(VLOOKUP($A121,Kc_Info!$A$4:$V$155,2,FALSE)),"",VLOOKUP($A121,Kc_Info!$A$4:$V$155,2,FALSE))</f>
        <v/>
      </c>
      <c r="C121" s="94" t="str">
        <f>IF(ISNA(VLOOKUP($A121,Kc_Info!$A$4:$V$155,3,FALSE)),"",VLOOKUP($A121,Kc_Info!$A$4:$V$155,3,FALSE))</f>
        <v/>
      </c>
      <c r="D121" s="94" t="str">
        <f>IF(ISNA(VLOOKUP($A121,Kc_Info!$A$4:$V$155,4,FALSE)),"",VLOOKUP($A121,Kc_Info!$A$4:$V$155,4,FALSE))</f>
        <v/>
      </c>
      <c r="E121" s="94" t="str">
        <f>IF(ISNA(VLOOKUP($A121,Kc_Info!$A$4:$V$155,5,FALSE)),"",VLOOKUP($A121,Kc_Info!$A$4:$V$155,5,FALSE))</f>
        <v/>
      </c>
      <c r="F121" s="94" t="str">
        <f>IF(ISNA(VLOOKUP($A121,Kc_Info!$A$4:$V$155,6,FALSE)),"",VLOOKUP($A121,Kc_Info!$A$4:$V$155,6,FALSE))</f>
        <v/>
      </c>
      <c r="G121" s="101" t="str">
        <f>IF(ISNA(VLOOKUP($A121,Kc_Info!$A$4:$V$155,7,FALSE)),"",VLOOKUP($A121,Kc_Info!$A$4:$V$155,7,FALSE))</f>
        <v/>
      </c>
      <c r="H121" s="101" t="str">
        <f>IF(ISNA(VLOOKUP($A121,Kc_Info!$A$4:$V$155,8,FALSE)),"",VLOOKUP($A121,Kc_Info!$A$4:$V$155,8,FALSE))</f>
        <v/>
      </c>
      <c r="I121" s="101" t="str">
        <f>IF(ISNA(VLOOKUP($A121,Kc_Info!$A$4:$V$155,9,FALSE)),"",VLOOKUP($A121,Kc_Info!$A$4:$V$155,9,FALSE))</f>
        <v/>
      </c>
      <c r="J121" s="101" t="str">
        <f>IF(ISNA(VLOOKUP($A121,Kc_Info!$A$4:$V$155,10,FALSE)),"",VLOOKUP($A121,Kc_Info!$A$4:$V$155,10,FALSE))</f>
        <v/>
      </c>
      <c r="K121" s="94" t="str">
        <f>IF(ISNA(VLOOKUP($A121,Kc_Info!$A$4:$V$155,11,FALSE)),"",VLOOKUP($A121,Kc_Info!$A$4:$V$155,11,FALSE))</f>
        <v/>
      </c>
      <c r="L121" s="94" t="str">
        <f>IF(ISNA(VLOOKUP($A121,Kc_Info!$A$4:$V$155,12,FALSE)),"",VLOOKUP($A121,Kc_Info!$A$4:$V$155,12,FALSE))</f>
        <v/>
      </c>
      <c r="M121" s="94" t="str">
        <f>IF(ISNA(VLOOKUP($A121,Kc_Info!$A$4:$V$155,13,FALSE)),"",VLOOKUP($A121,Kc_Info!$A$4:$V$155,13,FALSE))</f>
        <v/>
      </c>
      <c r="N121" s="94" t="str">
        <f>IF(ISNA(VLOOKUP($A121,Kc_Info!$A$4:$V$155,14,FALSE)),"",VLOOKUP($A121,Kc_Info!$A$4:$V$155,14,FALSE))</f>
        <v/>
      </c>
      <c r="O121" s="100" t="str">
        <f>IF(ISNA(VLOOKUP($A121,Kc_Info!$A$4:$V$155,15,FALSE)),"",VLOOKUP($A121,Kc_Info!$A$4:$V$155,15,FALSE))</f>
        <v/>
      </c>
      <c r="P121" s="100" t="str">
        <f>IF(ISNA(VLOOKUP($A121,Kc_Info!$A$4:$V$155,16,FALSE)),"",VLOOKUP($A121,Kc_Info!$A$4:$V$155,16,FALSE))</f>
        <v/>
      </c>
      <c r="Q121" s="100" t="str">
        <f>IF(ISNA(VLOOKUP($A121,Kc_Info!$A$4:$V$155,17,FALSE)),"",VLOOKUP($A121,Kc_Info!$A$4:$V$155,17,FALSE))</f>
        <v/>
      </c>
      <c r="R121" s="100" t="str">
        <f>IF(ISNA(VLOOKUP($A121,Kc_Info!$A$4:$V$155,18,FALSE)),"",VLOOKUP($A121,Kc_Info!$A$4:$V$155,18,FALSE))</f>
        <v/>
      </c>
      <c r="S121" s="100" t="str">
        <f>IF(ISNA(VLOOKUP($A121,Kc_Info!$A$4:$V$155,19,FALSE)),"",VLOOKUP($A121,Kc_Info!$A$4:$V$155,19,FALSE))</f>
        <v/>
      </c>
      <c r="T121" s="94" t="str">
        <f>IF(ISNA(VLOOKUP($A121,Kc_Info!$A$4:$V$155,20,FALSE)),"",VLOOKUP($A121,Kc_Info!$A$4:$V$155,20,FALSE))</f>
        <v/>
      </c>
      <c r="U121" s="94" t="str">
        <f>IF(ISNA(VLOOKUP($A121,Kc_Info!$A$4:$V$155,21,FALSE)),"",VLOOKUP($A121,Kc_Info!$A$4:$V$155,21,FALSE))</f>
        <v/>
      </c>
      <c r="V121" s="94" t="str">
        <f>IF(ISNA(VLOOKUP($A121,Kc_Info!$A$4:$V$155,22,FALSE)),"",VLOOKUP($A121,Kc_Info!$A$4:$V$155,22,FALSE))</f>
        <v/>
      </c>
    </row>
    <row r="122" spans="1:22">
      <c r="A122" s="92"/>
      <c r="B122" s="93" t="str">
        <f>IF(ISNA(VLOOKUP($A122,Kc_Info!$A$4:$V$155,2,FALSE)),"",VLOOKUP($A122,Kc_Info!$A$4:$V$155,2,FALSE))</f>
        <v/>
      </c>
      <c r="C122" s="94" t="str">
        <f>IF(ISNA(VLOOKUP($A122,Kc_Info!$A$4:$V$155,3,FALSE)),"",VLOOKUP($A122,Kc_Info!$A$4:$V$155,3,FALSE))</f>
        <v/>
      </c>
      <c r="D122" s="94" t="str">
        <f>IF(ISNA(VLOOKUP($A122,Kc_Info!$A$4:$V$155,4,FALSE)),"",VLOOKUP($A122,Kc_Info!$A$4:$V$155,4,FALSE))</f>
        <v/>
      </c>
      <c r="E122" s="94" t="str">
        <f>IF(ISNA(VLOOKUP($A122,Kc_Info!$A$4:$V$155,5,FALSE)),"",VLOOKUP($A122,Kc_Info!$A$4:$V$155,5,FALSE))</f>
        <v/>
      </c>
      <c r="F122" s="94" t="str">
        <f>IF(ISNA(VLOOKUP($A122,Kc_Info!$A$4:$V$155,6,FALSE)),"",VLOOKUP($A122,Kc_Info!$A$4:$V$155,6,FALSE))</f>
        <v/>
      </c>
      <c r="G122" s="101" t="str">
        <f>IF(ISNA(VLOOKUP($A122,Kc_Info!$A$4:$V$155,7,FALSE)),"",VLOOKUP($A122,Kc_Info!$A$4:$V$155,7,FALSE))</f>
        <v/>
      </c>
      <c r="H122" s="101" t="str">
        <f>IF(ISNA(VLOOKUP($A122,Kc_Info!$A$4:$V$155,8,FALSE)),"",VLOOKUP($A122,Kc_Info!$A$4:$V$155,8,FALSE))</f>
        <v/>
      </c>
      <c r="I122" s="101" t="str">
        <f>IF(ISNA(VLOOKUP($A122,Kc_Info!$A$4:$V$155,9,FALSE)),"",VLOOKUP($A122,Kc_Info!$A$4:$V$155,9,FALSE))</f>
        <v/>
      </c>
      <c r="J122" s="101" t="str">
        <f>IF(ISNA(VLOOKUP($A122,Kc_Info!$A$4:$V$155,10,FALSE)),"",VLOOKUP($A122,Kc_Info!$A$4:$V$155,10,FALSE))</f>
        <v/>
      </c>
      <c r="K122" s="94" t="str">
        <f>IF(ISNA(VLOOKUP($A122,Kc_Info!$A$4:$V$155,11,FALSE)),"",VLOOKUP($A122,Kc_Info!$A$4:$V$155,11,FALSE))</f>
        <v/>
      </c>
      <c r="L122" s="94" t="str">
        <f>IF(ISNA(VLOOKUP($A122,Kc_Info!$A$4:$V$155,12,FALSE)),"",VLOOKUP($A122,Kc_Info!$A$4:$V$155,12,FALSE))</f>
        <v/>
      </c>
      <c r="M122" s="94" t="str">
        <f>IF(ISNA(VLOOKUP($A122,Kc_Info!$A$4:$V$155,13,FALSE)),"",VLOOKUP($A122,Kc_Info!$A$4:$V$155,13,FALSE))</f>
        <v/>
      </c>
      <c r="N122" s="94" t="str">
        <f>IF(ISNA(VLOOKUP($A122,Kc_Info!$A$4:$V$155,14,FALSE)),"",VLOOKUP($A122,Kc_Info!$A$4:$V$155,14,FALSE))</f>
        <v/>
      </c>
      <c r="O122" s="100" t="str">
        <f>IF(ISNA(VLOOKUP($A122,Kc_Info!$A$4:$V$155,15,FALSE)),"",VLOOKUP($A122,Kc_Info!$A$4:$V$155,15,FALSE))</f>
        <v/>
      </c>
      <c r="P122" s="100" t="str">
        <f>IF(ISNA(VLOOKUP($A122,Kc_Info!$A$4:$V$155,16,FALSE)),"",VLOOKUP($A122,Kc_Info!$A$4:$V$155,16,FALSE))</f>
        <v/>
      </c>
      <c r="Q122" s="100" t="str">
        <f>IF(ISNA(VLOOKUP($A122,Kc_Info!$A$4:$V$155,17,FALSE)),"",VLOOKUP($A122,Kc_Info!$A$4:$V$155,17,FALSE))</f>
        <v/>
      </c>
      <c r="R122" s="100" t="str">
        <f>IF(ISNA(VLOOKUP($A122,Kc_Info!$A$4:$V$155,18,FALSE)),"",VLOOKUP($A122,Kc_Info!$A$4:$V$155,18,FALSE))</f>
        <v/>
      </c>
      <c r="S122" s="100" t="str">
        <f>IF(ISNA(VLOOKUP($A122,Kc_Info!$A$4:$V$155,19,FALSE)),"",VLOOKUP($A122,Kc_Info!$A$4:$V$155,19,FALSE))</f>
        <v/>
      </c>
      <c r="T122" s="94" t="str">
        <f>IF(ISNA(VLOOKUP($A122,Kc_Info!$A$4:$V$155,20,FALSE)),"",VLOOKUP($A122,Kc_Info!$A$4:$V$155,20,FALSE))</f>
        <v/>
      </c>
      <c r="U122" s="94" t="str">
        <f>IF(ISNA(VLOOKUP($A122,Kc_Info!$A$4:$V$155,21,FALSE)),"",VLOOKUP($A122,Kc_Info!$A$4:$V$155,21,FALSE))</f>
        <v/>
      </c>
      <c r="V122" s="94" t="str">
        <f>IF(ISNA(VLOOKUP($A122,Kc_Info!$A$4:$V$155,22,FALSE)),"",VLOOKUP($A122,Kc_Info!$A$4:$V$155,22,FALSE))</f>
        <v/>
      </c>
    </row>
    <row r="123" spans="1:22">
      <c r="A123" s="92"/>
      <c r="B123" s="93" t="str">
        <f>IF(ISNA(VLOOKUP($A123,Kc_Info!$A$4:$V$155,2,FALSE)),"",VLOOKUP($A123,Kc_Info!$A$4:$V$155,2,FALSE))</f>
        <v/>
      </c>
      <c r="C123" s="94" t="str">
        <f>IF(ISNA(VLOOKUP($A123,Kc_Info!$A$4:$V$155,3,FALSE)),"",VLOOKUP($A123,Kc_Info!$A$4:$V$155,3,FALSE))</f>
        <v/>
      </c>
      <c r="D123" s="94" t="str">
        <f>IF(ISNA(VLOOKUP($A123,Kc_Info!$A$4:$V$155,4,FALSE)),"",VLOOKUP($A123,Kc_Info!$A$4:$V$155,4,FALSE))</f>
        <v/>
      </c>
      <c r="E123" s="94" t="str">
        <f>IF(ISNA(VLOOKUP($A123,Kc_Info!$A$4:$V$155,5,FALSE)),"",VLOOKUP($A123,Kc_Info!$A$4:$V$155,5,FALSE))</f>
        <v/>
      </c>
      <c r="F123" s="94" t="str">
        <f>IF(ISNA(VLOOKUP($A123,Kc_Info!$A$4:$V$155,6,FALSE)),"",VLOOKUP($A123,Kc_Info!$A$4:$V$155,6,FALSE))</f>
        <v/>
      </c>
      <c r="G123" s="101" t="str">
        <f>IF(ISNA(VLOOKUP($A123,Kc_Info!$A$4:$V$155,7,FALSE)),"",VLOOKUP($A123,Kc_Info!$A$4:$V$155,7,FALSE))</f>
        <v/>
      </c>
      <c r="H123" s="101" t="str">
        <f>IF(ISNA(VLOOKUP($A123,Kc_Info!$A$4:$V$155,8,FALSE)),"",VLOOKUP($A123,Kc_Info!$A$4:$V$155,8,FALSE))</f>
        <v/>
      </c>
      <c r="I123" s="101" t="str">
        <f>IF(ISNA(VLOOKUP($A123,Kc_Info!$A$4:$V$155,9,FALSE)),"",VLOOKUP($A123,Kc_Info!$A$4:$V$155,9,FALSE))</f>
        <v/>
      </c>
      <c r="J123" s="101" t="str">
        <f>IF(ISNA(VLOOKUP($A123,Kc_Info!$A$4:$V$155,10,FALSE)),"",VLOOKUP($A123,Kc_Info!$A$4:$V$155,10,FALSE))</f>
        <v/>
      </c>
      <c r="K123" s="94" t="str">
        <f>IF(ISNA(VLOOKUP($A123,Kc_Info!$A$4:$V$155,11,FALSE)),"",VLOOKUP($A123,Kc_Info!$A$4:$V$155,11,FALSE))</f>
        <v/>
      </c>
      <c r="L123" s="94" t="str">
        <f>IF(ISNA(VLOOKUP($A123,Kc_Info!$A$4:$V$155,12,FALSE)),"",VLOOKUP($A123,Kc_Info!$A$4:$V$155,12,FALSE))</f>
        <v/>
      </c>
      <c r="M123" s="94" t="str">
        <f>IF(ISNA(VLOOKUP($A123,Kc_Info!$A$4:$V$155,13,FALSE)),"",VLOOKUP($A123,Kc_Info!$A$4:$V$155,13,FALSE))</f>
        <v/>
      </c>
      <c r="N123" s="94" t="str">
        <f>IF(ISNA(VLOOKUP($A123,Kc_Info!$A$4:$V$155,14,FALSE)),"",VLOOKUP($A123,Kc_Info!$A$4:$V$155,14,FALSE))</f>
        <v/>
      </c>
      <c r="O123" s="100" t="str">
        <f>IF(ISNA(VLOOKUP($A123,Kc_Info!$A$4:$V$155,15,FALSE)),"",VLOOKUP($A123,Kc_Info!$A$4:$V$155,15,FALSE))</f>
        <v/>
      </c>
      <c r="P123" s="100" t="str">
        <f>IF(ISNA(VLOOKUP($A123,Kc_Info!$A$4:$V$155,16,FALSE)),"",VLOOKUP($A123,Kc_Info!$A$4:$V$155,16,FALSE))</f>
        <v/>
      </c>
      <c r="Q123" s="100" t="str">
        <f>IF(ISNA(VLOOKUP($A123,Kc_Info!$A$4:$V$155,17,FALSE)),"",VLOOKUP($A123,Kc_Info!$A$4:$V$155,17,FALSE))</f>
        <v/>
      </c>
      <c r="R123" s="100" t="str">
        <f>IF(ISNA(VLOOKUP($A123,Kc_Info!$A$4:$V$155,18,FALSE)),"",VLOOKUP($A123,Kc_Info!$A$4:$V$155,18,FALSE))</f>
        <v/>
      </c>
      <c r="S123" s="100" t="str">
        <f>IF(ISNA(VLOOKUP($A123,Kc_Info!$A$4:$V$155,19,FALSE)),"",VLOOKUP($A123,Kc_Info!$A$4:$V$155,19,FALSE))</f>
        <v/>
      </c>
      <c r="T123" s="94" t="str">
        <f>IF(ISNA(VLOOKUP($A123,Kc_Info!$A$4:$V$155,20,FALSE)),"",VLOOKUP($A123,Kc_Info!$A$4:$V$155,20,FALSE))</f>
        <v/>
      </c>
      <c r="U123" s="94" t="str">
        <f>IF(ISNA(VLOOKUP($A123,Kc_Info!$A$4:$V$155,21,FALSE)),"",VLOOKUP($A123,Kc_Info!$A$4:$V$155,21,FALSE))</f>
        <v/>
      </c>
      <c r="V123" s="94" t="str">
        <f>IF(ISNA(VLOOKUP($A123,Kc_Info!$A$4:$V$155,22,FALSE)),"",VLOOKUP($A123,Kc_Info!$A$4:$V$155,22,FALSE))</f>
        <v/>
      </c>
    </row>
    <row r="124" spans="1:22">
      <c r="A124" s="92"/>
      <c r="B124" s="93" t="str">
        <f>IF(ISNA(VLOOKUP($A124,Kc_Info!$A$4:$V$155,2,FALSE)),"",VLOOKUP($A124,Kc_Info!$A$4:$V$155,2,FALSE))</f>
        <v/>
      </c>
      <c r="C124" s="94" t="str">
        <f>IF(ISNA(VLOOKUP($A124,Kc_Info!$A$4:$V$155,3,FALSE)),"",VLOOKUP($A124,Kc_Info!$A$4:$V$155,3,FALSE))</f>
        <v/>
      </c>
      <c r="D124" s="94" t="str">
        <f>IF(ISNA(VLOOKUP($A124,Kc_Info!$A$4:$V$155,4,FALSE)),"",VLOOKUP($A124,Kc_Info!$A$4:$V$155,4,FALSE))</f>
        <v/>
      </c>
      <c r="E124" s="94" t="str">
        <f>IF(ISNA(VLOOKUP($A124,Kc_Info!$A$4:$V$155,5,FALSE)),"",VLOOKUP($A124,Kc_Info!$A$4:$V$155,5,FALSE))</f>
        <v/>
      </c>
      <c r="F124" s="94" t="str">
        <f>IF(ISNA(VLOOKUP($A124,Kc_Info!$A$4:$V$155,6,FALSE)),"",VLOOKUP($A124,Kc_Info!$A$4:$V$155,6,FALSE))</f>
        <v/>
      </c>
      <c r="G124" s="101" t="str">
        <f>IF(ISNA(VLOOKUP($A124,Kc_Info!$A$4:$V$155,7,FALSE)),"",VLOOKUP($A124,Kc_Info!$A$4:$V$155,7,FALSE))</f>
        <v/>
      </c>
      <c r="H124" s="101" t="str">
        <f>IF(ISNA(VLOOKUP($A124,Kc_Info!$A$4:$V$155,8,FALSE)),"",VLOOKUP($A124,Kc_Info!$A$4:$V$155,8,FALSE))</f>
        <v/>
      </c>
      <c r="I124" s="101" t="str">
        <f>IF(ISNA(VLOOKUP($A124,Kc_Info!$A$4:$V$155,9,FALSE)),"",VLOOKUP($A124,Kc_Info!$A$4:$V$155,9,FALSE))</f>
        <v/>
      </c>
      <c r="J124" s="101" t="str">
        <f>IF(ISNA(VLOOKUP($A124,Kc_Info!$A$4:$V$155,10,FALSE)),"",VLOOKUP($A124,Kc_Info!$A$4:$V$155,10,FALSE))</f>
        <v/>
      </c>
      <c r="K124" s="94" t="str">
        <f>IF(ISNA(VLOOKUP($A124,Kc_Info!$A$4:$V$155,11,FALSE)),"",VLOOKUP($A124,Kc_Info!$A$4:$V$155,11,FALSE))</f>
        <v/>
      </c>
      <c r="L124" s="94" t="str">
        <f>IF(ISNA(VLOOKUP($A124,Kc_Info!$A$4:$V$155,12,FALSE)),"",VLOOKUP($A124,Kc_Info!$A$4:$V$155,12,FALSE))</f>
        <v/>
      </c>
      <c r="M124" s="94" t="str">
        <f>IF(ISNA(VLOOKUP($A124,Kc_Info!$A$4:$V$155,13,FALSE)),"",VLOOKUP($A124,Kc_Info!$A$4:$V$155,13,FALSE))</f>
        <v/>
      </c>
      <c r="N124" s="94" t="str">
        <f>IF(ISNA(VLOOKUP($A124,Kc_Info!$A$4:$V$155,14,FALSE)),"",VLOOKUP($A124,Kc_Info!$A$4:$V$155,14,FALSE))</f>
        <v/>
      </c>
      <c r="O124" s="100" t="str">
        <f>IF(ISNA(VLOOKUP($A124,Kc_Info!$A$4:$V$155,15,FALSE)),"",VLOOKUP($A124,Kc_Info!$A$4:$V$155,15,FALSE))</f>
        <v/>
      </c>
      <c r="P124" s="100" t="str">
        <f>IF(ISNA(VLOOKUP($A124,Kc_Info!$A$4:$V$155,16,FALSE)),"",VLOOKUP($A124,Kc_Info!$A$4:$V$155,16,FALSE))</f>
        <v/>
      </c>
      <c r="Q124" s="100" t="str">
        <f>IF(ISNA(VLOOKUP($A124,Kc_Info!$A$4:$V$155,17,FALSE)),"",VLOOKUP($A124,Kc_Info!$A$4:$V$155,17,FALSE))</f>
        <v/>
      </c>
      <c r="R124" s="100" t="str">
        <f>IF(ISNA(VLOOKUP($A124,Kc_Info!$A$4:$V$155,18,FALSE)),"",VLOOKUP($A124,Kc_Info!$A$4:$V$155,18,FALSE))</f>
        <v/>
      </c>
      <c r="S124" s="100" t="str">
        <f>IF(ISNA(VLOOKUP($A124,Kc_Info!$A$4:$V$155,19,FALSE)),"",VLOOKUP($A124,Kc_Info!$A$4:$V$155,19,FALSE))</f>
        <v/>
      </c>
      <c r="T124" s="94" t="str">
        <f>IF(ISNA(VLOOKUP($A124,Kc_Info!$A$4:$V$155,20,FALSE)),"",VLOOKUP($A124,Kc_Info!$A$4:$V$155,20,FALSE))</f>
        <v/>
      </c>
      <c r="U124" s="94" t="str">
        <f>IF(ISNA(VLOOKUP($A124,Kc_Info!$A$4:$V$155,21,FALSE)),"",VLOOKUP($A124,Kc_Info!$A$4:$V$155,21,FALSE))</f>
        <v/>
      </c>
      <c r="V124" s="94" t="str">
        <f>IF(ISNA(VLOOKUP($A124,Kc_Info!$A$4:$V$155,22,FALSE)),"",VLOOKUP($A124,Kc_Info!$A$4:$V$155,22,FALSE))</f>
        <v/>
      </c>
    </row>
    <row r="125" spans="1:22">
      <c r="A125" s="92"/>
      <c r="B125" s="93" t="str">
        <f>IF(ISNA(VLOOKUP($A125,Kc_Info!$A$4:$V$155,2,FALSE)),"",VLOOKUP($A125,Kc_Info!$A$4:$V$155,2,FALSE))</f>
        <v/>
      </c>
      <c r="C125" s="94" t="str">
        <f>IF(ISNA(VLOOKUP($A125,Kc_Info!$A$4:$V$155,3,FALSE)),"",VLOOKUP($A125,Kc_Info!$A$4:$V$155,3,FALSE))</f>
        <v/>
      </c>
      <c r="D125" s="94" t="str">
        <f>IF(ISNA(VLOOKUP($A125,Kc_Info!$A$4:$V$155,4,FALSE)),"",VLOOKUP($A125,Kc_Info!$A$4:$V$155,4,FALSE))</f>
        <v/>
      </c>
      <c r="E125" s="94" t="str">
        <f>IF(ISNA(VLOOKUP($A125,Kc_Info!$A$4:$V$155,5,FALSE)),"",VLOOKUP($A125,Kc_Info!$A$4:$V$155,5,FALSE))</f>
        <v/>
      </c>
      <c r="F125" s="94" t="str">
        <f>IF(ISNA(VLOOKUP($A125,Kc_Info!$A$4:$V$155,6,FALSE)),"",VLOOKUP($A125,Kc_Info!$A$4:$V$155,6,FALSE))</f>
        <v/>
      </c>
      <c r="G125" s="101" t="str">
        <f>IF(ISNA(VLOOKUP($A125,Kc_Info!$A$4:$V$155,7,FALSE)),"",VLOOKUP($A125,Kc_Info!$A$4:$V$155,7,FALSE))</f>
        <v/>
      </c>
      <c r="H125" s="101" t="str">
        <f>IF(ISNA(VLOOKUP($A125,Kc_Info!$A$4:$V$155,8,FALSE)),"",VLOOKUP($A125,Kc_Info!$A$4:$V$155,8,FALSE))</f>
        <v/>
      </c>
      <c r="I125" s="101" t="str">
        <f>IF(ISNA(VLOOKUP($A125,Kc_Info!$A$4:$V$155,9,FALSE)),"",VLOOKUP($A125,Kc_Info!$A$4:$V$155,9,FALSE))</f>
        <v/>
      </c>
      <c r="J125" s="101" t="str">
        <f>IF(ISNA(VLOOKUP($A125,Kc_Info!$A$4:$V$155,10,FALSE)),"",VLOOKUP($A125,Kc_Info!$A$4:$V$155,10,FALSE))</f>
        <v/>
      </c>
      <c r="K125" s="94" t="str">
        <f>IF(ISNA(VLOOKUP($A125,Kc_Info!$A$4:$V$155,11,FALSE)),"",VLOOKUP($A125,Kc_Info!$A$4:$V$155,11,FALSE))</f>
        <v/>
      </c>
      <c r="L125" s="94" t="str">
        <f>IF(ISNA(VLOOKUP($A125,Kc_Info!$A$4:$V$155,12,FALSE)),"",VLOOKUP($A125,Kc_Info!$A$4:$V$155,12,FALSE))</f>
        <v/>
      </c>
      <c r="M125" s="94" t="str">
        <f>IF(ISNA(VLOOKUP($A125,Kc_Info!$A$4:$V$155,13,FALSE)),"",VLOOKUP($A125,Kc_Info!$A$4:$V$155,13,FALSE))</f>
        <v/>
      </c>
      <c r="N125" s="94" t="str">
        <f>IF(ISNA(VLOOKUP($A125,Kc_Info!$A$4:$V$155,14,FALSE)),"",VLOOKUP($A125,Kc_Info!$A$4:$V$155,14,FALSE))</f>
        <v/>
      </c>
      <c r="O125" s="100" t="str">
        <f>IF(ISNA(VLOOKUP($A125,Kc_Info!$A$4:$V$155,15,FALSE)),"",VLOOKUP($A125,Kc_Info!$A$4:$V$155,15,FALSE))</f>
        <v/>
      </c>
      <c r="P125" s="100" t="str">
        <f>IF(ISNA(VLOOKUP($A125,Kc_Info!$A$4:$V$155,16,FALSE)),"",VLOOKUP($A125,Kc_Info!$A$4:$V$155,16,FALSE))</f>
        <v/>
      </c>
      <c r="Q125" s="100" t="str">
        <f>IF(ISNA(VLOOKUP($A125,Kc_Info!$A$4:$V$155,17,FALSE)),"",VLOOKUP($A125,Kc_Info!$A$4:$V$155,17,FALSE))</f>
        <v/>
      </c>
      <c r="R125" s="100" t="str">
        <f>IF(ISNA(VLOOKUP($A125,Kc_Info!$A$4:$V$155,18,FALSE)),"",VLOOKUP($A125,Kc_Info!$A$4:$V$155,18,FALSE))</f>
        <v/>
      </c>
      <c r="S125" s="100" t="str">
        <f>IF(ISNA(VLOOKUP($A125,Kc_Info!$A$4:$V$155,19,FALSE)),"",VLOOKUP($A125,Kc_Info!$A$4:$V$155,19,FALSE))</f>
        <v/>
      </c>
      <c r="T125" s="94" t="str">
        <f>IF(ISNA(VLOOKUP($A125,Kc_Info!$A$4:$V$155,20,FALSE)),"",VLOOKUP($A125,Kc_Info!$A$4:$V$155,20,FALSE))</f>
        <v/>
      </c>
      <c r="U125" s="94" t="str">
        <f>IF(ISNA(VLOOKUP($A125,Kc_Info!$A$4:$V$155,21,FALSE)),"",VLOOKUP($A125,Kc_Info!$A$4:$V$155,21,FALSE))</f>
        <v/>
      </c>
      <c r="V125" s="94" t="str">
        <f>IF(ISNA(VLOOKUP($A125,Kc_Info!$A$4:$V$155,22,FALSE)),"",VLOOKUP($A125,Kc_Info!$A$4:$V$155,22,FALSE))</f>
        <v/>
      </c>
    </row>
    <row r="126" spans="1:22">
      <c r="A126" s="92"/>
      <c r="B126" s="93" t="str">
        <f>IF(ISNA(VLOOKUP($A126,Kc_Info!$A$4:$V$155,2,FALSE)),"",VLOOKUP($A126,Kc_Info!$A$4:$V$155,2,FALSE))</f>
        <v/>
      </c>
      <c r="C126" s="94" t="str">
        <f>IF(ISNA(VLOOKUP($A126,Kc_Info!$A$4:$V$155,3,FALSE)),"",VLOOKUP($A126,Kc_Info!$A$4:$V$155,3,FALSE))</f>
        <v/>
      </c>
      <c r="D126" s="94" t="str">
        <f>IF(ISNA(VLOOKUP($A126,Kc_Info!$A$4:$V$155,4,FALSE)),"",VLOOKUP($A126,Kc_Info!$A$4:$V$155,4,FALSE))</f>
        <v/>
      </c>
      <c r="E126" s="94" t="str">
        <f>IF(ISNA(VLOOKUP($A126,Kc_Info!$A$4:$V$155,5,FALSE)),"",VLOOKUP($A126,Kc_Info!$A$4:$V$155,5,FALSE))</f>
        <v/>
      </c>
      <c r="F126" s="94" t="str">
        <f>IF(ISNA(VLOOKUP($A126,Kc_Info!$A$4:$V$155,6,FALSE)),"",VLOOKUP($A126,Kc_Info!$A$4:$V$155,6,FALSE))</f>
        <v/>
      </c>
      <c r="G126" s="101" t="str">
        <f>IF(ISNA(VLOOKUP($A126,Kc_Info!$A$4:$V$155,7,FALSE)),"",VLOOKUP($A126,Kc_Info!$A$4:$V$155,7,FALSE))</f>
        <v/>
      </c>
      <c r="H126" s="101" t="str">
        <f>IF(ISNA(VLOOKUP($A126,Kc_Info!$A$4:$V$155,8,FALSE)),"",VLOOKUP($A126,Kc_Info!$A$4:$V$155,8,FALSE))</f>
        <v/>
      </c>
      <c r="I126" s="101" t="str">
        <f>IF(ISNA(VLOOKUP($A126,Kc_Info!$A$4:$V$155,9,FALSE)),"",VLOOKUP($A126,Kc_Info!$A$4:$V$155,9,FALSE))</f>
        <v/>
      </c>
      <c r="J126" s="101" t="str">
        <f>IF(ISNA(VLOOKUP($A126,Kc_Info!$A$4:$V$155,10,FALSE)),"",VLOOKUP($A126,Kc_Info!$A$4:$V$155,10,FALSE))</f>
        <v/>
      </c>
      <c r="K126" s="94" t="str">
        <f>IF(ISNA(VLOOKUP($A126,Kc_Info!$A$4:$V$155,11,FALSE)),"",VLOOKUP($A126,Kc_Info!$A$4:$V$155,11,FALSE))</f>
        <v/>
      </c>
      <c r="L126" s="94" t="str">
        <f>IF(ISNA(VLOOKUP($A126,Kc_Info!$A$4:$V$155,12,FALSE)),"",VLOOKUP($A126,Kc_Info!$A$4:$V$155,12,FALSE))</f>
        <v/>
      </c>
      <c r="M126" s="94" t="str">
        <f>IF(ISNA(VLOOKUP($A126,Kc_Info!$A$4:$V$155,13,FALSE)),"",VLOOKUP($A126,Kc_Info!$A$4:$V$155,13,FALSE))</f>
        <v/>
      </c>
      <c r="N126" s="94" t="str">
        <f>IF(ISNA(VLOOKUP($A126,Kc_Info!$A$4:$V$155,14,FALSE)),"",VLOOKUP($A126,Kc_Info!$A$4:$V$155,14,FALSE))</f>
        <v/>
      </c>
      <c r="O126" s="100" t="str">
        <f>IF(ISNA(VLOOKUP($A126,Kc_Info!$A$4:$V$155,15,FALSE)),"",VLOOKUP($A126,Kc_Info!$A$4:$V$155,15,FALSE))</f>
        <v/>
      </c>
      <c r="P126" s="100" t="str">
        <f>IF(ISNA(VLOOKUP($A126,Kc_Info!$A$4:$V$155,16,FALSE)),"",VLOOKUP($A126,Kc_Info!$A$4:$V$155,16,FALSE))</f>
        <v/>
      </c>
      <c r="Q126" s="100" t="str">
        <f>IF(ISNA(VLOOKUP($A126,Kc_Info!$A$4:$V$155,17,FALSE)),"",VLOOKUP($A126,Kc_Info!$A$4:$V$155,17,FALSE))</f>
        <v/>
      </c>
      <c r="R126" s="100" t="str">
        <f>IF(ISNA(VLOOKUP($A126,Kc_Info!$A$4:$V$155,18,FALSE)),"",VLOOKUP($A126,Kc_Info!$A$4:$V$155,18,FALSE))</f>
        <v/>
      </c>
      <c r="S126" s="100" t="str">
        <f>IF(ISNA(VLOOKUP($A126,Kc_Info!$A$4:$V$155,19,FALSE)),"",VLOOKUP($A126,Kc_Info!$A$4:$V$155,19,FALSE))</f>
        <v/>
      </c>
      <c r="T126" s="94" t="str">
        <f>IF(ISNA(VLOOKUP($A126,Kc_Info!$A$4:$V$155,20,FALSE)),"",VLOOKUP($A126,Kc_Info!$A$4:$V$155,20,FALSE))</f>
        <v/>
      </c>
      <c r="U126" s="94" t="str">
        <f>IF(ISNA(VLOOKUP($A126,Kc_Info!$A$4:$V$155,21,FALSE)),"",VLOOKUP($A126,Kc_Info!$A$4:$V$155,21,FALSE))</f>
        <v/>
      </c>
      <c r="V126" s="94" t="str">
        <f>IF(ISNA(VLOOKUP($A126,Kc_Info!$A$4:$V$155,22,FALSE)),"",VLOOKUP($A126,Kc_Info!$A$4:$V$155,22,FALSE))</f>
        <v/>
      </c>
    </row>
    <row r="127" spans="1:22">
      <c r="A127" s="92"/>
      <c r="B127" s="93" t="str">
        <f>IF(ISNA(VLOOKUP($A127,Kc_Info!$A$4:$V$155,2,FALSE)),"",VLOOKUP($A127,Kc_Info!$A$4:$V$155,2,FALSE))</f>
        <v/>
      </c>
      <c r="C127" s="94" t="str">
        <f>IF(ISNA(VLOOKUP($A127,Kc_Info!$A$4:$V$155,3,FALSE)),"",VLOOKUP($A127,Kc_Info!$A$4:$V$155,3,FALSE))</f>
        <v/>
      </c>
      <c r="D127" s="94" t="str">
        <f>IF(ISNA(VLOOKUP($A127,Kc_Info!$A$4:$V$155,4,FALSE)),"",VLOOKUP($A127,Kc_Info!$A$4:$V$155,4,FALSE))</f>
        <v/>
      </c>
      <c r="E127" s="94" t="str">
        <f>IF(ISNA(VLOOKUP($A127,Kc_Info!$A$4:$V$155,5,FALSE)),"",VLOOKUP($A127,Kc_Info!$A$4:$V$155,5,FALSE))</f>
        <v/>
      </c>
      <c r="F127" s="94" t="str">
        <f>IF(ISNA(VLOOKUP($A127,Kc_Info!$A$4:$V$155,6,FALSE)),"",VLOOKUP($A127,Kc_Info!$A$4:$V$155,6,FALSE))</f>
        <v/>
      </c>
      <c r="G127" s="101" t="str">
        <f>IF(ISNA(VLOOKUP($A127,Kc_Info!$A$4:$V$155,7,FALSE)),"",VLOOKUP($A127,Kc_Info!$A$4:$V$155,7,FALSE))</f>
        <v/>
      </c>
      <c r="H127" s="101" t="str">
        <f>IF(ISNA(VLOOKUP($A127,Kc_Info!$A$4:$V$155,8,FALSE)),"",VLOOKUP($A127,Kc_Info!$A$4:$V$155,8,FALSE))</f>
        <v/>
      </c>
      <c r="I127" s="101" t="str">
        <f>IF(ISNA(VLOOKUP($A127,Kc_Info!$A$4:$V$155,9,FALSE)),"",VLOOKUP($A127,Kc_Info!$A$4:$V$155,9,FALSE))</f>
        <v/>
      </c>
      <c r="J127" s="101" t="str">
        <f>IF(ISNA(VLOOKUP($A127,Kc_Info!$A$4:$V$155,10,FALSE)),"",VLOOKUP($A127,Kc_Info!$A$4:$V$155,10,FALSE))</f>
        <v/>
      </c>
      <c r="K127" s="94" t="str">
        <f>IF(ISNA(VLOOKUP($A127,Kc_Info!$A$4:$V$155,11,FALSE)),"",VLOOKUP($A127,Kc_Info!$A$4:$V$155,11,FALSE))</f>
        <v/>
      </c>
      <c r="L127" s="94" t="str">
        <f>IF(ISNA(VLOOKUP($A127,Kc_Info!$A$4:$V$155,12,FALSE)),"",VLOOKUP($A127,Kc_Info!$A$4:$V$155,12,FALSE))</f>
        <v/>
      </c>
      <c r="M127" s="94" t="str">
        <f>IF(ISNA(VLOOKUP($A127,Kc_Info!$A$4:$V$155,13,FALSE)),"",VLOOKUP($A127,Kc_Info!$A$4:$V$155,13,FALSE))</f>
        <v/>
      </c>
      <c r="N127" s="94" t="str">
        <f>IF(ISNA(VLOOKUP($A127,Kc_Info!$A$4:$V$155,14,FALSE)),"",VLOOKUP($A127,Kc_Info!$A$4:$V$155,14,FALSE))</f>
        <v/>
      </c>
      <c r="O127" s="100" t="str">
        <f>IF(ISNA(VLOOKUP($A127,Kc_Info!$A$4:$V$155,15,FALSE)),"",VLOOKUP($A127,Kc_Info!$A$4:$V$155,15,FALSE))</f>
        <v/>
      </c>
      <c r="P127" s="100" t="str">
        <f>IF(ISNA(VLOOKUP($A127,Kc_Info!$A$4:$V$155,16,FALSE)),"",VLOOKUP($A127,Kc_Info!$A$4:$V$155,16,FALSE))</f>
        <v/>
      </c>
      <c r="Q127" s="100" t="str">
        <f>IF(ISNA(VLOOKUP($A127,Kc_Info!$A$4:$V$155,17,FALSE)),"",VLOOKUP($A127,Kc_Info!$A$4:$V$155,17,FALSE))</f>
        <v/>
      </c>
      <c r="R127" s="100" t="str">
        <f>IF(ISNA(VLOOKUP($A127,Kc_Info!$A$4:$V$155,18,FALSE)),"",VLOOKUP($A127,Kc_Info!$A$4:$V$155,18,FALSE))</f>
        <v/>
      </c>
      <c r="S127" s="100" t="str">
        <f>IF(ISNA(VLOOKUP($A127,Kc_Info!$A$4:$V$155,19,FALSE)),"",VLOOKUP($A127,Kc_Info!$A$4:$V$155,19,FALSE))</f>
        <v/>
      </c>
      <c r="T127" s="94" t="str">
        <f>IF(ISNA(VLOOKUP($A127,Kc_Info!$A$4:$V$155,20,FALSE)),"",VLOOKUP($A127,Kc_Info!$A$4:$V$155,20,FALSE))</f>
        <v/>
      </c>
      <c r="U127" s="94" t="str">
        <f>IF(ISNA(VLOOKUP($A127,Kc_Info!$A$4:$V$155,21,FALSE)),"",VLOOKUP($A127,Kc_Info!$A$4:$V$155,21,FALSE))</f>
        <v/>
      </c>
      <c r="V127" s="94" t="str">
        <f>IF(ISNA(VLOOKUP($A127,Kc_Info!$A$4:$V$155,22,FALSE)),"",VLOOKUP($A127,Kc_Info!$A$4:$V$155,22,FALSE))</f>
        <v/>
      </c>
    </row>
    <row r="128" spans="1:22">
      <c r="A128" s="92"/>
      <c r="B128" s="93" t="str">
        <f>IF(ISNA(VLOOKUP($A128,Kc_Info!$A$4:$V$155,2,FALSE)),"",VLOOKUP($A128,Kc_Info!$A$4:$V$155,2,FALSE))</f>
        <v/>
      </c>
      <c r="C128" s="94" t="str">
        <f>IF(ISNA(VLOOKUP($A128,Kc_Info!$A$4:$V$155,3,FALSE)),"",VLOOKUP($A128,Kc_Info!$A$4:$V$155,3,FALSE))</f>
        <v/>
      </c>
      <c r="D128" s="94" t="str">
        <f>IF(ISNA(VLOOKUP($A128,Kc_Info!$A$4:$V$155,4,FALSE)),"",VLOOKUP($A128,Kc_Info!$A$4:$V$155,4,FALSE))</f>
        <v/>
      </c>
      <c r="E128" s="94" t="str">
        <f>IF(ISNA(VLOOKUP($A128,Kc_Info!$A$4:$V$155,5,FALSE)),"",VLOOKUP($A128,Kc_Info!$A$4:$V$155,5,FALSE))</f>
        <v/>
      </c>
      <c r="F128" s="94" t="str">
        <f>IF(ISNA(VLOOKUP($A128,Kc_Info!$A$4:$V$155,6,FALSE)),"",VLOOKUP($A128,Kc_Info!$A$4:$V$155,6,FALSE))</f>
        <v/>
      </c>
      <c r="G128" s="101" t="str">
        <f>IF(ISNA(VLOOKUP($A128,Kc_Info!$A$4:$V$155,7,FALSE)),"",VLOOKUP($A128,Kc_Info!$A$4:$V$155,7,FALSE))</f>
        <v/>
      </c>
      <c r="H128" s="101" t="str">
        <f>IF(ISNA(VLOOKUP($A128,Kc_Info!$A$4:$V$155,8,FALSE)),"",VLOOKUP($A128,Kc_Info!$A$4:$V$155,8,FALSE))</f>
        <v/>
      </c>
      <c r="I128" s="101" t="str">
        <f>IF(ISNA(VLOOKUP($A128,Kc_Info!$A$4:$V$155,9,FALSE)),"",VLOOKUP($A128,Kc_Info!$A$4:$V$155,9,FALSE))</f>
        <v/>
      </c>
      <c r="J128" s="101" t="str">
        <f>IF(ISNA(VLOOKUP($A128,Kc_Info!$A$4:$V$155,10,FALSE)),"",VLOOKUP($A128,Kc_Info!$A$4:$V$155,10,FALSE))</f>
        <v/>
      </c>
      <c r="K128" s="94" t="str">
        <f>IF(ISNA(VLOOKUP($A128,Kc_Info!$A$4:$V$155,11,FALSE)),"",VLOOKUP($A128,Kc_Info!$A$4:$V$155,11,FALSE))</f>
        <v/>
      </c>
      <c r="L128" s="94" t="str">
        <f>IF(ISNA(VLOOKUP($A128,Kc_Info!$A$4:$V$155,12,FALSE)),"",VLOOKUP($A128,Kc_Info!$A$4:$V$155,12,FALSE))</f>
        <v/>
      </c>
      <c r="M128" s="94" t="str">
        <f>IF(ISNA(VLOOKUP($A128,Kc_Info!$A$4:$V$155,13,FALSE)),"",VLOOKUP($A128,Kc_Info!$A$4:$V$155,13,FALSE))</f>
        <v/>
      </c>
      <c r="N128" s="94" t="str">
        <f>IF(ISNA(VLOOKUP($A128,Kc_Info!$A$4:$V$155,14,FALSE)),"",VLOOKUP($A128,Kc_Info!$A$4:$V$155,14,FALSE))</f>
        <v/>
      </c>
      <c r="O128" s="100" t="str">
        <f>IF(ISNA(VLOOKUP($A128,Kc_Info!$A$4:$V$155,15,FALSE)),"",VLOOKUP($A128,Kc_Info!$A$4:$V$155,15,FALSE))</f>
        <v/>
      </c>
      <c r="P128" s="100" t="str">
        <f>IF(ISNA(VLOOKUP($A128,Kc_Info!$A$4:$V$155,16,FALSE)),"",VLOOKUP($A128,Kc_Info!$A$4:$V$155,16,FALSE))</f>
        <v/>
      </c>
      <c r="Q128" s="100" t="str">
        <f>IF(ISNA(VLOOKUP($A128,Kc_Info!$A$4:$V$155,17,FALSE)),"",VLOOKUP($A128,Kc_Info!$A$4:$V$155,17,FALSE))</f>
        <v/>
      </c>
      <c r="R128" s="100" t="str">
        <f>IF(ISNA(VLOOKUP($A128,Kc_Info!$A$4:$V$155,18,FALSE)),"",VLOOKUP($A128,Kc_Info!$A$4:$V$155,18,FALSE))</f>
        <v/>
      </c>
      <c r="S128" s="100" t="str">
        <f>IF(ISNA(VLOOKUP($A128,Kc_Info!$A$4:$V$155,19,FALSE)),"",VLOOKUP($A128,Kc_Info!$A$4:$V$155,19,FALSE))</f>
        <v/>
      </c>
      <c r="T128" s="94" t="str">
        <f>IF(ISNA(VLOOKUP($A128,Kc_Info!$A$4:$V$155,20,FALSE)),"",VLOOKUP($A128,Kc_Info!$A$4:$V$155,20,FALSE))</f>
        <v/>
      </c>
      <c r="U128" s="94" t="str">
        <f>IF(ISNA(VLOOKUP($A128,Kc_Info!$A$4:$V$155,21,FALSE)),"",VLOOKUP($A128,Kc_Info!$A$4:$V$155,21,FALSE))</f>
        <v/>
      </c>
      <c r="V128" s="94" t="str">
        <f>IF(ISNA(VLOOKUP($A128,Kc_Info!$A$4:$V$155,22,FALSE)),"",VLOOKUP($A128,Kc_Info!$A$4:$V$155,22,FALSE))</f>
        <v/>
      </c>
    </row>
    <row r="129" spans="1:22">
      <c r="A129" s="92"/>
      <c r="B129" s="93" t="str">
        <f>IF(ISNA(VLOOKUP($A129,Kc_Info!$A$4:$V$155,2,FALSE)),"",VLOOKUP($A129,Kc_Info!$A$4:$V$155,2,FALSE))</f>
        <v/>
      </c>
      <c r="C129" s="94" t="str">
        <f>IF(ISNA(VLOOKUP($A129,Kc_Info!$A$4:$V$155,3,FALSE)),"",VLOOKUP($A129,Kc_Info!$A$4:$V$155,3,FALSE))</f>
        <v/>
      </c>
      <c r="D129" s="94" t="str">
        <f>IF(ISNA(VLOOKUP($A129,Kc_Info!$A$4:$V$155,4,FALSE)),"",VLOOKUP($A129,Kc_Info!$A$4:$V$155,4,FALSE))</f>
        <v/>
      </c>
      <c r="E129" s="94" t="str">
        <f>IF(ISNA(VLOOKUP($A129,Kc_Info!$A$4:$V$155,5,FALSE)),"",VLOOKUP($A129,Kc_Info!$A$4:$V$155,5,FALSE))</f>
        <v/>
      </c>
      <c r="F129" s="94" t="str">
        <f>IF(ISNA(VLOOKUP($A129,Kc_Info!$A$4:$V$155,6,FALSE)),"",VLOOKUP($A129,Kc_Info!$A$4:$V$155,6,FALSE))</f>
        <v/>
      </c>
      <c r="G129" s="101" t="str">
        <f>IF(ISNA(VLOOKUP($A129,Kc_Info!$A$4:$V$155,7,FALSE)),"",VLOOKUP($A129,Kc_Info!$A$4:$V$155,7,FALSE))</f>
        <v/>
      </c>
      <c r="H129" s="101" t="str">
        <f>IF(ISNA(VLOOKUP($A129,Kc_Info!$A$4:$V$155,8,FALSE)),"",VLOOKUP($A129,Kc_Info!$A$4:$V$155,8,FALSE))</f>
        <v/>
      </c>
      <c r="I129" s="101" t="str">
        <f>IF(ISNA(VLOOKUP($A129,Kc_Info!$A$4:$V$155,9,FALSE)),"",VLOOKUP($A129,Kc_Info!$A$4:$V$155,9,FALSE))</f>
        <v/>
      </c>
      <c r="J129" s="101" t="str">
        <f>IF(ISNA(VLOOKUP($A129,Kc_Info!$A$4:$V$155,10,FALSE)),"",VLOOKUP($A129,Kc_Info!$A$4:$V$155,10,FALSE))</f>
        <v/>
      </c>
      <c r="K129" s="94" t="str">
        <f>IF(ISNA(VLOOKUP($A129,Kc_Info!$A$4:$V$155,11,FALSE)),"",VLOOKUP($A129,Kc_Info!$A$4:$V$155,11,FALSE))</f>
        <v/>
      </c>
      <c r="L129" s="94" t="str">
        <f>IF(ISNA(VLOOKUP($A129,Kc_Info!$A$4:$V$155,12,FALSE)),"",VLOOKUP($A129,Kc_Info!$A$4:$V$155,12,FALSE))</f>
        <v/>
      </c>
      <c r="M129" s="94" t="str">
        <f>IF(ISNA(VLOOKUP($A129,Kc_Info!$A$4:$V$155,13,FALSE)),"",VLOOKUP($A129,Kc_Info!$A$4:$V$155,13,FALSE))</f>
        <v/>
      </c>
      <c r="N129" s="94" t="str">
        <f>IF(ISNA(VLOOKUP($A129,Kc_Info!$A$4:$V$155,14,FALSE)),"",VLOOKUP($A129,Kc_Info!$A$4:$V$155,14,FALSE))</f>
        <v/>
      </c>
      <c r="O129" s="100" t="str">
        <f>IF(ISNA(VLOOKUP($A129,Kc_Info!$A$4:$V$155,15,FALSE)),"",VLOOKUP($A129,Kc_Info!$A$4:$V$155,15,FALSE))</f>
        <v/>
      </c>
      <c r="P129" s="100" t="str">
        <f>IF(ISNA(VLOOKUP($A129,Kc_Info!$A$4:$V$155,16,FALSE)),"",VLOOKUP($A129,Kc_Info!$A$4:$V$155,16,FALSE))</f>
        <v/>
      </c>
      <c r="Q129" s="100" t="str">
        <f>IF(ISNA(VLOOKUP($A129,Kc_Info!$A$4:$V$155,17,FALSE)),"",VLOOKUP($A129,Kc_Info!$A$4:$V$155,17,FALSE))</f>
        <v/>
      </c>
      <c r="R129" s="100" t="str">
        <f>IF(ISNA(VLOOKUP($A129,Kc_Info!$A$4:$V$155,18,FALSE)),"",VLOOKUP($A129,Kc_Info!$A$4:$V$155,18,FALSE))</f>
        <v/>
      </c>
      <c r="S129" s="100" t="str">
        <f>IF(ISNA(VLOOKUP($A129,Kc_Info!$A$4:$V$155,19,FALSE)),"",VLOOKUP($A129,Kc_Info!$A$4:$V$155,19,FALSE))</f>
        <v/>
      </c>
      <c r="T129" s="94" t="str">
        <f>IF(ISNA(VLOOKUP($A129,Kc_Info!$A$4:$V$155,20,FALSE)),"",VLOOKUP($A129,Kc_Info!$A$4:$V$155,20,FALSE))</f>
        <v/>
      </c>
      <c r="U129" s="94" t="str">
        <f>IF(ISNA(VLOOKUP($A129,Kc_Info!$A$4:$V$155,21,FALSE)),"",VLOOKUP($A129,Kc_Info!$A$4:$V$155,21,FALSE))</f>
        <v/>
      </c>
      <c r="V129" s="94" t="str">
        <f>IF(ISNA(VLOOKUP($A129,Kc_Info!$A$4:$V$155,22,FALSE)),"",VLOOKUP($A129,Kc_Info!$A$4:$V$155,22,FALSE))</f>
        <v/>
      </c>
    </row>
    <row r="130" spans="1:22">
      <c r="A130" s="92"/>
      <c r="B130" s="93" t="str">
        <f>IF(ISNA(VLOOKUP($A130,Kc_Info!$A$4:$V$155,2,FALSE)),"",VLOOKUP($A130,Kc_Info!$A$4:$V$155,2,FALSE))</f>
        <v/>
      </c>
      <c r="C130" s="94" t="str">
        <f>IF(ISNA(VLOOKUP($A130,Kc_Info!$A$4:$V$155,3,FALSE)),"",VLOOKUP($A130,Kc_Info!$A$4:$V$155,3,FALSE))</f>
        <v/>
      </c>
      <c r="D130" s="94" t="str">
        <f>IF(ISNA(VLOOKUP($A130,Kc_Info!$A$4:$V$155,4,FALSE)),"",VLOOKUP($A130,Kc_Info!$A$4:$V$155,4,FALSE))</f>
        <v/>
      </c>
      <c r="E130" s="94" t="str">
        <f>IF(ISNA(VLOOKUP($A130,Kc_Info!$A$4:$V$155,5,FALSE)),"",VLOOKUP($A130,Kc_Info!$A$4:$V$155,5,FALSE))</f>
        <v/>
      </c>
      <c r="F130" s="94" t="str">
        <f>IF(ISNA(VLOOKUP($A130,Kc_Info!$A$4:$V$155,6,FALSE)),"",VLOOKUP($A130,Kc_Info!$A$4:$V$155,6,FALSE))</f>
        <v/>
      </c>
      <c r="G130" s="101" t="str">
        <f>IF(ISNA(VLOOKUP($A130,Kc_Info!$A$4:$V$155,7,FALSE)),"",VLOOKUP($A130,Kc_Info!$A$4:$V$155,7,FALSE))</f>
        <v/>
      </c>
      <c r="H130" s="101" t="str">
        <f>IF(ISNA(VLOOKUP($A130,Kc_Info!$A$4:$V$155,8,FALSE)),"",VLOOKUP($A130,Kc_Info!$A$4:$V$155,8,FALSE))</f>
        <v/>
      </c>
      <c r="I130" s="101" t="str">
        <f>IF(ISNA(VLOOKUP($A130,Kc_Info!$A$4:$V$155,9,FALSE)),"",VLOOKUP($A130,Kc_Info!$A$4:$V$155,9,FALSE))</f>
        <v/>
      </c>
      <c r="J130" s="101" t="str">
        <f>IF(ISNA(VLOOKUP($A130,Kc_Info!$A$4:$V$155,10,FALSE)),"",VLOOKUP($A130,Kc_Info!$A$4:$V$155,10,FALSE))</f>
        <v/>
      </c>
      <c r="K130" s="94" t="str">
        <f>IF(ISNA(VLOOKUP($A130,Kc_Info!$A$4:$V$155,11,FALSE)),"",VLOOKUP($A130,Kc_Info!$A$4:$V$155,11,FALSE))</f>
        <v/>
      </c>
      <c r="L130" s="94" t="str">
        <f>IF(ISNA(VLOOKUP($A130,Kc_Info!$A$4:$V$155,12,FALSE)),"",VLOOKUP($A130,Kc_Info!$A$4:$V$155,12,FALSE))</f>
        <v/>
      </c>
      <c r="M130" s="94" t="str">
        <f>IF(ISNA(VLOOKUP($A130,Kc_Info!$A$4:$V$155,13,FALSE)),"",VLOOKUP($A130,Kc_Info!$A$4:$V$155,13,FALSE))</f>
        <v/>
      </c>
      <c r="N130" s="94" t="str">
        <f>IF(ISNA(VLOOKUP($A130,Kc_Info!$A$4:$V$155,14,FALSE)),"",VLOOKUP($A130,Kc_Info!$A$4:$V$155,14,FALSE))</f>
        <v/>
      </c>
      <c r="O130" s="100" t="str">
        <f>IF(ISNA(VLOOKUP($A130,Kc_Info!$A$4:$V$155,15,FALSE)),"",VLOOKUP($A130,Kc_Info!$A$4:$V$155,15,FALSE))</f>
        <v/>
      </c>
      <c r="P130" s="100" t="str">
        <f>IF(ISNA(VLOOKUP($A130,Kc_Info!$A$4:$V$155,16,FALSE)),"",VLOOKUP($A130,Kc_Info!$A$4:$V$155,16,FALSE))</f>
        <v/>
      </c>
      <c r="Q130" s="100" t="str">
        <f>IF(ISNA(VLOOKUP($A130,Kc_Info!$A$4:$V$155,17,FALSE)),"",VLOOKUP($A130,Kc_Info!$A$4:$V$155,17,FALSE))</f>
        <v/>
      </c>
      <c r="R130" s="100" t="str">
        <f>IF(ISNA(VLOOKUP($A130,Kc_Info!$A$4:$V$155,18,FALSE)),"",VLOOKUP($A130,Kc_Info!$A$4:$V$155,18,FALSE))</f>
        <v/>
      </c>
      <c r="S130" s="100" t="str">
        <f>IF(ISNA(VLOOKUP($A130,Kc_Info!$A$4:$V$155,19,FALSE)),"",VLOOKUP($A130,Kc_Info!$A$4:$V$155,19,FALSE))</f>
        <v/>
      </c>
      <c r="T130" s="94" t="str">
        <f>IF(ISNA(VLOOKUP($A130,Kc_Info!$A$4:$V$155,20,FALSE)),"",VLOOKUP($A130,Kc_Info!$A$4:$V$155,20,FALSE))</f>
        <v/>
      </c>
      <c r="U130" s="94" t="str">
        <f>IF(ISNA(VLOOKUP($A130,Kc_Info!$A$4:$V$155,21,FALSE)),"",VLOOKUP($A130,Kc_Info!$A$4:$V$155,21,FALSE))</f>
        <v/>
      </c>
      <c r="V130" s="94" t="str">
        <f>IF(ISNA(VLOOKUP($A130,Kc_Info!$A$4:$V$155,22,FALSE)),"",VLOOKUP($A130,Kc_Info!$A$4:$V$155,22,FALSE))</f>
        <v/>
      </c>
    </row>
    <row r="131" spans="1:22">
      <c r="A131" s="92"/>
      <c r="B131" s="93" t="str">
        <f>IF(ISNA(VLOOKUP($A131,Kc_Info!$A$4:$V$155,2,FALSE)),"",VLOOKUP($A131,Kc_Info!$A$4:$V$155,2,FALSE))</f>
        <v/>
      </c>
      <c r="C131" s="94" t="str">
        <f>IF(ISNA(VLOOKUP($A131,Kc_Info!$A$4:$V$155,3,FALSE)),"",VLOOKUP($A131,Kc_Info!$A$4:$V$155,3,FALSE))</f>
        <v/>
      </c>
      <c r="D131" s="94" t="str">
        <f>IF(ISNA(VLOOKUP($A131,Kc_Info!$A$4:$V$155,4,FALSE)),"",VLOOKUP($A131,Kc_Info!$A$4:$V$155,4,FALSE))</f>
        <v/>
      </c>
      <c r="E131" s="94" t="str">
        <f>IF(ISNA(VLOOKUP($A131,Kc_Info!$A$4:$V$155,5,FALSE)),"",VLOOKUP($A131,Kc_Info!$A$4:$V$155,5,FALSE))</f>
        <v/>
      </c>
      <c r="F131" s="94" t="str">
        <f>IF(ISNA(VLOOKUP($A131,Kc_Info!$A$4:$V$155,6,FALSE)),"",VLOOKUP($A131,Kc_Info!$A$4:$V$155,6,FALSE))</f>
        <v/>
      </c>
      <c r="G131" s="101" t="str">
        <f>IF(ISNA(VLOOKUP($A131,Kc_Info!$A$4:$V$155,7,FALSE)),"",VLOOKUP($A131,Kc_Info!$A$4:$V$155,7,FALSE))</f>
        <v/>
      </c>
      <c r="H131" s="101" t="str">
        <f>IF(ISNA(VLOOKUP($A131,Kc_Info!$A$4:$V$155,8,FALSE)),"",VLOOKUP($A131,Kc_Info!$A$4:$V$155,8,FALSE))</f>
        <v/>
      </c>
      <c r="I131" s="101" t="str">
        <f>IF(ISNA(VLOOKUP($A131,Kc_Info!$A$4:$V$155,9,FALSE)),"",VLOOKUP($A131,Kc_Info!$A$4:$V$155,9,FALSE))</f>
        <v/>
      </c>
      <c r="J131" s="101" t="str">
        <f>IF(ISNA(VLOOKUP($A131,Kc_Info!$A$4:$V$155,10,FALSE)),"",VLOOKUP($A131,Kc_Info!$A$4:$V$155,10,FALSE))</f>
        <v/>
      </c>
      <c r="K131" s="94" t="str">
        <f>IF(ISNA(VLOOKUP($A131,Kc_Info!$A$4:$V$155,11,FALSE)),"",VLOOKUP($A131,Kc_Info!$A$4:$V$155,11,FALSE))</f>
        <v/>
      </c>
      <c r="L131" s="94" t="str">
        <f>IF(ISNA(VLOOKUP($A131,Kc_Info!$A$4:$V$155,12,FALSE)),"",VLOOKUP($A131,Kc_Info!$A$4:$V$155,12,FALSE))</f>
        <v/>
      </c>
      <c r="M131" s="94" t="str">
        <f>IF(ISNA(VLOOKUP($A131,Kc_Info!$A$4:$V$155,13,FALSE)),"",VLOOKUP($A131,Kc_Info!$A$4:$V$155,13,FALSE))</f>
        <v/>
      </c>
      <c r="N131" s="94" t="str">
        <f>IF(ISNA(VLOOKUP($A131,Kc_Info!$A$4:$V$155,14,FALSE)),"",VLOOKUP($A131,Kc_Info!$A$4:$V$155,14,FALSE))</f>
        <v/>
      </c>
      <c r="O131" s="100" t="str">
        <f>IF(ISNA(VLOOKUP($A131,Kc_Info!$A$4:$V$155,15,FALSE)),"",VLOOKUP($A131,Kc_Info!$A$4:$V$155,15,FALSE))</f>
        <v/>
      </c>
      <c r="P131" s="100" t="str">
        <f>IF(ISNA(VLOOKUP($A131,Kc_Info!$A$4:$V$155,16,FALSE)),"",VLOOKUP($A131,Kc_Info!$A$4:$V$155,16,FALSE))</f>
        <v/>
      </c>
      <c r="Q131" s="100" t="str">
        <f>IF(ISNA(VLOOKUP($A131,Kc_Info!$A$4:$V$155,17,FALSE)),"",VLOOKUP($A131,Kc_Info!$A$4:$V$155,17,FALSE))</f>
        <v/>
      </c>
      <c r="R131" s="100" t="str">
        <f>IF(ISNA(VLOOKUP($A131,Kc_Info!$A$4:$V$155,18,FALSE)),"",VLOOKUP($A131,Kc_Info!$A$4:$V$155,18,FALSE))</f>
        <v/>
      </c>
      <c r="S131" s="100" t="str">
        <f>IF(ISNA(VLOOKUP($A131,Kc_Info!$A$4:$V$155,19,FALSE)),"",VLOOKUP($A131,Kc_Info!$A$4:$V$155,19,FALSE))</f>
        <v/>
      </c>
      <c r="T131" s="94" t="str">
        <f>IF(ISNA(VLOOKUP($A131,Kc_Info!$A$4:$V$155,20,FALSE)),"",VLOOKUP($A131,Kc_Info!$A$4:$V$155,20,FALSE))</f>
        <v/>
      </c>
      <c r="U131" s="94" t="str">
        <f>IF(ISNA(VLOOKUP($A131,Kc_Info!$A$4:$V$155,21,FALSE)),"",VLOOKUP($A131,Kc_Info!$A$4:$V$155,21,FALSE))</f>
        <v/>
      </c>
      <c r="V131" s="94" t="str">
        <f>IF(ISNA(VLOOKUP($A131,Kc_Info!$A$4:$V$155,22,FALSE)),"",VLOOKUP($A131,Kc_Info!$A$4:$V$155,22,FALSE))</f>
        <v/>
      </c>
    </row>
    <row r="132" spans="1:22">
      <c r="A132" s="92"/>
      <c r="B132" s="93" t="str">
        <f>IF(ISNA(VLOOKUP($A132,Kc_Info!$A$4:$V$155,2,FALSE)),"",VLOOKUP($A132,Kc_Info!$A$4:$V$155,2,FALSE))</f>
        <v/>
      </c>
      <c r="C132" s="94" t="str">
        <f>IF(ISNA(VLOOKUP($A132,Kc_Info!$A$4:$V$155,3,FALSE)),"",VLOOKUP($A132,Kc_Info!$A$4:$V$155,3,FALSE))</f>
        <v/>
      </c>
      <c r="D132" s="94" t="str">
        <f>IF(ISNA(VLOOKUP($A132,Kc_Info!$A$4:$V$155,4,FALSE)),"",VLOOKUP($A132,Kc_Info!$A$4:$V$155,4,FALSE))</f>
        <v/>
      </c>
      <c r="E132" s="94" t="str">
        <f>IF(ISNA(VLOOKUP($A132,Kc_Info!$A$4:$V$155,5,FALSE)),"",VLOOKUP($A132,Kc_Info!$A$4:$V$155,5,FALSE))</f>
        <v/>
      </c>
      <c r="F132" s="94" t="str">
        <f>IF(ISNA(VLOOKUP($A132,Kc_Info!$A$4:$V$155,6,FALSE)),"",VLOOKUP($A132,Kc_Info!$A$4:$V$155,6,FALSE))</f>
        <v/>
      </c>
      <c r="G132" s="101" t="str">
        <f>IF(ISNA(VLOOKUP($A132,Kc_Info!$A$4:$V$155,7,FALSE)),"",VLOOKUP($A132,Kc_Info!$A$4:$V$155,7,FALSE))</f>
        <v/>
      </c>
      <c r="H132" s="101" t="str">
        <f>IF(ISNA(VLOOKUP($A132,Kc_Info!$A$4:$V$155,8,FALSE)),"",VLOOKUP($A132,Kc_Info!$A$4:$V$155,8,FALSE))</f>
        <v/>
      </c>
      <c r="I132" s="101" t="str">
        <f>IF(ISNA(VLOOKUP($A132,Kc_Info!$A$4:$V$155,9,FALSE)),"",VLOOKUP($A132,Kc_Info!$A$4:$V$155,9,FALSE))</f>
        <v/>
      </c>
      <c r="J132" s="101" t="str">
        <f>IF(ISNA(VLOOKUP($A132,Kc_Info!$A$4:$V$155,10,FALSE)),"",VLOOKUP($A132,Kc_Info!$A$4:$V$155,10,FALSE))</f>
        <v/>
      </c>
      <c r="K132" s="94" t="str">
        <f>IF(ISNA(VLOOKUP($A132,Kc_Info!$A$4:$V$155,11,FALSE)),"",VLOOKUP($A132,Kc_Info!$A$4:$V$155,11,FALSE))</f>
        <v/>
      </c>
      <c r="L132" s="94" t="str">
        <f>IF(ISNA(VLOOKUP($A132,Kc_Info!$A$4:$V$155,12,FALSE)),"",VLOOKUP($A132,Kc_Info!$A$4:$V$155,12,FALSE))</f>
        <v/>
      </c>
      <c r="M132" s="94" t="str">
        <f>IF(ISNA(VLOOKUP($A132,Kc_Info!$A$4:$V$155,13,FALSE)),"",VLOOKUP($A132,Kc_Info!$A$4:$V$155,13,FALSE))</f>
        <v/>
      </c>
      <c r="N132" s="94" t="str">
        <f>IF(ISNA(VLOOKUP($A132,Kc_Info!$A$4:$V$155,14,FALSE)),"",VLOOKUP($A132,Kc_Info!$A$4:$V$155,14,FALSE))</f>
        <v/>
      </c>
      <c r="O132" s="100" t="str">
        <f>IF(ISNA(VLOOKUP($A132,Kc_Info!$A$4:$V$155,15,FALSE)),"",VLOOKUP($A132,Kc_Info!$A$4:$V$155,15,FALSE))</f>
        <v/>
      </c>
      <c r="P132" s="100" t="str">
        <f>IF(ISNA(VLOOKUP($A132,Kc_Info!$A$4:$V$155,16,FALSE)),"",VLOOKUP($A132,Kc_Info!$A$4:$V$155,16,FALSE))</f>
        <v/>
      </c>
      <c r="Q132" s="100" t="str">
        <f>IF(ISNA(VLOOKUP($A132,Kc_Info!$A$4:$V$155,17,FALSE)),"",VLOOKUP($A132,Kc_Info!$A$4:$V$155,17,FALSE))</f>
        <v/>
      </c>
      <c r="R132" s="100" t="str">
        <f>IF(ISNA(VLOOKUP($A132,Kc_Info!$A$4:$V$155,18,FALSE)),"",VLOOKUP($A132,Kc_Info!$A$4:$V$155,18,FALSE))</f>
        <v/>
      </c>
      <c r="S132" s="100" t="str">
        <f>IF(ISNA(VLOOKUP($A132,Kc_Info!$A$4:$V$155,19,FALSE)),"",VLOOKUP($A132,Kc_Info!$A$4:$V$155,19,FALSE))</f>
        <v/>
      </c>
      <c r="T132" s="94" t="str">
        <f>IF(ISNA(VLOOKUP($A132,Kc_Info!$A$4:$V$155,20,FALSE)),"",VLOOKUP($A132,Kc_Info!$A$4:$V$155,20,FALSE))</f>
        <v/>
      </c>
      <c r="U132" s="94" t="str">
        <f>IF(ISNA(VLOOKUP($A132,Kc_Info!$A$4:$V$155,21,FALSE)),"",VLOOKUP($A132,Kc_Info!$A$4:$V$155,21,FALSE))</f>
        <v/>
      </c>
      <c r="V132" s="94" t="str">
        <f>IF(ISNA(VLOOKUP($A132,Kc_Info!$A$4:$V$155,22,FALSE)),"",VLOOKUP($A132,Kc_Info!$A$4:$V$155,22,FALSE))</f>
        <v/>
      </c>
    </row>
    <row r="133" spans="1:22">
      <c r="A133" s="92"/>
      <c r="B133" s="93" t="str">
        <f>IF(ISNA(VLOOKUP($A133,Kc_Info!$A$4:$V$155,2,FALSE)),"",VLOOKUP($A133,Kc_Info!$A$4:$V$155,2,FALSE))</f>
        <v/>
      </c>
      <c r="C133" s="94" t="str">
        <f>IF(ISNA(VLOOKUP($A133,Kc_Info!$A$4:$V$155,3,FALSE)),"",VLOOKUP($A133,Kc_Info!$A$4:$V$155,3,FALSE))</f>
        <v/>
      </c>
      <c r="D133" s="94" t="str">
        <f>IF(ISNA(VLOOKUP($A133,Kc_Info!$A$4:$V$155,4,FALSE)),"",VLOOKUP($A133,Kc_Info!$A$4:$V$155,4,FALSE))</f>
        <v/>
      </c>
      <c r="E133" s="94" t="str">
        <f>IF(ISNA(VLOOKUP($A133,Kc_Info!$A$4:$V$155,5,FALSE)),"",VLOOKUP($A133,Kc_Info!$A$4:$V$155,5,FALSE))</f>
        <v/>
      </c>
      <c r="F133" s="94" t="str">
        <f>IF(ISNA(VLOOKUP($A133,Kc_Info!$A$4:$V$155,6,FALSE)),"",VLOOKUP($A133,Kc_Info!$A$4:$V$155,6,FALSE))</f>
        <v/>
      </c>
      <c r="G133" s="101" t="str">
        <f>IF(ISNA(VLOOKUP($A133,Kc_Info!$A$4:$V$155,7,FALSE)),"",VLOOKUP($A133,Kc_Info!$A$4:$V$155,7,FALSE))</f>
        <v/>
      </c>
      <c r="H133" s="101" t="str">
        <f>IF(ISNA(VLOOKUP($A133,Kc_Info!$A$4:$V$155,8,FALSE)),"",VLOOKUP($A133,Kc_Info!$A$4:$V$155,8,FALSE))</f>
        <v/>
      </c>
      <c r="I133" s="101" t="str">
        <f>IF(ISNA(VLOOKUP($A133,Kc_Info!$A$4:$V$155,9,FALSE)),"",VLOOKUP($A133,Kc_Info!$A$4:$V$155,9,FALSE))</f>
        <v/>
      </c>
      <c r="J133" s="101" t="str">
        <f>IF(ISNA(VLOOKUP($A133,Kc_Info!$A$4:$V$155,10,FALSE)),"",VLOOKUP($A133,Kc_Info!$A$4:$V$155,10,FALSE))</f>
        <v/>
      </c>
      <c r="K133" s="94" t="str">
        <f>IF(ISNA(VLOOKUP($A133,Kc_Info!$A$4:$V$155,11,FALSE)),"",VLOOKUP($A133,Kc_Info!$A$4:$V$155,11,FALSE))</f>
        <v/>
      </c>
      <c r="L133" s="94" t="str">
        <f>IF(ISNA(VLOOKUP($A133,Kc_Info!$A$4:$V$155,12,FALSE)),"",VLOOKUP($A133,Kc_Info!$A$4:$V$155,12,FALSE))</f>
        <v/>
      </c>
      <c r="M133" s="94" t="str">
        <f>IF(ISNA(VLOOKUP($A133,Kc_Info!$A$4:$V$155,13,FALSE)),"",VLOOKUP($A133,Kc_Info!$A$4:$V$155,13,FALSE))</f>
        <v/>
      </c>
      <c r="N133" s="94" t="str">
        <f>IF(ISNA(VLOOKUP($A133,Kc_Info!$A$4:$V$155,14,FALSE)),"",VLOOKUP($A133,Kc_Info!$A$4:$V$155,14,FALSE))</f>
        <v/>
      </c>
      <c r="O133" s="100" t="str">
        <f>IF(ISNA(VLOOKUP($A133,Kc_Info!$A$4:$V$155,15,FALSE)),"",VLOOKUP($A133,Kc_Info!$A$4:$V$155,15,FALSE))</f>
        <v/>
      </c>
      <c r="P133" s="100" t="str">
        <f>IF(ISNA(VLOOKUP($A133,Kc_Info!$A$4:$V$155,16,FALSE)),"",VLOOKUP($A133,Kc_Info!$A$4:$V$155,16,FALSE))</f>
        <v/>
      </c>
      <c r="Q133" s="100" t="str">
        <f>IF(ISNA(VLOOKUP($A133,Kc_Info!$A$4:$V$155,17,FALSE)),"",VLOOKUP($A133,Kc_Info!$A$4:$V$155,17,FALSE))</f>
        <v/>
      </c>
      <c r="R133" s="100" t="str">
        <f>IF(ISNA(VLOOKUP($A133,Kc_Info!$A$4:$V$155,18,FALSE)),"",VLOOKUP($A133,Kc_Info!$A$4:$V$155,18,FALSE))</f>
        <v/>
      </c>
      <c r="S133" s="100" t="str">
        <f>IF(ISNA(VLOOKUP($A133,Kc_Info!$A$4:$V$155,19,FALSE)),"",VLOOKUP($A133,Kc_Info!$A$4:$V$155,19,FALSE))</f>
        <v/>
      </c>
      <c r="T133" s="94" t="str">
        <f>IF(ISNA(VLOOKUP($A133,Kc_Info!$A$4:$V$155,20,FALSE)),"",VLOOKUP($A133,Kc_Info!$A$4:$V$155,20,FALSE))</f>
        <v/>
      </c>
      <c r="U133" s="94" t="str">
        <f>IF(ISNA(VLOOKUP($A133,Kc_Info!$A$4:$V$155,21,FALSE)),"",VLOOKUP($A133,Kc_Info!$A$4:$V$155,21,FALSE))</f>
        <v/>
      </c>
      <c r="V133" s="94" t="str">
        <f>IF(ISNA(VLOOKUP($A133,Kc_Info!$A$4:$V$155,22,FALSE)),"",VLOOKUP($A133,Kc_Info!$A$4:$V$155,22,FALSE))</f>
        <v/>
      </c>
    </row>
    <row r="134" spans="1:22">
      <c r="A134" s="92"/>
      <c r="B134" s="93" t="str">
        <f>IF(ISNA(VLOOKUP($A134,Kc_Info!$A$4:$V$155,2,FALSE)),"",VLOOKUP($A134,Kc_Info!$A$4:$V$155,2,FALSE))</f>
        <v/>
      </c>
      <c r="C134" s="94" t="str">
        <f>IF(ISNA(VLOOKUP($A134,Kc_Info!$A$4:$V$155,3,FALSE)),"",VLOOKUP($A134,Kc_Info!$A$4:$V$155,3,FALSE))</f>
        <v/>
      </c>
      <c r="D134" s="94" t="str">
        <f>IF(ISNA(VLOOKUP($A134,Kc_Info!$A$4:$V$155,4,FALSE)),"",VLOOKUP($A134,Kc_Info!$A$4:$V$155,4,FALSE))</f>
        <v/>
      </c>
      <c r="E134" s="94" t="str">
        <f>IF(ISNA(VLOOKUP($A134,Kc_Info!$A$4:$V$155,5,FALSE)),"",VLOOKUP($A134,Kc_Info!$A$4:$V$155,5,FALSE))</f>
        <v/>
      </c>
      <c r="F134" s="94" t="str">
        <f>IF(ISNA(VLOOKUP($A134,Kc_Info!$A$4:$V$155,6,FALSE)),"",VLOOKUP($A134,Kc_Info!$A$4:$V$155,6,FALSE))</f>
        <v/>
      </c>
      <c r="G134" s="101" t="str">
        <f>IF(ISNA(VLOOKUP($A134,Kc_Info!$A$4:$V$155,7,FALSE)),"",VLOOKUP($A134,Kc_Info!$A$4:$V$155,7,FALSE))</f>
        <v/>
      </c>
      <c r="H134" s="101" t="str">
        <f>IF(ISNA(VLOOKUP($A134,Kc_Info!$A$4:$V$155,8,FALSE)),"",VLOOKUP($A134,Kc_Info!$A$4:$V$155,8,FALSE))</f>
        <v/>
      </c>
      <c r="I134" s="101" t="str">
        <f>IF(ISNA(VLOOKUP($A134,Kc_Info!$A$4:$V$155,9,FALSE)),"",VLOOKUP($A134,Kc_Info!$A$4:$V$155,9,FALSE))</f>
        <v/>
      </c>
      <c r="J134" s="101" t="str">
        <f>IF(ISNA(VLOOKUP($A134,Kc_Info!$A$4:$V$155,10,FALSE)),"",VLOOKUP($A134,Kc_Info!$A$4:$V$155,10,FALSE))</f>
        <v/>
      </c>
      <c r="K134" s="94" t="str">
        <f>IF(ISNA(VLOOKUP($A134,Kc_Info!$A$4:$V$155,11,FALSE)),"",VLOOKUP($A134,Kc_Info!$A$4:$V$155,11,FALSE))</f>
        <v/>
      </c>
      <c r="L134" s="94" t="str">
        <f>IF(ISNA(VLOOKUP($A134,Kc_Info!$A$4:$V$155,12,FALSE)),"",VLOOKUP($A134,Kc_Info!$A$4:$V$155,12,FALSE))</f>
        <v/>
      </c>
      <c r="M134" s="94" t="str">
        <f>IF(ISNA(VLOOKUP($A134,Kc_Info!$A$4:$V$155,13,FALSE)),"",VLOOKUP($A134,Kc_Info!$A$4:$V$155,13,FALSE))</f>
        <v/>
      </c>
      <c r="N134" s="94" t="str">
        <f>IF(ISNA(VLOOKUP($A134,Kc_Info!$A$4:$V$155,14,FALSE)),"",VLOOKUP($A134,Kc_Info!$A$4:$V$155,14,FALSE))</f>
        <v/>
      </c>
      <c r="O134" s="100" t="str">
        <f>IF(ISNA(VLOOKUP($A134,Kc_Info!$A$4:$V$155,15,FALSE)),"",VLOOKUP($A134,Kc_Info!$A$4:$V$155,15,FALSE))</f>
        <v/>
      </c>
      <c r="P134" s="100" t="str">
        <f>IF(ISNA(VLOOKUP($A134,Kc_Info!$A$4:$V$155,16,FALSE)),"",VLOOKUP($A134,Kc_Info!$A$4:$V$155,16,FALSE))</f>
        <v/>
      </c>
      <c r="Q134" s="100" t="str">
        <f>IF(ISNA(VLOOKUP($A134,Kc_Info!$A$4:$V$155,17,FALSE)),"",VLOOKUP($A134,Kc_Info!$A$4:$V$155,17,FALSE))</f>
        <v/>
      </c>
      <c r="R134" s="100" t="str">
        <f>IF(ISNA(VLOOKUP($A134,Kc_Info!$A$4:$V$155,18,FALSE)),"",VLOOKUP($A134,Kc_Info!$A$4:$V$155,18,FALSE))</f>
        <v/>
      </c>
      <c r="S134" s="100" t="str">
        <f>IF(ISNA(VLOOKUP($A134,Kc_Info!$A$4:$V$155,19,FALSE)),"",VLOOKUP($A134,Kc_Info!$A$4:$V$155,19,FALSE))</f>
        <v/>
      </c>
      <c r="T134" s="94" t="str">
        <f>IF(ISNA(VLOOKUP($A134,Kc_Info!$A$4:$V$155,20,FALSE)),"",VLOOKUP($A134,Kc_Info!$A$4:$V$155,20,FALSE))</f>
        <v/>
      </c>
      <c r="U134" s="94" t="str">
        <f>IF(ISNA(VLOOKUP($A134,Kc_Info!$A$4:$V$155,21,FALSE)),"",VLOOKUP($A134,Kc_Info!$A$4:$V$155,21,FALSE))</f>
        <v/>
      </c>
      <c r="V134" s="94" t="str">
        <f>IF(ISNA(VLOOKUP($A134,Kc_Info!$A$4:$V$155,22,FALSE)),"",VLOOKUP($A134,Kc_Info!$A$4:$V$155,22,FALSE))</f>
        <v/>
      </c>
    </row>
    <row r="135" spans="1:22">
      <c r="A135" s="92"/>
      <c r="B135" s="93" t="str">
        <f>IF(ISNA(VLOOKUP($A135,Kc_Info!$A$4:$V$155,2,FALSE)),"",VLOOKUP($A135,Kc_Info!$A$4:$V$155,2,FALSE))</f>
        <v/>
      </c>
      <c r="C135" s="94" t="str">
        <f>IF(ISNA(VLOOKUP($A135,Kc_Info!$A$4:$V$155,3,FALSE)),"",VLOOKUP($A135,Kc_Info!$A$4:$V$155,3,FALSE))</f>
        <v/>
      </c>
      <c r="D135" s="94" t="str">
        <f>IF(ISNA(VLOOKUP($A135,Kc_Info!$A$4:$V$155,4,FALSE)),"",VLOOKUP($A135,Kc_Info!$A$4:$V$155,4,FALSE))</f>
        <v/>
      </c>
      <c r="E135" s="94" t="str">
        <f>IF(ISNA(VLOOKUP($A135,Kc_Info!$A$4:$V$155,5,FALSE)),"",VLOOKUP($A135,Kc_Info!$A$4:$V$155,5,FALSE))</f>
        <v/>
      </c>
      <c r="F135" s="94" t="str">
        <f>IF(ISNA(VLOOKUP($A135,Kc_Info!$A$4:$V$155,6,FALSE)),"",VLOOKUP($A135,Kc_Info!$A$4:$V$155,6,FALSE))</f>
        <v/>
      </c>
      <c r="G135" s="101" t="str">
        <f>IF(ISNA(VLOOKUP($A135,Kc_Info!$A$4:$V$155,7,FALSE)),"",VLOOKUP($A135,Kc_Info!$A$4:$V$155,7,FALSE))</f>
        <v/>
      </c>
      <c r="H135" s="101" t="str">
        <f>IF(ISNA(VLOOKUP($A135,Kc_Info!$A$4:$V$155,8,FALSE)),"",VLOOKUP($A135,Kc_Info!$A$4:$V$155,8,FALSE))</f>
        <v/>
      </c>
      <c r="I135" s="101" t="str">
        <f>IF(ISNA(VLOOKUP($A135,Kc_Info!$A$4:$V$155,9,FALSE)),"",VLOOKUP($A135,Kc_Info!$A$4:$V$155,9,FALSE))</f>
        <v/>
      </c>
      <c r="J135" s="101" t="str">
        <f>IF(ISNA(VLOOKUP($A135,Kc_Info!$A$4:$V$155,10,FALSE)),"",VLOOKUP($A135,Kc_Info!$A$4:$V$155,10,FALSE))</f>
        <v/>
      </c>
      <c r="K135" s="94" t="str">
        <f>IF(ISNA(VLOOKUP($A135,Kc_Info!$A$4:$V$155,11,FALSE)),"",VLOOKUP($A135,Kc_Info!$A$4:$V$155,11,FALSE))</f>
        <v/>
      </c>
      <c r="L135" s="94" t="str">
        <f>IF(ISNA(VLOOKUP($A135,Kc_Info!$A$4:$V$155,12,FALSE)),"",VLOOKUP($A135,Kc_Info!$A$4:$V$155,12,FALSE))</f>
        <v/>
      </c>
      <c r="M135" s="94" t="str">
        <f>IF(ISNA(VLOOKUP($A135,Kc_Info!$A$4:$V$155,13,FALSE)),"",VLOOKUP($A135,Kc_Info!$A$4:$V$155,13,FALSE))</f>
        <v/>
      </c>
      <c r="N135" s="94" t="str">
        <f>IF(ISNA(VLOOKUP($A135,Kc_Info!$A$4:$V$155,14,FALSE)),"",VLOOKUP($A135,Kc_Info!$A$4:$V$155,14,FALSE))</f>
        <v/>
      </c>
      <c r="O135" s="100" t="str">
        <f>IF(ISNA(VLOOKUP($A135,Kc_Info!$A$4:$V$155,15,FALSE)),"",VLOOKUP($A135,Kc_Info!$A$4:$V$155,15,FALSE))</f>
        <v/>
      </c>
      <c r="P135" s="100" t="str">
        <f>IF(ISNA(VLOOKUP($A135,Kc_Info!$A$4:$V$155,16,FALSE)),"",VLOOKUP($A135,Kc_Info!$A$4:$V$155,16,FALSE))</f>
        <v/>
      </c>
      <c r="Q135" s="100" t="str">
        <f>IF(ISNA(VLOOKUP($A135,Kc_Info!$A$4:$V$155,17,FALSE)),"",VLOOKUP($A135,Kc_Info!$A$4:$V$155,17,FALSE))</f>
        <v/>
      </c>
      <c r="R135" s="100" t="str">
        <f>IF(ISNA(VLOOKUP($A135,Kc_Info!$A$4:$V$155,18,FALSE)),"",VLOOKUP($A135,Kc_Info!$A$4:$V$155,18,FALSE))</f>
        <v/>
      </c>
      <c r="S135" s="100" t="str">
        <f>IF(ISNA(VLOOKUP($A135,Kc_Info!$A$4:$V$155,19,FALSE)),"",VLOOKUP($A135,Kc_Info!$A$4:$V$155,19,FALSE))</f>
        <v/>
      </c>
      <c r="T135" s="94" t="str">
        <f>IF(ISNA(VLOOKUP($A135,Kc_Info!$A$4:$V$155,20,FALSE)),"",VLOOKUP($A135,Kc_Info!$A$4:$V$155,20,FALSE))</f>
        <v/>
      </c>
      <c r="U135" s="94" t="str">
        <f>IF(ISNA(VLOOKUP($A135,Kc_Info!$A$4:$V$155,21,FALSE)),"",VLOOKUP($A135,Kc_Info!$A$4:$V$155,21,FALSE))</f>
        <v/>
      </c>
      <c r="V135" s="94" t="str">
        <f>IF(ISNA(VLOOKUP($A135,Kc_Info!$A$4:$V$155,22,FALSE)),"",VLOOKUP($A135,Kc_Info!$A$4:$V$155,22,FALSE))</f>
        <v/>
      </c>
    </row>
    <row r="136" spans="1:22">
      <c r="A136" s="92"/>
      <c r="B136" s="93" t="str">
        <f>IF(ISNA(VLOOKUP($A136,Kc_Info!$A$4:$V$155,2,FALSE)),"",VLOOKUP($A136,Kc_Info!$A$4:$V$155,2,FALSE))</f>
        <v/>
      </c>
      <c r="C136" s="94" t="str">
        <f>IF(ISNA(VLOOKUP($A136,Kc_Info!$A$4:$V$155,3,FALSE)),"",VLOOKUP($A136,Kc_Info!$A$4:$V$155,3,FALSE))</f>
        <v/>
      </c>
      <c r="D136" s="94" t="str">
        <f>IF(ISNA(VLOOKUP($A136,Kc_Info!$A$4:$V$155,4,FALSE)),"",VLOOKUP($A136,Kc_Info!$A$4:$V$155,4,FALSE))</f>
        <v/>
      </c>
      <c r="E136" s="94" t="str">
        <f>IF(ISNA(VLOOKUP($A136,Kc_Info!$A$4:$V$155,5,FALSE)),"",VLOOKUP($A136,Kc_Info!$A$4:$V$155,5,FALSE))</f>
        <v/>
      </c>
      <c r="F136" s="94" t="str">
        <f>IF(ISNA(VLOOKUP($A136,Kc_Info!$A$4:$V$155,6,FALSE)),"",VLOOKUP($A136,Kc_Info!$A$4:$V$155,6,FALSE))</f>
        <v/>
      </c>
      <c r="G136" s="101" t="str">
        <f>IF(ISNA(VLOOKUP($A136,Kc_Info!$A$4:$V$155,7,FALSE)),"",VLOOKUP($A136,Kc_Info!$A$4:$V$155,7,FALSE))</f>
        <v/>
      </c>
      <c r="H136" s="101" t="str">
        <f>IF(ISNA(VLOOKUP($A136,Kc_Info!$A$4:$V$155,8,FALSE)),"",VLOOKUP($A136,Kc_Info!$A$4:$V$155,8,FALSE))</f>
        <v/>
      </c>
      <c r="I136" s="101" t="str">
        <f>IF(ISNA(VLOOKUP($A136,Kc_Info!$A$4:$V$155,9,FALSE)),"",VLOOKUP($A136,Kc_Info!$A$4:$V$155,9,FALSE))</f>
        <v/>
      </c>
      <c r="J136" s="101" t="str">
        <f>IF(ISNA(VLOOKUP($A136,Kc_Info!$A$4:$V$155,10,FALSE)),"",VLOOKUP($A136,Kc_Info!$A$4:$V$155,10,FALSE))</f>
        <v/>
      </c>
      <c r="K136" s="94" t="str">
        <f>IF(ISNA(VLOOKUP($A136,Kc_Info!$A$4:$V$155,11,FALSE)),"",VLOOKUP($A136,Kc_Info!$A$4:$V$155,11,FALSE))</f>
        <v/>
      </c>
      <c r="L136" s="94" t="str">
        <f>IF(ISNA(VLOOKUP($A136,Kc_Info!$A$4:$V$155,12,FALSE)),"",VLOOKUP($A136,Kc_Info!$A$4:$V$155,12,FALSE))</f>
        <v/>
      </c>
      <c r="M136" s="94" t="str">
        <f>IF(ISNA(VLOOKUP($A136,Kc_Info!$A$4:$V$155,13,FALSE)),"",VLOOKUP($A136,Kc_Info!$A$4:$V$155,13,FALSE))</f>
        <v/>
      </c>
      <c r="N136" s="94" t="str">
        <f>IF(ISNA(VLOOKUP($A136,Kc_Info!$A$4:$V$155,14,FALSE)),"",VLOOKUP($A136,Kc_Info!$A$4:$V$155,14,FALSE))</f>
        <v/>
      </c>
      <c r="O136" s="100" t="str">
        <f>IF(ISNA(VLOOKUP($A136,Kc_Info!$A$4:$V$155,15,FALSE)),"",VLOOKUP($A136,Kc_Info!$A$4:$V$155,15,FALSE))</f>
        <v/>
      </c>
      <c r="P136" s="100" t="str">
        <f>IF(ISNA(VLOOKUP($A136,Kc_Info!$A$4:$V$155,16,FALSE)),"",VLOOKUP($A136,Kc_Info!$A$4:$V$155,16,FALSE))</f>
        <v/>
      </c>
      <c r="Q136" s="100" t="str">
        <f>IF(ISNA(VLOOKUP($A136,Kc_Info!$A$4:$V$155,17,FALSE)),"",VLOOKUP($A136,Kc_Info!$A$4:$V$155,17,FALSE))</f>
        <v/>
      </c>
      <c r="R136" s="100" t="str">
        <f>IF(ISNA(VLOOKUP($A136,Kc_Info!$A$4:$V$155,18,FALSE)),"",VLOOKUP($A136,Kc_Info!$A$4:$V$155,18,FALSE))</f>
        <v/>
      </c>
      <c r="S136" s="100" t="str">
        <f>IF(ISNA(VLOOKUP($A136,Kc_Info!$A$4:$V$155,19,FALSE)),"",VLOOKUP($A136,Kc_Info!$A$4:$V$155,19,FALSE))</f>
        <v/>
      </c>
      <c r="T136" s="94" t="str">
        <f>IF(ISNA(VLOOKUP($A136,Kc_Info!$A$4:$V$155,20,FALSE)),"",VLOOKUP($A136,Kc_Info!$A$4:$V$155,20,FALSE))</f>
        <v/>
      </c>
      <c r="U136" s="94" t="str">
        <f>IF(ISNA(VLOOKUP($A136,Kc_Info!$A$4:$V$155,21,FALSE)),"",VLOOKUP($A136,Kc_Info!$A$4:$V$155,21,FALSE))</f>
        <v/>
      </c>
      <c r="V136" s="94" t="str">
        <f>IF(ISNA(VLOOKUP($A136,Kc_Info!$A$4:$V$155,22,FALSE)),"",VLOOKUP($A136,Kc_Info!$A$4:$V$155,22,FALSE))</f>
        <v/>
      </c>
    </row>
    <row r="137" spans="1:22">
      <c r="A137" s="92"/>
      <c r="B137" s="93" t="str">
        <f>IF(ISNA(VLOOKUP($A137,Kc_Info!$A$4:$V$155,2,FALSE)),"",VLOOKUP($A137,Kc_Info!$A$4:$V$155,2,FALSE))</f>
        <v/>
      </c>
      <c r="C137" s="94" t="str">
        <f>IF(ISNA(VLOOKUP($A137,Kc_Info!$A$4:$V$155,3,FALSE)),"",VLOOKUP($A137,Kc_Info!$A$4:$V$155,3,FALSE))</f>
        <v/>
      </c>
      <c r="D137" s="94" t="str">
        <f>IF(ISNA(VLOOKUP($A137,Kc_Info!$A$4:$V$155,4,FALSE)),"",VLOOKUP($A137,Kc_Info!$A$4:$V$155,4,FALSE))</f>
        <v/>
      </c>
      <c r="E137" s="94" t="str">
        <f>IF(ISNA(VLOOKUP($A137,Kc_Info!$A$4:$V$155,5,FALSE)),"",VLOOKUP($A137,Kc_Info!$A$4:$V$155,5,FALSE))</f>
        <v/>
      </c>
      <c r="F137" s="94" t="str">
        <f>IF(ISNA(VLOOKUP($A137,Kc_Info!$A$4:$V$155,6,FALSE)),"",VLOOKUP($A137,Kc_Info!$A$4:$V$155,6,FALSE))</f>
        <v/>
      </c>
      <c r="G137" s="101" t="str">
        <f>IF(ISNA(VLOOKUP($A137,Kc_Info!$A$4:$V$155,7,FALSE)),"",VLOOKUP($A137,Kc_Info!$A$4:$V$155,7,FALSE))</f>
        <v/>
      </c>
      <c r="H137" s="101" t="str">
        <f>IF(ISNA(VLOOKUP($A137,Kc_Info!$A$4:$V$155,8,FALSE)),"",VLOOKUP($A137,Kc_Info!$A$4:$V$155,8,FALSE))</f>
        <v/>
      </c>
      <c r="I137" s="101" t="str">
        <f>IF(ISNA(VLOOKUP($A137,Kc_Info!$A$4:$V$155,9,FALSE)),"",VLOOKUP($A137,Kc_Info!$A$4:$V$155,9,FALSE))</f>
        <v/>
      </c>
      <c r="J137" s="101" t="str">
        <f>IF(ISNA(VLOOKUP($A137,Kc_Info!$A$4:$V$155,10,FALSE)),"",VLOOKUP($A137,Kc_Info!$A$4:$V$155,10,FALSE))</f>
        <v/>
      </c>
      <c r="K137" s="94" t="str">
        <f>IF(ISNA(VLOOKUP($A137,Kc_Info!$A$4:$V$155,11,FALSE)),"",VLOOKUP($A137,Kc_Info!$A$4:$V$155,11,FALSE))</f>
        <v/>
      </c>
      <c r="L137" s="94" t="str">
        <f>IF(ISNA(VLOOKUP($A137,Kc_Info!$A$4:$V$155,12,FALSE)),"",VLOOKUP($A137,Kc_Info!$A$4:$V$155,12,FALSE))</f>
        <v/>
      </c>
      <c r="M137" s="94" t="str">
        <f>IF(ISNA(VLOOKUP($A137,Kc_Info!$A$4:$V$155,13,FALSE)),"",VLOOKUP($A137,Kc_Info!$A$4:$V$155,13,FALSE))</f>
        <v/>
      </c>
      <c r="N137" s="94" t="str">
        <f>IF(ISNA(VLOOKUP($A137,Kc_Info!$A$4:$V$155,14,FALSE)),"",VLOOKUP($A137,Kc_Info!$A$4:$V$155,14,FALSE))</f>
        <v/>
      </c>
      <c r="O137" s="100" t="str">
        <f>IF(ISNA(VLOOKUP($A137,Kc_Info!$A$4:$V$155,15,FALSE)),"",VLOOKUP($A137,Kc_Info!$A$4:$V$155,15,FALSE))</f>
        <v/>
      </c>
      <c r="P137" s="100" t="str">
        <f>IF(ISNA(VLOOKUP($A137,Kc_Info!$A$4:$V$155,16,FALSE)),"",VLOOKUP($A137,Kc_Info!$A$4:$V$155,16,FALSE))</f>
        <v/>
      </c>
      <c r="Q137" s="100" t="str">
        <f>IF(ISNA(VLOOKUP($A137,Kc_Info!$A$4:$V$155,17,FALSE)),"",VLOOKUP($A137,Kc_Info!$A$4:$V$155,17,FALSE))</f>
        <v/>
      </c>
      <c r="R137" s="100" t="str">
        <f>IF(ISNA(VLOOKUP($A137,Kc_Info!$A$4:$V$155,18,FALSE)),"",VLOOKUP($A137,Kc_Info!$A$4:$V$155,18,FALSE))</f>
        <v/>
      </c>
      <c r="S137" s="100" t="str">
        <f>IF(ISNA(VLOOKUP($A137,Kc_Info!$A$4:$V$155,19,FALSE)),"",VLOOKUP($A137,Kc_Info!$A$4:$V$155,19,FALSE))</f>
        <v/>
      </c>
      <c r="T137" s="94" t="str">
        <f>IF(ISNA(VLOOKUP($A137,Kc_Info!$A$4:$V$155,20,FALSE)),"",VLOOKUP($A137,Kc_Info!$A$4:$V$155,20,FALSE))</f>
        <v/>
      </c>
      <c r="U137" s="94" t="str">
        <f>IF(ISNA(VLOOKUP($A137,Kc_Info!$A$4:$V$155,21,FALSE)),"",VLOOKUP($A137,Kc_Info!$A$4:$V$155,21,FALSE))</f>
        <v/>
      </c>
      <c r="V137" s="94" t="str">
        <f>IF(ISNA(VLOOKUP($A137,Kc_Info!$A$4:$V$155,22,FALSE)),"",VLOOKUP($A137,Kc_Info!$A$4:$V$155,22,FALSE))</f>
        <v/>
      </c>
    </row>
    <row r="138" spans="1:22">
      <c r="A138" s="92"/>
      <c r="B138" s="93" t="str">
        <f>IF(ISNA(VLOOKUP($A138,Kc_Info!$A$4:$V$155,2,FALSE)),"",VLOOKUP($A138,Kc_Info!$A$4:$V$155,2,FALSE))</f>
        <v/>
      </c>
      <c r="C138" s="94" t="str">
        <f>IF(ISNA(VLOOKUP($A138,Kc_Info!$A$4:$V$155,3,FALSE)),"",VLOOKUP($A138,Kc_Info!$A$4:$V$155,3,FALSE))</f>
        <v/>
      </c>
      <c r="D138" s="94" t="str">
        <f>IF(ISNA(VLOOKUP($A138,Kc_Info!$A$4:$V$155,4,FALSE)),"",VLOOKUP($A138,Kc_Info!$A$4:$V$155,4,FALSE))</f>
        <v/>
      </c>
      <c r="E138" s="94" t="str">
        <f>IF(ISNA(VLOOKUP($A138,Kc_Info!$A$4:$V$155,5,FALSE)),"",VLOOKUP($A138,Kc_Info!$A$4:$V$155,5,FALSE))</f>
        <v/>
      </c>
      <c r="F138" s="94" t="str">
        <f>IF(ISNA(VLOOKUP($A138,Kc_Info!$A$4:$V$155,6,FALSE)),"",VLOOKUP($A138,Kc_Info!$A$4:$V$155,6,FALSE))</f>
        <v/>
      </c>
      <c r="G138" s="101" t="str">
        <f>IF(ISNA(VLOOKUP($A138,Kc_Info!$A$4:$V$155,7,FALSE)),"",VLOOKUP($A138,Kc_Info!$A$4:$V$155,7,FALSE))</f>
        <v/>
      </c>
      <c r="H138" s="101" t="str">
        <f>IF(ISNA(VLOOKUP($A138,Kc_Info!$A$4:$V$155,8,FALSE)),"",VLOOKUP($A138,Kc_Info!$A$4:$V$155,8,FALSE))</f>
        <v/>
      </c>
      <c r="I138" s="101" t="str">
        <f>IF(ISNA(VLOOKUP($A138,Kc_Info!$A$4:$V$155,9,FALSE)),"",VLOOKUP($A138,Kc_Info!$A$4:$V$155,9,FALSE))</f>
        <v/>
      </c>
      <c r="J138" s="101" t="str">
        <f>IF(ISNA(VLOOKUP($A138,Kc_Info!$A$4:$V$155,10,FALSE)),"",VLOOKUP($A138,Kc_Info!$A$4:$V$155,10,FALSE))</f>
        <v/>
      </c>
      <c r="K138" s="94" t="str">
        <f>IF(ISNA(VLOOKUP($A138,Kc_Info!$A$4:$V$155,11,FALSE)),"",VLOOKUP($A138,Kc_Info!$A$4:$V$155,11,FALSE))</f>
        <v/>
      </c>
      <c r="L138" s="94" t="str">
        <f>IF(ISNA(VLOOKUP($A138,Kc_Info!$A$4:$V$155,12,FALSE)),"",VLOOKUP($A138,Kc_Info!$A$4:$V$155,12,FALSE))</f>
        <v/>
      </c>
      <c r="M138" s="94" t="str">
        <f>IF(ISNA(VLOOKUP($A138,Kc_Info!$A$4:$V$155,13,FALSE)),"",VLOOKUP($A138,Kc_Info!$A$4:$V$155,13,FALSE))</f>
        <v/>
      </c>
      <c r="N138" s="94" t="str">
        <f>IF(ISNA(VLOOKUP($A138,Kc_Info!$A$4:$V$155,14,FALSE)),"",VLOOKUP($A138,Kc_Info!$A$4:$V$155,14,FALSE))</f>
        <v/>
      </c>
      <c r="O138" s="100" t="str">
        <f>IF(ISNA(VLOOKUP($A138,Kc_Info!$A$4:$V$155,15,FALSE)),"",VLOOKUP($A138,Kc_Info!$A$4:$V$155,15,FALSE))</f>
        <v/>
      </c>
      <c r="P138" s="100" t="str">
        <f>IF(ISNA(VLOOKUP($A138,Kc_Info!$A$4:$V$155,16,FALSE)),"",VLOOKUP($A138,Kc_Info!$A$4:$V$155,16,FALSE))</f>
        <v/>
      </c>
      <c r="Q138" s="100" t="str">
        <f>IF(ISNA(VLOOKUP($A138,Kc_Info!$A$4:$V$155,17,FALSE)),"",VLOOKUP($A138,Kc_Info!$A$4:$V$155,17,FALSE))</f>
        <v/>
      </c>
      <c r="R138" s="100" t="str">
        <f>IF(ISNA(VLOOKUP($A138,Kc_Info!$A$4:$V$155,18,FALSE)),"",VLOOKUP($A138,Kc_Info!$A$4:$V$155,18,FALSE))</f>
        <v/>
      </c>
      <c r="S138" s="100" t="str">
        <f>IF(ISNA(VLOOKUP($A138,Kc_Info!$A$4:$V$155,19,FALSE)),"",VLOOKUP($A138,Kc_Info!$A$4:$V$155,19,FALSE))</f>
        <v/>
      </c>
      <c r="T138" s="94" t="str">
        <f>IF(ISNA(VLOOKUP($A138,Kc_Info!$A$4:$V$155,20,FALSE)),"",VLOOKUP($A138,Kc_Info!$A$4:$V$155,20,FALSE))</f>
        <v/>
      </c>
      <c r="U138" s="94" t="str">
        <f>IF(ISNA(VLOOKUP($A138,Kc_Info!$A$4:$V$155,21,FALSE)),"",VLOOKUP($A138,Kc_Info!$A$4:$V$155,21,FALSE))</f>
        <v/>
      </c>
      <c r="V138" s="94" t="str">
        <f>IF(ISNA(VLOOKUP($A138,Kc_Info!$A$4:$V$155,22,FALSE)),"",VLOOKUP($A138,Kc_Info!$A$4:$V$155,22,FALSE))</f>
        <v/>
      </c>
    </row>
    <row r="139" spans="1:22">
      <c r="A139" s="92"/>
      <c r="B139" s="93" t="str">
        <f>IF(ISNA(VLOOKUP($A139,Kc_Info!$A$4:$V$155,2,FALSE)),"",VLOOKUP($A139,Kc_Info!$A$4:$V$155,2,FALSE))</f>
        <v/>
      </c>
      <c r="C139" s="94" t="str">
        <f>IF(ISNA(VLOOKUP($A139,Kc_Info!$A$4:$V$155,3,FALSE)),"",VLOOKUP($A139,Kc_Info!$A$4:$V$155,3,FALSE))</f>
        <v/>
      </c>
      <c r="D139" s="94" t="str">
        <f>IF(ISNA(VLOOKUP($A139,Kc_Info!$A$4:$V$155,4,FALSE)),"",VLOOKUP($A139,Kc_Info!$A$4:$V$155,4,FALSE))</f>
        <v/>
      </c>
      <c r="E139" s="94" t="str">
        <f>IF(ISNA(VLOOKUP($A139,Kc_Info!$A$4:$V$155,5,FALSE)),"",VLOOKUP($A139,Kc_Info!$A$4:$V$155,5,FALSE))</f>
        <v/>
      </c>
      <c r="F139" s="94" t="str">
        <f>IF(ISNA(VLOOKUP($A139,Kc_Info!$A$4:$V$155,6,FALSE)),"",VLOOKUP($A139,Kc_Info!$A$4:$V$155,6,FALSE))</f>
        <v/>
      </c>
      <c r="G139" s="101" t="str">
        <f>IF(ISNA(VLOOKUP($A139,Kc_Info!$A$4:$V$155,7,FALSE)),"",VLOOKUP($A139,Kc_Info!$A$4:$V$155,7,FALSE))</f>
        <v/>
      </c>
      <c r="H139" s="101" t="str">
        <f>IF(ISNA(VLOOKUP($A139,Kc_Info!$A$4:$V$155,8,FALSE)),"",VLOOKUP($A139,Kc_Info!$A$4:$V$155,8,FALSE))</f>
        <v/>
      </c>
      <c r="I139" s="101" t="str">
        <f>IF(ISNA(VLOOKUP($A139,Kc_Info!$A$4:$V$155,9,FALSE)),"",VLOOKUP($A139,Kc_Info!$A$4:$V$155,9,FALSE))</f>
        <v/>
      </c>
      <c r="J139" s="101" t="str">
        <f>IF(ISNA(VLOOKUP($A139,Kc_Info!$A$4:$V$155,10,FALSE)),"",VLOOKUP($A139,Kc_Info!$A$4:$V$155,10,FALSE))</f>
        <v/>
      </c>
      <c r="K139" s="94" t="str">
        <f>IF(ISNA(VLOOKUP($A139,Kc_Info!$A$4:$V$155,11,FALSE)),"",VLOOKUP($A139,Kc_Info!$A$4:$V$155,11,FALSE))</f>
        <v/>
      </c>
      <c r="L139" s="94" t="str">
        <f>IF(ISNA(VLOOKUP($A139,Kc_Info!$A$4:$V$155,12,FALSE)),"",VLOOKUP($A139,Kc_Info!$A$4:$V$155,12,FALSE))</f>
        <v/>
      </c>
      <c r="M139" s="94" t="str">
        <f>IF(ISNA(VLOOKUP($A139,Kc_Info!$A$4:$V$155,13,FALSE)),"",VLOOKUP($A139,Kc_Info!$A$4:$V$155,13,FALSE))</f>
        <v/>
      </c>
      <c r="N139" s="94" t="str">
        <f>IF(ISNA(VLOOKUP($A139,Kc_Info!$A$4:$V$155,14,FALSE)),"",VLOOKUP($A139,Kc_Info!$A$4:$V$155,14,FALSE))</f>
        <v/>
      </c>
      <c r="O139" s="100" t="str">
        <f>IF(ISNA(VLOOKUP($A139,Kc_Info!$A$4:$V$155,15,FALSE)),"",VLOOKUP($A139,Kc_Info!$A$4:$V$155,15,FALSE))</f>
        <v/>
      </c>
      <c r="P139" s="100" t="str">
        <f>IF(ISNA(VLOOKUP($A139,Kc_Info!$A$4:$V$155,16,FALSE)),"",VLOOKUP($A139,Kc_Info!$A$4:$V$155,16,FALSE))</f>
        <v/>
      </c>
      <c r="Q139" s="100" t="str">
        <f>IF(ISNA(VLOOKUP($A139,Kc_Info!$A$4:$V$155,17,FALSE)),"",VLOOKUP($A139,Kc_Info!$A$4:$V$155,17,FALSE))</f>
        <v/>
      </c>
      <c r="R139" s="100" t="str">
        <f>IF(ISNA(VLOOKUP($A139,Kc_Info!$A$4:$V$155,18,FALSE)),"",VLOOKUP($A139,Kc_Info!$A$4:$V$155,18,FALSE))</f>
        <v/>
      </c>
      <c r="S139" s="100" t="str">
        <f>IF(ISNA(VLOOKUP($A139,Kc_Info!$A$4:$V$155,19,FALSE)),"",VLOOKUP($A139,Kc_Info!$A$4:$V$155,19,FALSE))</f>
        <v/>
      </c>
      <c r="T139" s="94" t="str">
        <f>IF(ISNA(VLOOKUP($A139,Kc_Info!$A$4:$V$155,20,FALSE)),"",VLOOKUP($A139,Kc_Info!$A$4:$V$155,20,FALSE))</f>
        <v/>
      </c>
      <c r="U139" s="94" t="str">
        <f>IF(ISNA(VLOOKUP($A139,Kc_Info!$A$4:$V$155,21,FALSE)),"",VLOOKUP($A139,Kc_Info!$A$4:$V$155,21,FALSE))</f>
        <v/>
      </c>
      <c r="V139" s="94" t="str">
        <f>IF(ISNA(VLOOKUP($A139,Kc_Info!$A$4:$V$155,22,FALSE)),"",VLOOKUP($A139,Kc_Info!$A$4:$V$155,22,FALSE))</f>
        <v/>
      </c>
    </row>
    <row r="140" spans="1:22">
      <c r="A140" s="92"/>
      <c r="B140" s="93" t="str">
        <f>IF(ISNA(VLOOKUP($A140,Kc_Info!$A$4:$V$155,2,FALSE)),"",VLOOKUP($A140,Kc_Info!$A$4:$V$155,2,FALSE))</f>
        <v/>
      </c>
      <c r="C140" s="94" t="str">
        <f>IF(ISNA(VLOOKUP($A140,Kc_Info!$A$4:$V$155,3,FALSE)),"",VLOOKUP($A140,Kc_Info!$A$4:$V$155,3,FALSE))</f>
        <v/>
      </c>
      <c r="D140" s="94" t="str">
        <f>IF(ISNA(VLOOKUP($A140,Kc_Info!$A$4:$V$155,4,FALSE)),"",VLOOKUP($A140,Kc_Info!$A$4:$V$155,4,FALSE))</f>
        <v/>
      </c>
      <c r="E140" s="94" t="str">
        <f>IF(ISNA(VLOOKUP($A140,Kc_Info!$A$4:$V$155,5,FALSE)),"",VLOOKUP($A140,Kc_Info!$A$4:$V$155,5,FALSE))</f>
        <v/>
      </c>
      <c r="F140" s="94" t="str">
        <f>IF(ISNA(VLOOKUP($A140,Kc_Info!$A$4:$V$155,6,FALSE)),"",VLOOKUP($A140,Kc_Info!$A$4:$V$155,6,FALSE))</f>
        <v/>
      </c>
      <c r="G140" s="101" t="str">
        <f>IF(ISNA(VLOOKUP($A140,Kc_Info!$A$4:$V$155,7,FALSE)),"",VLOOKUP($A140,Kc_Info!$A$4:$V$155,7,FALSE))</f>
        <v/>
      </c>
      <c r="H140" s="101" t="str">
        <f>IF(ISNA(VLOOKUP($A140,Kc_Info!$A$4:$V$155,8,FALSE)),"",VLOOKUP($A140,Kc_Info!$A$4:$V$155,8,FALSE))</f>
        <v/>
      </c>
      <c r="I140" s="101" t="str">
        <f>IF(ISNA(VLOOKUP($A140,Kc_Info!$A$4:$V$155,9,FALSE)),"",VLOOKUP($A140,Kc_Info!$A$4:$V$155,9,FALSE))</f>
        <v/>
      </c>
      <c r="J140" s="101" t="str">
        <f>IF(ISNA(VLOOKUP($A140,Kc_Info!$A$4:$V$155,10,FALSE)),"",VLOOKUP($A140,Kc_Info!$A$4:$V$155,10,FALSE))</f>
        <v/>
      </c>
      <c r="K140" s="94" t="str">
        <f>IF(ISNA(VLOOKUP($A140,Kc_Info!$A$4:$V$155,11,FALSE)),"",VLOOKUP($A140,Kc_Info!$A$4:$V$155,11,FALSE))</f>
        <v/>
      </c>
      <c r="L140" s="94" t="str">
        <f>IF(ISNA(VLOOKUP($A140,Kc_Info!$A$4:$V$155,12,FALSE)),"",VLOOKUP($A140,Kc_Info!$A$4:$V$155,12,FALSE))</f>
        <v/>
      </c>
      <c r="M140" s="94" t="str">
        <f>IF(ISNA(VLOOKUP($A140,Kc_Info!$A$4:$V$155,13,FALSE)),"",VLOOKUP($A140,Kc_Info!$A$4:$V$155,13,FALSE))</f>
        <v/>
      </c>
      <c r="N140" s="94" t="str">
        <f>IF(ISNA(VLOOKUP($A140,Kc_Info!$A$4:$V$155,14,FALSE)),"",VLOOKUP($A140,Kc_Info!$A$4:$V$155,14,FALSE))</f>
        <v/>
      </c>
      <c r="O140" s="100" t="str">
        <f>IF(ISNA(VLOOKUP($A140,Kc_Info!$A$4:$V$155,15,FALSE)),"",VLOOKUP($A140,Kc_Info!$A$4:$V$155,15,FALSE))</f>
        <v/>
      </c>
      <c r="P140" s="100" t="str">
        <f>IF(ISNA(VLOOKUP($A140,Kc_Info!$A$4:$V$155,16,FALSE)),"",VLOOKUP($A140,Kc_Info!$A$4:$V$155,16,FALSE))</f>
        <v/>
      </c>
      <c r="Q140" s="100" t="str">
        <f>IF(ISNA(VLOOKUP($A140,Kc_Info!$A$4:$V$155,17,FALSE)),"",VLOOKUP($A140,Kc_Info!$A$4:$V$155,17,FALSE))</f>
        <v/>
      </c>
      <c r="R140" s="100" t="str">
        <f>IF(ISNA(VLOOKUP($A140,Kc_Info!$A$4:$V$155,18,FALSE)),"",VLOOKUP($A140,Kc_Info!$A$4:$V$155,18,FALSE))</f>
        <v/>
      </c>
      <c r="S140" s="100" t="str">
        <f>IF(ISNA(VLOOKUP($A140,Kc_Info!$A$4:$V$155,19,FALSE)),"",VLOOKUP($A140,Kc_Info!$A$4:$V$155,19,FALSE))</f>
        <v/>
      </c>
      <c r="T140" s="94" t="str">
        <f>IF(ISNA(VLOOKUP($A140,Kc_Info!$A$4:$V$155,20,FALSE)),"",VLOOKUP($A140,Kc_Info!$A$4:$V$155,20,FALSE))</f>
        <v/>
      </c>
      <c r="U140" s="94" t="str">
        <f>IF(ISNA(VLOOKUP($A140,Kc_Info!$A$4:$V$155,21,FALSE)),"",VLOOKUP($A140,Kc_Info!$A$4:$V$155,21,FALSE))</f>
        <v/>
      </c>
      <c r="V140" s="94" t="str">
        <f>IF(ISNA(VLOOKUP($A140,Kc_Info!$A$4:$V$155,22,FALSE)),"",VLOOKUP($A140,Kc_Info!$A$4:$V$155,22,FALSE))</f>
        <v/>
      </c>
    </row>
    <row r="141" spans="1:22">
      <c r="A141" s="92"/>
      <c r="B141" s="93" t="str">
        <f>IF(ISNA(VLOOKUP($A141,Kc_Info!$A$4:$V$155,2,FALSE)),"",VLOOKUP($A141,Kc_Info!$A$4:$V$155,2,FALSE))</f>
        <v/>
      </c>
      <c r="C141" s="94" t="str">
        <f>IF(ISNA(VLOOKUP($A141,Kc_Info!$A$4:$V$155,3,FALSE)),"",VLOOKUP($A141,Kc_Info!$A$4:$V$155,3,FALSE))</f>
        <v/>
      </c>
      <c r="D141" s="94" t="str">
        <f>IF(ISNA(VLOOKUP($A141,Kc_Info!$A$4:$V$155,4,FALSE)),"",VLOOKUP($A141,Kc_Info!$A$4:$V$155,4,FALSE))</f>
        <v/>
      </c>
      <c r="E141" s="94" t="str">
        <f>IF(ISNA(VLOOKUP($A141,Kc_Info!$A$4:$V$155,5,FALSE)),"",VLOOKUP($A141,Kc_Info!$A$4:$V$155,5,FALSE))</f>
        <v/>
      </c>
      <c r="F141" s="94" t="str">
        <f>IF(ISNA(VLOOKUP($A141,Kc_Info!$A$4:$V$155,6,FALSE)),"",VLOOKUP($A141,Kc_Info!$A$4:$V$155,6,FALSE))</f>
        <v/>
      </c>
      <c r="G141" s="101" t="str">
        <f>IF(ISNA(VLOOKUP($A141,Kc_Info!$A$4:$V$155,7,FALSE)),"",VLOOKUP($A141,Kc_Info!$A$4:$V$155,7,FALSE))</f>
        <v/>
      </c>
      <c r="H141" s="101" t="str">
        <f>IF(ISNA(VLOOKUP($A141,Kc_Info!$A$4:$V$155,8,FALSE)),"",VLOOKUP($A141,Kc_Info!$A$4:$V$155,8,FALSE))</f>
        <v/>
      </c>
      <c r="I141" s="101" t="str">
        <f>IF(ISNA(VLOOKUP($A141,Kc_Info!$A$4:$V$155,9,FALSE)),"",VLOOKUP($A141,Kc_Info!$A$4:$V$155,9,FALSE))</f>
        <v/>
      </c>
      <c r="J141" s="101" t="str">
        <f>IF(ISNA(VLOOKUP($A141,Kc_Info!$A$4:$V$155,10,FALSE)),"",VLOOKUP($A141,Kc_Info!$A$4:$V$155,10,FALSE))</f>
        <v/>
      </c>
      <c r="K141" s="94" t="str">
        <f>IF(ISNA(VLOOKUP($A141,Kc_Info!$A$4:$V$155,11,FALSE)),"",VLOOKUP($A141,Kc_Info!$A$4:$V$155,11,FALSE))</f>
        <v/>
      </c>
      <c r="L141" s="94" t="str">
        <f>IF(ISNA(VLOOKUP($A141,Kc_Info!$A$4:$V$155,12,FALSE)),"",VLOOKUP($A141,Kc_Info!$A$4:$V$155,12,FALSE))</f>
        <v/>
      </c>
      <c r="M141" s="94" t="str">
        <f>IF(ISNA(VLOOKUP($A141,Kc_Info!$A$4:$V$155,13,FALSE)),"",VLOOKUP($A141,Kc_Info!$A$4:$V$155,13,FALSE))</f>
        <v/>
      </c>
      <c r="N141" s="94" t="str">
        <f>IF(ISNA(VLOOKUP($A141,Kc_Info!$A$4:$V$155,14,FALSE)),"",VLOOKUP($A141,Kc_Info!$A$4:$V$155,14,FALSE))</f>
        <v/>
      </c>
      <c r="O141" s="100" t="str">
        <f>IF(ISNA(VLOOKUP($A141,Kc_Info!$A$4:$V$155,15,FALSE)),"",VLOOKUP($A141,Kc_Info!$A$4:$V$155,15,FALSE))</f>
        <v/>
      </c>
      <c r="P141" s="100" t="str">
        <f>IF(ISNA(VLOOKUP($A141,Kc_Info!$A$4:$V$155,16,FALSE)),"",VLOOKUP($A141,Kc_Info!$A$4:$V$155,16,FALSE))</f>
        <v/>
      </c>
      <c r="Q141" s="100" t="str">
        <f>IF(ISNA(VLOOKUP($A141,Kc_Info!$A$4:$V$155,17,FALSE)),"",VLOOKUP($A141,Kc_Info!$A$4:$V$155,17,FALSE))</f>
        <v/>
      </c>
      <c r="R141" s="100" t="str">
        <f>IF(ISNA(VLOOKUP($A141,Kc_Info!$A$4:$V$155,18,FALSE)),"",VLOOKUP($A141,Kc_Info!$A$4:$V$155,18,FALSE))</f>
        <v/>
      </c>
      <c r="S141" s="100" t="str">
        <f>IF(ISNA(VLOOKUP($A141,Kc_Info!$A$4:$V$155,19,FALSE)),"",VLOOKUP($A141,Kc_Info!$A$4:$V$155,19,FALSE))</f>
        <v/>
      </c>
      <c r="T141" s="94" t="str">
        <f>IF(ISNA(VLOOKUP($A141,Kc_Info!$A$4:$V$155,20,FALSE)),"",VLOOKUP($A141,Kc_Info!$A$4:$V$155,20,FALSE))</f>
        <v/>
      </c>
      <c r="U141" s="94" t="str">
        <f>IF(ISNA(VLOOKUP($A141,Kc_Info!$A$4:$V$155,21,FALSE)),"",VLOOKUP($A141,Kc_Info!$A$4:$V$155,21,FALSE))</f>
        <v/>
      </c>
      <c r="V141" s="94" t="str">
        <f>IF(ISNA(VLOOKUP($A141,Kc_Info!$A$4:$V$155,22,FALSE)),"",VLOOKUP($A141,Kc_Info!$A$4:$V$155,22,FALSE))</f>
        <v/>
      </c>
    </row>
    <row r="142" spans="1:22">
      <c r="A142" s="92"/>
      <c r="B142" s="93" t="str">
        <f>IF(ISNA(VLOOKUP($A142,Kc_Info!$A$4:$V$155,2,FALSE)),"",VLOOKUP($A142,Kc_Info!$A$4:$V$155,2,FALSE))</f>
        <v/>
      </c>
      <c r="C142" s="94" t="str">
        <f>IF(ISNA(VLOOKUP($A142,Kc_Info!$A$4:$V$155,3,FALSE)),"",VLOOKUP($A142,Kc_Info!$A$4:$V$155,3,FALSE))</f>
        <v/>
      </c>
      <c r="D142" s="94" t="str">
        <f>IF(ISNA(VLOOKUP($A142,Kc_Info!$A$4:$V$155,4,FALSE)),"",VLOOKUP($A142,Kc_Info!$A$4:$V$155,4,FALSE))</f>
        <v/>
      </c>
      <c r="E142" s="94" t="str">
        <f>IF(ISNA(VLOOKUP($A142,Kc_Info!$A$4:$V$155,5,FALSE)),"",VLOOKUP($A142,Kc_Info!$A$4:$V$155,5,FALSE))</f>
        <v/>
      </c>
      <c r="F142" s="94" t="str">
        <f>IF(ISNA(VLOOKUP($A142,Kc_Info!$A$4:$V$155,6,FALSE)),"",VLOOKUP($A142,Kc_Info!$A$4:$V$155,6,FALSE))</f>
        <v/>
      </c>
      <c r="G142" s="101" t="str">
        <f>IF(ISNA(VLOOKUP($A142,Kc_Info!$A$4:$V$155,7,FALSE)),"",VLOOKUP($A142,Kc_Info!$A$4:$V$155,7,FALSE))</f>
        <v/>
      </c>
      <c r="H142" s="101" t="str">
        <f>IF(ISNA(VLOOKUP($A142,Kc_Info!$A$4:$V$155,8,FALSE)),"",VLOOKUP($A142,Kc_Info!$A$4:$V$155,8,FALSE))</f>
        <v/>
      </c>
      <c r="I142" s="101" t="str">
        <f>IF(ISNA(VLOOKUP($A142,Kc_Info!$A$4:$V$155,9,FALSE)),"",VLOOKUP($A142,Kc_Info!$A$4:$V$155,9,FALSE))</f>
        <v/>
      </c>
      <c r="J142" s="101" t="str">
        <f>IF(ISNA(VLOOKUP($A142,Kc_Info!$A$4:$V$155,10,FALSE)),"",VLOOKUP($A142,Kc_Info!$A$4:$V$155,10,FALSE))</f>
        <v/>
      </c>
      <c r="K142" s="94" t="str">
        <f>IF(ISNA(VLOOKUP($A142,Kc_Info!$A$4:$V$155,11,FALSE)),"",VLOOKUP($A142,Kc_Info!$A$4:$V$155,11,FALSE))</f>
        <v/>
      </c>
      <c r="L142" s="94" t="str">
        <f>IF(ISNA(VLOOKUP($A142,Kc_Info!$A$4:$V$155,12,FALSE)),"",VLOOKUP($A142,Kc_Info!$A$4:$V$155,12,FALSE))</f>
        <v/>
      </c>
      <c r="M142" s="94" t="str">
        <f>IF(ISNA(VLOOKUP($A142,Kc_Info!$A$4:$V$155,13,FALSE)),"",VLOOKUP($A142,Kc_Info!$A$4:$V$155,13,FALSE))</f>
        <v/>
      </c>
      <c r="N142" s="94" t="str">
        <f>IF(ISNA(VLOOKUP($A142,Kc_Info!$A$4:$V$155,14,FALSE)),"",VLOOKUP($A142,Kc_Info!$A$4:$V$155,14,FALSE))</f>
        <v/>
      </c>
      <c r="O142" s="100" t="str">
        <f>IF(ISNA(VLOOKUP($A142,Kc_Info!$A$4:$V$155,15,FALSE)),"",VLOOKUP($A142,Kc_Info!$A$4:$V$155,15,FALSE))</f>
        <v/>
      </c>
      <c r="P142" s="100" t="str">
        <f>IF(ISNA(VLOOKUP($A142,Kc_Info!$A$4:$V$155,16,FALSE)),"",VLOOKUP($A142,Kc_Info!$A$4:$V$155,16,FALSE))</f>
        <v/>
      </c>
      <c r="Q142" s="100" t="str">
        <f>IF(ISNA(VLOOKUP($A142,Kc_Info!$A$4:$V$155,17,FALSE)),"",VLOOKUP($A142,Kc_Info!$A$4:$V$155,17,FALSE))</f>
        <v/>
      </c>
      <c r="R142" s="100" t="str">
        <f>IF(ISNA(VLOOKUP($A142,Kc_Info!$A$4:$V$155,18,FALSE)),"",VLOOKUP($A142,Kc_Info!$A$4:$V$155,18,FALSE))</f>
        <v/>
      </c>
      <c r="S142" s="100" t="str">
        <f>IF(ISNA(VLOOKUP($A142,Kc_Info!$A$4:$V$155,19,FALSE)),"",VLOOKUP($A142,Kc_Info!$A$4:$V$155,19,FALSE))</f>
        <v/>
      </c>
      <c r="T142" s="94" t="str">
        <f>IF(ISNA(VLOOKUP($A142,Kc_Info!$A$4:$V$155,20,FALSE)),"",VLOOKUP($A142,Kc_Info!$A$4:$V$155,20,FALSE))</f>
        <v/>
      </c>
      <c r="U142" s="94" t="str">
        <f>IF(ISNA(VLOOKUP($A142,Kc_Info!$A$4:$V$155,21,FALSE)),"",VLOOKUP($A142,Kc_Info!$A$4:$V$155,21,FALSE))</f>
        <v/>
      </c>
      <c r="V142" s="94" t="str">
        <f>IF(ISNA(VLOOKUP($A142,Kc_Info!$A$4:$V$155,22,FALSE)),"",VLOOKUP($A142,Kc_Info!$A$4:$V$155,22,FALSE))</f>
        <v/>
      </c>
    </row>
    <row r="143" spans="1:22">
      <c r="A143" s="92"/>
      <c r="B143" s="93" t="str">
        <f>IF(ISNA(VLOOKUP($A143,Kc_Info!$A$4:$V$155,2,FALSE)),"",VLOOKUP($A143,Kc_Info!$A$4:$V$155,2,FALSE))</f>
        <v/>
      </c>
      <c r="C143" s="94" t="str">
        <f>IF(ISNA(VLOOKUP($A143,Kc_Info!$A$4:$V$155,3,FALSE)),"",VLOOKUP($A143,Kc_Info!$A$4:$V$155,3,FALSE))</f>
        <v/>
      </c>
      <c r="D143" s="94" t="str">
        <f>IF(ISNA(VLOOKUP($A143,Kc_Info!$A$4:$V$155,4,FALSE)),"",VLOOKUP($A143,Kc_Info!$A$4:$V$155,4,FALSE))</f>
        <v/>
      </c>
      <c r="E143" s="94" t="str">
        <f>IF(ISNA(VLOOKUP($A143,Kc_Info!$A$4:$V$155,5,FALSE)),"",VLOOKUP($A143,Kc_Info!$A$4:$V$155,5,FALSE))</f>
        <v/>
      </c>
      <c r="F143" s="94" t="str">
        <f>IF(ISNA(VLOOKUP($A143,Kc_Info!$A$4:$V$155,6,FALSE)),"",VLOOKUP($A143,Kc_Info!$A$4:$V$155,6,FALSE))</f>
        <v/>
      </c>
      <c r="G143" s="101" t="str">
        <f>IF(ISNA(VLOOKUP($A143,Kc_Info!$A$4:$V$155,7,FALSE)),"",VLOOKUP($A143,Kc_Info!$A$4:$V$155,7,FALSE))</f>
        <v/>
      </c>
      <c r="H143" s="101" t="str">
        <f>IF(ISNA(VLOOKUP($A143,Kc_Info!$A$4:$V$155,8,FALSE)),"",VLOOKUP($A143,Kc_Info!$A$4:$V$155,8,FALSE))</f>
        <v/>
      </c>
      <c r="I143" s="101" t="str">
        <f>IF(ISNA(VLOOKUP($A143,Kc_Info!$A$4:$V$155,9,FALSE)),"",VLOOKUP($A143,Kc_Info!$A$4:$V$155,9,FALSE))</f>
        <v/>
      </c>
      <c r="J143" s="101" t="str">
        <f>IF(ISNA(VLOOKUP($A143,Kc_Info!$A$4:$V$155,10,FALSE)),"",VLOOKUP($A143,Kc_Info!$A$4:$V$155,10,FALSE))</f>
        <v/>
      </c>
      <c r="K143" s="94" t="str">
        <f>IF(ISNA(VLOOKUP($A143,Kc_Info!$A$4:$V$155,11,FALSE)),"",VLOOKUP($A143,Kc_Info!$A$4:$V$155,11,FALSE))</f>
        <v/>
      </c>
      <c r="L143" s="94" t="str">
        <f>IF(ISNA(VLOOKUP($A143,Kc_Info!$A$4:$V$155,12,FALSE)),"",VLOOKUP($A143,Kc_Info!$A$4:$V$155,12,FALSE))</f>
        <v/>
      </c>
      <c r="M143" s="94" t="str">
        <f>IF(ISNA(VLOOKUP($A143,Kc_Info!$A$4:$V$155,13,FALSE)),"",VLOOKUP($A143,Kc_Info!$A$4:$V$155,13,FALSE))</f>
        <v/>
      </c>
      <c r="N143" s="94" t="str">
        <f>IF(ISNA(VLOOKUP($A143,Kc_Info!$A$4:$V$155,14,FALSE)),"",VLOOKUP($A143,Kc_Info!$A$4:$V$155,14,FALSE))</f>
        <v/>
      </c>
      <c r="O143" s="100" t="str">
        <f>IF(ISNA(VLOOKUP($A143,Kc_Info!$A$4:$V$155,15,FALSE)),"",VLOOKUP($A143,Kc_Info!$A$4:$V$155,15,FALSE))</f>
        <v/>
      </c>
      <c r="P143" s="100" t="str">
        <f>IF(ISNA(VLOOKUP($A143,Kc_Info!$A$4:$V$155,16,FALSE)),"",VLOOKUP($A143,Kc_Info!$A$4:$V$155,16,FALSE))</f>
        <v/>
      </c>
      <c r="Q143" s="100" t="str">
        <f>IF(ISNA(VLOOKUP($A143,Kc_Info!$A$4:$V$155,17,FALSE)),"",VLOOKUP($A143,Kc_Info!$A$4:$V$155,17,FALSE))</f>
        <v/>
      </c>
      <c r="R143" s="100" t="str">
        <f>IF(ISNA(VLOOKUP($A143,Kc_Info!$A$4:$V$155,18,FALSE)),"",VLOOKUP($A143,Kc_Info!$A$4:$V$155,18,FALSE))</f>
        <v/>
      </c>
      <c r="S143" s="100" t="str">
        <f>IF(ISNA(VLOOKUP($A143,Kc_Info!$A$4:$V$155,19,FALSE)),"",VLOOKUP($A143,Kc_Info!$A$4:$V$155,19,FALSE))</f>
        <v/>
      </c>
      <c r="T143" s="94" t="str">
        <f>IF(ISNA(VLOOKUP($A143,Kc_Info!$A$4:$V$155,20,FALSE)),"",VLOOKUP($A143,Kc_Info!$A$4:$V$155,20,FALSE))</f>
        <v/>
      </c>
      <c r="U143" s="94" t="str">
        <f>IF(ISNA(VLOOKUP($A143,Kc_Info!$A$4:$V$155,21,FALSE)),"",VLOOKUP($A143,Kc_Info!$A$4:$V$155,21,FALSE))</f>
        <v/>
      </c>
      <c r="V143" s="94" t="str">
        <f>IF(ISNA(VLOOKUP($A143,Kc_Info!$A$4:$V$155,22,FALSE)),"",VLOOKUP($A143,Kc_Info!$A$4:$V$155,22,FALSE))</f>
        <v/>
      </c>
    </row>
    <row r="144" spans="1:22">
      <c r="A144" s="92"/>
      <c r="B144" s="93" t="str">
        <f>IF(ISNA(VLOOKUP($A144,Kc_Info!$A$4:$V$155,2,FALSE)),"",VLOOKUP($A144,Kc_Info!$A$4:$V$155,2,FALSE))</f>
        <v/>
      </c>
      <c r="C144" s="94" t="str">
        <f>IF(ISNA(VLOOKUP($A144,Kc_Info!$A$4:$V$155,3,FALSE)),"",VLOOKUP($A144,Kc_Info!$A$4:$V$155,3,FALSE))</f>
        <v/>
      </c>
      <c r="D144" s="94" t="str">
        <f>IF(ISNA(VLOOKUP($A144,Kc_Info!$A$4:$V$155,4,FALSE)),"",VLOOKUP($A144,Kc_Info!$A$4:$V$155,4,FALSE))</f>
        <v/>
      </c>
      <c r="E144" s="94" t="str">
        <f>IF(ISNA(VLOOKUP($A144,Kc_Info!$A$4:$V$155,5,FALSE)),"",VLOOKUP($A144,Kc_Info!$A$4:$V$155,5,FALSE))</f>
        <v/>
      </c>
      <c r="F144" s="94" t="str">
        <f>IF(ISNA(VLOOKUP($A144,Kc_Info!$A$4:$V$155,6,FALSE)),"",VLOOKUP($A144,Kc_Info!$A$4:$V$155,6,FALSE))</f>
        <v/>
      </c>
      <c r="G144" s="101" t="str">
        <f>IF(ISNA(VLOOKUP($A144,Kc_Info!$A$4:$V$155,7,FALSE)),"",VLOOKUP($A144,Kc_Info!$A$4:$V$155,7,FALSE))</f>
        <v/>
      </c>
      <c r="H144" s="101" t="str">
        <f>IF(ISNA(VLOOKUP($A144,Kc_Info!$A$4:$V$155,8,FALSE)),"",VLOOKUP($A144,Kc_Info!$A$4:$V$155,8,FALSE))</f>
        <v/>
      </c>
      <c r="I144" s="101" t="str">
        <f>IF(ISNA(VLOOKUP($A144,Kc_Info!$A$4:$V$155,9,FALSE)),"",VLOOKUP($A144,Kc_Info!$A$4:$V$155,9,FALSE))</f>
        <v/>
      </c>
      <c r="J144" s="101" t="str">
        <f>IF(ISNA(VLOOKUP($A144,Kc_Info!$A$4:$V$155,10,FALSE)),"",VLOOKUP($A144,Kc_Info!$A$4:$V$155,10,FALSE))</f>
        <v/>
      </c>
      <c r="K144" s="94" t="str">
        <f>IF(ISNA(VLOOKUP($A144,Kc_Info!$A$4:$V$155,11,FALSE)),"",VLOOKUP($A144,Kc_Info!$A$4:$V$155,11,FALSE))</f>
        <v/>
      </c>
      <c r="L144" s="94" t="str">
        <f>IF(ISNA(VLOOKUP($A144,Kc_Info!$A$4:$V$155,12,FALSE)),"",VLOOKUP($A144,Kc_Info!$A$4:$V$155,12,FALSE))</f>
        <v/>
      </c>
      <c r="M144" s="94" t="str">
        <f>IF(ISNA(VLOOKUP($A144,Kc_Info!$A$4:$V$155,13,FALSE)),"",VLOOKUP($A144,Kc_Info!$A$4:$V$155,13,FALSE))</f>
        <v/>
      </c>
      <c r="N144" s="94" t="str">
        <f>IF(ISNA(VLOOKUP($A144,Kc_Info!$A$4:$V$155,14,FALSE)),"",VLOOKUP($A144,Kc_Info!$A$4:$V$155,14,FALSE))</f>
        <v/>
      </c>
      <c r="O144" s="100" t="str">
        <f>IF(ISNA(VLOOKUP($A144,Kc_Info!$A$4:$V$155,15,FALSE)),"",VLOOKUP($A144,Kc_Info!$A$4:$V$155,15,FALSE))</f>
        <v/>
      </c>
      <c r="P144" s="100" t="str">
        <f>IF(ISNA(VLOOKUP($A144,Kc_Info!$A$4:$V$155,16,FALSE)),"",VLOOKUP($A144,Kc_Info!$A$4:$V$155,16,FALSE))</f>
        <v/>
      </c>
      <c r="Q144" s="100" t="str">
        <f>IF(ISNA(VLOOKUP($A144,Kc_Info!$A$4:$V$155,17,FALSE)),"",VLOOKUP($A144,Kc_Info!$A$4:$V$155,17,FALSE))</f>
        <v/>
      </c>
      <c r="R144" s="100" t="str">
        <f>IF(ISNA(VLOOKUP($A144,Kc_Info!$A$4:$V$155,18,FALSE)),"",VLOOKUP($A144,Kc_Info!$A$4:$V$155,18,FALSE))</f>
        <v/>
      </c>
      <c r="S144" s="100" t="str">
        <f>IF(ISNA(VLOOKUP($A144,Kc_Info!$A$4:$V$155,19,FALSE)),"",VLOOKUP($A144,Kc_Info!$A$4:$V$155,19,FALSE))</f>
        <v/>
      </c>
      <c r="T144" s="94" t="str">
        <f>IF(ISNA(VLOOKUP($A144,Kc_Info!$A$4:$V$155,20,FALSE)),"",VLOOKUP($A144,Kc_Info!$A$4:$V$155,20,FALSE))</f>
        <v/>
      </c>
      <c r="U144" s="94" t="str">
        <f>IF(ISNA(VLOOKUP($A144,Kc_Info!$A$4:$V$155,21,FALSE)),"",VLOOKUP($A144,Kc_Info!$A$4:$V$155,21,FALSE))</f>
        <v/>
      </c>
      <c r="V144" s="94" t="str">
        <f>IF(ISNA(VLOOKUP($A144,Kc_Info!$A$4:$V$155,22,FALSE)),"",VLOOKUP($A144,Kc_Info!$A$4:$V$155,22,FALSE))</f>
        <v/>
      </c>
    </row>
    <row r="145" spans="1:22">
      <c r="A145" s="92"/>
      <c r="B145" s="93" t="str">
        <f>IF(ISNA(VLOOKUP($A145,Kc_Info!$A$4:$V$155,2,FALSE)),"",VLOOKUP($A145,Kc_Info!$A$4:$V$155,2,FALSE))</f>
        <v/>
      </c>
      <c r="C145" s="94" t="str">
        <f>IF(ISNA(VLOOKUP($A145,Kc_Info!$A$4:$V$155,3,FALSE)),"",VLOOKUP($A145,Kc_Info!$A$4:$V$155,3,FALSE))</f>
        <v/>
      </c>
      <c r="D145" s="94" t="str">
        <f>IF(ISNA(VLOOKUP($A145,Kc_Info!$A$4:$V$155,4,FALSE)),"",VLOOKUP($A145,Kc_Info!$A$4:$V$155,4,FALSE))</f>
        <v/>
      </c>
      <c r="E145" s="94" t="str">
        <f>IF(ISNA(VLOOKUP($A145,Kc_Info!$A$4:$V$155,5,FALSE)),"",VLOOKUP($A145,Kc_Info!$A$4:$V$155,5,FALSE))</f>
        <v/>
      </c>
      <c r="F145" s="94" t="str">
        <f>IF(ISNA(VLOOKUP($A145,Kc_Info!$A$4:$V$155,6,FALSE)),"",VLOOKUP($A145,Kc_Info!$A$4:$V$155,6,FALSE))</f>
        <v/>
      </c>
      <c r="G145" s="101" t="str">
        <f>IF(ISNA(VLOOKUP($A145,Kc_Info!$A$4:$V$155,7,FALSE)),"",VLOOKUP($A145,Kc_Info!$A$4:$V$155,7,FALSE))</f>
        <v/>
      </c>
      <c r="H145" s="101" t="str">
        <f>IF(ISNA(VLOOKUP($A145,Kc_Info!$A$4:$V$155,8,FALSE)),"",VLOOKUP($A145,Kc_Info!$A$4:$V$155,8,FALSE))</f>
        <v/>
      </c>
      <c r="I145" s="101" t="str">
        <f>IF(ISNA(VLOOKUP($A145,Kc_Info!$A$4:$V$155,9,FALSE)),"",VLOOKUP($A145,Kc_Info!$A$4:$V$155,9,FALSE))</f>
        <v/>
      </c>
      <c r="J145" s="101" t="str">
        <f>IF(ISNA(VLOOKUP($A145,Kc_Info!$A$4:$V$155,10,FALSE)),"",VLOOKUP($A145,Kc_Info!$A$4:$V$155,10,FALSE))</f>
        <v/>
      </c>
      <c r="K145" s="94" t="str">
        <f>IF(ISNA(VLOOKUP($A145,Kc_Info!$A$4:$V$155,11,FALSE)),"",VLOOKUP($A145,Kc_Info!$A$4:$V$155,11,FALSE))</f>
        <v/>
      </c>
      <c r="L145" s="94" t="str">
        <f>IF(ISNA(VLOOKUP($A145,Kc_Info!$A$4:$V$155,12,FALSE)),"",VLOOKUP($A145,Kc_Info!$A$4:$V$155,12,FALSE))</f>
        <v/>
      </c>
      <c r="M145" s="94" t="str">
        <f>IF(ISNA(VLOOKUP($A145,Kc_Info!$A$4:$V$155,13,FALSE)),"",VLOOKUP($A145,Kc_Info!$A$4:$V$155,13,FALSE))</f>
        <v/>
      </c>
      <c r="N145" s="94" t="str">
        <f>IF(ISNA(VLOOKUP($A145,Kc_Info!$A$4:$V$155,14,FALSE)),"",VLOOKUP($A145,Kc_Info!$A$4:$V$155,14,FALSE))</f>
        <v/>
      </c>
      <c r="O145" s="100" t="str">
        <f>IF(ISNA(VLOOKUP($A145,Kc_Info!$A$4:$V$155,15,FALSE)),"",VLOOKUP($A145,Kc_Info!$A$4:$V$155,15,FALSE))</f>
        <v/>
      </c>
      <c r="P145" s="100" t="str">
        <f>IF(ISNA(VLOOKUP($A145,Kc_Info!$A$4:$V$155,16,FALSE)),"",VLOOKUP($A145,Kc_Info!$A$4:$V$155,16,FALSE))</f>
        <v/>
      </c>
      <c r="Q145" s="100" t="str">
        <f>IF(ISNA(VLOOKUP($A145,Kc_Info!$A$4:$V$155,17,FALSE)),"",VLOOKUP($A145,Kc_Info!$A$4:$V$155,17,FALSE))</f>
        <v/>
      </c>
      <c r="R145" s="100" t="str">
        <f>IF(ISNA(VLOOKUP($A145,Kc_Info!$A$4:$V$155,18,FALSE)),"",VLOOKUP($A145,Kc_Info!$A$4:$V$155,18,FALSE))</f>
        <v/>
      </c>
      <c r="S145" s="100" t="str">
        <f>IF(ISNA(VLOOKUP($A145,Kc_Info!$A$4:$V$155,19,FALSE)),"",VLOOKUP($A145,Kc_Info!$A$4:$V$155,19,FALSE))</f>
        <v/>
      </c>
      <c r="T145" s="94" t="str">
        <f>IF(ISNA(VLOOKUP($A145,Kc_Info!$A$4:$V$155,20,FALSE)),"",VLOOKUP($A145,Kc_Info!$A$4:$V$155,20,FALSE))</f>
        <v/>
      </c>
      <c r="U145" s="94" t="str">
        <f>IF(ISNA(VLOOKUP($A145,Kc_Info!$A$4:$V$155,21,FALSE)),"",VLOOKUP($A145,Kc_Info!$A$4:$V$155,21,FALSE))</f>
        <v/>
      </c>
      <c r="V145" s="94" t="str">
        <f>IF(ISNA(VLOOKUP($A145,Kc_Info!$A$4:$V$155,22,FALSE)),"",VLOOKUP($A145,Kc_Info!$A$4:$V$155,22,FALSE))</f>
        <v/>
      </c>
    </row>
    <row r="146" spans="1:22">
      <c r="A146" s="92"/>
      <c r="B146" s="93" t="str">
        <f>IF(ISNA(VLOOKUP($A146,Kc_Info!$A$4:$V$155,2,FALSE)),"",VLOOKUP($A146,Kc_Info!$A$4:$V$155,2,FALSE))</f>
        <v/>
      </c>
      <c r="C146" s="94" t="str">
        <f>IF(ISNA(VLOOKUP($A146,Kc_Info!$A$4:$V$155,3,FALSE)),"",VLOOKUP($A146,Kc_Info!$A$4:$V$155,3,FALSE))</f>
        <v/>
      </c>
      <c r="D146" s="94" t="str">
        <f>IF(ISNA(VLOOKUP($A146,Kc_Info!$A$4:$V$155,4,FALSE)),"",VLOOKUP($A146,Kc_Info!$A$4:$V$155,4,FALSE))</f>
        <v/>
      </c>
      <c r="E146" s="94" t="str">
        <f>IF(ISNA(VLOOKUP($A146,Kc_Info!$A$4:$V$155,5,FALSE)),"",VLOOKUP($A146,Kc_Info!$A$4:$V$155,5,FALSE))</f>
        <v/>
      </c>
      <c r="F146" s="94" t="str">
        <f>IF(ISNA(VLOOKUP($A146,Kc_Info!$A$4:$V$155,6,FALSE)),"",VLOOKUP($A146,Kc_Info!$A$4:$V$155,6,FALSE))</f>
        <v/>
      </c>
      <c r="G146" s="101" t="str">
        <f>IF(ISNA(VLOOKUP($A146,Kc_Info!$A$4:$V$155,7,FALSE)),"",VLOOKUP($A146,Kc_Info!$A$4:$V$155,7,FALSE))</f>
        <v/>
      </c>
      <c r="H146" s="101" t="str">
        <f>IF(ISNA(VLOOKUP($A146,Kc_Info!$A$4:$V$155,8,FALSE)),"",VLOOKUP($A146,Kc_Info!$A$4:$V$155,8,FALSE))</f>
        <v/>
      </c>
      <c r="I146" s="101" t="str">
        <f>IF(ISNA(VLOOKUP($A146,Kc_Info!$A$4:$V$155,9,FALSE)),"",VLOOKUP($A146,Kc_Info!$A$4:$V$155,9,FALSE))</f>
        <v/>
      </c>
      <c r="J146" s="101" t="str">
        <f>IF(ISNA(VLOOKUP($A146,Kc_Info!$A$4:$V$155,10,FALSE)),"",VLOOKUP($A146,Kc_Info!$A$4:$V$155,10,FALSE))</f>
        <v/>
      </c>
      <c r="K146" s="94" t="str">
        <f>IF(ISNA(VLOOKUP($A146,Kc_Info!$A$4:$V$155,11,FALSE)),"",VLOOKUP($A146,Kc_Info!$A$4:$V$155,11,FALSE))</f>
        <v/>
      </c>
      <c r="L146" s="94" t="str">
        <f>IF(ISNA(VLOOKUP($A146,Kc_Info!$A$4:$V$155,12,FALSE)),"",VLOOKUP($A146,Kc_Info!$A$4:$V$155,12,FALSE))</f>
        <v/>
      </c>
      <c r="M146" s="94" t="str">
        <f>IF(ISNA(VLOOKUP($A146,Kc_Info!$A$4:$V$155,13,FALSE)),"",VLOOKUP($A146,Kc_Info!$A$4:$V$155,13,FALSE))</f>
        <v/>
      </c>
      <c r="N146" s="94" t="str">
        <f>IF(ISNA(VLOOKUP($A146,Kc_Info!$A$4:$V$155,14,FALSE)),"",VLOOKUP($A146,Kc_Info!$A$4:$V$155,14,FALSE))</f>
        <v/>
      </c>
      <c r="O146" s="100" t="str">
        <f>IF(ISNA(VLOOKUP($A146,Kc_Info!$A$4:$V$155,15,FALSE)),"",VLOOKUP($A146,Kc_Info!$A$4:$V$155,15,FALSE))</f>
        <v/>
      </c>
      <c r="P146" s="100" t="str">
        <f>IF(ISNA(VLOOKUP($A146,Kc_Info!$A$4:$V$155,16,FALSE)),"",VLOOKUP($A146,Kc_Info!$A$4:$V$155,16,FALSE))</f>
        <v/>
      </c>
      <c r="Q146" s="100" t="str">
        <f>IF(ISNA(VLOOKUP($A146,Kc_Info!$A$4:$V$155,17,FALSE)),"",VLOOKUP($A146,Kc_Info!$A$4:$V$155,17,FALSE))</f>
        <v/>
      </c>
      <c r="R146" s="100" t="str">
        <f>IF(ISNA(VLOOKUP($A146,Kc_Info!$A$4:$V$155,18,FALSE)),"",VLOOKUP($A146,Kc_Info!$A$4:$V$155,18,FALSE))</f>
        <v/>
      </c>
      <c r="S146" s="100" t="str">
        <f>IF(ISNA(VLOOKUP($A146,Kc_Info!$A$4:$V$155,19,FALSE)),"",VLOOKUP($A146,Kc_Info!$A$4:$V$155,19,FALSE))</f>
        <v/>
      </c>
      <c r="T146" s="94" t="str">
        <f>IF(ISNA(VLOOKUP($A146,Kc_Info!$A$4:$V$155,20,FALSE)),"",VLOOKUP($A146,Kc_Info!$A$4:$V$155,20,FALSE))</f>
        <v/>
      </c>
      <c r="U146" s="94" t="str">
        <f>IF(ISNA(VLOOKUP($A146,Kc_Info!$A$4:$V$155,21,FALSE)),"",VLOOKUP($A146,Kc_Info!$A$4:$V$155,21,FALSE))</f>
        <v/>
      </c>
      <c r="V146" s="94" t="str">
        <f>IF(ISNA(VLOOKUP($A146,Kc_Info!$A$4:$V$155,22,FALSE)),"",VLOOKUP($A146,Kc_Info!$A$4:$V$155,22,FALSE))</f>
        <v/>
      </c>
    </row>
    <row r="147" spans="1:22">
      <c r="A147" s="92"/>
      <c r="B147" s="93" t="str">
        <f>IF(ISNA(VLOOKUP($A147,Kc_Info!$A$4:$V$155,2,FALSE)),"",VLOOKUP($A147,Kc_Info!$A$4:$V$155,2,FALSE))</f>
        <v/>
      </c>
      <c r="C147" s="94" t="str">
        <f>IF(ISNA(VLOOKUP($A147,Kc_Info!$A$4:$V$155,3,FALSE)),"",VLOOKUP($A147,Kc_Info!$A$4:$V$155,3,FALSE))</f>
        <v/>
      </c>
      <c r="D147" s="94" t="str">
        <f>IF(ISNA(VLOOKUP($A147,Kc_Info!$A$4:$V$155,4,FALSE)),"",VLOOKUP($A147,Kc_Info!$A$4:$V$155,4,FALSE))</f>
        <v/>
      </c>
      <c r="E147" s="94" t="str">
        <f>IF(ISNA(VLOOKUP($A147,Kc_Info!$A$4:$V$155,5,FALSE)),"",VLOOKUP($A147,Kc_Info!$A$4:$V$155,5,FALSE))</f>
        <v/>
      </c>
      <c r="F147" s="94" t="str">
        <f>IF(ISNA(VLOOKUP($A147,Kc_Info!$A$4:$V$155,6,FALSE)),"",VLOOKUP($A147,Kc_Info!$A$4:$V$155,6,FALSE))</f>
        <v/>
      </c>
      <c r="G147" s="101" t="str">
        <f>IF(ISNA(VLOOKUP($A147,Kc_Info!$A$4:$V$155,7,FALSE)),"",VLOOKUP($A147,Kc_Info!$A$4:$V$155,7,FALSE))</f>
        <v/>
      </c>
      <c r="H147" s="101" t="str">
        <f>IF(ISNA(VLOOKUP($A147,Kc_Info!$A$4:$V$155,8,FALSE)),"",VLOOKUP($A147,Kc_Info!$A$4:$V$155,8,FALSE))</f>
        <v/>
      </c>
      <c r="I147" s="101" t="str">
        <f>IF(ISNA(VLOOKUP($A147,Kc_Info!$A$4:$V$155,9,FALSE)),"",VLOOKUP($A147,Kc_Info!$A$4:$V$155,9,FALSE))</f>
        <v/>
      </c>
      <c r="J147" s="101" t="str">
        <f>IF(ISNA(VLOOKUP($A147,Kc_Info!$A$4:$V$155,10,FALSE)),"",VLOOKUP($A147,Kc_Info!$A$4:$V$155,10,FALSE))</f>
        <v/>
      </c>
      <c r="K147" s="94" t="str">
        <f>IF(ISNA(VLOOKUP($A147,Kc_Info!$A$4:$V$155,11,FALSE)),"",VLOOKUP($A147,Kc_Info!$A$4:$V$155,11,FALSE))</f>
        <v/>
      </c>
      <c r="L147" s="94" t="str">
        <f>IF(ISNA(VLOOKUP($A147,Kc_Info!$A$4:$V$155,12,FALSE)),"",VLOOKUP($A147,Kc_Info!$A$4:$V$155,12,FALSE))</f>
        <v/>
      </c>
      <c r="M147" s="94" t="str">
        <f>IF(ISNA(VLOOKUP($A147,Kc_Info!$A$4:$V$155,13,FALSE)),"",VLOOKUP($A147,Kc_Info!$A$4:$V$155,13,FALSE))</f>
        <v/>
      </c>
      <c r="N147" s="94" t="str">
        <f>IF(ISNA(VLOOKUP($A147,Kc_Info!$A$4:$V$155,14,FALSE)),"",VLOOKUP($A147,Kc_Info!$A$4:$V$155,14,FALSE))</f>
        <v/>
      </c>
      <c r="O147" s="100" t="str">
        <f>IF(ISNA(VLOOKUP($A147,Kc_Info!$A$4:$V$155,15,FALSE)),"",VLOOKUP($A147,Kc_Info!$A$4:$V$155,15,FALSE))</f>
        <v/>
      </c>
      <c r="P147" s="100" t="str">
        <f>IF(ISNA(VLOOKUP($A147,Kc_Info!$A$4:$V$155,16,FALSE)),"",VLOOKUP($A147,Kc_Info!$A$4:$V$155,16,FALSE))</f>
        <v/>
      </c>
      <c r="Q147" s="100" t="str">
        <f>IF(ISNA(VLOOKUP($A147,Kc_Info!$A$4:$V$155,17,FALSE)),"",VLOOKUP($A147,Kc_Info!$A$4:$V$155,17,FALSE))</f>
        <v/>
      </c>
      <c r="R147" s="100" t="str">
        <f>IF(ISNA(VLOOKUP($A147,Kc_Info!$A$4:$V$155,18,FALSE)),"",VLOOKUP($A147,Kc_Info!$A$4:$V$155,18,FALSE))</f>
        <v/>
      </c>
      <c r="S147" s="100" t="str">
        <f>IF(ISNA(VLOOKUP($A147,Kc_Info!$A$4:$V$155,19,FALSE)),"",VLOOKUP($A147,Kc_Info!$A$4:$V$155,19,FALSE))</f>
        <v/>
      </c>
      <c r="T147" s="94" t="str">
        <f>IF(ISNA(VLOOKUP($A147,Kc_Info!$A$4:$V$155,20,FALSE)),"",VLOOKUP($A147,Kc_Info!$A$4:$V$155,20,FALSE))</f>
        <v/>
      </c>
      <c r="U147" s="94" t="str">
        <f>IF(ISNA(VLOOKUP($A147,Kc_Info!$A$4:$V$155,21,FALSE)),"",VLOOKUP($A147,Kc_Info!$A$4:$V$155,21,FALSE))</f>
        <v/>
      </c>
      <c r="V147" s="94" t="str">
        <f>IF(ISNA(VLOOKUP($A147,Kc_Info!$A$4:$V$155,22,FALSE)),"",VLOOKUP($A147,Kc_Info!$A$4:$V$155,22,FALSE))</f>
        <v/>
      </c>
    </row>
    <row r="148" spans="1:22">
      <c r="A148" s="92"/>
      <c r="B148" s="93" t="str">
        <f>IF(ISNA(VLOOKUP($A148,Kc_Info!$A$4:$V$155,2,FALSE)),"",VLOOKUP($A148,Kc_Info!$A$4:$V$155,2,FALSE))</f>
        <v/>
      </c>
      <c r="C148" s="94" t="str">
        <f>IF(ISNA(VLOOKUP($A148,Kc_Info!$A$4:$V$155,3,FALSE)),"",VLOOKUP($A148,Kc_Info!$A$4:$V$155,3,FALSE))</f>
        <v/>
      </c>
      <c r="D148" s="94" t="str">
        <f>IF(ISNA(VLOOKUP($A148,Kc_Info!$A$4:$V$155,4,FALSE)),"",VLOOKUP($A148,Kc_Info!$A$4:$V$155,4,FALSE))</f>
        <v/>
      </c>
      <c r="E148" s="94" t="str">
        <f>IF(ISNA(VLOOKUP($A148,Kc_Info!$A$4:$V$155,5,FALSE)),"",VLOOKUP($A148,Kc_Info!$A$4:$V$155,5,FALSE))</f>
        <v/>
      </c>
      <c r="F148" s="94" t="str">
        <f>IF(ISNA(VLOOKUP($A148,Kc_Info!$A$4:$V$155,6,FALSE)),"",VLOOKUP($A148,Kc_Info!$A$4:$V$155,6,FALSE))</f>
        <v/>
      </c>
      <c r="G148" s="101" t="str">
        <f>IF(ISNA(VLOOKUP($A148,Kc_Info!$A$4:$V$155,7,FALSE)),"",VLOOKUP($A148,Kc_Info!$A$4:$V$155,7,FALSE))</f>
        <v/>
      </c>
      <c r="H148" s="101" t="str">
        <f>IF(ISNA(VLOOKUP($A148,Kc_Info!$A$4:$V$155,8,FALSE)),"",VLOOKUP($A148,Kc_Info!$A$4:$V$155,8,FALSE))</f>
        <v/>
      </c>
      <c r="I148" s="101" t="str">
        <f>IF(ISNA(VLOOKUP($A148,Kc_Info!$A$4:$V$155,9,FALSE)),"",VLOOKUP($A148,Kc_Info!$A$4:$V$155,9,FALSE))</f>
        <v/>
      </c>
      <c r="J148" s="101" t="str">
        <f>IF(ISNA(VLOOKUP($A148,Kc_Info!$A$4:$V$155,10,FALSE)),"",VLOOKUP($A148,Kc_Info!$A$4:$V$155,10,FALSE))</f>
        <v/>
      </c>
      <c r="K148" s="94" t="str">
        <f>IF(ISNA(VLOOKUP($A148,Kc_Info!$A$4:$V$155,11,FALSE)),"",VLOOKUP($A148,Kc_Info!$A$4:$V$155,11,FALSE))</f>
        <v/>
      </c>
      <c r="L148" s="94" t="str">
        <f>IF(ISNA(VLOOKUP($A148,Kc_Info!$A$4:$V$155,12,FALSE)),"",VLOOKUP($A148,Kc_Info!$A$4:$V$155,12,FALSE))</f>
        <v/>
      </c>
      <c r="M148" s="94" t="str">
        <f>IF(ISNA(VLOOKUP($A148,Kc_Info!$A$4:$V$155,13,FALSE)),"",VLOOKUP($A148,Kc_Info!$A$4:$V$155,13,FALSE))</f>
        <v/>
      </c>
      <c r="N148" s="94" t="str">
        <f>IF(ISNA(VLOOKUP($A148,Kc_Info!$A$4:$V$155,14,FALSE)),"",VLOOKUP($A148,Kc_Info!$A$4:$V$155,14,FALSE))</f>
        <v/>
      </c>
      <c r="O148" s="100" t="str">
        <f>IF(ISNA(VLOOKUP($A148,Kc_Info!$A$4:$V$155,15,FALSE)),"",VLOOKUP($A148,Kc_Info!$A$4:$V$155,15,FALSE))</f>
        <v/>
      </c>
      <c r="P148" s="100" t="str">
        <f>IF(ISNA(VLOOKUP($A148,Kc_Info!$A$4:$V$155,16,FALSE)),"",VLOOKUP($A148,Kc_Info!$A$4:$V$155,16,FALSE))</f>
        <v/>
      </c>
      <c r="Q148" s="100" t="str">
        <f>IF(ISNA(VLOOKUP($A148,Kc_Info!$A$4:$V$155,17,FALSE)),"",VLOOKUP($A148,Kc_Info!$A$4:$V$155,17,FALSE))</f>
        <v/>
      </c>
      <c r="R148" s="100" t="str">
        <f>IF(ISNA(VLOOKUP($A148,Kc_Info!$A$4:$V$155,18,FALSE)),"",VLOOKUP($A148,Kc_Info!$A$4:$V$155,18,FALSE))</f>
        <v/>
      </c>
      <c r="S148" s="100" t="str">
        <f>IF(ISNA(VLOOKUP($A148,Kc_Info!$A$4:$V$155,19,FALSE)),"",VLOOKUP($A148,Kc_Info!$A$4:$V$155,19,FALSE))</f>
        <v/>
      </c>
      <c r="T148" s="94" t="str">
        <f>IF(ISNA(VLOOKUP($A148,Kc_Info!$A$4:$V$155,20,FALSE)),"",VLOOKUP($A148,Kc_Info!$A$4:$V$155,20,FALSE))</f>
        <v/>
      </c>
      <c r="U148" s="94" t="str">
        <f>IF(ISNA(VLOOKUP($A148,Kc_Info!$A$4:$V$155,21,FALSE)),"",VLOOKUP($A148,Kc_Info!$A$4:$V$155,21,FALSE))</f>
        <v/>
      </c>
      <c r="V148" s="94" t="str">
        <f>IF(ISNA(VLOOKUP($A148,Kc_Info!$A$4:$V$155,22,FALSE)),"",VLOOKUP($A148,Kc_Info!$A$4:$V$155,22,FALSE))</f>
        <v/>
      </c>
    </row>
    <row r="149" spans="1:22">
      <c r="A149" s="92"/>
      <c r="B149" s="93" t="str">
        <f>IF(ISNA(VLOOKUP($A149,Kc_Info!$A$4:$V$155,2,FALSE)),"",VLOOKUP($A149,Kc_Info!$A$4:$V$155,2,FALSE))</f>
        <v/>
      </c>
      <c r="C149" s="94" t="str">
        <f>IF(ISNA(VLOOKUP($A149,Kc_Info!$A$4:$V$155,3,FALSE)),"",VLOOKUP($A149,Kc_Info!$A$4:$V$155,3,FALSE))</f>
        <v/>
      </c>
      <c r="D149" s="94" t="str">
        <f>IF(ISNA(VLOOKUP($A149,Kc_Info!$A$4:$V$155,4,FALSE)),"",VLOOKUP($A149,Kc_Info!$A$4:$V$155,4,FALSE))</f>
        <v/>
      </c>
      <c r="E149" s="94" t="str">
        <f>IF(ISNA(VLOOKUP($A149,Kc_Info!$A$4:$V$155,5,FALSE)),"",VLOOKUP($A149,Kc_Info!$A$4:$V$155,5,FALSE))</f>
        <v/>
      </c>
      <c r="F149" s="94" t="str">
        <f>IF(ISNA(VLOOKUP($A149,Kc_Info!$A$4:$V$155,6,FALSE)),"",VLOOKUP($A149,Kc_Info!$A$4:$V$155,6,FALSE))</f>
        <v/>
      </c>
      <c r="G149" s="101" t="str">
        <f>IF(ISNA(VLOOKUP($A149,Kc_Info!$A$4:$V$155,7,FALSE)),"",VLOOKUP($A149,Kc_Info!$A$4:$V$155,7,FALSE))</f>
        <v/>
      </c>
      <c r="H149" s="101" t="str">
        <f>IF(ISNA(VLOOKUP($A149,Kc_Info!$A$4:$V$155,8,FALSE)),"",VLOOKUP($A149,Kc_Info!$A$4:$V$155,8,FALSE))</f>
        <v/>
      </c>
      <c r="I149" s="101" t="str">
        <f>IF(ISNA(VLOOKUP($A149,Kc_Info!$A$4:$V$155,9,FALSE)),"",VLOOKUP($A149,Kc_Info!$A$4:$V$155,9,FALSE))</f>
        <v/>
      </c>
      <c r="J149" s="101" t="str">
        <f>IF(ISNA(VLOOKUP($A149,Kc_Info!$A$4:$V$155,10,FALSE)),"",VLOOKUP($A149,Kc_Info!$A$4:$V$155,10,FALSE))</f>
        <v/>
      </c>
      <c r="K149" s="94" t="str">
        <f>IF(ISNA(VLOOKUP($A149,Kc_Info!$A$4:$V$155,11,FALSE)),"",VLOOKUP($A149,Kc_Info!$A$4:$V$155,11,FALSE))</f>
        <v/>
      </c>
      <c r="L149" s="94" t="str">
        <f>IF(ISNA(VLOOKUP($A149,Kc_Info!$A$4:$V$155,12,FALSE)),"",VLOOKUP($A149,Kc_Info!$A$4:$V$155,12,FALSE))</f>
        <v/>
      </c>
      <c r="M149" s="94" t="str">
        <f>IF(ISNA(VLOOKUP($A149,Kc_Info!$A$4:$V$155,13,FALSE)),"",VLOOKUP($A149,Kc_Info!$A$4:$V$155,13,FALSE))</f>
        <v/>
      </c>
      <c r="N149" s="94" t="str">
        <f>IF(ISNA(VLOOKUP($A149,Kc_Info!$A$4:$V$155,14,FALSE)),"",VLOOKUP($A149,Kc_Info!$A$4:$V$155,14,FALSE))</f>
        <v/>
      </c>
      <c r="O149" s="100" t="str">
        <f>IF(ISNA(VLOOKUP($A149,Kc_Info!$A$4:$V$155,15,FALSE)),"",VLOOKUP($A149,Kc_Info!$A$4:$V$155,15,FALSE))</f>
        <v/>
      </c>
      <c r="P149" s="100" t="str">
        <f>IF(ISNA(VLOOKUP($A149,Kc_Info!$A$4:$V$155,16,FALSE)),"",VLOOKUP($A149,Kc_Info!$A$4:$V$155,16,FALSE))</f>
        <v/>
      </c>
      <c r="Q149" s="100" t="str">
        <f>IF(ISNA(VLOOKUP($A149,Kc_Info!$A$4:$V$155,17,FALSE)),"",VLOOKUP($A149,Kc_Info!$A$4:$V$155,17,FALSE))</f>
        <v/>
      </c>
      <c r="R149" s="100" t="str">
        <f>IF(ISNA(VLOOKUP($A149,Kc_Info!$A$4:$V$155,18,FALSE)),"",VLOOKUP($A149,Kc_Info!$A$4:$V$155,18,FALSE))</f>
        <v/>
      </c>
      <c r="S149" s="100" t="str">
        <f>IF(ISNA(VLOOKUP($A149,Kc_Info!$A$4:$V$155,19,FALSE)),"",VLOOKUP($A149,Kc_Info!$A$4:$V$155,19,FALSE))</f>
        <v/>
      </c>
      <c r="T149" s="94" t="str">
        <f>IF(ISNA(VLOOKUP($A149,Kc_Info!$A$4:$V$155,20,FALSE)),"",VLOOKUP($A149,Kc_Info!$A$4:$V$155,20,FALSE))</f>
        <v/>
      </c>
      <c r="U149" s="94" t="str">
        <f>IF(ISNA(VLOOKUP($A149,Kc_Info!$A$4:$V$155,21,FALSE)),"",VLOOKUP($A149,Kc_Info!$A$4:$V$155,21,FALSE))</f>
        <v/>
      </c>
      <c r="V149" s="94" t="str">
        <f>IF(ISNA(VLOOKUP($A149,Kc_Info!$A$4:$V$155,22,FALSE)),"",VLOOKUP($A149,Kc_Info!$A$4:$V$155,22,FALSE))</f>
        <v/>
      </c>
    </row>
    <row r="150" spans="1:22">
      <c r="A150" s="92"/>
      <c r="B150" s="93" t="str">
        <f>IF(ISNA(VLOOKUP($A150,Kc_Info!$A$4:$V$155,2,FALSE)),"",VLOOKUP($A150,Kc_Info!$A$4:$V$155,2,FALSE))</f>
        <v/>
      </c>
      <c r="C150" s="94" t="str">
        <f>IF(ISNA(VLOOKUP($A150,Kc_Info!$A$4:$V$155,3,FALSE)),"",VLOOKUP($A150,Kc_Info!$A$4:$V$155,3,FALSE))</f>
        <v/>
      </c>
      <c r="D150" s="94" t="str">
        <f>IF(ISNA(VLOOKUP($A150,Kc_Info!$A$4:$V$155,4,FALSE)),"",VLOOKUP($A150,Kc_Info!$A$4:$V$155,4,FALSE))</f>
        <v/>
      </c>
      <c r="E150" s="94" t="str">
        <f>IF(ISNA(VLOOKUP($A150,Kc_Info!$A$4:$V$155,5,FALSE)),"",VLOOKUP($A150,Kc_Info!$A$4:$V$155,5,FALSE))</f>
        <v/>
      </c>
      <c r="F150" s="94" t="str">
        <f>IF(ISNA(VLOOKUP($A150,Kc_Info!$A$4:$V$155,6,FALSE)),"",VLOOKUP($A150,Kc_Info!$A$4:$V$155,6,FALSE))</f>
        <v/>
      </c>
      <c r="G150" s="101" t="str">
        <f>IF(ISNA(VLOOKUP($A150,Kc_Info!$A$4:$V$155,7,FALSE)),"",VLOOKUP($A150,Kc_Info!$A$4:$V$155,7,FALSE))</f>
        <v/>
      </c>
      <c r="H150" s="101" t="str">
        <f>IF(ISNA(VLOOKUP($A150,Kc_Info!$A$4:$V$155,8,FALSE)),"",VLOOKUP($A150,Kc_Info!$A$4:$V$155,8,FALSE))</f>
        <v/>
      </c>
      <c r="I150" s="101" t="str">
        <f>IF(ISNA(VLOOKUP($A150,Kc_Info!$A$4:$V$155,9,FALSE)),"",VLOOKUP($A150,Kc_Info!$A$4:$V$155,9,FALSE))</f>
        <v/>
      </c>
      <c r="J150" s="101" t="str">
        <f>IF(ISNA(VLOOKUP($A150,Kc_Info!$A$4:$V$155,10,FALSE)),"",VLOOKUP($A150,Kc_Info!$A$4:$V$155,10,FALSE))</f>
        <v/>
      </c>
      <c r="K150" s="94" t="str">
        <f>IF(ISNA(VLOOKUP($A150,Kc_Info!$A$4:$V$155,11,FALSE)),"",VLOOKUP($A150,Kc_Info!$A$4:$V$155,11,FALSE))</f>
        <v/>
      </c>
      <c r="L150" s="94" t="str">
        <f>IF(ISNA(VLOOKUP($A150,Kc_Info!$A$4:$V$155,12,FALSE)),"",VLOOKUP($A150,Kc_Info!$A$4:$V$155,12,FALSE))</f>
        <v/>
      </c>
      <c r="M150" s="94" t="str">
        <f>IF(ISNA(VLOOKUP($A150,Kc_Info!$A$4:$V$155,13,FALSE)),"",VLOOKUP($A150,Kc_Info!$A$4:$V$155,13,FALSE))</f>
        <v/>
      </c>
      <c r="N150" s="94" t="str">
        <f>IF(ISNA(VLOOKUP($A150,Kc_Info!$A$4:$V$155,14,FALSE)),"",VLOOKUP($A150,Kc_Info!$A$4:$V$155,14,FALSE))</f>
        <v/>
      </c>
      <c r="O150" s="100" t="str">
        <f>IF(ISNA(VLOOKUP($A150,Kc_Info!$A$4:$V$155,15,FALSE)),"",VLOOKUP($A150,Kc_Info!$A$4:$V$155,15,FALSE))</f>
        <v/>
      </c>
      <c r="P150" s="100" t="str">
        <f>IF(ISNA(VLOOKUP($A150,Kc_Info!$A$4:$V$155,16,FALSE)),"",VLOOKUP($A150,Kc_Info!$A$4:$V$155,16,FALSE))</f>
        <v/>
      </c>
      <c r="Q150" s="100" t="str">
        <f>IF(ISNA(VLOOKUP($A150,Kc_Info!$A$4:$V$155,17,FALSE)),"",VLOOKUP($A150,Kc_Info!$A$4:$V$155,17,FALSE))</f>
        <v/>
      </c>
      <c r="R150" s="100" t="str">
        <f>IF(ISNA(VLOOKUP($A150,Kc_Info!$A$4:$V$155,18,FALSE)),"",VLOOKUP($A150,Kc_Info!$A$4:$V$155,18,FALSE))</f>
        <v/>
      </c>
      <c r="S150" s="100" t="str">
        <f>IF(ISNA(VLOOKUP($A150,Kc_Info!$A$4:$V$155,19,FALSE)),"",VLOOKUP($A150,Kc_Info!$A$4:$V$155,19,FALSE))</f>
        <v/>
      </c>
      <c r="T150" s="94" t="str">
        <f>IF(ISNA(VLOOKUP($A150,Kc_Info!$A$4:$V$155,20,FALSE)),"",VLOOKUP($A150,Kc_Info!$A$4:$V$155,20,FALSE))</f>
        <v/>
      </c>
      <c r="U150" s="94" t="str">
        <f>IF(ISNA(VLOOKUP($A150,Kc_Info!$A$4:$V$155,21,FALSE)),"",VLOOKUP($A150,Kc_Info!$A$4:$V$155,21,FALSE))</f>
        <v/>
      </c>
      <c r="V150" s="94" t="str">
        <f>IF(ISNA(VLOOKUP($A150,Kc_Info!$A$4:$V$155,22,FALSE)),"",VLOOKUP($A150,Kc_Info!$A$4:$V$155,22,FALSE))</f>
        <v/>
      </c>
    </row>
    <row r="151" spans="1:22">
      <c r="A151" s="92"/>
      <c r="B151" s="93" t="str">
        <f>IF(ISNA(VLOOKUP($A151,Kc_Info!$A$4:$V$155,2,FALSE)),"",VLOOKUP($A151,Kc_Info!$A$4:$V$155,2,FALSE))</f>
        <v/>
      </c>
      <c r="C151" s="94" t="str">
        <f>IF(ISNA(VLOOKUP($A151,Kc_Info!$A$4:$V$155,3,FALSE)),"",VLOOKUP($A151,Kc_Info!$A$4:$V$155,3,FALSE))</f>
        <v/>
      </c>
      <c r="D151" s="94" t="str">
        <f>IF(ISNA(VLOOKUP($A151,Kc_Info!$A$4:$V$155,4,FALSE)),"",VLOOKUP($A151,Kc_Info!$A$4:$V$155,4,FALSE))</f>
        <v/>
      </c>
      <c r="E151" s="94" t="str">
        <f>IF(ISNA(VLOOKUP($A151,Kc_Info!$A$4:$V$155,5,FALSE)),"",VLOOKUP($A151,Kc_Info!$A$4:$V$155,5,FALSE))</f>
        <v/>
      </c>
      <c r="F151" s="94" t="str">
        <f>IF(ISNA(VLOOKUP($A151,Kc_Info!$A$4:$V$155,6,FALSE)),"",VLOOKUP($A151,Kc_Info!$A$4:$V$155,6,FALSE))</f>
        <v/>
      </c>
      <c r="G151" s="101" t="str">
        <f>IF(ISNA(VLOOKUP($A151,Kc_Info!$A$4:$V$155,7,FALSE)),"",VLOOKUP($A151,Kc_Info!$A$4:$V$155,7,FALSE))</f>
        <v/>
      </c>
      <c r="H151" s="101" t="str">
        <f>IF(ISNA(VLOOKUP($A151,Kc_Info!$A$4:$V$155,8,FALSE)),"",VLOOKUP($A151,Kc_Info!$A$4:$V$155,8,FALSE))</f>
        <v/>
      </c>
      <c r="I151" s="101" t="str">
        <f>IF(ISNA(VLOOKUP($A151,Kc_Info!$A$4:$V$155,9,FALSE)),"",VLOOKUP($A151,Kc_Info!$A$4:$V$155,9,FALSE))</f>
        <v/>
      </c>
      <c r="J151" s="101" t="str">
        <f>IF(ISNA(VLOOKUP($A151,Kc_Info!$A$4:$V$155,10,FALSE)),"",VLOOKUP($A151,Kc_Info!$A$4:$V$155,10,FALSE))</f>
        <v/>
      </c>
      <c r="K151" s="94" t="str">
        <f>IF(ISNA(VLOOKUP($A151,Kc_Info!$A$4:$V$155,11,FALSE)),"",VLOOKUP($A151,Kc_Info!$A$4:$V$155,11,FALSE))</f>
        <v/>
      </c>
      <c r="L151" s="94" t="str">
        <f>IF(ISNA(VLOOKUP($A151,Kc_Info!$A$4:$V$155,12,FALSE)),"",VLOOKUP($A151,Kc_Info!$A$4:$V$155,12,FALSE))</f>
        <v/>
      </c>
      <c r="M151" s="94" t="str">
        <f>IF(ISNA(VLOOKUP($A151,Kc_Info!$A$4:$V$155,13,FALSE)),"",VLOOKUP($A151,Kc_Info!$A$4:$V$155,13,FALSE))</f>
        <v/>
      </c>
      <c r="N151" s="94" t="str">
        <f>IF(ISNA(VLOOKUP($A151,Kc_Info!$A$4:$V$155,14,FALSE)),"",VLOOKUP($A151,Kc_Info!$A$4:$V$155,14,FALSE))</f>
        <v/>
      </c>
      <c r="O151" s="100" t="str">
        <f>IF(ISNA(VLOOKUP($A151,Kc_Info!$A$4:$V$155,15,FALSE)),"",VLOOKUP($A151,Kc_Info!$A$4:$V$155,15,FALSE))</f>
        <v/>
      </c>
      <c r="P151" s="100" t="str">
        <f>IF(ISNA(VLOOKUP($A151,Kc_Info!$A$4:$V$155,16,FALSE)),"",VLOOKUP($A151,Kc_Info!$A$4:$V$155,16,FALSE))</f>
        <v/>
      </c>
      <c r="Q151" s="100" t="str">
        <f>IF(ISNA(VLOOKUP($A151,Kc_Info!$A$4:$V$155,17,FALSE)),"",VLOOKUP($A151,Kc_Info!$A$4:$V$155,17,FALSE))</f>
        <v/>
      </c>
      <c r="R151" s="100" t="str">
        <f>IF(ISNA(VLOOKUP($A151,Kc_Info!$A$4:$V$155,18,FALSE)),"",VLOOKUP($A151,Kc_Info!$A$4:$V$155,18,FALSE))</f>
        <v/>
      </c>
      <c r="S151" s="100" t="str">
        <f>IF(ISNA(VLOOKUP($A151,Kc_Info!$A$4:$V$155,19,FALSE)),"",VLOOKUP($A151,Kc_Info!$A$4:$V$155,19,FALSE))</f>
        <v/>
      </c>
      <c r="T151" s="94" t="str">
        <f>IF(ISNA(VLOOKUP($A151,Kc_Info!$A$4:$V$155,20,FALSE)),"",VLOOKUP($A151,Kc_Info!$A$4:$V$155,20,FALSE))</f>
        <v/>
      </c>
      <c r="U151" s="94" t="str">
        <f>IF(ISNA(VLOOKUP($A151,Kc_Info!$A$4:$V$155,21,FALSE)),"",VLOOKUP($A151,Kc_Info!$A$4:$V$155,21,FALSE))</f>
        <v/>
      </c>
      <c r="V151" s="94" t="str">
        <f>IF(ISNA(VLOOKUP($A151,Kc_Info!$A$4:$V$155,22,FALSE)),"",VLOOKUP($A151,Kc_Info!$A$4:$V$155,22,FALSE))</f>
        <v/>
      </c>
    </row>
    <row r="152" spans="1:22">
      <c r="A152" s="92"/>
      <c r="B152" s="93" t="str">
        <f>IF(ISNA(VLOOKUP($A152,Kc_Info!$A$4:$V$155,2,FALSE)),"",VLOOKUP($A152,Kc_Info!$A$4:$V$155,2,FALSE))</f>
        <v/>
      </c>
      <c r="C152" s="94" t="str">
        <f>IF(ISNA(VLOOKUP($A152,Kc_Info!$A$4:$V$155,3,FALSE)),"",VLOOKUP($A152,Kc_Info!$A$4:$V$155,3,FALSE))</f>
        <v/>
      </c>
      <c r="D152" s="94" t="str">
        <f>IF(ISNA(VLOOKUP($A152,Kc_Info!$A$4:$V$155,4,FALSE)),"",VLOOKUP($A152,Kc_Info!$A$4:$V$155,4,FALSE))</f>
        <v/>
      </c>
      <c r="E152" s="94" t="str">
        <f>IF(ISNA(VLOOKUP($A152,Kc_Info!$A$4:$V$155,5,FALSE)),"",VLOOKUP($A152,Kc_Info!$A$4:$V$155,5,FALSE))</f>
        <v/>
      </c>
      <c r="F152" s="94" t="str">
        <f>IF(ISNA(VLOOKUP($A152,Kc_Info!$A$4:$V$155,6,FALSE)),"",VLOOKUP($A152,Kc_Info!$A$4:$V$155,6,FALSE))</f>
        <v/>
      </c>
      <c r="G152" s="101" t="str">
        <f>IF(ISNA(VLOOKUP($A152,Kc_Info!$A$4:$V$155,7,FALSE)),"",VLOOKUP($A152,Kc_Info!$A$4:$V$155,7,FALSE))</f>
        <v/>
      </c>
      <c r="H152" s="101" t="str">
        <f>IF(ISNA(VLOOKUP($A152,Kc_Info!$A$4:$V$155,8,FALSE)),"",VLOOKUP($A152,Kc_Info!$A$4:$V$155,8,FALSE))</f>
        <v/>
      </c>
      <c r="I152" s="101" t="str">
        <f>IF(ISNA(VLOOKUP($A152,Kc_Info!$A$4:$V$155,9,FALSE)),"",VLOOKUP($A152,Kc_Info!$A$4:$V$155,9,FALSE))</f>
        <v/>
      </c>
      <c r="J152" s="101" t="str">
        <f>IF(ISNA(VLOOKUP($A152,Kc_Info!$A$4:$V$155,10,FALSE)),"",VLOOKUP($A152,Kc_Info!$A$4:$V$155,10,FALSE))</f>
        <v/>
      </c>
      <c r="K152" s="94" t="str">
        <f>IF(ISNA(VLOOKUP($A152,Kc_Info!$A$4:$V$155,11,FALSE)),"",VLOOKUP($A152,Kc_Info!$A$4:$V$155,11,FALSE))</f>
        <v/>
      </c>
      <c r="L152" s="94" t="str">
        <f>IF(ISNA(VLOOKUP($A152,Kc_Info!$A$4:$V$155,12,FALSE)),"",VLOOKUP($A152,Kc_Info!$A$4:$V$155,12,FALSE))</f>
        <v/>
      </c>
      <c r="M152" s="94" t="str">
        <f>IF(ISNA(VLOOKUP($A152,Kc_Info!$A$4:$V$155,13,FALSE)),"",VLOOKUP($A152,Kc_Info!$A$4:$V$155,13,FALSE))</f>
        <v/>
      </c>
      <c r="N152" s="94" t="str">
        <f>IF(ISNA(VLOOKUP($A152,Kc_Info!$A$4:$V$155,14,FALSE)),"",VLOOKUP($A152,Kc_Info!$A$4:$V$155,14,FALSE))</f>
        <v/>
      </c>
      <c r="O152" s="100" t="str">
        <f>IF(ISNA(VLOOKUP($A152,Kc_Info!$A$4:$V$155,15,FALSE)),"",VLOOKUP($A152,Kc_Info!$A$4:$V$155,15,FALSE))</f>
        <v/>
      </c>
      <c r="P152" s="100" t="str">
        <f>IF(ISNA(VLOOKUP($A152,Kc_Info!$A$4:$V$155,16,FALSE)),"",VLOOKUP($A152,Kc_Info!$A$4:$V$155,16,FALSE))</f>
        <v/>
      </c>
      <c r="Q152" s="100" t="str">
        <f>IF(ISNA(VLOOKUP($A152,Kc_Info!$A$4:$V$155,17,FALSE)),"",VLOOKUP($A152,Kc_Info!$A$4:$V$155,17,FALSE))</f>
        <v/>
      </c>
      <c r="R152" s="100" t="str">
        <f>IF(ISNA(VLOOKUP($A152,Kc_Info!$A$4:$V$155,18,FALSE)),"",VLOOKUP($A152,Kc_Info!$A$4:$V$155,18,FALSE))</f>
        <v/>
      </c>
      <c r="S152" s="100" t="str">
        <f>IF(ISNA(VLOOKUP($A152,Kc_Info!$A$4:$V$155,19,FALSE)),"",VLOOKUP($A152,Kc_Info!$A$4:$V$155,19,FALSE))</f>
        <v/>
      </c>
      <c r="T152" s="94" t="str">
        <f>IF(ISNA(VLOOKUP($A152,Kc_Info!$A$4:$V$155,20,FALSE)),"",VLOOKUP($A152,Kc_Info!$A$4:$V$155,20,FALSE))</f>
        <v/>
      </c>
      <c r="U152" s="94" t="str">
        <f>IF(ISNA(VLOOKUP($A152,Kc_Info!$A$4:$V$155,21,FALSE)),"",VLOOKUP($A152,Kc_Info!$A$4:$V$155,21,FALSE))</f>
        <v/>
      </c>
      <c r="V152" s="94" t="str">
        <f>IF(ISNA(VLOOKUP($A152,Kc_Info!$A$4:$V$155,22,FALSE)),"",VLOOKUP($A152,Kc_Info!$A$4:$V$155,22,FALSE))</f>
        <v/>
      </c>
    </row>
    <row r="153" spans="1:22">
      <c r="A153" s="92"/>
      <c r="B153" s="93" t="str">
        <f>IF(ISNA(VLOOKUP($A153,Kc_Info!$A$4:$V$155,2,FALSE)),"",VLOOKUP($A153,Kc_Info!$A$4:$V$155,2,FALSE))</f>
        <v/>
      </c>
      <c r="C153" s="94" t="str">
        <f>IF(ISNA(VLOOKUP($A153,Kc_Info!$A$4:$V$155,3,FALSE)),"",VLOOKUP($A153,Kc_Info!$A$4:$V$155,3,FALSE))</f>
        <v/>
      </c>
      <c r="D153" s="94" t="str">
        <f>IF(ISNA(VLOOKUP($A153,Kc_Info!$A$4:$V$155,4,FALSE)),"",VLOOKUP($A153,Kc_Info!$A$4:$V$155,4,FALSE))</f>
        <v/>
      </c>
      <c r="E153" s="94" t="str">
        <f>IF(ISNA(VLOOKUP($A153,Kc_Info!$A$4:$V$155,5,FALSE)),"",VLOOKUP($A153,Kc_Info!$A$4:$V$155,5,FALSE))</f>
        <v/>
      </c>
      <c r="F153" s="94" t="str">
        <f>IF(ISNA(VLOOKUP($A153,Kc_Info!$A$4:$V$155,6,FALSE)),"",VLOOKUP($A153,Kc_Info!$A$4:$V$155,6,FALSE))</f>
        <v/>
      </c>
      <c r="G153" s="101" t="str">
        <f>IF(ISNA(VLOOKUP($A153,Kc_Info!$A$4:$V$155,7,FALSE)),"",VLOOKUP($A153,Kc_Info!$A$4:$V$155,7,FALSE))</f>
        <v/>
      </c>
      <c r="H153" s="101" t="str">
        <f>IF(ISNA(VLOOKUP($A153,Kc_Info!$A$4:$V$155,8,FALSE)),"",VLOOKUP($A153,Kc_Info!$A$4:$V$155,8,FALSE))</f>
        <v/>
      </c>
      <c r="I153" s="101" t="str">
        <f>IF(ISNA(VLOOKUP($A153,Kc_Info!$A$4:$V$155,9,FALSE)),"",VLOOKUP($A153,Kc_Info!$A$4:$V$155,9,FALSE))</f>
        <v/>
      </c>
      <c r="J153" s="101" t="str">
        <f>IF(ISNA(VLOOKUP($A153,Kc_Info!$A$4:$V$155,10,FALSE)),"",VLOOKUP($A153,Kc_Info!$A$4:$V$155,10,FALSE))</f>
        <v/>
      </c>
      <c r="K153" s="94" t="str">
        <f>IF(ISNA(VLOOKUP($A153,Kc_Info!$A$4:$V$155,11,FALSE)),"",VLOOKUP($A153,Kc_Info!$A$4:$V$155,11,FALSE))</f>
        <v/>
      </c>
      <c r="L153" s="94" t="str">
        <f>IF(ISNA(VLOOKUP($A153,Kc_Info!$A$4:$V$155,12,FALSE)),"",VLOOKUP($A153,Kc_Info!$A$4:$V$155,12,FALSE))</f>
        <v/>
      </c>
      <c r="M153" s="94" t="str">
        <f>IF(ISNA(VLOOKUP($A153,Kc_Info!$A$4:$V$155,13,FALSE)),"",VLOOKUP($A153,Kc_Info!$A$4:$V$155,13,FALSE))</f>
        <v/>
      </c>
      <c r="N153" s="94" t="str">
        <f>IF(ISNA(VLOOKUP($A153,Kc_Info!$A$4:$V$155,14,FALSE)),"",VLOOKUP($A153,Kc_Info!$A$4:$V$155,14,FALSE))</f>
        <v/>
      </c>
      <c r="O153" s="100" t="str">
        <f>IF(ISNA(VLOOKUP($A153,Kc_Info!$A$4:$V$155,15,FALSE)),"",VLOOKUP($A153,Kc_Info!$A$4:$V$155,15,FALSE))</f>
        <v/>
      </c>
      <c r="P153" s="100" t="str">
        <f>IF(ISNA(VLOOKUP($A153,Kc_Info!$A$4:$V$155,16,FALSE)),"",VLOOKUP($A153,Kc_Info!$A$4:$V$155,16,FALSE))</f>
        <v/>
      </c>
      <c r="Q153" s="100" t="str">
        <f>IF(ISNA(VLOOKUP($A153,Kc_Info!$A$4:$V$155,17,FALSE)),"",VLOOKUP($A153,Kc_Info!$A$4:$V$155,17,FALSE))</f>
        <v/>
      </c>
      <c r="R153" s="100" t="str">
        <f>IF(ISNA(VLOOKUP($A153,Kc_Info!$A$4:$V$155,18,FALSE)),"",VLOOKUP($A153,Kc_Info!$A$4:$V$155,18,FALSE))</f>
        <v/>
      </c>
      <c r="S153" s="100" t="str">
        <f>IF(ISNA(VLOOKUP($A153,Kc_Info!$A$4:$V$155,19,FALSE)),"",VLOOKUP($A153,Kc_Info!$A$4:$V$155,19,FALSE))</f>
        <v/>
      </c>
      <c r="T153" s="94" t="str">
        <f>IF(ISNA(VLOOKUP($A153,Kc_Info!$A$4:$V$155,20,FALSE)),"",VLOOKUP($A153,Kc_Info!$A$4:$V$155,20,FALSE))</f>
        <v/>
      </c>
      <c r="U153" s="94" t="str">
        <f>IF(ISNA(VLOOKUP($A153,Kc_Info!$A$4:$V$155,21,FALSE)),"",VLOOKUP($A153,Kc_Info!$A$4:$V$155,21,FALSE))</f>
        <v/>
      </c>
      <c r="V153" s="94" t="str">
        <f>IF(ISNA(VLOOKUP($A153,Kc_Info!$A$4:$V$155,22,FALSE)),"",VLOOKUP($A153,Kc_Info!$A$4:$V$155,22,FALSE))</f>
        <v/>
      </c>
    </row>
    <row r="154" spans="1:22">
      <c r="A154" s="92"/>
      <c r="B154" s="93" t="str">
        <f>IF(ISNA(VLOOKUP($A154,Kc_Info!$A$4:$V$155,2,FALSE)),"",VLOOKUP($A154,Kc_Info!$A$4:$V$155,2,FALSE))</f>
        <v/>
      </c>
      <c r="C154" s="94" t="str">
        <f>IF(ISNA(VLOOKUP($A154,Kc_Info!$A$4:$V$155,3,FALSE)),"",VLOOKUP($A154,Kc_Info!$A$4:$V$155,3,FALSE))</f>
        <v/>
      </c>
      <c r="D154" s="94" t="str">
        <f>IF(ISNA(VLOOKUP($A154,Kc_Info!$A$4:$V$155,4,FALSE)),"",VLOOKUP($A154,Kc_Info!$A$4:$V$155,4,FALSE))</f>
        <v/>
      </c>
      <c r="E154" s="94" t="str">
        <f>IF(ISNA(VLOOKUP($A154,Kc_Info!$A$4:$V$155,5,FALSE)),"",VLOOKUP($A154,Kc_Info!$A$4:$V$155,5,FALSE))</f>
        <v/>
      </c>
      <c r="F154" s="94" t="str">
        <f>IF(ISNA(VLOOKUP($A154,Kc_Info!$A$4:$V$155,6,FALSE)),"",VLOOKUP($A154,Kc_Info!$A$4:$V$155,6,FALSE))</f>
        <v/>
      </c>
      <c r="G154" s="101" t="str">
        <f>IF(ISNA(VLOOKUP($A154,Kc_Info!$A$4:$V$155,7,FALSE)),"",VLOOKUP($A154,Kc_Info!$A$4:$V$155,7,FALSE))</f>
        <v/>
      </c>
      <c r="H154" s="101" t="str">
        <f>IF(ISNA(VLOOKUP($A154,Kc_Info!$A$4:$V$155,8,FALSE)),"",VLOOKUP($A154,Kc_Info!$A$4:$V$155,8,FALSE))</f>
        <v/>
      </c>
      <c r="I154" s="101" t="str">
        <f>IF(ISNA(VLOOKUP($A154,Kc_Info!$A$4:$V$155,9,FALSE)),"",VLOOKUP($A154,Kc_Info!$A$4:$V$155,9,FALSE))</f>
        <v/>
      </c>
      <c r="J154" s="101" t="str">
        <f>IF(ISNA(VLOOKUP($A154,Kc_Info!$A$4:$V$155,10,FALSE)),"",VLOOKUP($A154,Kc_Info!$A$4:$V$155,10,FALSE))</f>
        <v/>
      </c>
      <c r="K154" s="94" t="str">
        <f>IF(ISNA(VLOOKUP($A154,Kc_Info!$A$4:$V$155,11,FALSE)),"",VLOOKUP($A154,Kc_Info!$A$4:$V$155,11,FALSE))</f>
        <v/>
      </c>
      <c r="L154" s="94" t="str">
        <f>IF(ISNA(VLOOKUP($A154,Kc_Info!$A$4:$V$155,12,FALSE)),"",VLOOKUP($A154,Kc_Info!$A$4:$V$155,12,FALSE))</f>
        <v/>
      </c>
      <c r="M154" s="94" t="str">
        <f>IF(ISNA(VLOOKUP($A154,Kc_Info!$A$4:$V$155,13,FALSE)),"",VLOOKUP($A154,Kc_Info!$A$4:$V$155,13,FALSE))</f>
        <v/>
      </c>
      <c r="N154" s="94" t="str">
        <f>IF(ISNA(VLOOKUP($A154,Kc_Info!$A$4:$V$155,14,FALSE)),"",VLOOKUP($A154,Kc_Info!$A$4:$V$155,14,FALSE))</f>
        <v/>
      </c>
      <c r="O154" s="100" t="str">
        <f>IF(ISNA(VLOOKUP($A154,Kc_Info!$A$4:$V$155,15,FALSE)),"",VLOOKUP($A154,Kc_Info!$A$4:$V$155,15,FALSE))</f>
        <v/>
      </c>
      <c r="P154" s="100" t="str">
        <f>IF(ISNA(VLOOKUP($A154,Kc_Info!$A$4:$V$155,16,FALSE)),"",VLOOKUP($A154,Kc_Info!$A$4:$V$155,16,FALSE))</f>
        <v/>
      </c>
      <c r="Q154" s="100" t="str">
        <f>IF(ISNA(VLOOKUP($A154,Kc_Info!$A$4:$V$155,17,FALSE)),"",VLOOKUP($A154,Kc_Info!$A$4:$V$155,17,FALSE))</f>
        <v/>
      </c>
      <c r="R154" s="100" t="str">
        <f>IF(ISNA(VLOOKUP($A154,Kc_Info!$A$4:$V$155,18,FALSE)),"",VLOOKUP($A154,Kc_Info!$A$4:$V$155,18,FALSE))</f>
        <v/>
      </c>
      <c r="S154" s="100" t="str">
        <f>IF(ISNA(VLOOKUP($A154,Kc_Info!$A$4:$V$155,19,FALSE)),"",VLOOKUP($A154,Kc_Info!$A$4:$V$155,19,FALSE))</f>
        <v/>
      </c>
      <c r="T154" s="94" t="str">
        <f>IF(ISNA(VLOOKUP($A154,Kc_Info!$A$4:$V$155,20,FALSE)),"",VLOOKUP($A154,Kc_Info!$A$4:$V$155,20,FALSE))</f>
        <v/>
      </c>
      <c r="U154" s="94" t="str">
        <f>IF(ISNA(VLOOKUP($A154,Kc_Info!$A$4:$V$155,21,FALSE)),"",VLOOKUP($A154,Kc_Info!$A$4:$V$155,21,FALSE))</f>
        <v/>
      </c>
      <c r="V154" s="94" t="str">
        <f>IF(ISNA(VLOOKUP($A154,Kc_Info!$A$4:$V$155,22,FALSE)),"",VLOOKUP($A154,Kc_Info!$A$4:$V$155,22,FALSE))</f>
        <v/>
      </c>
    </row>
    <row r="155" spans="1:22">
      <c r="B155" s="93" t="str">
        <f>IF(ISNA(VLOOKUP($A155,Kc_Info!$A$4:$V$155,2,FALSE)),"",VLOOKUP($A155,Kc_Info!$A$4:$V$155,2,FALSE))</f>
        <v/>
      </c>
      <c r="C155" s="94" t="str">
        <f>IF(ISNA(VLOOKUP($A155,Kc_Info!$A$4:$V$155,3,FALSE)),"",VLOOKUP($A155,Kc_Info!$A$4:$V$155,3,FALSE))</f>
        <v/>
      </c>
      <c r="D155" s="94" t="str">
        <f>IF(ISNA(VLOOKUP($A155,Kc_Info!$A$4:$V$155,4,FALSE)),"",VLOOKUP($A155,Kc_Info!$A$4:$V$155,4,FALSE))</f>
        <v/>
      </c>
      <c r="E155" s="94" t="str">
        <f>IF(ISNA(VLOOKUP($A155,Kc_Info!$A$4:$V$155,5,FALSE)),"",VLOOKUP($A155,Kc_Info!$A$4:$V$155,5,FALSE))</f>
        <v/>
      </c>
      <c r="F155" s="94" t="str">
        <f>IF(ISNA(VLOOKUP($A155,Kc_Info!$A$4:$V$155,6,FALSE)),"",VLOOKUP($A155,Kc_Info!$A$4:$V$155,6,FALSE))</f>
        <v/>
      </c>
      <c r="G155" s="101" t="str">
        <f>IF(ISNA(VLOOKUP($A155,Kc_Info!$A$4:$V$155,7,FALSE)),"",VLOOKUP($A155,Kc_Info!$A$4:$V$155,7,FALSE))</f>
        <v/>
      </c>
      <c r="H155" s="101" t="str">
        <f>IF(ISNA(VLOOKUP($A155,Kc_Info!$A$4:$V$155,8,FALSE)),"",VLOOKUP($A155,Kc_Info!$A$4:$V$155,8,FALSE))</f>
        <v/>
      </c>
      <c r="I155" s="101" t="str">
        <f>IF(ISNA(VLOOKUP($A155,Kc_Info!$A$4:$V$155,9,FALSE)),"",VLOOKUP($A155,Kc_Info!$A$4:$V$155,9,FALSE))</f>
        <v/>
      </c>
      <c r="J155" s="101" t="str">
        <f>IF(ISNA(VLOOKUP($A155,Kc_Info!$A$4:$V$155,10,FALSE)),"",VLOOKUP($A155,Kc_Info!$A$4:$V$155,10,FALSE))</f>
        <v/>
      </c>
      <c r="K155" s="94" t="str">
        <f>IF(ISNA(VLOOKUP($A155,Kc_Info!$A$4:$V$155,11,FALSE)),"",VLOOKUP($A155,Kc_Info!$A$4:$V$155,11,FALSE))</f>
        <v/>
      </c>
      <c r="L155" s="94" t="str">
        <f>IF(ISNA(VLOOKUP($A155,Kc_Info!$A$4:$V$155,12,FALSE)),"",VLOOKUP($A155,Kc_Info!$A$4:$V$155,12,FALSE))</f>
        <v/>
      </c>
      <c r="M155" s="94" t="str">
        <f>IF(ISNA(VLOOKUP($A155,Kc_Info!$A$4:$V$155,13,FALSE)),"",VLOOKUP($A155,Kc_Info!$A$4:$V$155,13,FALSE))</f>
        <v/>
      </c>
      <c r="N155" s="94" t="str">
        <f>IF(ISNA(VLOOKUP($A155,Kc_Info!$A$4:$V$155,14,FALSE)),"",VLOOKUP($A155,Kc_Info!$A$4:$V$155,14,FALSE))</f>
        <v/>
      </c>
      <c r="O155" s="100" t="str">
        <f>IF(ISNA(VLOOKUP($A155,Kc_Info!$A$4:$V$155,15,FALSE)),"",VLOOKUP($A155,Kc_Info!$A$4:$V$155,15,FALSE))</f>
        <v/>
      </c>
      <c r="P155" s="100" t="str">
        <f>IF(ISNA(VLOOKUP($A155,Kc_Info!$A$4:$V$155,16,FALSE)),"",VLOOKUP($A155,Kc_Info!$A$4:$V$155,16,FALSE))</f>
        <v/>
      </c>
      <c r="Q155" s="100" t="str">
        <f>IF(ISNA(VLOOKUP($A155,Kc_Info!$A$4:$V$155,17,FALSE)),"",VLOOKUP($A155,Kc_Info!$A$4:$V$155,17,FALSE))</f>
        <v/>
      </c>
      <c r="R155" s="100" t="str">
        <f>IF(ISNA(VLOOKUP($A155,Kc_Info!$A$4:$V$155,18,FALSE)),"",VLOOKUP($A155,Kc_Info!$A$4:$V$155,18,FALSE))</f>
        <v/>
      </c>
      <c r="S155" s="100" t="str">
        <f>IF(ISNA(VLOOKUP($A155,Kc_Info!$A$4:$V$155,19,FALSE)),"",VLOOKUP($A155,Kc_Info!$A$4:$V$155,19,FALSE))</f>
        <v/>
      </c>
      <c r="T155" s="94" t="str">
        <f>IF(ISNA(VLOOKUP($A155,Kc_Info!$A$4:$V$155,20,FALSE)),"",VLOOKUP($A155,Kc_Info!$A$4:$V$155,20,FALSE))</f>
        <v/>
      </c>
      <c r="U155" s="94" t="str">
        <f>IF(ISNA(VLOOKUP($A155,Kc_Info!$A$4:$V$155,21,FALSE)),"",VLOOKUP($A155,Kc_Info!$A$4:$V$155,21,FALSE))</f>
        <v/>
      </c>
      <c r="V155" s="94" t="str">
        <f>IF(ISNA(VLOOKUP($A155,Kc_Info!$A$4:$V$155,22,FALSE)),"",VLOOKUP($A155,Kc_Info!$A$4:$V$155,22,FALSE))</f>
        <v/>
      </c>
    </row>
  </sheetData>
  <mergeCells count="6">
    <mergeCell ref="T1:V2"/>
    <mergeCell ref="D1:F2"/>
    <mergeCell ref="G1:J2"/>
    <mergeCell ref="K1:L2"/>
    <mergeCell ref="M1:N2"/>
    <mergeCell ref="O1:S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rgb="FFC00000"/>
  </sheetPr>
  <dimension ref="A1:Y623"/>
  <sheetViews>
    <sheetView zoomScale="75" workbookViewId="0">
      <pane xSplit="1" ySplit="12" topLeftCell="B13" activePane="bottomRight" state="frozen"/>
      <selection pane="topRight" activeCell="B1" sqref="B1"/>
      <selection pane="bottomLeft" activeCell="A13" sqref="A13"/>
      <selection pane="bottomRight" activeCell="F9" sqref="F9"/>
    </sheetView>
  </sheetViews>
  <sheetFormatPr defaultColWidth="9.140625" defaultRowHeight="12.75"/>
  <cols>
    <col min="1" max="1" width="5.140625" style="141" customWidth="1"/>
    <col min="2" max="2" width="10.28515625" style="141" customWidth="1"/>
    <col min="3" max="6" width="9.140625" style="141" customWidth="1"/>
    <col min="7" max="12" width="9.140625" style="165" customWidth="1"/>
    <col min="13" max="16384" width="9.140625" style="141"/>
  </cols>
  <sheetData>
    <row r="1" spans="1:25">
      <c r="A1" s="134"/>
      <c r="B1" s="135"/>
      <c r="C1" s="135"/>
      <c r="D1" s="136"/>
      <c r="E1" s="136" t="s">
        <v>385</v>
      </c>
      <c r="F1" s="136" t="s">
        <v>386</v>
      </c>
      <c r="G1" s="136" t="s">
        <v>387</v>
      </c>
      <c r="H1" s="136" t="s">
        <v>388</v>
      </c>
      <c r="I1" s="136"/>
      <c r="J1" s="136" t="s">
        <v>389</v>
      </c>
      <c r="K1" s="136"/>
      <c r="L1" s="136"/>
      <c r="M1" s="137"/>
      <c r="N1" s="138"/>
      <c r="O1" s="138"/>
      <c r="P1" s="138"/>
      <c r="Q1" s="138"/>
      <c r="R1" s="138"/>
      <c r="S1" s="138"/>
      <c r="T1" s="138"/>
      <c r="U1" s="138"/>
      <c r="V1" s="139"/>
      <c r="W1" s="140"/>
      <c r="X1" s="140"/>
      <c r="Y1" s="140"/>
    </row>
    <row r="2" spans="1:25">
      <c r="A2" s="134"/>
      <c r="B2" s="135"/>
      <c r="C2" s="135"/>
      <c r="D2" s="136"/>
      <c r="E2" s="136" t="s">
        <v>390</v>
      </c>
      <c r="F2" s="136" t="s">
        <v>390</v>
      </c>
      <c r="G2" s="136" t="s">
        <v>391</v>
      </c>
      <c r="H2" s="136" t="s">
        <v>392</v>
      </c>
      <c r="I2" s="136"/>
      <c r="J2" s="136" t="s">
        <v>393</v>
      </c>
      <c r="K2" s="136"/>
      <c r="L2" s="136"/>
      <c r="M2" s="137"/>
      <c r="N2" s="138"/>
      <c r="O2" s="138"/>
      <c r="P2" s="138"/>
      <c r="Q2" s="138"/>
      <c r="R2" s="138"/>
      <c r="S2" s="138"/>
      <c r="T2" s="138"/>
      <c r="U2" s="138"/>
      <c r="V2" s="139"/>
      <c r="W2" s="140"/>
      <c r="X2" s="140"/>
      <c r="Y2" s="140"/>
    </row>
    <row r="3" spans="1:25">
      <c r="A3" s="134"/>
      <c r="B3" s="136"/>
      <c r="C3" s="136" t="s">
        <v>216</v>
      </c>
      <c r="D3" s="136" t="s">
        <v>394</v>
      </c>
      <c r="E3" s="136" t="s">
        <v>395</v>
      </c>
      <c r="F3" s="136" t="s">
        <v>395</v>
      </c>
      <c r="G3" s="136" t="s">
        <v>396</v>
      </c>
      <c r="H3" s="142" t="s">
        <v>390</v>
      </c>
      <c r="I3" s="136" t="s">
        <v>397</v>
      </c>
      <c r="J3" s="136" t="s">
        <v>398</v>
      </c>
      <c r="K3" s="136" t="s">
        <v>399</v>
      </c>
      <c r="L3" s="136" t="s">
        <v>400</v>
      </c>
      <c r="M3" s="137"/>
      <c r="N3" s="138"/>
      <c r="O3" s="138"/>
      <c r="P3" s="138"/>
      <c r="Q3" s="138"/>
      <c r="R3" s="138"/>
      <c r="S3" s="138"/>
      <c r="T3" s="138"/>
      <c r="U3" s="138"/>
      <c r="V3" s="139"/>
      <c r="W3" s="140"/>
      <c r="X3" s="140"/>
      <c r="Y3" s="140"/>
    </row>
    <row r="4" spans="1:25" ht="13.5" thickBot="1">
      <c r="A4" s="134"/>
      <c r="B4" s="136"/>
      <c r="C4" s="143" t="s">
        <v>198</v>
      </c>
      <c r="D4" s="143" t="s">
        <v>401</v>
      </c>
      <c r="E4" s="143" t="s">
        <v>396</v>
      </c>
      <c r="F4" s="143" t="s">
        <v>396</v>
      </c>
      <c r="G4" s="143" t="s">
        <v>402</v>
      </c>
      <c r="H4" s="143" t="s">
        <v>403</v>
      </c>
      <c r="I4" s="143" t="s">
        <v>398</v>
      </c>
      <c r="J4" s="143" t="s">
        <v>404</v>
      </c>
      <c r="K4" s="143" t="s">
        <v>405</v>
      </c>
      <c r="L4" s="143" t="s">
        <v>404</v>
      </c>
      <c r="M4" s="137"/>
      <c r="N4" s="138"/>
      <c r="O4" s="138"/>
      <c r="P4" s="138"/>
      <c r="Q4" s="138"/>
      <c r="R4" s="138"/>
      <c r="S4" s="138"/>
      <c r="T4" s="138"/>
      <c r="U4" s="138"/>
      <c r="V4" s="144" t="s">
        <v>406</v>
      </c>
      <c r="W4" s="144" t="s">
        <v>407</v>
      </c>
      <c r="X4" s="140"/>
      <c r="Y4" s="140"/>
    </row>
    <row r="5" spans="1:25">
      <c r="A5" s="134"/>
      <c r="B5" s="136" t="s">
        <v>198</v>
      </c>
      <c r="C5" s="142"/>
      <c r="D5" s="142" t="s">
        <v>408</v>
      </c>
      <c r="E5" s="142" t="s">
        <v>409</v>
      </c>
      <c r="F5" s="142" t="s">
        <v>409</v>
      </c>
      <c r="G5" s="142" t="s">
        <v>152</v>
      </c>
      <c r="H5" s="142" t="s">
        <v>152</v>
      </c>
      <c r="I5" s="142" t="s">
        <v>261</v>
      </c>
      <c r="J5" s="142" t="s">
        <v>152</v>
      </c>
      <c r="K5" s="142" t="s">
        <v>261</v>
      </c>
      <c r="L5" s="142" t="s">
        <v>152</v>
      </c>
      <c r="M5" s="137"/>
      <c r="N5" s="138"/>
      <c r="O5" s="138"/>
      <c r="P5" s="138"/>
      <c r="Q5" s="138"/>
      <c r="R5" s="138"/>
      <c r="S5" s="138"/>
      <c r="T5" s="138"/>
      <c r="U5" s="138"/>
      <c r="V5" s="140"/>
      <c r="W5" s="140"/>
      <c r="X5" s="140"/>
      <c r="Y5" s="140"/>
    </row>
    <row r="6" spans="1:25">
      <c r="A6" s="134"/>
      <c r="B6" s="145">
        <f>Input!L8</f>
        <v>38092</v>
      </c>
      <c r="C6" s="146" t="s">
        <v>86</v>
      </c>
      <c r="D6" s="147">
        <f>D7</f>
        <v>0.3</v>
      </c>
      <c r="E6" s="147">
        <f>E7</f>
        <v>0.4</v>
      </c>
      <c r="F6" s="147">
        <f>F7</f>
        <v>0.2</v>
      </c>
      <c r="G6" s="147">
        <f>G8</f>
        <v>480</v>
      </c>
      <c r="H6" s="147">
        <f>H7</f>
        <v>60</v>
      </c>
      <c r="I6" s="147">
        <f>I7</f>
        <v>50</v>
      </c>
      <c r="J6" s="147">
        <f>J7</f>
        <v>30</v>
      </c>
      <c r="K6" s="148">
        <v>100</v>
      </c>
      <c r="L6" s="149">
        <f>IF(OR(K6="",ISERROR(K6)),J6,J6*K6/100)</f>
        <v>30</v>
      </c>
      <c r="M6" s="137"/>
      <c r="N6" s="138"/>
      <c r="O6" s="138"/>
      <c r="P6" s="138"/>
      <c r="Q6" s="138"/>
      <c r="R6" s="138"/>
      <c r="S6" s="138"/>
      <c r="T6" s="138"/>
      <c r="U6" s="138"/>
      <c r="V6" s="150">
        <f>(L7-L6)/(B7-B6)</f>
        <v>0</v>
      </c>
      <c r="W6" s="140">
        <f>G6-H6</f>
        <v>420</v>
      </c>
      <c r="X6" s="150"/>
      <c r="Y6" s="150"/>
    </row>
    <row r="7" spans="1:25">
      <c r="A7" s="134"/>
      <c r="B7" s="145">
        <f>Input!L9</f>
        <v>38125</v>
      </c>
      <c r="C7" s="146" t="s">
        <v>56</v>
      </c>
      <c r="D7" s="148">
        <v>0.3</v>
      </c>
      <c r="E7" s="151">
        <f>E8</f>
        <v>0.4</v>
      </c>
      <c r="F7" s="148">
        <v>0.2</v>
      </c>
      <c r="G7" s="147">
        <f>G8</f>
        <v>480</v>
      </c>
      <c r="H7" s="147">
        <f>F8*D7*1000</f>
        <v>60</v>
      </c>
      <c r="I7" s="148">
        <v>50</v>
      </c>
      <c r="J7" s="147">
        <f>I7/100*H7</f>
        <v>30</v>
      </c>
      <c r="K7" s="148">
        <v>100</v>
      </c>
      <c r="L7" s="149">
        <f>IF(OR(K7="",ISERROR(K7)),J7,J7*K7/100)</f>
        <v>30</v>
      </c>
      <c r="M7" s="137"/>
      <c r="N7" s="138"/>
      <c r="O7" s="138"/>
      <c r="P7" s="138"/>
      <c r="Q7" s="138"/>
      <c r="R7" s="138"/>
      <c r="S7" s="138"/>
      <c r="T7" s="138"/>
      <c r="U7" s="138"/>
      <c r="V7" s="150">
        <f>(L8-L7)/(B8-B7)</f>
        <v>2.1428571428571428</v>
      </c>
      <c r="W7" s="140">
        <f>G7-H7</f>
        <v>420</v>
      </c>
      <c r="X7" s="150">
        <f>(W8-W7)/(B8-B7)</f>
        <v>-4.2857142857142856</v>
      </c>
      <c r="Y7" s="150"/>
    </row>
    <row r="8" spans="1:25">
      <c r="A8" s="134"/>
      <c r="B8" s="145">
        <f>Input!L10</f>
        <v>38167</v>
      </c>
      <c r="C8" s="146" t="s">
        <v>57</v>
      </c>
      <c r="D8" s="148">
        <v>1.2</v>
      </c>
      <c r="E8" s="148">
        <v>0.4</v>
      </c>
      <c r="F8" s="148">
        <v>0.2</v>
      </c>
      <c r="G8" s="151">
        <f>D8*E8*1000</f>
        <v>480</v>
      </c>
      <c r="H8" s="147">
        <f>F8*D8*1000</f>
        <v>240</v>
      </c>
      <c r="I8" s="148">
        <v>50</v>
      </c>
      <c r="J8" s="147">
        <f>I8/100*H8</f>
        <v>120</v>
      </c>
      <c r="K8" s="148">
        <v>100</v>
      </c>
      <c r="L8" s="149">
        <f>IF(OR(K8="",ISERROR(K8)),J8,J8*K8/100)</f>
        <v>120</v>
      </c>
      <c r="M8" s="137"/>
      <c r="N8" s="138"/>
      <c r="O8" s="138"/>
      <c r="P8" s="138"/>
      <c r="Q8" s="138"/>
      <c r="R8" s="138"/>
      <c r="S8" s="138"/>
      <c r="T8" s="138"/>
      <c r="U8" s="138"/>
      <c r="V8" s="150">
        <f>(L9-L8)/(B9-B8)</f>
        <v>0</v>
      </c>
      <c r="W8" s="140">
        <f>G8-H8</f>
        <v>240</v>
      </c>
      <c r="X8" s="150">
        <f>(W9-W8)/(B9-B8)</f>
        <v>0</v>
      </c>
      <c r="Y8" s="150"/>
    </row>
    <row r="9" spans="1:25">
      <c r="A9" s="134"/>
      <c r="B9" s="145">
        <f>Input!L11</f>
        <v>38218</v>
      </c>
      <c r="C9" s="146" t="s">
        <v>58</v>
      </c>
      <c r="D9" s="147">
        <f>D8</f>
        <v>1.2</v>
      </c>
      <c r="E9" s="147">
        <f>E8</f>
        <v>0.4</v>
      </c>
      <c r="F9" s="147">
        <f>F8</f>
        <v>0.2</v>
      </c>
      <c r="G9" s="147">
        <f>G8</f>
        <v>480</v>
      </c>
      <c r="H9" s="147">
        <f>H8</f>
        <v>240</v>
      </c>
      <c r="I9" s="148">
        <v>50</v>
      </c>
      <c r="J9" s="147">
        <f>I9/100*H9</f>
        <v>120</v>
      </c>
      <c r="K9" s="148">
        <v>100</v>
      </c>
      <c r="L9" s="149">
        <f>IF(OR(K9="",ISERROR(K9)),J9,J9*K9/100)</f>
        <v>120</v>
      </c>
      <c r="M9" s="137"/>
      <c r="N9" s="138"/>
      <c r="O9" s="138"/>
      <c r="P9" s="138"/>
      <c r="Q9" s="138"/>
      <c r="R9" s="138"/>
      <c r="S9" s="138"/>
      <c r="T9" s="138"/>
      <c r="U9" s="138"/>
      <c r="V9" s="150">
        <f>(L10-L9)/(B10-B9)</f>
        <v>0</v>
      </c>
      <c r="W9" s="140">
        <f>G9-H9</f>
        <v>240</v>
      </c>
      <c r="X9" s="150">
        <f>(W10-W9)/(B10-B9)</f>
        <v>0</v>
      </c>
      <c r="Y9" s="150"/>
    </row>
    <row r="10" spans="1:25">
      <c r="A10" s="134"/>
      <c r="B10" s="145">
        <f>Input!L12</f>
        <v>38260</v>
      </c>
      <c r="C10" s="146" t="s">
        <v>200</v>
      </c>
      <c r="D10" s="147">
        <f>D8</f>
        <v>1.2</v>
      </c>
      <c r="E10" s="147">
        <f>E8</f>
        <v>0.4</v>
      </c>
      <c r="F10" s="147">
        <f>F8</f>
        <v>0.2</v>
      </c>
      <c r="G10" s="147">
        <f>G8</f>
        <v>480</v>
      </c>
      <c r="H10" s="147">
        <f>H8</f>
        <v>240</v>
      </c>
      <c r="I10" s="148">
        <v>50</v>
      </c>
      <c r="J10" s="147">
        <f>I10/100*H10</f>
        <v>120</v>
      </c>
      <c r="K10" s="148">
        <v>100</v>
      </c>
      <c r="L10" s="149">
        <f>IF(OR(K10="",ISERROR(K10)),J10,J10*K10/100)</f>
        <v>120</v>
      </c>
      <c r="M10" s="137"/>
      <c r="N10" s="138"/>
      <c r="O10" s="138"/>
      <c r="P10" s="138"/>
      <c r="Q10" s="138"/>
      <c r="R10" s="138"/>
      <c r="S10" s="138"/>
      <c r="T10" s="138"/>
      <c r="U10" s="138"/>
      <c r="V10" s="139"/>
      <c r="W10" s="140">
        <f>G10-H10</f>
        <v>240</v>
      </c>
      <c r="X10" s="140"/>
      <c r="Y10" s="140"/>
    </row>
    <row r="11" spans="1:25">
      <c r="A11" s="134"/>
      <c r="B11" s="152"/>
      <c r="C11" s="153"/>
      <c r="D11" s="154"/>
      <c r="E11" s="153"/>
      <c r="F11" s="153"/>
      <c r="G11" s="154"/>
      <c r="H11" s="154"/>
      <c r="I11" s="152"/>
      <c r="J11" s="152"/>
      <c r="K11" s="137"/>
      <c r="L11" s="137"/>
      <c r="M11" s="137"/>
      <c r="N11" s="138"/>
      <c r="O11" s="138"/>
      <c r="P11" s="138"/>
      <c r="Q11" s="138"/>
      <c r="R11" s="138"/>
      <c r="S11" s="138"/>
      <c r="T11" s="138"/>
      <c r="U11" s="138"/>
      <c r="V11" s="140"/>
      <c r="W11" s="140"/>
      <c r="X11" s="140"/>
      <c r="Y11" s="140"/>
    </row>
    <row r="12" spans="1:25" ht="13.5" thickBot="1">
      <c r="A12" s="134"/>
      <c r="B12" s="143" t="s">
        <v>198</v>
      </c>
      <c r="C12" s="155" t="s">
        <v>402</v>
      </c>
      <c r="D12" s="155" t="s">
        <v>407</v>
      </c>
      <c r="E12" s="155" t="s">
        <v>404</v>
      </c>
      <c r="F12" s="155" t="s">
        <v>410</v>
      </c>
      <c r="G12" s="156"/>
      <c r="H12" s="156"/>
      <c r="I12" s="156"/>
      <c r="J12" s="156"/>
      <c r="K12" s="156"/>
      <c r="L12" s="156"/>
      <c r="M12" s="137"/>
      <c r="N12" s="138"/>
      <c r="O12" s="138"/>
      <c r="P12" s="138"/>
      <c r="Q12" s="138"/>
      <c r="R12" s="138"/>
      <c r="S12" s="138"/>
      <c r="T12" s="138"/>
      <c r="U12" s="138"/>
      <c r="V12" s="157" t="s">
        <v>402</v>
      </c>
      <c r="W12" s="157" t="s">
        <v>407</v>
      </c>
      <c r="X12" s="157" t="s">
        <v>404</v>
      </c>
      <c r="Y12" s="157" t="s">
        <v>410</v>
      </c>
    </row>
    <row r="13" spans="1:25">
      <c r="A13" s="134"/>
      <c r="B13" s="158">
        <f>DATE(YEAR(B6),1,1)</f>
        <v>37987</v>
      </c>
      <c r="C13" s="159" t="str">
        <f>IF(OR(B13&lt;B$6,B13&gt;B$10),"",G$8)</f>
        <v/>
      </c>
      <c r="D13" s="159" t="str">
        <f>IF(B13=B$6,W$6,IF(B13&gt;B$10,"",IF(B13&gt;=B$9,D12+X$9,IF(B13&gt;B$8,D12+X$8,IF(B13&gt;B$7,D12+X$7,IF(B13&gt;B$6,W$6,""))))))</f>
        <v/>
      </c>
      <c r="E13" s="159" t="str">
        <f>IF($B13=$B$6,L$6,IF($B13&gt;$B$10,"",IF($B13&gt;=$B$9,E12+V$9,IF($B13&gt;$B$8,E12+V$8,IF($B13&gt;$B$7,E12+V$7,IF($B13&gt;$B$6,L$6,""))))))</f>
        <v/>
      </c>
      <c r="F13" s="159" t="str">
        <f>IF(C13="","",C13-E13)</f>
        <v/>
      </c>
      <c r="G13" s="137"/>
      <c r="H13" s="137"/>
      <c r="I13" s="137"/>
      <c r="J13" s="137"/>
      <c r="K13" s="160"/>
      <c r="L13" s="160"/>
      <c r="M13" s="137"/>
      <c r="N13" s="138"/>
      <c r="O13" s="138"/>
      <c r="P13" s="138"/>
      <c r="Q13" s="138"/>
      <c r="R13" s="138"/>
      <c r="S13" s="138"/>
      <c r="T13" s="138"/>
      <c r="U13" s="138"/>
      <c r="V13" s="150" t="e">
        <f t="shared" ref="V13:Y76" si="0">IF(C13="",#N/A,C13)</f>
        <v>#N/A</v>
      </c>
      <c r="W13" s="150" t="e">
        <f t="shared" si="0"/>
        <v>#N/A</v>
      </c>
      <c r="X13" s="150" t="e">
        <f t="shared" si="0"/>
        <v>#N/A</v>
      </c>
      <c r="Y13" s="150" t="e">
        <f t="shared" si="0"/>
        <v>#N/A</v>
      </c>
    </row>
    <row r="14" spans="1:25">
      <c r="A14" s="134"/>
      <c r="B14" s="158">
        <f>B13+1</f>
        <v>37988</v>
      </c>
      <c r="C14" s="159" t="str">
        <f>IF(OR(B14&lt;B$6,B14&gt;B$10),"",G$8)</f>
        <v/>
      </c>
      <c r="D14" s="159" t="str">
        <f>IF(B14=B$6,W$6,IF(B14&gt;B$10,"",IF(B14&gt;=B$9,D13+X$9,IF(B14&gt;B$8,D13+X$8,IF(B14&gt;B$7,D13+X$7,IF(B14&gt;B$6,W$6,""))))))</f>
        <v/>
      </c>
      <c r="E14" s="159" t="str">
        <f>IF($B14=$B$6,L$6,IF($B14&gt;$B$10,"",IF($B14&gt;=$B$9,E13+V$9,IF($B14&gt;$B$8,E13+V$8,IF($B14&gt;$B$7,E13+V$7,IF($B14&gt;$B$6,L$6,""))))))</f>
        <v/>
      </c>
      <c r="F14" s="159" t="str">
        <f>IF(C14="","",C14-E14)</f>
        <v/>
      </c>
      <c r="G14" s="137"/>
      <c r="H14" s="137"/>
      <c r="I14" s="137"/>
      <c r="J14" s="137"/>
      <c r="K14" s="160"/>
      <c r="L14" s="160"/>
      <c r="M14" s="137"/>
      <c r="N14" s="138"/>
      <c r="O14" s="138"/>
      <c r="P14" s="138"/>
      <c r="Q14" s="138"/>
      <c r="R14" s="138"/>
      <c r="S14" s="138"/>
      <c r="T14" s="138"/>
      <c r="U14" s="138"/>
      <c r="V14" s="150" t="e">
        <f t="shared" si="0"/>
        <v>#N/A</v>
      </c>
      <c r="W14" s="150" t="e">
        <f t="shared" si="0"/>
        <v>#N/A</v>
      </c>
      <c r="X14" s="150" t="e">
        <f t="shared" si="0"/>
        <v>#N/A</v>
      </c>
      <c r="Y14" s="150" t="e">
        <f t="shared" si="0"/>
        <v>#N/A</v>
      </c>
    </row>
    <row r="15" spans="1:25">
      <c r="A15" s="134"/>
      <c r="B15" s="158">
        <f t="shared" ref="B15:B78" si="1">B14+1</f>
        <v>37989</v>
      </c>
      <c r="C15" s="159" t="str">
        <f t="shared" ref="C15:C78" si="2">IF(OR(B15&lt;B$6,B15&gt;B$10),"",G$8)</f>
        <v/>
      </c>
      <c r="D15" s="159" t="str">
        <f t="shared" ref="D15:D78" si="3">IF(B15=B$6,W$6,IF(B15&gt;B$10,"",IF(B15&gt;=B$9,D14+X$9,IF(B15&gt;B$8,D14+X$8,IF(B15&gt;B$7,D14+X$7,IF(B15&gt;B$6,W$6,""))))))</f>
        <v/>
      </c>
      <c r="E15" s="159" t="str">
        <f t="shared" ref="E15:E78" si="4">IF($B15=$B$6,L$6,IF($B15&gt;$B$10,"",IF($B15&gt;=$B$9,E14+V$9,IF($B15&gt;$B$8,E14+V$8,IF($B15&gt;$B$7,E14+V$7,IF($B15&gt;$B$6,L$6,""))))))</f>
        <v/>
      </c>
      <c r="F15" s="159" t="str">
        <f t="shared" ref="F15:F78" si="5">IF(C15="","",C15-E15)</f>
        <v/>
      </c>
      <c r="G15" s="137"/>
      <c r="H15" s="137"/>
      <c r="I15" s="137"/>
      <c r="J15" s="137"/>
      <c r="K15" s="160"/>
      <c r="L15" s="160"/>
      <c r="M15" s="137"/>
      <c r="N15" s="138"/>
      <c r="O15" s="138"/>
      <c r="P15" s="138"/>
      <c r="Q15" s="138"/>
      <c r="R15" s="138"/>
      <c r="S15" s="138"/>
      <c r="T15" s="138"/>
      <c r="U15" s="138"/>
      <c r="V15" s="150" t="e">
        <f t="shared" si="0"/>
        <v>#N/A</v>
      </c>
      <c r="W15" s="150" t="e">
        <f t="shared" si="0"/>
        <v>#N/A</v>
      </c>
      <c r="X15" s="150" t="e">
        <f t="shared" si="0"/>
        <v>#N/A</v>
      </c>
      <c r="Y15" s="150" t="e">
        <f t="shared" si="0"/>
        <v>#N/A</v>
      </c>
    </row>
    <row r="16" spans="1:25">
      <c r="A16" s="134"/>
      <c r="B16" s="158">
        <f t="shared" si="1"/>
        <v>37990</v>
      </c>
      <c r="C16" s="159" t="str">
        <f t="shared" si="2"/>
        <v/>
      </c>
      <c r="D16" s="159" t="str">
        <f t="shared" si="3"/>
        <v/>
      </c>
      <c r="E16" s="159" t="str">
        <f t="shared" si="4"/>
        <v/>
      </c>
      <c r="F16" s="159" t="str">
        <f t="shared" si="5"/>
        <v/>
      </c>
      <c r="G16" s="137"/>
      <c r="H16" s="137"/>
      <c r="I16" s="137"/>
      <c r="J16" s="137"/>
      <c r="K16" s="160"/>
      <c r="L16" s="160"/>
      <c r="M16" s="137"/>
      <c r="N16" s="138"/>
      <c r="O16" s="138"/>
      <c r="P16" s="138"/>
      <c r="Q16" s="138"/>
      <c r="R16" s="138"/>
      <c r="S16" s="138"/>
      <c r="T16" s="138"/>
      <c r="U16" s="138"/>
      <c r="V16" s="150" t="e">
        <f t="shared" si="0"/>
        <v>#N/A</v>
      </c>
      <c r="W16" s="150" t="e">
        <f t="shared" si="0"/>
        <v>#N/A</v>
      </c>
      <c r="X16" s="150" t="e">
        <f t="shared" si="0"/>
        <v>#N/A</v>
      </c>
      <c r="Y16" s="150" t="e">
        <f t="shared" si="0"/>
        <v>#N/A</v>
      </c>
    </row>
    <row r="17" spans="1:25">
      <c r="A17" s="134"/>
      <c r="B17" s="158">
        <f t="shared" si="1"/>
        <v>37991</v>
      </c>
      <c r="C17" s="159" t="str">
        <f t="shared" si="2"/>
        <v/>
      </c>
      <c r="D17" s="159" t="str">
        <f t="shared" si="3"/>
        <v/>
      </c>
      <c r="E17" s="159" t="str">
        <f t="shared" si="4"/>
        <v/>
      </c>
      <c r="F17" s="159" t="str">
        <f t="shared" si="5"/>
        <v/>
      </c>
      <c r="G17" s="137"/>
      <c r="H17" s="137"/>
      <c r="I17" s="137"/>
      <c r="J17" s="137"/>
      <c r="K17" s="160"/>
      <c r="L17" s="160"/>
      <c r="M17" s="137"/>
      <c r="N17" s="138"/>
      <c r="O17" s="138"/>
      <c r="P17" s="138"/>
      <c r="Q17" s="138"/>
      <c r="R17" s="138"/>
      <c r="S17" s="138"/>
      <c r="T17" s="138"/>
      <c r="U17" s="138"/>
      <c r="V17" s="150" t="e">
        <f t="shared" si="0"/>
        <v>#N/A</v>
      </c>
      <c r="W17" s="150" t="e">
        <f t="shared" si="0"/>
        <v>#N/A</v>
      </c>
      <c r="X17" s="150" t="e">
        <f t="shared" si="0"/>
        <v>#N/A</v>
      </c>
      <c r="Y17" s="150" t="e">
        <f t="shared" si="0"/>
        <v>#N/A</v>
      </c>
    </row>
    <row r="18" spans="1:25">
      <c r="A18" s="134"/>
      <c r="B18" s="158">
        <f t="shared" si="1"/>
        <v>37992</v>
      </c>
      <c r="C18" s="159" t="str">
        <f t="shared" si="2"/>
        <v/>
      </c>
      <c r="D18" s="159" t="str">
        <f t="shared" si="3"/>
        <v/>
      </c>
      <c r="E18" s="159" t="str">
        <f t="shared" si="4"/>
        <v/>
      </c>
      <c r="F18" s="159" t="str">
        <f t="shared" si="5"/>
        <v/>
      </c>
      <c r="G18" s="137"/>
      <c r="H18" s="137"/>
      <c r="I18" s="137"/>
      <c r="J18" s="137"/>
      <c r="K18" s="160"/>
      <c r="L18" s="160"/>
      <c r="M18" s="137"/>
      <c r="N18" s="138"/>
      <c r="O18" s="138"/>
      <c r="P18" s="138"/>
      <c r="Q18" s="138"/>
      <c r="R18" s="138"/>
      <c r="S18" s="138"/>
      <c r="T18" s="138"/>
      <c r="U18" s="138"/>
      <c r="V18" s="150" t="e">
        <f t="shared" si="0"/>
        <v>#N/A</v>
      </c>
      <c r="W18" s="150" t="e">
        <f t="shared" si="0"/>
        <v>#N/A</v>
      </c>
      <c r="X18" s="150" t="e">
        <f t="shared" si="0"/>
        <v>#N/A</v>
      </c>
      <c r="Y18" s="150" t="e">
        <f t="shared" si="0"/>
        <v>#N/A</v>
      </c>
    </row>
    <row r="19" spans="1:25">
      <c r="A19" s="134"/>
      <c r="B19" s="158">
        <f t="shared" si="1"/>
        <v>37993</v>
      </c>
      <c r="C19" s="159" t="str">
        <f t="shared" si="2"/>
        <v/>
      </c>
      <c r="D19" s="159" t="str">
        <f t="shared" si="3"/>
        <v/>
      </c>
      <c r="E19" s="159" t="str">
        <f t="shared" si="4"/>
        <v/>
      </c>
      <c r="F19" s="159" t="str">
        <f t="shared" si="5"/>
        <v/>
      </c>
      <c r="G19" s="137"/>
      <c r="H19" s="137"/>
      <c r="I19" s="137"/>
      <c r="J19" s="137"/>
      <c r="K19" s="160"/>
      <c r="L19" s="160"/>
      <c r="M19" s="137"/>
      <c r="N19" s="138"/>
      <c r="O19" s="138"/>
      <c r="P19" s="138"/>
      <c r="Q19" s="138"/>
      <c r="R19" s="138"/>
      <c r="S19" s="138"/>
      <c r="T19" s="138"/>
      <c r="U19" s="138"/>
      <c r="V19" s="150" t="e">
        <f t="shared" si="0"/>
        <v>#N/A</v>
      </c>
      <c r="W19" s="150" t="e">
        <f t="shared" si="0"/>
        <v>#N/A</v>
      </c>
      <c r="X19" s="150" t="e">
        <f t="shared" si="0"/>
        <v>#N/A</v>
      </c>
      <c r="Y19" s="150" t="e">
        <f t="shared" si="0"/>
        <v>#N/A</v>
      </c>
    </row>
    <row r="20" spans="1:25">
      <c r="A20" s="134"/>
      <c r="B20" s="158">
        <f t="shared" si="1"/>
        <v>37994</v>
      </c>
      <c r="C20" s="159" t="str">
        <f t="shared" si="2"/>
        <v/>
      </c>
      <c r="D20" s="159" t="str">
        <f t="shared" si="3"/>
        <v/>
      </c>
      <c r="E20" s="159" t="str">
        <f t="shared" si="4"/>
        <v/>
      </c>
      <c r="F20" s="159" t="str">
        <f t="shared" si="5"/>
        <v/>
      </c>
      <c r="G20" s="137"/>
      <c r="H20" s="137"/>
      <c r="I20" s="137"/>
      <c r="J20" s="137"/>
      <c r="K20" s="160"/>
      <c r="L20" s="160"/>
      <c r="M20" s="137"/>
      <c r="N20" s="138"/>
      <c r="O20" s="138"/>
      <c r="P20" s="138"/>
      <c r="Q20" s="138"/>
      <c r="R20" s="138"/>
      <c r="S20" s="138"/>
      <c r="T20" s="138"/>
      <c r="U20" s="138"/>
      <c r="V20" s="150" t="e">
        <f t="shared" si="0"/>
        <v>#N/A</v>
      </c>
      <c r="W20" s="150" t="e">
        <f t="shared" si="0"/>
        <v>#N/A</v>
      </c>
      <c r="X20" s="150" t="e">
        <f t="shared" si="0"/>
        <v>#N/A</v>
      </c>
      <c r="Y20" s="150" t="e">
        <f t="shared" si="0"/>
        <v>#N/A</v>
      </c>
    </row>
    <row r="21" spans="1:25">
      <c r="A21" s="134"/>
      <c r="B21" s="158">
        <f t="shared" si="1"/>
        <v>37995</v>
      </c>
      <c r="C21" s="159" t="str">
        <f t="shared" si="2"/>
        <v/>
      </c>
      <c r="D21" s="159" t="str">
        <f t="shared" si="3"/>
        <v/>
      </c>
      <c r="E21" s="159" t="str">
        <f t="shared" si="4"/>
        <v/>
      </c>
      <c r="F21" s="159" t="str">
        <f t="shared" si="5"/>
        <v/>
      </c>
      <c r="G21" s="137"/>
      <c r="H21" s="137"/>
      <c r="I21" s="137"/>
      <c r="J21" s="137"/>
      <c r="K21" s="160"/>
      <c r="L21" s="160"/>
      <c r="M21" s="137"/>
      <c r="N21" s="138"/>
      <c r="O21" s="138"/>
      <c r="P21" s="138"/>
      <c r="Q21" s="138"/>
      <c r="R21" s="138"/>
      <c r="S21" s="138"/>
      <c r="T21" s="138"/>
      <c r="U21" s="138"/>
      <c r="V21" s="150" t="e">
        <f t="shared" si="0"/>
        <v>#N/A</v>
      </c>
      <c r="W21" s="150" t="e">
        <f t="shared" si="0"/>
        <v>#N/A</v>
      </c>
      <c r="X21" s="150" t="e">
        <f t="shared" si="0"/>
        <v>#N/A</v>
      </c>
      <c r="Y21" s="150" t="e">
        <f t="shared" si="0"/>
        <v>#N/A</v>
      </c>
    </row>
    <row r="22" spans="1:25">
      <c r="A22" s="134"/>
      <c r="B22" s="158">
        <f t="shared" si="1"/>
        <v>37996</v>
      </c>
      <c r="C22" s="159" t="str">
        <f t="shared" si="2"/>
        <v/>
      </c>
      <c r="D22" s="159" t="str">
        <f t="shared" si="3"/>
        <v/>
      </c>
      <c r="E22" s="159" t="str">
        <f t="shared" si="4"/>
        <v/>
      </c>
      <c r="F22" s="159" t="str">
        <f t="shared" si="5"/>
        <v/>
      </c>
      <c r="G22" s="137"/>
      <c r="H22" s="137"/>
      <c r="I22" s="137"/>
      <c r="J22" s="137"/>
      <c r="K22" s="160"/>
      <c r="L22" s="160"/>
      <c r="M22" s="137"/>
      <c r="N22" s="138"/>
      <c r="O22" s="138"/>
      <c r="P22" s="138"/>
      <c r="Q22" s="138"/>
      <c r="R22" s="138"/>
      <c r="S22" s="138"/>
      <c r="T22" s="138"/>
      <c r="U22" s="138"/>
      <c r="V22" s="150" t="e">
        <f t="shared" si="0"/>
        <v>#N/A</v>
      </c>
      <c r="W22" s="150" t="e">
        <f t="shared" si="0"/>
        <v>#N/A</v>
      </c>
      <c r="X22" s="150" t="e">
        <f t="shared" si="0"/>
        <v>#N/A</v>
      </c>
      <c r="Y22" s="150" t="e">
        <f t="shared" si="0"/>
        <v>#N/A</v>
      </c>
    </row>
    <row r="23" spans="1:25">
      <c r="A23" s="134"/>
      <c r="B23" s="158">
        <f t="shared" si="1"/>
        <v>37997</v>
      </c>
      <c r="C23" s="159" t="str">
        <f t="shared" si="2"/>
        <v/>
      </c>
      <c r="D23" s="159" t="str">
        <f t="shared" si="3"/>
        <v/>
      </c>
      <c r="E23" s="159" t="str">
        <f t="shared" si="4"/>
        <v/>
      </c>
      <c r="F23" s="159" t="str">
        <f t="shared" si="5"/>
        <v/>
      </c>
      <c r="G23" s="137"/>
      <c r="H23" s="137"/>
      <c r="I23" s="137"/>
      <c r="J23" s="137"/>
      <c r="K23" s="160"/>
      <c r="L23" s="160"/>
      <c r="M23" s="137"/>
      <c r="N23" s="138"/>
      <c r="O23" s="138"/>
      <c r="P23" s="138"/>
      <c r="Q23" s="138"/>
      <c r="R23" s="138"/>
      <c r="S23" s="138"/>
      <c r="T23" s="138"/>
      <c r="U23" s="138"/>
      <c r="V23" s="150" t="e">
        <f t="shared" si="0"/>
        <v>#N/A</v>
      </c>
      <c r="W23" s="150" t="e">
        <f t="shared" si="0"/>
        <v>#N/A</v>
      </c>
      <c r="X23" s="150" t="e">
        <f t="shared" si="0"/>
        <v>#N/A</v>
      </c>
      <c r="Y23" s="150" t="e">
        <f t="shared" si="0"/>
        <v>#N/A</v>
      </c>
    </row>
    <row r="24" spans="1:25">
      <c r="A24" s="134"/>
      <c r="B24" s="158">
        <f t="shared" si="1"/>
        <v>37998</v>
      </c>
      <c r="C24" s="159" t="str">
        <f t="shared" si="2"/>
        <v/>
      </c>
      <c r="D24" s="159" t="str">
        <f t="shared" si="3"/>
        <v/>
      </c>
      <c r="E24" s="159" t="str">
        <f t="shared" si="4"/>
        <v/>
      </c>
      <c r="F24" s="159" t="str">
        <f t="shared" si="5"/>
        <v/>
      </c>
      <c r="G24" s="137"/>
      <c r="H24" s="137"/>
      <c r="I24" s="137"/>
      <c r="J24" s="137"/>
      <c r="K24" s="160"/>
      <c r="L24" s="160"/>
      <c r="M24" s="137"/>
      <c r="N24" s="138"/>
      <c r="O24" s="138"/>
      <c r="P24" s="138"/>
      <c r="Q24" s="138"/>
      <c r="R24" s="138"/>
      <c r="S24" s="138"/>
      <c r="T24" s="138"/>
      <c r="U24" s="138"/>
      <c r="V24" s="150" t="e">
        <f t="shared" si="0"/>
        <v>#N/A</v>
      </c>
      <c r="W24" s="150" t="e">
        <f t="shared" si="0"/>
        <v>#N/A</v>
      </c>
      <c r="X24" s="150" t="e">
        <f t="shared" si="0"/>
        <v>#N/A</v>
      </c>
      <c r="Y24" s="150" t="e">
        <f t="shared" si="0"/>
        <v>#N/A</v>
      </c>
    </row>
    <row r="25" spans="1:25">
      <c r="A25" s="134"/>
      <c r="B25" s="158">
        <f t="shared" si="1"/>
        <v>37999</v>
      </c>
      <c r="C25" s="159" t="str">
        <f t="shared" si="2"/>
        <v/>
      </c>
      <c r="D25" s="159" t="str">
        <f t="shared" si="3"/>
        <v/>
      </c>
      <c r="E25" s="159" t="str">
        <f t="shared" si="4"/>
        <v/>
      </c>
      <c r="F25" s="159" t="str">
        <f t="shared" si="5"/>
        <v/>
      </c>
      <c r="G25" s="137"/>
      <c r="H25" s="137"/>
      <c r="I25" s="137"/>
      <c r="J25" s="137"/>
      <c r="K25" s="160"/>
      <c r="L25" s="160"/>
      <c r="M25" s="137"/>
      <c r="N25" s="138"/>
      <c r="O25" s="138"/>
      <c r="P25" s="138"/>
      <c r="Q25" s="138"/>
      <c r="R25" s="138"/>
      <c r="S25" s="138"/>
      <c r="T25" s="138"/>
      <c r="U25" s="138"/>
      <c r="V25" s="150" t="e">
        <f t="shared" si="0"/>
        <v>#N/A</v>
      </c>
      <c r="W25" s="150" t="e">
        <f t="shared" si="0"/>
        <v>#N/A</v>
      </c>
      <c r="X25" s="150" t="e">
        <f t="shared" si="0"/>
        <v>#N/A</v>
      </c>
      <c r="Y25" s="150" t="e">
        <f t="shared" si="0"/>
        <v>#N/A</v>
      </c>
    </row>
    <row r="26" spans="1:25">
      <c r="A26" s="134"/>
      <c r="B26" s="158">
        <f t="shared" si="1"/>
        <v>38000</v>
      </c>
      <c r="C26" s="159" t="str">
        <f t="shared" si="2"/>
        <v/>
      </c>
      <c r="D26" s="159" t="str">
        <f t="shared" si="3"/>
        <v/>
      </c>
      <c r="E26" s="159" t="str">
        <f t="shared" si="4"/>
        <v/>
      </c>
      <c r="F26" s="159" t="str">
        <f t="shared" si="5"/>
        <v/>
      </c>
      <c r="G26" s="137"/>
      <c r="H26" s="137"/>
      <c r="I26" s="137"/>
      <c r="J26" s="137"/>
      <c r="K26" s="160"/>
      <c r="L26" s="160"/>
      <c r="M26" s="137"/>
      <c r="N26" s="138"/>
      <c r="O26" s="138"/>
      <c r="P26" s="138"/>
      <c r="Q26" s="138"/>
      <c r="R26" s="138"/>
      <c r="S26" s="138"/>
      <c r="T26" s="138"/>
      <c r="U26" s="138"/>
      <c r="V26" s="150" t="e">
        <f t="shared" si="0"/>
        <v>#N/A</v>
      </c>
      <c r="W26" s="150" t="e">
        <f t="shared" si="0"/>
        <v>#N/A</v>
      </c>
      <c r="X26" s="150" t="e">
        <f t="shared" si="0"/>
        <v>#N/A</v>
      </c>
      <c r="Y26" s="150" t="e">
        <f t="shared" si="0"/>
        <v>#N/A</v>
      </c>
    </row>
    <row r="27" spans="1:25">
      <c r="A27" s="134"/>
      <c r="B27" s="158">
        <f t="shared" si="1"/>
        <v>38001</v>
      </c>
      <c r="C27" s="159" t="str">
        <f t="shared" si="2"/>
        <v/>
      </c>
      <c r="D27" s="159" t="str">
        <f t="shared" si="3"/>
        <v/>
      </c>
      <c r="E27" s="159" t="str">
        <f t="shared" si="4"/>
        <v/>
      </c>
      <c r="F27" s="159" t="str">
        <f t="shared" si="5"/>
        <v/>
      </c>
      <c r="G27" s="137"/>
      <c r="H27" s="137"/>
      <c r="I27" s="137"/>
      <c r="J27" s="137"/>
      <c r="K27" s="160"/>
      <c r="L27" s="160"/>
      <c r="M27" s="137"/>
      <c r="N27" s="138"/>
      <c r="O27" s="138"/>
      <c r="P27" s="138"/>
      <c r="Q27" s="138"/>
      <c r="R27" s="138"/>
      <c r="S27" s="138"/>
      <c r="T27" s="138"/>
      <c r="U27" s="138"/>
      <c r="V27" s="150" t="e">
        <f t="shared" si="0"/>
        <v>#N/A</v>
      </c>
      <c r="W27" s="150" t="e">
        <f t="shared" si="0"/>
        <v>#N/A</v>
      </c>
      <c r="X27" s="150" t="e">
        <f t="shared" si="0"/>
        <v>#N/A</v>
      </c>
      <c r="Y27" s="150" t="e">
        <f t="shared" si="0"/>
        <v>#N/A</v>
      </c>
    </row>
    <row r="28" spans="1:25">
      <c r="A28" s="134"/>
      <c r="B28" s="158">
        <f t="shared" si="1"/>
        <v>38002</v>
      </c>
      <c r="C28" s="159" t="str">
        <f t="shared" si="2"/>
        <v/>
      </c>
      <c r="D28" s="159" t="str">
        <f t="shared" si="3"/>
        <v/>
      </c>
      <c r="E28" s="159" t="str">
        <f t="shared" si="4"/>
        <v/>
      </c>
      <c r="F28" s="159" t="str">
        <f t="shared" si="5"/>
        <v/>
      </c>
      <c r="G28" s="137"/>
      <c r="H28" s="137"/>
      <c r="I28" s="137"/>
      <c r="J28" s="137"/>
      <c r="K28" s="160"/>
      <c r="L28" s="160"/>
      <c r="M28" s="137"/>
      <c r="N28" s="138"/>
      <c r="O28" s="138"/>
      <c r="P28" s="138"/>
      <c r="Q28" s="138"/>
      <c r="R28" s="138"/>
      <c r="S28" s="138"/>
      <c r="T28" s="138"/>
      <c r="U28" s="138"/>
      <c r="V28" s="150" t="e">
        <f t="shared" si="0"/>
        <v>#N/A</v>
      </c>
      <c r="W28" s="150" t="e">
        <f t="shared" si="0"/>
        <v>#N/A</v>
      </c>
      <c r="X28" s="150" t="e">
        <f t="shared" si="0"/>
        <v>#N/A</v>
      </c>
      <c r="Y28" s="150" t="e">
        <f t="shared" si="0"/>
        <v>#N/A</v>
      </c>
    </row>
    <row r="29" spans="1:25">
      <c r="A29" s="134"/>
      <c r="B29" s="158">
        <f t="shared" si="1"/>
        <v>38003</v>
      </c>
      <c r="C29" s="159" t="str">
        <f t="shared" si="2"/>
        <v/>
      </c>
      <c r="D29" s="159" t="str">
        <f t="shared" si="3"/>
        <v/>
      </c>
      <c r="E29" s="159" t="str">
        <f t="shared" si="4"/>
        <v/>
      </c>
      <c r="F29" s="159" t="str">
        <f t="shared" si="5"/>
        <v/>
      </c>
      <c r="G29" s="137"/>
      <c r="H29" s="137"/>
      <c r="I29" s="137"/>
      <c r="J29" s="137"/>
      <c r="K29" s="160"/>
      <c r="L29" s="160"/>
      <c r="M29" s="137"/>
      <c r="N29" s="138"/>
      <c r="O29" s="138"/>
      <c r="P29" s="138"/>
      <c r="Q29" s="138"/>
      <c r="R29" s="138"/>
      <c r="S29" s="138"/>
      <c r="T29" s="138"/>
      <c r="U29" s="138"/>
      <c r="V29" s="150" t="e">
        <f t="shared" si="0"/>
        <v>#N/A</v>
      </c>
      <c r="W29" s="150" t="e">
        <f t="shared" si="0"/>
        <v>#N/A</v>
      </c>
      <c r="X29" s="150" t="e">
        <f t="shared" si="0"/>
        <v>#N/A</v>
      </c>
      <c r="Y29" s="150" t="e">
        <f t="shared" si="0"/>
        <v>#N/A</v>
      </c>
    </row>
    <row r="30" spans="1:25">
      <c r="A30" s="134"/>
      <c r="B30" s="158">
        <f t="shared" si="1"/>
        <v>38004</v>
      </c>
      <c r="C30" s="159" t="str">
        <f t="shared" si="2"/>
        <v/>
      </c>
      <c r="D30" s="159" t="str">
        <f t="shared" si="3"/>
        <v/>
      </c>
      <c r="E30" s="159" t="str">
        <f t="shared" si="4"/>
        <v/>
      </c>
      <c r="F30" s="159" t="str">
        <f t="shared" si="5"/>
        <v/>
      </c>
      <c r="G30" s="137"/>
      <c r="H30" s="137"/>
      <c r="I30" s="137"/>
      <c r="J30" s="137"/>
      <c r="K30" s="160"/>
      <c r="L30" s="160"/>
      <c r="M30" s="137"/>
      <c r="N30" s="138"/>
      <c r="O30" s="138"/>
      <c r="P30" s="138"/>
      <c r="Q30" s="138"/>
      <c r="R30" s="138"/>
      <c r="S30" s="138"/>
      <c r="T30" s="138"/>
      <c r="U30" s="138"/>
      <c r="V30" s="150" t="e">
        <f t="shared" si="0"/>
        <v>#N/A</v>
      </c>
      <c r="W30" s="150" t="e">
        <f t="shared" si="0"/>
        <v>#N/A</v>
      </c>
      <c r="X30" s="150" t="e">
        <f t="shared" si="0"/>
        <v>#N/A</v>
      </c>
      <c r="Y30" s="150" t="e">
        <f t="shared" si="0"/>
        <v>#N/A</v>
      </c>
    </row>
    <row r="31" spans="1:25">
      <c r="A31" s="134"/>
      <c r="B31" s="158">
        <f t="shared" si="1"/>
        <v>38005</v>
      </c>
      <c r="C31" s="159" t="str">
        <f t="shared" si="2"/>
        <v/>
      </c>
      <c r="D31" s="159" t="str">
        <f t="shared" si="3"/>
        <v/>
      </c>
      <c r="E31" s="159" t="str">
        <f t="shared" si="4"/>
        <v/>
      </c>
      <c r="F31" s="159" t="str">
        <f t="shared" si="5"/>
        <v/>
      </c>
      <c r="G31" s="137"/>
      <c r="H31" s="137"/>
      <c r="I31" s="137"/>
      <c r="J31" s="137"/>
      <c r="K31" s="160"/>
      <c r="L31" s="160"/>
      <c r="M31" s="137"/>
      <c r="N31" s="138"/>
      <c r="O31" s="138"/>
      <c r="P31" s="138"/>
      <c r="Q31" s="138"/>
      <c r="R31" s="138"/>
      <c r="S31" s="138"/>
      <c r="T31" s="138"/>
      <c r="U31" s="138"/>
      <c r="V31" s="150" t="e">
        <f t="shared" si="0"/>
        <v>#N/A</v>
      </c>
      <c r="W31" s="150" t="e">
        <f t="shared" si="0"/>
        <v>#N/A</v>
      </c>
      <c r="X31" s="150" t="e">
        <f t="shared" si="0"/>
        <v>#N/A</v>
      </c>
      <c r="Y31" s="150" t="e">
        <f t="shared" si="0"/>
        <v>#N/A</v>
      </c>
    </row>
    <row r="32" spans="1:25">
      <c r="A32" s="134"/>
      <c r="B32" s="158">
        <f t="shared" si="1"/>
        <v>38006</v>
      </c>
      <c r="C32" s="159" t="str">
        <f t="shared" si="2"/>
        <v/>
      </c>
      <c r="D32" s="159" t="str">
        <f t="shared" si="3"/>
        <v/>
      </c>
      <c r="E32" s="159" t="str">
        <f t="shared" si="4"/>
        <v/>
      </c>
      <c r="F32" s="159" t="str">
        <f t="shared" si="5"/>
        <v/>
      </c>
      <c r="G32" s="137"/>
      <c r="H32" s="137"/>
      <c r="I32" s="137"/>
      <c r="J32" s="137"/>
      <c r="K32" s="160"/>
      <c r="L32" s="160"/>
      <c r="M32" s="137"/>
      <c r="N32" s="138"/>
      <c r="O32" s="138"/>
      <c r="P32" s="138"/>
      <c r="Q32" s="138"/>
      <c r="R32" s="138"/>
      <c r="S32" s="138"/>
      <c r="T32" s="138"/>
      <c r="U32" s="138"/>
      <c r="V32" s="150" t="e">
        <f t="shared" si="0"/>
        <v>#N/A</v>
      </c>
      <c r="W32" s="150" t="e">
        <f t="shared" si="0"/>
        <v>#N/A</v>
      </c>
      <c r="X32" s="150" t="e">
        <f t="shared" si="0"/>
        <v>#N/A</v>
      </c>
      <c r="Y32" s="150" t="e">
        <f t="shared" si="0"/>
        <v>#N/A</v>
      </c>
    </row>
    <row r="33" spans="1:25">
      <c r="A33" s="134"/>
      <c r="B33" s="158">
        <f t="shared" si="1"/>
        <v>38007</v>
      </c>
      <c r="C33" s="159" t="str">
        <f t="shared" si="2"/>
        <v/>
      </c>
      <c r="D33" s="159" t="str">
        <f t="shared" si="3"/>
        <v/>
      </c>
      <c r="E33" s="159" t="str">
        <f t="shared" si="4"/>
        <v/>
      </c>
      <c r="F33" s="159" t="str">
        <f t="shared" si="5"/>
        <v/>
      </c>
      <c r="G33" s="137"/>
      <c r="H33" s="137"/>
      <c r="I33" s="137"/>
      <c r="J33" s="137"/>
      <c r="K33" s="160"/>
      <c r="L33" s="160"/>
      <c r="M33" s="137"/>
      <c r="N33" s="138"/>
      <c r="O33" s="138"/>
      <c r="P33" s="138"/>
      <c r="Q33" s="138"/>
      <c r="R33" s="138"/>
      <c r="S33" s="138"/>
      <c r="T33" s="138"/>
      <c r="U33" s="138"/>
      <c r="V33" s="150" t="e">
        <f t="shared" si="0"/>
        <v>#N/A</v>
      </c>
      <c r="W33" s="150" t="e">
        <f t="shared" si="0"/>
        <v>#N/A</v>
      </c>
      <c r="X33" s="150" t="e">
        <f t="shared" si="0"/>
        <v>#N/A</v>
      </c>
      <c r="Y33" s="150" t="e">
        <f t="shared" si="0"/>
        <v>#N/A</v>
      </c>
    </row>
    <row r="34" spans="1:25">
      <c r="A34" s="134"/>
      <c r="B34" s="158">
        <f t="shared" si="1"/>
        <v>38008</v>
      </c>
      <c r="C34" s="159" t="str">
        <f t="shared" si="2"/>
        <v/>
      </c>
      <c r="D34" s="159" t="str">
        <f t="shared" si="3"/>
        <v/>
      </c>
      <c r="E34" s="159" t="str">
        <f t="shared" si="4"/>
        <v/>
      </c>
      <c r="F34" s="159" t="str">
        <f t="shared" si="5"/>
        <v/>
      </c>
      <c r="G34" s="137"/>
      <c r="H34" s="137"/>
      <c r="I34" s="137"/>
      <c r="J34" s="137"/>
      <c r="K34" s="160"/>
      <c r="L34" s="160"/>
      <c r="M34" s="137"/>
      <c r="N34" s="138"/>
      <c r="O34" s="138"/>
      <c r="P34" s="138"/>
      <c r="Q34" s="138"/>
      <c r="R34" s="138"/>
      <c r="S34" s="138"/>
      <c r="T34" s="138"/>
      <c r="U34" s="138"/>
      <c r="V34" s="150" t="e">
        <f t="shared" si="0"/>
        <v>#N/A</v>
      </c>
      <c r="W34" s="150" t="e">
        <f t="shared" si="0"/>
        <v>#N/A</v>
      </c>
      <c r="X34" s="150" t="e">
        <f t="shared" si="0"/>
        <v>#N/A</v>
      </c>
      <c r="Y34" s="150" t="e">
        <f t="shared" si="0"/>
        <v>#N/A</v>
      </c>
    </row>
    <row r="35" spans="1:25">
      <c r="A35" s="134"/>
      <c r="B35" s="158">
        <f t="shared" si="1"/>
        <v>38009</v>
      </c>
      <c r="C35" s="159" t="str">
        <f t="shared" si="2"/>
        <v/>
      </c>
      <c r="D35" s="159" t="str">
        <f t="shared" si="3"/>
        <v/>
      </c>
      <c r="E35" s="159" t="str">
        <f t="shared" si="4"/>
        <v/>
      </c>
      <c r="F35" s="159" t="str">
        <f t="shared" si="5"/>
        <v/>
      </c>
      <c r="G35" s="137"/>
      <c r="H35" s="137"/>
      <c r="I35" s="137"/>
      <c r="J35" s="137"/>
      <c r="K35" s="160"/>
      <c r="L35" s="160"/>
      <c r="M35" s="137"/>
      <c r="N35" s="138"/>
      <c r="O35" s="138"/>
      <c r="P35" s="138"/>
      <c r="Q35" s="138"/>
      <c r="R35" s="138"/>
      <c r="S35" s="138"/>
      <c r="T35" s="138"/>
      <c r="U35" s="138"/>
      <c r="V35" s="150" t="e">
        <f t="shared" si="0"/>
        <v>#N/A</v>
      </c>
      <c r="W35" s="150" t="e">
        <f t="shared" si="0"/>
        <v>#N/A</v>
      </c>
      <c r="X35" s="150" t="e">
        <f t="shared" si="0"/>
        <v>#N/A</v>
      </c>
      <c r="Y35" s="150" t="e">
        <f t="shared" si="0"/>
        <v>#N/A</v>
      </c>
    </row>
    <row r="36" spans="1:25">
      <c r="A36" s="134"/>
      <c r="B36" s="158">
        <f t="shared" si="1"/>
        <v>38010</v>
      </c>
      <c r="C36" s="159" t="str">
        <f t="shared" si="2"/>
        <v/>
      </c>
      <c r="D36" s="159" t="str">
        <f t="shared" si="3"/>
        <v/>
      </c>
      <c r="E36" s="159" t="str">
        <f t="shared" si="4"/>
        <v/>
      </c>
      <c r="F36" s="159" t="str">
        <f t="shared" si="5"/>
        <v/>
      </c>
      <c r="G36" s="137"/>
      <c r="H36" s="137"/>
      <c r="I36" s="137"/>
      <c r="J36" s="137"/>
      <c r="K36" s="160"/>
      <c r="L36" s="160"/>
      <c r="M36" s="137"/>
      <c r="N36" s="138"/>
      <c r="O36" s="138"/>
      <c r="P36" s="138"/>
      <c r="Q36" s="138"/>
      <c r="R36" s="138"/>
      <c r="S36" s="138"/>
      <c r="T36" s="138"/>
      <c r="U36" s="138"/>
      <c r="V36" s="150" t="e">
        <f t="shared" si="0"/>
        <v>#N/A</v>
      </c>
      <c r="W36" s="150" t="e">
        <f t="shared" si="0"/>
        <v>#N/A</v>
      </c>
      <c r="X36" s="150" t="e">
        <f t="shared" si="0"/>
        <v>#N/A</v>
      </c>
      <c r="Y36" s="150" t="e">
        <f t="shared" si="0"/>
        <v>#N/A</v>
      </c>
    </row>
    <row r="37" spans="1:25">
      <c r="A37" s="134"/>
      <c r="B37" s="158">
        <f t="shared" si="1"/>
        <v>38011</v>
      </c>
      <c r="C37" s="159" t="str">
        <f t="shared" si="2"/>
        <v/>
      </c>
      <c r="D37" s="159" t="str">
        <f t="shared" si="3"/>
        <v/>
      </c>
      <c r="E37" s="159" t="str">
        <f t="shared" si="4"/>
        <v/>
      </c>
      <c r="F37" s="159" t="str">
        <f t="shared" si="5"/>
        <v/>
      </c>
      <c r="G37" s="137"/>
      <c r="H37" s="137"/>
      <c r="I37" s="137"/>
      <c r="J37" s="137"/>
      <c r="K37" s="160"/>
      <c r="L37" s="160"/>
      <c r="M37" s="137"/>
      <c r="N37" s="138"/>
      <c r="O37" s="138"/>
      <c r="P37" s="138"/>
      <c r="Q37" s="138"/>
      <c r="R37" s="138"/>
      <c r="S37" s="138"/>
      <c r="T37" s="138"/>
      <c r="U37" s="138"/>
      <c r="V37" s="150" t="e">
        <f t="shared" si="0"/>
        <v>#N/A</v>
      </c>
      <c r="W37" s="150" t="e">
        <f t="shared" si="0"/>
        <v>#N/A</v>
      </c>
      <c r="X37" s="150" t="e">
        <f t="shared" si="0"/>
        <v>#N/A</v>
      </c>
      <c r="Y37" s="150" t="e">
        <f t="shared" si="0"/>
        <v>#N/A</v>
      </c>
    </row>
    <row r="38" spans="1:25">
      <c r="A38" s="134"/>
      <c r="B38" s="158">
        <f t="shared" si="1"/>
        <v>38012</v>
      </c>
      <c r="C38" s="159" t="str">
        <f t="shared" si="2"/>
        <v/>
      </c>
      <c r="D38" s="159" t="str">
        <f t="shared" si="3"/>
        <v/>
      </c>
      <c r="E38" s="159" t="str">
        <f t="shared" si="4"/>
        <v/>
      </c>
      <c r="F38" s="159" t="str">
        <f t="shared" si="5"/>
        <v/>
      </c>
      <c r="G38" s="137"/>
      <c r="H38" s="137"/>
      <c r="I38" s="137"/>
      <c r="J38" s="137"/>
      <c r="K38" s="160"/>
      <c r="L38" s="160"/>
      <c r="M38" s="137"/>
      <c r="N38" s="138"/>
      <c r="O38" s="138"/>
      <c r="P38" s="138"/>
      <c r="Q38" s="138"/>
      <c r="R38" s="138"/>
      <c r="S38" s="138"/>
      <c r="T38" s="138"/>
      <c r="U38" s="138"/>
      <c r="V38" s="150" t="e">
        <f t="shared" si="0"/>
        <v>#N/A</v>
      </c>
      <c r="W38" s="150" t="e">
        <f t="shared" si="0"/>
        <v>#N/A</v>
      </c>
      <c r="X38" s="150" t="e">
        <f t="shared" si="0"/>
        <v>#N/A</v>
      </c>
      <c r="Y38" s="150" t="e">
        <f t="shared" si="0"/>
        <v>#N/A</v>
      </c>
    </row>
    <row r="39" spans="1:25">
      <c r="A39" s="134"/>
      <c r="B39" s="158">
        <f t="shared" si="1"/>
        <v>38013</v>
      </c>
      <c r="C39" s="159" t="str">
        <f t="shared" si="2"/>
        <v/>
      </c>
      <c r="D39" s="159" t="str">
        <f t="shared" si="3"/>
        <v/>
      </c>
      <c r="E39" s="159" t="str">
        <f t="shared" si="4"/>
        <v/>
      </c>
      <c r="F39" s="159" t="str">
        <f t="shared" si="5"/>
        <v/>
      </c>
      <c r="G39" s="137"/>
      <c r="H39" s="137"/>
      <c r="I39" s="137"/>
      <c r="J39" s="137"/>
      <c r="K39" s="160"/>
      <c r="L39" s="160"/>
      <c r="M39" s="137"/>
      <c r="N39" s="138"/>
      <c r="O39" s="138"/>
      <c r="P39" s="138"/>
      <c r="Q39" s="138"/>
      <c r="R39" s="138"/>
      <c r="S39" s="138"/>
      <c r="T39" s="138"/>
      <c r="U39" s="138"/>
      <c r="V39" s="150" t="e">
        <f t="shared" si="0"/>
        <v>#N/A</v>
      </c>
      <c r="W39" s="150" t="e">
        <f t="shared" si="0"/>
        <v>#N/A</v>
      </c>
      <c r="X39" s="150" t="e">
        <f t="shared" si="0"/>
        <v>#N/A</v>
      </c>
      <c r="Y39" s="150" t="e">
        <f t="shared" si="0"/>
        <v>#N/A</v>
      </c>
    </row>
    <row r="40" spans="1:25">
      <c r="A40" s="134"/>
      <c r="B40" s="158">
        <f t="shared" si="1"/>
        <v>38014</v>
      </c>
      <c r="C40" s="159" t="str">
        <f t="shared" si="2"/>
        <v/>
      </c>
      <c r="D40" s="159" t="str">
        <f t="shared" si="3"/>
        <v/>
      </c>
      <c r="E40" s="159" t="str">
        <f t="shared" si="4"/>
        <v/>
      </c>
      <c r="F40" s="159" t="str">
        <f t="shared" si="5"/>
        <v/>
      </c>
      <c r="G40" s="137"/>
      <c r="H40" s="137"/>
      <c r="I40" s="137"/>
      <c r="J40" s="137"/>
      <c r="K40" s="160"/>
      <c r="L40" s="160"/>
      <c r="M40" s="137"/>
      <c r="N40" s="138"/>
      <c r="O40" s="138"/>
      <c r="P40" s="138"/>
      <c r="Q40" s="138"/>
      <c r="R40" s="138"/>
      <c r="S40" s="138"/>
      <c r="T40" s="138"/>
      <c r="U40" s="138"/>
      <c r="V40" s="150" t="e">
        <f t="shared" si="0"/>
        <v>#N/A</v>
      </c>
      <c r="W40" s="150" t="e">
        <f t="shared" si="0"/>
        <v>#N/A</v>
      </c>
      <c r="X40" s="150" t="e">
        <f t="shared" si="0"/>
        <v>#N/A</v>
      </c>
      <c r="Y40" s="150" t="e">
        <f t="shared" si="0"/>
        <v>#N/A</v>
      </c>
    </row>
    <row r="41" spans="1:25">
      <c r="A41" s="134"/>
      <c r="B41" s="158">
        <f t="shared" si="1"/>
        <v>38015</v>
      </c>
      <c r="C41" s="159" t="str">
        <f t="shared" si="2"/>
        <v/>
      </c>
      <c r="D41" s="159" t="str">
        <f t="shared" si="3"/>
        <v/>
      </c>
      <c r="E41" s="159" t="str">
        <f t="shared" si="4"/>
        <v/>
      </c>
      <c r="F41" s="159" t="str">
        <f t="shared" si="5"/>
        <v/>
      </c>
      <c r="G41" s="137"/>
      <c r="H41" s="137"/>
      <c r="I41" s="137"/>
      <c r="J41" s="137"/>
      <c r="K41" s="160"/>
      <c r="L41" s="160"/>
      <c r="M41" s="137"/>
      <c r="N41" s="138"/>
      <c r="O41" s="138"/>
      <c r="P41" s="138"/>
      <c r="Q41" s="138"/>
      <c r="R41" s="138"/>
      <c r="S41" s="138"/>
      <c r="T41" s="138"/>
      <c r="U41" s="138"/>
      <c r="V41" s="150" t="e">
        <f t="shared" si="0"/>
        <v>#N/A</v>
      </c>
      <c r="W41" s="150" t="e">
        <f t="shared" si="0"/>
        <v>#N/A</v>
      </c>
      <c r="X41" s="150" t="e">
        <f t="shared" si="0"/>
        <v>#N/A</v>
      </c>
      <c r="Y41" s="150" t="e">
        <f t="shared" si="0"/>
        <v>#N/A</v>
      </c>
    </row>
    <row r="42" spans="1:25">
      <c r="A42" s="134"/>
      <c r="B42" s="158">
        <f t="shared" si="1"/>
        <v>38016</v>
      </c>
      <c r="C42" s="159" t="str">
        <f t="shared" si="2"/>
        <v/>
      </c>
      <c r="D42" s="159" t="str">
        <f t="shared" si="3"/>
        <v/>
      </c>
      <c r="E42" s="159" t="str">
        <f t="shared" si="4"/>
        <v/>
      </c>
      <c r="F42" s="159" t="str">
        <f t="shared" si="5"/>
        <v/>
      </c>
      <c r="G42" s="137"/>
      <c r="H42" s="137"/>
      <c r="I42" s="137"/>
      <c r="J42" s="137"/>
      <c r="K42" s="160"/>
      <c r="L42" s="160"/>
      <c r="M42" s="137"/>
      <c r="N42" s="138"/>
      <c r="O42" s="138"/>
      <c r="P42" s="138"/>
      <c r="Q42" s="138"/>
      <c r="R42" s="138"/>
      <c r="S42" s="138"/>
      <c r="T42" s="138"/>
      <c r="U42" s="138"/>
      <c r="V42" s="150" t="e">
        <f t="shared" si="0"/>
        <v>#N/A</v>
      </c>
      <c r="W42" s="150" t="e">
        <f t="shared" si="0"/>
        <v>#N/A</v>
      </c>
      <c r="X42" s="150" t="e">
        <f t="shared" si="0"/>
        <v>#N/A</v>
      </c>
      <c r="Y42" s="150" t="e">
        <f t="shared" si="0"/>
        <v>#N/A</v>
      </c>
    </row>
    <row r="43" spans="1:25">
      <c r="A43" s="134"/>
      <c r="B43" s="158">
        <f t="shared" si="1"/>
        <v>38017</v>
      </c>
      <c r="C43" s="159" t="str">
        <f t="shared" si="2"/>
        <v/>
      </c>
      <c r="D43" s="159" t="str">
        <f t="shared" si="3"/>
        <v/>
      </c>
      <c r="E43" s="159" t="str">
        <f t="shared" si="4"/>
        <v/>
      </c>
      <c r="F43" s="159" t="str">
        <f t="shared" si="5"/>
        <v/>
      </c>
      <c r="G43" s="137"/>
      <c r="H43" s="137"/>
      <c r="I43" s="137"/>
      <c r="J43" s="137"/>
      <c r="K43" s="160"/>
      <c r="L43" s="160"/>
      <c r="M43" s="137"/>
      <c r="N43" s="138"/>
      <c r="O43" s="138"/>
      <c r="P43" s="138"/>
      <c r="Q43" s="138"/>
      <c r="R43" s="138"/>
      <c r="S43" s="138"/>
      <c r="T43" s="138"/>
      <c r="U43" s="138"/>
      <c r="V43" s="150" t="e">
        <f t="shared" si="0"/>
        <v>#N/A</v>
      </c>
      <c r="W43" s="150" t="e">
        <f t="shared" si="0"/>
        <v>#N/A</v>
      </c>
      <c r="X43" s="150" t="e">
        <f t="shared" si="0"/>
        <v>#N/A</v>
      </c>
      <c r="Y43" s="150" t="e">
        <f t="shared" si="0"/>
        <v>#N/A</v>
      </c>
    </row>
    <row r="44" spans="1:25">
      <c r="A44" s="134"/>
      <c r="B44" s="158">
        <f t="shared" si="1"/>
        <v>38018</v>
      </c>
      <c r="C44" s="159" t="str">
        <f t="shared" si="2"/>
        <v/>
      </c>
      <c r="D44" s="159" t="str">
        <f t="shared" si="3"/>
        <v/>
      </c>
      <c r="E44" s="159" t="str">
        <f t="shared" si="4"/>
        <v/>
      </c>
      <c r="F44" s="159" t="str">
        <f t="shared" si="5"/>
        <v/>
      </c>
      <c r="G44" s="137"/>
      <c r="H44" s="137"/>
      <c r="I44" s="137"/>
      <c r="J44" s="137"/>
      <c r="K44" s="160"/>
      <c r="L44" s="160"/>
      <c r="M44" s="137"/>
      <c r="N44" s="138"/>
      <c r="O44" s="138"/>
      <c r="P44" s="138"/>
      <c r="Q44" s="138"/>
      <c r="R44" s="138"/>
      <c r="S44" s="138"/>
      <c r="T44" s="138"/>
      <c r="U44" s="138"/>
      <c r="V44" s="150" t="e">
        <f t="shared" si="0"/>
        <v>#N/A</v>
      </c>
      <c r="W44" s="150" t="e">
        <f t="shared" si="0"/>
        <v>#N/A</v>
      </c>
      <c r="X44" s="150" t="e">
        <f t="shared" si="0"/>
        <v>#N/A</v>
      </c>
      <c r="Y44" s="150" t="e">
        <f t="shared" si="0"/>
        <v>#N/A</v>
      </c>
    </row>
    <row r="45" spans="1:25">
      <c r="A45" s="134"/>
      <c r="B45" s="158">
        <f t="shared" si="1"/>
        <v>38019</v>
      </c>
      <c r="C45" s="159" t="str">
        <f t="shared" si="2"/>
        <v/>
      </c>
      <c r="D45" s="159" t="str">
        <f t="shared" si="3"/>
        <v/>
      </c>
      <c r="E45" s="159" t="str">
        <f t="shared" si="4"/>
        <v/>
      </c>
      <c r="F45" s="159" t="str">
        <f t="shared" si="5"/>
        <v/>
      </c>
      <c r="G45" s="137"/>
      <c r="H45" s="137"/>
      <c r="I45" s="137"/>
      <c r="J45" s="137"/>
      <c r="K45" s="160"/>
      <c r="L45" s="160"/>
      <c r="M45" s="137"/>
      <c r="N45" s="138"/>
      <c r="O45" s="138"/>
      <c r="P45" s="138"/>
      <c r="Q45" s="138"/>
      <c r="R45" s="138"/>
      <c r="S45" s="138"/>
      <c r="T45" s="138"/>
      <c r="U45" s="138"/>
      <c r="V45" s="150" t="e">
        <f t="shared" si="0"/>
        <v>#N/A</v>
      </c>
      <c r="W45" s="150" t="e">
        <f t="shared" si="0"/>
        <v>#N/A</v>
      </c>
      <c r="X45" s="150" t="e">
        <f t="shared" si="0"/>
        <v>#N/A</v>
      </c>
      <c r="Y45" s="150" t="e">
        <f t="shared" si="0"/>
        <v>#N/A</v>
      </c>
    </row>
    <row r="46" spans="1:25">
      <c r="A46" s="134"/>
      <c r="B46" s="158">
        <f t="shared" si="1"/>
        <v>38020</v>
      </c>
      <c r="C46" s="159" t="str">
        <f t="shared" si="2"/>
        <v/>
      </c>
      <c r="D46" s="159" t="str">
        <f t="shared" si="3"/>
        <v/>
      </c>
      <c r="E46" s="159" t="str">
        <f t="shared" si="4"/>
        <v/>
      </c>
      <c r="F46" s="159" t="str">
        <f t="shared" si="5"/>
        <v/>
      </c>
      <c r="G46" s="137"/>
      <c r="H46" s="137"/>
      <c r="I46" s="137"/>
      <c r="J46" s="137"/>
      <c r="K46" s="160"/>
      <c r="L46" s="160"/>
      <c r="M46" s="137"/>
      <c r="N46" s="138"/>
      <c r="O46" s="138"/>
      <c r="P46" s="138"/>
      <c r="Q46" s="138"/>
      <c r="R46" s="138"/>
      <c r="S46" s="138"/>
      <c r="T46" s="138"/>
      <c r="U46" s="138"/>
      <c r="V46" s="150" t="e">
        <f t="shared" si="0"/>
        <v>#N/A</v>
      </c>
      <c r="W46" s="150" t="e">
        <f t="shared" si="0"/>
        <v>#N/A</v>
      </c>
      <c r="X46" s="150" t="e">
        <f t="shared" si="0"/>
        <v>#N/A</v>
      </c>
      <c r="Y46" s="150" t="e">
        <f t="shared" si="0"/>
        <v>#N/A</v>
      </c>
    </row>
    <row r="47" spans="1:25">
      <c r="A47" s="134"/>
      <c r="B47" s="158">
        <f t="shared" si="1"/>
        <v>38021</v>
      </c>
      <c r="C47" s="159" t="str">
        <f t="shared" si="2"/>
        <v/>
      </c>
      <c r="D47" s="159" t="str">
        <f t="shared" si="3"/>
        <v/>
      </c>
      <c r="E47" s="159" t="str">
        <f t="shared" si="4"/>
        <v/>
      </c>
      <c r="F47" s="159" t="str">
        <f t="shared" si="5"/>
        <v/>
      </c>
      <c r="G47" s="137"/>
      <c r="H47" s="137"/>
      <c r="I47" s="137"/>
      <c r="J47" s="137"/>
      <c r="K47" s="160"/>
      <c r="L47" s="160"/>
      <c r="M47" s="137"/>
      <c r="N47" s="138"/>
      <c r="O47" s="138"/>
      <c r="P47" s="138"/>
      <c r="Q47" s="138"/>
      <c r="R47" s="138"/>
      <c r="S47" s="138"/>
      <c r="T47" s="138"/>
      <c r="U47" s="138"/>
      <c r="V47" s="150" t="e">
        <f t="shared" si="0"/>
        <v>#N/A</v>
      </c>
      <c r="W47" s="150" t="e">
        <f t="shared" si="0"/>
        <v>#N/A</v>
      </c>
      <c r="X47" s="150" t="e">
        <f t="shared" si="0"/>
        <v>#N/A</v>
      </c>
      <c r="Y47" s="150" t="e">
        <f t="shared" si="0"/>
        <v>#N/A</v>
      </c>
    </row>
    <row r="48" spans="1:25">
      <c r="A48" s="134"/>
      <c r="B48" s="158">
        <f t="shared" si="1"/>
        <v>38022</v>
      </c>
      <c r="C48" s="159" t="str">
        <f t="shared" si="2"/>
        <v/>
      </c>
      <c r="D48" s="159" t="str">
        <f t="shared" si="3"/>
        <v/>
      </c>
      <c r="E48" s="159" t="str">
        <f t="shared" si="4"/>
        <v/>
      </c>
      <c r="F48" s="159" t="str">
        <f t="shared" si="5"/>
        <v/>
      </c>
      <c r="G48" s="137"/>
      <c r="H48" s="137"/>
      <c r="I48" s="137"/>
      <c r="J48" s="137"/>
      <c r="K48" s="160"/>
      <c r="L48" s="160"/>
      <c r="M48" s="137"/>
      <c r="N48" s="138"/>
      <c r="O48" s="138"/>
      <c r="P48" s="138"/>
      <c r="Q48" s="138"/>
      <c r="R48" s="138"/>
      <c r="S48" s="138"/>
      <c r="T48" s="138"/>
      <c r="U48" s="138"/>
      <c r="V48" s="150" t="e">
        <f t="shared" si="0"/>
        <v>#N/A</v>
      </c>
      <c r="W48" s="150" t="e">
        <f t="shared" si="0"/>
        <v>#N/A</v>
      </c>
      <c r="X48" s="150" t="e">
        <f t="shared" si="0"/>
        <v>#N/A</v>
      </c>
      <c r="Y48" s="150" t="e">
        <f t="shared" si="0"/>
        <v>#N/A</v>
      </c>
    </row>
    <row r="49" spans="1:25">
      <c r="A49" s="134"/>
      <c r="B49" s="158">
        <f t="shared" si="1"/>
        <v>38023</v>
      </c>
      <c r="C49" s="159" t="str">
        <f t="shared" si="2"/>
        <v/>
      </c>
      <c r="D49" s="159" t="str">
        <f t="shared" si="3"/>
        <v/>
      </c>
      <c r="E49" s="159" t="str">
        <f t="shared" si="4"/>
        <v/>
      </c>
      <c r="F49" s="159" t="str">
        <f t="shared" si="5"/>
        <v/>
      </c>
      <c r="G49" s="137"/>
      <c r="H49" s="137"/>
      <c r="I49" s="137"/>
      <c r="J49" s="137"/>
      <c r="K49" s="160"/>
      <c r="L49" s="160"/>
      <c r="M49" s="137"/>
      <c r="N49" s="138"/>
      <c r="O49" s="138"/>
      <c r="P49" s="138"/>
      <c r="Q49" s="138"/>
      <c r="R49" s="138"/>
      <c r="S49" s="138"/>
      <c r="T49" s="138"/>
      <c r="U49" s="138"/>
      <c r="V49" s="150" t="e">
        <f t="shared" si="0"/>
        <v>#N/A</v>
      </c>
      <c r="W49" s="150" t="e">
        <f t="shared" si="0"/>
        <v>#N/A</v>
      </c>
      <c r="X49" s="150" t="e">
        <f t="shared" si="0"/>
        <v>#N/A</v>
      </c>
      <c r="Y49" s="150" t="e">
        <f t="shared" si="0"/>
        <v>#N/A</v>
      </c>
    </row>
    <row r="50" spans="1:25">
      <c r="A50" s="134"/>
      <c r="B50" s="158">
        <f t="shared" si="1"/>
        <v>38024</v>
      </c>
      <c r="C50" s="159" t="str">
        <f t="shared" si="2"/>
        <v/>
      </c>
      <c r="D50" s="159" t="str">
        <f t="shared" si="3"/>
        <v/>
      </c>
      <c r="E50" s="159" t="str">
        <f t="shared" si="4"/>
        <v/>
      </c>
      <c r="F50" s="159" t="str">
        <f t="shared" si="5"/>
        <v/>
      </c>
      <c r="G50" s="137"/>
      <c r="H50" s="137"/>
      <c r="I50" s="137"/>
      <c r="J50" s="137"/>
      <c r="K50" s="160"/>
      <c r="L50" s="160"/>
      <c r="M50" s="137"/>
      <c r="N50" s="138"/>
      <c r="O50" s="138"/>
      <c r="P50" s="138"/>
      <c r="Q50" s="138"/>
      <c r="R50" s="138"/>
      <c r="S50" s="138"/>
      <c r="T50" s="138"/>
      <c r="U50" s="138"/>
      <c r="V50" s="150" t="e">
        <f t="shared" si="0"/>
        <v>#N/A</v>
      </c>
      <c r="W50" s="150" t="e">
        <f t="shared" si="0"/>
        <v>#N/A</v>
      </c>
      <c r="X50" s="150" t="e">
        <f t="shared" si="0"/>
        <v>#N/A</v>
      </c>
      <c r="Y50" s="150" t="e">
        <f t="shared" si="0"/>
        <v>#N/A</v>
      </c>
    </row>
    <row r="51" spans="1:25">
      <c r="A51" s="134"/>
      <c r="B51" s="158">
        <f t="shared" si="1"/>
        <v>38025</v>
      </c>
      <c r="C51" s="159" t="str">
        <f t="shared" si="2"/>
        <v/>
      </c>
      <c r="D51" s="159" t="str">
        <f t="shared" si="3"/>
        <v/>
      </c>
      <c r="E51" s="159" t="str">
        <f t="shared" si="4"/>
        <v/>
      </c>
      <c r="F51" s="159" t="str">
        <f t="shared" si="5"/>
        <v/>
      </c>
      <c r="G51" s="137"/>
      <c r="H51" s="137"/>
      <c r="I51" s="137"/>
      <c r="J51" s="137"/>
      <c r="K51" s="160"/>
      <c r="L51" s="160"/>
      <c r="M51" s="137"/>
      <c r="N51" s="138"/>
      <c r="O51" s="138"/>
      <c r="P51" s="138"/>
      <c r="Q51" s="138"/>
      <c r="R51" s="138"/>
      <c r="S51" s="138"/>
      <c r="T51" s="138"/>
      <c r="U51" s="138"/>
      <c r="V51" s="150" t="e">
        <f t="shared" si="0"/>
        <v>#N/A</v>
      </c>
      <c r="W51" s="150" t="e">
        <f t="shared" si="0"/>
        <v>#N/A</v>
      </c>
      <c r="X51" s="150" t="e">
        <f t="shared" si="0"/>
        <v>#N/A</v>
      </c>
      <c r="Y51" s="150" t="e">
        <f t="shared" si="0"/>
        <v>#N/A</v>
      </c>
    </row>
    <row r="52" spans="1:25">
      <c r="A52" s="134"/>
      <c r="B52" s="158">
        <f t="shared" si="1"/>
        <v>38026</v>
      </c>
      <c r="C52" s="159" t="str">
        <f t="shared" si="2"/>
        <v/>
      </c>
      <c r="D52" s="159" t="str">
        <f t="shared" si="3"/>
        <v/>
      </c>
      <c r="E52" s="159" t="str">
        <f t="shared" si="4"/>
        <v/>
      </c>
      <c r="F52" s="159" t="str">
        <f t="shared" si="5"/>
        <v/>
      </c>
      <c r="G52" s="137"/>
      <c r="H52" s="137"/>
      <c r="I52" s="137"/>
      <c r="J52" s="137"/>
      <c r="K52" s="160"/>
      <c r="L52" s="160"/>
      <c r="M52" s="137"/>
      <c r="N52" s="138"/>
      <c r="O52" s="138"/>
      <c r="P52" s="138"/>
      <c r="Q52" s="138"/>
      <c r="R52" s="138"/>
      <c r="S52" s="138"/>
      <c r="T52" s="138"/>
      <c r="U52" s="138"/>
      <c r="V52" s="150" t="e">
        <f t="shared" si="0"/>
        <v>#N/A</v>
      </c>
      <c r="W52" s="150" t="e">
        <f t="shared" si="0"/>
        <v>#N/A</v>
      </c>
      <c r="X52" s="150" t="e">
        <f t="shared" si="0"/>
        <v>#N/A</v>
      </c>
      <c r="Y52" s="150" t="e">
        <f t="shared" si="0"/>
        <v>#N/A</v>
      </c>
    </row>
    <row r="53" spans="1:25">
      <c r="A53" s="134"/>
      <c r="B53" s="158">
        <f t="shared" si="1"/>
        <v>38027</v>
      </c>
      <c r="C53" s="159" t="str">
        <f t="shared" si="2"/>
        <v/>
      </c>
      <c r="D53" s="159" t="str">
        <f t="shared" si="3"/>
        <v/>
      </c>
      <c r="E53" s="159" t="str">
        <f t="shared" si="4"/>
        <v/>
      </c>
      <c r="F53" s="159" t="str">
        <f t="shared" si="5"/>
        <v/>
      </c>
      <c r="G53" s="137"/>
      <c r="H53" s="137"/>
      <c r="I53" s="137"/>
      <c r="J53" s="137"/>
      <c r="K53" s="160"/>
      <c r="L53" s="160"/>
      <c r="M53" s="137"/>
      <c r="N53" s="138"/>
      <c r="O53" s="138"/>
      <c r="P53" s="138"/>
      <c r="Q53" s="138"/>
      <c r="R53" s="138"/>
      <c r="S53" s="138"/>
      <c r="T53" s="138"/>
      <c r="U53" s="138"/>
      <c r="V53" s="150" t="e">
        <f t="shared" si="0"/>
        <v>#N/A</v>
      </c>
      <c r="W53" s="150" t="e">
        <f t="shared" si="0"/>
        <v>#N/A</v>
      </c>
      <c r="X53" s="150" t="e">
        <f t="shared" si="0"/>
        <v>#N/A</v>
      </c>
      <c r="Y53" s="150" t="e">
        <f t="shared" si="0"/>
        <v>#N/A</v>
      </c>
    </row>
    <row r="54" spans="1:25">
      <c r="A54" s="134"/>
      <c r="B54" s="158">
        <f t="shared" si="1"/>
        <v>38028</v>
      </c>
      <c r="C54" s="159" t="str">
        <f t="shared" si="2"/>
        <v/>
      </c>
      <c r="D54" s="159" t="str">
        <f t="shared" si="3"/>
        <v/>
      </c>
      <c r="E54" s="159" t="str">
        <f t="shared" si="4"/>
        <v/>
      </c>
      <c r="F54" s="159" t="str">
        <f t="shared" si="5"/>
        <v/>
      </c>
      <c r="G54" s="137"/>
      <c r="H54" s="137"/>
      <c r="I54" s="137"/>
      <c r="J54" s="137"/>
      <c r="K54" s="160"/>
      <c r="L54" s="160"/>
      <c r="M54" s="137"/>
      <c r="N54" s="138"/>
      <c r="O54" s="138"/>
      <c r="P54" s="138"/>
      <c r="Q54" s="138"/>
      <c r="R54" s="138"/>
      <c r="S54" s="138"/>
      <c r="T54" s="138"/>
      <c r="U54" s="138"/>
      <c r="V54" s="150" t="e">
        <f t="shared" si="0"/>
        <v>#N/A</v>
      </c>
      <c r="W54" s="150" t="e">
        <f t="shared" si="0"/>
        <v>#N/A</v>
      </c>
      <c r="X54" s="150" t="e">
        <f t="shared" si="0"/>
        <v>#N/A</v>
      </c>
      <c r="Y54" s="150" t="e">
        <f t="shared" si="0"/>
        <v>#N/A</v>
      </c>
    </row>
    <row r="55" spans="1:25">
      <c r="A55" s="134"/>
      <c r="B55" s="158">
        <f t="shared" si="1"/>
        <v>38029</v>
      </c>
      <c r="C55" s="159" t="str">
        <f t="shared" si="2"/>
        <v/>
      </c>
      <c r="D55" s="159" t="str">
        <f t="shared" si="3"/>
        <v/>
      </c>
      <c r="E55" s="159" t="str">
        <f t="shared" si="4"/>
        <v/>
      </c>
      <c r="F55" s="159" t="str">
        <f t="shared" si="5"/>
        <v/>
      </c>
      <c r="G55" s="137"/>
      <c r="H55" s="137"/>
      <c r="I55" s="137"/>
      <c r="J55" s="137"/>
      <c r="K55" s="160"/>
      <c r="L55" s="160"/>
      <c r="M55" s="137"/>
      <c r="N55" s="138"/>
      <c r="O55" s="138"/>
      <c r="P55" s="138"/>
      <c r="Q55" s="138"/>
      <c r="R55" s="138"/>
      <c r="S55" s="138"/>
      <c r="T55" s="138"/>
      <c r="U55" s="138"/>
      <c r="V55" s="150" t="e">
        <f t="shared" si="0"/>
        <v>#N/A</v>
      </c>
      <c r="W55" s="150" t="e">
        <f t="shared" si="0"/>
        <v>#N/A</v>
      </c>
      <c r="X55" s="150" t="e">
        <f t="shared" si="0"/>
        <v>#N/A</v>
      </c>
      <c r="Y55" s="150" t="e">
        <f t="shared" si="0"/>
        <v>#N/A</v>
      </c>
    </row>
    <row r="56" spans="1:25">
      <c r="A56" s="134"/>
      <c r="B56" s="158">
        <f t="shared" si="1"/>
        <v>38030</v>
      </c>
      <c r="C56" s="159" t="str">
        <f t="shared" si="2"/>
        <v/>
      </c>
      <c r="D56" s="159" t="str">
        <f t="shared" si="3"/>
        <v/>
      </c>
      <c r="E56" s="159" t="str">
        <f t="shared" si="4"/>
        <v/>
      </c>
      <c r="F56" s="159" t="str">
        <f t="shared" si="5"/>
        <v/>
      </c>
      <c r="G56" s="137"/>
      <c r="H56" s="137"/>
      <c r="I56" s="137"/>
      <c r="J56" s="137"/>
      <c r="K56" s="160"/>
      <c r="L56" s="160"/>
      <c r="M56" s="137"/>
      <c r="N56" s="138"/>
      <c r="O56" s="138"/>
      <c r="P56" s="138"/>
      <c r="Q56" s="138"/>
      <c r="R56" s="138"/>
      <c r="S56" s="138"/>
      <c r="T56" s="138"/>
      <c r="U56" s="138"/>
      <c r="V56" s="150" t="e">
        <f t="shared" si="0"/>
        <v>#N/A</v>
      </c>
      <c r="W56" s="150" t="e">
        <f t="shared" si="0"/>
        <v>#N/A</v>
      </c>
      <c r="X56" s="150" t="e">
        <f t="shared" si="0"/>
        <v>#N/A</v>
      </c>
      <c r="Y56" s="150" t="e">
        <f t="shared" si="0"/>
        <v>#N/A</v>
      </c>
    </row>
    <row r="57" spans="1:25">
      <c r="A57" s="134"/>
      <c r="B57" s="158">
        <f t="shared" si="1"/>
        <v>38031</v>
      </c>
      <c r="C57" s="159" t="str">
        <f t="shared" si="2"/>
        <v/>
      </c>
      <c r="D57" s="159" t="str">
        <f t="shared" si="3"/>
        <v/>
      </c>
      <c r="E57" s="159" t="str">
        <f t="shared" si="4"/>
        <v/>
      </c>
      <c r="F57" s="159" t="str">
        <f t="shared" si="5"/>
        <v/>
      </c>
      <c r="G57" s="137"/>
      <c r="H57" s="137"/>
      <c r="I57" s="137"/>
      <c r="J57" s="137"/>
      <c r="K57" s="160"/>
      <c r="L57" s="160"/>
      <c r="M57" s="137"/>
      <c r="N57" s="138"/>
      <c r="O57" s="138"/>
      <c r="P57" s="138"/>
      <c r="Q57" s="138"/>
      <c r="R57" s="138"/>
      <c r="S57" s="138"/>
      <c r="T57" s="138"/>
      <c r="U57" s="138"/>
      <c r="V57" s="150" t="e">
        <f t="shared" si="0"/>
        <v>#N/A</v>
      </c>
      <c r="W57" s="150" t="e">
        <f t="shared" si="0"/>
        <v>#N/A</v>
      </c>
      <c r="X57" s="150" t="e">
        <f t="shared" si="0"/>
        <v>#N/A</v>
      </c>
      <c r="Y57" s="150" t="e">
        <f t="shared" si="0"/>
        <v>#N/A</v>
      </c>
    </row>
    <row r="58" spans="1:25">
      <c r="A58" s="134"/>
      <c r="B58" s="158">
        <f t="shared" si="1"/>
        <v>38032</v>
      </c>
      <c r="C58" s="159" t="str">
        <f t="shared" si="2"/>
        <v/>
      </c>
      <c r="D58" s="159" t="str">
        <f t="shared" si="3"/>
        <v/>
      </c>
      <c r="E58" s="159" t="str">
        <f t="shared" si="4"/>
        <v/>
      </c>
      <c r="F58" s="159" t="str">
        <f t="shared" si="5"/>
        <v/>
      </c>
      <c r="G58" s="137"/>
      <c r="H58" s="137"/>
      <c r="I58" s="137"/>
      <c r="J58" s="137"/>
      <c r="K58" s="160"/>
      <c r="L58" s="160"/>
      <c r="M58" s="137"/>
      <c r="N58" s="138"/>
      <c r="O58" s="138"/>
      <c r="P58" s="138"/>
      <c r="Q58" s="138"/>
      <c r="R58" s="138"/>
      <c r="S58" s="138"/>
      <c r="T58" s="138"/>
      <c r="U58" s="138"/>
      <c r="V58" s="150" t="e">
        <f t="shared" si="0"/>
        <v>#N/A</v>
      </c>
      <c r="W58" s="150" t="e">
        <f t="shared" si="0"/>
        <v>#N/A</v>
      </c>
      <c r="X58" s="150" t="e">
        <f t="shared" si="0"/>
        <v>#N/A</v>
      </c>
      <c r="Y58" s="150" t="e">
        <f t="shared" si="0"/>
        <v>#N/A</v>
      </c>
    </row>
    <row r="59" spans="1:25">
      <c r="A59" s="134"/>
      <c r="B59" s="158">
        <f t="shared" si="1"/>
        <v>38033</v>
      </c>
      <c r="C59" s="159" t="str">
        <f t="shared" si="2"/>
        <v/>
      </c>
      <c r="D59" s="159" t="str">
        <f t="shared" si="3"/>
        <v/>
      </c>
      <c r="E59" s="159" t="str">
        <f t="shared" si="4"/>
        <v/>
      </c>
      <c r="F59" s="159" t="str">
        <f t="shared" si="5"/>
        <v/>
      </c>
      <c r="G59" s="137"/>
      <c r="H59" s="137"/>
      <c r="I59" s="137"/>
      <c r="J59" s="137"/>
      <c r="K59" s="160"/>
      <c r="L59" s="160"/>
      <c r="M59" s="137"/>
      <c r="N59" s="138"/>
      <c r="O59" s="138"/>
      <c r="P59" s="138"/>
      <c r="Q59" s="138"/>
      <c r="R59" s="138"/>
      <c r="S59" s="138"/>
      <c r="T59" s="138"/>
      <c r="U59" s="138"/>
      <c r="V59" s="150" t="e">
        <f t="shared" si="0"/>
        <v>#N/A</v>
      </c>
      <c r="W59" s="150" t="e">
        <f t="shared" si="0"/>
        <v>#N/A</v>
      </c>
      <c r="X59" s="150" t="e">
        <f t="shared" si="0"/>
        <v>#N/A</v>
      </c>
      <c r="Y59" s="150" t="e">
        <f t="shared" si="0"/>
        <v>#N/A</v>
      </c>
    </row>
    <row r="60" spans="1:25">
      <c r="A60" s="134"/>
      <c r="B60" s="158">
        <f t="shared" si="1"/>
        <v>38034</v>
      </c>
      <c r="C60" s="159" t="str">
        <f t="shared" si="2"/>
        <v/>
      </c>
      <c r="D60" s="159" t="str">
        <f t="shared" si="3"/>
        <v/>
      </c>
      <c r="E60" s="159" t="str">
        <f t="shared" si="4"/>
        <v/>
      </c>
      <c r="F60" s="159" t="str">
        <f t="shared" si="5"/>
        <v/>
      </c>
      <c r="G60" s="137"/>
      <c r="H60" s="137"/>
      <c r="I60" s="137"/>
      <c r="J60" s="137"/>
      <c r="K60" s="160"/>
      <c r="L60" s="160"/>
      <c r="M60" s="137"/>
      <c r="N60" s="138"/>
      <c r="O60" s="138"/>
      <c r="P60" s="138"/>
      <c r="Q60" s="138"/>
      <c r="R60" s="138"/>
      <c r="S60" s="138"/>
      <c r="T60" s="138"/>
      <c r="U60" s="138"/>
      <c r="V60" s="150" t="e">
        <f t="shared" si="0"/>
        <v>#N/A</v>
      </c>
      <c r="W60" s="150" t="e">
        <f t="shared" si="0"/>
        <v>#N/A</v>
      </c>
      <c r="X60" s="150" t="e">
        <f t="shared" si="0"/>
        <v>#N/A</v>
      </c>
      <c r="Y60" s="150" t="e">
        <f t="shared" si="0"/>
        <v>#N/A</v>
      </c>
    </row>
    <row r="61" spans="1:25">
      <c r="A61" s="134"/>
      <c r="B61" s="158">
        <f t="shared" si="1"/>
        <v>38035</v>
      </c>
      <c r="C61" s="159" t="str">
        <f t="shared" si="2"/>
        <v/>
      </c>
      <c r="D61" s="159" t="str">
        <f t="shared" si="3"/>
        <v/>
      </c>
      <c r="E61" s="159" t="str">
        <f t="shared" si="4"/>
        <v/>
      </c>
      <c r="F61" s="159" t="str">
        <f t="shared" si="5"/>
        <v/>
      </c>
      <c r="G61" s="137"/>
      <c r="H61" s="137"/>
      <c r="I61" s="137"/>
      <c r="J61" s="137"/>
      <c r="K61" s="160"/>
      <c r="L61" s="160"/>
      <c r="M61" s="137"/>
      <c r="N61" s="138"/>
      <c r="O61" s="138"/>
      <c r="P61" s="138"/>
      <c r="Q61" s="138"/>
      <c r="R61" s="138"/>
      <c r="S61" s="138"/>
      <c r="T61" s="138"/>
      <c r="U61" s="138"/>
      <c r="V61" s="150" t="e">
        <f t="shared" si="0"/>
        <v>#N/A</v>
      </c>
      <c r="W61" s="150" t="e">
        <f t="shared" si="0"/>
        <v>#N/A</v>
      </c>
      <c r="X61" s="150" t="e">
        <f t="shared" si="0"/>
        <v>#N/A</v>
      </c>
      <c r="Y61" s="150" t="e">
        <f t="shared" si="0"/>
        <v>#N/A</v>
      </c>
    </row>
    <row r="62" spans="1:25">
      <c r="A62" s="134"/>
      <c r="B62" s="158">
        <f t="shared" si="1"/>
        <v>38036</v>
      </c>
      <c r="C62" s="159" t="str">
        <f t="shared" si="2"/>
        <v/>
      </c>
      <c r="D62" s="159" t="str">
        <f t="shared" si="3"/>
        <v/>
      </c>
      <c r="E62" s="159" t="str">
        <f t="shared" si="4"/>
        <v/>
      </c>
      <c r="F62" s="159" t="str">
        <f t="shared" si="5"/>
        <v/>
      </c>
      <c r="G62" s="137"/>
      <c r="H62" s="137"/>
      <c r="I62" s="137"/>
      <c r="J62" s="137"/>
      <c r="K62" s="160"/>
      <c r="L62" s="160"/>
      <c r="M62" s="137"/>
      <c r="N62" s="138"/>
      <c r="O62" s="138"/>
      <c r="P62" s="138"/>
      <c r="Q62" s="138"/>
      <c r="R62" s="138"/>
      <c r="S62" s="138"/>
      <c r="T62" s="138"/>
      <c r="U62" s="138"/>
      <c r="V62" s="150" t="e">
        <f t="shared" si="0"/>
        <v>#N/A</v>
      </c>
      <c r="W62" s="150" t="e">
        <f t="shared" si="0"/>
        <v>#N/A</v>
      </c>
      <c r="X62" s="150" t="e">
        <f t="shared" si="0"/>
        <v>#N/A</v>
      </c>
      <c r="Y62" s="150" t="e">
        <f t="shared" si="0"/>
        <v>#N/A</v>
      </c>
    </row>
    <row r="63" spans="1:25">
      <c r="A63" s="134"/>
      <c r="B63" s="158">
        <f t="shared" si="1"/>
        <v>38037</v>
      </c>
      <c r="C63" s="159" t="str">
        <f t="shared" si="2"/>
        <v/>
      </c>
      <c r="D63" s="159" t="str">
        <f t="shared" si="3"/>
        <v/>
      </c>
      <c r="E63" s="159" t="str">
        <f t="shared" si="4"/>
        <v/>
      </c>
      <c r="F63" s="159" t="str">
        <f t="shared" si="5"/>
        <v/>
      </c>
      <c r="G63" s="137"/>
      <c r="H63" s="137"/>
      <c r="I63" s="137"/>
      <c r="J63" s="137"/>
      <c r="K63" s="160"/>
      <c r="L63" s="160"/>
      <c r="M63" s="137"/>
      <c r="N63" s="138"/>
      <c r="O63" s="138"/>
      <c r="P63" s="138"/>
      <c r="Q63" s="138"/>
      <c r="R63" s="138"/>
      <c r="S63" s="138"/>
      <c r="T63" s="138"/>
      <c r="U63" s="138"/>
      <c r="V63" s="150" t="e">
        <f t="shared" si="0"/>
        <v>#N/A</v>
      </c>
      <c r="W63" s="150" t="e">
        <f t="shared" si="0"/>
        <v>#N/A</v>
      </c>
      <c r="X63" s="150" t="e">
        <f t="shared" si="0"/>
        <v>#N/A</v>
      </c>
      <c r="Y63" s="150" t="e">
        <f t="shared" si="0"/>
        <v>#N/A</v>
      </c>
    </row>
    <row r="64" spans="1:25">
      <c r="A64" s="134"/>
      <c r="B64" s="158">
        <f t="shared" si="1"/>
        <v>38038</v>
      </c>
      <c r="C64" s="159" t="str">
        <f t="shared" si="2"/>
        <v/>
      </c>
      <c r="D64" s="159" t="str">
        <f t="shared" si="3"/>
        <v/>
      </c>
      <c r="E64" s="159" t="str">
        <f t="shared" si="4"/>
        <v/>
      </c>
      <c r="F64" s="159" t="str">
        <f t="shared" si="5"/>
        <v/>
      </c>
      <c r="G64" s="137"/>
      <c r="H64" s="137"/>
      <c r="I64" s="137"/>
      <c r="J64" s="137"/>
      <c r="K64" s="160"/>
      <c r="L64" s="160"/>
      <c r="M64" s="137"/>
      <c r="N64" s="138"/>
      <c r="O64" s="138"/>
      <c r="P64" s="138"/>
      <c r="Q64" s="138"/>
      <c r="R64" s="138"/>
      <c r="S64" s="138"/>
      <c r="T64" s="138"/>
      <c r="U64" s="138"/>
      <c r="V64" s="150" t="e">
        <f t="shared" si="0"/>
        <v>#N/A</v>
      </c>
      <c r="W64" s="150" t="e">
        <f t="shared" si="0"/>
        <v>#N/A</v>
      </c>
      <c r="X64" s="150" t="e">
        <f t="shared" si="0"/>
        <v>#N/A</v>
      </c>
      <c r="Y64" s="150" t="e">
        <f t="shared" si="0"/>
        <v>#N/A</v>
      </c>
    </row>
    <row r="65" spans="1:25">
      <c r="A65" s="134"/>
      <c r="B65" s="158">
        <f t="shared" si="1"/>
        <v>38039</v>
      </c>
      <c r="C65" s="159" t="str">
        <f t="shared" si="2"/>
        <v/>
      </c>
      <c r="D65" s="159" t="str">
        <f t="shared" si="3"/>
        <v/>
      </c>
      <c r="E65" s="159" t="str">
        <f t="shared" si="4"/>
        <v/>
      </c>
      <c r="F65" s="159" t="str">
        <f t="shared" si="5"/>
        <v/>
      </c>
      <c r="G65" s="137"/>
      <c r="H65" s="137"/>
      <c r="I65" s="137"/>
      <c r="J65" s="137"/>
      <c r="K65" s="160"/>
      <c r="L65" s="160"/>
      <c r="M65" s="137"/>
      <c r="N65" s="138"/>
      <c r="O65" s="138"/>
      <c r="P65" s="138"/>
      <c r="Q65" s="138"/>
      <c r="R65" s="138"/>
      <c r="S65" s="138"/>
      <c r="T65" s="138"/>
      <c r="U65" s="138"/>
      <c r="V65" s="150" t="e">
        <f t="shared" si="0"/>
        <v>#N/A</v>
      </c>
      <c r="W65" s="150" t="e">
        <f t="shared" si="0"/>
        <v>#N/A</v>
      </c>
      <c r="X65" s="150" t="e">
        <f t="shared" si="0"/>
        <v>#N/A</v>
      </c>
      <c r="Y65" s="150" t="e">
        <f t="shared" si="0"/>
        <v>#N/A</v>
      </c>
    </row>
    <row r="66" spans="1:25">
      <c r="A66" s="134"/>
      <c r="B66" s="158">
        <f t="shared" si="1"/>
        <v>38040</v>
      </c>
      <c r="C66" s="159" t="str">
        <f t="shared" si="2"/>
        <v/>
      </c>
      <c r="D66" s="159" t="str">
        <f t="shared" si="3"/>
        <v/>
      </c>
      <c r="E66" s="159" t="str">
        <f t="shared" si="4"/>
        <v/>
      </c>
      <c r="F66" s="159" t="str">
        <f t="shared" si="5"/>
        <v/>
      </c>
      <c r="G66" s="137"/>
      <c r="H66" s="137"/>
      <c r="I66" s="137"/>
      <c r="J66" s="137"/>
      <c r="K66" s="160"/>
      <c r="L66" s="160"/>
      <c r="M66" s="137"/>
      <c r="N66" s="138"/>
      <c r="O66" s="138"/>
      <c r="P66" s="138"/>
      <c r="Q66" s="138"/>
      <c r="R66" s="138"/>
      <c r="S66" s="138"/>
      <c r="T66" s="138"/>
      <c r="U66" s="138"/>
      <c r="V66" s="150" t="e">
        <f t="shared" si="0"/>
        <v>#N/A</v>
      </c>
      <c r="W66" s="150" t="e">
        <f t="shared" si="0"/>
        <v>#N/A</v>
      </c>
      <c r="X66" s="150" t="e">
        <f t="shared" si="0"/>
        <v>#N/A</v>
      </c>
      <c r="Y66" s="150" t="e">
        <f t="shared" si="0"/>
        <v>#N/A</v>
      </c>
    </row>
    <row r="67" spans="1:25">
      <c r="A67" s="134"/>
      <c r="B67" s="158">
        <f t="shared" si="1"/>
        <v>38041</v>
      </c>
      <c r="C67" s="159" t="str">
        <f t="shared" si="2"/>
        <v/>
      </c>
      <c r="D67" s="159" t="str">
        <f t="shared" si="3"/>
        <v/>
      </c>
      <c r="E67" s="159" t="str">
        <f t="shared" si="4"/>
        <v/>
      </c>
      <c r="F67" s="159" t="str">
        <f t="shared" si="5"/>
        <v/>
      </c>
      <c r="G67" s="137"/>
      <c r="H67" s="137"/>
      <c r="I67" s="137"/>
      <c r="J67" s="137"/>
      <c r="K67" s="160"/>
      <c r="L67" s="160"/>
      <c r="M67" s="137"/>
      <c r="N67" s="138"/>
      <c r="O67" s="138"/>
      <c r="P67" s="138"/>
      <c r="Q67" s="138"/>
      <c r="R67" s="138"/>
      <c r="S67" s="138"/>
      <c r="T67" s="138"/>
      <c r="U67" s="138"/>
      <c r="V67" s="150" t="e">
        <f t="shared" si="0"/>
        <v>#N/A</v>
      </c>
      <c r="W67" s="150" t="e">
        <f t="shared" si="0"/>
        <v>#N/A</v>
      </c>
      <c r="X67" s="150" t="e">
        <f t="shared" si="0"/>
        <v>#N/A</v>
      </c>
      <c r="Y67" s="150" t="e">
        <f t="shared" si="0"/>
        <v>#N/A</v>
      </c>
    </row>
    <row r="68" spans="1:25">
      <c r="A68" s="134"/>
      <c r="B68" s="158">
        <f t="shared" si="1"/>
        <v>38042</v>
      </c>
      <c r="C68" s="159" t="str">
        <f t="shared" si="2"/>
        <v/>
      </c>
      <c r="D68" s="159" t="str">
        <f t="shared" si="3"/>
        <v/>
      </c>
      <c r="E68" s="159" t="str">
        <f t="shared" si="4"/>
        <v/>
      </c>
      <c r="F68" s="159" t="str">
        <f t="shared" si="5"/>
        <v/>
      </c>
      <c r="G68" s="137"/>
      <c r="H68" s="137"/>
      <c r="I68" s="137"/>
      <c r="J68" s="137"/>
      <c r="K68" s="160"/>
      <c r="L68" s="160"/>
      <c r="M68" s="137"/>
      <c r="N68" s="138"/>
      <c r="O68" s="138"/>
      <c r="P68" s="138"/>
      <c r="Q68" s="138"/>
      <c r="R68" s="138"/>
      <c r="S68" s="138"/>
      <c r="T68" s="138"/>
      <c r="U68" s="138"/>
      <c r="V68" s="150" t="e">
        <f t="shared" si="0"/>
        <v>#N/A</v>
      </c>
      <c r="W68" s="150" t="e">
        <f t="shared" si="0"/>
        <v>#N/A</v>
      </c>
      <c r="X68" s="150" t="e">
        <f t="shared" si="0"/>
        <v>#N/A</v>
      </c>
      <c r="Y68" s="150" t="e">
        <f t="shared" si="0"/>
        <v>#N/A</v>
      </c>
    </row>
    <row r="69" spans="1:25">
      <c r="A69" s="134"/>
      <c r="B69" s="158">
        <f t="shared" si="1"/>
        <v>38043</v>
      </c>
      <c r="C69" s="159" t="str">
        <f t="shared" si="2"/>
        <v/>
      </c>
      <c r="D69" s="159" t="str">
        <f t="shared" si="3"/>
        <v/>
      </c>
      <c r="E69" s="159" t="str">
        <f t="shared" si="4"/>
        <v/>
      </c>
      <c r="F69" s="159" t="str">
        <f t="shared" si="5"/>
        <v/>
      </c>
      <c r="G69" s="137"/>
      <c r="H69" s="137"/>
      <c r="I69" s="137"/>
      <c r="J69" s="137"/>
      <c r="K69" s="160"/>
      <c r="L69" s="160"/>
      <c r="M69" s="137"/>
      <c r="N69" s="138"/>
      <c r="O69" s="138"/>
      <c r="P69" s="138"/>
      <c r="Q69" s="138"/>
      <c r="R69" s="138"/>
      <c r="S69" s="138"/>
      <c r="T69" s="138"/>
      <c r="U69" s="138"/>
      <c r="V69" s="150" t="e">
        <f t="shared" si="0"/>
        <v>#N/A</v>
      </c>
      <c r="W69" s="150" t="e">
        <f t="shared" si="0"/>
        <v>#N/A</v>
      </c>
      <c r="X69" s="150" t="e">
        <f t="shared" si="0"/>
        <v>#N/A</v>
      </c>
      <c r="Y69" s="150" t="e">
        <f t="shared" si="0"/>
        <v>#N/A</v>
      </c>
    </row>
    <row r="70" spans="1:25">
      <c r="A70" s="134"/>
      <c r="B70" s="158">
        <f t="shared" si="1"/>
        <v>38044</v>
      </c>
      <c r="C70" s="159" t="str">
        <f t="shared" si="2"/>
        <v/>
      </c>
      <c r="D70" s="159" t="str">
        <f t="shared" si="3"/>
        <v/>
      </c>
      <c r="E70" s="159" t="str">
        <f t="shared" si="4"/>
        <v/>
      </c>
      <c r="F70" s="159" t="str">
        <f t="shared" si="5"/>
        <v/>
      </c>
      <c r="G70" s="137"/>
      <c r="H70" s="137"/>
      <c r="I70" s="137"/>
      <c r="J70" s="137"/>
      <c r="K70" s="160"/>
      <c r="L70" s="160"/>
      <c r="M70" s="137"/>
      <c r="N70" s="138"/>
      <c r="O70" s="138"/>
      <c r="P70" s="138"/>
      <c r="Q70" s="138"/>
      <c r="R70" s="138"/>
      <c r="S70" s="138"/>
      <c r="T70" s="138"/>
      <c r="U70" s="138"/>
      <c r="V70" s="150" t="e">
        <f t="shared" si="0"/>
        <v>#N/A</v>
      </c>
      <c r="W70" s="150" t="e">
        <f t="shared" si="0"/>
        <v>#N/A</v>
      </c>
      <c r="X70" s="150" t="e">
        <f t="shared" si="0"/>
        <v>#N/A</v>
      </c>
      <c r="Y70" s="150" t="e">
        <f t="shared" si="0"/>
        <v>#N/A</v>
      </c>
    </row>
    <row r="71" spans="1:25">
      <c r="A71" s="134"/>
      <c r="B71" s="158">
        <f t="shared" si="1"/>
        <v>38045</v>
      </c>
      <c r="C71" s="159" t="str">
        <f t="shared" si="2"/>
        <v/>
      </c>
      <c r="D71" s="159" t="str">
        <f t="shared" si="3"/>
        <v/>
      </c>
      <c r="E71" s="159" t="str">
        <f t="shared" si="4"/>
        <v/>
      </c>
      <c r="F71" s="159" t="str">
        <f t="shared" si="5"/>
        <v/>
      </c>
      <c r="G71" s="137"/>
      <c r="H71" s="137"/>
      <c r="I71" s="137"/>
      <c r="J71" s="137"/>
      <c r="K71" s="160"/>
      <c r="L71" s="160"/>
      <c r="M71" s="137"/>
      <c r="N71" s="138"/>
      <c r="O71" s="138"/>
      <c r="P71" s="138"/>
      <c r="Q71" s="138"/>
      <c r="R71" s="138"/>
      <c r="S71" s="138"/>
      <c r="T71" s="138"/>
      <c r="U71" s="138"/>
      <c r="V71" s="150" t="e">
        <f t="shared" si="0"/>
        <v>#N/A</v>
      </c>
      <c r="W71" s="150" t="e">
        <f t="shared" si="0"/>
        <v>#N/A</v>
      </c>
      <c r="X71" s="150" t="e">
        <f t="shared" si="0"/>
        <v>#N/A</v>
      </c>
      <c r="Y71" s="150" t="e">
        <f t="shared" si="0"/>
        <v>#N/A</v>
      </c>
    </row>
    <row r="72" spans="1:25">
      <c r="A72" s="134"/>
      <c r="B72" s="158">
        <f t="shared" si="1"/>
        <v>38046</v>
      </c>
      <c r="C72" s="159" t="str">
        <f t="shared" si="2"/>
        <v/>
      </c>
      <c r="D72" s="159" t="str">
        <f t="shared" si="3"/>
        <v/>
      </c>
      <c r="E72" s="159" t="str">
        <f t="shared" si="4"/>
        <v/>
      </c>
      <c r="F72" s="159" t="str">
        <f t="shared" si="5"/>
        <v/>
      </c>
      <c r="G72" s="137"/>
      <c r="H72" s="137"/>
      <c r="I72" s="137"/>
      <c r="J72" s="137"/>
      <c r="K72" s="160"/>
      <c r="L72" s="160"/>
      <c r="M72" s="137"/>
      <c r="N72" s="138"/>
      <c r="O72" s="138"/>
      <c r="P72" s="138"/>
      <c r="Q72" s="138"/>
      <c r="R72" s="138"/>
      <c r="S72" s="138"/>
      <c r="T72" s="138"/>
      <c r="U72" s="138"/>
      <c r="V72" s="150" t="e">
        <f t="shared" si="0"/>
        <v>#N/A</v>
      </c>
      <c r="W72" s="150" t="e">
        <f t="shared" si="0"/>
        <v>#N/A</v>
      </c>
      <c r="X72" s="150" t="e">
        <f t="shared" si="0"/>
        <v>#N/A</v>
      </c>
      <c r="Y72" s="150" t="e">
        <f t="shared" si="0"/>
        <v>#N/A</v>
      </c>
    </row>
    <row r="73" spans="1:25">
      <c r="A73" s="134"/>
      <c r="B73" s="158">
        <f t="shared" si="1"/>
        <v>38047</v>
      </c>
      <c r="C73" s="159" t="str">
        <f t="shared" si="2"/>
        <v/>
      </c>
      <c r="D73" s="159" t="str">
        <f t="shared" si="3"/>
        <v/>
      </c>
      <c r="E73" s="159" t="str">
        <f t="shared" si="4"/>
        <v/>
      </c>
      <c r="F73" s="159" t="str">
        <f t="shared" si="5"/>
        <v/>
      </c>
      <c r="G73" s="137"/>
      <c r="H73" s="137"/>
      <c r="I73" s="137"/>
      <c r="J73" s="137"/>
      <c r="K73" s="160"/>
      <c r="L73" s="160"/>
      <c r="M73" s="137"/>
      <c r="N73" s="138"/>
      <c r="O73" s="138"/>
      <c r="P73" s="138"/>
      <c r="Q73" s="138"/>
      <c r="R73" s="138"/>
      <c r="S73" s="138"/>
      <c r="T73" s="138"/>
      <c r="U73" s="138"/>
      <c r="V73" s="150" t="e">
        <f t="shared" si="0"/>
        <v>#N/A</v>
      </c>
      <c r="W73" s="150" t="e">
        <f t="shared" si="0"/>
        <v>#N/A</v>
      </c>
      <c r="X73" s="150" t="e">
        <f t="shared" si="0"/>
        <v>#N/A</v>
      </c>
      <c r="Y73" s="150" t="e">
        <f t="shared" si="0"/>
        <v>#N/A</v>
      </c>
    </row>
    <row r="74" spans="1:25">
      <c r="A74" s="134"/>
      <c r="B74" s="158">
        <f t="shared" si="1"/>
        <v>38048</v>
      </c>
      <c r="C74" s="159" t="str">
        <f t="shared" si="2"/>
        <v/>
      </c>
      <c r="D74" s="159" t="str">
        <f t="shared" si="3"/>
        <v/>
      </c>
      <c r="E74" s="159" t="str">
        <f t="shared" si="4"/>
        <v/>
      </c>
      <c r="F74" s="159" t="str">
        <f t="shared" si="5"/>
        <v/>
      </c>
      <c r="G74" s="137"/>
      <c r="H74" s="137"/>
      <c r="I74" s="137"/>
      <c r="J74" s="137"/>
      <c r="K74" s="160"/>
      <c r="L74" s="160"/>
      <c r="M74" s="137"/>
      <c r="N74" s="138"/>
      <c r="O74" s="138"/>
      <c r="P74" s="138"/>
      <c r="Q74" s="138"/>
      <c r="R74" s="138"/>
      <c r="S74" s="138"/>
      <c r="T74" s="138"/>
      <c r="U74" s="138"/>
      <c r="V74" s="150" t="e">
        <f t="shared" si="0"/>
        <v>#N/A</v>
      </c>
      <c r="W74" s="150" t="e">
        <f t="shared" si="0"/>
        <v>#N/A</v>
      </c>
      <c r="X74" s="150" t="e">
        <f t="shared" si="0"/>
        <v>#N/A</v>
      </c>
      <c r="Y74" s="150" t="e">
        <f t="shared" si="0"/>
        <v>#N/A</v>
      </c>
    </row>
    <row r="75" spans="1:25">
      <c r="A75" s="134"/>
      <c r="B75" s="158">
        <f t="shared" si="1"/>
        <v>38049</v>
      </c>
      <c r="C75" s="159" t="str">
        <f t="shared" si="2"/>
        <v/>
      </c>
      <c r="D75" s="159" t="str">
        <f t="shared" si="3"/>
        <v/>
      </c>
      <c r="E75" s="159" t="str">
        <f t="shared" si="4"/>
        <v/>
      </c>
      <c r="F75" s="159" t="str">
        <f t="shared" si="5"/>
        <v/>
      </c>
      <c r="G75" s="137"/>
      <c r="H75" s="137"/>
      <c r="I75" s="137"/>
      <c r="J75" s="137"/>
      <c r="K75" s="160"/>
      <c r="L75" s="160"/>
      <c r="M75" s="137"/>
      <c r="N75" s="138"/>
      <c r="O75" s="138"/>
      <c r="P75" s="138"/>
      <c r="Q75" s="138"/>
      <c r="R75" s="138"/>
      <c r="S75" s="138"/>
      <c r="T75" s="138"/>
      <c r="U75" s="138"/>
      <c r="V75" s="150" t="e">
        <f t="shared" si="0"/>
        <v>#N/A</v>
      </c>
      <c r="W75" s="150" t="e">
        <f t="shared" si="0"/>
        <v>#N/A</v>
      </c>
      <c r="X75" s="150" t="e">
        <f t="shared" si="0"/>
        <v>#N/A</v>
      </c>
      <c r="Y75" s="150" t="e">
        <f t="shared" si="0"/>
        <v>#N/A</v>
      </c>
    </row>
    <row r="76" spans="1:25">
      <c r="A76" s="134"/>
      <c r="B76" s="158">
        <f t="shared" si="1"/>
        <v>38050</v>
      </c>
      <c r="C76" s="159" t="str">
        <f t="shared" si="2"/>
        <v/>
      </c>
      <c r="D76" s="159" t="str">
        <f t="shared" si="3"/>
        <v/>
      </c>
      <c r="E76" s="159" t="str">
        <f t="shared" si="4"/>
        <v/>
      </c>
      <c r="F76" s="159" t="str">
        <f t="shared" si="5"/>
        <v/>
      </c>
      <c r="G76" s="137"/>
      <c r="H76" s="137"/>
      <c r="I76" s="137"/>
      <c r="J76" s="137"/>
      <c r="K76" s="160"/>
      <c r="L76" s="160"/>
      <c r="M76" s="137"/>
      <c r="N76" s="138"/>
      <c r="O76" s="138"/>
      <c r="P76" s="138"/>
      <c r="Q76" s="138"/>
      <c r="R76" s="138"/>
      <c r="S76" s="138"/>
      <c r="T76" s="138"/>
      <c r="U76" s="138"/>
      <c r="V76" s="150" t="e">
        <f t="shared" si="0"/>
        <v>#N/A</v>
      </c>
      <c r="W76" s="150" t="e">
        <f t="shared" si="0"/>
        <v>#N/A</v>
      </c>
      <c r="X76" s="150" t="e">
        <f t="shared" si="0"/>
        <v>#N/A</v>
      </c>
      <c r="Y76" s="150" t="e">
        <f t="shared" ref="Y76:Y139" si="6">IF(F76="",#N/A,F76)</f>
        <v>#N/A</v>
      </c>
    </row>
    <row r="77" spans="1:25">
      <c r="A77" s="134"/>
      <c r="B77" s="158">
        <f t="shared" si="1"/>
        <v>38051</v>
      </c>
      <c r="C77" s="159" t="str">
        <f t="shared" si="2"/>
        <v/>
      </c>
      <c r="D77" s="159" t="str">
        <f t="shared" si="3"/>
        <v/>
      </c>
      <c r="E77" s="159" t="str">
        <f t="shared" si="4"/>
        <v/>
      </c>
      <c r="F77" s="159" t="str">
        <f t="shared" si="5"/>
        <v/>
      </c>
      <c r="G77" s="137"/>
      <c r="H77" s="137"/>
      <c r="I77" s="137"/>
      <c r="J77" s="137"/>
      <c r="K77" s="160"/>
      <c r="L77" s="160"/>
      <c r="M77" s="137"/>
      <c r="N77" s="138"/>
      <c r="O77" s="138"/>
      <c r="P77" s="138"/>
      <c r="Q77" s="138"/>
      <c r="R77" s="138"/>
      <c r="S77" s="138"/>
      <c r="T77" s="138"/>
      <c r="U77" s="138"/>
      <c r="V77" s="150" t="e">
        <f t="shared" ref="V77:Y140" si="7">IF(C77="",#N/A,C77)</f>
        <v>#N/A</v>
      </c>
      <c r="W77" s="150" t="e">
        <f t="shared" si="7"/>
        <v>#N/A</v>
      </c>
      <c r="X77" s="150" t="e">
        <f t="shared" si="7"/>
        <v>#N/A</v>
      </c>
      <c r="Y77" s="150" t="e">
        <f t="shared" si="6"/>
        <v>#N/A</v>
      </c>
    </row>
    <row r="78" spans="1:25">
      <c r="A78" s="134"/>
      <c r="B78" s="158">
        <f t="shared" si="1"/>
        <v>38052</v>
      </c>
      <c r="C78" s="159" t="str">
        <f t="shared" si="2"/>
        <v/>
      </c>
      <c r="D78" s="159" t="str">
        <f t="shared" si="3"/>
        <v/>
      </c>
      <c r="E78" s="159" t="str">
        <f t="shared" si="4"/>
        <v/>
      </c>
      <c r="F78" s="159" t="str">
        <f t="shared" si="5"/>
        <v/>
      </c>
      <c r="G78" s="137"/>
      <c r="H78" s="137"/>
      <c r="I78" s="137"/>
      <c r="J78" s="137"/>
      <c r="K78" s="160"/>
      <c r="L78" s="160"/>
      <c r="M78" s="137"/>
      <c r="N78" s="138"/>
      <c r="O78" s="138"/>
      <c r="P78" s="138"/>
      <c r="Q78" s="138"/>
      <c r="R78" s="138"/>
      <c r="S78" s="138"/>
      <c r="T78" s="138"/>
      <c r="U78" s="138"/>
      <c r="V78" s="150" t="e">
        <f t="shared" si="7"/>
        <v>#N/A</v>
      </c>
      <c r="W78" s="150" t="e">
        <f t="shared" si="7"/>
        <v>#N/A</v>
      </c>
      <c r="X78" s="150" t="e">
        <f t="shared" si="7"/>
        <v>#N/A</v>
      </c>
      <c r="Y78" s="150" t="e">
        <f t="shared" si="6"/>
        <v>#N/A</v>
      </c>
    </row>
    <row r="79" spans="1:25">
      <c r="A79" s="134"/>
      <c r="B79" s="158">
        <f t="shared" ref="B79:B142" si="8">B78+1</f>
        <v>38053</v>
      </c>
      <c r="C79" s="159" t="str">
        <f t="shared" ref="C79:C142" si="9">IF(OR(B79&lt;B$6,B79&gt;B$10),"",G$8)</f>
        <v/>
      </c>
      <c r="D79" s="159" t="str">
        <f t="shared" ref="D79:D142" si="10">IF(B79=B$6,W$6,IF(B79&gt;B$10,"",IF(B79&gt;=B$9,D78+X$9,IF(B79&gt;B$8,D78+X$8,IF(B79&gt;B$7,D78+X$7,IF(B79&gt;B$6,W$6,""))))))</f>
        <v/>
      </c>
      <c r="E79" s="159" t="str">
        <f t="shared" ref="E79:E142" si="11">IF($B79=$B$6,L$6,IF($B79&gt;$B$10,"",IF($B79&gt;=$B$9,E78+V$9,IF($B79&gt;$B$8,E78+V$8,IF($B79&gt;$B$7,E78+V$7,IF($B79&gt;$B$6,L$6,""))))))</f>
        <v/>
      </c>
      <c r="F79" s="159" t="str">
        <f t="shared" ref="F79:F142" si="12">IF(C79="","",C79-E79)</f>
        <v/>
      </c>
      <c r="G79" s="137"/>
      <c r="H79" s="137"/>
      <c r="I79" s="137"/>
      <c r="J79" s="137"/>
      <c r="K79" s="160"/>
      <c r="L79" s="160"/>
      <c r="M79" s="137"/>
      <c r="N79" s="138"/>
      <c r="O79" s="138"/>
      <c r="P79" s="138"/>
      <c r="Q79" s="138"/>
      <c r="R79" s="138"/>
      <c r="S79" s="138"/>
      <c r="T79" s="138"/>
      <c r="U79" s="138"/>
      <c r="V79" s="150" t="e">
        <f t="shared" si="7"/>
        <v>#N/A</v>
      </c>
      <c r="W79" s="150" t="e">
        <f t="shared" si="7"/>
        <v>#N/A</v>
      </c>
      <c r="X79" s="150" t="e">
        <f t="shared" si="7"/>
        <v>#N/A</v>
      </c>
      <c r="Y79" s="150" t="e">
        <f t="shared" si="6"/>
        <v>#N/A</v>
      </c>
    </row>
    <row r="80" spans="1:25">
      <c r="A80" s="134"/>
      <c r="B80" s="158">
        <f t="shared" si="8"/>
        <v>38054</v>
      </c>
      <c r="C80" s="159" t="str">
        <f t="shared" si="9"/>
        <v/>
      </c>
      <c r="D80" s="159" t="str">
        <f t="shared" si="10"/>
        <v/>
      </c>
      <c r="E80" s="159" t="str">
        <f t="shared" si="11"/>
        <v/>
      </c>
      <c r="F80" s="159" t="str">
        <f t="shared" si="12"/>
        <v/>
      </c>
      <c r="G80" s="137"/>
      <c r="H80" s="137"/>
      <c r="I80" s="137"/>
      <c r="J80" s="137"/>
      <c r="K80" s="160"/>
      <c r="L80" s="160"/>
      <c r="M80" s="137"/>
      <c r="N80" s="138"/>
      <c r="O80" s="138"/>
      <c r="P80" s="138"/>
      <c r="Q80" s="138"/>
      <c r="R80" s="138"/>
      <c r="S80" s="138"/>
      <c r="T80" s="138"/>
      <c r="U80" s="138"/>
      <c r="V80" s="150" t="e">
        <f t="shared" si="7"/>
        <v>#N/A</v>
      </c>
      <c r="W80" s="150" t="e">
        <f t="shared" si="7"/>
        <v>#N/A</v>
      </c>
      <c r="X80" s="150" t="e">
        <f t="shared" si="7"/>
        <v>#N/A</v>
      </c>
      <c r="Y80" s="150" t="e">
        <f t="shared" si="6"/>
        <v>#N/A</v>
      </c>
    </row>
    <row r="81" spans="1:25">
      <c r="A81" s="134"/>
      <c r="B81" s="158">
        <f t="shared" si="8"/>
        <v>38055</v>
      </c>
      <c r="C81" s="159" t="str">
        <f t="shared" si="9"/>
        <v/>
      </c>
      <c r="D81" s="159" t="str">
        <f t="shared" si="10"/>
        <v/>
      </c>
      <c r="E81" s="159" t="str">
        <f t="shared" si="11"/>
        <v/>
      </c>
      <c r="F81" s="159" t="str">
        <f t="shared" si="12"/>
        <v/>
      </c>
      <c r="G81" s="137"/>
      <c r="H81" s="137"/>
      <c r="I81" s="137"/>
      <c r="J81" s="137"/>
      <c r="K81" s="160"/>
      <c r="L81" s="160"/>
      <c r="M81" s="137"/>
      <c r="N81" s="138"/>
      <c r="O81" s="138"/>
      <c r="P81" s="138"/>
      <c r="Q81" s="138"/>
      <c r="R81" s="138"/>
      <c r="S81" s="138"/>
      <c r="T81" s="138"/>
      <c r="U81" s="138"/>
      <c r="V81" s="150" t="e">
        <f t="shared" si="7"/>
        <v>#N/A</v>
      </c>
      <c r="W81" s="150" t="e">
        <f t="shared" si="7"/>
        <v>#N/A</v>
      </c>
      <c r="X81" s="150" t="e">
        <f t="shared" si="7"/>
        <v>#N/A</v>
      </c>
      <c r="Y81" s="150" t="e">
        <f t="shared" si="6"/>
        <v>#N/A</v>
      </c>
    </row>
    <row r="82" spans="1:25">
      <c r="A82" s="134"/>
      <c r="B82" s="158">
        <f t="shared" si="8"/>
        <v>38056</v>
      </c>
      <c r="C82" s="159" t="str">
        <f t="shared" si="9"/>
        <v/>
      </c>
      <c r="D82" s="159" t="str">
        <f t="shared" si="10"/>
        <v/>
      </c>
      <c r="E82" s="159" t="str">
        <f t="shared" si="11"/>
        <v/>
      </c>
      <c r="F82" s="159" t="str">
        <f t="shared" si="12"/>
        <v/>
      </c>
      <c r="G82" s="137"/>
      <c r="H82" s="137"/>
      <c r="I82" s="137"/>
      <c r="J82" s="137"/>
      <c r="K82" s="160"/>
      <c r="L82" s="160"/>
      <c r="M82" s="137"/>
      <c r="N82" s="138"/>
      <c r="O82" s="138"/>
      <c r="P82" s="138"/>
      <c r="Q82" s="138"/>
      <c r="R82" s="138"/>
      <c r="S82" s="138"/>
      <c r="T82" s="138"/>
      <c r="U82" s="138"/>
      <c r="V82" s="150" t="e">
        <f t="shared" si="7"/>
        <v>#N/A</v>
      </c>
      <c r="W82" s="150" t="e">
        <f t="shared" si="7"/>
        <v>#N/A</v>
      </c>
      <c r="X82" s="150" t="e">
        <f t="shared" si="7"/>
        <v>#N/A</v>
      </c>
      <c r="Y82" s="150" t="e">
        <f t="shared" si="6"/>
        <v>#N/A</v>
      </c>
    </row>
    <row r="83" spans="1:25">
      <c r="A83" s="134"/>
      <c r="B83" s="158">
        <f t="shared" si="8"/>
        <v>38057</v>
      </c>
      <c r="C83" s="159" t="str">
        <f t="shared" si="9"/>
        <v/>
      </c>
      <c r="D83" s="159" t="str">
        <f t="shared" si="10"/>
        <v/>
      </c>
      <c r="E83" s="159" t="str">
        <f t="shared" si="11"/>
        <v/>
      </c>
      <c r="F83" s="159" t="str">
        <f t="shared" si="12"/>
        <v/>
      </c>
      <c r="G83" s="137"/>
      <c r="H83" s="137"/>
      <c r="I83" s="137"/>
      <c r="J83" s="137"/>
      <c r="K83" s="160"/>
      <c r="L83" s="160"/>
      <c r="M83" s="137"/>
      <c r="N83" s="138"/>
      <c r="O83" s="138"/>
      <c r="P83" s="138"/>
      <c r="Q83" s="138"/>
      <c r="R83" s="138"/>
      <c r="S83" s="138"/>
      <c r="T83" s="138"/>
      <c r="U83" s="138"/>
      <c r="V83" s="150" t="e">
        <f t="shared" si="7"/>
        <v>#N/A</v>
      </c>
      <c r="W83" s="150" t="e">
        <f t="shared" si="7"/>
        <v>#N/A</v>
      </c>
      <c r="X83" s="150" t="e">
        <f t="shared" si="7"/>
        <v>#N/A</v>
      </c>
      <c r="Y83" s="150" t="e">
        <f t="shared" si="6"/>
        <v>#N/A</v>
      </c>
    </row>
    <row r="84" spans="1:25">
      <c r="A84" s="134"/>
      <c r="B84" s="158">
        <f t="shared" si="8"/>
        <v>38058</v>
      </c>
      <c r="C84" s="159" t="str">
        <f t="shared" si="9"/>
        <v/>
      </c>
      <c r="D84" s="159" t="str">
        <f t="shared" si="10"/>
        <v/>
      </c>
      <c r="E84" s="159" t="str">
        <f t="shared" si="11"/>
        <v/>
      </c>
      <c r="F84" s="159" t="str">
        <f t="shared" si="12"/>
        <v/>
      </c>
      <c r="G84" s="137"/>
      <c r="H84" s="137"/>
      <c r="I84" s="137"/>
      <c r="J84" s="137"/>
      <c r="K84" s="160"/>
      <c r="L84" s="160"/>
      <c r="M84" s="137"/>
      <c r="N84" s="138"/>
      <c r="O84" s="138"/>
      <c r="P84" s="138"/>
      <c r="Q84" s="138"/>
      <c r="R84" s="138"/>
      <c r="S84" s="138"/>
      <c r="T84" s="138"/>
      <c r="U84" s="138"/>
      <c r="V84" s="150" t="e">
        <f t="shared" si="7"/>
        <v>#N/A</v>
      </c>
      <c r="W84" s="150" t="e">
        <f t="shared" si="7"/>
        <v>#N/A</v>
      </c>
      <c r="X84" s="150" t="e">
        <f t="shared" si="7"/>
        <v>#N/A</v>
      </c>
      <c r="Y84" s="150" t="e">
        <f t="shared" si="6"/>
        <v>#N/A</v>
      </c>
    </row>
    <row r="85" spans="1:25">
      <c r="A85" s="134"/>
      <c r="B85" s="158">
        <f t="shared" si="8"/>
        <v>38059</v>
      </c>
      <c r="C85" s="159" t="str">
        <f t="shared" si="9"/>
        <v/>
      </c>
      <c r="D85" s="159" t="str">
        <f t="shared" si="10"/>
        <v/>
      </c>
      <c r="E85" s="159" t="str">
        <f t="shared" si="11"/>
        <v/>
      </c>
      <c r="F85" s="159" t="str">
        <f t="shared" si="12"/>
        <v/>
      </c>
      <c r="G85" s="137"/>
      <c r="H85" s="137"/>
      <c r="I85" s="137"/>
      <c r="J85" s="137"/>
      <c r="K85" s="160"/>
      <c r="L85" s="160"/>
      <c r="M85" s="137"/>
      <c r="N85" s="138"/>
      <c r="O85" s="138"/>
      <c r="P85" s="138"/>
      <c r="Q85" s="138"/>
      <c r="R85" s="138"/>
      <c r="S85" s="138"/>
      <c r="T85" s="138"/>
      <c r="U85" s="138"/>
      <c r="V85" s="150" t="e">
        <f t="shared" si="7"/>
        <v>#N/A</v>
      </c>
      <c r="W85" s="150" t="e">
        <f t="shared" si="7"/>
        <v>#N/A</v>
      </c>
      <c r="X85" s="150" t="e">
        <f t="shared" si="7"/>
        <v>#N/A</v>
      </c>
      <c r="Y85" s="150" t="e">
        <f t="shared" si="6"/>
        <v>#N/A</v>
      </c>
    </row>
    <row r="86" spans="1:25">
      <c r="A86" s="134"/>
      <c r="B86" s="158">
        <f t="shared" si="8"/>
        <v>38060</v>
      </c>
      <c r="C86" s="159" t="str">
        <f t="shared" si="9"/>
        <v/>
      </c>
      <c r="D86" s="159" t="str">
        <f t="shared" si="10"/>
        <v/>
      </c>
      <c r="E86" s="159" t="str">
        <f t="shared" si="11"/>
        <v/>
      </c>
      <c r="F86" s="159" t="str">
        <f t="shared" si="12"/>
        <v/>
      </c>
      <c r="G86" s="137"/>
      <c r="H86" s="137"/>
      <c r="I86" s="137"/>
      <c r="J86" s="137"/>
      <c r="K86" s="160"/>
      <c r="L86" s="160"/>
      <c r="M86" s="137"/>
      <c r="N86" s="138"/>
      <c r="O86" s="138"/>
      <c r="P86" s="138"/>
      <c r="Q86" s="138"/>
      <c r="R86" s="138"/>
      <c r="S86" s="138"/>
      <c r="T86" s="138"/>
      <c r="U86" s="138"/>
      <c r="V86" s="150" t="e">
        <f t="shared" si="7"/>
        <v>#N/A</v>
      </c>
      <c r="W86" s="150" t="e">
        <f t="shared" si="7"/>
        <v>#N/A</v>
      </c>
      <c r="X86" s="150" t="e">
        <f t="shared" si="7"/>
        <v>#N/A</v>
      </c>
      <c r="Y86" s="150" t="e">
        <f t="shared" si="6"/>
        <v>#N/A</v>
      </c>
    </row>
    <row r="87" spans="1:25">
      <c r="A87" s="134"/>
      <c r="B87" s="158">
        <f t="shared" si="8"/>
        <v>38061</v>
      </c>
      <c r="C87" s="159" t="str">
        <f t="shared" si="9"/>
        <v/>
      </c>
      <c r="D87" s="159" t="str">
        <f t="shared" si="10"/>
        <v/>
      </c>
      <c r="E87" s="159" t="str">
        <f t="shared" si="11"/>
        <v/>
      </c>
      <c r="F87" s="159" t="str">
        <f t="shared" si="12"/>
        <v/>
      </c>
      <c r="G87" s="137"/>
      <c r="H87" s="137"/>
      <c r="I87" s="137"/>
      <c r="J87" s="137"/>
      <c r="K87" s="160"/>
      <c r="L87" s="160"/>
      <c r="M87" s="137"/>
      <c r="N87" s="138"/>
      <c r="O87" s="138"/>
      <c r="P87" s="138"/>
      <c r="Q87" s="138"/>
      <c r="R87" s="138"/>
      <c r="S87" s="138"/>
      <c r="T87" s="138"/>
      <c r="U87" s="138"/>
      <c r="V87" s="150" t="e">
        <f t="shared" si="7"/>
        <v>#N/A</v>
      </c>
      <c r="W87" s="150" t="e">
        <f t="shared" si="7"/>
        <v>#N/A</v>
      </c>
      <c r="X87" s="150" t="e">
        <f t="shared" si="7"/>
        <v>#N/A</v>
      </c>
      <c r="Y87" s="150" t="e">
        <f t="shared" si="6"/>
        <v>#N/A</v>
      </c>
    </row>
    <row r="88" spans="1:25">
      <c r="A88" s="134"/>
      <c r="B88" s="158">
        <f t="shared" si="8"/>
        <v>38062</v>
      </c>
      <c r="C88" s="159" t="str">
        <f t="shared" si="9"/>
        <v/>
      </c>
      <c r="D88" s="159" t="str">
        <f t="shared" si="10"/>
        <v/>
      </c>
      <c r="E88" s="159" t="str">
        <f t="shared" si="11"/>
        <v/>
      </c>
      <c r="F88" s="159" t="str">
        <f t="shared" si="12"/>
        <v/>
      </c>
      <c r="G88" s="137"/>
      <c r="H88" s="137"/>
      <c r="I88" s="137"/>
      <c r="J88" s="137"/>
      <c r="K88" s="160"/>
      <c r="L88" s="160"/>
      <c r="M88" s="137"/>
      <c r="N88" s="138"/>
      <c r="O88" s="138"/>
      <c r="P88" s="138"/>
      <c r="Q88" s="138"/>
      <c r="R88" s="138"/>
      <c r="S88" s="138"/>
      <c r="T88" s="138"/>
      <c r="U88" s="138"/>
      <c r="V88" s="150" t="e">
        <f t="shared" si="7"/>
        <v>#N/A</v>
      </c>
      <c r="W88" s="150" t="e">
        <f t="shared" si="7"/>
        <v>#N/A</v>
      </c>
      <c r="X88" s="150" t="e">
        <f t="shared" si="7"/>
        <v>#N/A</v>
      </c>
      <c r="Y88" s="150" t="e">
        <f t="shared" si="6"/>
        <v>#N/A</v>
      </c>
    </row>
    <row r="89" spans="1:25">
      <c r="A89" s="134"/>
      <c r="B89" s="158">
        <f t="shared" si="8"/>
        <v>38063</v>
      </c>
      <c r="C89" s="159" t="str">
        <f t="shared" si="9"/>
        <v/>
      </c>
      <c r="D89" s="159" t="str">
        <f t="shared" si="10"/>
        <v/>
      </c>
      <c r="E89" s="159" t="str">
        <f t="shared" si="11"/>
        <v/>
      </c>
      <c r="F89" s="159" t="str">
        <f t="shared" si="12"/>
        <v/>
      </c>
      <c r="G89" s="137"/>
      <c r="H89" s="137"/>
      <c r="I89" s="137"/>
      <c r="J89" s="137"/>
      <c r="K89" s="160"/>
      <c r="L89" s="160"/>
      <c r="M89" s="137"/>
      <c r="N89" s="138"/>
      <c r="O89" s="138"/>
      <c r="P89" s="138"/>
      <c r="Q89" s="138"/>
      <c r="R89" s="138"/>
      <c r="S89" s="138"/>
      <c r="T89" s="138"/>
      <c r="U89" s="138"/>
      <c r="V89" s="150" t="e">
        <f t="shared" si="7"/>
        <v>#N/A</v>
      </c>
      <c r="W89" s="150" t="e">
        <f t="shared" si="7"/>
        <v>#N/A</v>
      </c>
      <c r="X89" s="150" t="e">
        <f t="shared" si="7"/>
        <v>#N/A</v>
      </c>
      <c r="Y89" s="150" t="e">
        <f t="shared" si="6"/>
        <v>#N/A</v>
      </c>
    </row>
    <row r="90" spans="1:25">
      <c r="A90" s="134"/>
      <c r="B90" s="158">
        <f t="shared" si="8"/>
        <v>38064</v>
      </c>
      <c r="C90" s="159" t="str">
        <f t="shared" si="9"/>
        <v/>
      </c>
      <c r="D90" s="159" t="str">
        <f t="shared" si="10"/>
        <v/>
      </c>
      <c r="E90" s="159" t="str">
        <f t="shared" si="11"/>
        <v/>
      </c>
      <c r="F90" s="159" t="str">
        <f t="shared" si="12"/>
        <v/>
      </c>
      <c r="G90" s="137"/>
      <c r="H90" s="137"/>
      <c r="I90" s="137"/>
      <c r="J90" s="137"/>
      <c r="K90" s="160"/>
      <c r="L90" s="160"/>
      <c r="M90" s="137"/>
      <c r="N90" s="138"/>
      <c r="O90" s="138"/>
      <c r="P90" s="138"/>
      <c r="Q90" s="138"/>
      <c r="R90" s="138"/>
      <c r="S90" s="138"/>
      <c r="T90" s="138"/>
      <c r="U90" s="138"/>
      <c r="V90" s="150" t="e">
        <f t="shared" si="7"/>
        <v>#N/A</v>
      </c>
      <c r="W90" s="150" t="e">
        <f t="shared" si="7"/>
        <v>#N/A</v>
      </c>
      <c r="X90" s="150" t="e">
        <f t="shared" si="7"/>
        <v>#N/A</v>
      </c>
      <c r="Y90" s="150" t="e">
        <f t="shared" si="6"/>
        <v>#N/A</v>
      </c>
    </row>
    <row r="91" spans="1:25">
      <c r="A91" s="134"/>
      <c r="B91" s="158">
        <f t="shared" si="8"/>
        <v>38065</v>
      </c>
      <c r="C91" s="159" t="str">
        <f t="shared" si="9"/>
        <v/>
      </c>
      <c r="D91" s="159" t="str">
        <f t="shared" si="10"/>
        <v/>
      </c>
      <c r="E91" s="159" t="str">
        <f t="shared" si="11"/>
        <v/>
      </c>
      <c r="F91" s="159" t="str">
        <f t="shared" si="12"/>
        <v/>
      </c>
      <c r="G91" s="137"/>
      <c r="H91" s="137"/>
      <c r="I91" s="137"/>
      <c r="J91" s="137"/>
      <c r="K91" s="160"/>
      <c r="L91" s="160"/>
      <c r="M91" s="137"/>
      <c r="N91" s="138"/>
      <c r="O91" s="138"/>
      <c r="P91" s="138"/>
      <c r="Q91" s="138"/>
      <c r="R91" s="138"/>
      <c r="S91" s="138"/>
      <c r="T91" s="138"/>
      <c r="U91" s="138"/>
      <c r="V91" s="150" t="e">
        <f t="shared" si="7"/>
        <v>#N/A</v>
      </c>
      <c r="W91" s="150" t="e">
        <f t="shared" si="7"/>
        <v>#N/A</v>
      </c>
      <c r="X91" s="150" t="e">
        <f t="shared" si="7"/>
        <v>#N/A</v>
      </c>
      <c r="Y91" s="150" t="e">
        <f t="shared" si="6"/>
        <v>#N/A</v>
      </c>
    </row>
    <row r="92" spans="1:25">
      <c r="A92" s="134"/>
      <c r="B92" s="158">
        <f t="shared" si="8"/>
        <v>38066</v>
      </c>
      <c r="C92" s="159" t="str">
        <f t="shared" si="9"/>
        <v/>
      </c>
      <c r="D92" s="159" t="str">
        <f t="shared" si="10"/>
        <v/>
      </c>
      <c r="E92" s="159" t="str">
        <f t="shared" si="11"/>
        <v/>
      </c>
      <c r="F92" s="159" t="str">
        <f t="shared" si="12"/>
        <v/>
      </c>
      <c r="G92" s="137"/>
      <c r="H92" s="137"/>
      <c r="I92" s="137"/>
      <c r="J92" s="137"/>
      <c r="K92" s="160"/>
      <c r="L92" s="160"/>
      <c r="M92" s="137"/>
      <c r="N92" s="138"/>
      <c r="O92" s="138"/>
      <c r="P92" s="138"/>
      <c r="Q92" s="138"/>
      <c r="R92" s="138"/>
      <c r="S92" s="138"/>
      <c r="T92" s="138"/>
      <c r="U92" s="138"/>
      <c r="V92" s="150" t="e">
        <f t="shared" si="7"/>
        <v>#N/A</v>
      </c>
      <c r="W92" s="150" t="e">
        <f t="shared" si="7"/>
        <v>#N/A</v>
      </c>
      <c r="X92" s="150" t="e">
        <f t="shared" si="7"/>
        <v>#N/A</v>
      </c>
      <c r="Y92" s="150" t="e">
        <f t="shared" si="6"/>
        <v>#N/A</v>
      </c>
    </row>
    <row r="93" spans="1:25">
      <c r="A93" s="134"/>
      <c r="B93" s="158">
        <f t="shared" si="8"/>
        <v>38067</v>
      </c>
      <c r="C93" s="159" t="str">
        <f t="shared" si="9"/>
        <v/>
      </c>
      <c r="D93" s="159" t="str">
        <f t="shared" si="10"/>
        <v/>
      </c>
      <c r="E93" s="159" t="str">
        <f t="shared" si="11"/>
        <v/>
      </c>
      <c r="F93" s="159" t="str">
        <f t="shared" si="12"/>
        <v/>
      </c>
      <c r="G93" s="137"/>
      <c r="H93" s="137"/>
      <c r="I93" s="137"/>
      <c r="J93" s="137"/>
      <c r="K93" s="160"/>
      <c r="L93" s="160"/>
      <c r="M93" s="137"/>
      <c r="N93" s="138"/>
      <c r="O93" s="138"/>
      <c r="P93" s="138"/>
      <c r="Q93" s="138"/>
      <c r="R93" s="138"/>
      <c r="S93" s="138"/>
      <c r="T93" s="138"/>
      <c r="U93" s="138"/>
      <c r="V93" s="150" t="e">
        <f t="shared" si="7"/>
        <v>#N/A</v>
      </c>
      <c r="W93" s="150" t="e">
        <f t="shared" si="7"/>
        <v>#N/A</v>
      </c>
      <c r="X93" s="150" t="e">
        <f t="shared" si="7"/>
        <v>#N/A</v>
      </c>
      <c r="Y93" s="150" t="e">
        <f t="shared" si="6"/>
        <v>#N/A</v>
      </c>
    </row>
    <row r="94" spans="1:25">
      <c r="A94" s="134"/>
      <c r="B94" s="158">
        <f t="shared" si="8"/>
        <v>38068</v>
      </c>
      <c r="C94" s="159" t="str">
        <f t="shared" si="9"/>
        <v/>
      </c>
      <c r="D94" s="159" t="str">
        <f t="shared" si="10"/>
        <v/>
      </c>
      <c r="E94" s="159" t="str">
        <f t="shared" si="11"/>
        <v/>
      </c>
      <c r="F94" s="159" t="str">
        <f t="shared" si="12"/>
        <v/>
      </c>
      <c r="G94" s="137"/>
      <c r="H94" s="137"/>
      <c r="I94" s="137"/>
      <c r="J94" s="137"/>
      <c r="K94" s="160"/>
      <c r="L94" s="160"/>
      <c r="M94" s="137"/>
      <c r="N94" s="138"/>
      <c r="O94" s="138"/>
      <c r="P94" s="138"/>
      <c r="Q94" s="138"/>
      <c r="R94" s="138"/>
      <c r="S94" s="138"/>
      <c r="T94" s="138"/>
      <c r="U94" s="138"/>
      <c r="V94" s="150" t="e">
        <f t="shared" si="7"/>
        <v>#N/A</v>
      </c>
      <c r="W94" s="150" t="e">
        <f t="shared" si="7"/>
        <v>#N/A</v>
      </c>
      <c r="X94" s="150" t="e">
        <f t="shared" si="7"/>
        <v>#N/A</v>
      </c>
      <c r="Y94" s="150" t="e">
        <f t="shared" si="6"/>
        <v>#N/A</v>
      </c>
    </row>
    <row r="95" spans="1:25">
      <c r="A95" s="134"/>
      <c r="B95" s="158">
        <f t="shared" si="8"/>
        <v>38069</v>
      </c>
      <c r="C95" s="159" t="str">
        <f t="shared" si="9"/>
        <v/>
      </c>
      <c r="D95" s="159" t="str">
        <f t="shared" si="10"/>
        <v/>
      </c>
      <c r="E95" s="159" t="str">
        <f t="shared" si="11"/>
        <v/>
      </c>
      <c r="F95" s="159" t="str">
        <f t="shared" si="12"/>
        <v/>
      </c>
      <c r="G95" s="137"/>
      <c r="H95" s="137"/>
      <c r="I95" s="137"/>
      <c r="J95" s="137"/>
      <c r="K95" s="160"/>
      <c r="L95" s="160"/>
      <c r="M95" s="137"/>
      <c r="N95" s="138"/>
      <c r="O95" s="138"/>
      <c r="P95" s="138"/>
      <c r="Q95" s="138"/>
      <c r="R95" s="138"/>
      <c r="S95" s="138"/>
      <c r="T95" s="138"/>
      <c r="U95" s="138"/>
      <c r="V95" s="150" t="e">
        <f t="shared" si="7"/>
        <v>#N/A</v>
      </c>
      <c r="W95" s="150" t="e">
        <f t="shared" si="7"/>
        <v>#N/A</v>
      </c>
      <c r="X95" s="150" t="e">
        <f t="shared" si="7"/>
        <v>#N/A</v>
      </c>
      <c r="Y95" s="150" t="e">
        <f t="shared" si="6"/>
        <v>#N/A</v>
      </c>
    </row>
    <row r="96" spans="1:25">
      <c r="A96" s="134"/>
      <c r="B96" s="158">
        <f t="shared" si="8"/>
        <v>38070</v>
      </c>
      <c r="C96" s="159" t="str">
        <f t="shared" si="9"/>
        <v/>
      </c>
      <c r="D96" s="159" t="str">
        <f t="shared" si="10"/>
        <v/>
      </c>
      <c r="E96" s="159" t="str">
        <f t="shared" si="11"/>
        <v/>
      </c>
      <c r="F96" s="159" t="str">
        <f t="shared" si="12"/>
        <v/>
      </c>
      <c r="G96" s="137"/>
      <c r="H96" s="137"/>
      <c r="I96" s="137"/>
      <c r="J96" s="137"/>
      <c r="K96" s="160"/>
      <c r="L96" s="160"/>
      <c r="M96" s="137"/>
      <c r="N96" s="138"/>
      <c r="O96" s="138"/>
      <c r="P96" s="138"/>
      <c r="Q96" s="138"/>
      <c r="R96" s="138"/>
      <c r="S96" s="138"/>
      <c r="T96" s="138"/>
      <c r="U96" s="138"/>
      <c r="V96" s="150" t="e">
        <f t="shared" si="7"/>
        <v>#N/A</v>
      </c>
      <c r="W96" s="150" t="e">
        <f t="shared" si="7"/>
        <v>#N/A</v>
      </c>
      <c r="X96" s="150" t="e">
        <f t="shared" si="7"/>
        <v>#N/A</v>
      </c>
      <c r="Y96" s="150" t="e">
        <f t="shared" si="6"/>
        <v>#N/A</v>
      </c>
    </row>
    <row r="97" spans="1:25">
      <c r="A97" s="134"/>
      <c r="B97" s="158">
        <f t="shared" si="8"/>
        <v>38071</v>
      </c>
      <c r="C97" s="159" t="str">
        <f t="shared" si="9"/>
        <v/>
      </c>
      <c r="D97" s="159" t="str">
        <f t="shared" si="10"/>
        <v/>
      </c>
      <c r="E97" s="159" t="str">
        <f t="shared" si="11"/>
        <v/>
      </c>
      <c r="F97" s="159" t="str">
        <f t="shared" si="12"/>
        <v/>
      </c>
      <c r="G97" s="137"/>
      <c r="H97" s="137"/>
      <c r="I97" s="137"/>
      <c r="J97" s="137"/>
      <c r="K97" s="160"/>
      <c r="L97" s="160"/>
      <c r="M97" s="137"/>
      <c r="N97" s="138"/>
      <c r="O97" s="138"/>
      <c r="P97" s="138"/>
      <c r="Q97" s="138"/>
      <c r="R97" s="138"/>
      <c r="S97" s="138"/>
      <c r="T97" s="138"/>
      <c r="U97" s="138"/>
      <c r="V97" s="150" t="e">
        <f t="shared" si="7"/>
        <v>#N/A</v>
      </c>
      <c r="W97" s="150" t="e">
        <f t="shared" si="7"/>
        <v>#N/A</v>
      </c>
      <c r="X97" s="150" t="e">
        <f t="shared" si="7"/>
        <v>#N/A</v>
      </c>
      <c r="Y97" s="150" t="e">
        <f t="shared" si="6"/>
        <v>#N/A</v>
      </c>
    </row>
    <row r="98" spans="1:25">
      <c r="A98" s="134"/>
      <c r="B98" s="158">
        <f t="shared" si="8"/>
        <v>38072</v>
      </c>
      <c r="C98" s="159" t="str">
        <f t="shared" si="9"/>
        <v/>
      </c>
      <c r="D98" s="159" t="str">
        <f t="shared" si="10"/>
        <v/>
      </c>
      <c r="E98" s="159" t="str">
        <f t="shared" si="11"/>
        <v/>
      </c>
      <c r="F98" s="159" t="str">
        <f t="shared" si="12"/>
        <v/>
      </c>
      <c r="G98" s="137"/>
      <c r="H98" s="137"/>
      <c r="I98" s="137"/>
      <c r="J98" s="137"/>
      <c r="K98" s="160"/>
      <c r="L98" s="160"/>
      <c r="M98" s="137"/>
      <c r="N98" s="138"/>
      <c r="O98" s="138"/>
      <c r="P98" s="138"/>
      <c r="Q98" s="138"/>
      <c r="R98" s="138"/>
      <c r="S98" s="138"/>
      <c r="T98" s="138"/>
      <c r="U98" s="138"/>
      <c r="V98" s="150" t="e">
        <f t="shared" si="7"/>
        <v>#N/A</v>
      </c>
      <c r="W98" s="150" t="e">
        <f t="shared" si="7"/>
        <v>#N/A</v>
      </c>
      <c r="X98" s="150" t="e">
        <f t="shared" si="7"/>
        <v>#N/A</v>
      </c>
      <c r="Y98" s="150" t="e">
        <f t="shared" si="6"/>
        <v>#N/A</v>
      </c>
    </row>
    <row r="99" spans="1:25">
      <c r="A99" s="134"/>
      <c r="B99" s="158">
        <f t="shared" si="8"/>
        <v>38073</v>
      </c>
      <c r="C99" s="159" t="str">
        <f t="shared" si="9"/>
        <v/>
      </c>
      <c r="D99" s="159" t="str">
        <f t="shared" si="10"/>
        <v/>
      </c>
      <c r="E99" s="159" t="str">
        <f t="shared" si="11"/>
        <v/>
      </c>
      <c r="F99" s="159" t="str">
        <f t="shared" si="12"/>
        <v/>
      </c>
      <c r="G99" s="137"/>
      <c r="H99" s="137"/>
      <c r="I99" s="137"/>
      <c r="J99" s="137"/>
      <c r="K99" s="160"/>
      <c r="L99" s="160"/>
      <c r="M99" s="137"/>
      <c r="N99" s="138"/>
      <c r="O99" s="138"/>
      <c r="P99" s="138"/>
      <c r="Q99" s="138"/>
      <c r="R99" s="138"/>
      <c r="S99" s="138"/>
      <c r="T99" s="138"/>
      <c r="U99" s="138"/>
      <c r="V99" s="150" t="e">
        <f t="shared" si="7"/>
        <v>#N/A</v>
      </c>
      <c r="W99" s="150" t="e">
        <f t="shared" si="7"/>
        <v>#N/A</v>
      </c>
      <c r="X99" s="150" t="e">
        <f t="shared" si="7"/>
        <v>#N/A</v>
      </c>
      <c r="Y99" s="150" t="e">
        <f t="shared" si="6"/>
        <v>#N/A</v>
      </c>
    </row>
    <row r="100" spans="1:25">
      <c r="A100" s="134"/>
      <c r="B100" s="158">
        <f t="shared" si="8"/>
        <v>38074</v>
      </c>
      <c r="C100" s="159" t="str">
        <f t="shared" si="9"/>
        <v/>
      </c>
      <c r="D100" s="159" t="str">
        <f t="shared" si="10"/>
        <v/>
      </c>
      <c r="E100" s="159" t="str">
        <f t="shared" si="11"/>
        <v/>
      </c>
      <c r="F100" s="159" t="str">
        <f t="shared" si="12"/>
        <v/>
      </c>
      <c r="G100" s="137"/>
      <c r="H100" s="137"/>
      <c r="I100" s="137"/>
      <c r="J100" s="137"/>
      <c r="K100" s="160"/>
      <c r="L100" s="160"/>
      <c r="M100" s="137"/>
      <c r="N100" s="138"/>
      <c r="O100" s="138"/>
      <c r="P100" s="138"/>
      <c r="Q100" s="138"/>
      <c r="R100" s="138"/>
      <c r="S100" s="138"/>
      <c r="T100" s="138"/>
      <c r="U100" s="138"/>
      <c r="V100" s="150" t="e">
        <f t="shared" si="7"/>
        <v>#N/A</v>
      </c>
      <c r="W100" s="150" t="e">
        <f t="shared" si="7"/>
        <v>#N/A</v>
      </c>
      <c r="X100" s="150" t="e">
        <f t="shared" si="7"/>
        <v>#N/A</v>
      </c>
      <c r="Y100" s="150" t="e">
        <f t="shared" si="6"/>
        <v>#N/A</v>
      </c>
    </row>
    <row r="101" spans="1:25">
      <c r="A101" s="134"/>
      <c r="B101" s="158">
        <f t="shared" si="8"/>
        <v>38075</v>
      </c>
      <c r="C101" s="159" t="str">
        <f t="shared" si="9"/>
        <v/>
      </c>
      <c r="D101" s="159" t="str">
        <f t="shared" si="10"/>
        <v/>
      </c>
      <c r="E101" s="159" t="str">
        <f t="shared" si="11"/>
        <v/>
      </c>
      <c r="F101" s="159" t="str">
        <f t="shared" si="12"/>
        <v/>
      </c>
      <c r="G101" s="137"/>
      <c r="H101" s="137"/>
      <c r="I101" s="137"/>
      <c r="J101" s="137"/>
      <c r="K101" s="160"/>
      <c r="L101" s="160"/>
      <c r="M101" s="137"/>
      <c r="N101" s="138"/>
      <c r="O101" s="138"/>
      <c r="P101" s="138"/>
      <c r="Q101" s="138"/>
      <c r="R101" s="138"/>
      <c r="S101" s="138"/>
      <c r="T101" s="138"/>
      <c r="U101" s="138"/>
      <c r="V101" s="150" t="e">
        <f t="shared" si="7"/>
        <v>#N/A</v>
      </c>
      <c r="W101" s="150" t="e">
        <f t="shared" si="7"/>
        <v>#N/A</v>
      </c>
      <c r="X101" s="150" t="e">
        <f t="shared" si="7"/>
        <v>#N/A</v>
      </c>
      <c r="Y101" s="150" t="e">
        <f t="shared" si="6"/>
        <v>#N/A</v>
      </c>
    </row>
    <row r="102" spans="1:25">
      <c r="A102" s="134"/>
      <c r="B102" s="158">
        <f t="shared" si="8"/>
        <v>38076</v>
      </c>
      <c r="C102" s="159" t="str">
        <f t="shared" si="9"/>
        <v/>
      </c>
      <c r="D102" s="159" t="str">
        <f t="shared" si="10"/>
        <v/>
      </c>
      <c r="E102" s="159" t="str">
        <f t="shared" si="11"/>
        <v/>
      </c>
      <c r="F102" s="159" t="str">
        <f t="shared" si="12"/>
        <v/>
      </c>
      <c r="G102" s="137"/>
      <c r="H102" s="137"/>
      <c r="I102" s="137"/>
      <c r="J102" s="137"/>
      <c r="K102" s="160"/>
      <c r="L102" s="160"/>
      <c r="M102" s="137"/>
      <c r="N102" s="138"/>
      <c r="O102" s="138"/>
      <c r="P102" s="138"/>
      <c r="Q102" s="138"/>
      <c r="R102" s="138"/>
      <c r="S102" s="138"/>
      <c r="T102" s="138"/>
      <c r="U102" s="138"/>
      <c r="V102" s="150" t="e">
        <f t="shared" si="7"/>
        <v>#N/A</v>
      </c>
      <c r="W102" s="150" t="e">
        <f t="shared" si="7"/>
        <v>#N/A</v>
      </c>
      <c r="X102" s="150" t="e">
        <f t="shared" si="7"/>
        <v>#N/A</v>
      </c>
      <c r="Y102" s="150" t="e">
        <f t="shared" si="6"/>
        <v>#N/A</v>
      </c>
    </row>
    <row r="103" spans="1:25">
      <c r="A103" s="134"/>
      <c r="B103" s="158">
        <f t="shared" si="8"/>
        <v>38077</v>
      </c>
      <c r="C103" s="159" t="str">
        <f t="shared" si="9"/>
        <v/>
      </c>
      <c r="D103" s="159" t="str">
        <f t="shared" si="10"/>
        <v/>
      </c>
      <c r="E103" s="159" t="str">
        <f t="shared" si="11"/>
        <v/>
      </c>
      <c r="F103" s="159" t="str">
        <f t="shared" si="12"/>
        <v/>
      </c>
      <c r="G103" s="137"/>
      <c r="H103" s="137"/>
      <c r="I103" s="137"/>
      <c r="J103" s="137"/>
      <c r="K103" s="160"/>
      <c r="L103" s="160"/>
      <c r="M103" s="137"/>
      <c r="N103" s="138"/>
      <c r="O103" s="138"/>
      <c r="P103" s="138"/>
      <c r="Q103" s="138"/>
      <c r="R103" s="138"/>
      <c r="S103" s="138"/>
      <c r="T103" s="138"/>
      <c r="U103" s="138"/>
      <c r="V103" s="150" t="e">
        <f t="shared" si="7"/>
        <v>#N/A</v>
      </c>
      <c r="W103" s="150" t="e">
        <f t="shared" si="7"/>
        <v>#N/A</v>
      </c>
      <c r="X103" s="150" t="e">
        <f t="shared" si="7"/>
        <v>#N/A</v>
      </c>
      <c r="Y103" s="150" t="e">
        <f t="shared" si="6"/>
        <v>#N/A</v>
      </c>
    </row>
    <row r="104" spans="1:25">
      <c r="A104" s="134"/>
      <c r="B104" s="158">
        <f t="shared" si="8"/>
        <v>38078</v>
      </c>
      <c r="C104" s="159" t="str">
        <f t="shared" si="9"/>
        <v/>
      </c>
      <c r="D104" s="159" t="str">
        <f t="shared" si="10"/>
        <v/>
      </c>
      <c r="E104" s="159" t="str">
        <f t="shared" si="11"/>
        <v/>
      </c>
      <c r="F104" s="159" t="str">
        <f t="shared" si="12"/>
        <v/>
      </c>
      <c r="G104" s="137"/>
      <c r="H104" s="137"/>
      <c r="I104" s="137"/>
      <c r="J104" s="137"/>
      <c r="K104" s="160"/>
      <c r="L104" s="160"/>
      <c r="M104" s="137"/>
      <c r="N104" s="138"/>
      <c r="O104" s="138"/>
      <c r="P104" s="138"/>
      <c r="Q104" s="138"/>
      <c r="R104" s="138"/>
      <c r="S104" s="138"/>
      <c r="T104" s="138"/>
      <c r="U104" s="138"/>
      <c r="V104" s="150" t="e">
        <f t="shared" si="7"/>
        <v>#N/A</v>
      </c>
      <c r="W104" s="150" t="e">
        <f t="shared" si="7"/>
        <v>#N/A</v>
      </c>
      <c r="X104" s="150" t="e">
        <f t="shared" si="7"/>
        <v>#N/A</v>
      </c>
      <c r="Y104" s="150" t="e">
        <f t="shared" si="6"/>
        <v>#N/A</v>
      </c>
    </row>
    <row r="105" spans="1:25">
      <c r="A105" s="134"/>
      <c r="B105" s="158">
        <f t="shared" si="8"/>
        <v>38079</v>
      </c>
      <c r="C105" s="159" t="str">
        <f t="shared" si="9"/>
        <v/>
      </c>
      <c r="D105" s="159" t="str">
        <f t="shared" si="10"/>
        <v/>
      </c>
      <c r="E105" s="159" t="str">
        <f t="shared" si="11"/>
        <v/>
      </c>
      <c r="F105" s="159" t="str">
        <f t="shared" si="12"/>
        <v/>
      </c>
      <c r="G105" s="137"/>
      <c r="H105" s="137"/>
      <c r="I105" s="168" t="s">
        <v>411</v>
      </c>
      <c r="J105" s="167">
        <f>MAX(J$6:J$10)</f>
        <v>120</v>
      </c>
      <c r="K105" s="160"/>
      <c r="L105" s="160"/>
      <c r="M105" s="137"/>
      <c r="N105" s="138"/>
      <c r="O105" s="138"/>
      <c r="P105" s="138"/>
      <c r="Q105" s="138"/>
      <c r="R105" s="138"/>
      <c r="S105" s="138"/>
      <c r="T105" s="138"/>
      <c r="U105" s="138"/>
      <c r="V105" s="150" t="e">
        <f t="shared" si="7"/>
        <v>#N/A</v>
      </c>
      <c r="W105" s="150" t="e">
        <f t="shared" si="7"/>
        <v>#N/A</v>
      </c>
      <c r="X105" s="150" t="e">
        <f t="shared" si="7"/>
        <v>#N/A</v>
      </c>
      <c r="Y105" s="150" t="e">
        <f t="shared" si="6"/>
        <v>#N/A</v>
      </c>
    </row>
    <row r="106" spans="1:25">
      <c r="A106" s="134"/>
      <c r="B106" s="158">
        <f t="shared" si="8"/>
        <v>38080</v>
      </c>
      <c r="C106" s="159" t="str">
        <f t="shared" si="9"/>
        <v/>
      </c>
      <c r="D106" s="159" t="str">
        <f t="shared" si="10"/>
        <v/>
      </c>
      <c r="E106" s="159" t="str">
        <f t="shared" si="11"/>
        <v/>
      </c>
      <c r="F106" s="159" t="str">
        <f t="shared" si="12"/>
        <v/>
      </c>
      <c r="G106" s="137"/>
      <c r="H106" s="137"/>
      <c r="I106" s="168" t="s">
        <v>412</v>
      </c>
      <c r="J106" s="167">
        <f>MAX(H$6:H$10)</f>
        <v>240</v>
      </c>
      <c r="K106" s="160"/>
      <c r="L106" s="160"/>
      <c r="M106" s="137"/>
      <c r="N106" s="138"/>
      <c r="O106" s="138"/>
      <c r="P106" s="138"/>
      <c r="Q106" s="138"/>
      <c r="R106" s="138"/>
      <c r="S106" s="138"/>
      <c r="T106" s="138"/>
      <c r="U106" s="138"/>
      <c r="V106" s="150" t="e">
        <f t="shared" si="7"/>
        <v>#N/A</v>
      </c>
      <c r="W106" s="150" t="e">
        <f t="shared" si="7"/>
        <v>#N/A</v>
      </c>
      <c r="X106" s="150" t="e">
        <f t="shared" si="7"/>
        <v>#N/A</v>
      </c>
      <c r="Y106" s="150" t="e">
        <f t="shared" si="6"/>
        <v>#N/A</v>
      </c>
    </row>
    <row r="107" spans="1:25">
      <c r="A107" s="134"/>
      <c r="B107" s="158">
        <f t="shared" si="8"/>
        <v>38081</v>
      </c>
      <c r="C107" s="159" t="str">
        <f t="shared" si="9"/>
        <v/>
      </c>
      <c r="D107" s="159" t="str">
        <f t="shared" si="10"/>
        <v/>
      </c>
      <c r="E107" s="159" t="str">
        <f t="shared" si="11"/>
        <v/>
      </c>
      <c r="F107" s="159" t="str">
        <f t="shared" si="12"/>
        <v/>
      </c>
      <c r="G107" s="137"/>
      <c r="H107" s="137"/>
      <c r="I107" s="137"/>
      <c r="J107" s="137"/>
      <c r="K107" s="160"/>
      <c r="L107" s="160"/>
      <c r="M107" s="137"/>
      <c r="N107" s="138"/>
      <c r="O107" s="138"/>
      <c r="P107" s="138"/>
      <c r="Q107" s="138"/>
      <c r="R107" s="138"/>
      <c r="S107" s="138"/>
      <c r="T107" s="138"/>
      <c r="U107" s="138"/>
      <c r="V107" s="150" t="e">
        <f t="shared" si="7"/>
        <v>#N/A</v>
      </c>
      <c r="W107" s="150" t="e">
        <f t="shared" si="7"/>
        <v>#N/A</v>
      </c>
      <c r="X107" s="150" t="e">
        <f t="shared" si="7"/>
        <v>#N/A</v>
      </c>
      <c r="Y107" s="150" t="e">
        <f t="shared" si="6"/>
        <v>#N/A</v>
      </c>
    </row>
    <row r="108" spans="1:25">
      <c r="A108" s="134"/>
      <c r="B108" s="158">
        <f t="shared" si="8"/>
        <v>38082</v>
      </c>
      <c r="C108" s="159" t="str">
        <f t="shared" si="9"/>
        <v/>
      </c>
      <c r="D108" s="159" t="str">
        <f t="shared" si="10"/>
        <v/>
      </c>
      <c r="E108" s="159" t="str">
        <f t="shared" si="11"/>
        <v/>
      </c>
      <c r="F108" s="159" t="str">
        <f t="shared" si="12"/>
        <v/>
      </c>
      <c r="G108" s="137"/>
      <c r="H108" s="137"/>
      <c r="I108" s="137"/>
      <c r="J108" s="137"/>
      <c r="K108" s="160"/>
      <c r="L108" s="160"/>
      <c r="M108" s="137"/>
      <c r="N108" s="138"/>
      <c r="O108" s="138"/>
      <c r="P108" s="138"/>
      <c r="Q108" s="138"/>
      <c r="R108" s="138"/>
      <c r="S108" s="138"/>
      <c r="T108" s="138"/>
      <c r="U108" s="138"/>
      <c r="V108" s="150" t="e">
        <f t="shared" si="7"/>
        <v>#N/A</v>
      </c>
      <c r="W108" s="150" t="e">
        <f t="shared" si="7"/>
        <v>#N/A</v>
      </c>
      <c r="X108" s="150" t="e">
        <f t="shared" si="7"/>
        <v>#N/A</v>
      </c>
      <c r="Y108" s="150" t="e">
        <f t="shared" si="6"/>
        <v>#N/A</v>
      </c>
    </row>
    <row r="109" spans="1:25">
      <c r="A109" s="134"/>
      <c r="B109" s="158">
        <f t="shared" si="8"/>
        <v>38083</v>
      </c>
      <c r="C109" s="159" t="str">
        <f t="shared" si="9"/>
        <v/>
      </c>
      <c r="D109" s="159" t="str">
        <f t="shared" si="10"/>
        <v/>
      </c>
      <c r="E109" s="159" t="str">
        <f t="shared" si="11"/>
        <v/>
      </c>
      <c r="F109" s="159" t="str">
        <f t="shared" si="12"/>
        <v/>
      </c>
      <c r="G109" s="137"/>
      <c r="H109" s="137"/>
      <c r="I109" s="137"/>
      <c r="J109" s="137"/>
      <c r="K109" s="160"/>
      <c r="L109" s="160"/>
      <c r="M109" s="137"/>
      <c r="N109" s="138"/>
      <c r="O109" s="138"/>
      <c r="P109" s="138"/>
      <c r="Q109" s="138"/>
      <c r="R109" s="138"/>
      <c r="S109" s="138"/>
      <c r="T109" s="138"/>
      <c r="U109" s="138"/>
      <c r="V109" s="150" t="e">
        <f t="shared" si="7"/>
        <v>#N/A</v>
      </c>
      <c r="W109" s="150" t="e">
        <f t="shared" si="7"/>
        <v>#N/A</v>
      </c>
      <c r="X109" s="150" t="e">
        <f t="shared" si="7"/>
        <v>#N/A</v>
      </c>
      <c r="Y109" s="150" t="e">
        <f t="shared" si="6"/>
        <v>#N/A</v>
      </c>
    </row>
    <row r="110" spans="1:25">
      <c r="A110" s="134"/>
      <c r="B110" s="158">
        <f t="shared" si="8"/>
        <v>38084</v>
      </c>
      <c r="C110" s="159" t="str">
        <f t="shared" si="9"/>
        <v/>
      </c>
      <c r="D110" s="159" t="str">
        <f t="shared" si="10"/>
        <v/>
      </c>
      <c r="E110" s="159" t="str">
        <f t="shared" si="11"/>
        <v/>
      </c>
      <c r="F110" s="159" t="str">
        <f t="shared" si="12"/>
        <v/>
      </c>
      <c r="G110" s="137"/>
      <c r="H110" s="137"/>
      <c r="I110" s="137"/>
      <c r="J110" s="137"/>
      <c r="K110" s="160"/>
      <c r="L110" s="160"/>
      <c r="M110" s="137"/>
      <c r="N110" s="138"/>
      <c r="O110" s="138"/>
      <c r="P110" s="138"/>
      <c r="Q110" s="138"/>
      <c r="R110" s="138"/>
      <c r="S110" s="138"/>
      <c r="T110" s="138"/>
      <c r="U110" s="138"/>
      <c r="V110" s="150" t="e">
        <f t="shared" si="7"/>
        <v>#N/A</v>
      </c>
      <c r="W110" s="150" t="e">
        <f t="shared" si="7"/>
        <v>#N/A</v>
      </c>
      <c r="X110" s="150" t="e">
        <f t="shared" si="7"/>
        <v>#N/A</v>
      </c>
      <c r="Y110" s="150" t="e">
        <f t="shared" si="6"/>
        <v>#N/A</v>
      </c>
    </row>
    <row r="111" spans="1:25">
      <c r="A111" s="134"/>
      <c r="B111" s="158">
        <f t="shared" si="8"/>
        <v>38085</v>
      </c>
      <c r="C111" s="159" t="str">
        <f t="shared" si="9"/>
        <v/>
      </c>
      <c r="D111" s="159" t="str">
        <f t="shared" si="10"/>
        <v/>
      </c>
      <c r="E111" s="159" t="str">
        <f t="shared" si="11"/>
        <v/>
      </c>
      <c r="F111" s="159" t="str">
        <f t="shared" si="12"/>
        <v/>
      </c>
      <c r="G111" s="137"/>
      <c r="H111" s="137"/>
      <c r="I111" s="137"/>
      <c r="J111" s="137"/>
      <c r="K111" s="160"/>
      <c r="L111" s="160"/>
      <c r="M111" s="137"/>
      <c r="N111" s="138"/>
      <c r="O111" s="138"/>
      <c r="P111" s="138"/>
      <c r="Q111" s="138"/>
      <c r="R111" s="138"/>
      <c r="S111" s="138"/>
      <c r="T111" s="138"/>
      <c r="U111" s="138"/>
      <c r="V111" s="150" t="e">
        <f t="shared" si="7"/>
        <v>#N/A</v>
      </c>
      <c r="W111" s="150" t="e">
        <f t="shared" si="7"/>
        <v>#N/A</v>
      </c>
      <c r="X111" s="150" t="e">
        <f t="shared" si="7"/>
        <v>#N/A</v>
      </c>
      <c r="Y111" s="150" t="e">
        <f t="shared" si="6"/>
        <v>#N/A</v>
      </c>
    </row>
    <row r="112" spans="1:25">
      <c r="A112" s="134"/>
      <c r="B112" s="158">
        <f t="shared" si="8"/>
        <v>38086</v>
      </c>
      <c r="C112" s="159" t="str">
        <f t="shared" si="9"/>
        <v/>
      </c>
      <c r="D112" s="159" t="str">
        <f t="shared" si="10"/>
        <v/>
      </c>
      <c r="E112" s="159" t="str">
        <f t="shared" si="11"/>
        <v/>
      </c>
      <c r="F112" s="159" t="str">
        <f t="shared" si="12"/>
        <v/>
      </c>
      <c r="G112" s="137"/>
      <c r="H112" s="137"/>
      <c r="I112" s="137"/>
      <c r="J112" s="137"/>
      <c r="K112" s="160"/>
      <c r="L112" s="160"/>
      <c r="M112" s="137"/>
      <c r="N112" s="138"/>
      <c r="O112" s="138"/>
      <c r="P112" s="138"/>
      <c r="Q112" s="138"/>
      <c r="R112" s="138"/>
      <c r="S112" s="138"/>
      <c r="T112" s="138"/>
      <c r="U112" s="138"/>
      <c r="V112" s="150" t="e">
        <f t="shared" si="7"/>
        <v>#N/A</v>
      </c>
      <c r="W112" s="150" t="e">
        <f t="shared" si="7"/>
        <v>#N/A</v>
      </c>
      <c r="X112" s="150" t="e">
        <f t="shared" si="7"/>
        <v>#N/A</v>
      </c>
      <c r="Y112" s="150" t="e">
        <f t="shared" si="6"/>
        <v>#N/A</v>
      </c>
    </row>
    <row r="113" spans="1:25">
      <c r="A113" s="134"/>
      <c r="B113" s="158">
        <f t="shared" si="8"/>
        <v>38087</v>
      </c>
      <c r="C113" s="159" t="str">
        <f t="shared" si="9"/>
        <v/>
      </c>
      <c r="D113" s="159" t="str">
        <f t="shared" si="10"/>
        <v/>
      </c>
      <c r="E113" s="159" t="str">
        <f t="shared" si="11"/>
        <v/>
      </c>
      <c r="F113" s="159" t="str">
        <f t="shared" si="12"/>
        <v/>
      </c>
      <c r="G113" s="137"/>
      <c r="H113" s="137"/>
      <c r="I113" s="137"/>
      <c r="J113" s="137"/>
      <c r="K113" s="160"/>
      <c r="L113" s="160"/>
      <c r="M113" s="137"/>
      <c r="N113" s="138"/>
      <c r="O113" s="138"/>
      <c r="P113" s="138"/>
      <c r="Q113" s="138"/>
      <c r="R113" s="138"/>
      <c r="S113" s="138"/>
      <c r="T113" s="138"/>
      <c r="U113" s="138"/>
      <c r="V113" s="150" t="e">
        <f t="shared" si="7"/>
        <v>#N/A</v>
      </c>
      <c r="W113" s="150" t="e">
        <f t="shared" si="7"/>
        <v>#N/A</v>
      </c>
      <c r="X113" s="150" t="e">
        <f t="shared" si="7"/>
        <v>#N/A</v>
      </c>
      <c r="Y113" s="150" t="e">
        <f t="shared" si="6"/>
        <v>#N/A</v>
      </c>
    </row>
    <row r="114" spans="1:25">
      <c r="A114" s="134"/>
      <c r="B114" s="158">
        <f t="shared" si="8"/>
        <v>38088</v>
      </c>
      <c r="C114" s="159" t="str">
        <f t="shared" si="9"/>
        <v/>
      </c>
      <c r="D114" s="159" t="str">
        <f t="shared" si="10"/>
        <v/>
      </c>
      <c r="E114" s="159" t="str">
        <f t="shared" si="11"/>
        <v/>
      </c>
      <c r="F114" s="159" t="str">
        <f t="shared" si="12"/>
        <v/>
      </c>
      <c r="G114" s="137"/>
      <c r="H114" s="137"/>
      <c r="I114" s="137"/>
      <c r="J114" s="137"/>
      <c r="K114" s="160"/>
      <c r="L114" s="160"/>
      <c r="M114" s="137"/>
      <c r="N114" s="138"/>
      <c r="O114" s="138"/>
      <c r="P114" s="138"/>
      <c r="Q114" s="138"/>
      <c r="R114" s="138"/>
      <c r="S114" s="138"/>
      <c r="T114" s="138"/>
      <c r="U114" s="138"/>
      <c r="V114" s="150" t="e">
        <f t="shared" si="7"/>
        <v>#N/A</v>
      </c>
      <c r="W114" s="150" t="e">
        <f t="shared" si="7"/>
        <v>#N/A</v>
      </c>
      <c r="X114" s="150" t="e">
        <f t="shared" si="7"/>
        <v>#N/A</v>
      </c>
      <c r="Y114" s="150" t="e">
        <f t="shared" si="6"/>
        <v>#N/A</v>
      </c>
    </row>
    <row r="115" spans="1:25">
      <c r="A115" s="134"/>
      <c r="B115" s="158">
        <f t="shared" si="8"/>
        <v>38089</v>
      </c>
      <c r="C115" s="159" t="str">
        <f t="shared" si="9"/>
        <v/>
      </c>
      <c r="D115" s="159" t="str">
        <f t="shared" si="10"/>
        <v/>
      </c>
      <c r="E115" s="159" t="str">
        <f t="shared" si="11"/>
        <v/>
      </c>
      <c r="F115" s="159" t="str">
        <f t="shared" si="12"/>
        <v/>
      </c>
      <c r="G115" s="137"/>
      <c r="H115" s="137"/>
      <c r="I115" s="137"/>
      <c r="J115" s="137"/>
      <c r="K115" s="160"/>
      <c r="L115" s="160"/>
      <c r="M115" s="137"/>
      <c r="N115" s="138"/>
      <c r="O115" s="138"/>
      <c r="P115" s="138"/>
      <c r="Q115" s="138"/>
      <c r="R115" s="138"/>
      <c r="S115" s="138"/>
      <c r="T115" s="138"/>
      <c r="U115" s="138"/>
      <c r="V115" s="150" t="e">
        <f t="shared" si="7"/>
        <v>#N/A</v>
      </c>
      <c r="W115" s="150" t="e">
        <f t="shared" si="7"/>
        <v>#N/A</v>
      </c>
      <c r="X115" s="150" t="e">
        <f t="shared" si="7"/>
        <v>#N/A</v>
      </c>
      <c r="Y115" s="150" t="e">
        <f t="shared" si="6"/>
        <v>#N/A</v>
      </c>
    </row>
    <row r="116" spans="1:25">
      <c r="A116" s="134"/>
      <c r="B116" s="158">
        <f t="shared" si="8"/>
        <v>38090</v>
      </c>
      <c r="C116" s="159" t="str">
        <f t="shared" si="9"/>
        <v/>
      </c>
      <c r="D116" s="159" t="str">
        <f t="shared" si="10"/>
        <v/>
      </c>
      <c r="E116" s="159" t="str">
        <f t="shared" si="11"/>
        <v/>
      </c>
      <c r="F116" s="159" t="str">
        <f t="shared" si="12"/>
        <v/>
      </c>
      <c r="G116" s="137"/>
      <c r="H116" s="137"/>
      <c r="I116" s="137"/>
      <c r="J116" s="137"/>
      <c r="K116" s="160"/>
      <c r="L116" s="160"/>
      <c r="M116" s="137"/>
      <c r="N116" s="138"/>
      <c r="O116" s="138"/>
      <c r="P116" s="138"/>
      <c r="Q116" s="138"/>
      <c r="R116" s="138"/>
      <c r="S116" s="138"/>
      <c r="T116" s="138"/>
      <c r="U116" s="138"/>
      <c r="V116" s="150" t="e">
        <f t="shared" si="7"/>
        <v>#N/A</v>
      </c>
      <c r="W116" s="150" t="e">
        <f t="shared" si="7"/>
        <v>#N/A</v>
      </c>
      <c r="X116" s="150" t="e">
        <f t="shared" si="7"/>
        <v>#N/A</v>
      </c>
      <c r="Y116" s="150" t="e">
        <f t="shared" si="6"/>
        <v>#N/A</v>
      </c>
    </row>
    <row r="117" spans="1:25">
      <c r="A117" s="134"/>
      <c r="B117" s="158">
        <f t="shared" si="8"/>
        <v>38091</v>
      </c>
      <c r="C117" s="159" t="str">
        <f t="shared" si="9"/>
        <v/>
      </c>
      <c r="D117" s="159" t="str">
        <f t="shared" si="10"/>
        <v/>
      </c>
      <c r="E117" s="159" t="str">
        <f t="shared" si="11"/>
        <v/>
      </c>
      <c r="F117" s="159" t="str">
        <f t="shared" si="12"/>
        <v/>
      </c>
      <c r="G117" s="137"/>
      <c r="H117" s="137"/>
      <c r="I117" s="137"/>
      <c r="J117" s="137"/>
      <c r="K117" s="160"/>
      <c r="L117" s="160"/>
      <c r="M117" s="137"/>
      <c r="N117" s="138"/>
      <c r="O117" s="138"/>
      <c r="P117" s="138"/>
      <c r="Q117" s="138"/>
      <c r="R117" s="138"/>
      <c r="S117" s="138"/>
      <c r="T117" s="138"/>
      <c r="U117" s="138"/>
      <c r="V117" s="150" t="e">
        <f t="shared" si="7"/>
        <v>#N/A</v>
      </c>
      <c r="W117" s="150" t="e">
        <f t="shared" si="7"/>
        <v>#N/A</v>
      </c>
      <c r="X117" s="150" t="e">
        <f t="shared" si="7"/>
        <v>#N/A</v>
      </c>
      <c r="Y117" s="150" t="e">
        <f t="shared" si="6"/>
        <v>#N/A</v>
      </c>
    </row>
    <row r="118" spans="1:25">
      <c r="A118" s="134"/>
      <c r="B118" s="158">
        <f t="shared" si="8"/>
        <v>38092</v>
      </c>
      <c r="C118" s="159">
        <f t="shared" si="9"/>
        <v>480</v>
      </c>
      <c r="D118" s="159">
        <f t="shared" si="10"/>
        <v>420</v>
      </c>
      <c r="E118" s="159">
        <f t="shared" si="11"/>
        <v>30</v>
      </c>
      <c r="F118" s="159">
        <f t="shared" si="12"/>
        <v>450</v>
      </c>
      <c r="G118" s="137"/>
      <c r="H118" s="137"/>
      <c r="I118" s="137"/>
      <c r="J118" s="137"/>
      <c r="K118" s="160"/>
      <c r="L118" s="160"/>
      <c r="M118" s="137"/>
      <c r="N118" s="138"/>
      <c r="O118" s="138"/>
      <c r="P118" s="138"/>
      <c r="Q118" s="138"/>
      <c r="R118" s="138"/>
      <c r="S118" s="138"/>
      <c r="T118" s="138"/>
      <c r="U118" s="138"/>
      <c r="V118" s="150">
        <f t="shared" si="7"/>
        <v>480</v>
      </c>
      <c r="W118" s="150">
        <f t="shared" si="7"/>
        <v>420</v>
      </c>
      <c r="X118" s="150">
        <f t="shared" si="7"/>
        <v>30</v>
      </c>
      <c r="Y118" s="150">
        <f t="shared" si="6"/>
        <v>450</v>
      </c>
    </row>
    <row r="119" spans="1:25">
      <c r="A119" s="134"/>
      <c r="B119" s="158">
        <f t="shared" si="8"/>
        <v>38093</v>
      </c>
      <c r="C119" s="159">
        <f t="shared" si="9"/>
        <v>480</v>
      </c>
      <c r="D119" s="159">
        <f t="shared" si="10"/>
        <v>420</v>
      </c>
      <c r="E119" s="159">
        <f t="shared" si="11"/>
        <v>30</v>
      </c>
      <c r="F119" s="159">
        <f t="shared" si="12"/>
        <v>450</v>
      </c>
      <c r="G119" s="137"/>
      <c r="H119" s="137"/>
      <c r="I119" s="137"/>
      <c r="J119" s="137"/>
      <c r="K119" s="160"/>
      <c r="L119" s="160"/>
      <c r="M119" s="137"/>
      <c r="N119" s="138"/>
      <c r="O119" s="138"/>
      <c r="P119" s="138"/>
      <c r="Q119" s="138"/>
      <c r="R119" s="138"/>
      <c r="S119" s="138"/>
      <c r="T119" s="138"/>
      <c r="U119" s="138"/>
      <c r="V119" s="150">
        <f t="shared" si="7"/>
        <v>480</v>
      </c>
      <c r="W119" s="150">
        <f t="shared" si="7"/>
        <v>420</v>
      </c>
      <c r="X119" s="150">
        <f t="shared" si="7"/>
        <v>30</v>
      </c>
      <c r="Y119" s="150">
        <f t="shared" si="6"/>
        <v>450</v>
      </c>
    </row>
    <row r="120" spans="1:25">
      <c r="A120" s="134"/>
      <c r="B120" s="158">
        <f t="shared" si="8"/>
        <v>38094</v>
      </c>
      <c r="C120" s="159">
        <f t="shared" si="9"/>
        <v>480</v>
      </c>
      <c r="D120" s="159">
        <f t="shared" si="10"/>
        <v>420</v>
      </c>
      <c r="E120" s="159">
        <f t="shared" si="11"/>
        <v>30</v>
      </c>
      <c r="F120" s="159">
        <f t="shared" si="12"/>
        <v>450</v>
      </c>
      <c r="G120" s="137"/>
      <c r="H120" s="137"/>
      <c r="I120" s="137"/>
      <c r="J120" s="137"/>
      <c r="K120" s="160"/>
      <c r="L120" s="160"/>
      <c r="M120" s="137"/>
      <c r="N120" s="138"/>
      <c r="O120" s="138"/>
      <c r="P120" s="138"/>
      <c r="Q120" s="138"/>
      <c r="R120" s="138"/>
      <c r="S120" s="138"/>
      <c r="T120" s="138"/>
      <c r="U120" s="138"/>
      <c r="V120" s="150">
        <f t="shared" si="7"/>
        <v>480</v>
      </c>
      <c r="W120" s="150">
        <f t="shared" si="7"/>
        <v>420</v>
      </c>
      <c r="X120" s="150">
        <f t="shared" si="7"/>
        <v>30</v>
      </c>
      <c r="Y120" s="150">
        <f t="shared" si="6"/>
        <v>450</v>
      </c>
    </row>
    <row r="121" spans="1:25">
      <c r="A121" s="134"/>
      <c r="B121" s="158">
        <f t="shared" si="8"/>
        <v>38095</v>
      </c>
      <c r="C121" s="159">
        <f t="shared" si="9"/>
        <v>480</v>
      </c>
      <c r="D121" s="159">
        <f t="shared" si="10"/>
        <v>420</v>
      </c>
      <c r="E121" s="159">
        <f t="shared" si="11"/>
        <v>30</v>
      </c>
      <c r="F121" s="159">
        <f t="shared" si="12"/>
        <v>450</v>
      </c>
      <c r="G121" s="137"/>
      <c r="H121" s="137"/>
      <c r="I121" s="137"/>
      <c r="J121" s="137"/>
      <c r="K121" s="160"/>
      <c r="L121" s="160"/>
      <c r="M121" s="137"/>
      <c r="N121" s="138"/>
      <c r="O121" s="138"/>
      <c r="P121" s="138"/>
      <c r="Q121" s="138"/>
      <c r="R121" s="138"/>
      <c r="S121" s="138"/>
      <c r="T121" s="138"/>
      <c r="U121" s="138"/>
      <c r="V121" s="150">
        <f t="shared" si="7"/>
        <v>480</v>
      </c>
      <c r="W121" s="150">
        <f t="shared" si="7"/>
        <v>420</v>
      </c>
      <c r="X121" s="150">
        <f t="shared" si="7"/>
        <v>30</v>
      </c>
      <c r="Y121" s="150">
        <f t="shared" si="6"/>
        <v>450</v>
      </c>
    </row>
    <row r="122" spans="1:25">
      <c r="A122" s="134"/>
      <c r="B122" s="158">
        <f t="shared" si="8"/>
        <v>38096</v>
      </c>
      <c r="C122" s="159">
        <f t="shared" si="9"/>
        <v>480</v>
      </c>
      <c r="D122" s="159">
        <f t="shared" si="10"/>
        <v>420</v>
      </c>
      <c r="E122" s="159">
        <f t="shared" si="11"/>
        <v>30</v>
      </c>
      <c r="F122" s="159">
        <f t="shared" si="12"/>
        <v>450</v>
      </c>
      <c r="G122" s="137"/>
      <c r="H122" s="137"/>
      <c r="I122" s="137"/>
      <c r="J122" s="137"/>
      <c r="K122" s="160"/>
      <c r="L122" s="160"/>
      <c r="M122" s="137"/>
      <c r="N122" s="138"/>
      <c r="O122" s="138"/>
      <c r="P122" s="138"/>
      <c r="Q122" s="138"/>
      <c r="R122" s="138"/>
      <c r="S122" s="138"/>
      <c r="T122" s="138"/>
      <c r="U122" s="138"/>
      <c r="V122" s="150">
        <f t="shared" si="7"/>
        <v>480</v>
      </c>
      <c r="W122" s="150">
        <f t="shared" si="7"/>
        <v>420</v>
      </c>
      <c r="X122" s="150">
        <f t="shared" si="7"/>
        <v>30</v>
      </c>
      <c r="Y122" s="150">
        <f t="shared" si="6"/>
        <v>450</v>
      </c>
    </row>
    <row r="123" spans="1:25">
      <c r="A123" s="134"/>
      <c r="B123" s="158">
        <f t="shared" si="8"/>
        <v>38097</v>
      </c>
      <c r="C123" s="159">
        <f t="shared" si="9"/>
        <v>480</v>
      </c>
      <c r="D123" s="159">
        <f t="shared" si="10"/>
        <v>420</v>
      </c>
      <c r="E123" s="159">
        <f t="shared" si="11"/>
        <v>30</v>
      </c>
      <c r="F123" s="159">
        <f t="shared" si="12"/>
        <v>450</v>
      </c>
      <c r="G123" s="137"/>
      <c r="H123" s="137"/>
      <c r="I123" s="137"/>
      <c r="J123" s="137"/>
      <c r="K123" s="160"/>
      <c r="L123" s="160"/>
      <c r="M123" s="137"/>
      <c r="N123" s="138"/>
      <c r="O123" s="138"/>
      <c r="P123" s="138"/>
      <c r="Q123" s="138"/>
      <c r="R123" s="138"/>
      <c r="S123" s="138"/>
      <c r="T123" s="138"/>
      <c r="U123" s="138"/>
      <c r="V123" s="150">
        <f t="shared" si="7"/>
        <v>480</v>
      </c>
      <c r="W123" s="150">
        <f t="shared" si="7"/>
        <v>420</v>
      </c>
      <c r="X123" s="150">
        <f t="shared" si="7"/>
        <v>30</v>
      </c>
      <c r="Y123" s="150">
        <f t="shared" si="6"/>
        <v>450</v>
      </c>
    </row>
    <row r="124" spans="1:25">
      <c r="A124" s="134"/>
      <c r="B124" s="158">
        <f t="shared" si="8"/>
        <v>38098</v>
      </c>
      <c r="C124" s="159">
        <f t="shared" si="9"/>
        <v>480</v>
      </c>
      <c r="D124" s="159">
        <f t="shared" si="10"/>
        <v>420</v>
      </c>
      <c r="E124" s="159">
        <f t="shared" si="11"/>
        <v>30</v>
      </c>
      <c r="F124" s="159">
        <f t="shared" si="12"/>
        <v>450</v>
      </c>
      <c r="G124" s="137"/>
      <c r="H124" s="137"/>
      <c r="I124" s="137"/>
      <c r="J124" s="137"/>
      <c r="K124" s="160"/>
      <c r="L124" s="160"/>
      <c r="M124" s="137"/>
      <c r="N124" s="138"/>
      <c r="O124" s="138"/>
      <c r="P124" s="138"/>
      <c r="Q124" s="138"/>
      <c r="R124" s="138"/>
      <c r="S124" s="138"/>
      <c r="T124" s="138"/>
      <c r="U124" s="138"/>
      <c r="V124" s="150">
        <f t="shared" si="7"/>
        <v>480</v>
      </c>
      <c r="W124" s="150">
        <f t="shared" si="7"/>
        <v>420</v>
      </c>
      <c r="X124" s="150">
        <f t="shared" si="7"/>
        <v>30</v>
      </c>
      <c r="Y124" s="150">
        <f t="shared" si="6"/>
        <v>450</v>
      </c>
    </row>
    <row r="125" spans="1:25">
      <c r="A125" s="134"/>
      <c r="B125" s="158">
        <f t="shared" si="8"/>
        <v>38099</v>
      </c>
      <c r="C125" s="159">
        <f t="shared" si="9"/>
        <v>480</v>
      </c>
      <c r="D125" s="159">
        <f t="shared" si="10"/>
        <v>420</v>
      </c>
      <c r="E125" s="159">
        <f t="shared" si="11"/>
        <v>30</v>
      </c>
      <c r="F125" s="159">
        <f t="shared" si="12"/>
        <v>450</v>
      </c>
      <c r="G125" s="137"/>
      <c r="H125" s="137"/>
      <c r="I125" s="137"/>
      <c r="J125" s="137"/>
      <c r="K125" s="160"/>
      <c r="L125" s="160"/>
      <c r="M125" s="137"/>
      <c r="N125" s="138"/>
      <c r="O125" s="138"/>
      <c r="P125" s="138"/>
      <c r="Q125" s="138"/>
      <c r="R125" s="138"/>
      <c r="S125" s="138"/>
      <c r="T125" s="138"/>
      <c r="U125" s="138"/>
      <c r="V125" s="150">
        <f t="shared" si="7"/>
        <v>480</v>
      </c>
      <c r="W125" s="150">
        <f t="shared" si="7"/>
        <v>420</v>
      </c>
      <c r="X125" s="150">
        <f t="shared" si="7"/>
        <v>30</v>
      </c>
      <c r="Y125" s="150">
        <f t="shared" si="6"/>
        <v>450</v>
      </c>
    </row>
    <row r="126" spans="1:25">
      <c r="A126" s="134"/>
      <c r="B126" s="158">
        <f t="shared" si="8"/>
        <v>38100</v>
      </c>
      <c r="C126" s="159">
        <f t="shared" si="9"/>
        <v>480</v>
      </c>
      <c r="D126" s="159">
        <f t="shared" si="10"/>
        <v>420</v>
      </c>
      <c r="E126" s="159">
        <f t="shared" si="11"/>
        <v>30</v>
      </c>
      <c r="F126" s="159">
        <f t="shared" si="12"/>
        <v>450</v>
      </c>
      <c r="G126" s="137"/>
      <c r="H126" s="137"/>
      <c r="I126" s="137"/>
      <c r="J126" s="137"/>
      <c r="K126" s="160"/>
      <c r="L126" s="160"/>
      <c r="M126" s="137"/>
      <c r="N126" s="138"/>
      <c r="O126" s="138"/>
      <c r="P126" s="138"/>
      <c r="Q126" s="138"/>
      <c r="R126" s="138"/>
      <c r="S126" s="138"/>
      <c r="T126" s="138"/>
      <c r="U126" s="138"/>
      <c r="V126" s="150">
        <f t="shared" si="7"/>
        <v>480</v>
      </c>
      <c r="W126" s="150">
        <f t="shared" si="7"/>
        <v>420</v>
      </c>
      <c r="X126" s="150">
        <f t="shared" si="7"/>
        <v>30</v>
      </c>
      <c r="Y126" s="150">
        <f t="shared" si="6"/>
        <v>450</v>
      </c>
    </row>
    <row r="127" spans="1:25">
      <c r="A127" s="134"/>
      <c r="B127" s="158">
        <f t="shared" si="8"/>
        <v>38101</v>
      </c>
      <c r="C127" s="159">
        <f t="shared" si="9"/>
        <v>480</v>
      </c>
      <c r="D127" s="159">
        <f t="shared" si="10"/>
        <v>420</v>
      </c>
      <c r="E127" s="159">
        <f t="shared" si="11"/>
        <v>30</v>
      </c>
      <c r="F127" s="159">
        <f t="shared" si="12"/>
        <v>450</v>
      </c>
      <c r="G127" s="137"/>
      <c r="H127" s="137"/>
      <c r="I127" s="137"/>
      <c r="J127" s="137"/>
      <c r="K127" s="160"/>
      <c r="L127" s="160"/>
      <c r="M127" s="137"/>
      <c r="N127" s="138"/>
      <c r="O127" s="138"/>
      <c r="P127" s="138"/>
      <c r="Q127" s="138"/>
      <c r="R127" s="138"/>
      <c r="S127" s="138"/>
      <c r="T127" s="138"/>
      <c r="U127" s="138"/>
      <c r="V127" s="150">
        <f t="shared" si="7"/>
        <v>480</v>
      </c>
      <c r="W127" s="150">
        <f t="shared" si="7"/>
        <v>420</v>
      </c>
      <c r="X127" s="150">
        <f t="shared" si="7"/>
        <v>30</v>
      </c>
      <c r="Y127" s="150">
        <f t="shared" si="6"/>
        <v>450</v>
      </c>
    </row>
    <row r="128" spans="1:25">
      <c r="A128" s="134"/>
      <c r="B128" s="158">
        <f t="shared" si="8"/>
        <v>38102</v>
      </c>
      <c r="C128" s="159">
        <f t="shared" si="9"/>
        <v>480</v>
      </c>
      <c r="D128" s="159">
        <f t="shared" si="10"/>
        <v>420</v>
      </c>
      <c r="E128" s="159">
        <f t="shared" si="11"/>
        <v>30</v>
      </c>
      <c r="F128" s="159">
        <f t="shared" si="12"/>
        <v>450</v>
      </c>
      <c r="G128" s="137"/>
      <c r="H128" s="137"/>
      <c r="I128" s="137"/>
      <c r="J128" s="137"/>
      <c r="K128" s="160"/>
      <c r="L128" s="160"/>
      <c r="M128" s="137"/>
      <c r="N128" s="138"/>
      <c r="O128" s="138"/>
      <c r="P128" s="138"/>
      <c r="Q128" s="138"/>
      <c r="R128" s="138"/>
      <c r="S128" s="138"/>
      <c r="T128" s="138"/>
      <c r="U128" s="138"/>
      <c r="V128" s="150">
        <f t="shared" si="7"/>
        <v>480</v>
      </c>
      <c r="W128" s="150">
        <f t="shared" si="7"/>
        <v>420</v>
      </c>
      <c r="X128" s="150">
        <f t="shared" si="7"/>
        <v>30</v>
      </c>
      <c r="Y128" s="150">
        <f t="shared" si="6"/>
        <v>450</v>
      </c>
    </row>
    <row r="129" spans="1:25">
      <c r="A129" s="134"/>
      <c r="B129" s="158">
        <f t="shared" si="8"/>
        <v>38103</v>
      </c>
      <c r="C129" s="159">
        <f t="shared" si="9"/>
        <v>480</v>
      </c>
      <c r="D129" s="159">
        <f t="shared" si="10"/>
        <v>420</v>
      </c>
      <c r="E129" s="159">
        <f t="shared" si="11"/>
        <v>30</v>
      </c>
      <c r="F129" s="159">
        <f t="shared" si="12"/>
        <v>450</v>
      </c>
      <c r="G129" s="137"/>
      <c r="H129" s="137"/>
      <c r="I129" s="137"/>
      <c r="J129" s="137"/>
      <c r="K129" s="160"/>
      <c r="L129" s="160"/>
      <c r="M129" s="137"/>
      <c r="N129" s="138"/>
      <c r="O129" s="138"/>
      <c r="P129" s="138"/>
      <c r="Q129" s="138"/>
      <c r="R129" s="138"/>
      <c r="S129" s="138"/>
      <c r="T129" s="138"/>
      <c r="U129" s="138"/>
      <c r="V129" s="150">
        <f t="shared" si="7"/>
        <v>480</v>
      </c>
      <c r="W129" s="150">
        <f t="shared" si="7"/>
        <v>420</v>
      </c>
      <c r="X129" s="150">
        <f t="shared" si="7"/>
        <v>30</v>
      </c>
      <c r="Y129" s="150">
        <f t="shared" si="6"/>
        <v>450</v>
      </c>
    </row>
    <row r="130" spans="1:25">
      <c r="A130" s="134"/>
      <c r="B130" s="158">
        <f t="shared" si="8"/>
        <v>38104</v>
      </c>
      <c r="C130" s="159">
        <f t="shared" si="9"/>
        <v>480</v>
      </c>
      <c r="D130" s="159">
        <f t="shared" si="10"/>
        <v>420</v>
      </c>
      <c r="E130" s="159">
        <f t="shared" si="11"/>
        <v>30</v>
      </c>
      <c r="F130" s="159">
        <f t="shared" si="12"/>
        <v>450</v>
      </c>
      <c r="G130" s="137"/>
      <c r="H130" s="137"/>
      <c r="I130" s="137"/>
      <c r="J130" s="137"/>
      <c r="K130" s="160"/>
      <c r="L130" s="160"/>
      <c r="M130" s="137"/>
      <c r="N130" s="138"/>
      <c r="O130" s="138"/>
      <c r="P130" s="138"/>
      <c r="Q130" s="138"/>
      <c r="R130" s="138"/>
      <c r="S130" s="138"/>
      <c r="T130" s="138"/>
      <c r="U130" s="138"/>
      <c r="V130" s="150">
        <f t="shared" si="7"/>
        <v>480</v>
      </c>
      <c r="W130" s="150">
        <f t="shared" si="7"/>
        <v>420</v>
      </c>
      <c r="X130" s="150">
        <f t="shared" si="7"/>
        <v>30</v>
      </c>
      <c r="Y130" s="150">
        <f t="shared" si="6"/>
        <v>450</v>
      </c>
    </row>
    <row r="131" spans="1:25">
      <c r="A131" s="134"/>
      <c r="B131" s="158">
        <f t="shared" si="8"/>
        <v>38105</v>
      </c>
      <c r="C131" s="159">
        <f t="shared" si="9"/>
        <v>480</v>
      </c>
      <c r="D131" s="159">
        <f t="shared" si="10"/>
        <v>420</v>
      </c>
      <c r="E131" s="159">
        <f t="shared" si="11"/>
        <v>30</v>
      </c>
      <c r="F131" s="159">
        <f t="shared" si="12"/>
        <v>450</v>
      </c>
      <c r="G131" s="137"/>
      <c r="H131" s="137"/>
      <c r="I131" s="137"/>
      <c r="J131" s="137"/>
      <c r="K131" s="160"/>
      <c r="L131" s="160"/>
      <c r="M131" s="137"/>
      <c r="N131" s="138"/>
      <c r="O131" s="138"/>
      <c r="P131" s="138"/>
      <c r="Q131" s="138"/>
      <c r="R131" s="138"/>
      <c r="S131" s="138"/>
      <c r="T131" s="138"/>
      <c r="U131" s="138"/>
      <c r="V131" s="150">
        <f t="shared" si="7"/>
        <v>480</v>
      </c>
      <c r="W131" s="150">
        <f t="shared" si="7"/>
        <v>420</v>
      </c>
      <c r="X131" s="150">
        <f t="shared" si="7"/>
        <v>30</v>
      </c>
      <c r="Y131" s="150">
        <f t="shared" si="6"/>
        <v>450</v>
      </c>
    </row>
    <row r="132" spans="1:25">
      <c r="A132" s="134"/>
      <c r="B132" s="158">
        <f t="shared" si="8"/>
        <v>38106</v>
      </c>
      <c r="C132" s="159">
        <f t="shared" si="9"/>
        <v>480</v>
      </c>
      <c r="D132" s="159">
        <f t="shared" si="10"/>
        <v>420</v>
      </c>
      <c r="E132" s="159">
        <f t="shared" si="11"/>
        <v>30</v>
      </c>
      <c r="F132" s="159">
        <f t="shared" si="12"/>
        <v>450</v>
      </c>
      <c r="G132" s="137"/>
      <c r="H132" s="137"/>
      <c r="I132" s="137"/>
      <c r="J132" s="137"/>
      <c r="K132" s="160"/>
      <c r="L132" s="160"/>
      <c r="M132" s="137"/>
      <c r="N132" s="138"/>
      <c r="O132" s="138"/>
      <c r="P132" s="138"/>
      <c r="Q132" s="138"/>
      <c r="R132" s="138"/>
      <c r="S132" s="138"/>
      <c r="T132" s="138"/>
      <c r="U132" s="138"/>
      <c r="V132" s="150">
        <f t="shared" si="7"/>
        <v>480</v>
      </c>
      <c r="W132" s="150">
        <f t="shared" si="7"/>
        <v>420</v>
      </c>
      <c r="X132" s="150">
        <f t="shared" si="7"/>
        <v>30</v>
      </c>
      <c r="Y132" s="150">
        <f t="shared" si="6"/>
        <v>450</v>
      </c>
    </row>
    <row r="133" spans="1:25">
      <c r="A133" s="134"/>
      <c r="B133" s="158">
        <f t="shared" si="8"/>
        <v>38107</v>
      </c>
      <c r="C133" s="159">
        <f t="shared" si="9"/>
        <v>480</v>
      </c>
      <c r="D133" s="159">
        <f t="shared" si="10"/>
        <v>420</v>
      </c>
      <c r="E133" s="159">
        <f t="shared" si="11"/>
        <v>30</v>
      </c>
      <c r="F133" s="159">
        <f t="shared" si="12"/>
        <v>450</v>
      </c>
      <c r="G133" s="137"/>
      <c r="H133" s="137"/>
      <c r="I133" s="137"/>
      <c r="J133" s="137"/>
      <c r="K133" s="160"/>
      <c r="L133" s="160"/>
      <c r="M133" s="137"/>
      <c r="N133" s="138"/>
      <c r="O133" s="138"/>
      <c r="P133" s="138"/>
      <c r="Q133" s="138"/>
      <c r="R133" s="138"/>
      <c r="S133" s="138"/>
      <c r="T133" s="138"/>
      <c r="U133" s="138"/>
      <c r="V133" s="150">
        <f t="shared" si="7"/>
        <v>480</v>
      </c>
      <c r="W133" s="150">
        <f t="shared" si="7"/>
        <v>420</v>
      </c>
      <c r="X133" s="150">
        <f t="shared" si="7"/>
        <v>30</v>
      </c>
      <c r="Y133" s="150">
        <f t="shared" si="6"/>
        <v>450</v>
      </c>
    </row>
    <row r="134" spans="1:25">
      <c r="A134" s="134"/>
      <c r="B134" s="158">
        <f t="shared" si="8"/>
        <v>38108</v>
      </c>
      <c r="C134" s="159">
        <f t="shared" si="9"/>
        <v>480</v>
      </c>
      <c r="D134" s="159">
        <f t="shared" si="10"/>
        <v>420</v>
      </c>
      <c r="E134" s="159">
        <f t="shared" si="11"/>
        <v>30</v>
      </c>
      <c r="F134" s="159">
        <f t="shared" si="12"/>
        <v>450</v>
      </c>
      <c r="G134" s="137"/>
      <c r="H134" s="137"/>
      <c r="I134" s="137"/>
      <c r="J134" s="137"/>
      <c r="K134" s="160"/>
      <c r="L134" s="160"/>
      <c r="M134" s="137"/>
      <c r="N134" s="138"/>
      <c r="O134" s="138"/>
      <c r="P134" s="138"/>
      <c r="Q134" s="138"/>
      <c r="R134" s="138"/>
      <c r="S134" s="138"/>
      <c r="T134" s="138"/>
      <c r="U134" s="138"/>
      <c r="V134" s="150">
        <f t="shared" si="7"/>
        <v>480</v>
      </c>
      <c r="W134" s="150">
        <f t="shared" si="7"/>
        <v>420</v>
      </c>
      <c r="X134" s="150">
        <f t="shared" si="7"/>
        <v>30</v>
      </c>
      <c r="Y134" s="150">
        <f t="shared" si="6"/>
        <v>450</v>
      </c>
    </row>
    <row r="135" spans="1:25">
      <c r="A135" s="134"/>
      <c r="B135" s="158">
        <f t="shared" si="8"/>
        <v>38109</v>
      </c>
      <c r="C135" s="159">
        <f t="shared" si="9"/>
        <v>480</v>
      </c>
      <c r="D135" s="159">
        <f t="shared" si="10"/>
        <v>420</v>
      </c>
      <c r="E135" s="159">
        <f t="shared" si="11"/>
        <v>30</v>
      </c>
      <c r="F135" s="159">
        <f t="shared" si="12"/>
        <v>450</v>
      </c>
      <c r="G135" s="137"/>
      <c r="H135" s="137"/>
      <c r="I135" s="137"/>
      <c r="J135" s="137"/>
      <c r="K135" s="160"/>
      <c r="L135" s="160"/>
      <c r="M135" s="137"/>
      <c r="N135" s="138"/>
      <c r="O135" s="138"/>
      <c r="P135" s="138"/>
      <c r="Q135" s="138"/>
      <c r="R135" s="138"/>
      <c r="S135" s="138"/>
      <c r="T135" s="138"/>
      <c r="U135" s="138"/>
      <c r="V135" s="150">
        <f t="shared" si="7"/>
        <v>480</v>
      </c>
      <c r="W135" s="150">
        <f t="shared" si="7"/>
        <v>420</v>
      </c>
      <c r="X135" s="150">
        <f t="shared" si="7"/>
        <v>30</v>
      </c>
      <c r="Y135" s="150">
        <f t="shared" si="6"/>
        <v>450</v>
      </c>
    </row>
    <row r="136" spans="1:25">
      <c r="A136" s="134"/>
      <c r="B136" s="158">
        <f t="shared" si="8"/>
        <v>38110</v>
      </c>
      <c r="C136" s="159">
        <f t="shared" si="9"/>
        <v>480</v>
      </c>
      <c r="D136" s="159">
        <f t="shared" si="10"/>
        <v>420</v>
      </c>
      <c r="E136" s="159">
        <f t="shared" si="11"/>
        <v>30</v>
      </c>
      <c r="F136" s="159">
        <f t="shared" si="12"/>
        <v>450</v>
      </c>
      <c r="G136" s="137"/>
      <c r="H136" s="137"/>
      <c r="I136" s="137"/>
      <c r="J136" s="137"/>
      <c r="K136" s="160"/>
      <c r="L136" s="160"/>
      <c r="M136" s="137"/>
      <c r="N136" s="138"/>
      <c r="O136" s="138"/>
      <c r="P136" s="138"/>
      <c r="Q136" s="138"/>
      <c r="R136" s="138"/>
      <c r="S136" s="138"/>
      <c r="T136" s="138"/>
      <c r="U136" s="138"/>
      <c r="V136" s="150">
        <f t="shared" si="7"/>
        <v>480</v>
      </c>
      <c r="W136" s="150">
        <f t="shared" si="7"/>
        <v>420</v>
      </c>
      <c r="X136" s="150">
        <f t="shared" si="7"/>
        <v>30</v>
      </c>
      <c r="Y136" s="150">
        <f t="shared" si="6"/>
        <v>450</v>
      </c>
    </row>
    <row r="137" spans="1:25">
      <c r="A137" s="134"/>
      <c r="B137" s="158">
        <f t="shared" si="8"/>
        <v>38111</v>
      </c>
      <c r="C137" s="159">
        <f t="shared" si="9"/>
        <v>480</v>
      </c>
      <c r="D137" s="159">
        <f t="shared" si="10"/>
        <v>420</v>
      </c>
      <c r="E137" s="159">
        <f t="shared" si="11"/>
        <v>30</v>
      </c>
      <c r="F137" s="159">
        <f t="shared" si="12"/>
        <v>450</v>
      </c>
      <c r="G137" s="137"/>
      <c r="H137" s="137"/>
      <c r="I137" s="137"/>
      <c r="J137" s="137"/>
      <c r="K137" s="160"/>
      <c r="L137" s="160"/>
      <c r="M137" s="137"/>
      <c r="N137" s="138"/>
      <c r="O137" s="138"/>
      <c r="P137" s="138"/>
      <c r="Q137" s="138"/>
      <c r="R137" s="138"/>
      <c r="S137" s="138"/>
      <c r="T137" s="138"/>
      <c r="U137" s="138"/>
      <c r="V137" s="150">
        <f t="shared" si="7"/>
        <v>480</v>
      </c>
      <c r="W137" s="150">
        <f t="shared" si="7"/>
        <v>420</v>
      </c>
      <c r="X137" s="150">
        <f t="shared" si="7"/>
        <v>30</v>
      </c>
      <c r="Y137" s="150">
        <f t="shared" si="6"/>
        <v>450</v>
      </c>
    </row>
    <row r="138" spans="1:25">
      <c r="A138" s="134"/>
      <c r="B138" s="158">
        <f t="shared" si="8"/>
        <v>38112</v>
      </c>
      <c r="C138" s="159">
        <f t="shared" si="9"/>
        <v>480</v>
      </c>
      <c r="D138" s="159">
        <f t="shared" si="10"/>
        <v>420</v>
      </c>
      <c r="E138" s="159">
        <f t="shared" si="11"/>
        <v>30</v>
      </c>
      <c r="F138" s="159">
        <f t="shared" si="12"/>
        <v>450</v>
      </c>
      <c r="G138" s="137"/>
      <c r="H138" s="137"/>
      <c r="I138" s="137"/>
      <c r="J138" s="137"/>
      <c r="K138" s="160"/>
      <c r="L138" s="160"/>
      <c r="M138" s="137"/>
      <c r="N138" s="138"/>
      <c r="O138" s="138"/>
      <c r="P138" s="138"/>
      <c r="Q138" s="138"/>
      <c r="R138" s="138"/>
      <c r="S138" s="138"/>
      <c r="T138" s="138"/>
      <c r="U138" s="138"/>
      <c r="V138" s="150">
        <f t="shared" si="7"/>
        <v>480</v>
      </c>
      <c r="W138" s="150">
        <f t="shared" si="7"/>
        <v>420</v>
      </c>
      <c r="X138" s="150">
        <f t="shared" si="7"/>
        <v>30</v>
      </c>
      <c r="Y138" s="150">
        <f t="shared" si="6"/>
        <v>450</v>
      </c>
    </row>
    <row r="139" spans="1:25">
      <c r="A139" s="134"/>
      <c r="B139" s="158">
        <f t="shared" si="8"/>
        <v>38113</v>
      </c>
      <c r="C139" s="159">
        <f t="shared" si="9"/>
        <v>480</v>
      </c>
      <c r="D139" s="159">
        <f t="shared" si="10"/>
        <v>420</v>
      </c>
      <c r="E139" s="159">
        <f t="shared" si="11"/>
        <v>30</v>
      </c>
      <c r="F139" s="159">
        <f t="shared" si="12"/>
        <v>450</v>
      </c>
      <c r="G139" s="137"/>
      <c r="H139" s="137"/>
      <c r="I139" s="137"/>
      <c r="J139" s="137"/>
      <c r="K139" s="160"/>
      <c r="L139" s="160"/>
      <c r="M139" s="137"/>
      <c r="N139" s="138"/>
      <c r="O139" s="138"/>
      <c r="P139" s="138"/>
      <c r="Q139" s="138"/>
      <c r="R139" s="138"/>
      <c r="S139" s="138"/>
      <c r="T139" s="138"/>
      <c r="U139" s="138"/>
      <c r="V139" s="150">
        <f t="shared" si="7"/>
        <v>480</v>
      </c>
      <c r="W139" s="150">
        <f t="shared" si="7"/>
        <v>420</v>
      </c>
      <c r="X139" s="150">
        <f t="shared" si="7"/>
        <v>30</v>
      </c>
      <c r="Y139" s="150">
        <f t="shared" si="6"/>
        <v>450</v>
      </c>
    </row>
    <row r="140" spans="1:25">
      <c r="A140" s="134"/>
      <c r="B140" s="158">
        <f t="shared" si="8"/>
        <v>38114</v>
      </c>
      <c r="C140" s="159">
        <f t="shared" si="9"/>
        <v>480</v>
      </c>
      <c r="D140" s="159">
        <f t="shared" si="10"/>
        <v>420</v>
      </c>
      <c r="E140" s="159">
        <f t="shared" si="11"/>
        <v>30</v>
      </c>
      <c r="F140" s="159">
        <f t="shared" si="12"/>
        <v>450</v>
      </c>
      <c r="G140" s="137"/>
      <c r="H140" s="137"/>
      <c r="I140" s="137"/>
      <c r="J140" s="137"/>
      <c r="K140" s="160"/>
      <c r="L140" s="160"/>
      <c r="M140" s="137"/>
      <c r="N140" s="138"/>
      <c r="O140" s="138"/>
      <c r="P140" s="138"/>
      <c r="Q140" s="138"/>
      <c r="R140" s="138"/>
      <c r="S140" s="138"/>
      <c r="T140" s="138"/>
      <c r="U140" s="138"/>
      <c r="V140" s="150">
        <f t="shared" si="7"/>
        <v>480</v>
      </c>
      <c r="W140" s="150">
        <f t="shared" si="7"/>
        <v>420</v>
      </c>
      <c r="X140" s="150">
        <f t="shared" si="7"/>
        <v>30</v>
      </c>
      <c r="Y140" s="150">
        <f t="shared" si="7"/>
        <v>450</v>
      </c>
    </row>
    <row r="141" spans="1:25">
      <c r="A141" s="134"/>
      <c r="B141" s="158">
        <f t="shared" si="8"/>
        <v>38115</v>
      </c>
      <c r="C141" s="159">
        <f t="shared" si="9"/>
        <v>480</v>
      </c>
      <c r="D141" s="159">
        <f t="shared" si="10"/>
        <v>420</v>
      </c>
      <c r="E141" s="159">
        <f t="shared" si="11"/>
        <v>30</v>
      </c>
      <c r="F141" s="159">
        <f t="shared" si="12"/>
        <v>450</v>
      </c>
      <c r="G141" s="137"/>
      <c r="H141" s="137"/>
      <c r="I141" s="137"/>
      <c r="J141" s="137"/>
      <c r="K141" s="160"/>
      <c r="L141" s="160"/>
      <c r="M141" s="137"/>
      <c r="N141" s="138"/>
      <c r="O141" s="138"/>
      <c r="P141" s="138"/>
      <c r="Q141" s="138"/>
      <c r="R141" s="138"/>
      <c r="S141" s="138"/>
      <c r="T141" s="138"/>
      <c r="U141" s="138"/>
      <c r="V141" s="150">
        <f t="shared" ref="V141:Y204" si="13">IF(C141="",#N/A,C141)</f>
        <v>480</v>
      </c>
      <c r="W141" s="150">
        <f t="shared" si="13"/>
        <v>420</v>
      </c>
      <c r="X141" s="150">
        <f t="shared" si="13"/>
        <v>30</v>
      </c>
      <c r="Y141" s="150">
        <f t="shared" si="13"/>
        <v>450</v>
      </c>
    </row>
    <row r="142" spans="1:25">
      <c r="A142" s="134"/>
      <c r="B142" s="158">
        <f t="shared" si="8"/>
        <v>38116</v>
      </c>
      <c r="C142" s="159">
        <f t="shared" si="9"/>
        <v>480</v>
      </c>
      <c r="D142" s="159">
        <f t="shared" si="10"/>
        <v>420</v>
      </c>
      <c r="E142" s="159">
        <f t="shared" si="11"/>
        <v>30</v>
      </c>
      <c r="F142" s="159">
        <f t="shared" si="12"/>
        <v>450</v>
      </c>
      <c r="G142" s="137"/>
      <c r="H142" s="137"/>
      <c r="I142" s="137"/>
      <c r="J142" s="137"/>
      <c r="K142" s="160"/>
      <c r="L142" s="160"/>
      <c r="M142" s="137"/>
      <c r="N142" s="138"/>
      <c r="O142" s="138"/>
      <c r="P142" s="138"/>
      <c r="Q142" s="138"/>
      <c r="R142" s="138"/>
      <c r="S142" s="138"/>
      <c r="T142" s="138"/>
      <c r="U142" s="138"/>
      <c r="V142" s="150">
        <f t="shared" si="13"/>
        <v>480</v>
      </c>
      <c r="W142" s="150">
        <f t="shared" si="13"/>
        <v>420</v>
      </c>
      <c r="X142" s="150">
        <f t="shared" si="13"/>
        <v>30</v>
      </c>
      <c r="Y142" s="150">
        <f t="shared" si="13"/>
        <v>450</v>
      </c>
    </row>
    <row r="143" spans="1:25">
      <c r="A143" s="134"/>
      <c r="B143" s="158">
        <f t="shared" ref="B143:B206" si="14">B142+1</f>
        <v>38117</v>
      </c>
      <c r="C143" s="159">
        <f t="shared" ref="C143:C206" si="15">IF(OR(B143&lt;B$6,B143&gt;B$10),"",G$8)</f>
        <v>480</v>
      </c>
      <c r="D143" s="159">
        <f t="shared" ref="D143:D206" si="16">IF(B143=B$6,W$6,IF(B143&gt;B$10,"",IF(B143&gt;=B$9,D142+X$9,IF(B143&gt;B$8,D142+X$8,IF(B143&gt;B$7,D142+X$7,IF(B143&gt;B$6,W$6,""))))))</f>
        <v>420</v>
      </c>
      <c r="E143" s="159">
        <f t="shared" ref="E143:E206" si="17">IF($B143=$B$6,L$6,IF($B143&gt;$B$10,"",IF($B143&gt;=$B$9,E142+V$9,IF($B143&gt;$B$8,E142+V$8,IF($B143&gt;$B$7,E142+V$7,IF($B143&gt;$B$6,L$6,""))))))</f>
        <v>30</v>
      </c>
      <c r="F143" s="159">
        <f t="shared" ref="F143:F206" si="18">IF(C143="","",C143-E143)</f>
        <v>450</v>
      </c>
      <c r="G143" s="137"/>
      <c r="H143" s="137"/>
      <c r="I143" s="137"/>
      <c r="J143" s="137"/>
      <c r="K143" s="160"/>
      <c r="L143" s="160"/>
      <c r="M143" s="137"/>
      <c r="N143" s="138"/>
      <c r="O143" s="138"/>
      <c r="P143" s="138"/>
      <c r="Q143" s="138"/>
      <c r="R143" s="138"/>
      <c r="S143" s="138"/>
      <c r="T143" s="138"/>
      <c r="U143" s="138"/>
      <c r="V143" s="150">
        <f t="shared" si="13"/>
        <v>480</v>
      </c>
      <c r="W143" s="150">
        <f t="shared" si="13"/>
        <v>420</v>
      </c>
      <c r="X143" s="150">
        <f t="shared" si="13"/>
        <v>30</v>
      </c>
      <c r="Y143" s="150">
        <f t="shared" si="13"/>
        <v>450</v>
      </c>
    </row>
    <row r="144" spans="1:25">
      <c r="A144" s="134"/>
      <c r="B144" s="158">
        <f t="shared" si="14"/>
        <v>38118</v>
      </c>
      <c r="C144" s="159">
        <f t="shared" si="15"/>
        <v>480</v>
      </c>
      <c r="D144" s="159">
        <f t="shared" si="16"/>
        <v>420</v>
      </c>
      <c r="E144" s="159">
        <f t="shared" si="17"/>
        <v>30</v>
      </c>
      <c r="F144" s="159">
        <f t="shared" si="18"/>
        <v>450</v>
      </c>
      <c r="G144" s="137"/>
      <c r="H144" s="137"/>
      <c r="I144" s="137"/>
      <c r="J144" s="137"/>
      <c r="K144" s="160"/>
      <c r="L144" s="160"/>
      <c r="M144" s="137"/>
      <c r="N144" s="138"/>
      <c r="O144" s="138"/>
      <c r="P144" s="138"/>
      <c r="Q144" s="138"/>
      <c r="R144" s="138"/>
      <c r="S144" s="138"/>
      <c r="T144" s="138"/>
      <c r="U144" s="138"/>
      <c r="V144" s="150">
        <f t="shared" si="13"/>
        <v>480</v>
      </c>
      <c r="W144" s="150">
        <f t="shared" si="13"/>
        <v>420</v>
      </c>
      <c r="X144" s="150">
        <f t="shared" si="13"/>
        <v>30</v>
      </c>
      <c r="Y144" s="150">
        <f t="shared" si="13"/>
        <v>450</v>
      </c>
    </row>
    <row r="145" spans="1:25">
      <c r="A145" s="134"/>
      <c r="B145" s="158">
        <f t="shared" si="14"/>
        <v>38119</v>
      </c>
      <c r="C145" s="159">
        <f t="shared" si="15"/>
        <v>480</v>
      </c>
      <c r="D145" s="159">
        <f t="shared" si="16"/>
        <v>420</v>
      </c>
      <c r="E145" s="159">
        <f t="shared" si="17"/>
        <v>30</v>
      </c>
      <c r="F145" s="159">
        <f t="shared" si="18"/>
        <v>450</v>
      </c>
      <c r="G145" s="137"/>
      <c r="H145" s="137"/>
      <c r="I145" s="137"/>
      <c r="J145" s="137"/>
      <c r="K145" s="160"/>
      <c r="L145" s="160"/>
      <c r="M145" s="137"/>
      <c r="N145" s="138"/>
      <c r="O145" s="138"/>
      <c r="P145" s="138"/>
      <c r="Q145" s="138"/>
      <c r="R145" s="138"/>
      <c r="S145" s="138"/>
      <c r="T145" s="138"/>
      <c r="U145" s="138"/>
      <c r="V145" s="150">
        <f t="shared" si="13"/>
        <v>480</v>
      </c>
      <c r="W145" s="150">
        <f t="shared" si="13"/>
        <v>420</v>
      </c>
      <c r="X145" s="150">
        <f t="shared" si="13"/>
        <v>30</v>
      </c>
      <c r="Y145" s="150">
        <f t="shared" si="13"/>
        <v>450</v>
      </c>
    </row>
    <row r="146" spans="1:25">
      <c r="A146" s="134"/>
      <c r="B146" s="158">
        <f t="shared" si="14"/>
        <v>38120</v>
      </c>
      <c r="C146" s="159">
        <f t="shared" si="15"/>
        <v>480</v>
      </c>
      <c r="D146" s="159">
        <f t="shared" si="16"/>
        <v>420</v>
      </c>
      <c r="E146" s="159">
        <f t="shared" si="17"/>
        <v>30</v>
      </c>
      <c r="F146" s="159">
        <f t="shared" si="18"/>
        <v>450</v>
      </c>
      <c r="G146" s="137"/>
      <c r="H146" s="137"/>
      <c r="I146" s="137"/>
      <c r="J146" s="137"/>
      <c r="K146" s="160"/>
      <c r="L146" s="160"/>
      <c r="M146" s="137"/>
      <c r="N146" s="138"/>
      <c r="O146" s="138"/>
      <c r="P146" s="138"/>
      <c r="Q146" s="138"/>
      <c r="R146" s="138"/>
      <c r="S146" s="138"/>
      <c r="T146" s="138"/>
      <c r="U146" s="138"/>
      <c r="V146" s="150">
        <f t="shared" si="13"/>
        <v>480</v>
      </c>
      <c r="W146" s="150">
        <f t="shared" si="13"/>
        <v>420</v>
      </c>
      <c r="X146" s="150">
        <f t="shared" si="13"/>
        <v>30</v>
      </c>
      <c r="Y146" s="150">
        <f t="shared" si="13"/>
        <v>450</v>
      </c>
    </row>
    <row r="147" spans="1:25">
      <c r="A147" s="134"/>
      <c r="B147" s="158">
        <f t="shared" si="14"/>
        <v>38121</v>
      </c>
      <c r="C147" s="159">
        <f t="shared" si="15"/>
        <v>480</v>
      </c>
      <c r="D147" s="159">
        <f t="shared" si="16"/>
        <v>420</v>
      </c>
      <c r="E147" s="159">
        <f t="shared" si="17"/>
        <v>30</v>
      </c>
      <c r="F147" s="159">
        <f t="shared" si="18"/>
        <v>450</v>
      </c>
      <c r="G147" s="137"/>
      <c r="H147" s="137"/>
      <c r="I147" s="137"/>
      <c r="J147" s="137"/>
      <c r="K147" s="160"/>
      <c r="L147" s="160"/>
      <c r="M147" s="137"/>
      <c r="N147" s="138"/>
      <c r="O147" s="138"/>
      <c r="P147" s="138"/>
      <c r="Q147" s="138"/>
      <c r="R147" s="138"/>
      <c r="S147" s="138"/>
      <c r="T147" s="138"/>
      <c r="U147" s="138"/>
      <c r="V147" s="150">
        <f t="shared" si="13"/>
        <v>480</v>
      </c>
      <c r="W147" s="150">
        <f t="shared" si="13"/>
        <v>420</v>
      </c>
      <c r="X147" s="150">
        <f t="shared" si="13"/>
        <v>30</v>
      </c>
      <c r="Y147" s="150">
        <f t="shared" si="13"/>
        <v>450</v>
      </c>
    </row>
    <row r="148" spans="1:25">
      <c r="A148" s="134"/>
      <c r="B148" s="158">
        <f t="shared" si="14"/>
        <v>38122</v>
      </c>
      <c r="C148" s="159">
        <f t="shared" si="15"/>
        <v>480</v>
      </c>
      <c r="D148" s="159">
        <f t="shared" si="16"/>
        <v>420</v>
      </c>
      <c r="E148" s="159">
        <f t="shared" si="17"/>
        <v>30</v>
      </c>
      <c r="F148" s="159">
        <f t="shared" si="18"/>
        <v>450</v>
      </c>
      <c r="G148" s="137"/>
      <c r="H148" s="137"/>
      <c r="I148" s="137"/>
      <c r="J148" s="137"/>
      <c r="K148" s="160"/>
      <c r="L148" s="160"/>
      <c r="M148" s="137"/>
      <c r="N148" s="138"/>
      <c r="O148" s="138"/>
      <c r="P148" s="138"/>
      <c r="Q148" s="138"/>
      <c r="R148" s="138"/>
      <c r="S148" s="138"/>
      <c r="T148" s="138"/>
      <c r="U148" s="138"/>
      <c r="V148" s="150">
        <f t="shared" si="13"/>
        <v>480</v>
      </c>
      <c r="W148" s="150">
        <f t="shared" si="13"/>
        <v>420</v>
      </c>
      <c r="X148" s="150">
        <f t="shared" si="13"/>
        <v>30</v>
      </c>
      <c r="Y148" s="150">
        <f t="shared" si="13"/>
        <v>450</v>
      </c>
    </row>
    <row r="149" spans="1:25">
      <c r="A149" s="134"/>
      <c r="B149" s="158">
        <f t="shared" si="14"/>
        <v>38123</v>
      </c>
      <c r="C149" s="159">
        <f t="shared" si="15"/>
        <v>480</v>
      </c>
      <c r="D149" s="159">
        <f t="shared" si="16"/>
        <v>420</v>
      </c>
      <c r="E149" s="159">
        <f t="shared" si="17"/>
        <v>30</v>
      </c>
      <c r="F149" s="159">
        <f t="shared" si="18"/>
        <v>450</v>
      </c>
      <c r="G149" s="137"/>
      <c r="H149" s="137"/>
      <c r="I149" s="137"/>
      <c r="J149" s="137"/>
      <c r="K149" s="160"/>
      <c r="L149" s="160"/>
      <c r="M149" s="137"/>
      <c r="N149" s="138"/>
      <c r="O149" s="138"/>
      <c r="P149" s="138"/>
      <c r="Q149" s="138"/>
      <c r="R149" s="138"/>
      <c r="S149" s="138"/>
      <c r="T149" s="138"/>
      <c r="U149" s="138"/>
      <c r="V149" s="150">
        <f t="shared" si="13"/>
        <v>480</v>
      </c>
      <c r="W149" s="150">
        <f t="shared" si="13"/>
        <v>420</v>
      </c>
      <c r="X149" s="150">
        <f t="shared" si="13"/>
        <v>30</v>
      </c>
      <c r="Y149" s="150">
        <f t="shared" si="13"/>
        <v>450</v>
      </c>
    </row>
    <row r="150" spans="1:25">
      <c r="A150" s="134"/>
      <c r="B150" s="158">
        <f t="shared" si="14"/>
        <v>38124</v>
      </c>
      <c r="C150" s="159">
        <f t="shared" si="15"/>
        <v>480</v>
      </c>
      <c r="D150" s="159">
        <f t="shared" si="16"/>
        <v>420</v>
      </c>
      <c r="E150" s="159">
        <f t="shared" si="17"/>
        <v>30</v>
      </c>
      <c r="F150" s="159">
        <f t="shared" si="18"/>
        <v>450</v>
      </c>
      <c r="G150" s="137"/>
      <c r="H150" s="137"/>
      <c r="I150" s="137"/>
      <c r="J150" s="137"/>
      <c r="K150" s="160"/>
      <c r="L150" s="160"/>
      <c r="M150" s="137"/>
      <c r="N150" s="138"/>
      <c r="O150" s="138"/>
      <c r="P150" s="138"/>
      <c r="Q150" s="138"/>
      <c r="R150" s="138"/>
      <c r="S150" s="138"/>
      <c r="T150" s="138"/>
      <c r="U150" s="138"/>
      <c r="V150" s="150">
        <f t="shared" si="13"/>
        <v>480</v>
      </c>
      <c r="W150" s="150">
        <f t="shared" si="13"/>
        <v>420</v>
      </c>
      <c r="X150" s="150">
        <f t="shared" si="13"/>
        <v>30</v>
      </c>
      <c r="Y150" s="150">
        <f t="shared" si="13"/>
        <v>450</v>
      </c>
    </row>
    <row r="151" spans="1:25">
      <c r="A151" s="134"/>
      <c r="B151" s="158">
        <f t="shared" si="14"/>
        <v>38125</v>
      </c>
      <c r="C151" s="159">
        <f t="shared" si="15"/>
        <v>480</v>
      </c>
      <c r="D151" s="159">
        <f t="shared" si="16"/>
        <v>420</v>
      </c>
      <c r="E151" s="159">
        <f t="shared" si="17"/>
        <v>30</v>
      </c>
      <c r="F151" s="159">
        <f t="shared" si="18"/>
        <v>450</v>
      </c>
      <c r="G151" s="137"/>
      <c r="H151" s="137"/>
      <c r="I151" s="137"/>
      <c r="J151" s="137"/>
      <c r="K151" s="160"/>
      <c r="L151" s="160"/>
      <c r="M151" s="137"/>
      <c r="N151" s="138"/>
      <c r="O151" s="138"/>
      <c r="P151" s="138"/>
      <c r="Q151" s="138"/>
      <c r="R151" s="138"/>
      <c r="S151" s="138"/>
      <c r="T151" s="138"/>
      <c r="U151" s="138"/>
      <c r="V151" s="150">
        <f t="shared" si="13"/>
        <v>480</v>
      </c>
      <c r="W151" s="150">
        <f t="shared" si="13"/>
        <v>420</v>
      </c>
      <c r="X151" s="150">
        <f t="shared" si="13"/>
        <v>30</v>
      </c>
      <c r="Y151" s="150">
        <f t="shared" si="13"/>
        <v>450</v>
      </c>
    </row>
    <row r="152" spans="1:25">
      <c r="A152" s="134"/>
      <c r="B152" s="158">
        <f t="shared" si="14"/>
        <v>38126</v>
      </c>
      <c r="C152" s="159">
        <f t="shared" si="15"/>
        <v>480</v>
      </c>
      <c r="D152" s="159">
        <f t="shared" si="16"/>
        <v>415.71428571428572</v>
      </c>
      <c r="E152" s="159">
        <f t="shared" si="17"/>
        <v>32.142857142857146</v>
      </c>
      <c r="F152" s="159">
        <f t="shared" si="18"/>
        <v>447.85714285714283</v>
      </c>
      <c r="G152" s="137"/>
      <c r="H152" s="137"/>
      <c r="I152" s="137"/>
      <c r="J152" s="137"/>
      <c r="K152" s="160"/>
      <c r="L152" s="160"/>
      <c r="M152" s="137"/>
      <c r="N152" s="138"/>
      <c r="O152" s="138"/>
      <c r="P152" s="138"/>
      <c r="Q152" s="138"/>
      <c r="R152" s="138"/>
      <c r="S152" s="138"/>
      <c r="T152" s="138"/>
      <c r="U152" s="138"/>
      <c r="V152" s="150">
        <f t="shared" si="13"/>
        <v>480</v>
      </c>
      <c r="W152" s="150">
        <f t="shared" si="13"/>
        <v>415.71428571428572</v>
      </c>
      <c r="X152" s="150">
        <f t="shared" si="13"/>
        <v>32.142857142857146</v>
      </c>
      <c r="Y152" s="150">
        <f t="shared" si="13"/>
        <v>447.85714285714283</v>
      </c>
    </row>
    <row r="153" spans="1:25">
      <c r="A153" s="134"/>
      <c r="B153" s="158">
        <f t="shared" si="14"/>
        <v>38127</v>
      </c>
      <c r="C153" s="159">
        <f t="shared" si="15"/>
        <v>480</v>
      </c>
      <c r="D153" s="159">
        <f t="shared" si="16"/>
        <v>411.42857142857144</v>
      </c>
      <c r="E153" s="159">
        <f t="shared" si="17"/>
        <v>34.285714285714292</v>
      </c>
      <c r="F153" s="159">
        <f t="shared" si="18"/>
        <v>445.71428571428572</v>
      </c>
      <c r="G153" s="137"/>
      <c r="H153" s="137"/>
      <c r="I153" s="137"/>
      <c r="J153" s="137"/>
      <c r="K153" s="160"/>
      <c r="L153" s="160"/>
      <c r="M153" s="137"/>
      <c r="N153" s="138"/>
      <c r="O153" s="138"/>
      <c r="P153" s="138"/>
      <c r="Q153" s="138"/>
      <c r="R153" s="138"/>
      <c r="S153" s="138"/>
      <c r="T153" s="138"/>
      <c r="U153" s="138"/>
      <c r="V153" s="150">
        <f t="shared" si="13"/>
        <v>480</v>
      </c>
      <c r="W153" s="150">
        <f t="shared" si="13"/>
        <v>411.42857142857144</v>
      </c>
      <c r="X153" s="150">
        <f t="shared" si="13"/>
        <v>34.285714285714292</v>
      </c>
      <c r="Y153" s="150">
        <f t="shared" si="13"/>
        <v>445.71428571428572</v>
      </c>
    </row>
    <row r="154" spans="1:25">
      <c r="A154" s="134"/>
      <c r="B154" s="158">
        <f t="shared" si="14"/>
        <v>38128</v>
      </c>
      <c r="C154" s="159">
        <f t="shared" si="15"/>
        <v>480</v>
      </c>
      <c r="D154" s="159">
        <f t="shared" si="16"/>
        <v>407.14285714285717</v>
      </c>
      <c r="E154" s="159">
        <f t="shared" si="17"/>
        <v>36.428571428571438</v>
      </c>
      <c r="F154" s="159">
        <f t="shared" si="18"/>
        <v>443.57142857142856</v>
      </c>
      <c r="G154" s="137"/>
      <c r="H154" s="137"/>
      <c r="I154" s="137"/>
      <c r="J154" s="137"/>
      <c r="K154" s="160"/>
      <c r="L154" s="160"/>
      <c r="M154" s="137"/>
      <c r="N154" s="138"/>
      <c r="O154" s="138"/>
      <c r="P154" s="138"/>
      <c r="Q154" s="138"/>
      <c r="R154" s="138"/>
      <c r="S154" s="138"/>
      <c r="T154" s="138"/>
      <c r="U154" s="138"/>
      <c r="V154" s="150">
        <f t="shared" si="13"/>
        <v>480</v>
      </c>
      <c r="W154" s="150">
        <f t="shared" si="13"/>
        <v>407.14285714285717</v>
      </c>
      <c r="X154" s="150">
        <f t="shared" si="13"/>
        <v>36.428571428571438</v>
      </c>
      <c r="Y154" s="150">
        <f t="shared" si="13"/>
        <v>443.57142857142856</v>
      </c>
    </row>
    <row r="155" spans="1:25">
      <c r="A155" s="134"/>
      <c r="B155" s="158">
        <f t="shared" si="14"/>
        <v>38129</v>
      </c>
      <c r="C155" s="159">
        <f t="shared" si="15"/>
        <v>480</v>
      </c>
      <c r="D155" s="159">
        <f t="shared" si="16"/>
        <v>402.85714285714289</v>
      </c>
      <c r="E155" s="159">
        <f t="shared" si="17"/>
        <v>38.571428571428584</v>
      </c>
      <c r="F155" s="159">
        <f t="shared" si="18"/>
        <v>441.42857142857144</v>
      </c>
      <c r="G155" s="137"/>
      <c r="H155" s="137"/>
      <c r="I155" s="137"/>
      <c r="J155" s="137"/>
      <c r="K155" s="160"/>
      <c r="L155" s="160"/>
      <c r="M155" s="137"/>
      <c r="N155" s="138"/>
      <c r="O155" s="138"/>
      <c r="P155" s="138"/>
      <c r="Q155" s="138"/>
      <c r="R155" s="138"/>
      <c r="S155" s="138"/>
      <c r="T155" s="138"/>
      <c r="U155" s="138"/>
      <c r="V155" s="150">
        <f t="shared" si="13"/>
        <v>480</v>
      </c>
      <c r="W155" s="150">
        <f t="shared" si="13"/>
        <v>402.85714285714289</v>
      </c>
      <c r="X155" s="150">
        <f t="shared" si="13"/>
        <v>38.571428571428584</v>
      </c>
      <c r="Y155" s="150">
        <f t="shared" si="13"/>
        <v>441.42857142857144</v>
      </c>
    </row>
    <row r="156" spans="1:25">
      <c r="A156" s="134"/>
      <c r="B156" s="158">
        <f t="shared" si="14"/>
        <v>38130</v>
      </c>
      <c r="C156" s="159">
        <f t="shared" si="15"/>
        <v>480</v>
      </c>
      <c r="D156" s="159">
        <f t="shared" si="16"/>
        <v>398.57142857142861</v>
      </c>
      <c r="E156" s="159">
        <f t="shared" si="17"/>
        <v>40.71428571428573</v>
      </c>
      <c r="F156" s="159">
        <f t="shared" si="18"/>
        <v>439.28571428571428</v>
      </c>
      <c r="G156" s="137"/>
      <c r="H156" s="137"/>
      <c r="I156" s="137"/>
      <c r="J156" s="137"/>
      <c r="K156" s="160"/>
      <c r="L156" s="160"/>
      <c r="M156" s="137"/>
      <c r="N156" s="138"/>
      <c r="O156" s="138"/>
      <c r="P156" s="138"/>
      <c r="Q156" s="138"/>
      <c r="R156" s="138"/>
      <c r="S156" s="138"/>
      <c r="T156" s="138"/>
      <c r="U156" s="138"/>
      <c r="V156" s="150">
        <f t="shared" si="13"/>
        <v>480</v>
      </c>
      <c r="W156" s="150">
        <f t="shared" si="13"/>
        <v>398.57142857142861</v>
      </c>
      <c r="X156" s="150">
        <f t="shared" si="13"/>
        <v>40.71428571428573</v>
      </c>
      <c r="Y156" s="150">
        <f t="shared" si="13"/>
        <v>439.28571428571428</v>
      </c>
    </row>
    <row r="157" spans="1:25">
      <c r="A157" s="134"/>
      <c r="B157" s="158">
        <f t="shared" si="14"/>
        <v>38131</v>
      </c>
      <c r="C157" s="159">
        <f t="shared" si="15"/>
        <v>480</v>
      </c>
      <c r="D157" s="159">
        <f t="shared" si="16"/>
        <v>394.28571428571433</v>
      </c>
      <c r="E157" s="159">
        <f t="shared" si="17"/>
        <v>42.857142857142875</v>
      </c>
      <c r="F157" s="159">
        <f t="shared" si="18"/>
        <v>437.14285714285711</v>
      </c>
      <c r="G157" s="137"/>
      <c r="H157" s="137"/>
      <c r="I157" s="137"/>
      <c r="J157" s="137"/>
      <c r="K157" s="160"/>
      <c r="L157" s="160"/>
      <c r="M157" s="137"/>
      <c r="N157" s="138"/>
      <c r="O157" s="138"/>
      <c r="P157" s="138"/>
      <c r="Q157" s="138"/>
      <c r="R157" s="138"/>
      <c r="S157" s="138"/>
      <c r="T157" s="138"/>
      <c r="U157" s="138"/>
      <c r="V157" s="150">
        <f t="shared" si="13"/>
        <v>480</v>
      </c>
      <c r="W157" s="150">
        <f t="shared" si="13"/>
        <v>394.28571428571433</v>
      </c>
      <c r="X157" s="150">
        <f t="shared" si="13"/>
        <v>42.857142857142875</v>
      </c>
      <c r="Y157" s="150">
        <f t="shared" si="13"/>
        <v>437.14285714285711</v>
      </c>
    </row>
    <row r="158" spans="1:25">
      <c r="A158" s="134"/>
      <c r="B158" s="158">
        <f t="shared" si="14"/>
        <v>38132</v>
      </c>
      <c r="C158" s="159">
        <f t="shared" si="15"/>
        <v>480</v>
      </c>
      <c r="D158" s="159">
        <f t="shared" si="16"/>
        <v>390.00000000000006</v>
      </c>
      <c r="E158" s="159">
        <f t="shared" si="17"/>
        <v>45.000000000000021</v>
      </c>
      <c r="F158" s="159">
        <f t="shared" si="18"/>
        <v>435</v>
      </c>
      <c r="G158" s="137"/>
      <c r="H158" s="137"/>
      <c r="I158" s="137"/>
      <c r="J158" s="137"/>
      <c r="K158" s="160"/>
      <c r="L158" s="160"/>
      <c r="M158" s="137"/>
      <c r="N158" s="138"/>
      <c r="O158" s="138"/>
      <c r="P158" s="138"/>
      <c r="Q158" s="138"/>
      <c r="R158" s="138"/>
      <c r="S158" s="138"/>
      <c r="T158" s="138"/>
      <c r="U158" s="138"/>
      <c r="V158" s="150">
        <f t="shared" si="13"/>
        <v>480</v>
      </c>
      <c r="W158" s="150">
        <f t="shared" si="13"/>
        <v>390.00000000000006</v>
      </c>
      <c r="X158" s="150">
        <f t="shared" si="13"/>
        <v>45.000000000000021</v>
      </c>
      <c r="Y158" s="150">
        <f t="shared" si="13"/>
        <v>435</v>
      </c>
    </row>
    <row r="159" spans="1:25">
      <c r="A159" s="134"/>
      <c r="B159" s="158">
        <f t="shared" si="14"/>
        <v>38133</v>
      </c>
      <c r="C159" s="159">
        <f t="shared" si="15"/>
        <v>480</v>
      </c>
      <c r="D159" s="159">
        <f t="shared" si="16"/>
        <v>385.71428571428578</v>
      </c>
      <c r="E159" s="159">
        <f t="shared" si="17"/>
        <v>47.142857142857167</v>
      </c>
      <c r="F159" s="159">
        <f t="shared" si="18"/>
        <v>432.85714285714283</v>
      </c>
      <c r="G159" s="137"/>
      <c r="H159" s="137"/>
      <c r="I159" s="137"/>
      <c r="J159" s="137"/>
      <c r="K159" s="160"/>
      <c r="L159" s="160"/>
      <c r="M159" s="137"/>
      <c r="N159" s="138"/>
      <c r="O159" s="138"/>
      <c r="P159" s="138"/>
      <c r="Q159" s="138"/>
      <c r="R159" s="138"/>
      <c r="S159" s="138"/>
      <c r="T159" s="138"/>
      <c r="U159" s="138"/>
      <c r="V159" s="150">
        <f t="shared" si="13"/>
        <v>480</v>
      </c>
      <c r="W159" s="150">
        <f t="shared" si="13"/>
        <v>385.71428571428578</v>
      </c>
      <c r="X159" s="150">
        <f t="shared" si="13"/>
        <v>47.142857142857167</v>
      </c>
      <c r="Y159" s="150">
        <f t="shared" si="13"/>
        <v>432.85714285714283</v>
      </c>
    </row>
    <row r="160" spans="1:25">
      <c r="A160" s="134"/>
      <c r="B160" s="158">
        <f t="shared" si="14"/>
        <v>38134</v>
      </c>
      <c r="C160" s="159">
        <f t="shared" si="15"/>
        <v>480</v>
      </c>
      <c r="D160" s="159">
        <f t="shared" si="16"/>
        <v>381.4285714285715</v>
      </c>
      <c r="E160" s="159">
        <f t="shared" si="17"/>
        <v>49.285714285714313</v>
      </c>
      <c r="F160" s="159">
        <f t="shared" si="18"/>
        <v>430.71428571428567</v>
      </c>
      <c r="G160" s="137"/>
      <c r="H160" s="137"/>
      <c r="I160" s="137"/>
      <c r="J160" s="137"/>
      <c r="K160" s="160"/>
      <c r="L160" s="160"/>
      <c r="M160" s="137"/>
      <c r="N160" s="138"/>
      <c r="O160" s="138"/>
      <c r="P160" s="138"/>
      <c r="Q160" s="138"/>
      <c r="R160" s="138"/>
      <c r="S160" s="138"/>
      <c r="T160" s="138"/>
      <c r="U160" s="138"/>
      <c r="V160" s="150">
        <f t="shared" si="13"/>
        <v>480</v>
      </c>
      <c r="W160" s="150">
        <f t="shared" si="13"/>
        <v>381.4285714285715</v>
      </c>
      <c r="X160" s="150">
        <f t="shared" si="13"/>
        <v>49.285714285714313</v>
      </c>
      <c r="Y160" s="150">
        <f t="shared" si="13"/>
        <v>430.71428571428567</v>
      </c>
    </row>
    <row r="161" spans="1:25">
      <c r="A161" s="134"/>
      <c r="B161" s="158">
        <f t="shared" si="14"/>
        <v>38135</v>
      </c>
      <c r="C161" s="159">
        <f t="shared" si="15"/>
        <v>480</v>
      </c>
      <c r="D161" s="159">
        <f t="shared" si="16"/>
        <v>377.14285714285722</v>
      </c>
      <c r="E161" s="159">
        <f t="shared" si="17"/>
        <v>51.428571428571459</v>
      </c>
      <c r="F161" s="159">
        <f t="shared" si="18"/>
        <v>428.57142857142856</v>
      </c>
      <c r="G161" s="137"/>
      <c r="H161" s="137"/>
      <c r="I161" s="137"/>
      <c r="J161" s="137"/>
      <c r="K161" s="160"/>
      <c r="L161" s="160"/>
      <c r="M161" s="137"/>
      <c r="N161" s="138"/>
      <c r="O161" s="138"/>
      <c r="P161" s="138"/>
      <c r="Q161" s="138"/>
      <c r="R161" s="138"/>
      <c r="S161" s="138"/>
      <c r="T161" s="138"/>
      <c r="U161" s="138"/>
      <c r="V161" s="150">
        <f t="shared" si="13"/>
        <v>480</v>
      </c>
      <c r="W161" s="150">
        <f t="shared" si="13"/>
        <v>377.14285714285722</v>
      </c>
      <c r="X161" s="150">
        <f t="shared" si="13"/>
        <v>51.428571428571459</v>
      </c>
      <c r="Y161" s="150">
        <f t="shared" si="13"/>
        <v>428.57142857142856</v>
      </c>
    </row>
    <row r="162" spans="1:25">
      <c r="A162" s="134"/>
      <c r="B162" s="158">
        <f t="shared" si="14"/>
        <v>38136</v>
      </c>
      <c r="C162" s="159">
        <f t="shared" si="15"/>
        <v>480</v>
      </c>
      <c r="D162" s="159">
        <f t="shared" si="16"/>
        <v>372.85714285714295</v>
      </c>
      <c r="E162" s="159">
        <f t="shared" si="17"/>
        <v>53.571428571428605</v>
      </c>
      <c r="F162" s="159">
        <f t="shared" si="18"/>
        <v>426.42857142857139</v>
      </c>
      <c r="G162" s="137"/>
      <c r="H162" s="137"/>
      <c r="I162" s="137"/>
      <c r="J162" s="137"/>
      <c r="K162" s="160"/>
      <c r="L162" s="160"/>
      <c r="M162" s="137"/>
      <c r="N162" s="138"/>
      <c r="O162" s="138"/>
      <c r="P162" s="138"/>
      <c r="Q162" s="138"/>
      <c r="R162" s="138"/>
      <c r="S162" s="138"/>
      <c r="T162" s="138"/>
      <c r="U162" s="138"/>
      <c r="V162" s="150">
        <f t="shared" si="13"/>
        <v>480</v>
      </c>
      <c r="W162" s="150">
        <f t="shared" si="13"/>
        <v>372.85714285714295</v>
      </c>
      <c r="X162" s="150">
        <f t="shared" si="13"/>
        <v>53.571428571428605</v>
      </c>
      <c r="Y162" s="150">
        <f t="shared" si="13"/>
        <v>426.42857142857139</v>
      </c>
    </row>
    <row r="163" spans="1:25">
      <c r="A163" s="134"/>
      <c r="B163" s="158">
        <f t="shared" si="14"/>
        <v>38137</v>
      </c>
      <c r="C163" s="159">
        <f t="shared" si="15"/>
        <v>480</v>
      </c>
      <c r="D163" s="159">
        <f t="shared" si="16"/>
        <v>368.57142857142867</v>
      </c>
      <c r="E163" s="159">
        <f t="shared" si="17"/>
        <v>55.714285714285751</v>
      </c>
      <c r="F163" s="159">
        <f t="shared" si="18"/>
        <v>424.28571428571422</v>
      </c>
      <c r="G163" s="137"/>
      <c r="H163" s="137"/>
      <c r="I163" s="137"/>
      <c r="J163" s="137"/>
      <c r="K163" s="160"/>
      <c r="L163" s="160"/>
      <c r="M163" s="137"/>
      <c r="N163" s="138"/>
      <c r="O163" s="138"/>
      <c r="P163" s="138"/>
      <c r="Q163" s="138"/>
      <c r="R163" s="138"/>
      <c r="S163" s="138"/>
      <c r="T163" s="138"/>
      <c r="U163" s="138"/>
      <c r="V163" s="150">
        <f t="shared" si="13"/>
        <v>480</v>
      </c>
      <c r="W163" s="150">
        <f t="shared" si="13"/>
        <v>368.57142857142867</v>
      </c>
      <c r="X163" s="150">
        <f t="shared" si="13"/>
        <v>55.714285714285751</v>
      </c>
      <c r="Y163" s="150">
        <f t="shared" si="13"/>
        <v>424.28571428571422</v>
      </c>
    </row>
    <row r="164" spans="1:25">
      <c r="A164" s="134"/>
      <c r="B164" s="158">
        <f t="shared" si="14"/>
        <v>38138</v>
      </c>
      <c r="C164" s="159">
        <f t="shared" si="15"/>
        <v>480</v>
      </c>
      <c r="D164" s="159">
        <f t="shared" si="16"/>
        <v>364.28571428571439</v>
      </c>
      <c r="E164" s="159">
        <f t="shared" si="17"/>
        <v>57.857142857142897</v>
      </c>
      <c r="F164" s="159">
        <f t="shared" si="18"/>
        <v>422.14285714285711</v>
      </c>
      <c r="G164" s="137"/>
      <c r="H164" s="137"/>
      <c r="I164" s="137"/>
      <c r="J164" s="137"/>
      <c r="K164" s="160"/>
      <c r="L164" s="160"/>
      <c r="M164" s="137"/>
      <c r="N164" s="138"/>
      <c r="O164" s="138"/>
      <c r="P164" s="138"/>
      <c r="Q164" s="138"/>
      <c r="R164" s="138"/>
      <c r="S164" s="138"/>
      <c r="T164" s="138"/>
      <c r="U164" s="138"/>
      <c r="V164" s="150">
        <f t="shared" si="13"/>
        <v>480</v>
      </c>
      <c r="W164" s="150">
        <f t="shared" si="13"/>
        <v>364.28571428571439</v>
      </c>
      <c r="X164" s="150">
        <f t="shared" si="13"/>
        <v>57.857142857142897</v>
      </c>
      <c r="Y164" s="150">
        <f t="shared" si="13"/>
        <v>422.14285714285711</v>
      </c>
    </row>
    <row r="165" spans="1:25">
      <c r="A165" s="134"/>
      <c r="B165" s="158">
        <f t="shared" si="14"/>
        <v>38139</v>
      </c>
      <c r="C165" s="159">
        <f t="shared" si="15"/>
        <v>480</v>
      </c>
      <c r="D165" s="159">
        <f t="shared" si="16"/>
        <v>360.00000000000011</v>
      </c>
      <c r="E165" s="159">
        <f t="shared" si="17"/>
        <v>60.000000000000043</v>
      </c>
      <c r="F165" s="159">
        <f t="shared" si="18"/>
        <v>419.99999999999994</v>
      </c>
      <c r="G165" s="137"/>
      <c r="H165" s="137"/>
      <c r="I165" s="137"/>
      <c r="J165" s="137"/>
      <c r="K165" s="160"/>
      <c r="L165" s="160"/>
      <c r="M165" s="137"/>
      <c r="N165" s="138"/>
      <c r="O165" s="138"/>
      <c r="P165" s="138"/>
      <c r="Q165" s="138"/>
      <c r="R165" s="138"/>
      <c r="S165" s="138"/>
      <c r="T165" s="138"/>
      <c r="U165" s="138"/>
      <c r="V165" s="150">
        <f t="shared" si="13"/>
        <v>480</v>
      </c>
      <c r="W165" s="150">
        <f t="shared" si="13"/>
        <v>360.00000000000011</v>
      </c>
      <c r="X165" s="150">
        <f t="shared" si="13"/>
        <v>60.000000000000043</v>
      </c>
      <c r="Y165" s="150">
        <f t="shared" si="13"/>
        <v>419.99999999999994</v>
      </c>
    </row>
    <row r="166" spans="1:25">
      <c r="A166" s="134"/>
      <c r="B166" s="158">
        <f t="shared" si="14"/>
        <v>38140</v>
      </c>
      <c r="C166" s="159">
        <f t="shared" si="15"/>
        <v>480</v>
      </c>
      <c r="D166" s="159">
        <f t="shared" si="16"/>
        <v>355.71428571428584</v>
      </c>
      <c r="E166" s="159">
        <f t="shared" si="17"/>
        <v>62.142857142857189</v>
      </c>
      <c r="F166" s="159">
        <f t="shared" si="18"/>
        <v>417.85714285714283</v>
      </c>
      <c r="G166" s="137"/>
      <c r="H166" s="137"/>
      <c r="I166" s="137"/>
      <c r="J166" s="137"/>
      <c r="K166" s="160"/>
      <c r="L166" s="160"/>
      <c r="M166" s="137"/>
      <c r="N166" s="138"/>
      <c r="O166" s="138"/>
      <c r="P166" s="138"/>
      <c r="Q166" s="138"/>
      <c r="R166" s="138"/>
      <c r="S166" s="138"/>
      <c r="T166" s="138"/>
      <c r="U166" s="138"/>
      <c r="V166" s="150">
        <f t="shared" si="13"/>
        <v>480</v>
      </c>
      <c r="W166" s="150">
        <f t="shared" si="13"/>
        <v>355.71428571428584</v>
      </c>
      <c r="X166" s="150">
        <f t="shared" si="13"/>
        <v>62.142857142857189</v>
      </c>
      <c r="Y166" s="150">
        <f t="shared" si="13"/>
        <v>417.85714285714283</v>
      </c>
    </row>
    <row r="167" spans="1:25">
      <c r="A167" s="134"/>
      <c r="B167" s="158">
        <f t="shared" si="14"/>
        <v>38141</v>
      </c>
      <c r="C167" s="159">
        <f t="shared" si="15"/>
        <v>480</v>
      </c>
      <c r="D167" s="159">
        <f t="shared" si="16"/>
        <v>351.42857142857156</v>
      </c>
      <c r="E167" s="159">
        <f t="shared" si="17"/>
        <v>64.285714285714334</v>
      </c>
      <c r="F167" s="159">
        <f t="shared" si="18"/>
        <v>415.71428571428567</v>
      </c>
      <c r="G167" s="137"/>
      <c r="H167" s="137"/>
      <c r="I167" s="137"/>
      <c r="J167" s="137"/>
      <c r="K167" s="160"/>
      <c r="L167" s="160"/>
      <c r="M167" s="137"/>
      <c r="N167" s="138"/>
      <c r="O167" s="138"/>
      <c r="P167" s="138"/>
      <c r="Q167" s="138"/>
      <c r="R167" s="138"/>
      <c r="S167" s="138"/>
      <c r="T167" s="138"/>
      <c r="U167" s="138"/>
      <c r="V167" s="150">
        <f t="shared" si="13"/>
        <v>480</v>
      </c>
      <c r="W167" s="150">
        <f t="shared" si="13"/>
        <v>351.42857142857156</v>
      </c>
      <c r="X167" s="150">
        <f t="shared" si="13"/>
        <v>64.285714285714334</v>
      </c>
      <c r="Y167" s="150">
        <f t="shared" si="13"/>
        <v>415.71428571428567</v>
      </c>
    </row>
    <row r="168" spans="1:25">
      <c r="A168" s="134"/>
      <c r="B168" s="158">
        <f t="shared" si="14"/>
        <v>38142</v>
      </c>
      <c r="C168" s="159">
        <f t="shared" si="15"/>
        <v>480</v>
      </c>
      <c r="D168" s="159">
        <f t="shared" si="16"/>
        <v>347.14285714285728</v>
      </c>
      <c r="E168" s="159">
        <f t="shared" si="17"/>
        <v>66.428571428571473</v>
      </c>
      <c r="F168" s="159">
        <f t="shared" si="18"/>
        <v>413.57142857142856</v>
      </c>
      <c r="G168" s="137"/>
      <c r="H168" s="137"/>
      <c r="I168" s="137"/>
      <c r="J168" s="137"/>
      <c r="K168" s="160"/>
      <c r="L168" s="160"/>
      <c r="M168" s="137"/>
      <c r="N168" s="138"/>
      <c r="O168" s="138"/>
      <c r="P168" s="138"/>
      <c r="Q168" s="138"/>
      <c r="R168" s="138"/>
      <c r="S168" s="138"/>
      <c r="T168" s="138"/>
      <c r="U168" s="138"/>
      <c r="V168" s="150">
        <f t="shared" si="13"/>
        <v>480</v>
      </c>
      <c r="W168" s="150">
        <f t="shared" si="13"/>
        <v>347.14285714285728</v>
      </c>
      <c r="X168" s="150">
        <f t="shared" si="13"/>
        <v>66.428571428571473</v>
      </c>
      <c r="Y168" s="150">
        <f t="shared" si="13"/>
        <v>413.57142857142856</v>
      </c>
    </row>
    <row r="169" spans="1:25">
      <c r="A169" s="134"/>
      <c r="B169" s="158">
        <f t="shared" si="14"/>
        <v>38143</v>
      </c>
      <c r="C169" s="159">
        <f t="shared" si="15"/>
        <v>480</v>
      </c>
      <c r="D169" s="159">
        <f t="shared" si="16"/>
        <v>342.857142857143</v>
      </c>
      <c r="E169" s="159">
        <f t="shared" si="17"/>
        <v>68.571428571428612</v>
      </c>
      <c r="F169" s="159">
        <f t="shared" si="18"/>
        <v>411.42857142857139</v>
      </c>
      <c r="G169" s="137"/>
      <c r="H169" s="137"/>
      <c r="I169" s="137"/>
      <c r="J169" s="137"/>
      <c r="K169" s="160"/>
      <c r="L169" s="160"/>
      <c r="M169" s="137"/>
      <c r="N169" s="138"/>
      <c r="O169" s="138"/>
      <c r="P169" s="138"/>
      <c r="Q169" s="138"/>
      <c r="R169" s="138"/>
      <c r="S169" s="138"/>
      <c r="T169" s="138"/>
      <c r="U169" s="138"/>
      <c r="V169" s="150">
        <f t="shared" si="13"/>
        <v>480</v>
      </c>
      <c r="W169" s="150">
        <f t="shared" si="13"/>
        <v>342.857142857143</v>
      </c>
      <c r="X169" s="150">
        <f t="shared" si="13"/>
        <v>68.571428571428612</v>
      </c>
      <c r="Y169" s="150">
        <f t="shared" si="13"/>
        <v>411.42857142857139</v>
      </c>
    </row>
    <row r="170" spans="1:25">
      <c r="A170" s="134"/>
      <c r="B170" s="158">
        <f t="shared" si="14"/>
        <v>38144</v>
      </c>
      <c r="C170" s="159">
        <f t="shared" si="15"/>
        <v>480</v>
      </c>
      <c r="D170" s="159">
        <f t="shared" si="16"/>
        <v>338.57142857142873</v>
      </c>
      <c r="E170" s="159">
        <f t="shared" si="17"/>
        <v>70.714285714285751</v>
      </c>
      <c r="F170" s="159">
        <f t="shared" si="18"/>
        <v>409.28571428571422</v>
      </c>
      <c r="G170" s="137"/>
      <c r="H170" s="137"/>
      <c r="I170" s="137"/>
      <c r="J170" s="137"/>
      <c r="K170" s="160"/>
      <c r="L170" s="160"/>
      <c r="M170" s="137"/>
      <c r="N170" s="138"/>
      <c r="O170" s="138"/>
      <c r="P170" s="138"/>
      <c r="Q170" s="138"/>
      <c r="R170" s="138"/>
      <c r="S170" s="138"/>
      <c r="T170" s="138"/>
      <c r="U170" s="138"/>
      <c r="V170" s="150">
        <f t="shared" si="13"/>
        <v>480</v>
      </c>
      <c r="W170" s="150">
        <f t="shared" si="13"/>
        <v>338.57142857142873</v>
      </c>
      <c r="X170" s="150">
        <f t="shared" si="13"/>
        <v>70.714285714285751</v>
      </c>
      <c r="Y170" s="150">
        <f t="shared" si="13"/>
        <v>409.28571428571422</v>
      </c>
    </row>
    <row r="171" spans="1:25">
      <c r="A171" s="134"/>
      <c r="B171" s="158">
        <f t="shared" si="14"/>
        <v>38145</v>
      </c>
      <c r="C171" s="159">
        <f t="shared" si="15"/>
        <v>480</v>
      </c>
      <c r="D171" s="159">
        <f t="shared" si="16"/>
        <v>334.28571428571445</v>
      </c>
      <c r="E171" s="159">
        <f t="shared" si="17"/>
        <v>72.85714285714289</v>
      </c>
      <c r="F171" s="159">
        <f t="shared" si="18"/>
        <v>407.14285714285711</v>
      </c>
      <c r="G171" s="137"/>
      <c r="H171" s="137"/>
      <c r="I171" s="137"/>
      <c r="J171" s="137"/>
      <c r="K171" s="160"/>
      <c r="L171" s="160"/>
      <c r="M171" s="137"/>
      <c r="N171" s="138"/>
      <c r="O171" s="138"/>
      <c r="P171" s="138"/>
      <c r="Q171" s="138"/>
      <c r="R171" s="138"/>
      <c r="S171" s="138"/>
      <c r="T171" s="138"/>
      <c r="U171" s="138"/>
      <c r="V171" s="150">
        <f t="shared" si="13"/>
        <v>480</v>
      </c>
      <c r="W171" s="150">
        <f t="shared" si="13"/>
        <v>334.28571428571445</v>
      </c>
      <c r="X171" s="150">
        <f t="shared" si="13"/>
        <v>72.85714285714289</v>
      </c>
      <c r="Y171" s="150">
        <f t="shared" si="13"/>
        <v>407.14285714285711</v>
      </c>
    </row>
    <row r="172" spans="1:25">
      <c r="A172" s="134"/>
      <c r="B172" s="158">
        <f t="shared" si="14"/>
        <v>38146</v>
      </c>
      <c r="C172" s="159">
        <f t="shared" si="15"/>
        <v>480</v>
      </c>
      <c r="D172" s="159">
        <f t="shared" si="16"/>
        <v>330.00000000000017</v>
      </c>
      <c r="E172" s="159">
        <f t="shared" si="17"/>
        <v>75.000000000000028</v>
      </c>
      <c r="F172" s="159">
        <f t="shared" si="18"/>
        <v>405</v>
      </c>
      <c r="G172" s="137"/>
      <c r="H172" s="137"/>
      <c r="I172" s="137"/>
      <c r="J172" s="137"/>
      <c r="K172" s="160"/>
      <c r="L172" s="160"/>
      <c r="M172" s="137"/>
      <c r="N172" s="138"/>
      <c r="O172" s="138"/>
      <c r="P172" s="138"/>
      <c r="Q172" s="138"/>
      <c r="R172" s="138"/>
      <c r="S172" s="138"/>
      <c r="T172" s="138"/>
      <c r="U172" s="138"/>
      <c r="V172" s="150">
        <f t="shared" si="13"/>
        <v>480</v>
      </c>
      <c r="W172" s="150">
        <f t="shared" si="13"/>
        <v>330.00000000000017</v>
      </c>
      <c r="X172" s="150">
        <f t="shared" si="13"/>
        <v>75.000000000000028</v>
      </c>
      <c r="Y172" s="150">
        <f t="shared" si="13"/>
        <v>405</v>
      </c>
    </row>
    <row r="173" spans="1:25">
      <c r="A173" s="134"/>
      <c r="B173" s="158">
        <f t="shared" si="14"/>
        <v>38147</v>
      </c>
      <c r="C173" s="159">
        <f t="shared" si="15"/>
        <v>480</v>
      </c>
      <c r="D173" s="159">
        <f t="shared" si="16"/>
        <v>325.71428571428589</v>
      </c>
      <c r="E173" s="159">
        <f t="shared" si="17"/>
        <v>77.142857142857167</v>
      </c>
      <c r="F173" s="159">
        <f t="shared" si="18"/>
        <v>402.85714285714283</v>
      </c>
      <c r="G173" s="137"/>
      <c r="H173" s="137"/>
      <c r="I173" s="137"/>
      <c r="J173" s="137"/>
      <c r="K173" s="160"/>
      <c r="L173" s="160"/>
      <c r="M173" s="137"/>
      <c r="N173" s="138"/>
      <c r="O173" s="138"/>
      <c r="P173" s="138"/>
      <c r="Q173" s="138"/>
      <c r="R173" s="138"/>
      <c r="S173" s="138"/>
      <c r="T173" s="138"/>
      <c r="U173" s="138"/>
      <c r="V173" s="150">
        <f t="shared" si="13"/>
        <v>480</v>
      </c>
      <c r="W173" s="150">
        <f t="shared" si="13"/>
        <v>325.71428571428589</v>
      </c>
      <c r="X173" s="150">
        <f t="shared" si="13"/>
        <v>77.142857142857167</v>
      </c>
      <c r="Y173" s="150">
        <f t="shared" si="13"/>
        <v>402.85714285714283</v>
      </c>
    </row>
    <row r="174" spans="1:25">
      <c r="A174" s="134"/>
      <c r="B174" s="158">
        <f t="shared" si="14"/>
        <v>38148</v>
      </c>
      <c r="C174" s="159">
        <f t="shared" si="15"/>
        <v>480</v>
      </c>
      <c r="D174" s="159">
        <f t="shared" si="16"/>
        <v>321.42857142857162</v>
      </c>
      <c r="E174" s="159">
        <f t="shared" si="17"/>
        <v>79.285714285714306</v>
      </c>
      <c r="F174" s="159">
        <f t="shared" si="18"/>
        <v>400.71428571428567</v>
      </c>
      <c r="G174" s="137"/>
      <c r="H174" s="137"/>
      <c r="I174" s="137"/>
      <c r="J174" s="137"/>
      <c r="K174" s="160"/>
      <c r="L174" s="160"/>
      <c r="M174" s="137"/>
      <c r="N174" s="138"/>
      <c r="O174" s="138"/>
      <c r="P174" s="138"/>
      <c r="Q174" s="138"/>
      <c r="R174" s="138"/>
      <c r="S174" s="138"/>
      <c r="T174" s="138"/>
      <c r="U174" s="138"/>
      <c r="V174" s="150">
        <f t="shared" si="13"/>
        <v>480</v>
      </c>
      <c r="W174" s="150">
        <f t="shared" si="13"/>
        <v>321.42857142857162</v>
      </c>
      <c r="X174" s="150">
        <f t="shared" si="13"/>
        <v>79.285714285714306</v>
      </c>
      <c r="Y174" s="150">
        <f t="shared" si="13"/>
        <v>400.71428571428567</v>
      </c>
    </row>
    <row r="175" spans="1:25">
      <c r="A175" s="134"/>
      <c r="B175" s="158">
        <f t="shared" si="14"/>
        <v>38149</v>
      </c>
      <c r="C175" s="159">
        <f t="shared" si="15"/>
        <v>480</v>
      </c>
      <c r="D175" s="159">
        <f t="shared" si="16"/>
        <v>317.14285714285734</v>
      </c>
      <c r="E175" s="159">
        <f t="shared" si="17"/>
        <v>81.428571428571445</v>
      </c>
      <c r="F175" s="159">
        <f t="shared" si="18"/>
        <v>398.57142857142856</v>
      </c>
      <c r="G175" s="137"/>
      <c r="H175" s="137"/>
      <c r="I175" s="137"/>
      <c r="J175" s="137"/>
      <c r="K175" s="160"/>
      <c r="L175" s="160"/>
      <c r="M175" s="137"/>
      <c r="N175" s="138"/>
      <c r="O175" s="138"/>
      <c r="P175" s="138"/>
      <c r="Q175" s="138"/>
      <c r="R175" s="138"/>
      <c r="S175" s="138"/>
      <c r="T175" s="138"/>
      <c r="U175" s="138"/>
      <c r="V175" s="150">
        <f t="shared" si="13"/>
        <v>480</v>
      </c>
      <c r="W175" s="150">
        <f t="shared" si="13"/>
        <v>317.14285714285734</v>
      </c>
      <c r="X175" s="150">
        <f t="shared" si="13"/>
        <v>81.428571428571445</v>
      </c>
      <c r="Y175" s="150">
        <f t="shared" si="13"/>
        <v>398.57142857142856</v>
      </c>
    </row>
    <row r="176" spans="1:25">
      <c r="A176" s="134"/>
      <c r="B176" s="158">
        <f t="shared" si="14"/>
        <v>38150</v>
      </c>
      <c r="C176" s="159">
        <f t="shared" si="15"/>
        <v>480</v>
      </c>
      <c r="D176" s="159">
        <f t="shared" si="16"/>
        <v>312.85714285714306</v>
      </c>
      <c r="E176" s="159">
        <f t="shared" si="17"/>
        <v>83.571428571428584</v>
      </c>
      <c r="F176" s="159">
        <f t="shared" si="18"/>
        <v>396.42857142857144</v>
      </c>
      <c r="G176" s="137"/>
      <c r="H176" s="137"/>
      <c r="I176" s="137"/>
      <c r="J176" s="137"/>
      <c r="K176" s="160"/>
      <c r="L176" s="160"/>
      <c r="M176" s="137"/>
      <c r="N176" s="138"/>
      <c r="O176" s="138"/>
      <c r="P176" s="138"/>
      <c r="Q176" s="138"/>
      <c r="R176" s="138"/>
      <c r="S176" s="138"/>
      <c r="T176" s="138"/>
      <c r="U176" s="138"/>
      <c r="V176" s="150">
        <f t="shared" si="13"/>
        <v>480</v>
      </c>
      <c r="W176" s="150">
        <f t="shared" si="13"/>
        <v>312.85714285714306</v>
      </c>
      <c r="X176" s="150">
        <f t="shared" si="13"/>
        <v>83.571428571428584</v>
      </c>
      <c r="Y176" s="150">
        <f t="shared" si="13"/>
        <v>396.42857142857144</v>
      </c>
    </row>
    <row r="177" spans="1:25">
      <c r="A177" s="134"/>
      <c r="B177" s="158">
        <f t="shared" si="14"/>
        <v>38151</v>
      </c>
      <c r="C177" s="159">
        <f t="shared" si="15"/>
        <v>480</v>
      </c>
      <c r="D177" s="159">
        <f t="shared" si="16"/>
        <v>308.57142857142878</v>
      </c>
      <c r="E177" s="159">
        <f t="shared" si="17"/>
        <v>85.714285714285722</v>
      </c>
      <c r="F177" s="159">
        <f t="shared" si="18"/>
        <v>394.28571428571428</v>
      </c>
      <c r="G177" s="137"/>
      <c r="H177" s="137"/>
      <c r="I177" s="137"/>
      <c r="J177" s="137"/>
      <c r="K177" s="160"/>
      <c r="L177" s="160"/>
      <c r="M177" s="137"/>
      <c r="N177" s="138"/>
      <c r="O177" s="138"/>
      <c r="P177" s="138"/>
      <c r="Q177" s="138"/>
      <c r="R177" s="138"/>
      <c r="S177" s="138"/>
      <c r="T177" s="138"/>
      <c r="U177" s="138"/>
      <c r="V177" s="150">
        <f t="shared" si="13"/>
        <v>480</v>
      </c>
      <c r="W177" s="150">
        <f t="shared" si="13"/>
        <v>308.57142857142878</v>
      </c>
      <c r="X177" s="150">
        <f t="shared" si="13"/>
        <v>85.714285714285722</v>
      </c>
      <c r="Y177" s="150">
        <f t="shared" si="13"/>
        <v>394.28571428571428</v>
      </c>
    </row>
    <row r="178" spans="1:25">
      <c r="A178" s="134"/>
      <c r="B178" s="158">
        <f t="shared" si="14"/>
        <v>38152</v>
      </c>
      <c r="C178" s="159">
        <f t="shared" si="15"/>
        <v>480</v>
      </c>
      <c r="D178" s="159">
        <f t="shared" si="16"/>
        <v>304.2857142857145</v>
      </c>
      <c r="E178" s="159">
        <f t="shared" si="17"/>
        <v>87.857142857142861</v>
      </c>
      <c r="F178" s="159">
        <f t="shared" si="18"/>
        <v>392.14285714285711</v>
      </c>
      <c r="G178" s="137"/>
      <c r="H178" s="137"/>
      <c r="I178" s="137"/>
      <c r="J178" s="137"/>
      <c r="K178" s="160"/>
      <c r="L178" s="160"/>
      <c r="M178" s="137"/>
      <c r="N178" s="138"/>
      <c r="O178" s="138"/>
      <c r="P178" s="138"/>
      <c r="Q178" s="138"/>
      <c r="R178" s="138"/>
      <c r="S178" s="138"/>
      <c r="T178" s="138"/>
      <c r="U178" s="138"/>
      <c r="V178" s="150">
        <f t="shared" si="13"/>
        <v>480</v>
      </c>
      <c r="W178" s="150">
        <f t="shared" si="13"/>
        <v>304.2857142857145</v>
      </c>
      <c r="X178" s="150">
        <f t="shared" si="13"/>
        <v>87.857142857142861</v>
      </c>
      <c r="Y178" s="150">
        <f t="shared" si="13"/>
        <v>392.14285714285711</v>
      </c>
    </row>
    <row r="179" spans="1:25">
      <c r="A179" s="134"/>
      <c r="B179" s="158">
        <f t="shared" si="14"/>
        <v>38153</v>
      </c>
      <c r="C179" s="159">
        <f t="shared" si="15"/>
        <v>480</v>
      </c>
      <c r="D179" s="159">
        <f t="shared" si="16"/>
        <v>300.00000000000023</v>
      </c>
      <c r="E179" s="159">
        <f t="shared" si="17"/>
        <v>90</v>
      </c>
      <c r="F179" s="159">
        <f t="shared" si="18"/>
        <v>390</v>
      </c>
      <c r="G179" s="137"/>
      <c r="H179" s="137"/>
      <c r="I179" s="137"/>
      <c r="J179" s="137"/>
      <c r="K179" s="160"/>
      <c r="L179" s="160"/>
      <c r="M179" s="137"/>
      <c r="N179" s="138"/>
      <c r="O179" s="138"/>
      <c r="P179" s="138"/>
      <c r="Q179" s="138"/>
      <c r="R179" s="138"/>
      <c r="S179" s="138"/>
      <c r="T179" s="138"/>
      <c r="U179" s="138"/>
      <c r="V179" s="150">
        <f t="shared" si="13"/>
        <v>480</v>
      </c>
      <c r="W179" s="150">
        <f t="shared" si="13"/>
        <v>300.00000000000023</v>
      </c>
      <c r="X179" s="150">
        <f t="shared" si="13"/>
        <v>90</v>
      </c>
      <c r="Y179" s="150">
        <f t="shared" si="13"/>
        <v>390</v>
      </c>
    </row>
    <row r="180" spans="1:25">
      <c r="A180" s="134"/>
      <c r="B180" s="158">
        <f t="shared" si="14"/>
        <v>38154</v>
      </c>
      <c r="C180" s="159">
        <f t="shared" si="15"/>
        <v>480</v>
      </c>
      <c r="D180" s="159">
        <f t="shared" si="16"/>
        <v>295.71428571428595</v>
      </c>
      <c r="E180" s="159">
        <f t="shared" si="17"/>
        <v>92.142857142857139</v>
      </c>
      <c r="F180" s="159">
        <f t="shared" si="18"/>
        <v>387.85714285714289</v>
      </c>
      <c r="G180" s="137"/>
      <c r="H180" s="137"/>
      <c r="I180" s="137"/>
      <c r="J180" s="137"/>
      <c r="K180" s="160"/>
      <c r="L180" s="160"/>
      <c r="M180" s="137"/>
      <c r="N180" s="138"/>
      <c r="O180" s="138"/>
      <c r="P180" s="138"/>
      <c r="Q180" s="138"/>
      <c r="R180" s="138"/>
      <c r="S180" s="138"/>
      <c r="T180" s="138"/>
      <c r="U180" s="138"/>
      <c r="V180" s="150">
        <f t="shared" si="13"/>
        <v>480</v>
      </c>
      <c r="W180" s="150">
        <f t="shared" si="13"/>
        <v>295.71428571428595</v>
      </c>
      <c r="X180" s="150">
        <f t="shared" si="13"/>
        <v>92.142857142857139</v>
      </c>
      <c r="Y180" s="150">
        <f t="shared" si="13"/>
        <v>387.85714285714289</v>
      </c>
    </row>
    <row r="181" spans="1:25">
      <c r="A181" s="134"/>
      <c r="B181" s="158">
        <f t="shared" si="14"/>
        <v>38155</v>
      </c>
      <c r="C181" s="159">
        <f t="shared" si="15"/>
        <v>480</v>
      </c>
      <c r="D181" s="159">
        <f t="shared" si="16"/>
        <v>291.42857142857167</v>
      </c>
      <c r="E181" s="159">
        <f t="shared" si="17"/>
        <v>94.285714285714278</v>
      </c>
      <c r="F181" s="159">
        <f t="shared" si="18"/>
        <v>385.71428571428572</v>
      </c>
      <c r="G181" s="137"/>
      <c r="H181" s="137"/>
      <c r="I181" s="137"/>
      <c r="J181" s="137"/>
      <c r="K181" s="160"/>
      <c r="L181" s="160"/>
      <c r="M181" s="137"/>
      <c r="N181" s="138"/>
      <c r="O181" s="138"/>
      <c r="P181" s="138"/>
      <c r="Q181" s="138"/>
      <c r="R181" s="138"/>
      <c r="S181" s="138"/>
      <c r="T181" s="138"/>
      <c r="U181" s="138"/>
      <c r="V181" s="150">
        <f t="shared" si="13"/>
        <v>480</v>
      </c>
      <c r="W181" s="150">
        <f t="shared" si="13"/>
        <v>291.42857142857167</v>
      </c>
      <c r="X181" s="150">
        <f t="shared" si="13"/>
        <v>94.285714285714278</v>
      </c>
      <c r="Y181" s="150">
        <f t="shared" si="13"/>
        <v>385.71428571428572</v>
      </c>
    </row>
    <row r="182" spans="1:25">
      <c r="A182" s="134"/>
      <c r="B182" s="158">
        <f t="shared" si="14"/>
        <v>38156</v>
      </c>
      <c r="C182" s="159">
        <f t="shared" si="15"/>
        <v>480</v>
      </c>
      <c r="D182" s="159">
        <f t="shared" si="16"/>
        <v>287.14285714285739</v>
      </c>
      <c r="E182" s="159">
        <f t="shared" si="17"/>
        <v>96.428571428571416</v>
      </c>
      <c r="F182" s="159">
        <f t="shared" si="18"/>
        <v>383.57142857142856</v>
      </c>
      <c r="G182" s="137"/>
      <c r="H182" s="137"/>
      <c r="I182" s="137"/>
      <c r="J182" s="137"/>
      <c r="K182" s="160"/>
      <c r="L182" s="160"/>
      <c r="M182" s="137"/>
      <c r="N182" s="138"/>
      <c r="O182" s="138"/>
      <c r="P182" s="138"/>
      <c r="Q182" s="138"/>
      <c r="R182" s="138"/>
      <c r="S182" s="138"/>
      <c r="T182" s="138"/>
      <c r="U182" s="138"/>
      <c r="V182" s="150">
        <f t="shared" si="13"/>
        <v>480</v>
      </c>
      <c r="W182" s="150">
        <f t="shared" si="13"/>
        <v>287.14285714285739</v>
      </c>
      <c r="X182" s="150">
        <f t="shared" si="13"/>
        <v>96.428571428571416</v>
      </c>
      <c r="Y182" s="150">
        <f t="shared" si="13"/>
        <v>383.57142857142856</v>
      </c>
    </row>
    <row r="183" spans="1:25">
      <c r="A183" s="134"/>
      <c r="B183" s="158">
        <f t="shared" si="14"/>
        <v>38157</v>
      </c>
      <c r="C183" s="159">
        <f t="shared" si="15"/>
        <v>480</v>
      </c>
      <c r="D183" s="159">
        <f t="shared" si="16"/>
        <v>282.85714285714312</v>
      </c>
      <c r="E183" s="159">
        <f t="shared" si="17"/>
        <v>98.571428571428555</v>
      </c>
      <c r="F183" s="159">
        <f t="shared" si="18"/>
        <v>381.42857142857144</v>
      </c>
      <c r="G183" s="137"/>
      <c r="H183" s="137"/>
      <c r="I183" s="137"/>
      <c r="J183" s="137"/>
      <c r="K183" s="160"/>
      <c r="L183" s="160"/>
      <c r="M183" s="137"/>
      <c r="N183" s="138"/>
      <c r="O183" s="138"/>
      <c r="P183" s="138"/>
      <c r="Q183" s="138"/>
      <c r="R183" s="138"/>
      <c r="S183" s="138"/>
      <c r="T183" s="138"/>
      <c r="U183" s="138"/>
      <c r="V183" s="150">
        <f t="shared" si="13"/>
        <v>480</v>
      </c>
      <c r="W183" s="150">
        <f t="shared" si="13"/>
        <v>282.85714285714312</v>
      </c>
      <c r="X183" s="150">
        <f t="shared" si="13"/>
        <v>98.571428571428555</v>
      </c>
      <c r="Y183" s="150">
        <f t="shared" si="13"/>
        <v>381.42857142857144</v>
      </c>
    </row>
    <row r="184" spans="1:25">
      <c r="A184" s="134"/>
      <c r="B184" s="158">
        <f t="shared" si="14"/>
        <v>38158</v>
      </c>
      <c r="C184" s="159">
        <f t="shared" si="15"/>
        <v>480</v>
      </c>
      <c r="D184" s="159">
        <f t="shared" si="16"/>
        <v>278.57142857142884</v>
      </c>
      <c r="E184" s="159">
        <f t="shared" si="17"/>
        <v>100.71428571428569</v>
      </c>
      <c r="F184" s="159">
        <f t="shared" si="18"/>
        <v>379.28571428571433</v>
      </c>
      <c r="G184" s="137"/>
      <c r="H184" s="137"/>
      <c r="I184" s="137"/>
      <c r="J184" s="137"/>
      <c r="K184" s="160"/>
      <c r="L184" s="160"/>
      <c r="M184" s="137"/>
      <c r="N184" s="138"/>
      <c r="O184" s="138"/>
      <c r="P184" s="138"/>
      <c r="Q184" s="138"/>
      <c r="R184" s="138"/>
      <c r="S184" s="138"/>
      <c r="T184" s="138"/>
      <c r="U184" s="138"/>
      <c r="V184" s="150">
        <f t="shared" si="13"/>
        <v>480</v>
      </c>
      <c r="W184" s="150">
        <f t="shared" si="13"/>
        <v>278.57142857142884</v>
      </c>
      <c r="X184" s="150">
        <f t="shared" si="13"/>
        <v>100.71428571428569</v>
      </c>
      <c r="Y184" s="150">
        <f t="shared" si="13"/>
        <v>379.28571428571433</v>
      </c>
    </row>
    <row r="185" spans="1:25">
      <c r="A185" s="134"/>
      <c r="B185" s="158">
        <f t="shared" si="14"/>
        <v>38159</v>
      </c>
      <c r="C185" s="159">
        <f t="shared" si="15"/>
        <v>480</v>
      </c>
      <c r="D185" s="159">
        <f t="shared" si="16"/>
        <v>274.28571428571456</v>
      </c>
      <c r="E185" s="159">
        <f t="shared" si="17"/>
        <v>102.85714285714283</v>
      </c>
      <c r="F185" s="159">
        <f t="shared" si="18"/>
        <v>377.14285714285717</v>
      </c>
      <c r="G185" s="137"/>
      <c r="H185" s="137"/>
      <c r="I185" s="137"/>
      <c r="J185" s="137"/>
      <c r="K185" s="160"/>
      <c r="L185" s="160"/>
      <c r="M185" s="137"/>
      <c r="N185" s="138"/>
      <c r="O185" s="138"/>
      <c r="P185" s="138"/>
      <c r="Q185" s="138"/>
      <c r="R185" s="138"/>
      <c r="S185" s="138"/>
      <c r="T185" s="138"/>
      <c r="U185" s="138"/>
      <c r="V185" s="150">
        <f t="shared" si="13"/>
        <v>480</v>
      </c>
      <c r="W185" s="150">
        <f t="shared" si="13"/>
        <v>274.28571428571456</v>
      </c>
      <c r="X185" s="150">
        <f t="shared" si="13"/>
        <v>102.85714285714283</v>
      </c>
      <c r="Y185" s="150">
        <f t="shared" si="13"/>
        <v>377.14285714285717</v>
      </c>
    </row>
    <row r="186" spans="1:25">
      <c r="A186" s="134"/>
      <c r="B186" s="158">
        <f t="shared" si="14"/>
        <v>38160</v>
      </c>
      <c r="C186" s="159">
        <f t="shared" si="15"/>
        <v>480</v>
      </c>
      <c r="D186" s="159">
        <f t="shared" si="16"/>
        <v>270.00000000000028</v>
      </c>
      <c r="E186" s="159">
        <f t="shared" si="17"/>
        <v>104.99999999999997</v>
      </c>
      <c r="F186" s="159">
        <f t="shared" si="18"/>
        <v>375</v>
      </c>
      <c r="G186" s="137"/>
      <c r="H186" s="137"/>
      <c r="I186" s="137"/>
      <c r="J186" s="137"/>
      <c r="K186" s="160"/>
      <c r="L186" s="160"/>
      <c r="M186" s="137"/>
      <c r="N186" s="138"/>
      <c r="O186" s="138"/>
      <c r="P186" s="138"/>
      <c r="Q186" s="138"/>
      <c r="R186" s="138"/>
      <c r="S186" s="138"/>
      <c r="T186" s="138"/>
      <c r="U186" s="138"/>
      <c r="V186" s="150">
        <f t="shared" si="13"/>
        <v>480</v>
      </c>
      <c r="W186" s="150">
        <f t="shared" si="13"/>
        <v>270.00000000000028</v>
      </c>
      <c r="X186" s="150">
        <f t="shared" si="13"/>
        <v>104.99999999999997</v>
      </c>
      <c r="Y186" s="150">
        <f t="shared" si="13"/>
        <v>375</v>
      </c>
    </row>
    <row r="187" spans="1:25">
      <c r="A187" s="134"/>
      <c r="B187" s="158">
        <f t="shared" si="14"/>
        <v>38161</v>
      </c>
      <c r="C187" s="159">
        <f t="shared" si="15"/>
        <v>480</v>
      </c>
      <c r="D187" s="159">
        <f t="shared" si="16"/>
        <v>265.71428571428601</v>
      </c>
      <c r="E187" s="159">
        <f t="shared" si="17"/>
        <v>107.14285714285711</v>
      </c>
      <c r="F187" s="159">
        <f t="shared" si="18"/>
        <v>372.85714285714289</v>
      </c>
      <c r="G187" s="137"/>
      <c r="H187" s="137"/>
      <c r="I187" s="137"/>
      <c r="J187" s="137"/>
      <c r="K187" s="160"/>
      <c r="L187" s="160"/>
      <c r="M187" s="137"/>
      <c r="N187" s="138"/>
      <c r="O187" s="138"/>
      <c r="P187" s="138"/>
      <c r="Q187" s="138"/>
      <c r="R187" s="138"/>
      <c r="S187" s="138"/>
      <c r="T187" s="138"/>
      <c r="U187" s="138"/>
      <c r="V187" s="150">
        <f t="shared" si="13"/>
        <v>480</v>
      </c>
      <c r="W187" s="150">
        <f t="shared" si="13"/>
        <v>265.71428571428601</v>
      </c>
      <c r="X187" s="150">
        <f t="shared" si="13"/>
        <v>107.14285714285711</v>
      </c>
      <c r="Y187" s="150">
        <f t="shared" si="13"/>
        <v>372.85714285714289</v>
      </c>
    </row>
    <row r="188" spans="1:25">
      <c r="A188" s="134"/>
      <c r="B188" s="158">
        <f t="shared" si="14"/>
        <v>38162</v>
      </c>
      <c r="C188" s="159">
        <f t="shared" si="15"/>
        <v>480</v>
      </c>
      <c r="D188" s="159">
        <f t="shared" si="16"/>
        <v>261.42857142857173</v>
      </c>
      <c r="E188" s="159">
        <f t="shared" si="17"/>
        <v>109.28571428571425</v>
      </c>
      <c r="F188" s="159">
        <f t="shared" si="18"/>
        <v>370.71428571428578</v>
      </c>
      <c r="G188" s="137"/>
      <c r="H188" s="137"/>
      <c r="I188" s="137"/>
      <c r="J188" s="137"/>
      <c r="K188" s="160"/>
      <c r="L188" s="160"/>
      <c r="M188" s="137"/>
      <c r="N188" s="138"/>
      <c r="O188" s="138"/>
      <c r="P188" s="138"/>
      <c r="Q188" s="138"/>
      <c r="R188" s="138"/>
      <c r="S188" s="138"/>
      <c r="T188" s="138"/>
      <c r="U188" s="138"/>
      <c r="V188" s="150">
        <f t="shared" si="13"/>
        <v>480</v>
      </c>
      <c r="W188" s="150">
        <f t="shared" si="13"/>
        <v>261.42857142857173</v>
      </c>
      <c r="X188" s="150">
        <f t="shared" si="13"/>
        <v>109.28571428571425</v>
      </c>
      <c r="Y188" s="150">
        <f t="shared" si="13"/>
        <v>370.71428571428578</v>
      </c>
    </row>
    <row r="189" spans="1:25">
      <c r="A189" s="134"/>
      <c r="B189" s="158">
        <f t="shared" si="14"/>
        <v>38163</v>
      </c>
      <c r="C189" s="159">
        <f t="shared" si="15"/>
        <v>480</v>
      </c>
      <c r="D189" s="159">
        <f t="shared" si="16"/>
        <v>257.14285714285745</v>
      </c>
      <c r="E189" s="159">
        <f t="shared" si="17"/>
        <v>111.42857142857139</v>
      </c>
      <c r="F189" s="159">
        <f t="shared" si="18"/>
        <v>368.57142857142861</v>
      </c>
      <c r="G189" s="137"/>
      <c r="H189" s="137"/>
      <c r="I189" s="137"/>
      <c r="J189" s="137"/>
      <c r="K189" s="160"/>
      <c r="L189" s="160"/>
      <c r="M189" s="137"/>
      <c r="N189" s="138"/>
      <c r="O189" s="138"/>
      <c r="P189" s="138"/>
      <c r="Q189" s="138"/>
      <c r="R189" s="138"/>
      <c r="S189" s="138"/>
      <c r="T189" s="138"/>
      <c r="U189" s="138"/>
      <c r="V189" s="150">
        <f t="shared" si="13"/>
        <v>480</v>
      </c>
      <c r="W189" s="150">
        <f t="shared" si="13"/>
        <v>257.14285714285745</v>
      </c>
      <c r="X189" s="150">
        <f t="shared" si="13"/>
        <v>111.42857142857139</v>
      </c>
      <c r="Y189" s="150">
        <f t="shared" si="13"/>
        <v>368.57142857142861</v>
      </c>
    </row>
    <row r="190" spans="1:25">
      <c r="A190" s="134"/>
      <c r="B190" s="158">
        <f t="shared" si="14"/>
        <v>38164</v>
      </c>
      <c r="C190" s="159">
        <f t="shared" si="15"/>
        <v>480</v>
      </c>
      <c r="D190" s="159">
        <f t="shared" si="16"/>
        <v>252.85714285714317</v>
      </c>
      <c r="E190" s="159">
        <f t="shared" si="17"/>
        <v>113.57142857142853</v>
      </c>
      <c r="F190" s="159">
        <f t="shared" si="18"/>
        <v>366.42857142857144</v>
      </c>
      <c r="G190" s="137"/>
      <c r="H190" s="137"/>
      <c r="I190" s="137"/>
      <c r="J190" s="137"/>
      <c r="K190" s="160"/>
      <c r="L190" s="160"/>
      <c r="M190" s="137"/>
      <c r="N190" s="138"/>
      <c r="O190" s="138"/>
      <c r="P190" s="138"/>
      <c r="Q190" s="138"/>
      <c r="R190" s="138"/>
      <c r="S190" s="138"/>
      <c r="T190" s="138"/>
      <c r="U190" s="138"/>
      <c r="V190" s="150">
        <f t="shared" si="13"/>
        <v>480</v>
      </c>
      <c r="W190" s="150">
        <f t="shared" si="13"/>
        <v>252.85714285714317</v>
      </c>
      <c r="X190" s="150">
        <f t="shared" si="13"/>
        <v>113.57142857142853</v>
      </c>
      <c r="Y190" s="150">
        <f t="shared" si="13"/>
        <v>366.42857142857144</v>
      </c>
    </row>
    <row r="191" spans="1:25">
      <c r="A191" s="134"/>
      <c r="B191" s="158">
        <f t="shared" si="14"/>
        <v>38165</v>
      </c>
      <c r="C191" s="159">
        <f t="shared" si="15"/>
        <v>480</v>
      </c>
      <c r="D191" s="159">
        <f t="shared" si="16"/>
        <v>248.5714285714289</v>
      </c>
      <c r="E191" s="159">
        <f t="shared" si="17"/>
        <v>115.71428571428567</v>
      </c>
      <c r="F191" s="159">
        <f t="shared" si="18"/>
        <v>364.28571428571433</v>
      </c>
      <c r="G191" s="137"/>
      <c r="H191" s="137"/>
      <c r="I191" s="137"/>
      <c r="J191" s="137"/>
      <c r="K191" s="160"/>
      <c r="L191" s="160"/>
      <c r="M191" s="137"/>
      <c r="N191" s="138"/>
      <c r="O191" s="138"/>
      <c r="P191" s="138"/>
      <c r="Q191" s="138"/>
      <c r="R191" s="138"/>
      <c r="S191" s="138"/>
      <c r="T191" s="138"/>
      <c r="U191" s="138"/>
      <c r="V191" s="150">
        <f t="shared" si="13"/>
        <v>480</v>
      </c>
      <c r="W191" s="150">
        <f t="shared" si="13"/>
        <v>248.5714285714289</v>
      </c>
      <c r="X191" s="150">
        <f t="shared" si="13"/>
        <v>115.71428571428567</v>
      </c>
      <c r="Y191" s="150">
        <f t="shared" si="13"/>
        <v>364.28571428571433</v>
      </c>
    </row>
    <row r="192" spans="1:25">
      <c r="A192" s="134"/>
      <c r="B192" s="158">
        <f t="shared" si="14"/>
        <v>38166</v>
      </c>
      <c r="C192" s="159">
        <f t="shared" si="15"/>
        <v>480</v>
      </c>
      <c r="D192" s="159">
        <f t="shared" si="16"/>
        <v>244.28571428571462</v>
      </c>
      <c r="E192" s="159">
        <f t="shared" si="17"/>
        <v>117.8571428571428</v>
      </c>
      <c r="F192" s="159">
        <f t="shared" si="18"/>
        <v>362.14285714285722</v>
      </c>
      <c r="G192" s="137"/>
      <c r="H192" s="137"/>
      <c r="I192" s="137"/>
      <c r="J192" s="137"/>
      <c r="K192" s="160"/>
      <c r="L192" s="160"/>
      <c r="M192" s="137"/>
      <c r="N192" s="138"/>
      <c r="O192" s="138"/>
      <c r="P192" s="138"/>
      <c r="Q192" s="138"/>
      <c r="R192" s="138"/>
      <c r="S192" s="138"/>
      <c r="T192" s="138"/>
      <c r="U192" s="138"/>
      <c r="V192" s="150">
        <f t="shared" si="13"/>
        <v>480</v>
      </c>
      <c r="W192" s="150">
        <f t="shared" si="13"/>
        <v>244.28571428571462</v>
      </c>
      <c r="X192" s="150">
        <f t="shared" si="13"/>
        <v>117.8571428571428</v>
      </c>
      <c r="Y192" s="150">
        <f t="shared" si="13"/>
        <v>362.14285714285722</v>
      </c>
    </row>
    <row r="193" spans="1:25">
      <c r="A193" s="134"/>
      <c r="B193" s="158">
        <f t="shared" si="14"/>
        <v>38167</v>
      </c>
      <c r="C193" s="159">
        <f t="shared" si="15"/>
        <v>480</v>
      </c>
      <c r="D193" s="159">
        <f t="shared" si="16"/>
        <v>240.00000000000034</v>
      </c>
      <c r="E193" s="159">
        <f t="shared" si="17"/>
        <v>119.99999999999994</v>
      </c>
      <c r="F193" s="159">
        <f t="shared" si="18"/>
        <v>360.00000000000006</v>
      </c>
      <c r="G193" s="137"/>
      <c r="H193" s="137"/>
      <c r="I193" s="137"/>
      <c r="J193" s="137"/>
      <c r="K193" s="160"/>
      <c r="L193" s="160"/>
      <c r="M193" s="137"/>
      <c r="N193" s="138"/>
      <c r="O193" s="138"/>
      <c r="P193" s="138"/>
      <c r="Q193" s="138"/>
      <c r="R193" s="138"/>
      <c r="S193" s="138"/>
      <c r="T193" s="138"/>
      <c r="U193" s="138"/>
      <c r="V193" s="150">
        <f t="shared" si="13"/>
        <v>480</v>
      </c>
      <c r="W193" s="150">
        <f t="shared" si="13"/>
        <v>240.00000000000034</v>
      </c>
      <c r="X193" s="150">
        <f t="shared" si="13"/>
        <v>119.99999999999994</v>
      </c>
      <c r="Y193" s="150">
        <f t="shared" si="13"/>
        <v>360.00000000000006</v>
      </c>
    </row>
    <row r="194" spans="1:25">
      <c r="A194" s="134"/>
      <c r="B194" s="158">
        <f t="shared" si="14"/>
        <v>38168</v>
      </c>
      <c r="C194" s="159">
        <f t="shared" si="15"/>
        <v>480</v>
      </c>
      <c r="D194" s="159">
        <f t="shared" si="16"/>
        <v>240.00000000000034</v>
      </c>
      <c r="E194" s="159">
        <f t="shared" si="17"/>
        <v>119.99999999999994</v>
      </c>
      <c r="F194" s="159">
        <f t="shared" si="18"/>
        <v>360.00000000000006</v>
      </c>
      <c r="G194" s="137"/>
      <c r="H194" s="137"/>
      <c r="I194" s="137"/>
      <c r="J194" s="137"/>
      <c r="K194" s="160"/>
      <c r="L194" s="160"/>
      <c r="M194" s="137"/>
      <c r="N194" s="138"/>
      <c r="O194" s="138"/>
      <c r="P194" s="138"/>
      <c r="Q194" s="138"/>
      <c r="R194" s="138"/>
      <c r="S194" s="138"/>
      <c r="T194" s="138"/>
      <c r="U194" s="138"/>
      <c r="V194" s="150">
        <f t="shared" si="13"/>
        <v>480</v>
      </c>
      <c r="W194" s="150">
        <f t="shared" si="13"/>
        <v>240.00000000000034</v>
      </c>
      <c r="X194" s="150">
        <f t="shared" si="13"/>
        <v>119.99999999999994</v>
      </c>
      <c r="Y194" s="150">
        <f t="shared" si="13"/>
        <v>360.00000000000006</v>
      </c>
    </row>
    <row r="195" spans="1:25">
      <c r="A195" s="134"/>
      <c r="B195" s="158">
        <f t="shared" si="14"/>
        <v>38169</v>
      </c>
      <c r="C195" s="159">
        <f t="shared" si="15"/>
        <v>480</v>
      </c>
      <c r="D195" s="159">
        <f t="shared" si="16"/>
        <v>240.00000000000034</v>
      </c>
      <c r="E195" s="159">
        <f t="shared" si="17"/>
        <v>119.99999999999994</v>
      </c>
      <c r="F195" s="159">
        <f t="shared" si="18"/>
        <v>360.00000000000006</v>
      </c>
      <c r="G195" s="137"/>
      <c r="H195" s="137"/>
      <c r="I195" s="137"/>
      <c r="J195" s="137"/>
      <c r="K195" s="160"/>
      <c r="L195" s="160"/>
      <c r="M195" s="137"/>
      <c r="N195" s="138"/>
      <c r="O195" s="138"/>
      <c r="P195" s="138"/>
      <c r="Q195" s="138"/>
      <c r="R195" s="138"/>
      <c r="S195" s="138"/>
      <c r="T195" s="138"/>
      <c r="U195" s="138"/>
      <c r="V195" s="150">
        <f t="shared" si="13"/>
        <v>480</v>
      </c>
      <c r="W195" s="150">
        <f t="shared" si="13"/>
        <v>240.00000000000034</v>
      </c>
      <c r="X195" s="150">
        <f t="shared" si="13"/>
        <v>119.99999999999994</v>
      </c>
      <c r="Y195" s="150">
        <f t="shared" si="13"/>
        <v>360.00000000000006</v>
      </c>
    </row>
    <row r="196" spans="1:25">
      <c r="A196" s="134"/>
      <c r="B196" s="158">
        <f t="shared" si="14"/>
        <v>38170</v>
      </c>
      <c r="C196" s="159">
        <f t="shared" si="15"/>
        <v>480</v>
      </c>
      <c r="D196" s="159">
        <f t="shared" si="16"/>
        <v>240.00000000000034</v>
      </c>
      <c r="E196" s="159">
        <f t="shared" si="17"/>
        <v>119.99999999999994</v>
      </c>
      <c r="F196" s="159">
        <f t="shared" si="18"/>
        <v>360.00000000000006</v>
      </c>
      <c r="G196" s="137"/>
      <c r="H196" s="137"/>
      <c r="I196" s="137"/>
      <c r="J196" s="137"/>
      <c r="K196" s="160"/>
      <c r="L196" s="160"/>
      <c r="M196" s="137"/>
      <c r="N196" s="138"/>
      <c r="O196" s="138"/>
      <c r="P196" s="138"/>
      <c r="Q196" s="138"/>
      <c r="R196" s="138"/>
      <c r="S196" s="138"/>
      <c r="T196" s="138"/>
      <c r="U196" s="138"/>
      <c r="V196" s="150">
        <f t="shared" si="13"/>
        <v>480</v>
      </c>
      <c r="W196" s="150">
        <f t="shared" si="13"/>
        <v>240.00000000000034</v>
      </c>
      <c r="X196" s="150">
        <f t="shared" si="13"/>
        <v>119.99999999999994</v>
      </c>
      <c r="Y196" s="150">
        <f t="shared" si="13"/>
        <v>360.00000000000006</v>
      </c>
    </row>
    <row r="197" spans="1:25">
      <c r="A197" s="134"/>
      <c r="B197" s="158">
        <f t="shared" si="14"/>
        <v>38171</v>
      </c>
      <c r="C197" s="159">
        <f t="shared" si="15"/>
        <v>480</v>
      </c>
      <c r="D197" s="159">
        <f t="shared" si="16"/>
        <v>240.00000000000034</v>
      </c>
      <c r="E197" s="159">
        <f t="shared" si="17"/>
        <v>119.99999999999994</v>
      </c>
      <c r="F197" s="159">
        <f t="shared" si="18"/>
        <v>360.00000000000006</v>
      </c>
      <c r="G197" s="137"/>
      <c r="H197" s="137"/>
      <c r="I197" s="137"/>
      <c r="J197" s="137"/>
      <c r="K197" s="160"/>
      <c r="L197" s="160"/>
      <c r="M197" s="137"/>
      <c r="N197" s="138"/>
      <c r="O197" s="138"/>
      <c r="P197" s="138"/>
      <c r="Q197" s="138"/>
      <c r="R197" s="138"/>
      <c r="S197" s="138"/>
      <c r="T197" s="138"/>
      <c r="U197" s="138"/>
      <c r="V197" s="150">
        <f t="shared" si="13"/>
        <v>480</v>
      </c>
      <c r="W197" s="150">
        <f t="shared" si="13"/>
        <v>240.00000000000034</v>
      </c>
      <c r="X197" s="150">
        <f t="shared" si="13"/>
        <v>119.99999999999994</v>
      </c>
      <c r="Y197" s="150">
        <f t="shared" si="13"/>
        <v>360.00000000000006</v>
      </c>
    </row>
    <row r="198" spans="1:25">
      <c r="A198" s="134"/>
      <c r="B198" s="158">
        <f t="shared" si="14"/>
        <v>38172</v>
      </c>
      <c r="C198" s="159">
        <f t="shared" si="15"/>
        <v>480</v>
      </c>
      <c r="D198" s="159">
        <f t="shared" si="16"/>
        <v>240.00000000000034</v>
      </c>
      <c r="E198" s="159">
        <f t="shared" si="17"/>
        <v>119.99999999999994</v>
      </c>
      <c r="F198" s="159">
        <f t="shared" si="18"/>
        <v>360.00000000000006</v>
      </c>
      <c r="G198" s="137"/>
      <c r="H198" s="137"/>
      <c r="I198" s="137"/>
      <c r="J198" s="137"/>
      <c r="K198" s="160"/>
      <c r="L198" s="160"/>
      <c r="M198" s="137"/>
      <c r="N198" s="138"/>
      <c r="O198" s="138"/>
      <c r="P198" s="138"/>
      <c r="Q198" s="138"/>
      <c r="R198" s="138"/>
      <c r="S198" s="138"/>
      <c r="T198" s="138"/>
      <c r="U198" s="138"/>
      <c r="V198" s="150">
        <f t="shared" si="13"/>
        <v>480</v>
      </c>
      <c r="W198" s="150">
        <f t="shared" si="13"/>
        <v>240.00000000000034</v>
      </c>
      <c r="X198" s="150">
        <f t="shared" si="13"/>
        <v>119.99999999999994</v>
      </c>
      <c r="Y198" s="150">
        <f t="shared" si="13"/>
        <v>360.00000000000006</v>
      </c>
    </row>
    <row r="199" spans="1:25">
      <c r="A199" s="134"/>
      <c r="B199" s="158">
        <f t="shared" si="14"/>
        <v>38173</v>
      </c>
      <c r="C199" s="159">
        <f t="shared" si="15"/>
        <v>480</v>
      </c>
      <c r="D199" s="159">
        <f t="shared" si="16"/>
        <v>240.00000000000034</v>
      </c>
      <c r="E199" s="159">
        <f t="shared" si="17"/>
        <v>119.99999999999994</v>
      </c>
      <c r="F199" s="159">
        <f t="shared" si="18"/>
        <v>360.00000000000006</v>
      </c>
      <c r="G199" s="137"/>
      <c r="H199" s="137"/>
      <c r="I199" s="137"/>
      <c r="J199" s="137"/>
      <c r="K199" s="160"/>
      <c r="L199" s="160"/>
      <c r="M199" s="137"/>
      <c r="N199" s="138"/>
      <c r="O199" s="138"/>
      <c r="P199" s="138"/>
      <c r="Q199" s="138"/>
      <c r="R199" s="138"/>
      <c r="S199" s="138"/>
      <c r="T199" s="138"/>
      <c r="U199" s="138"/>
      <c r="V199" s="150">
        <f t="shared" si="13"/>
        <v>480</v>
      </c>
      <c r="W199" s="150">
        <f t="shared" si="13"/>
        <v>240.00000000000034</v>
      </c>
      <c r="X199" s="150">
        <f t="shared" si="13"/>
        <v>119.99999999999994</v>
      </c>
      <c r="Y199" s="150">
        <f t="shared" si="13"/>
        <v>360.00000000000006</v>
      </c>
    </row>
    <row r="200" spans="1:25">
      <c r="A200" s="134"/>
      <c r="B200" s="158">
        <f t="shared" si="14"/>
        <v>38174</v>
      </c>
      <c r="C200" s="159">
        <f t="shared" si="15"/>
        <v>480</v>
      </c>
      <c r="D200" s="159">
        <f t="shared" si="16"/>
        <v>240.00000000000034</v>
      </c>
      <c r="E200" s="159">
        <f t="shared" si="17"/>
        <v>119.99999999999994</v>
      </c>
      <c r="F200" s="159">
        <f t="shared" si="18"/>
        <v>360.00000000000006</v>
      </c>
      <c r="G200" s="137"/>
      <c r="H200" s="137"/>
      <c r="I200" s="137"/>
      <c r="J200" s="137"/>
      <c r="K200" s="160"/>
      <c r="L200" s="160"/>
      <c r="M200" s="137"/>
      <c r="N200" s="138"/>
      <c r="O200" s="138"/>
      <c r="P200" s="138"/>
      <c r="Q200" s="138"/>
      <c r="R200" s="138"/>
      <c r="S200" s="138"/>
      <c r="T200" s="138"/>
      <c r="U200" s="138"/>
      <c r="V200" s="150">
        <f t="shared" si="13"/>
        <v>480</v>
      </c>
      <c r="W200" s="150">
        <f t="shared" si="13"/>
        <v>240.00000000000034</v>
      </c>
      <c r="X200" s="150">
        <f t="shared" si="13"/>
        <v>119.99999999999994</v>
      </c>
      <c r="Y200" s="150">
        <f t="shared" si="13"/>
        <v>360.00000000000006</v>
      </c>
    </row>
    <row r="201" spans="1:25">
      <c r="A201" s="134"/>
      <c r="B201" s="158">
        <f t="shared" si="14"/>
        <v>38175</v>
      </c>
      <c r="C201" s="159">
        <f t="shared" si="15"/>
        <v>480</v>
      </c>
      <c r="D201" s="159">
        <f t="shared" si="16"/>
        <v>240.00000000000034</v>
      </c>
      <c r="E201" s="159">
        <f t="shared" si="17"/>
        <v>119.99999999999994</v>
      </c>
      <c r="F201" s="159">
        <f t="shared" si="18"/>
        <v>360.00000000000006</v>
      </c>
      <c r="G201" s="137"/>
      <c r="H201" s="137"/>
      <c r="I201" s="137"/>
      <c r="J201" s="137"/>
      <c r="K201" s="160"/>
      <c r="L201" s="160"/>
      <c r="M201" s="137"/>
      <c r="N201" s="138"/>
      <c r="O201" s="138"/>
      <c r="P201" s="138"/>
      <c r="Q201" s="138"/>
      <c r="R201" s="138"/>
      <c r="S201" s="138"/>
      <c r="T201" s="138"/>
      <c r="U201" s="138"/>
      <c r="V201" s="150">
        <f t="shared" si="13"/>
        <v>480</v>
      </c>
      <c r="W201" s="150">
        <f t="shared" si="13"/>
        <v>240.00000000000034</v>
      </c>
      <c r="X201" s="150">
        <f t="shared" si="13"/>
        <v>119.99999999999994</v>
      </c>
      <c r="Y201" s="150">
        <f t="shared" si="13"/>
        <v>360.00000000000006</v>
      </c>
    </row>
    <row r="202" spans="1:25">
      <c r="A202" s="134"/>
      <c r="B202" s="158">
        <f t="shared" si="14"/>
        <v>38176</v>
      </c>
      <c r="C202" s="159">
        <f t="shared" si="15"/>
        <v>480</v>
      </c>
      <c r="D202" s="159">
        <f t="shared" si="16"/>
        <v>240.00000000000034</v>
      </c>
      <c r="E202" s="159">
        <f t="shared" si="17"/>
        <v>119.99999999999994</v>
      </c>
      <c r="F202" s="159">
        <f t="shared" si="18"/>
        <v>360.00000000000006</v>
      </c>
      <c r="G202" s="137"/>
      <c r="H202" s="137"/>
      <c r="I202" s="137"/>
      <c r="J202" s="137"/>
      <c r="K202" s="160"/>
      <c r="L202" s="160"/>
      <c r="M202" s="137"/>
      <c r="N202" s="138"/>
      <c r="O202" s="138"/>
      <c r="P202" s="138"/>
      <c r="Q202" s="138"/>
      <c r="R202" s="138"/>
      <c r="S202" s="138"/>
      <c r="T202" s="138"/>
      <c r="U202" s="138"/>
      <c r="V202" s="150">
        <f t="shared" si="13"/>
        <v>480</v>
      </c>
      <c r="W202" s="150">
        <f t="shared" si="13"/>
        <v>240.00000000000034</v>
      </c>
      <c r="X202" s="150">
        <f t="shared" si="13"/>
        <v>119.99999999999994</v>
      </c>
      <c r="Y202" s="150">
        <f t="shared" si="13"/>
        <v>360.00000000000006</v>
      </c>
    </row>
    <row r="203" spans="1:25">
      <c r="A203" s="134"/>
      <c r="B203" s="158">
        <f t="shared" si="14"/>
        <v>38177</v>
      </c>
      <c r="C203" s="159">
        <f t="shared" si="15"/>
        <v>480</v>
      </c>
      <c r="D203" s="159">
        <f t="shared" si="16"/>
        <v>240.00000000000034</v>
      </c>
      <c r="E203" s="159">
        <f t="shared" si="17"/>
        <v>119.99999999999994</v>
      </c>
      <c r="F203" s="159">
        <f t="shared" si="18"/>
        <v>360.00000000000006</v>
      </c>
      <c r="G203" s="137"/>
      <c r="H203" s="137"/>
      <c r="I203" s="137"/>
      <c r="J203" s="137"/>
      <c r="K203" s="160"/>
      <c r="L203" s="160"/>
      <c r="M203" s="137"/>
      <c r="N203" s="138"/>
      <c r="O203" s="138"/>
      <c r="P203" s="138"/>
      <c r="Q203" s="138"/>
      <c r="R203" s="138"/>
      <c r="S203" s="138"/>
      <c r="T203" s="138"/>
      <c r="U203" s="138"/>
      <c r="V203" s="150">
        <f t="shared" si="13"/>
        <v>480</v>
      </c>
      <c r="W203" s="150">
        <f t="shared" si="13"/>
        <v>240.00000000000034</v>
      </c>
      <c r="X203" s="150">
        <f t="shared" si="13"/>
        <v>119.99999999999994</v>
      </c>
      <c r="Y203" s="150">
        <f t="shared" si="13"/>
        <v>360.00000000000006</v>
      </c>
    </row>
    <row r="204" spans="1:25">
      <c r="A204" s="134"/>
      <c r="B204" s="158">
        <f t="shared" si="14"/>
        <v>38178</v>
      </c>
      <c r="C204" s="159">
        <f t="shared" si="15"/>
        <v>480</v>
      </c>
      <c r="D204" s="159">
        <f t="shared" si="16"/>
        <v>240.00000000000034</v>
      </c>
      <c r="E204" s="159">
        <f t="shared" si="17"/>
        <v>119.99999999999994</v>
      </c>
      <c r="F204" s="159">
        <f t="shared" si="18"/>
        <v>360.00000000000006</v>
      </c>
      <c r="G204" s="137"/>
      <c r="H204" s="137"/>
      <c r="I204" s="137"/>
      <c r="J204" s="137"/>
      <c r="K204" s="160"/>
      <c r="L204" s="160"/>
      <c r="M204" s="137"/>
      <c r="N204" s="138"/>
      <c r="O204" s="138"/>
      <c r="P204" s="138"/>
      <c r="Q204" s="138"/>
      <c r="R204" s="138"/>
      <c r="S204" s="138"/>
      <c r="T204" s="138"/>
      <c r="U204" s="138"/>
      <c r="V204" s="150">
        <f t="shared" si="13"/>
        <v>480</v>
      </c>
      <c r="W204" s="150">
        <f t="shared" si="13"/>
        <v>240.00000000000034</v>
      </c>
      <c r="X204" s="150">
        <f t="shared" si="13"/>
        <v>119.99999999999994</v>
      </c>
      <c r="Y204" s="150">
        <f t="shared" ref="Y204:Y267" si="19">IF(F204="",#N/A,F204)</f>
        <v>360.00000000000006</v>
      </c>
    </row>
    <row r="205" spans="1:25">
      <c r="A205" s="134"/>
      <c r="B205" s="158">
        <f t="shared" si="14"/>
        <v>38179</v>
      </c>
      <c r="C205" s="159">
        <f t="shared" si="15"/>
        <v>480</v>
      </c>
      <c r="D205" s="159">
        <f t="shared" si="16"/>
        <v>240.00000000000034</v>
      </c>
      <c r="E205" s="159">
        <f t="shared" si="17"/>
        <v>119.99999999999994</v>
      </c>
      <c r="F205" s="159">
        <f t="shared" si="18"/>
        <v>360.00000000000006</v>
      </c>
      <c r="G205" s="137"/>
      <c r="H205" s="137"/>
      <c r="I205" s="137"/>
      <c r="J205" s="137"/>
      <c r="K205" s="160"/>
      <c r="L205" s="160"/>
      <c r="M205" s="137"/>
      <c r="N205" s="138"/>
      <c r="O205" s="138"/>
      <c r="P205" s="138"/>
      <c r="Q205" s="138"/>
      <c r="R205" s="138"/>
      <c r="S205" s="138"/>
      <c r="T205" s="138"/>
      <c r="U205" s="138"/>
      <c r="V205" s="150">
        <f t="shared" ref="V205:Y268" si="20">IF(C205="",#N/A,C205)</f>
        <v>480</v>
      </c>
      <c r="W205" s="150">
        <f t="shared" si="20"/>
        <v>240.00000000000034</v>
      </c>
      <c r="X205" s="150">
        <f t="shared" si="20"/>
        <v>119.99999999999994</v>
      </c>
      <c r="Y205" s="150">
        <f t="shared" si="19"/>
        <v>360.00000000000006</v>
      </c>
    </row>
    <row r="206" spans="1:25">
      <c r="A206" s="134"/>
      <c r="B206" s="158">
        <f t="shared" si="14"/>
        <v>38180</v>
      </c>
      <c r="C206" s="159">
        <f t="shared" si="15"/>
        <v>480</v>
      </c>
      <c r="D206" s="159">
        <f t="shared" si="16"/>
        <v>240.00000000000034</v>
      </c>
      <c r="E206" s="159">
        <f t="shared" si="17"/>
        <v>119.99999999999994</v>
      </c>
      <c r="F206" s="159">
        <f t="shared" si="18"/>
        <v>360.00000000000006</v>
      </c>
      <c r="G206" s="137"/>
      <c r="H206" s="137"/>
      <c r="I206" s="137"/>
      <c r="J206" s="137"/>
      <c r="K206" s="160"/>
      <c r="L206" s="160"/>
      <c r="M206" s="137"/>
      <c r="N206" s="138"/>
      <c r="O206" s="138"/>
      <c r="P206" s="138"/>
      <c r="Q206" s="138"/>
      <c r="R206" s="138"/>
      <c r="S206" s="138"/>
      <c r="T206" s="138"/>
      <c r="U206" s="138"/>
      <c r="V206" s="150">
        <f t="shared" si="20"/>
        <v>480</v>
      </c>
      <c r="W206" s="150">
        <f t="shared" si="20"/>
        <v>240.00000000000034</v>
      </c>
      <c r="X206" s="150">
        <f t="shared" si="20"/>
        <v>119.99999999999994</v>
      </c>
      <c r="Y206" s="150">
        <f t="shared" si="19"/>
        <v>360.00000000000006</v>
      </c>
    </row>
    <row r="207" spans="1:25">
      <c r="A207" s="134"/>
      <c r="B207" s="158">
        <f t="shared" ref="B207:B270" si="21">B206+1</f>
        <v>38181</v>
      </c>
      <c r="C207" s="159">
        <f t="shared" ref="C207:C270" si="22">IF(OR(B207&lt;B$6,B207&gt;B$10),"",G$8)</f>
        <v>480</v>
      </c>
      <c r="D207" s="159">
        <f t="shared" ref="D207:D270" si="23">IF(B207=B$6,W$6,IF(B207&gt;B$10,"",IF(B207&gt;=B$9,D206+X$9,IF(B207&gt;B$8,D206+X$8,IF(B207&gt;B$7,D206+X$7,IF(B207&gt;B$6,W$6,""))))))</f>
        <v>240.00000000000034</v>
      </c>
      <c r="E207" s="159">
        <f t="shared" ref="E207:E270" si="24">IF($B207=$B$6,L$6,IF($B207&gt;$B$10,"",IF($B207&gt;=$B$9,E206+V$9,IF($B207&gt;$B$8,E206+V$8,IF($B207&gt;$B$7,E206+V$7,IF($B207&gt;$B$6,L$6,""))))))</f>
        <v>119.99999999999994</v>
      </c>
      <c r="F207" s="159">
        <f t="shared" ref="F207:F270" si="25">IF(C207="","",C207-E207)</f>
        <v>360.00000000000006</v>
      </c>
      <c r="G207" s="137"/>
      <c r="H207" s="137"/>
      <c r="I207" s="137"/>
      <c r="J207" s="137"/>
      <c r="K207" s="160"/>
      <c r="L207" s="160"/>
      <c r="M207" s="137"/>
      <c r="N207" s="138"/>
      <c r="O207" s="138"/>
      <c r="P207" s="138"/>
      <c r="Q207" s="138"/>
      <c r="R207" s="138"/>
      <c r="S207" s="138"/>
      <c r="T207" s="138"/>
      <c r="U207" s="138"/>
      <c r="V207" s="150">
        <f t="shared" si="20"/>
        <v>480</v>
      </c>
      <c r="W207" s="150">
        <f t="shared" si="20"/>
        <v>240.00000000000034</v>
      </c>
      <c r="X207" s="150">
        <f t="shared" si="20"/>
        <v>119.99999999999994</v>
      </c>
      <c r="Y207" s="150">
        <f t="shared" si="19"/>
        <v>360.00000000000006</v>
      </c>
    </row>
    <row r="208" spans="1:25">
      <c r="A208" s="134"/>
      <c r="B208" s="158">
        <f t="shared" si="21"/>
        <v>38182</v>
      </c>
      <c r="C208" s="159">
        <f t="shared" si="22"/>
        <v>480</v>
      </c>
      <c r="D208" s="159">
        <f t="shared" si="23"/>
        <v>240.00000000000034</v>
      </c>
      <c r="E208" s="159">
        <f t="shared" si="24"/>
        <v>119.99999999999994</v>
      </c>
      <c r="F208" s="159">
        <f t="shared" si="25"/>
        <v>360.00000000000006</v>
      </c>
      <c r="G208" s="137"/>
      <c r="H208" s="137"/>
      <c r="I208" s="137"/>
      <c r="J208" s="137"/>
      <c r="K208" s="160"/>
      <c r="L208" s="160"/>
      <c r="M208" s="137"/>
      <c r="N208" s="138"/>
      <c r="O208" s="138"/>
      <c r="P208" s="138"/>
      <c r="Q208" s="138"/>
      <c r="R208" s="138"/>
      <c r="S208" s="138"/>
      <c r="T208" s="138"/>
      <c r="U208" s="138"/>
      <c r="V208" s="150">
        <f t="shared" si="20"/>
        <v>480</v>
      </c>
      <c r="W208" s="150">
        <f t="shared" si="20"/>
        <v>240.00000000000034</v>
      </c>
      <c r="X208" s="150">
        <f t="shared" si="20"/>
        <v>119.99999999999994</v>
      </c>
      <c r="Y208" s="150">
        <f t="shared" si="19"/>
        <v>360.00000000000006</v>
      </c>
    </row>
    <row r="209" spans="1:25">
      <c r="A209" s="134"/>
      <c r="B209" s="158">
        <f t="shared" si="21"/>
        <v>38183</v>
      </c>
      <c r="C209" s="159">
        <f t="shared" si="22"/>
        <v>480</v>
      </c>
      <c r="D209" s="159">
        <f t="shared" si="23"/>
        <v>240.00000000000034</v>
      </c>
      <c r="E209" s="159">
        <f t="shared" si="24"/>
        <v>119.99999999999994</v>
      </c>
      <c r="F209" s="159">
        <f t="shared" si="25"/>
        <v>360.00000000000006</v>
      </c>
      <c r="G209" s="137"/>
      <c r="H209" s="137"/>
      <c r="I209" s="137"/>
      <c r="J209" s="137"/>
      <c r="K209" s="160"/>
      <c r="L209" s="160"/>
      <c r="M209" s="137"/>
      <c r="N209" s="138"/>
      <c r="O209" s="138"/>
      <c r="P209" s="138"/>
      <c r="Q209" s="138"/>
      <c r="R209" s="138"/>
      <c r="S209" s="138"/>
      <c r="T209" s="138"/>
      <c r="U209" s="138"/>
      <c r="V209" s="150">
        <f t="shared" si="20"/>
        <v>480</v>
      </c>
      <c r="W209" s="150">
        <f t="shared" si="20"/>
        <v>240.00000000000034</v>
      </c>
      <c r="X209" s="150">
        <f t="shared" si="20"/>
        <v>119.99999999999994</v>
      </c>
      <c r="Y209" s="150">
        <f t="shared" si="19"/>
        <v>360.00000000000006</v>
      </c>
    </row>
    <row r="210" spans="1:25">
      <c r="A210" s="134"/>
      <c r="B210" s="158">
        <f t="shared" si="21"/>
        <v>38184</v>
      </c>
      <c r="C210" s="159">
        <f t="shared" si="22"/>
        <v>480</v>
      </c>
      <c r="D210" s="159">
        <f t="shared" si="23"/>
        <v>240.00000000000034</v>
      </c>
      <c r="E210" s="159">
        <f t="shared" si="24"/>
        <v>119.99999999999994</v>
      </c>
      <c r="F210" s="159">
        <f t="shared" si="25"/>
        <v>360.00000000000006</v>
      </c>
      <c r="G210" s="137"/>
      <c r="H210" s="137"/>
      <c r="I210" s="137"/>
      <c r="J210" s="137"/>
      <c r="K210" s="160"/>
      <c r="L210" s="160"/>
      <c r="M210" s="137"/>
      <c r="N210" s="138"/>
      <c r="O210" s="138"/>
      <c r="P210" s="138"/>
      <c r="Q210" s="138"/>
      <c r="R210" s="138"/>
      <c r="S210" s="138"/>
      <c r="T210" s="138"/>
      <c r="U210" s="138"/>
      <c r="V210" s="150">
        <f t="shared" si="20"/>
        <v>480</v>
      </c>
      <c r="W210" s="150">
        <f t="shared" si="20"/>
        <v>240.00000000000034</v>
      </c>
      <c r="X210" s="150">
        <f t="shared" si="20"/>
        <v>119.99999999999994</v>
      </c>
      <c r="Y210" s="150">
        <f t="shared" si="19"/>
        <v>360.00000000000006</v>
      </c>
    </row>
    <row r="211" spans="1:25">
      <c r="A211" s="134"/>
      <c r="B211" s="158">
        <f t="shared" si="21"/>
        <v>38185</v>
      </c>
      <c r="C211" s="159">
        <f t="shared" si="22"/>
        <v>480</v>
      </c>
      <c r="D211" s="159">
        <f t="shared" si="23"/>
        <v>240.00000000000034</v>
      </c>
      <c r="E211" s="159">
        <f t="shared" si="24"/>
        <v>119.99999999999994</v>
      </c>
      <c r="F211" s="159">
        <f t="shared" si="25"/>
        <v>360.00000000000006</v>
      </c>
      <c r="G211" s="137"/>
      <c r="H211" s="137"/>
      <c r="I211" s="137"/>
      <c r="J211" s="137"/>
      <c r="K211" s="160"/>
      <c r="L211" s="160"/>
      <c r="M211" s="137"/>
      <c r="N211" s="138"/>
      <c r="O211" s="138"/>
      <c r="P211" s="138"/>
      <c r="Q211" s="138"/>
      <c r="R211" s="138"/>
      <c r="S211" s="138"/>
      <c r="T211" s="138"/>
      <c r="U211" s="138"/>
      <c r="V211" s="150">
        <f t="shared" si="20"/>
        <v>480</v>
      </c>
      <c r="W211" s="150">
        <f t="shared" si="20"/>
        <v>240.00000000000034</v>
      </c>
      <c r="X211" s="150">
        <f t="shared" si="20"/>
        <v>119.99999999999994</v>
      </c>
      <c r="Y211" s="150">
        <f t="shared" si="19"/>
        <v>360.00000000000006</v>
      </c>
    </row>
    <row r="212" spans="1:25">
      <c r="A212" s="134"/>
      <c r="B212" s="158">
        <f t="shared" si="21"/>
        <v>38186</v>
      </c>
      <c r="C212" s="159">
        <f t="shared" si="22"/>
        <v>480</v>
      </c>
      <c r="D212" s="159">
        <f t="shared" si="23"/>
        <v>240.00000000000034</v>
      </c>
      <c r="E212" s="159">
        <f t="shared" si="24"/>
        <v>119.99999999999994</v>
      </c>
      <c r="F212" s="159">
        <f t="shared" si="25"/>
        <v>360.00000000000006</v>
      </c>
      <c r="G212" s="137"/>
      <c r="H212" s="137"/>
      <c r="I212" s="137"/>
      <c r="J212" s="137"/>
      <c r="K212" s="160"/>
      <c r="L212" s="160"/>
      <c r="M212" s="137"/>
      <c r="N212" s="138"/>
      <c r="O212" s="138"/>
      <c r="P212" s="138"/>
      <c r="Q212" s="138"/>
      <c r="R212" s="138"/>
      <c r="S212" s="138"/>
      <c r="T212" s="138"/>
      <c r="U212" s="138"/>
      <c r="V212" s="150">
        <f t="shared" si="20"/>
        <v>480</v>
      </c>
      <c r="W212" s="150">
        <f t="shared" si="20"/>
        <v>240.00000000000034</v>
      </c>
      <c r="X212" s="150">
        <f t="shared" si="20"/>
        <v>119.99999999999994</v>
      </c>
      <c r="Y212" s="150">
        <f t="shared" si="19"/>
        <v>360.00000000000006</v>
      </c>
    </row>
    <row r="213" spans="1:25">
      <c r="A213" s="134"/>
      <c r="B213" s="158">
        <f t="shared" si="21"/>
        <v>38187</v>
      </c>
      <c r="C213" s="159">
        <f t="shared" si="22"/>
        <v>480</v>
      </c>
      <c r="D213" s="159">
        <f t="shared" si="23"/>
        <v>240.00000000000034</v>
      </c>
      <c r="E213" s="159">
        <f t="shared" si="24"/>
        <v>119.99999999999994</v>
      </c>
      <c r="F213" s="159">
        <f t="shared" si="25"/>
        <v>360.00000000000006</v>
      </c>
      <c r="G213" s="137"/>
      <c r="H213" s="137"/>
      <c r="I213" s="137"/>
      <c r="J213" s="137"/>
      <c r="K213" s="160"/>
      <c r="L213" s="160"/>
      <c r="M213" s="137"/>
      <c r="N213" s="138"/>
      <c r="O213" s="138"/>
      <c r="P213" s="138"/>
      <c r="Q213" s="138"/>
      <c r="R213" s="138"/>
      <c r="S213" s="138"/>
      <c r="T213" s="138"/>
      <c r="U213" s="138"/>
      <c r="V213" s="150">
        <f t="shared" si="20"/>
        <v>480</v>
      </c>
      <c r="W213" s="150">
        <f t="shared" si="20"/>
        <v>240.00000000000034</v>
      </c>
      <c r="X213" s="150">
        <f t="shared" si="20"/>
        <v>119.99999999999994</v>
      </c>
      <c r="Y213" s="150">
        <f t="shared" si="19"/>
        <v>360.00000000000006</v>
      </c>
    </row>
    <row r="214" spans="1:25">
      <c r="A214" s="134"/>
      <c r="B214" s="158">
        <f t="shared" si="21"/>
        <v>38188</v>
      </c>
      <c r="C214" s="159">
        <f t="shared" si="22"/>
        <v>480</v>
      </c>
      <c r="D214" s="159">
        <f t="shared" si="23"/>
        <v>240.00000000000034</v>
      </c>
      <c r="E214" s="159">
        <f t="shared" si="24"/>
        <v>119.99999999999994</v>
      </c>
      <c r="F214" s="159">
        <f t="shared" si="25"/>
        <v>360.00000000000006</v>
      </c>
      <c r="G214" s="137"/>
      <c r="H214" s="137"/>
      <c r="I214" s="137"/>
      <c r="J214" s="137"/>
      <c r="K214" s="160"/>
      <c r="L214" s="160"/>
      <c r="M214" s="137"/>
      <c r="N214" s="138"/>
      <c r="O214" s="138"/>
      <c r="P214" s="138"/>
      <c r="Q214" s="138"/>
      <c r="R214" s="138"/>
      <c r="S214" s="138"/>
      <c r="T214" s="138"/>
      <c r="U214" s="138"/>
      <c r="V214" s="150">
        <f t="shared" si="20"/>
        <v>480</v>
      </c>
      <c r="W214" s="150">
        <f t="shared" si="20"/>
        <v>240.00000000000034</v>
      </c>
      <c r="X214" s="150">
        <f t="shared" si="20"/>
        <v>119.99999999999994</v>
      </c>
      <c r="Y214" s="150">
        <f t="shared" si="19"/>
        <v>360.00000000000006</v>
      </c>
    </row>
    <row r="215" spans="1:25">
      <c r="A215" s="134"/>
      <c r="B215" s="158">
        <f t="shared" si="21"/>
        <v>38189</v>
      </c>
      <c r="C215" s="159">
        <f t="shared" si="22"/>
        <v>480</v>
      </c>
      <c r="D215" s="159">
        <f t="shared" si="23"/>
        <v>240.00000000000034</v>
      </c>
      <c r="E215" s="159">
        <f t="shared" si="24"/>
        <v>119.99999999999994</v>
      </c>
      <c r="F215" s="159">
        <f t="shared" si="25"/>
        <v>360.00000000000006</v>
      </c>
      <c r="G215" s="137"/>
      <c r="H215" s="137"/>
      <c r="I215" s="137"/>
      <c r="J215" s="137"/>
      <c r="K215" s="160"/>
      <c r="L215" s="160"/>
      <c r="M215" s="137"/>
      <c r="N215" s="138"/>
      <c r="O215" s="138"/>
      <c r="P215" s="138"/>
      <c r="Q215" s="138"/>
      <c r="R215" s="138"/>
      <c r="S215" s="138"/>
      <c r="T215" s="138"/>
      <c r="U215" s="138"/>
      <c r="V215" s="150">
        <f t="shared" si="20"/>
        <v>480</v>
      </c>
      <c r="W215" s="150">
        <f t="shared" si="20"/>
        <v>240.00000000000034</v>
      </c>
      <c r="X215" s="150">
        <f t="shared" si="20"/>
        <v>119.99999999999994</v>
      </c>
      <c r="Y215" s="150">
        <f t="shared" si="19"/>
        <v>360.00000000000006</v>
      </c>
    </row>
    <row r="216" spans="1:25">
      <c r="A216" s="134"/>
      <c r="B216" s="158">
        <f t="shared" si="21"/>
        <v>38190</v>
      </c>
      <c r="C216" s="159">
        <f t="shared" si="22"/>
        <v>480</v>
      </c>
      <c r="D216" s="159">
        <f t="shared" si="23"/>
        <v>240.00000000000034</v>
      </c>
      <c r="E216" s="159">
        <f t="shared" si="24"/>
        <v>119.99999999999994</v>
      </c>
      <c r="F216" s="159">
        <f t="shared" si="25"/>
        <v>360.00000000000006</v>
      </c>
      <c r="G216" s="137"/>
      <c r="H216" s="137"/>
      <c r="I216" s="137"/>
      <c r="J216" s="137"/>
      <c r="K216" s="160"/>
      <c r="L216" s="160"/>
      <c r="M216" s="137"/>
      <c r="N216" s="138"/>
      <c r="O216" s="138"/>
      <c r="P216" s="138"/>
      <c r="Q216" s="138"/>
      <c r="R216" s="138"/>
      <c r="S216" s="138"/>
      <c r="T216" s="138"/>
      <c r="U216" s="138"/>
      <c r="V216" s="150">
        <f t="shared" si="20"/>
        <v>480</v>
      </c>
      <c r="W216" s="150">
        <f t="shared" si="20"/>
        <v>240.00000000000034</v>
      </c>
      <c r="X216" s="150">
        <f t="shared" si="20"/>
        <v>119.99999999999994</v>
      </c>
      <c r="Y216" s="150">
        <f t="shared" si="19"/>
        <v>360.00000000000006</v>
      </c>
    </row>
    <row r="217" spans="1:25">
      <c r="A217" s="134"/>
      <c r="B217" s="158">
        <f t="shared" si="21"/>
        <v>38191</v>
      </c>
      <c r="C217" s="159">
        <f t="shared" si="22"/>
        <v>480</v>
      </c>
      <c r="D217" s="159">
        <f t="shared" si="23"/>
        <v>240.00000000000034</v>
      </c>
      <c r="E217" s="159">
        <f t="shared" si="24"/>
        <v>119.99999999999994</v>
      </c>
      <c r="F217" s="159">
        <f t="shared" si="25"/>
        <v>360.00000000000006</v>
      </c>
      <c r="G217" s="137"/>
      <c r="H217" s="137"/>
      <c r="I217" s="137"/>
      <c r="J217" s="137"/>
      <c r="K217" s="160"/>
      <c r="L217" s="160"/>
      <c r="M217" s="137"/>
      <c r="N217" s="138"/>
      <c r="O217" s="138"/>
      <c r="P217" s="138"/>
      <c r="Q217" s="138"/>
      <c r="R217" s="138"/>
      <c r="S217" s="138"/>
      <c r="T217" s="138"/>
      <c r="U217" s="138"/>
      <c r="V217" s="150">
        <f t="shared" si="20"/>
        <v>480</v>
      </c>
      <c r="W217" s="150">
        <f t="shared" si="20"/>
        <v>240.00000000000034</v>
      </c>
      <c r="X217" s="150">
        <f t="shared" si="20"/>
        <v>119.99999999999994</v>
      </c>
      <c r="Y217" s="150">
        <f t="shared" si="19"/>
        <v>360.00000000000006</v>
      </c>
    </row>
    <row r="218" spans="1:25">
      <c r="A218" s="134"/>
      <c r="B218" s="158">
        <f t="shared" si="21"/>
        <v>38192</v>
      </c>
      <c r="C218" s="159">
        <f t="shared" si="22"/>
        <v>480</v>
      </c>
      <c r="D218" s="159">
        <f t="shared" si="23"/>
        <v>240.00000000000034</v>
      </c>
      <c r="E218" s="159">
        <f t="shared" si="24"/>
        <v>119.99999999999994</v>
      </c>
      <c r="F218" s="159">
        <f t="shared" si="25"/>
        <v>360.00000000000006</v>
      </c>
      <c r="G218" s="137"/>
      <c r="H218" s="137"/>
      <c r="I218" s="137"/>
      <c r="J218" s="137"/>
      <c r="K218" s="160"/>
      <c r="L218" s="160"/>
      <c r="M218" s="137"/>
      <c r="N218" s="138"/>
      <c r="O218" s="138"/>
      <c r="P218" s="138"/>
      <c r="Q218" s="138"/>
      <c r="R218" s="138"/>
      <c r="S218" s="138"/>
      <c r="T218" s="138"/>
      <c r="U218" s="138"/>
      <c r="V218" s="150">
        <f t="shared" si="20"/>
        <v>480</v>
      </c>
      <c r="W218" s="150">
        <f t="shared" si="20"/>
        <v>240.00000000000034</v>
      </c>
      <c r="X218" s="150">
        <f t="shared" si="20"/>
        <v>119.99999999999994</v>
      </c>
      <c r="Y218" s="150">
        <f t="shared" si="19"/>
        <v>360.00000000000006</v>
      </c>
    </row>
    <row r="219" spans="1:25">
      <c r="A219" s="134"/>
      <c r="B219" s="158">
        <f t="shared" si="21"/>
        <v>38193</v>
      </c>
      <c r="C219" s="159">
        <f t="shared" si="22"/>
        <v>480</v>
      </c>
      <c r="D219" s="159">
        <f t="shared" si="23"/>
        <v>240.00000000000034</v>
      </c>
      <c r="E219" s="159">
        <f t="shared" si="24"/>
        <v>119.99999999999994</v>
      </c>
      <c r="F219" s="159">
        <f t="shared" si="25"/>
        <v>360.00000000000006</v>
      </c>
      <c r="G219" s="137"/>
      <c r="H219" s="137"/>
      <c r="I219" s="137"/>
      <c r="J219" s="137"/>
      <c r="K219" s="160"/>
      <c r="L219" s="160"/>
      <c r="M219" s="137"/>
      <c r="N219" s="138"/>
      <c r="O219" s="138"/>
      <c r="P219" s="138"/>
      <c r="Q219" s="138"/>
      <c r="R219" s="138"/>
      <c r="S219" s="138"/>
      <c r="T219" s="138"/>
      <c r="U219" s="138"/>
      <c r="V219" s="150">
        <f t="shared" si="20"/>
        <v>480</v>
      </c>
      <c r="W219" s="150">
        <f t="shared" si="20"/>
        <v>240.00000000000034</v>
      </c>
      <c r="X219" s="150">
        <f t="shared" si="20"/>
        <v>119.99999999999994</v>
      </c>
      <c r="Y219" s="150">
        <f t="shared" si="19"/>
        <v>360.00000000000006</v>
      </c>
    </row>
    <row r="220" spans="1:25">
      <c r="A220" s="134"/>
      <c r="B220" s="158">
        <f t="shared" si="21"/>
        <v>38194</v>
      </c>
      <c r="C220" s="159">
        <f t="shared" si="22"/>
        <v>480</v>
      </c>
      <c r="D220" s="159">
        <f t="shared" si="23"/>
        <v>240.00000000000034</v>
      </c>
      <c r="E220" s="159">
        <f t="shared" si="24"/>
        <v>119.99999999999994</v>
      </c>
      <c r="F220" s="159">
        <f t="shared" si="25"/>
        <v>360.00000000000006</v>
      </c>
      <c r="G220" s="137"/>
      <c r="H220" s="137"/>
      <c r="I220" s="137"/>
      <c r="J220" s="137"/>
      <c r="K220" s="160"/>
      <c r="L220" s="160"/>
      <c r="M220" s="137"/>
      <c r="N220" s="138"/>
      <c r="O220" s="138"/>
      <c r="P220" s="138"/>
      <c r="Q220" s="138"/>
      <c r="R220" s="138"/>
      <c r="S220" s="138"/>
      <c r="T220" s="138"/>
      <c r="U220" s="138"/>
      <c r="V220" s="150">
        <f t="shared" si="20"/>
        <v>480</v>
      </c>
      <c r="W220" s="150">
        <f t="shared" si="20"/>
        <v>240.00000000000034</v>
      </c>
      <c r="X220" s="150">
        <f t="shared" si="20"/>
        <v>119.99999999999994</v>
      </c>
      <c r="Y220" s="150">
        <f t="shared" si="19"/>
        <v>360.00000000000006</v>
      </c>
    </row>
    <row r="221" spans="1:25">
      <c r="A221" s="134"/>
      <c r="B221" s="158">
        <f t="shared" si="21"/>
        <v>38195</v>
      </c>
      <c r="C221" s="159">
        <f t="shared" si="22"/>
        <v>480</v>
      </c>
      <c r="D221" s="159">
        <f t="shared" si="23"/>
        <v>240.00000000000034</v>
      </c>
      <c r="E221" s="159">
        <f t="shared" si="24"/>
        <v>119.99999999999994</v>
      </c>
      <c r="F221" s="159">
        <f t="shared" si="25"/>
        <v>360.00000000000006</v>
      </c>
      <c r="G221" s="137"/>
      <c r="H221" s="137"/>
      <c r="I221" s="137"/>
      <c r="J221" s="137"/>
      <c r="K221" s="160"/>
      <c r="L221" s="160"/>
      <c r="M221" s="137"/>
      <c r="N221" s="138"/>
      <c r="O221" s="138"/>
      <c r="P221" s="138"/>
      <c r="Q221" s="138"/>
      <c r="R221" s="138"/>
      <c r="S221" s="138"/>
      <c r="T221" s="138"/>
      <c r="U221" s="138"/>
      <c r="V221" s="150">
        <f t="shared" si="20"/>
        <v>480</v>
      </c>
      <c r="W221" s="150">
        <f t="shared" si="20"/>
        <v>240.00000000000034</v>
      </c>
      <c r="X221" s="150">
        <f t="shared" si="20"/>
        <v>119.99999999999994</v>
      </c>
      <c r="Y221" s="150">
        <f t="shared" si="19"/>
        <v>360.00000000000006</v>
      </c>
    </row>
    <row r="222" spans="1:25">
      <c r="A222" s="134"/>
      <c r="B222" s="158">
        <f t="shared" si="21"/>
        <v>38196</v>
      </c>
      <c r="C222" s="159">
        <f t="shared" si="22"/>
        <v>480</v>
      </c>
      <c r="D222" s="159">
        <f t="shared" si="23"/>
        <v>240.00000000000034</v>
      </c>
      <c r="E222" s="159">
        <f t="shared" si="24"/>
        <v>119.99999999999994</v>
      </c>
      <c r="F222" s="159">
        <f t="shared" si="25"/>
        <v>360.00000000000006</v>
      </c>
      <c r="G222" s="137"/>
      <c r="H222" s="137"/>
      <c r="I222" s="137"/>
      <c r="J222" s="137"/>
      <c r="K222" s="160"/>
      <c r="L222" s="160"/>
      <c r="M222" s="137"/>
      <c r="N222" s="138"/>
      <c r="O222" s="138"/>
      <c r="P222" s="138"/>
      <c r="Q222" s="138"/>
      <c r="R222" s="138"/>
      <c r="S222" s="138"/>
      <c r="T222" s="138"/>
      <c r="U222" s="138"/>
      <c r="V222" s="150">
        <f t="shared" si="20"/>
        <v>480</v>
      </c>
      <c r="W222" s="150">
        <f t="shared" si="20"/>
        <v>240.00000000000034</v>
      </c>
      <c r="X222" s="150">
        <f t="shared" si="20"/>
        <v>119.99999999999994</v>
      </c>
      <c r="Y222" s="150">
        <f t="shared" si="19"/>
        <v>360.00000000000006</v>
      </c>
    </row>
    <row r="223" spans="1:25">
      <c r="A223" s="134"/>
      <c r="B223" s="158">
        <f t="shared" si="21"/>
        <v>38197</v>
      </c>
      <c r="C223" s="159">
        <f t="shared" si="22"/>
        <v>480</v>
      </c>
      <c r="D223" s="159">
        <f t="shared" si="23"/>
        <v>240.00000000000034</v>
      </c>
      <c r="E223" s="159">
        <f t="shared" si="24"/>
        <v>119.99999999999994</v>
      </c>
      <c r="F223" s="159">
        <f t="shared" si="25"/>
        <v>360.00000000000006</v>
      </c>
      <c r="G223" s="137"/>
      <c r="H223" s="137"/>
      <c r="I223" s="137"/>
      <c r="J223" s="137"/>
      <c r="K223" s="160"/>
      <c r="L223" s="160"/>
      <c r="M223" s="137"/>
      <c r="N223" s="138"/>
      <c r="O223" s="138"/>
      <c r="P223" s="138"/>
      <c r="Q223" s="138"/>
      <c r="R223" s="138"/>
      <c r="S223" s="138"/>
      <c r="T223" s="138"/>
      <c r="U223" s="138"/>
      <c r="V223" s="150">
        <f t="shared" si="20"/>
        <v>480</v>
      </c>
      <c r="W223" s="150">
        <f t="shared" si="20"/>
        <v>240.00000000000034</v>
      </c>
      <c r="X223" s="150">
        <f t="shared" si="20"/>
        <v>119.99999999999994</v>
      </c>
      <c r="Y223" s="150">
        <f t="shared" si="19"/>
        <v>360.00000000000006</v>
      </c>
    </row>
    <row r="224" spans="1:25">
      <c r="A224" s="134"/>
      <c r="B224" s="158">
        <f t="shared" si="21"/>
        <v>38198</v>
      </c>
      <c r="C224" s="159">
        <f t="shared" si="22"/>
        <v>480</v>
      </c>
      <c r="D224" s="159">
        <f t="shared" si="23"/>
        <v>240.00000000000034</v>
      </c>
      <c r="E224" s="159">
        <f t="shared" si="24"/>
        <v>119.99999999999994</v>
      </c>
      <c r="F224" s="159">
        <f t="shared" si="25"/>
        <v>360.00000000000006</v>
      </c>
      <c r="G224" s="137"/>
      <c r="H224" s="137"/>
      <c r="I224" s="137"/>
      <c r="J224" s="137"/>
      <c r="K224" s="160"/>
      <c r="L224" s="160"/>
      <c r="M224" s="137"/>
      <c r="N224" s="138"/>
      <c r="O224" s="138"/>
      <c r="P224" s="138"/>
      <c r="Q224" s="138"/>
      <c r="R224" s="138"/>
      <c r="S224" s="138"/>
      <c r="T224" s="138"/>
      <c r="U224" s="138"/>
      <c r="V224" s="150">
        <f t="shared" si="20"/>
        <v>480</v>
      </c>
      <c r="W224" s="150">
        <f t="shared" si="20"/>
        <v>240.00000000000034</v>
      </c>
      <c r="X224" s="150">
        <f t="shared" si="20"/>
        <v>119.99999999999994</v>
      </c>
      <c r="Y224" s="150">
        <f t="shared" si="19"/>
        <v>360.00000000000006</v>
      </c>
    </row>
    <row r="225" spans="1:25">
      <c r="A225" s="134"/>
      <c r="B225" s="158">
        <f t="shared" si="21"/>
        <v>38199</v>
      </c>
      <c r="C225" s="159">
        <f t="shared" si="22"/>
        <v>480</v>
      </c>
      <c r="D225" s="159">
        <f t="shared" si="23"/>
        <v>240.00000000000034</v>
      </c>
      <c r="E225" s="159">
        <f t="shared" si="24"/>
        <v>119.99999999999994</v>
      </c>
      <c r="F225" s="159">
        <f t="shared" si="25"/>
        <v>360.00000000000006</v>
      </c>
      <c r="G225" s="137"/>
      <c r="H225" s="137"/>
      <c r="I225" s="137"/>
      <c r="J225" s="137"/>
      <c r="K225" s="160"/>
      <c r="L225" s="160"/>
      <c r="M225" s="137"/>
      <c r="N225" s="138"/>
      <c r="O225" s="138"/>
      <c r="P225" s="138"/>
      <c r="Q225" s="138"/>
      <c r="R225" s="138"/>
      <c r="S225" s="138"/>
      <c r="T225" s="138"/>
      <c r="U225" s="138"/>
      <c r="V225" s="150">
        <f t="shared" si="20"/>
        <v>480</v>
      </c>
      <c r="W225" s="150">
        <f t="shared" si="20"/>
        <v>240.00000000000034</v>
      </c>
      <c r="X225" s="150">
        <f t="shared" si="20"/>
        <v>119.99999999999994</v>
      </c>
      <c r="Y225" s="150">
        <f t="shared" si="19"/>
        <v>360.00000000000006</v>
      </c>
    </row>
    <row r="226" spans="1:25">
      <c r="A226" s="134"/>
      <c r="B226" s="158">
        <f t="shared" si="21"/>
        <v>38200</v>
      </c>
      <c r="C226" s="159">
        <f t="shared" si="22"/>
        <v>480</v>
      </c>
      <c r="D226" s="159">
        <f t="shared" si="23"/>
        <v>240.00000000000034</v>
      </c>
      <c r="E226" s="159">
        <f t="shared" si="24"/>
        <v>119.99999999999994</v>
      </c>
      <c r="F226" s="159">
        <f t="shared" si="25"/>
        <v>360.00000000000006</v>
      </c>
      <c r="G226" s="137"/>
      <c r="H226" s="137"/>
      <c r="I226" s="137"/>
      <c r="J226" s="137"/>
      <c r="K226" s="160"/>
      <c r="L226" s="160"/>
      <c r="M226" s="137"/>
      <c r="N226" s="138"/>
      <c r="O226" s="138"/>
      <c r="P226" s="138"/>
      <c r="Q226" s="138"/>
      <c r="R226" s="138"/>
      <c r="S226" s="138"/>
      <c r="T226" s="138"/>
      <c r="U226" s="138"/>
      <c r="V226" s="150">
        <f t="shared" si="20"/>
        <v>480</v>
      </c>
      <c r="W226" s="150">
        <f t="shared" si="20"/>
        <v>240.00000000000034</v>
      </c>
      <c r="X226" s="150">
        <f t="shared" si="20"/>
        <v>119.99999999999994</v>
      </c>
      <c r="Y226" s="150">
        <f t="shared" si="19"/>
        <v>360.00000000000006</v>
      </c>
    </row>
    <row r="227" spans="1:25">
      <c r="A227" s="134"/>
      <c r="B227" s="158">
        <f t="shared" si="21"/>
        <v>38201</v>
      </c>
      <c r="C227" s="159">
        <f t="shared" si="22"/>
        <v>480</v>
      </c>
      <c r="D227" s="159">
        <f t="shared" si="23"/>
        <v>240.00000000000034</v>
      </c>
      <c r="E227" s="159">
        <f t="shared" si="24"/>
        <v>119.99999999999994</v>
      </c>
      <c r="F227" s="159">
        <f t="shared" si="25"/>
        <v>360.00000000000006</v>
      </c>
      <c r="G227" s="137"/>
      <c r="H227" s="137"/>
      <c r="I227" s="137"/>
      <c r="J227" s="137"/>
      <c r="K227" s="160"/>
      <c r="L227" s="160"/>
      <c r="M227" s="137"/>
      <c r="N227" s="138"/>
      <c r="O227" s="138"/>
      <c r="P227" s="138"/>
      <c r="Q227" s="138"/>
      <c r="R227" s="138"/>
      <c r="S227" s="138"/>
      <c r="T227" s="138"/>
      <c r="U227" s="138"/>
      <c r="V227" s="150">
        <f t="shared" si="20"/>
        <v>480</v>
      </c>
      <c r="W227" s="150">
        <f t="shared" si="20"/>
        <v>240.00000000000034</v>
      </c>
      <c r="X227" s="150">
        <f t="shared" si="20"/>
        <v>119.99999999999994</v>
      </c>
      <c r="Y227" s="150">
        <f t="shared" si="19"/>
        <v>360.00000000000006</v>
      </c>
    </row>
    <row r="228" spans="1:25">
      <c r="A228" s="134"/>
      <c r="B228" s="158">
        <f t="shared" si="21"/>
        <v>38202</v>
      </c>
      <c r="C228" s="159">
        <f t="shared" si="22"/>
        <v>480</v>
      </c>
      <c r="D228" s="159">
        <f t="shared" si="23"/>
        <v>240.00000000000034</v>
      </c>
      <c r="E228" s="159">
        <f t="shared" si="24"/>
        <v>119.99999999999994</v>
      </c>
      <c r="F228" s="159">
        <f t="shared" si="25"/>
        <v>360.00000000000006</v>
      </c>
      <c r="G228" s="137"/>
      <c r="H228" s="137"/>
      <c r="I228" s="137"/>
      <c r="J228" s="137"/>
      <c r="K228" s="160"/>
      <c r="L228" s="160"/>
      <c r="M228" s="137"/>
      <c r="N228" s="138"/>
      <c r="O228" s="138"/>
      <c r="P228" s="138"/>
      <c r="Q228" s="138"/>
      <c r="R228" s="138"/>
      <c r="S228" s="138"/>
      <c r="T228" s="138"/>
      <c r="U228" s="138"/>
      <c r="V228" s="150">
        <f t="shared" si="20"/>
        <v>480</v>
      </c>
      <c r="W228" s="150">
        <f t="shared" si="20"/>
        <v>240.00000000000034</v>
      </c>
      <c r="X228" s="150">
        <f t="shared" si="20"/>
        <v>119.99999999999994</v>
      </c>
      <c r="Y228" s="150">
        <f t="shared" si="19"/>
        <v>360.00000000000006</v>
      </c>
    </row>
    <row r="229" spans="1:25">
      <c r="A229" s="134"/>
      <c r="B229" s="158">
        <f t="shared" si="21"/>
        <v>38203</v>
      </c>
      <c r="C229" s="159">
        <f t="shared" si="22"/>
        <v>480</v>
      </c>
      <c r="D229" s="159">
        <f t="shared" si="23"/>
        <v>240.00000000000034</v>
      </c>
      <c r="E229" s="159">
        <f t="shared" si="24"/>
        <v>119.99999999999994</v>
      </c>
      <c r="F229" s="159">
        <f t="shared" si="25"/>
        <v>360.00000000000006</v>
      </c>
      <c r="G229" s="137"/>
      <c r="H229" s="137"/>
      <c r="I229" s="137"/>
      <c r="J229" s="137"/>
      <c r="K229" s="160"/>
      <c r="L229" s="160"/>
      <c r="M229" s="137"/>
      <c r="N229" s="138"/>
      <c r="O229" s="138"/>
      <c r="P229" s="138"/>
      <c r="Q229" s="138"/>
      <c r="R229" s="138"/>
      <c r="S229" s="138"/>
      <c r="T229" s="138"/>
      <c r="U229" s="138"/>
      <c r="V229" s="150">
        <f t="shared" si="20"/>
        <v>480</v>
      </c>
      <c r="W229" s="150">
        <f t="shared" si="20"/>
        <v>240.00000000000034</v>
      </c>
      <c r="X229" s="150">
        <f t="shared" si="20"/>
        <v>119.99999999999994</v>
      </c>
      <c r="Y229" s="150">
        <f t="shared" si="19"/>
        <v>360.00000000000006</v>
      </c>
    </row>
    <row r="230" spans="1:25">
      <c r="A230" s="134"/>
      <c r="B230" s="158">
        <f t="shared" si="21"/>
        <v>38204</v>
      </c>
      <c r="C230" s="159">
        <f t="shared" si="22"/>
        <v>480</v>
      </c>
      <c r="D230" s="159">
        <f t="shared" si="23"/>
        <v>240.00000000000034</v>
      </c>
      <c r="E230" s="159">
        <f t="shared" si="24"/>
        <v>119.99999999999994</v>
      </c>
      <c r="F230" s="159">
        <f t="shared" si="25"/>
        <v>360.00000000000006</v>
      </c>
      <c r="G230" s="137"/>
      <c r="H230" s="137"/>
      <c r="I230" s="137"/>
      <c r="J230" s="137"/>
      <c r="K230" s="160"/>
      <c r="L230" s="160"/>
      <c r="M230" s="137"/>
      <c r="N230" s="138"/>
      <c r="O230" s="138"/>
      <c r="P230" s="138"/>
      <c r="Q230" s="138"/>
      <c r="R230" s="138"/>
      <c r="S230" s="138"/>
      <c r="T230" s="138"/>
      <c r="U230" s="138"/>
      <c r="V230" s="150">
        <f t="shared" si="20"/>
        <v>480</v>
      </c>
      <c r="W230" s="150">
        <f t="shared" si="20"/>
        <v>240.00000000000034</v>
      </c>
      <c r="X230" s="150">
        <f t="shared" si="20"/>
        <v>119.99999999999994</v>
      </c>
      <c r="Y230" s="150">
        <f t="shared" si="19"/>
        <v>360.00000000000006</v>
      </c>
    </row>
    <row r="231" spans="1:25">
      <c r="A231" s="134"/>
      <c r="B231" s="158">
        <f t="shared" si="21"/>
        <v>38205</v>
      </c>
      <c r="C231" s="159">
        <f t="shared" si="22"/>
        <v>480</v>
      </c>
      <c r="D231" s="159">
        <f t="shared" si="23"/>
        <v>240.00000000000034</v>
      </c>
      <c r="E231" s="159">
        <f t="shared" si="24"/>
        <v>119.99999999999994</v>
      </c>
      <c r="F231" s="159">
        <f t="shared" si="25"/>
        <v>360.00000000000006</v>
      </c>
      <c r="G231" s="137"/>
      <c r="H231" s="137"/>
      <c r="I231" s="137"/>
      <c r="J231" s="137"/>
      <c r="K231" s="160"/>
      <c r="L231" s="160"/>
      <c r="M231" s="137"/>
      <c r="N231" s="138"/>
      <c r="O231" s="138"/>
      <c r="P231" s="138"/>
      <c r="Q231" s="138"/>
      <c r="R231" s="138"/>
      <c r="S231" s="138"/>
      <c r="T231" s="138"/>
      <c r="U231" s="138"/>
      <c r="V231" s="150">
        <f t="shared" si="20"/>
        <v>480</v>
      </c>
      <c r="W231" s="150">
        <f t="shared" si="20"/>
        <v>240.00000000000034</v>
      </c>
      <c r="X231" s="150">
        <f t="shared" si="20"/>
        <v>119.99999999999994</v>
      </c>
      <c r="Y231" s="150">
        <f t="shared" si="19"/>
        <v>360.00000000000006</v>
      </c>
    </row>
    <row r="232" spans="1:25">
      <c r="A232" s="134"/>
      <c r="B232" s="158">
        <f t="shared" si="21"/>
        <v>38206</v>
      </c>
      <c r="C232" s="159">
        <f t="shared" si="22"/>
        <v>480</v>
      </c>
      <c r="D232" s="159">
        <f t="shared" si="23"/>
        <v>240.00000000000034</v>
      </c>
      <c r="E232" s="159">
        <f t="shared" si="24"/>
        <v>119.99999999999994</v>
      </c>
      <c r="F232" s="159">
        <f t="shared" si="25"/>
        <v>360.00000000000006</v>
      </c>
      <c r="G232" s="137"/>
      <c r="H232" s="137"/>
      <c r="I232" s="137"/>
      <c r="J232" s="137"/>
      <c r="K232" s="160"/>
      <c r="L232" s="160"/>
      <c r="M232" s="137"/>
      <c r="N232" s="138"/>
      <c r="O232" s="138"/>
      <c r="P232" s="138"/>
      <c r="Q232" s="138"/>
      <c r="R232" s="138"/>
      <c r="S232" s="138"/>
      <c r="T232" s="138"/>
      <c r="U232" s="138"/>
      <c r="V232" s="150">
        <f t="shared" si="20"/>
        <v>480</v>
      </c>
      <c r="W232" s="150">
        <f t="shared" si="20"/>
        <v>240.00000000000034</v>
      </c>
      <c r="X232" s="150">
        <f t="shared" si="20"/>
        <v>119.99999999999994</v>
      </c>
      <c r="Y232" s="150">
        <f t="shared" si="19"/>
        <v>360.00000000000006</v>
      </c>
    </row>
    <row r="233" spans="1:25">
      <c r="A233" s="134"/>
      <c r="B233" s="158">
        <f t="shared" si="21"/>
        <v>38207</v>
      </c>
      <c r="C233" s="159">
        <f t="shared" si="22"/>
        <v>480</v>
      </c>
      <c r="D233" s="159">
        <f t="shared" si="23"/>
        <v>240.00000000000034</v>
      </c>
      <c r="E233" s="159">
        <f t="shared" si="24"/>
        <v>119.99999999999994</v>
      </c>
      <c r="F233" s="159">
        <f t="shared" si="25"/>
        <v>360.00000000000006</v>
      </c>
      <c r="G233" s="137"/>
      <c r="H233" s="137"/>
      <c r="I233" s="137"/>
      <c r="J233" s="137"/>
      <c r="K233" s="160"/>
      <c r="L233" s="160"/>
      <c r="M233" s="137"/>
      <c r="N233" s="138"/>
      <c r="O233" s="138"/>
      <c r="P233" s="138"/>
      <c r="Q233" s="138"/>
      <c r="R233" s="138"/>
      <c r="S233" s="138"/>
      <c r="T233" s="138"/>
      <c r="U233" s="138"/>
      <c r="V233" s="150">
        <f t="shared" si="20"/>
        <v>480</v>
      </c>
      <c r="W233" s="150">
        <f t="shared" si="20"/>
        <v>240.00000000000034</v>
      </c>
      <c r="X233" s="150">
        <f t="shared" si="20"/>
        <v>119.99999999999994</v>
      </c>
      <c r="Y233" s="150">
        <f t="shared" si="19"/>
        <v>360.00000000000006</v>
      </c>
    </row>
    <row r="234" spans="1:25">
      <c r="A234" s="134"/>
      <c r="B234" s="158">
        <f t="shared" si="21"/>
        <v>38208</v>
      </c>
      <c r="C234" s="159">
        <f t="shared" si="22"/>
        <v>480</v>
      </c>
      <c r="D234" s="159">
        <f t="shared" si="23"/>
        <v>240.00000000000034</v>
      </c>
      <c r="E234" s="159">
        <f t="shared" si="24"/>
        <v>119.99999999999994</v>
      </c>
      <c r="F234" s="159">
        <f t="shared" si="25"/>
        <v>360.00000000000006</v>
      </c>
      <c r="G234" s="137"/>
      <c r="H234" s="137"/>
      <c r="I234" s="137"/>
      <c r="J234" s="137"/>
      <c r="K234" s="160"/>
      <c r="L234" s="160"/>
      <c r="M234" s="137"/>
      <c r="N234" s="138"/>
      <c r="O234" s="138"/>
      <c r="P234" s="138"/>
      <c r="Q234" s="138"/>
      <c r="R234" s="138"/>
      <c r="S234" s="138"/>
      <c r="T234" s="138"/>
      <c r="U234" s="138"/>
      <c r="V234" s="150">
        <f t="shared" si="20"/>
        <v>480</v>
      </c>
      <c r="W234" s="150">
        <f t="shared" si="20"/>
        <v>240.00000000000034</v>
      </c>
      <c r="X234" s="150">
        <f t="shared" si="20"/>
        <v>119.99999999999994</v>
      </c>
      <c r="Y234" s="150">
        <f t="shared" si="19"/>
        <v>360.00000000000006</v>
      </c>
    </row>
    <row r="235" spans="1:25">
      <c r="A235" s="134"/>
      <c r="B235" s="158">
        <f t="shared" si="21"/>
        <v>38209</v>
      </c>
      <c r="C235" s="159">
        <f t="shared" si="22"/>
        <v>480</v>
      </c>
      <c r="D235" s="159">
        <f t="shared" si="23"/>
        <v>240.00000000000034</v>
      </c>
      <c r="E235" s="159">
        <f t="shared" si="24"/>
        <v>119.99999999999994</v>
      </c>
      <c r="F235" s="159">
        <f t="shared" si="25"/>
        <v>360.00000000000006</v>
      </c>
      <c r="G235" s="137"/>
      <c r="H235" s="137"/>
      <c r="I235" s="137"/>
      <c r="J235" s="137"/>
      <c r="K235" s="160"/>
      <c r="L235" s="160"/>
      <c r="M235" s="137"/>
      <c r="N235" s="138"/>
      <c r="O235" s="138"/>
      <c r="P235" s="138"/>
      <c r="Q235" s="138"/>
      <c r="R235" s="138"/>
      <c r="S235" s="138"/>
      <c r="T235" s="138"/>
      <c r="U235" s="138"/>
      <c r="V235" s="150">
        <f t="shared" si="20"/>
        <v>480</v>
      </c>
      <c r="W235" s="150">
        <f t="shared" si="20"/>
        <v>240.00000000000034</v>
      </c>
      <c r="X235" s="150">
        <f t="shared" si="20"/>
        <v>119.99999999999994</v>
      </c>
      <c r="Y235" s="150">
        <f t="shared" si="19"/>
        <v>360.00000000000006</v>
      </c>
    </row>
    <row r="236" spans="1:25">
      <c r="A236" s="134"/>
      <c r="B236" s="158">
        <f t="shared" si="21"/>
        <v>38210</v>
      </c>
      <c r="C236" s="159">
        <f t="shared" si="22"/>
        <v>480</v>
      </c>
      <c r="D236" s="159">
        <f t="shared" si="23"/>
        <v>240.00000000000034</v>
      </c>
      <c r="E236" s="159">
        <f t="shared" si="24"/>
        <v>119.99999999999994</v>
      </c>
      <c r="F236" s="159">
        <f t="shared" si="25"/>
        <v>360.00000000000006</v>
      </c>
      <c r="G236" s="137"/>
      <c r="H236" s="137"/>
      <c r="I236" s="137"/>
      <c r="J236" s="137"/>
      <c r="K236" s="160"/>
      <c r="L236" s="160"/>
      <c r="M236" s="137"/>
      <c r="N236" s="138"/>
      <c r="O236" s="138"/>
      <c r="P236" s="138"/>
      <c r="Q236" s="138"/>
      <c r="R236" s="138"/>
      <c r="S236" s="138"/>
      <c r="T236" s="138"/>
      <c r="U236" s="138"/>
      <c r="V236" s="150">
        <f t="shared" si="20"/>
        <v>480</v>
      </c>
      <c r="W236" s="150">
        <f t="shared" si="20"/>
        <v>240.00000000000034</v>
      </c>
      <c r="X236" s="150">
        <f t="shared" si="20"/>
        <v>119.99999999999994</v>
      </c>
      <c r="Y236" s="150">
        <f t="shared" si="19"/>
        <v>360.00000000000006</v>
      </c>
    </row>
    <row r="237" spans="1:25">
      <c r="A237" s="134"/>
      <c r="B237" s="158">
        <f t="shared" si="21"/>
        <v>38211</v>
      </c>
      <c r="C237" s="159">
        <f t="shared" si="22"/>
        <v>480</v>
      </c>
      <c r="D237" s="159">
        <f t="shared" si="23"/>
        <v>240.00000000000034</v>
      </c>
      <c r="E237" s="159">
        <f t="shared" si="24"/>
        <v>119.99999999999994</v>
      </c>
      <c r="F237" s="159">
        <f t="shared" si="25"/>
        <v>360.00000000000006</v>
      </c>
      <c r="G237" s="137"/>
      <c r="H237" s="137"/>
      <c r="I237" s="137"/>
      <c r="J237" s="137"/>
      <c r="K237" s="160"/>
      <c r="L237" s="160"/>
      <c r="M237" s="137"/>
      <c r="N237" s="138"/>
      <c r="O237" s="138"/>
      <c r="P237" s="138"/>
      <c r="Q237" s="138"/>
      <c r="R237" s="138"/>
      <c r="S237" s="138"/>
      <c r="T237" s="138"/>
      <c r="U237" s="138"/>
      <c r="V237" s="150">
        <f t="shared" si="20"/>
        <v>480</v>
      </c>
      <c r="W237" s="150">
        <f t="shared" si="20"/>
        <v>240.00000000000034</v>
      </c>
      <c r="X237" s="150">
        <f t="shared" si="20"/>
        <v>119.99999999999994</v>
      </c>
      <c r="Y237" s="150">
        <f t="shared" si="19"/>
        <v>360.00000000000006</v>
      </c>
    </row>
    <row r="238" spans="1:25">
      <c r="A238" s="134"/>
      <c r="B238" s="158">
        <f t="shared" si="21"/>
        <v>38212</v>
      </c>
      <c r="C238" s="159">
        <f t="shared" si="22"/>
        <v>480</v>
      </c>
      <c r="D238" s="159">
        <f t="shared" si="23"/>
        <v>240.00000000000034</v>
      </c>
      <c r="E238" s="159">
        <f t="shared" si="24"/>
        <v>119.99999999999994</v>
      </c>
      <c r="F238" s="159">
        <f t="shared" si="25"/>
        <v>360.00000000000006</v>
      </c>
      <c r="G238" s="137"/>
      <c r="H238" s="137"/>
      <c r="I238" s="137"/>
      <c r="J238" s="137"/>
      <c r="K238" s="160"/>
      <c r="L238" s="160"/>
      <c r="M238" s="137"/>
      <c r="N238" s="138"/>
      <c r="O238" s="138"/>
      <c r="P238" s="138"/>
      <c r="Q238" s="138"/>
      <c r="R238" s="138"/>
      <c r="S238" s="138"/>
      <c r="T238" s="138"/>
      <c r="U238" s="138"/>
      <c r="V238" s="150">
        <f t="shared" si="20"/>
        <v>480</v>
      </c>
      <c r="W238" s="150">
        <f t="shared" si="20"/>
        <v>240.00000000000034</v>
      </c>
      <c r="X238" s="150">
        <f t="shared" si="20"/>
        <v>119.99999999999994</v>
      </c>
      <c r="Y238" s="150">
        <f t="shared" si="19"/>
        <v>360.00000000000006</v>
      </c>
    </row>
    <row r="239" spans="1:25">
      <c r="A239" s="134"/>
      <c r="B239" s="158">
        <f t="shared" si="21"/>
        <v>38213</v>
      </c>
      <c r="C239" s="159">
        <f t="shared" si="22"/>
        <v>480</v>
      </c>
      <c r="D239" s="159">
        <f t="shared" si="23"/>
        <v>240.00000000000034</v>
      </c>
      <c r="E239" s="159">
        <f t="shared" si="24"/>
        <v>119.99999999999994</v>
      </c>
      <c r="F239" s="159">
        <f t="shared" si="25"/>
        <v>360.00000000000006</v>
      </c>
      <c r="G239" s="137"/>
      <c r="H239" s="137"/>
      <c r="I239" s="137"/>
      <c r="J239" s="137"/>
      <c r="K239" s="160"/>
      <c r="L239" s="160"/>
      <c r="M239" s="137"/>
      <c r="N239" s="138"/>
      <c r="O239" s="138"/>
      <c r="P239" s="138"/>
      <c r="Q239" s="138"/>
      <c r="R239" s="138"/>
      <c r="S239" s="138"/>
      <c r="T239" s="138"/>
      <c r="U239" s="138"/>
      <c r="V239" s="150">
        <f t="shared" si="20"/>
        <v>480</v>
      </c>
      <c r="W239" s="150">
        <f t="shared" si="20"/>
        <v>240.00000000000034</v>
      </c>
      <c r="X239" s="150">
        <f t="shared" si="20"/>
        <v>119.99999999999994</v>
      </c>
      <c r="Y239" s="150">
        <f t="shared" si="19"/>
        <v>360.00000000000006</v>
      </c>
    </row>
    <row r="240" spans="1:25">
      <c r="A240" s="134"/>
      <c r="B240" s="158">
        <f t="shared" si="21"/>
        <v>38214</v>
      </c>
      <c r="C240" s="159">
        <f t="shared" si="22"/>
        <v>480</v>
      </c>
      <c r="D240" s="159">
        <f t="shared" si="23"/>
        <v>240.00000000000034</v>
      </c>
      <c r="E240" s="159">
        <f t="shared" si="24"/>
        <v>119.99999999999994</v>
      </c>
      <c r="F240" s="159">
        <f t="shared" si="25"/>
        <v>360.00000000000006</v>
      </c>
      <c r="G240" s="137"/>
      <c r="H240" s="137"/>
      <c r="I240" s="137"/>
      <c r="J240" s="137"/>
      <c r="K240" s="160"/>
      <c r="L240" s="160"/>
      <c r="M240" s="137"/>
      <c r="N240" s="138"/>
      <c r="O240" s="138"/>
      <c r="P240" s="138"/>
      <c r="Q240" s="138"/>
      <c r="R240" s="138"/>
      <c r="S240" s="138"/>
      <c r="T240" s="138"/>
      <c r="U240" s="138"/>
      <c r="V240" s="150">
        <f t="shared" si="20"/>
        <v>480</v>
      </c>
      <c r="W240" s="150">
        <f t="shared" si="20"/>
        <v>240.00000000000034</v>
      </c>
      <c r="X240" s="150">
        <f t="shared" si="20"/>
        <v>119.99999999999994</v>
      </c>
      <c r="Y240" s="150">
        <f t="shared" si="19"/>
        <v>360.00000000000006</v>
      </c>
    </row>
    <row r="241" spans="1:25">
      <c r="A241" s="134"/>
      <c r="B241" s="158">
        <f t="shared" si="21"/>
        <v>38215</v>
      </c>
      <c r="C241" s="159">
        <f t="shared" si="22"/>
        <v>480</v>
      </c>
      <c r="D241" s="159">
        <f t="shared" si="23"/>
        <v>240.00000000000034</v>
      </c>
      <c r="E241" s="159">
        <f t="shared" si="24"/>
        <v>119.99999999999994</v>
      </c>
      <c r="F241" s="159">
        <f t="shared" si="25"/>
        <v>360.00000000000006</v>
      </c>
      <c r="G241" s="137"/>
      <c r="H241" s="137"/>
      <c r="I241" s="137"/>
      <c r="J241" s="137"/>
      <c r="K241" s="160"/>
      <c r="L241" s="160"/>
      <c r="M241" s="137"/>
      <c r="N241" s="138"/>
      <c r="O241" s="138"/>
      <c r="P241" s="138"/>
      <c r="Q241" s="138"/>
      <c r="R241" s="138"/>
      <c r="S241" s="138"/>
      <c r="T241" s="138"/>
      <c r="U241" s="138"/>
      <c r="V241" s="150">
        <f t="shared" si="20"/>
        <v>480</v>
      </c>
      <c r="W241" s="150">
        <f t="shared" si="20"/>
        <v>240.00000000000034</v>
      </c>
      <c r="X241" s="150">
        <f t="shared" si="20"/>
        <v>119.99999999999994</v>
      </c>
      <c r="Y241" s="150">
        <f t="shared" si="19"/>
        <v>360.00000000000006</v>
      </c>
    </row>
    <row r="242" spans="1:25">
      <c r="A242" s="134"/>
      <c r="B242" s="158">
        <f t="shared" si="21"/>
        <v>38216</v>
      </c>
      <c r="C242" s="159">
        <f t="shared" si="22"/>
        <v>480</v>
      </c>
      <c r="D242" s="159">
        <f t="shared" si="23"/>
        <v>240.00000000000034</v>
      </c>
      <c r="E242" s="159">
        <f t="shared" si="24"/>
        <v>119.99999999999994</v>
      </c>
      <c r="F242" s="159">
        <f t="shared" si="25"/>
        <v>360.00000000000006</v>
      </c>
      <c r="G242" s="137"/>
      <c r="H242" s="137"/>
      <c r="I242" s="137"/>
      <c r="J242" s="137"/>
      <c r="K242" s="160"/>
      <c r="L242" s="160"/>
      <c r="M242" s="137"/>
      <c r="N242" s="138"/>
      <c r="O242" s="138"/>
      <c r="P242" s="138"/>
      <c r="Q242" s="138"/>
      <c r="R242" s="138"/>
      <c r="S242" s="138"/>
      <c r="T242" s="138"/>
      <c r="U242" s="138"/>
      <c r="V242" s="150">
        <f t="shared" si="20"/>
        <v>480</v>
      </c>
      <c r="W242" s="150">
        <f t="shared" si="20"/>
        <v>240.00000000000034</v>
      </c>
      <c r="X242" s="150">
        <f t="shared" si="20"/>
        <v>119.99999999999994</v>
      </c>
      <c r="Y242" s="150">
        <f t="shared" si="19"/>
        <v>360.00000000000006</v>
      </c>
    </row>
    <row r="243" spans="1:25">
      <c r="A243" s="134"/>
      <c r="B243" s="158">
        <f t="shared" si="21"/>
        <v>38217</v>
      </c>
      <c r="C243" s="159">
        <f t="shared" si="22"/>
        <v>480</v>
      </c>
      <c r="D243" s="159">
        <f t="shared" si="23"/>
        <v>240.00000000000034</v>
      </c>
      <c r="E243" s="159">
        <f t="shared" si="24"/>
        <v>119.99999999999994</v>
      </c>
      <c r="F243" s="159">
        <f t="shared" si="25"/>
        <v>360.00000000000006</v>
      </c>
      <c r="G243" s="137"/>
      <c r="H243" s="137"/>
      <c r="I243" s="137"/>
      <c r="J243" s="137"/>
      <c r="K243" s="160"/>
      <c r="L243" s="160"/>
      <c r="M243" s="137"/>
      <c r="N243" s="138"/>
      <c r="O243" s="138"/>
      <c r="P243" s="138"/>
      <c r="Q243" s="138"/>
      <c r="R243" s="138"/>
      <c r="S243" s="138"/>
      <c r="T243" s="138"/>
      <c r="U243" s="138"/>
      <c r="V243" s="150">
        <f t="shared" si="20"/>
        <v>480</v>
      </c>
      <c r="W243" s="150">
        <f t="shared" si="20"/>
        <v>240.00000000000034</v>
      </c>
      <c r="X243" s="150">
        <f t="shared" si="20"/>
        <v>119.99999999999994</v>
      </c>
      <c r="Y243" s="150">
        <f t="shared" si="19"/>
        <v>360.00000000000006</v>
      </c>
    </row>
    <row r="244" spans="1:25">
      <c r="A244" s="134"/>
      <c r="B244" s="158">
        <f t="shared" si="21"/>
        <v>38218</v>
      </c>
      <c r="C244" s="159">
        <f t="shared" si="22"/>
        <v>480</v>
      </c>
      <c r="D244" s="159">
        <f t="shared" si="23"/>
        <v>240.00000000000034</v>
      </c>
      <c r="E244" s="159">
        <f t="shared" si="24"/>
        <v>119.99999999999994</v>
      </c>
      <c r="F244" s="159">
        <f t="shared" si="25"/>
        <v>360.00000000000006</v>
      </c>
      <c r="G244" s="137"/>
      <c r="H244" s="137"/>
      <c r="I244" s="137"/>
      <c r="J244" s="137"/>
      <c r="K244" s="160"/>
      <c r="L244" s="160"/>
      <c r="M244" s="137"/>
      <c r="N244" s="138"/>
      <c r="O244" s="138"/>
      <c r="P244" s="138"/>
      <c r="Q244" s="138"/>
      <c r="R244" s="138"/>
      <c r="S244" s="138"/>
      <c r="T244" s="138"/>
      <c r="U244" s="138"/>
      <c r="V244" s="150">
        <f t="shared" si="20"/>
        <v>480</v>
      </c>
      <c r="W244" s="150">
        <f t="shared" si="20"/>
        <v>240.00000000000034</v>
      </c>
      <c r="X244" s="150">
        <f t="shared" si="20"/>
        <v>119.99999999999994</v>
      </c>
      <c r="Y244" s="150">
        <f t="shared" si="19"/>
        <v>360.00000000000006</v>
      </c>
    </row>
    <row r="245" spans="1:25">
      <c r="A245" s="134"/>
      <c r="B245" s="158">
        <f t="shared" si="21"/>
        <v>38219</v>
      </c>
      <c r="C245" s="159">
        <f t="shared" si="22"/>
        <v>480</v>
      </c>
      <c r="D245" s="159">
        <f t="shared" si="23"/>
        <v>240.00000000000034</v>
      </c>
      <c r="E245" s="159">
        <f t="shared" si="24"/>
        <v>119.99999999999994</v>
      </c>
      <c r="F245" s="159">
        <f t="shared" si="25"/>
        <v>360.00000000000006</v>
      </c>
      <c r="G245" s="137"/>
      <c r="H245" s="137"/>
      <c r="I245" s="137"/>
      <c r="J245" s="137"/>
      <c r="K245" s="160"/>
      <c r="L245" s="160"/>
      <c r="M245" s="137"/>
      <c r="N245" s="138"/>
      <c r="O245" s="138"/>
      <c r="P245" s="138"/>
      <c r="Q245" s="138"/>
      <c r="R245" s="138"/>
      <c r="S245" s="138"/>
      <c r="T245" s="138"/>
      <c r="U245" s="138"/>
      <c r="V245" s="150">
        <f t="shared" si="20"/>
        <v>480</v>
      </c>
      <c r="W245" s="150">
        <f t="shared" si="20"/>
        <v>240.00000000000034</v>
      </c>
      <c r="X245" s="150">
        <f t="shared" si="20"/>
        <v>119.99999999999994</v>
      </c>
      <c r="Y245" s="150">
        <f t="shared" si="19"/>
        <v>360.00000000000006</v>
      </c>
    </row>
    <row r="246" spans="1:25">
      <c r="A246" s="134"/>
      <c r="B246" s="158">
        <f t="shared" si="21"/>
        <v>38220</v>
      </c>
      <c r="C246" s="159">
        <f t="shared" si="22"/>
        <v>480</v>
      </c>
      <c r="D246" s="159">
        <f t="shared" si="23"/>
        <v>240.00000000000034</v>
      </c>
      <c r="E246" s="159">
        <f t="shared" si="24"/>
        <v>119.99999999999994</v>
      </c>
      <c r="F246" s="159">
        <f t="shared" si="25"/>
        <v>360.00000000000006</v>
      </c>
      <c r="G246" s="137"/>
      <c r="H246" s="137"/>
      <c r="I246" s="137"/>
      <c r="J246" s="137"/>
      <c r="K246" s="160"/>
      <c r="L246" s="160"/>
      <c r="M246" s="137"/>
      <c r="N246" s="138"/>
      <c r="O246" s="138"/>
      <c r="P246" s="138"/>
      <c r="Q246" s="138"/>
      <c r="R246" s="138"/>
      <c r="S246" s="138"/>
      <c r="T246" s="138"/>
      <c r="U246" s="138"/>
      <c r="V246" s="150">
        <f t="shared" si="20"/>
        <v>480</v>
      </c>
      <c r="W246" s="150">
        <f t="shared" si="20"/>
        <v>240.00000000000034</v>
      </c>
      <c r="X246" s="150">
        <f t="shared" si="20"/>
        <v>119.99999999999994</v>
      </c>
      <c r="Y246" s="150">
        <f t="shared" si="19"/>
        <v>360.00000000000006</v>
      </c>
    </row>
    <row r="247" spans="1:25">
      <c r="A247" s="134"/>
      <c r="B247" s="158">
        <f t="shared" si="21"/>
        <v>38221</v>
      </c>
      <c r="C247" s="159">
        <f t="shared" si="22"/>
        <v>480</v>
      </c>
      <c r="D247" s="159">
        <f t="shared" si="23"/>
        <v>240.00000000000034</v>
      </c>
      <c r="E247" s="159">
        <f t="shared" si="24"/>
        <v>119.99999999999994</v>
      </c>
      <c r="F247" s="159">
        <f t="shared" si="25"/>
        <v>360.00000000000006</v>
      </c>
      <c r="G247" s="137"/>
      <c r="H247" s="137"/>
      <c r="I247" s="137"/>
      <c r="J247" s="137"/>
      <c r="K247" s="160"/>
      <c r="L247" s="160"/>
      <c r="M247" s="137"/>
      <c r="N247" s="138"/>
      <c r="O247" s="138"/>
      <c r="P247" s="138"/>
      <c r="Q247" s="138"/>
      <c r="R247" s="138"/>
      <c r="S247" s="138"/>
      <c r="T247" s="138"/>
      <c r="U247" s="138"/>
      <c r="V247" s="150">
        <f t="shared" si="20"/>
        <v>480</v>
      </c>
      <c r="W247" s="150">
        <f t="shared" si="20"/>
        <v>240.00000000000034</v>
      </c>
      <c r="X247" s="150">
        <f t="shared" si="20"/>
        <v>119.99999999999994</v>
      </c>
      <c r="Y247" s="150">
        <f t="shared" si="19"/>
        <v>360.00000000000006</v>
      </c>
    </row>
    <row r="248" spans="1:25">
      <c r="A248" s="134"/>
      <c r="B248" s="158">
        <f t="shared" si="21"/>
        <v>38222</v>
      </c>
      <c r="C248" s="159">
        <f t="shared" si="22"/>
        <v>480</v>
      </c>
      <c r="D248" s="159">
        <f t="shared" si="23"/>
        <v>240.00000000000034</v>
      </c>
      <c r="E248" s="159">
        <f t="shared" si="24"/>
        <v>119.99999999999994</v>
      </c>
      <c r="F248" s="159">
        <f t="shared" si="25"/>
        <v>360.00000000000006</v>
      </c>
      <c r="G248" s="137"/>
      <c r="H248" s="137"/>
      <c r="I248" s="137"/>
      <c r="J248" s="137"/>
      <c r="K248" s="160"/>
      <c r="L248" s="160"/>
      <c r="M248" s="137"/>
      <c r="N248" s="138"/>
      <c r="O248" s="138"/>
      <c r="P248" s="138"/>
      <c r="Q248" s="138"/>
      <c r="R248" s="138"/>
      <c r="S248" s="138"/>
      <c r="T248" s="138"/>
      <c r="U248" s="138"/>
      <c r="V248" s="150">
        <f t="shared" si="20"/>
        <v>480</v>
      </c>
      <c r="W248" s="150">
        <f t="shared" si="20"/>
        <v>240.00000000000034</v>
      </c>
      <c r="X248" s="150">
        <f t="shared" si="20"/>
        <v>119.99999999999994</v>
      </c>
      <c r="Y248" s="150">
        <f t="shared" si="19"/>
        <v>360.00000000000006</v>
      </c>
    </row>
    <row r="249" spans="1:25">
      <c r="A249" s="134"/>
      <c r="B249" s="158">
        <f t="shared" si="21"/>
        <v>38223</v>
      </c>
      <c r="C249" s="159">
        <f t="shared" si="22"/>
        <v>480</v>
      </c>
      <c r="D249" s="159">
        <f t="shared" si="23"/>
        <v>240.00000000000034</v>
      </c>
      <c r="E249" s="159">
        <f t="shared" si="24"/>
        <v>119.99999999999994</v>
      </c>
      <c r="F249" s="159">
        <f t="shared" si="25"/>
        <v>360.00000000000006</v>
      </c>
      <c r="G249" s="137"/>
      <c r="H249" s="137"/>
      <c r="I249" s="137"/>
      <c r="J249" s="137"/>
      <c r="K249" s="160"/>
      <c r="L249" s="160"/>
      <c r="M249" s="137"/>
      <c r="N249" s="138"/>
      <c r="O249" s="138"/>
      <c r="P249" s="138"/>
      <c r="Q249" s="138"/>
      <c r="R249" s="138"/>
      <c r="S249" s="138"/>
      <c r="T249" s="138"/>
      <c r="U249" s="138"/>
      <c r="V249" s="150">
        <f t="shared" si="20"/>
        <v>480</v>
      </c>
      <c r="W249" s="150">
        <f t="shared" si="20"/>
        <v>240.00000000000034</v>
      </c>
      <c r="X249" s="150">
        <f t="shared" si="20"/>
        <v>119.99999999999994</v>
      </c>
      <c r="Y249" s="150">
        <f t="shared" si="19"/>
        <v>360.00000000000006</v>
      </c>
    </row>
    <row r="250" spans="1:25">
      <c r="A250" s="134"/>
      <c r="B250" s="158">
        <f t="shared" si="21"/>
        <v>38224</v>
      </c>
      <c r="C250" s="159">
        <f t="shared" si="22"/>
        <v>480</v>
      </c>
      <c r="D250" s="159">
        <f t="shared" si="23"/>
        <v>240.00000000000034</v>
      </c>
      <c r="E250" s="159">
        <f t="shared" si="24"/>
        <v>119.99999999999994</v>
      </c>
      <c r="F250" s="159">
        <f t="shared" si="25"/>
        <v>360.00000000000006</v>
      </c>
      <c r="G250" s="137"/>
      <c r="H250" s="137"/>
      <c r="I250" s="137"/>
      <c r="J250" s="137"/>
      <c r="K250" s="160"/>
      <c r="L250" s="160"/>
      <c r="M250" s="137"/>
      <c r="N250" s="138"/>
      <c r="O250" s="138"/>
      <c r="P250" s="138"/>
      <c r="Q250" s="138"/>
      <c r="R250" s="138"/>
      <c r="S250" s="138"/>
      <c r="T250" s="138"/>
      <c r="U250" s="138"/>
      <c r="V250" s="150">
        <f t="shared" si="20"/>
        <v>480</v>
      </c>
      <c r="W250" s="150">
        <f t="shared" si="20"/>
        <v>240.00000000000034</v>
      </c>
      <c r="X250" s="150">
        <f t="shared" si="20"/>
        <v>119.99999999999994</v>
      </c>
      <c r="Y250" s="150">
        <f t="shared" si="19"/>
        <v>360.00000000000006</v>
      </c>
    </row>
    <row r="251" spans="1:25">
      <c r="A251" s="134"/>
      <c r="B251" s="158">
        <f t="shared" si="21"/>
        <v>38225</v>
      </c>
      <c r="C251" s="159">
        <f t="shared" si="22"/>
        <v>480</v>
      </c>
      <c r="D251" s="159">
        <f t="shared" si="23"/>
        <v>240.00000000000034</v>
      </c>
      <c r="E251" s="159">
        <f t="shared" si="24"/>
        <v>119.99999999999994</v>
      </c>
      <c r="F251" s="159">
        <f t="shared" si="25"/>
        <v>360.00000000000006</v>
      </c>
      <c r="G251" s="137"/>
      <c r="H251" s="137"/>
      <c r="I251" s="137"/>
      <c r="J251" s="137"/>
      <c r="K251" s="160"/>
      <c r="L251" s="160"/>
      <c r="M251" s="137"/>
      <c r="N251" s="138"/>
      <c r="O251" s="138"/>
      <c r="P251" s="138"/>
      <c r="Q251" s="138"/>
      <c r="R251" s="138"/>
      <c r="S251" s="138"/>
      <c r="T251" s="138"/>
      <c r="U251" s="138"/>
      <c r="V251" s="150">
        <f t="shared" si="20"/>
        <v>480</v>
      </c>
      <c r="W251" s="150">
        <f t="shared" si="20"/>
        <v>240.00000000000034</v>
      </c>
      <c r="X251" s="150">
        <f t="shared" si="20"/>
        <v>119.99999999999994</v>
      </c>
      <c r="Y251" s="150">
        <f t="shared" si="19"/>
        <v>360.00000000000006</v>
      </c>
    </row>
    <row r="252" spans="1:25">
      <c r="A252" s="134"/>
      <c r="B252" s="158">
        <f t="shared" si="21"/>
        <v>38226</v>
      </c>
      <c r="C252" s="159">
        <f t="shared" si="22"/>
        <v>480</v>
      </c>
      <c r="D252" s="159">
        <f t="shared" si="23"/>
        <v>240.00000000000034</v>
      </c>
      <c r="E252" s="159">
        <f t="shared" si="24"/>
        <v>119.99999999999994</v>
      </c>
      <c r="F252" s="159">
        <f t="shared" si="25"/>
        <v>360.00000000000006</v>
      </c>
      <c r="G252" s="137"/>
      <c r="H252" s="137"/>
      <c r="I252" s="137"/>
      <c r="J252" s="137"/>
      <c r="K252" s="160"/>
      <c r="L252" s="160"/>
      <c r="M252" s="137"/>
      <c r="N252" s="138"/>
      <c r="O252" s="138"/>
      <c r="P252" s="138"/>
      <c r="Q252" s="138"/>
      <c r="R252" s="138"/>
      <c r="S252" s="138"/>
      <c r="T252" s="138"/>
      <c r="U252" s="138"/>
      <c r="V252" s="150">
        <f t="shared" si="20"/>
        <v>480</v>
      </c>
      <c r="W252" s="150">
        <f t="shared" si="20"/>
        <v>240.00000000000034</v>
      </c>
      <c r="X252" s="150">
        <f t="shared" si="20"/>
        <v>119.99999999999994</v>
      </c>
      <c r="Y252" s="150">
        <f t="shared" si="19"/>
        <v>360.00000000000006</v>
      </c>
    </row>
    <row r="253" spans="1:25">
      <c r="A253" s="134"/>
      <c r="B253" s="158">
        <f t="shared" si="21"/>
        <v>38227</v>
      </c>
      <c r="C253" s="159">
        <f t="shared" si="22"/>
        <v>480</v>
      </c>
      <c r="D253" s="159">
        <f t="shared" si="23"/>
        <v>240.00000000000034</v>
      </c>
      <c r="E253" s="159">
        <f t="shared" si="24"/>
        <v>119.99999999999994</v>
      </c>
      <c r="F253" s="159">
        <f t="shared" si="25"/>
        <v>360.00000000000006</v>
      </c>
      <c r="G253" s="137"/>
      <c r="H253" s="137"/>
      <c r="I253" s="137"/>
      <c r="J253" s="137"/>
      <c r="K253" s="160"/>
      <c r="L253" s="160"/>
      <c r="M253" s="137"/>
      <c r="N253" s="138"/>
      <c r="O253" s="138"/>
      <c r="P253" s="138"/>
      <c r="Q253" s="138"/>
      <c r="R253" s="138"/>
      <c r="S253" s="138"/>
      <c r="T253" s="138"/>
      <c r="U253" s="138"/>
      <c r="V253" s="150">
        <f t="shared" si="20"/>
        <v>480</v>
      </c>
      <c r="W253" s="150">
        <f t="shared" si="20"/>
        <v>240.00000000000034</v>
      </c>
      <c r="X253" s="150">
        <f t="shared" si="20"/>
        <v>119.99999999999994</v>
      </c>
      <c r="Y253" s="150">
        <f t="shared" si="19"/>
        <v>360.00000000000006</v>
      </c>
    </row>
    <row r="254" spans="1:25">
      <c r="A254" s="134"/>
      <c r="B254" s="158">
        <f t="shared" si="21"/>
        <v>38228</v>
      </c>
      <c r="C254" s="159">
        <f t="shared" si="22"/>
        <v>480</v>
      </c>
      <c r="D254" s="159">
        <f t="shared" si="23"/>
        <v>240.00000000000034</v>
      </c>
      <c r="E254" s="159">
        <f t="shared" si="24"/>
        <v>119.99999999999994</v>
      </c>
      <c r="F254" s="159">
        <f t="shared" si="25"/>
        <v>360.00000000000006</v>
      </c>
      <c r="G254" s="137"/>
      <c r="H254" s="137"/>
      <c r="I254" s="137"/>
      <c r="J254" s="137"/>
      <c r="K254" s="160"/>
      <c r="L254" s="160"/>
      <c r="M254" s="137"/>
      <c r="N254" s="138"/>
      <c r="O254" s="138"/>
      <c r="P254" s="138"/>
      <c r="Q254" s="138"/>
      <c r="R254" s="138"/>
      <c r="S254" s="138"/>
      <c r="T254" s="138"/>
      <c r="U254" s="138"/>
      <c r="V254" s="150">
        <f t="shared" si="20"/>
        <v>480</v>
      </c>
      <c r="W254" s="150">
        <f t="shared" si="20"/>
        <v>240.00000000000034</v>
      </c>
      <c r="X254" s="150">
        <f t="shared" si="20"/>
        <v>119.99999999999994</v>
      </c>
      <c r="Y254" s="150">
        <f t="shared" si="19"/>
        <v>360.00000000000006</v>
      </c>
    </row>
    <row r="255" spans="1:25">
      <c r="A255" s="134"/>
      <c r="B255" s="158">
        <f t="shared" si="21"/>
        <v>38229</v>
      </c>
      <c r="C255" s="159">
        <f t="shared" si="22"/>
        <v>480</v>
      </c>
      <c r="D255" s="159">
        <f t="shared" si="23"/>
        <v>240.00000000000034</v>
      </c>
      <c r="E255" s="159">
        <f t="shared" si="24"/>
        <v>119.99999999999994</v>
      </c>
      <c r="F255" s="159">
        <f t="shared" si="25"/>
        <v>360.00000000000006</v>
      </c>
      <c r="G255" s="137"/>
      <c r="H255" s="137"/>
      <c r="I255" s="137"/>
      <c r="J255" s="137"/>
      <c r="K255" s="160"/>
      <c r="L255" s="160"/>
      <c r="M255" s="137"/>
      <c r="N255" s="138"/>
      <c r="O255" s="138"/>
      <c r="P255" s="138"/>
      <c r="Q255" s="138"/>
      <c r="R255" s="138"/>
      <c r="S255" s="138"/>
      <c r="T255" s="138"/>
      <c r="U255" s="138"/>
      <c r="V255" s="150">
        <f t="shared" si="20"/>
        <v>480</v>
      </c>
      <c r="W255" s="150">
        <f t="shared" si="20"/>
        <v>240.00000000000034</v>
      </c>
      <c r="X255" s="150">
        <f t="shared" si="20"/>
        <v>119.99999999999994</v>
      </c>
      <c r="Y255" s="150">
        <f t="shared" si="19"/>
        <v>360.00000000000006</v>
      </c>
    </row>
    <row r="256" spans="1:25">
      <c r="A256" s="134"/>
      <c r="B256" s="158">
        <f t="shared" si="21"/>
        <v>38230</v>
      </c>
      <c r="C256" s="159">
        <f t="shared" si="22"/>
        <v>480</v>
      </c>
      <c r="D256" s="159">
        <f t="shared" si="23"/>
        <v>240.00000000000034</v>
      </c>
      <c r="E256" s="159">
        <f t="shared" si="24"/>
        <v>119.99999999999994</v>
      </c>
      <c r="F256" s="159">
        <f t="shared" si="25"/>
        <v>360.00000000000006</v>
      </c>
      <c r="G256" s="137"/>
      <c r="H256" s="137"/>
      <c r="I256" s="137"/>
      <c r="J256" s="137"/>
      <c r="K256" s="160"/>
      <c r="L256" s="160"/>
      <c r="M256" s="137"/>
      <c r="N256" s="138"/>
      <c r="O256" s="138"/>
      <c r="P256" s="138"/>
      <c r="Q256" s="138"/>
      <c r="R256" s="138"/>
      <c r="S256" s="138"/>
      <c r="T256" s="138"/>
      <c r="U256" s="138"/>
      <c r="V256" s="150">
        <f t="shared" si="20"/>
        <v>480</v>
      </c>
      <c r="W256" s="150">
        <f t="shared" si="20"/>
        <v>240.00000000000034</v>
      </c>
      <c r="X256" s="150">
        <f t="shared" si="20"/>
        <v>119.99999999999994</v>
      </c>
      <c r="Y256" s="150">
        <f t="shared" si="19"/>
        <v>360.00000000000006</v>
      </c>
    </row>
    <row r="257" spans="1:25">
      <c r="A257" s="134"/>
      <c r="B257" s="158">
        <f t="shared" si="21"/>
        <v>38231</v>
      </c>
      <c r="C257" s="159">
        <f t="shared" si="22"/>
        <v>480</v>
      </c>
      <c r="D257" s="159">
        <f t="shared" si="23"/>
        <v>240.00000000000034</v>
      </c>
      <c r="E257" s="159">
        <f t="shared" si="24"/>
        <v>119.99999999999994</v>
      </c>
      <c r="F257" s="159">
        <f t="shared" si="25"/>
        <v>360.00000000000006</v>
      </c>
      <c r="G257" s="137"/>
      <c r="H257" s="137"/>
      <c r="I257" s="137"/>
      <c r="J257" s="137"/>
      <c r="K257" s="160"/>
      <c r="L257" s="160"/>
      <c r="M257" s="137"/>
      <c r="N257" s="138"/>
      <c r="O257" s="138"/>
      <c r="P257" s="138"/>
      <c r="Q257" s="138"/>
      <c r="R257" s="138"/>
      <c r="S257" s="138"/>
      <c r="T257" s="138"/>
      <c r="U257" s="138"/>
      <c r="V257" s="150">
        <f t="shared" si="20"/>
        <v>480</v>
      </c>
      <c r="W257" s="150">
        <f t="shared" si="20"/>
        <v>240.00000000000034</v>
      </c>
      <c r="X257" s="150">
        <f t="shared" si="20"/>
        <v>119.99999999999994</v>
      </c>
      <c r="Y257" s="150">
        <f t="shared" si="19"/>
        <v>360.00000000000006</v>
      </c>
    </row>
    <row r="258" spans="1:25">
      <c r="A258" s="134"/>
      <c r="B258" s="158">
        <f t="shared" si="21"/>
        <v>38232</v>
      </c>
      <c r="C258" s="159">
        <f t="shared" si="22"/>
        <v>480</v>
      </c>
      <c r="D258" s="159">
        <f t="shared" si="23"/>
        <v>240.00000000000034</v>
      </c>
      <c r="E258" s="159">
        <f t="shared" si="24"/>
        <v>119.99999999999994</v>
      </c>
      <c r="F258" s="159">
        <f t="shared" si="25"/>
        <v>360.00000000000006</v>
      </c>
      <c r="G258" s="137"/>
      <c r="H258" s="137"/>
      <c r="I258" s="137"/>
      <c r="J258" s="137"/>
      <c r="K258" s="160"/>
      <c r="L258" s="160"/>
      <c r="M258" s="137"/>
      <c r="N258" s="138"/>
      <c r="O258" s="138"/>
      <c r="P258" s="138"/>
      <c r="Q258" s="138"/>
      <c r="R258" s="138"/>
      <c r="S258" s="138"/>
      <c r="T258" s="138"/>
      <c r="U258" s="138"/>
      <c r="V258" s="150">
        <f t="shared" si="20"/>
        <v>480</v>
      </c>
      <c r="W258" s="150">
        <f t="shared" si="20"/>
        <v>240.00000000000034</v>
      </c>
      <c r="X258" s="150">
        <f t="shared" si="20"/>
        <v>119.99999999999994</v>
      </c>
      <c r="Y258" s="150">
        <f t="shared" si="19"/>
        <v>360.00000000000006</v>
      </c>
    </row>
    <row r="259" spans="1:25">
      <c r="A259" s="134"/>
      <c r="B259" s="158">
        <f t="shared" si="21"/>
        <v>38233</v>
      </c>
      <c r="C259" s="159">
        <f t="shared" si="22"/>
        <v>480</v>
      </c>
      <c r="D259" s="159">
        <f t="shared" si="23"/>
        <v>240.00000000000034</v>
      </c>
      <c r="E259" s="159">
        <f t="shared" si="24"/>
        <v>119.99999999999994</v>
      </c>
      <c r="F259" s="159">
        <f t="shared" si="25"/>
        <v>360.00000000000006</v>
      </c>
      <c r="G259" s="137"/>
      <c r="H259" s="137"/>
      <c r="I259" s="137"/>
      <c r="J259" s="137"/>
      <c r="K259" s="160"/>
      <c r="L259" s="160"/>
      <c r="M259" s="137"/>
      <c r="N259" s="138"/>
      <c r="O259" s="138"/>
      <c r="P259" s="138"/>
      <c r="Q259" s="138"/>
      <c r="R259" s="138"/>
      <c r="S259" s="138"/>
      <c r="T259" s="138"/>
      <c r="U259" s="138"/>
      <c r="V259" s="150">
        <f t="shared" si="20"/>
        <v>480</v>
      </c>
      <c r="W259" s="150">
        <f t="shared" si="20"/>
        <v>240.00000000000034</v>
      </c>
      <c r="X259" s="150">
        <f t="shared" si="20"/>
        <v>119.99999999999994</v>
      </c>
      <c r="Y259" s="150">
        <f t="shared" si="19"/>
        <v>360.00000000000006</v>
      </c>
    </row>
    <row r="260" spans="1:25">
      <c r="A260" s="134"/>
      <c r="B260" s="158">
        <f t="shared" si="21"/>
        <v>38234</v>
      </c>
      <c r="C260" s="159">
        <f t="shared" si="22"/>
        <v>480</v>
      </c>
      <c r="D260" s="159">
        <f t="shared" si="23"/>
        <v>240.00000000000034</v>
      </c>
      <c r="E260" s="159">
        <f t="shared" si="24"/>
        <v>119.99999999999994</v>
      </c>
      <c r="F260" s="159">
        <f t="shared" si="25"/>
        <v>360.00000000000006</v>
      </c>
      <c r="G260" s="137"/>
      <c r="H260" s="137"/>
      <c r="I260" s="137"/>
      <c r="J260" s="137"/>
      <c r="K260" s="160"/>
      <c r="L260" s="160"/>
      <c r="M260" s="137"/>
      <c r="N260" s="138"/>
      <c r="O260" s="138"/>
      <c r="P260" s="138"/>
      <c r="Q260" s="138"/>
      <c r="R260" s="138"/>
      <c r="S260" s="138"/>
      <c r="T260" s="138"/>
      <c r="U260" s="138"/>
      <c r="V260" s="150">
        <f t="shared" si="20"/>
        <v>480</v>
      </c>
      <c r="W260" s="150">
        <f t="shared" si="20"/>
        <v>240.00000000000034</v>
      </c>
      <c r="X260" s="150">
        <f t="shared" si="20"/>
        <v>119.99999999999994</v>
      </c>
      <c r="Y260" s="150">
        <f t="shared" si="19"/>
        <v>360.00000000000006</v>
      </c>
    </row>
    <row r="261" spans="1:25">
      <c r="A261" s="134"/>
      <c r="B261" s="158">
        <f t="shared" si="21"/>
        <v>38235</v>
      </c>
      <c r="C261" s="159">
        <f t="shared" si="22"/>
        <v>480</v>
      </c>
      <c r="D261" s="159">
        <f t="shared" si="23"/>
        <v>240.00000000000034</v>
      </c>
      <c r="E261" s="159">
        <f t="shared" si="24"/>
        <v>119.99999999999994</v>
      </c>
      <c r="F261" s="159">
        <f t="shared" si="25"/>
        <v>360.00000000000006</v>
      </c>
      <c r="G261" s="137"/>
      <c r="H261" s="137"/>
      <c r="I261" s="137"/>
      <c r="J261" s="137"/>
      <c r="K261" s="160"/>
      <c r="L261" s="160"/>
      <c r="M261" s="137"/>
      <c r="N261" s="138"/>
      <c r="O261" s="138"/>
      <c r="P261" s="138"/>
      <c r="Q261" s="138"/>
      <c r="R261" s="138"/>
      <c r="S261" s="138"/>
      <c r="T261" s="138"/>
      <c r="U261" s="138"/>
      <c r="V261" s="150">
        <f t="shared" si="20"/>
        <v>480</v>
      </c>
      <c r="W261" s="150">
        <f t="shared" si="20"/>
        <v>240.00000000000034</v>
      </c>
      <c r="X261" s="150">
        <f t="shared" si="20"/>
        <v>119.99999999999994</v>
      </c>
      <c r="Y261" s="150">
        <f t="shared" si="19"/>
        <v>360.00000000000006</v>
      </c>
    </row>
    <row r="262" spans="1:25">
      <c r="A262" s="134"/>
      <c r="B262" s="158">
        <f t="shared" si="21"/>
        <v>38236</v>
      </c>
      <c r="C262" s="159">
        <f t="shared" si="22"/>
        <v>480</v>
      </c>
      <c r="D262" s="159">
        <f t="shared" si="23"/>
        <v>240.00000000000034</v>
      </c>
      <c r="E262" s="159">
        <f t="shared" si="24"/>
        <v>119.99999999999994</v>
      </c>
      <c r="F262" s="159">
        <f t="shared" si="25"/>
        <v>360.00000000000006</v>
      </c>
      <c r="G262" s="137"/>
      <c r="H262" s="137"/>
      <c r="I262" s="137"/>
      <c r="J262" s="137"/>
      <c r="K262" s="160"/>
      <c r="L262" s="160"/>
      <c r="M262" s="137"/>
      <c r="N262" s="138"/>
      <c r="O262" s="138"/>
      <c r="P262" s="138"/>
      <c r="Q262" s="138"/>
      <c r="R262" s="138"/>
      <c r="S262" s="138"/>
      <c r="T262" s="138"/>
      <c r="U262" s="138"/>
      <c r="V262" s="150">
        <f t="shared" si="20"/>
        <v>480</v>
      </c>
      <c r="W262" s="150">
        <f t="shared" si="20"/>
        <v>240.00000000000034</v>
      </c>
      <c r="X262" s="150">
        <f t="shared" si="20"/>
        <v>119.99999999999994</v>
      </c>
      <c r="Y262" s="150">
        <f t="shared" si="19"/>
        <v>360.00000000000006</v>
      </c>
    </row>
    <row r="263" spans="1:25">
      <c r="A263" s="134"/>
      <c r="B263" s="158">
        <f t="shared" si="21"/>
        <v>38237</v>
      </c>
      <c r="C263" s="159">
        <f t="shared" si="22"/>
        <v>480</v>
      </c>
      <c r="D263" s="159">
        <f t="shared" si="23"/>
        <v>240.00000000000034</v>
      </c>
      <c r="E263" s="159">
        <f t="shared" si="24"/>
        <v>119.99999999999994</v>
      </c>
      <c r="F263" s="159">
        <f t="shared" si="25"/>
        <v>360.00000000000006</v>
      </c>
      <c r="G263" s="137"/>
      <c r="H263" s="137"/>
      <c r="I263" s="137"/>
      <c r="J263" s="137"/>
      <c r="K263" s="160"/>
      <c r="L263" s="160"/>
      <c r="M263" s="137"/>
      <c r="N263" s="138"/>
      <c r="O263" s="138"/>
      <c r="P263" s="138"/>
      <c r="Q263" s="138"/>
      <c r="R263" s="138"/>
      <c r="S263" s="138"/>
      <c r="T263" s="138"/>
      <c r="U263" s="138"/>
      <c r="V263" s="150">
        <f t="shared" si="20"/>
        <v>480</v>
      </c>
      <c r="W263" s="150">
        <f t="shared" si="20"/>
        <v>240.00000000000034</v>
      </c>
      <c r="X263" s="150">
        <f t="shared" si="20"/>
        <v>119.99999999999994</v>
      </c>
      <c r="Y263" s="150">
        <f t="shared" si="19"/>
        <v>360.00000000000006</v>
      </c>
    </row>
    <row r="264" spans="1:25">
      <c r="A264" s="134"/>
      <c r="B264" s="158">
        <f t="shared" si="21"/>
        <v>38238</v>
      </c>
      <c r="C264" s="159">
        <f t="shared" si="22"/>
        <v>480</v>
      </c>
      <c r="D264" s="159">
        <f t="shared" si="23"/>
        <v>240.00000000000034</v>
      </c>
      <c r="E264" s="159">
        <f t="shared" si="24"/>
        <v>119.99999999999994</v>
      </c>
      <c r="F264" s="159">
        <f t="shared" si="25"/>
        <v>360.00000000000006</v>
      </c>
      <c r="G264" s="137"/>
      <c r="H264" s="137"/>
      <c r="I264" s="137"/>
      <c r="J264" s="137"/>
      <c r="K264" s="160"/>
      <c r="L264" s="160"/>
      <c r="M264" s="137"/>
      <c r="N264" s="138"/>
      <c r="O264" s="138"/>
      <c r="P264" s="138"/>
      <c r="Q264" s="138"/>
      <c r="R264" s="138"/>
      <c r="S264" s="138"/>
      <c r="T264" s="138"/>
      <c r="U264" s="138"/>
      <c r="V264" s="150">
        <f t="shared" si="20"/>
        <v>480</v>
      </c>
      <c r="W264" s="150">
        <f t="shared" si="20"/>
        <v>240.00000000000034</v>
      </c>
      <c r="X264" s="150">
        <f t="shared" si="20"/>
        <v>119.99999999999994</v>
      </c>
      <c r="Y264" s="150">
        <f t="shared" si="19"/>
        <v>360.00000000000006</v>
      </c>
    </row>
    <row r="265" spans="1:25">
      <c r="A265" s="134"/>
      <c r="B265" s="158">
        <f t="shared" si="21"/>
        <v>38239</v>
      </c>
      <c r="C265" s="159">
        <f t="shared" si="22"/>
        <v>480</v>
      </c>
      <c r="D265" s="159">
        <f t="shared" si="23"/>
        <v>240.00000000000034</v>
      </c>
      <c r="E265" s="159">
        <f t="shared" si="24"/>
        <v>119.99999999999994</v>
      </c>
      <c r="F265" s="159">
        <f t="shared" si="25"/>
        <v>360.00000000000006</v>
      </c>
      <c r="G265" s="137"/>
      <c r="H265" s="137"/>
      <c r="I265" s="137"/>
      <c r="J265" s="137"/>
      <c r="K265" s="160"/>
      <c r="L265" s="160"/>
      <c r="M265" s="137"/>
      <c r="N265" s="138"/>
      <c r="O265" s="138"/>
      <c r="P265" s="138"/>
      <c r="Q265" s="138"/>
      <c r="R265" s="138"/>
      <c r="S265" s="138"/>
      <c r="T265" s="138"/>
      <c r="U265" s="138"/>
      <c r="V265" s="150">
        <f t="shared" si="20"/>
        <v>480</v>
      </c>
      <c r="W265" s="150">
        <f t="shared" si="20"/>
        <v>240.00000000000034</v>
      </c>
      <c r="X265" s="150">
        <f t="shared" si="20"/>
        <v>119.99999999999994</v>
      </c>
      <c r="Y265" s="150">
        <f t="shared" si="19"/>
        <v>360.00000000000006</v>
      </c>
    </row>
    <row r="266" spans="1:25">
      <c r="A266" s="134"/>
      <c r="B266" s="158">
        <f t="shared" si="21"/>
        <v>38240</v>
      </c>
      <c r="C266" s="159">
        <f t="shared" si="22"/>
        <v>480</v>
      </c>
      <c r="D266" s="159">
        <f t="shared" si="23"/>
        <v>240.00000000000034</v>
      </c>
      <c r="E266" s="159">
        <f t="shared" si="24"/>
        <v>119.99999999999994</v>
      </c>
      <c r="F266" s="159">
        <f t="shared" si="25"/>
        <v>360.00000000000006</v>
      </c>
      <c r="G266" s="137"/>
      <c r="H266" s="137"/>
      <c r="I266" s="137"/>
      <c r="J266" s="137"/>
      <c r="K266" s="160"/>
      <c r="L266" s="160"/>
      <c r="M266" s="137"/>
      <c r="N266" s="138"/>
      <c r="O266" s="138"/>
      <c r="P266" s="138"/>
      <c r="Q266" s="138"/>
      <c r="R266" s="138"/>
      <c r="S266" s="138"/>
      <c r="T266" s="138"/>
      <c r="U266" s="138"/>
      <c r="V266" s="150">
        <f t="shared" si="20"/>
        <v>480</v>
      </c>
      <c r="W266" s="150">
        <f t="shared" si="20"/>
        <v>240.00000000000034</v>
      </c>
      <c r="X266" s="150">
        <f t="shared" si="20"/>
        <v>119.99999999999994</v>
      </c>
      <c r="Y266" s="150">
        <f t="shared" si="19"/>
        <v>360.00000000000006</v>
      </c>
    </row>
    <row r="267" spans="1:25">
      <c r="A267" s="134"/>
      <c r="B267" s="158">
        <f t="shared" si="21"/>
        <v>38241</v>
      </c>
      <c r="C267" s="159">
        <f t="shared" si="22"/>
        <v>480</v>
      </c>
      <c r="D267" s="159">
        <f t="shared" si="23"/>
        <v>240.00000000000034</v>
      </c>
      <c r="E267" s="159">
        <f t="shared" si="24"/>
        <v>119.99999999999994</v>
      </c>
      <c r="F267" s="159">
        <f t="shared" si="25"/>
        <v>360.00000000000006</v>
      </c>
      <c r="G267" s="137"/>
      <c r="H267" s="137"/>
      <c r="I267" s="137"/>
      <c r="J267" s="137"/>
      <c r="K267" s="160"/>
      <c r="L267" s="160"/>
      <c r="M267" s="137"/>
      <c r="N267" s="138"/>
      <c r="O267" s="138"/>
      <c r="P267" s="138"/>
      <c r="Q267" s="138"/>
      <c r="R267" s="138"/>
      <c r="S267" s="138"/>
      <c r="T267" s="138"/>
      <c r="U267" s="138"/>
      <c r="V267" s="150">
        <f t="shared" si="20"/>
        <v>480</v>
      </c>
      <c r="W267" s="150">
        <f t="shared" si="20"/>
        <v>240.00000000000034</v>
      </c>
      <c r="X267" s="150">
        <f t="shared" si="20"/>
        <v>119.99999999999994</v>
      </c>
      <c r="Y267" s="150">
        <f t="shared" si="19"/>
        <v>360.00000000000006</v>
      </c>
    </row>
    <row r="268" spans="1:25">
      <c r="A268" s="134"/>
      <c r="B268" s="158">
        <f t="shared" si="21"/>
        <v>38242</v>
      </c>
      <c r="C268" s="159">
        <f t="shared" si="22"/>
        <v>480</v>
      </c>
      <c r="D268" s="159">
        <f t="shared" si="23"/>
        <v>240.00000000000034</v>
      </c>
      <c r="E268" s="159">
        <f t="shared" si="24"/>
        <v>119.99999999999994</v>
      </c>
      <c r="F268" s="159">
        <f t="shared" si="25"/>
        <v>360.00000000000006</v>
      </c>
      <c r="G268" s="137"/>
      <c r="H268" s="137"/>
      <c r="I268" s="137"/>
      <c r="J268" s="137"/>
      <c r="K268" s="160"/>
      <c r="L268" s="160"/>
      <c r="M268" s="137"/>
      <c r="N268" s="138"/>
      <c r="O268" s="138"/>
      <c r="P268" s="138"/>
      <c r="Q268" s="138"/>
      <c r="R268" s="138"/>
      <c r="S268" s="138"/>
      <c r="T268" s="138"/>
      <c r="U268" s="138"/>
      <c r="V268" s="150">
        <f t="shared" si="20"/>
        <v>480</v>
      </c>
      <c r="W268" s="150">
        <f t="shared" si="20"/>
        <v>240.00000000000034</v>
      </c>
      <c r="X268" s="150">
        <f t="shared" si="20"/>
        <v>119.99999999999994</v>
      </c>
      <c r="Y268" s="150">
        <f t="shared" si="20"/>
        <v>360.00000000000006</v>
      </c>
    </row>
    <row r="269" spans="1:25">
      <c r="A269" s="134"/>
      <c r="B269" s="158">
        <f t="shared" si="21"/>
        <v>38243</v>
      </c>
      <c r="C269" s="159">
        <f t="shared" si="22"/>
        <v>480</v>
      </c>
      <c r="D269" s="159">
        <f t="shared" si="23"/>
        <v>240.00000000000034</v>
      </c>
      <c r="E269" s="159">
        <f t="shared" si="24"/>
        <v>119.99999999999994</v>
      </c>
      <c r="F269" s="159">
        <f t="shared" si="25"/>
        <v>360.00000000000006</v>
      </c>
      <c r="G269" s="137"/>
      <c r="H269" s="137"/>
      <c r="I269" s="137"/>
      <c r="J269" s="137"/>
      <c r="K269" s="160"/>
      <c r="L269" s="160"/>
      <c r="M269" s="137"/>
      <c r="N269" s="138"/>
      <c r="O269" s="138"/>
      <c r="P269" s="138"/>
      <c r="Q269" s="138"/>
      <c r="R269" s="138"/>
      <c r="S269" s="138"/>
      <c r="T269" s="138"/>
      <c r="U269" s="138"/>
      <c r="V269" s="150">
        <f t="shared" ref="V269:Y332" si="26">IF(C269="",#N/A,C269)</f>
        <v>480</v>
      </c>
      <c r="W269" s="150">
        <f t="shared" si="26"/>
        <v>240.00000000000034</v>
      </c>
      <c r="X269" s="150">
        <f t="shared" si="26"/>
        <v>119.99999999999994</v>
      </c>
      <c r="Y269" s="150">
        <f t="shared" si="26"/>
        <v>360.00000000000006</v>
      </c>
    </row>
    <row r="270" spans="1:25">
      <c r="A270" s="134"/>
      <c r="B270" s="158">
        <f t="shared" si="21"/>
        <v>38244</v>
      </c>
      <c r="C270" s="159">
        <f t="shared" si="22"/>
        <v>480</v>
      </c>
      <c r="D270" s="159">
        <f t="shared" si="23"/>
        <v>240.00000000000034</v>
      </c>
      <c r="E270" s="159">
        <f t="shared" si="24"/>
        <v>119.99999999999994</v>
      </c>
      <c r="F270" s="159">
        <f t="shared" si="25"/>
        <v>360.00000000000006</v>
      </c>
      <c r="G270" s="137"/>
      <c r="H270" s="137"/>
      <c r="I270" s="137"/>
      <c r="J270" s="137"/>
      <c r="K270" s="160"/>
      <c r="L270" s="160"/>
      <c r="M270" s="137"/>
      <c r="N270" s="138"/>
      <c r="O270" s="138"/>
      <c r="P270" s="138"/>
      <c r="Q270" s="138"/>
      <c r="R270" s="138"/>
      <c r="S270" s="138"/>
      <c r="T270" s="138"/>
      <c r="U270" s="138"/>
      <c r="V270" s="150">
        <f t="shared" si="26"/>
        <v>480</v>
      </c>
      <c r="W270" s="150">
        <f t="shared" si="26"/>
        <v>240.00000000000034</v>
      </c>
      <c r="X270" s="150">
        <f t="shared" si="26"/>
        <v>119.99999999999994</v>
      </c>
      <c r="Y270" s="150">
        <f t="shared" si="26"/>
        <v>360.00000000000006</v>
      </c>
    </row>
    <row r="271" spans="1:25">
      <c r="A271" s="134"/>
      <c r="B271" s="158">
        <f t="shared" ref="B271:B334" si="27">B270+1</f>
        <v>38245</v>
      </c>
      <c r="C271" s="159">
        <f t="shared" ref="C271:C334" si="28">IF(OR(B271&lt;B$6,B271&gt;B$10),"",G$8)</f>
        <v>480</v>
      </c>
      <c r="D271" s="159">
        <f t="shared" ref="D271:D334" si="29">IF(B271=B$6,W$6,IF(B271&gt;B$10,"",IF(B271&gt;=B$9,D270+X$9,IF(B271&gt;B$8,D270+X$8,IF(B271&gt;B$7,D270+X$7,IF(B271&gt;B$6,W$6,""))))))</f>
        <v>240.00000000000034</v>
      </c>
      <c r="E271" s="159">
        <f t="shared" ref="E271:E334" si="30">IF($B271=$B$6,L$6,IF($B271&gt;$B$10,"",IF($B271&gt;=$B$9,E270+V$9,IF($B271&gt;$B$8,E270+V$8,IF($B271&gt;$B$7,E270+V$7,IF($B271&gt;$B$6,L$6,""))))))</f>
        <v>119.99999999999994</v>
      </c>
      <c r="F271" s="159">
        <f t="shared" ref="F271:F334" si="31">IF(C271="","",C271-E271)</f>
        <v>360.00000000000006</v>
      </c>
      <c r="G271" s="137"/>
      <c r="H271" s="137"/>
      <c r="I271" s="137"/>
      <c r="J271" s="137"/>
      <c r="K271" s="160"/>
      <c r="L271" s="160"/>
      <c r="M271" s="137"/>
      <c r="N271" s="138"/>
      <c r="O271" s="138"/>
      <c r="P271" s="138"/>
      <c r="Q271" s="138"/>
      <c r="R271" s="138"/>
      <c r="S271" s="138"/>
      <c r="T271" s="138"/>
      <c r="U271" s="138"/>
      <c r="V271" s="150">
        <f t="shared" si="26"/>
        <v>480</v>
      </c>
      <c r="W271" s="150">
        <f t="shared" si="26"/>
        <v>240.00000000000034</v>
      </c>
      <c r="X271" s="150">
        <f t="shared" si="26"/>
        <v>119.99999999999994</v>
      </c>
      <c r="Y271" s="150">
        <f t="shared" si="26"/>
        <v>360.00000000000006</v>
      </c>
    </row>
    <row r="272" spans="1:25">
      <c r="A272" s="134"/>
      <c r="B272" s="158">
        <f t="shared" si="27"/>
        <v>38246</v>
      </c>
      <c r="C272" s="159">
        <f t="shared" si="28"/>
        <v>480</v>
      </c>
      <c r="D272" s="159">
        <f t="shared" si="29"/>
        <v>240.00000000000034</v>
      </c>
      <c r="E272" s="159">
        <f t="shared" si="30"/>
        <v>119.99999999999994</v>
      </c>
      <c r="F272" s="159">
        <f t="shared" si="31"/>
        <v>360.00000000000006</v>
      </c>
      <c r="G272" s="137"/>
      <c r="H272" s="137"/>
      <c r="I272" s="137"/>
      <c r="J272" s="137"/>
      <c r="K272" s="160"/>
      <c r="L272" s="160"/>
      <c r="M272" s="137"/>
      <c r="N272" s="138"/>
      <c r="O272" s="138"/>
      <c r="P272" s="138"/>
      <c r="Q272" s="138"/>
      <c r="R272" s="138"/>
      <c r="S272" s="138"/>
      <c r="T272" s="138"/>
      <c r="U272" s="138"/>
      <c r="V272" s="150">
        <f t="shared" si="26"/>
        <v>480</v>
      </c>
      <c r="W272" s="150">
        <f t="shared" si="26"/>
        <v>240.00000000000034</v>
      </c>
      <c r="X272" s="150">
        <f t="shared" si="26"/>
        <v>119.99999999999994</v>
      </c>
      <c r="Y272" s="150">
        <f t="shared" si="26"/>
        <v>360.00000000000006</v>
      </c>
    </row>
    <row r="273" spans="1:25">
      <c r="A273" s="134"/>
      <c r="B273" s="158">
        <f t="shared" si="27"/>
        <v>38247</v>
      </c>
      <c r="C273" s="159">
        <f t="shared" si="28"/>
        <v>480</v>
      </c>
      <c r="D273" s="159">
        <f t="shared" si="29"/>
        <v>240.00000000000034</v>
      </c>
      <c r="E273" s="159">
        <f t="shared" si="30"/>
        <v>119.99999999999994</v>
      </c>
      <c r="F273" s="159">
        <f t="shared" si="31"/>
        <v>360.00000000000006</v>
      </c>
      <c r="G273" s="137"/>
      <c r="H273" s="137"/>
      <c r="I273" s="137"/>
      <c r="J273" s="137"/>
      <c r="K273" s="160"/>
      <c r="L273" s="160"/>
      <c r="M273" s="137"/>
      <c r="N273" s="138"/>
      <c r="O273" s="138"/>
      <c r="P273" s="138"/>
      <c r="Q273" s="138"/>
      <c r="R273" s="138"/>
      <c r="S273" s="138"/>
      <c r="T273" s="138"/>
      <c r="U273" s="138"/>
      <c r="V273" s="150">
        <f t="shared" si="26"/>
        <v>480</v>
      </c>
      <c r="W273" s="150">
        <f t="shared" si="26"/>
        <v>240.00000000000034</v>
      </c>
      <c r="X273" s="150">
        <f t="shared" si="26"/>
        <v>119.99999999999994</v>
      </c>
      <c r="Y273" s="150">
        <f t="shared" si="26"/>
        <v>360.00000000000006</v>
      </c>
    </row>
    <row r="274" spans="1:25">
      <c r="A274" s="134"/>
      <c r="B274" s="158">
        <f t="shared" si="27"/>
        <v>38248</v>
      </c>
      <c r="C274" s="159">
        <f t="shared" si="28"/>
        <v>480</v>
      </c>
      <c r="D274" s="159">
        <f t="shared" si="29"/>
        <v>240.00000000000034</v>
      </c>
      <c r="E274" s="159">
        <f t="shared" si="30"/>
        <v>119.99999999999994</v>
      </c>
      <c r="F274" s="159">
        <f t="shared" si="31"/>
        <v>360.00000000000006</v>
      </c>
      <c r="G274" s="137"/>
      <c r="H274" s="137"/>
      <c r="I274" s="137"/>
      <c r="J274" s="137"/>
      <c r="K274" s="160"/>
      <c r="L274" s="160"/>
      <c r="M274" s="137"/>
      <c r="N274" s="138"/>
      <c r="O274" s="138"/>
      <c r="P274" s="138"/>
      <c r="Q274" s="138"/>
      <c r="R274" s="138"/>
      <c r="S274" s="138"/>
      <c r="T274" s="138"/>
      <c r="U274" s="138"/>
      <c r="V274" s="150">
        <f t="shared" si="26"/>
        <v>480</v>
      </c>
      <c r="W274" s="150">
        <f t="shared" si="26"/>
        <v>240.00000000000034</v>
      </c>
      <c r="X274" s="150">
        <f t="shared" si="26"/>
        <v>119.99999999999994</v>
      </c>
      <c r="Y274" s="150">
        <f t="shared" si="26"/>
        <v>360.00000000000006</v>
      </c>
    </row>
    <row r="275" spans="1:25">
      <c r="A275" s="134"/>
      <c r="B275" s="158">
        <f t="shared" si="27"/>
        <v>38249</v>
      </c>
      <c r="C275" s="159">
        <f t="shared" si="28"/>
        <v>480</v>
      </c>
      <c r="D275" s="159">
        <f t="shared" si="29"/>
        <v>240.00000000000034</v>
      </c>
      <c r="E275" s="159">
        <f t="shared" si="30"/>
        <v>119.99999999999994</v>
      </c>
      <c r="F275" s="159">
        <f t="shared" si="31"/>
        <v>360.00000000000006</v>
      </c>
      <c r="G275" s="137"/>
      <c r="H275" s="137"/>
      <c r="I275" s="137"/>
      <c r="J275" s="137"/>
      <c r="K275" s="160"/>
      <c r="L275" s="160"/>
      <c r="M275" s="137"/>
      <c r="N275" s="138"/>
      <c r="O275" s="138"/>
      <c r="P275" s="138"/>
      <c r="Q275" s="138"/>
      <c r="R275" s="138"/>
      <c r="S275" s="138"/>
      <c r="T275" s="138"/>
      <c r="U275" s="138"/>
      <c r="V275" s="150">
        <f t="shared" si="26"/>
        <v>480</v>
      </c>
      <c r="W275" s="150">
        <f t="shared" si="26"/>
        <v>240.00000000000034</v>
      </c>
      <c r="X275" s="150">
        <f t="shared" si="26"/>
        <v>119.99999999999994</v>
      </c>
      <c r="Y275" s="150">
        <f t="shared" si="26"/>
        <v>360.00000000000006</v>
      </c>
    </row>
    <row r="276" spans="1:25">
      <c r="A276" s="134"/>
      <c r="B276" s="158">
        <f t="shared" si="27"/>
        <v>38250</v>
      </c>
      <c r="C276" s="159">
        <f t="shared" si="28"/>
        <v>480</v>
      </c>
      <c r="D276" s="159">
        <f t="shared" si="29"/>
        <v>240.00000000000034</v>
      </c>
      <c r="E276" s="159">
        <f t="shared" si="30"/>
        <v>119.99999999999994</v>
      </c>
      <c r="F276" s="159">
        <f t="shared" si="31"/>
        <v>360.00000000000006</v>
      </c>
      <c r="G276" s="137"/>
      <c r="H276" s="137"/>
      <c r="I276" s="137"/>
      <c r="J276" s="137"/>
      <c r="K276" s="160"/>
      <c r="L276" s="160"/>
      <c r="M276" s="137"/>
      <c r="N276" s="138"/>
      <c r="O276" s="138"/>
      <c r="P276" s="138"/>
      <c r="Q276" s="138"/>
      <c r="R276" s="138"/>
      <c r="S276" s="138"/>
      <c r="T276" s="138"/>
      <c r="U276" s="138"/>
      <c r="V276" s="150">
        <f t="shared" si="26"/>
        <v>480</v>
      </c>
      <c r="W276" s="150">
        <f t="shared" si="26"/>
        <v>240.00000000000034</v>
      </c>
      <c r="X276" s="150">
        <f t="shared" si="26"/>
        <v>119.99999999999994</v>
      </c>
      <c r="Y276" s="150">
        <f t="shared" si="26"/>
        <v>360.00000000000006</v>
      </c>
    </row>
    <row r="277" spans="1:25">
      <c r="A277" s="134"/>
      <c r="B277" s="158">
        <f t="shared" si="27"/>
        <v>38251</v>
      </c>
      <c r="C277" s="159">
        <f t="shared" si="28"/>
        <v>480</v>
      </c>
      <c r="D277" s="159">
        <f t="shared" si="29"/>
        <v>240.00000000000034</v>
      </c>
      <c r="E277" s="159">
        <f t="shared" si="30"/>
        <v>119.99999999999994</v>
      </c>
      <c r="F277" s="159">
        <f t="shared" si="31"/>
        <v>360.00000000000006</v>
      </c>
      <c r="G277" s="137"/>
      <c r="H277" s="137"/>
      <c r="I277" s="137"/>
      <c r="J277" s="137"/>
      <c r="K277" s="160"/>
      <c r="L277" s="160"/>
      <c r="M277" s="137"/>
      <c r="N277" s="138"/>
      <c r="O277" s="138"/>
      <c r="P277" s="138"/>
      <c r="Q277" s="138"/>
      <c r="R277" s="138"/>
      <c r="S277" s="138"/>
      <c r="T277" s="138"/>
      <c r="U277" s="138"/>
      <c r="V277" s="150">
        <f t="shared" si="26"/>
        <v>480</v>
      </c>
      <c r="W277" s="150">
        <f t="shared" si="26"/>
        <v>240.00000000000034</v>
      </c>
      <c r="X277" s="150">
        <f t="shared" si="26"/>
        <v>119.99999999999994</v>
      </c>
      <c r="Y277" s="150">
        <f t="shared" si="26"/>
        <v>360.00000000000006</v>
      </c>
    </row>
    <row r="278" spans="1:25">
      <c r="A278" s="134"/>
      <c r="B278" s="158">
        <f t="shared" si="27"/>
        <v>38252</v>
      </c>
      <c r="C278" s="159">
        <f t="shared" si="28"/>
        <v>480</v>
      </c>
      <c r="D278" s="159">
        <f t="shared" si="29"/>
        <v>240.00000000000034</v>
      </c>
      <c r="E278" s="159">
        <f t="shared" si="30"/>
        <v>119.99999999999994</v>
      </c>
      <c r="F278" s="159">
        <f t="shared" si="31"/>
        <v>360.00000000000006</v>
      </c>
      <c r="G278" s="137"/>
      <c r="H278" s="137"/>
      <c r="I278" s="137"/>
      <c r="J278" s="137"/>
      <c r="K278" s="160"/>
      <c r="L278" s="160"/>
      <c r="M278" s="137"/>
      <c r="N278" s="138"/>
      <c r="O278" s="138"/>
      <c r="P278" s="138"/>
      <c r="Q278" s="138"/>
      <c r="R278" s="138"/>
      <c r="S278" s="138"/>
      <c r="T278" s="138"/>
      <c r="U278" s="138"/>
      <c r="V278" s="150">
        <f t="shared" si="26"/>
        <v>480</v>
      </c>
      <c r="W278" s="150">
        <f t="shared" si="26"/>
        <v>240.00000000000034</v>
      </c>
      <c r="X278" s="150">
        <f t="shared" si="26"/>
        <v>119.99999999999994</v>
      </c>
      <c r="Y278" s="150">
        <f t="shared" si="26"/>
        <v>360.00000000000006</v>
      </c>
    </row>
    <row r="279" spans="1:25">
      <c r="A279" s="134"/>
      <c r="B279" s="158">
        <f t="shared" si="27"/>
        <v>38253</v>
      </c>
      <c r="C279" s="159">
        <f t="shared" si="28"/>
        <v>480</v>
      </c>
      <c r="D279" s="159">
        <f t="shared" si="29"/>
        <v>240.00000000000034</v>
      </c>
      <c r="E279" s="159">
        <f t="shared" si="30"/>
        <v>119.99999999999994</v>
      </c>
      <c r="F279" s="159">
        <f t="shared" si="31"/>
        <v>360.00000000000006</v>
      </c>
      <c r="G279" s="137"/>
      <c r="H279" s="137"/>
      <c r="I279" s="137"/>
      <c r="J279" s="137"/>
      <c r="K279" s="160"/>
      <c r="L279" s="160"/>
      <c r="M279" s="137"/>
      <c r="N279" s="138"/>
      <c r="O279" s="138"/>
      <c r="P279" s="138"/>
      <c r="Q279" s="138"/>
      <c r="R279" s="138"/>
      <c r="S279" s="138"/>
      <c r="T279" s="138"/>
      <c r="U279" s="138"/>
      <c r="V279" s="150">
        <f t="shared" si="26"/>
        <v>480</v>
      </c>
      <c r="W279" s="150">
        <f t="shared" si="26"/>
        <v>240.00000000000034</v>
      </c>
      <c r="X279" s="150">
        <f t="shared" si="26"/>
        <v>119.99999999999994</v>
      </c>
      <c r="Y279" s="150">
        <f t="shared" si="26"/>
        <v>360.00000000000006</v>
      </c>
    </row>
    <row r="280" spans="1:25">
      <c r="A280" s="134"/>
      <c r="B280" s="158">
        <f t="shared" si="27"/>
        <v>38254</v>
      </c>
      <c r="C280" s="159">
        <f t="shared" si="28"/>
        <v>480</v>
      </c>
      <c r="D280" s="159">
        <f t="shared" si="29"/>
        <v>240.00000000000034</v>
      </c>
      <c r="E280" s="159">
        <f t="shared" si="30"/>
        <v>119.99999999999994</v>
      </c>
      <c r="F280" s="159">
        <f t="shared" si="31"/>
        <v>360.00000000000006</v>
      </c>
      <c r="G280" s="137"/>
      <c r="H280" s="137"/>
      <c r="I280" s="137"/>
      <c r="J280" s="137"/>
      <c r="K280" s="160"/>
      <c r="L280" s="160"/>
      <c r="M280" s="137"/>
      <c r="N280" s="138"/>
      <c r="O280" s="138"/>
      <c r="P280" s="138"/>
      <c r="Q280" s="138"/>
      <c r="R280" s="138"/>
      <c r="S280" s="138"/>
      <c r="T280" s="138"/>
      <c r="U280" s="138"/>
      <c r="V280" s="150">
        <f t="shared" si="26"/>
        <v>480</v>
      </c>
      <c r="W280" s="150">
        <f t="shared" si="26"/>
        <v>240.00000000000034</v>
      </c>
      <c r="X280" s="150">
        <f t="shared" si="26"/>
        <v>119.99999999999994</v>
      </c>
      <c r="Y280" s="150">
        <f t="shared" si="26"/>
        <v>360.00000000000006</v>
      </c>
    </row>
    <row r="281" spans="1:25">
      <c r="A281" s="134"/>
      <c r="B281" s="158">
        <f t="shared" si="27"/>
        <v>38255</v>
      </c>
      <c r="C281" s="159">
        <f t="shared" si="28"/>
        <v>480</v>
      </c>
      <c r="D281" s="159">
        <f t="shared" si="29"/>
        <v>240.00000000000034</v>
      </c>
      <c r="E281" s="159">
        <f t="shared" si="30"/>
        <v>119.99999999999994</v>
      </c>
      <c r="F281" s="159">
        <f t="shared" si="31"/>
        <v>360.00000000000006</v>
      </c>
      <c r="G281" s="137"/>
      <c r="H281" s="137"/>
      <c r="I281" s="137"/>
      <c r="J281" s="137"/>
      <c r="K281" s="160"/>
      <c r="L281" s="160"/>
      <c r="M281" s="137"/>
      <c r="N281" s="138"/>
      <c r="O281" s="138"/>
      <c r="P281" s="138"/>
      <c r="Q281" s="138"/>
      <c r="R281" s="138"/>
      <c r="S281" s="138"/>
      <c r="T281" s="138"/>
      <c r="U281" s="138"/>
      <c r="V281" s="150">
        <f t="shared" si="26"/>
        <v>480</v>
      </c>
      <c r="W281" s="150">
        <f t="shared" si="26"/>
        <v>240.00000000000034</v>
      </c>
      <c r="X281" s="150">
        <f t="shared" si="26"/>
        <v>119.99999999999994</v>
      </c>
      <c r="Y281" s="150">
        <f t="shared" si="26"/>
        <v>360.00000000000006</v>
      </c>
    </row>
    <row r="282" spans="1:25">
      <c r="A282" s="134"/>
      <c r="B282" s="158">
        <f t="shared" si="27"/>
        <v>38256</v>
      </c>
      <c r="C282" s="159">
        <f t="shared" si="28"/>
        <v>480</v>
      </c>
      <c r="D282" s="159">
        <f t="shared" si="29"/>
        <v>240.00000000000034</v>
      </c>
      <c r="E282" s="159">
        <f t="shared" si="30"/>
        <v>119.99999999999994</v>
      </c>
      <c r="F282" s="159">
        <f t="shared" si="31"/>
        <v>360.00000000000006</v>
      </c>
      <c r="G282" s="137"/>
      <c r="H282" s="137"/>
      <c r="I282" s="137"/>
      <c r="J282" s="137"/>
      <c r="K282" s="160"/>
      <c r="L282" s="160"/>
      <c r="M282" s="137"/>
      <c r="N282" s="138"/>
      <c r="O282" s="138"/>
      <c r="P282" s="138"/>
      <c r="Q282" s="138"/>
      <c r="R282" s="138"/>
      <c r="S282" s="138"/>
      <c r="T282" s="138"/>
      <c r="U282" s="138"/>
      <c r="V282" s="150">
        <f t="shared" si="26"/>
        <v>480</v>
      </c>
      <c r="W282" s="150">
        <f t="shared" si="26"/>
        <v>240.00000000000034</v>
      </c>
      <c r="X282" s="150">
        <f t="shared" si="26"/>
        <v>119.99999999999994</v>
      </c>
      <c r="Y282" s="150">
        <f t="shared" si="26"/>
        <v>360.00000000000006</v>
      </c>
    </row>
    <row r="283" spans="1:25">
      <c r="A283" s="134"/>
      <c r="B283" s="158">
        <f t="shared" si="27"/>
        <v>38257</v>
      </c>
      <c r="C283" s="159">
        <f t="shared" si="28"/>
        <v>480</v>
      </c>
      <c r="D283" s="159">
        <f t="shared" si="29"/>
        <v>240.00000000000034</v>
      </c>
      <c r="E283" s="159">
        <f t="shared" si="30"/>
        <v>119.99999999999994</v>
      </c>
      <c r="F283" s="159">
        <f t="shared" si="31"/>
        <v>360.00000000000006</v>
      </c>
      <c r="G283" s="137"/>
      <c r="H283" s="137"/>
      <c r="I283" s="137"/>
      <c r="J283" s="137"/>
      <c r="K283" s="160"/>
      <c r="L283" s="160"/>
      <c r="M283" s="137"/>
      <c r="N283" s="138"/>
      <c r="O283" s="138"/>
      <c r="P283" s="138"/>
      <c r="Q283" s="138"/>
      <c r="R283" s="138"/>
      <c r="S283" s="138"/>
      <c r="T283" s="138"/>
      <c r="U283" s="138"/>
      <c r="V283" s="150">
        <f t="shared" si="26"/>
        <v>480</v>
      </c>
      <c r="W283" s="150">
        <f t="shared" si="26"/>
        <v>240.00000000000034</v>
      </c>
      <c r="X283" s="150">
        <f t="shared" si="26"/>
        <v>119.99999999999994</v>
      </c>
      <c r="Y283" s="150">
        <f t="shared" si="26"/>
        <v>360.00000000000006</v>
      </c>
    </row>
    <row r="284" spans="1:25">
      <c r="A284" s="134"/>
      <c r="B284" s="158">
        <f t="shared" si="27"/>
        <v>38258</v>
      </c>
      <c r="C284" s="159">
        <f t="shared" si="28"/>
        <v>480</v>
      </c>
      <c r="D284" s="159">
        <f t="shared" si="29"/>
        <v>240.00000000000034</v>
      </c>
      <c r="E284" s="159">
        <f t="shared" si="30"/>
        <v>119.99999999999994</v>
      </c>
      <c r="F284" s="159">
        <f t="shared" si="31"/>
        <v>360.00000000000006</v>
      </c>
      <c r="G284" s="137"/>
      <c r="H284" s="137"/>
      <c r="I284" s="137"/>
      <c r="J284" s="137"/>
      <c r="K284" s="160"/>
      <c r="L284" s="160"/>
      <c r="M284" s="137"/>
      <c r="N284" s="138"/>
      <c r="O284" s="138"/>
      <c r="P284" s="138"/>
      <c r="Q284" s="138"/>
      <c r="R284" s="138"/>
      <c r="S284" s="138"/>
      <c r="T284" s="138"/>
      <c r="U284" s="138"/>
      <c r="V284" s="150">
        <f t="shared" si="26"/>
        <v>480</v>
      </c>
      <c r="W284" s="150">
        <f t="shared" si="26"/>
        <v>240.00000000000034</v>
      </c>
      <c r="X284" s="150">
        <f t="shared" si="26"/>
        <v>119.99999999999994</v>
      </c>
      <c r="Y284" s="150">
        <f t="shared" si="26"/>
        <v>360.00000000000006</v>
      </c>
    </row>
    <row r="285" spans="1:25">
      <c r="A285" s="134"/>
      <c r="B285" s="158">
        <f t="shared" si="27"/>
        <v>38259</v>
      </c>
      <c r="C285" s="159">
        <f t="shared" si="28"/>
        <v>480</v>
      </c>
      <c r="D285" s="159">
        <f t="shared" si="29"/>
        <v>240.00000000000034</v>
      </c>
      <c r="E285" s="159">
        <f t="shared" si="30"/>
        <v>119.99999999999994</v>
      </c>
      <c r="F285" s="159">
        <f t="shared" si="31"/>
        <v>360.00000000000006</v>
      </c>
      <c r="G285" s="137"/>
      <c r="H285" s="137"/>
      <c r="I285" s="137"/>
      <c r="J285" s="137"/>
      <c r="K285" s="160"/>
      <c r="L285" s="160"/>
      <c r="M285" s="137"/>
      <c r="N285" s="138"/>
      <c r="O285" s="138"/>
      <c r="P285" s="138"/>
      <c r="Q285" s="138"/>
      <c r="R285" s="138"/>
      <c r="S285" s="138"/>
      <c r="T285" s="138"/>
      <c r="U285" s="138"/>
      <c r="V285" s="150">
        <f t="shared" si="26"/>
        <v>480</v>
      </c>
      <c r="W285" s="150">
        <f t="shared" si="26"/>
        <v>240.00000000000034</v>
      </c>
      <c r="X285" s="150">
        <f t="shared" si="26"/>
        <v>119.99999999999994</v>
      </c>
      <c r="Y285" s="150">
        <f t="shared" si="26"/>
        <v>360.00000000000006</v>
      </c>
    </row>
    <row r="286" spans="1:25">
      <c r="A286" s="134"/>
      <c r="B286" s="158">
        <f t="shared" si="27"/>
        <v>38260</v>
      </c>
      <c r="C286" s="159">
        <f t="shared" si="28"/>
        <v>480</v>
      </c>
      <c r="D286" s="159">
        <f t="shared" si="29"/>
        <v>240.00000000000034</v>
      </c>
      <c r="E286" s="159">
        <f t="shared" si="30"/>
        <v>119.99999999999994</v>
      </c>
      <c r="F286" s="159">
        <f t="shared" si="31"/>
        <v>360.00000000000006</v>
      </c>
      <c r="G286" s="137"/>
      <c r="H286" s="137"/>
      <c r="I286" s="137"/>
      <c r="J286" s="137"/>
      <c r="K286" s="160"/>
      <c r="L286" s="160"/>
      <c r="M286" s="137"/>
      <c r="N286" s="138"/>
      <c r="O286" s="138"/>
      <c r="P286" s="138"/>
      <c r="Q286" s="138"/>
      <c r="R286" s="138"/>
      <c r="S286" s="138"/>
      <c r="T286" s="138"/>
      <c r="U286" s="138"/>
      <c r="V286" s="150">
        <f t="shared" si="26"/>
        <v>480</v>
      </c>
      <c r="W286" s="150">
        <f t="shared" si="26"/>
        <v>240.00000000000034</v>
      </c>
      <c r="X286" s="150">
        <f t="shared" si="26"/>
        <v>119.99999999999994</v>
      </c>
      <c r="Y286" s="150">
        <f t="shared" si="26"/>
        <v>360.00000000000006</v>
      </c>
    </row>
    <row r="287" spans="1:25">
      <c r="A287" s="134"/>
      <c r="B287" s="158">
        <f t="shared" si="27"/>
        <v>38261</v>
      </c>
      <c r="C287" s="159" t="str">
        <f t="shared" si="28"/>
        <v/>
      </c>
      <c r="D287" s="159" t="str">
        <f t="shared" si="29"/>
        <v/>
      </c>
      <c r="E287" s="159" t="str">
        <f t="shared" si="30"/>
        <v/>
      </c>
      <c r="F287" s="159" t="str">
        <f t="shared" si="31"/>
        <v/>
      </c>
      <c r="G287" s="137"/>
      <c r="H287" s="137"/>
      <c r="I287" s="137"/>
      <c r="J287" s="137"/>
      <c r="K287" s="160"/>
      <c r="L287" s="160"/>
      <c r="M287" s="137"/>
      <c r="N287" s="138"/>
      <c r="O287" s="138"/>
      <c r="P287" s="138"/>
      <c r="Q287" s="138"/>
      <c r="R287" s="138"/>
      <c r="S287" s="138"/>
      <c r="T287" s="138"/>
      <c r="U287" s="138"/>
      <c r="V287" s="150" t="e">
        <f t="shared" si="26"/>
        <v>#N/A</v>
      </c>
      <c r="W287" s="150" t="e">
        <f t="shared" si="26"/>
        <v>#N/A</v>
      </c>
      <c r="X287" s="150" t="e">
        <f t="shared" si="26"/>
        <v>#N/A</v>
      </c>
      <c r="Y287" s="150" t="e">
        <f t="shared" si="26"/>
        <v>#N/A</v>
      </c>
    </row>
    <row r="288" spans="1:25">
      <c r="A288" s="134"/>
      <c r="B288" s="158">
        <f t="shared" si="27"/>
        <v>38262</v>
      </c>
      <c r="C288" s="159" t="str">
        <f t="shared" si="28"/>
        <v/>
      </c>
      <c r="D288" s="159" t="str">
        <f t="shared" si="29"/>
        <v/>
      </c>
      <c r="E288" s="159" t="str">
        <f t="shared" si="30"/>
        <v/>
      </c>
      <c r="F288" s="159" t="str">
        <f t="shared" si="31"/>
        <v/>
      </c>
      <c r="G288" s="137"/>
      <c r="H288" s="137"/>
      <c r="I288" s="137"/>
      <c r="J288" s="137"/>
      <c r="K288" s="160"/>
      <c r="L288" s="160"/>
      <c r="M288" s="137"/>
      <c r="N288" s="138"/>
      <c r="O288" s="138"/>
      <c r="P288" s="138"/>
      <c r="Q288" s="138"/>
      <c r="R288" s="138"/>
      <c r="S288" s="138"/>
      <c r="T288" s="138"/>
      <c r="U288" s="138"/>
      <c r="V288" s="150" t="e">
        <f t="shared" si="26"/>
        <v>#N/A</v>
      </c>
      <c r="W288" s="150" t="e">
        <f t="shared" si="26"/>
        <v>#N/A</v>
      </c>
      <c r="X288" s="150" t="e">
        <f t="shared" si="26"/>
        <v>#N/A</v>
      </c>
      <c r="Y288" s="150" t="e">
        <f t="shared" si="26"/>
        <v>#N/A</v>
      </c>
    </row>
    <row r="289" spans="1:25">
      <c r="A289" s="134"/>
      <c r="B289" s="158">
        <f t="shared" si="27"/>
        <v>38263</v>
      </c>
      <c r="C289" s="159" t="str">
        <f t="shared" si="28"/>
        <v/>
      </c>
      <c r="D289" s="159" t="str">
        <f t="shared" si="29"/>
        <v/>
      </c>
      <c r="E289" s="159" t="str">
        <f t="shared" si="30"/>
        <v/>
      </c>
      <c r="F289" s="159" t="str">
        <f t="shared" si="31"/>
        <v/>
      </c>
      <c r="G289" s="137"/>
      <c r="H289" s="137"/>
      <c r="I289" s="137"/>
      <c r="J289" s="137"/>
      <c r="K289" s="160"/>
      <c r="L289" s="160"/>
      <c r="M289" s="137"/>
      <c r="N289" s="138"/>
      <c r="O289" s="138"/>
      <c r="P289" s="138"/>
      <c r="Q289" s="138"/>
      <c r="R289" s="138"/>
      <c r="S289" s="138"/>
      <c r="T289" s="138"/>
      <c r="U289" s="138"/>
      <c r="V289" s="150" t="e">
        <f t="shared" si="26"/>
        <v>#N/A</v>
      </c>
      <c r="W289" s="150" t="e">
        <f t="shared" si="26"/>
        <v>#N/A</v>
      </c>
      <c r="X289" s="150" t="e">
        <f t="shared" si="26"/>
        <v>#N/A</v>
      </c>
      <c r="Y289" s="150" t="e">
        <f t="shared" si="26"/>
        <v>#N/A</v>
      </c>
    </row>
    <row r="290" spans="1:25">
      <c r="A290" s="134"/>
      <c r="B290" s="158">
        <f t="shared" si="27"/>
        <v>38264</v>
      </c>
      <c r="C290" s="159" t="str">
        <f t="shared" si="28"/>
        <v/>
      </c>
      <c r="D290" s="159" t="str">
        <f t="shared" si="29"/>
        <v/>
      </c>
      <c r="E290" s="159" t="str">
        <f t="shared" si="30"/>
        <v/>
      </c>
      <c r="F290" s="159" t="str">
        <f t="shared" si="31"/>
        <v/>
      </c>
      <c r="G290" s="137"/>
      <c r="H290" s="137"/>
      <c r="I290" s="137"/>
      <c r="J290" s="137"/>
      <c r="K290" s="160"/>
      <c r="L290" s="160"/>
      <c r="M290" s="137"/>
      <c r="N290" s="138"/>
      <c r="O290" s="138"/>
      <c r="P290" s="138"/>
      <c r="Q290" s="138"/>
      <c r="R290" s="138"/>
      <c r="S290" s="138"/>
      <c r="T290" s="138"/>
      <c r="U290" s="138"/>
      <c r="V290" s="150" t="e">
        <f t="shared" si="26"/>
        <v>#N/A</v>
      </c>
      <c r="W290" s="150" t="e">
        <f t="shared" si="26"/>
        <v>#N/A</v>
      </c>
      <c r="X290" s="150" t="e">
        <f t="shared" si="26"/>
        <v>#N/A</v>
      </c>
      <c r="Y290" s="150" t="e">
        <f t="shared" si="26"/>
        <v>#N/A</v>
      </c>
    </row>
    <row r="291" spans="1:25">
      <c r="A291" s="134"/>
      <c r="B291" s="158">
        <f t="shared" si="27"/>
        <v>38265</v>
      </c>
      <c r="C291" s="159" t="str">
        <f t="shared" si="28"/>
        <v/>
      </c>
      <c r="D291" s="159" t="str">
        <f t="shared" si="29"/>
        <v/>
      </c>
      <c r="E291" s="159" t="str">
        <f t="shared" si="30"/>
        <v/>
      </c>
      <c r="F291" s="159" t="str">
        <f t="shared" si="31"/>
        <v/>
      </c>
      <c r="G291" s="137"/>
      <c r="H291" s="137"/>
      <c r="I291" s="137"/>
      <c r="J291" s="137"/>
      <c r="K291" s="160"/>
      <c r="L291" s="160"/>
      <c r="M291" s="137"/>
      <c r="N291" s="138"/>
      <c r="O291" s="138"/>
      <c r="P291" s="138"/>
      <c r="Q291" s="138"/>
      <c r="R291" s="138"/>
      <c r="S291" s="138"/>
      <c r="T291" s="138"/>
      <c r="U291" s="138"/>
      <c r="V291" s="150" t="e">
        <f t="shared" si="26"/>
        <v>#N/A</v>
      </c>
      <c r="W291" s="150" t="e">
        <f t="shared" si="26"/>
        <v>#N/A</v>
      </c>
      <c r="X291" s="150" t="e">
        <f t="shared" si="26"/>
        <v>#N/A</v>
      </c>
      <c r="Y291" s="150" t="e">
        <f t="shared" si="26"/>
        <v>#N/A</v>
      </c>
    </row>
    <row r="292" spans="1:25">
      <c r="A292" s="134"/>
      <c r="B292" s="158">
        <f t="shared" si="27"/>
        <v>38266</v>
      </c>
      <c r="C292" s="159" t="str">
        <f t="shared" si="28"/>
        <v/>
      </c>
      <c r="D292" s="159" t="str">
        <f t="shared" si="29"/>
        <v/>
      </c>
      <c r="E292" s="159" t="str">
        <f t="shared" si="30"/>
        <v/>
      </c>
      <c r="F292" s="159" t="str">
        <f t="shared" si="31"/>
        <v/>
      </c>
      <c r="G292" s="137"/>
      <c r="H292" s="137"/>
      <c r="I292" s="137"/>
      <c r="J292" s="137"/>
      <c r="K292" s="160"/>
      <c r="L292" s="160"/>
      <c r="M292" s="137"/>
      <c r="N292" s="138"/>
      <c r="O292" s="138"/>
      <c r="P292" s="138"/>
      <c r="Q292" s="138"/>
      <c r="R292" s="138"/>
      <c r="S292" s="138"/>
      <c r="T292" s="138"/>
      <c r="U292" s="138"/>
      <c r="V292" s="150" t="e">
        <f t="shared" si="26"/>
        <v>#N/A</v>
      </c>
      <c r="W292" s="150" t="e">
        <f t="shared" si="26"/>
        <v>#N/A</v>
      </c>
      <c r="X292" s="150" t="e">
        <f t="shared" si="26"/>
        <v>#N/A</v>
      </c>
      <c r="Y292" s="150" t="e">
        <f t="shared" si="26"/>
        <v>#N/A</v>
      </c>
    </row>
    <row r="293" spans="1:25">
      <c r="A293" s="134"/>
      <c r="B293" s="158">
        <f t="shared" si="27"/>
        <v>38267</v>
      </c>
      <c r="C293" s="159" t="str">
        <f t="shared" si="28"/>
        <v/>
      </c>
      <c r="D293" s="159" t="str">
        <f t="shared" si="29"/>
        <v/>
      </c>
      <c r="E293" s="159" t="str">
        <f t="shared" si="30"/>
        <v/>
      </c>
      <c r="F293" s="159" t="str">
        <f t="shared" si="31"/>
        <v/>
      </c>
      <c r="G293" s="137"/>
      <c r="H293" s="137"/>
      <c r="I293" s="137"/>
      <c r="J293" s="137"/>
      <c r="K293" s="160"/>
      <c r="L293" s="160"/>
      <c r="M293" s="137"/>
      <c r="N293" s="138"/>
      <c r="O293" s="138"/>
      <c r="P293" s="138"/>
      <c r="Q293" s="138"/>
      <c r="R293" s="138"/>
      <c r="S293" s="138"/>
      <c r="T293" s="138"/>
      <c r="U293" s="138"/>
      <c r="V293" s="150" t="e">
        <f t="shared" si="26"/>
        <v>#N/A</v>
      </c>
      <c r="W293" s="150" t="e">
        <f t="shared" si="26"/>
        <v>#N/A</v>
      </c>
      <c r="X293" s="150" t="e">
        <f t="shared" si="26"/>
        <v>#N/A</v>
      </c>
      <c r="Y293" s="150" t="e">
        <f t="shared" si="26"/>
        <v>#N/A</v>
      </c>
    </row>
    <row r="294" spans="1:25">
      <c r="A294" s="134"/>
      <c r="B294" s="158">
        <f t="shared" si="27"/>
        <v>38268</v>
      </c>
      <c r="C294" s="159" t="str">
        <f t="shared" si="28"/>
        <v/>
      </c>
      <c r="D294" s="159" t="str">
        <f t="shared" si="29"/>
        <v/>
      </c>
      <c r="E294" s="159" t="str">
        <f t="shared" si="30"/>
        <v/>
      </c>
      <c r="F294" s="159" t="str">
        <f t="shared" si="31"/>
        <v/>
      </c>
      <c r="G294" s="137"/>
      <c r="H294" s="137"/>
      <c r="I294" s="137"/>
      <c r="J294" s="137"/>
      <c r="K294" s="160"/>
      <c r="L294" s="160"/>
      <c r="M294" s="137"/>
      <c r="N294" s="138"/>
      <c r="O294" s="138"/>
      <c r="P294" s="138"/>
      <c r="Q294" s="138"/>
      <c r="R294" s="138"/>
      <c r="S294" s="138"/>
      <c r="T294" s="138"/>
      <c r="U294" s="138"/>
      <c r="V294" s="150" t="e">
        <f t="shared" si="26"/>
        <v>#N/A</v>
      </c>
      <c r="W294" s="150" t="e">
        <f t="shared" si="26"/>
        <v>#N/A</v>
      </c>
      <c r="X294" s="150" t="e">
        <f t="shared" si="26"/>
        <v>#N/A</v>
      </c>
      <c r="Y294" s="150" t="e">
        <f t="shared" si="26"/>
        <v>#N/A</v>
      </c>
    </row>
    <row r="295" spans="1:25">
      <c r="A295" s="134"/>
      <c r="B295" s="158">
        <f t="shared" si="27"/>
        <v>38269</v>
      </c>
      <c r="C295" s="159" t="str">
        <f t="shared" si="28"/>
        <v/>
      </c>
      <c r="D295" s="159" t="str">
        <f t="shared" si="29"/>
        <v/>
      </c>
      <c r="E295" s="159" t="str">
        <f t="shared" si="30"/>
        <v/>
      </c>
      <c r="F295" s="159" t="str">
        <f t="shared" si="31"/>
        <v/>
      </c>
      <c r="G295" s="137"/>
      <c r="H295" s="137"/>
      <c r="I295" s="137"/>
      <c r="J295" s="137"/>
      <c r="K295" s="160"/>
      <c r="L295" s="160"/>
      <c r="M295" s="137"/>
      <c r="N295" s="138"/>
      <c r="O295" s="138"/>
      <c r="P295" s="138"/>
      <c r="Q295" s="138"/>
      <c r="R295" s="138"/>
      <c r="S295" s="138"/>
      <c r="T295" s="138"/>
      <c r="U295" s="138"/>
      <c r="V295" s="150" t="e">
        <f t="shared" si="26"/>
        <v>#N/A</v>
      </c>
      <c r="W295" s="150" t="e">
        <f t="shared" si="26"/>
        <v>#N/A</v>
      </c>
      <c r="X295" s="150" t="e">
        <f t="shared" si="26"/>
        <v>#N/A</v>
      </c>
      <c r="Y295" s="150" t="e">
        <f t="shared" si="26"/>
        <v>#N/A</v>
      </c>
    </row>
    <row r="296" spans="1:25">
      <c r="A296" s="134"/>
      <c r="B296" s="158">
        <f t="shared" si="27"/>
        <v>38270</v>
      </c>
      <c r="C296" s="159" t="str">
        <f t="shared" si="28"/>
        <v/>
      </c>
      <c r="D296" s="159" t="str">
        <f t="shared" si="29"/>
        <v/>
      </c>
      <c r="E296" s="159" t="str">
        <f t="shared" si="30"/>
        <v/>
      </c>
      <c r="F296" s="159" t="str">
        <f t="shared" si="31"/>
        <v/>
      </c>
      <c r="G296" s="137"/>
      <c r="H296" s="137"/>
      <c r="I296" s="137"/>
      <c r="J296" s="137"/>
      <c r="K296" s="160"/>
      <c r="L296" s="160"/>
      <c r="M296" s="137"/>
      <c r="N296" s="138"/>
      <c r="O296" s="138"/>
      <c r="P296" s="138"/>
      <c r="Q296" s="138"/>
      <c r="R296" s="138"/>
      <c r="S296" s="138"/>
      <c r="T296" s="138"/>
      <c r="U296" s="138"/>
      <c r="V296" s="150" t="e">
        <f t="shared" si="26"/>
        <v>#N/A</v>
      </c>
      <c r="W296" s="150" t="e">
        <f t="shared" si="26"/>
        <v>#N/A</v>
      </c>
      <c r="X296" s="150" t="e">
        <f t="shared" si="26"/>
        <v>#N/A</v>
      </c>
      <c r="Y296" s="150" t="e">
        <f t="shared" si="26"/>
        <v>#N/A</v>
      </c>
    </row>
    <row r="297" spans="1:25">
      <c r="A297" s="134"/>
      <c r="B297" s="158">
        <f t="shared" si="27"/>
        <v>38271</v>
      </c>
      <c r="C297" s="159" t="str">
        <f t="shared" si="28"/>
        <v/>
      </c>
      <c r="D297" s="159" t="str">
        <f t="shared" si="29"/>
        <v/>
      </c>
      <c r="E297" s="159" t="str">
        <f t="shared" si="30"/>
        <v/>
      </c>
      <c r="F297" s="159" t="str">
        <f t="shared" si="31"/>
        <v/>
      </c>
      <c r="G297" s="137"/>
      <c r="H297" s="137"/>
      <c r="I297" s="137"/>
      <c r="J297" s="137"/>
      <c r="K297" s="160"/>
      <c r="L297" s="160"/>
      <c r="M297" s="137"/>
      <c r="N297" s="138"/>
      <c r="O297" s="138"/>
      <c r="P297" s="138"/>
      <c r="Q297" s="138"/>
      <c r="R297" s="138"/>
      <c r="S297" s="138"/>
      <c r="T297" s="138"/>
      <c r="U297" s="138"/>
      <c r="V297" s="150" t="e">
        <f t="shared" si="26"/>
        <v>#N/A</v>
      </c>
      <c r="W297" s="150" t="e">
        <f t="shared" si="26"/>
        <v>#N/A</v>
      </c>
      <c r="X297" s="150" t="e">
        <f t="shared" si="26"/>
        <v>#N/A</v>
      </c>
      <c r="Y297" s="150" t="e">
        <f t="shared" si="26"/>
        <v>#N/A</v>
      </c>
    </row>
    <row r="298" spans="1:25">
      <c r="A298" s="134"/>
      <c r="B298" s="158">
        <f t="shared" si="27"/>
        <v>38272</v>
      </c>
      <c r="C298" s="159" t="str">
        <f t="shared" si="28"/>
        <v/>
      </c>
      <c r="D298" s="159" t="str">
        <f t="shared" si="29"/>
        <v/>
      </c>
      <c r="E298" s="159" t="str">
        <f t="shared" si="30"/>
        <v/>
      </c>
      <c r="F298" s="159" t="str">
        <f t="shared" si="31"/>
        <v/>
      </c>
      <c r="G298" s="137"/>
      <c r="H298" s="137"/>
      <c r="I298" s="137"/>
      <c r="J298" s="137"/>
      <c r="K298" s="160"/>
      <c r="L298" s="160"/>
      <c r="M298" s="137"/>
      <c r="N298" s="138"/>
      <c r="O298" s="138"/>
      <c r="P298" s="138"/>
      <c r="Q298" s="138"/>
      <c r="R298" s="138"/>
      <c r="S298" s="138"/>
      <c r="T298" s="138"/>
      <c r="U298" s="138"/>
      <c r="V298" s="150" t="e">
        <f t="shared" si="26"/>
        <v>#N/A</v>
      </c>
      <c r="W298" s="150" t="e">
        <f t="shared" si="26"/>
        <v>#N/A</v>
      </c>
      <c r="X298" s="150" t="e">
        <f t="shared" si="26"/>
        <v>#N/A</v>
      </c>
      <c r="Y298" s="150" t="e">
        <f t="shared" si="26"/>
        <v>#N/A</v>
      </c>
    </row>
    <row r="299" spans="1:25">
      <c r="A299" s="134"/>
      <c r="B299" s="158">
        <f t="shared" si="27"/>
        <v>38273</v>
      </c>
      <c r="C299" s="159" t="str">
        <f t="shared" si="28"/>
        <v/>
      </c>
      <c r="D299" s="159" t="str">
        <f t="shared" si="29"/>
        <v/>
      </c>
      <c r="E299" s="159" t="str">
        <f t="shared" si="30"/>
        <v/>
      </c>
      <c r="F299" s="159" t="str">
        <f t="shared" si="31"/>
        <v/>
      </c>
      <c r="G299" s="137"/>
      <c r="H299" s="137"/>
      <c r="I299" s="137"/>
      <c r="J299" s="137"/>
      <c r="K299" s="160"/>
      <c r="L299" s="160"/>
      <c r="M299" s="137"/>
      <c r="N299" s="138"/>
      <c r="O299" s="138"/>
      <c r="P299" s="138"/>
      <c r="Q299" s="138"/>
      <c r="R299" s="138"/>
      <c r="S299" s="138"/>
      <c r="T299" s="138"/>
      <c r="U299" s="138"/>
      <c r="V299" s="150" t="e">
        <f t="shared" si="26"/>
        <v>#N/A</v>
      </c>
      <c r="W299" s="150" t="e">
        <f t="shared" si="26"/>
        <v>#N/A</v>
      </c>
      <c r="X299" s="150" t="e">
        <f t="shared" si="26"/>
        <v>#N/A</v>
      </c>
      <c r="Y299" s="150" t="e">
        <f t="shared" si="26"/>
        <v>#N/A</v>
      </c>
    </row>
    <row r="300" spans="1:25">
      <c r="A300" s="134"/>
      <c r="B300" s="158">
        <f t="shared" si="27"/>
        <v>38274</v>
      </c>
      <c r="C300" s="159" t="str">
        <f t="shared" si="28"/>
        <v/>
      </c>
      <c r="D300" s="159" t="str">
        <f t="shared" si="29"/>
        <v/>
      </c>
      <c r="E300" s="159" t="str">
        <f t="shared" si="30"/>
        <v/>
      </c>
      <c r="F300" s="159" t="str">
        <f t="shared" si="31"/>
        <v/>
      </c>
      <c r="G300" s="137"/>
      <c r="H300" s="137"/>
      <c r="I300" s="137"/>
      <c r="J300" s="137"/>
      <c r="K300" s="160"/>
      <c r="L300" s="160"/>
      <c r="M300" s="137"/>
      <c r="N300" s="138"/>
      <c r="O300" s="138"/>
      <c r="P300" s="138"/>
      <c r="Q300" s="138"/>
      <c r="R300" s="138"/>
      <c r="S300" s="138"/>
      <c r="T300" s="138"/>
      <c r="U300" s="138"/>
      <c r="V300" s="150" t="e">
        <f t="shared" si="26"/>
        <v>#N/A</v>
      </c>
      <c r="W300" s="150" t="e">
        <f t="shared" si="26"/>
        <v>#N/A</v>
      </c>
      <c r="X300" s="150" t="e">
        <f t="shared" si="26"/>
        <v>#N/A</v>
      </c>
      <c r="Y300" s="150" t="e">
        <f t="shared" si="26"/>
        <v>#N/A</v>
      </c>
    </row>
    <row r="301" spans="1:25">
      <c r="A301" s="134"/>
      <c r="B301" s="158">
        <f t="shared" si="27"/>
        <v>38275</v>
      </c>
      <c r="C301" s="159" t="str">
        <f t="shared" si="28"/>
        <v/>
      </c>
      <c r="D301" s="159" t="str">
        <f t="shared" si="29"/>
        <v/>
      </c>
      <c r="E301" s="159" t="str">
        <f t="shared" si="30"/>
        <v/>
      </c>
      <c r="F301" s="159" t="str">
        <f t="shared" si="31"/>
        <v/>
      </c>
      <c r="G301" s="137"/>
      <c r="H301" s="137"/>
      <c r="I301" s="137"/>
      <c r="J301" s="137"/>
      <c r="K301" s="160"/>
      <c r="L301" s="160"/>
      <c r="M301" s="137"/>
      <c r="N301" s="138"/>
      <c r="O301" s="138"/>
      <c r="P301" s="138"/>
      <c r="Q301" s="138"/>
      <c r="R301" s="138"/>
      <c r="S301" s="138"/>
      <c r="T301" s="138"/>
      <c r="U301" s="138"/>
      <c r="V301" s="150" t="e">
        <f t="shared" si="26"/>
        <v>#N/A</v>
      </c>
      <c r="W301" s="150" t="e">
        <f t="shared" si="26"/>
        <v>#N/A</v>
      </c>
      <c r="X301" s="150" t="e">
        <f t="shared" si="26"/>
        <v>#N/A</v>
      </c>
      <c r="Y301" s="150" t="e">
        <f t="shared" si="26"/>
        <v>#N/A</v>
      </c>
    </row>
    <row r="302" spans="1:25">
      <c r="A302" s="134"/>
      <c r="B302" s="158">
        <f t="shared" si="27"/>
        <v>38276</v>
      </c>
      <c r="C302" s="159" t="str">
        <f t="shared" si="28"/>
        <v/>
      </c>
      <c r="D302" s="159" t="str">
        <f t="shared" si="29"/>
        <v/>
      </c>
      <c r="E302" s="159" t="str">
        <f t="shared" si="30"/>
        <v/>
      </c>
      <c r="F302" s="159" t="str">
        <f t="shared" si="31"/>
        <v/>
      </c>
      <c r="G302" s="137"/>
      <c r="H302" s="137"/>
      <c r="I302" s="137"/>
      <c r="J302" s="137"/>
      <c r="K302" s="160"/>
      <c r="L302" s="160"/>
      <c r="M302" s="137"/>
      <c r="N302" s="138"/>
      <c r="O302" s="138"/>
      <c r="P302" s="138"/>
      <c r="Q302" s="138"/>
      <c r="R302" s="138"/>
      <c r="S302" s="138"/>
      <c r="T302" s="138"/>
      <c r="U302" s="138"/>
      <c r="V302" s="150" t="e">
        <f t="shared" si="26"/>
        <v>#N/A</v>
      </c>
      <c r="W302" s="150" t="e">
        <f t="shared" si="26"/>
        <v>#N/A</v>
      </c>
      <c r="X302" s="150" t="e">
        <f t="shared" si="26"/>
        <v>#N/A</v>
      </c>
      <c r="Y302" s="150" t="e">
        <f t="shared" si="26"/>
        <v>#N/A</v>
      </c>
    </row>
    <row r="303" spans="1:25">
      <c r="A303" s="134"/>
      <c r="B303" s="158">
        <f t="shared" si="27"/>
        <v>38277</v>
      </c>
      <c r="C303" s="159" t="str">
        <f t="shared" si="28"/>
        <v/>
      </c>
      <c r="D303" s="159" t="str">
        <f t="shared" si="29"/>
        <v/>
      </c>
      <c r="E303" s="159" t="str">
        <f t="shared" si="30"/>
        <v/>
      </c>
      <c r="F303" s="159" t="str">
        <f t="shared" si="31"/>
        <v/>
      </c>
      <c r="G303" s="137"/>
      <c r="H303" s="137"/>
      <c r="I303" s="137"/>
      <c r="J303" s="137"/>
      <c r="K303" s="160"/>
      <c r="L303" s="160"/>
      <c r="M303" s="137"/>
      <c r="N303" s="138"/>
      <c r="O303" s="138"/>
      <c r="P303" s="138"/>
      <c r="Q303" s="138"/>
      <c r="R303" s="138"/>
      <c r="S303" s="138"/>
      <c r="T303" s="138"/>
      <c r="U303" s="138"/>
      <c r="V303" s="150" t="e">
        <f t="shared" si="26"/>
        <v>#N/A</v>
      </c>
      <c r="W303" s="150" t="e">
        <f t="shared" si="26"/>
        <v>#N/A</v>
      </c>
      <c r="X303" s="150" t="e">
        <f t="shared" si="26"/>
        <v>#N/A</v>
      </c>
      <c r="Y303" s="150" t="e">
        <f t="shared" si="26"/>
        <v>#N/A</v>
      </c>
    </row>
    <row r="304" spans="1:25">
      <c r="A304" s="134"/>
      <c r="B304" s="158">
        <f t="shared" si="27"/>
        <v>38278</v>
      </c>
      <c r="C304" s="159" t="str">
        <f t="shared" si="28"/>
        <v/>
      </c>
      <c r="D304" s="159" t="str">
        <f t="shared" si="29"/>
        <v/>
      </c>
      <c r="E304" s="159" t="str">
        <f t="shared" si="30"/>
        <v/>
      </c>
      <c r="F304" s="159" t="str">
        <f t="shared" si="31"/>
        <v/>
      </c>
      <c r="G304" s="137"/>
      <c r="H304" s="137"/>
      <c r="I304" s="137"/>
      <c r="J304" s="137"/>
      <c r="K304" s="160"/>
      <c r="L304" s="160"/>
      <c r="M304" s="137"/>
      <c r="N304" s="138"/>
      <c r="O304" s="138"/>
      <c r="P304" s="138"/>
      <c r="Q304" s="138"/>
      <c r="R304" s="138"/>
      <c r="S304" s="138"/>
      <c r="T304" s="138"/>
      <c r="U304" s="138"/>
      <c r="V304" s="150" t="e">
        <f t="shared" si="26"/>
        <v>#N/A</v>
      </c>
      <c r="W304" s="150" t="e">
        <f t="shared" si="26"/>
        <v>#N/A</v>
      </c>
      <c r="X304" s="150" t="e">
        <f t="shared" si="26"/>
        <v>#N/A</v>
      </c>
      <c r="Y304" s="150" t="e">
        <f t="shared" si="26"/>
        <v>#N/A</v>
      </c>
    </row>
    <row r="305" spans="1:25">
      <c r="A305" s="134"/>
      <c r="B305" s="158">
        <f t="shared" si="27"/>
        <v>38279</v>
      </c>
      <c r="C305" s="159" t="str">
        <f t="shared" si="28"/>
        <v/>
      </c>
      <c r="D305" s="159" t="str">
        <f t="shared" si="29"/>
        <v/>
      </c>
      <c r="E305" s="159" t="str">
        <f t="shared" si="30"/>
        <v/>
      </c>
      <c r="F305" s="159" t="str">
        <f t="shared" si="31"/>
        <v/>
      </c>
      <c r="G305" s="137"/>
      <c r="H305" s="137"/>
      <c r="I305" s="137"/>
      <c r="J305" s="137"/>
      <c r="K305" s="160"/>
      <c r="L305" s="160"/>
      <c r="M305" s="137"/>
      <c r="N305" s="138"/>
      <c r="O305" s="138"/>
      <c r="P305" s="138"/>
      <c r="Q305" s="138"/>
      <c r="R305" s="138"/>
      <c r="S305" s="138"/>
      <c r="T305" s="138"/>
      <c r="U305" s="138"/>
      <c r="V305" s="150" t="e">
        <f t="shared" si="26"/>
        <v>#N/A</v>
      </c>
      <c r="W305" s="150" t="e">
        <f t="shared" si="26"/>
        <v>#N/A</v>
      </c>
      <c r="X305" s="150" t="e">
        <f t="shared" si="26"/>
        <v>#N/A</v>
      </c>
      <c r="Y305" s="150" t="e">
        <f t="shared" si="26"/>
        <v>#N/A</v>
      </c>
    </row>
    <row r="306" spans="1:25">
      <c r="A306" s="134"/>
      <c r="B306" s="158">
        <f t="shared" si="27"/>
        <v>38280</v>
      </c>
      <c r="C306" s="159" t="str">
        <f t="shared" si="28"/>
        <v/>
      </c>
      <c r="D306" s="159" t="str">
        <f t="shared" si="29"/>
        <v/>
      </c>
      <c r="E306" s="159" t="str">
        <f t="shared" si="30"/>
        <v/>
      </c>
      <c r="F306" s="159" t="str">
        <f t="shared" si="31"/>
        <v/>
      </c>
      <c r="G306" s="137"/>
      <c r="H306" s="137"/>
      <c r="I306" s="137"/>
      <c r="J306" s="137"/>
      <c r="K306" s="160"/>
      <c r="L306" s="160"/>
      <c r="M306" s="137"/>
      <c r="N306" s="138"/>
      <c r="O306" s="138"/>
      <c r="P306" s="138"/>
      <c r="Q306" s="138"/>
      <c r="R306" s="138"/>
      <c r="S306" s="138"/>
      <c r="T306" s="138"/>
      <c r="U306" s="138"/>
      <c r="V306" s="150" t="e">
        <f t="shared" si="26"/>
        <v>#N/A</v>
      </c>
      <c r="W306" s="150" t="e">
        <f t="shared" si="26"/>
        <v>#N/A</v>
      </c>
      <c r="X306" s="150" t="e">
        <f t="shared" si="26"/>
        <v>#N/A</v>
      </c>
      <c r="Y306" s="150" t="e">
        <f t="shared" si="26"/>
        <v>#N/A</v>
      </c>
    </row>
    <row r="307" spans="1:25">
      <c r="A307" s="134"/>
      <c r="B307" s="158">
        <f t="shared" si="27"/>
        <v>38281</v>
      </c>
      <c r="C307" s="159" t="str">
        <f t="shared" si="28"/>
        <v/>
      </c>
      <c r="D307" s="159" t="str">
        <f t="shared" si="29"/>
        <v/>
      </c>
      <c r="E307" s="159" t="str">
        <f t="shared" si="30"/>
        <v/>
      </c>
      <c r="F307" s="159" t="str">
        <f t="shared" si="31"/>
        <v/>
      </c>
      <c r="G307" s="137"/>
      <c r="H307" s="137"/>
      <c r="I307" s="137"/>
      <c r="J307" s="137"/>
      <c r="K307" s="160"/>
      <c r="L307" s="160"/>
      <c r="M307" s="137"/>
      <c r="N307" s="138"/>
      <c r="O307" s="138"/>
      <c r="P307" s="138"/>
      <c r="Q307" s="138"/>
      <c r="R307" s="138"/>
      <c r="S307" s="138"/>
      <c r="T307" s="138"/>
      <c r="U307" s="138"/>
      <c r="V307" s="150" t="e">
        <f t="shared" si="26"/>
        <v>#N/A</v>
      </c>
      <c r="W307" s="150" t="e">
        <f t="shared" si="26"/>
        <v>#N/A</v>
      </c>
      <c r="X307" s="150" t="e">
        <f t="shared" si="26"/>
        <v>#N/A</v>
      </c>
      <c r="Y307" s="150" t="e">
        <f t="shared" si="26"/>
        <v>#N/A</v>
      </c>
    </row>
    <row r="308" spans="1:25">
      <c r="A308" s="134"/>
      <c r="B308" s="158">
        <f t="shared" si="27"/>
        <v>38282</v>
      </c>
      <c r="C308" s="159" t="str">
        <f t="shared" si="28"/>
        <v/>
      </c>
      <c r="D308" s="159" t="str">
        <f t="shared" si="29"/>
        <v/>
      </c>
      <c r="E308" s="159" t="str">
        <f t="shared" si="30"/>
        <v/>
      </c>
      <c r="F308" s="159" t="str">
        <f t="shared" si="31"/>
        <v/>
      </c>
      <c r="G308" s="137"/>
      <c r="H308" s="137"/>
      <c r="I308" s="137"/>
      <c r="J308" s="137"/>
      <c r="K308" s="160"/>
      <c r="L308" s="160"/>
      <c r="M308" s="137"/>
      <c r="N308" s="138"/>
      <c r="O308" s="138"/>
      <c r="P308" s="138"/>
      <c r="Q308" s="138"/>
      <c r="R308" s="138"/>
      <c r="S308" s="138"/>
      <c r="T308" s="138"/>
      <c r="U308" s="138"/>
      <c r="V308" s="150" t="e">
        <f t="shared" si="26"/>
        <v>#N/A</v>
      </c>
      <c r="W308" s="150" t="e">
        <f t="shared" si="26"/>
        <v>#N/A</v>
      </c>
      <c r="X308" s="150" t="e">
        <f t="shared" si="26"/>
        <v>#N/A</v>
      </c>
      <c r="Y308" s="150" t="e">
        <f t="shared" si="26"/>
        <v>#N/A</v>
      </c>
    </row>
    <row r="309" spans="1:25">
      <c r="A309" s="134"/>
      <c r="B309" s="158">
        <f t="shared" si="27"/>
        <v>38283</v>
      </c>
      <c r="C309" s="159" t="str">
        <f t="shared" si="28"/>
        <v/>
      </c>
      <c r="D309" s="159" t="str">
        <f t="shared" si="29"/>
        <v/>
      </c>
      <c r="E309" s="159" t="str">
        <f t="shared" si="30"/>
        <v/>
      </c>
      <c r="F309" s="159" t="str">
        <f t="shared" si="31"/>
        <v/>
      </c>
      <c r="G309" s="137"/>
      <c r="H309" s="137"/>
      <c r="I309" s="137"/>
      <c r="J309" s="137"/>
      <c r="K309" s="160"/>
      <c r="L309" s="160"/>
      <c r="M309" s="137"/>
      <c r="N309" s="138"/>
      <c r="O309" s="138"/>
      <c r="P309" s="138"/>
      <c r="Q309" s="138"/>
      <c r="R309" s="138"/>
      <c r="S309" s="138"/>
      <c r="T309" s="138"/>
      <c r="U309" s="138"/>
      <c r="V309" s="150" t="e">
        <f t="shared" si="26"/>
        <v>#N/A</v>
      </c>
      <c r="W309" s="150" t="e">
        <f t="shared" si="26"/>
        <v>#N/A</v>
      </c>
      <c r="X309" s="150" t="e">
        <f t="shared" si="26"/>
        <v>#N/A</v>
      </c>
      <c r="Y309" s="150" t="e">
        <f t="shared" si="26"/>
        <v>#N/A</v>
      </c>
    </row>
    <row r="310" spans="1:25">
      <c r="A310" s="134"/>
      <c r="B310" s="158">
        <f t="shared" si="27"/>
        <v>38284</v>
      </c>
      <c r="C310" s="159" t="str">
        <f t="shared" si="28"/>
        <v/>
      </c>
      <c r="D310" s="159" t="str">
        <f t="shared" si="29"/>
        <v/>
      </c>
      <c r="E310" s="159" t="str">
        <f t="shared" si="30"/>
        <v/>
      </c>
      <c r="F310" s="159" t="str">
        <f t="shared" si="31"/>
        <v/>
      </c>
      <c r="G310" s="137"/>
      <c r="H310" s="137"/>
      <c r="I310" s="137"/>
      <c r="J310" s="137"/>
      <c r="K310" s="160"/>
      <c r="L310" s="160"/>
      <c r="M310" s="137"/>
      <c r="N310" s="138"/>
      <c r="O310" s="138"/>
      <c r="P310" s="138"/>
      <c r="Q310" s="138"/>
      <c r="R310" s="138"/>
      <c r="S310" s="138"/>
      <c r="T310" s="138"/>
      <c r="U310" s="138"/>
      <c r="V310" s="150" t="e">
        <f t="shared" si="26"/>
        <v>#N/A</v>
      </c>
      <c r="W310" s="150" t="e">
        <f t="shared" si="26"/>
        <v>#N/A</v>
      </c>
      <c r="X310" s="150" t="e">
        <f t="shared" si="26"/>
        <v>#N/A</v>
      </c>
      <c r="Y310" s="150" t="e">
        <f t="shared" si="26"/>
        <v>#N/A</v>
      </c>
    </row>
    <row r="311" spans="1:25">
      <c r="A311" s="134"/>
      <c r="B311" s="158">
        <f t="shared" si="27"/>
        <v>38285</v>
      </c>
      <c r="C311" s="159" t="str">
        <f t="shared" si="28"/>
        <v/>
      </c>
      <c r="D311" s="159" t="str">
        <f t="shared" si="29"/>
        <v/>
      </c>
      <c r="E311" s="159" t="str">
        <f t="shared" si="30"/>
        <v/>
      </c>
      <c r="F311" s="159" t="str">
        <f t="shared" si="31"/>
        <v/>
      </c>
      <c r="G311" s="137"/>
      <c r="H311" s="137"/>
      <c r="I311" s="137"/>
      <c r="J311" s="137"/>
      <c r="K311" s="160"/>
      <c r="L311" s="160"/>
      <c r="M311" s="137"/>
      <c r="N311" s="138"/>
      <c r="O311" s="138"/>
      <c r="P311" s="138"/>
      <c r="Q311" s="138"/>
      <c r="R311" s="138"/>
      <c r="S311" s="138"/>
      <c r="T311" s="138"/>
      <c r="U311" s="138"/>
      <c r="V311" s="150" t="e">
        <f t="shared" si="26"/>
        <v>#N/A</v>
      </c>
      <c r="W311" s="150" t="e">
        <f t="shared" si="26"/>
        <v>#N/A</v>
      </c>
      <c r="X311" s="150" t="e">
        <f t="shared" si="26"/>
        <v>#N/A</v>
      </c>
      <c r="Y311" s="150" t="e">
        <f t="shared" si="26"/>
        <v>#N/A</v>
      </c>
    </row>
    <row r="312" spans="1:25">
      <c r="A312" s="134"/>
      <c r="B312" s="158">
        <f t="shared" si="27"/>
        <v>38286</v>
      </c>
      <c r="C312" s="159" t="str">
        <f t="shared" si="28"/>
        <v/>
      </c>
      <c r="D312" s="159" t="str">
        <f t="shared" si="29"/>
        <v/>
      </c>
      <c r="E312" s="159" t="str">
        <f t="shared" si="30"/>
        <v/>
      </c>
      <c r="F312" s="159" t="str">
        <f t="shared" si="31"/>
        <v/>
      </c>
      <c r="G312" s="137"/>
      <c r="H312" s="137"/>
      <c r="I312" s="137"/>
      <c r="J312" s="137"/>
      <c r="K312" s="160"/>
      <c r="L312" s="160"/>
      <c r="M312" s="137"/>
      <c r="N312" s="138"/>
      <c r="O312" s="138"/>
      <c r="P312" s="138"/>
      <c r="Q312" s="138"/>
      <c r="R312" s="138"/>
      <c r="S312" s="138"/>
      <c r="T312" s="138"/>
      <c r="U312" s="138"/>
      <c r="V312" s="150" t="e">
        <f t="shared" si="26"/>
        <v>#N/A</v>
      </c>
      <c r="W312" s="150" t="e">
        <f t="shared" si="26"/>
        <v>#N/A</v>
      </c>
      <c r="X312" s="150" t="e">
        <f t="shared" si="26"/>
        <v>#N/A</v>
      </c>
      <c r="Y312" s="150" t="e">
        <f t="shared" si="26"/>
        <v>#N/A</v>
      </c>
    </row>
    <row r="313" spans="1:25">
      <c r="A313" s="134"/>
      <c r="B313" s="158">
        <f t="shared" si="27"/>
        <v>38287</v>
      </c>
      <c r="C313" s="159" t="str">
        <f t="shared" si="28"/>
        <v/>
      </c>
      <c r="D313" s="159" t="str">
        <f t="shared" si="29"/>
        <v/>
      </c>
      <c r="E313" s="159" t="str">
        <f t="shared" si="30"/>
        <v/>
      </c>
      <c r="F313" s="159" t="str">
        <f t="shared" si="31"/>
        <v/>
      </c>
      <c r="G313" s="137"/>
      <c r="H313" s="137"/>
      <c r="I313" s="137"/>
      <c r="J313" s="137"/>
      <c r="K313" s="160"/>
      <c r="L313" s="160"/>
      <c r="M313" s="137"/>
      <c r="N313" s="138"/>
      <c r="O313" s="138"/>
      <c r="P313" s="138"/>
      <c r="Q313" s="138"/>
      <c r="R313" s="138"/>
      <c r="S313" s="138"/>
      <c r="T313" s="138"/>
      <c r="U313" s="138"/>
      <c r="V313" s="150" t="e">
        <f t="shared" si="26"/>
        <v>#N/A</v>
      </c>
      <c r="W313" s="150" t="e">
        <f t="shared" si="26"/>
        <v>#N/A</v>
      </c>
      <c r="X313" s="150" t="e">
        <f t="shared" si="26"/>
        <v>#N/A</v>
      </c>
      <c r="Y313" s="150" t="e">
        <f t="shared" si="26"/>
        <v>#N/A</v>
      </c>
    </row>
    <row r="314" spans="1:25">
      <c r="A314" s="134"/>
      <c r="B314" s="158">
        <f t="shared" si="27"/>
        <v>38288</v>
      </c>
      <c r="C314" s="159" t="str">
        <f t="shared" si="28"/>
        <v/>
      </c>
      <c r="D314" s="159" t="str">
        <f t="shared" si="29"/>
        <v/>
      </c>
      <c r="E314" s="159" t="str">
        <f t="shared" si="30"/>
        <v/>
      </c>
      <c r="F314" s="159" t="str">
        <f t="shared" si="31"/>
        <v/>
      </c>
      <c r="G314" s="137"/>
      <c r="H314" s="137"/>
      <c r="I314" s="137"/>
      <c r="J314" s="137"/>
      <c r="K314" s="160"/>
      <c r="L314" s="160"/>
      <c r="M314" s="137"/>
      <c r="N314" s="138"/>
      <c r="O314" s="138"/>
      <c r="P314" s="138"/>
      <c r="Q314" s="138"/>
      <c r="R314" s="138"/>
      <c r="S314" s="138"/>
      <c r="T314" s="138"/>
      <c r="U314" s="138"/>
      <c r="V314" s="150" t="e">
        <f t="shared" si="26"/>
        <v>#N/A</v>
      </c>
      <c r="W314" s="150" t="e">
        <f t="shared" si="26"/>
        <v>#N/A</v>
      </c>
      <c r="X314" s="150" t="e">
        <f t="shared" si="26"/>
        <v>#N/A</v>
      </c>
      <c r="Y314" s="150" t="e">
        <f t="shared" si="26"/>
        <v>#N/A</v>
      </c>
    </row>
    <row r="315" spans="1:25">
      <c r="A315" s="134"/>
      <c r="B315" s="158">
        <f t="shared" si="27"/>
        <v>38289</v>
      </c>
      <c r="C315" s="159" t="str">
        <f t="shared" si="28"/>
        <v/>
      </c>
      <c r="D315" s="159" t="str">
        <f t="shared" si="29"/>
        <v/>
      </c>
      <c r="E315" s="159" t="str">
        <f t="shared" si="30"/>
        <v/>
      </c>
      <c r="F315" s="159" t="str">
        <f t="shared" si="31"/>
        <v/>
      </c>
      <c r="G315" s="137"/>
      <c r="H315" s="137"/>
      <c r="I315" s="137"/>
      <c r="J315" s="137"/>
      <c r="K315" s="160"/>
      <c r="L315" s="160"/>
      <c r="M315" s="137"/>
      <c r="N315" s="138"/>
      <c r="O315" s="138"/>
      <c r="P315" s="138"/>
      <c r="Q315" s="138"/>
      <c r="R315" s="138"/>
      <c r="S315" s="138"/>
      <c r="T315" s="138"/>
      <c r="U315" s="138"/>
      <c r="V315" s="150" t="e">
        <f t="shared" si="26"/>
        <v>#N/A</v>
      </c>
      <c r="W315" s="150" t="e">
        <f t="shared" si="26"/>
        <v>#N/A</v>
      </c>
      <c r="X315" s="150" t="e">
        <f t="shared" si="26"/>
        <v>#N/A</v>
      </c>
      <c r="Y315" s="150" t="e">
        <f t="shared" si="26"/>
        <v>#N/A</v>
      </c>
    </row>
    <row r="316" spans="1:25">
      <c r="A316" s="134"/>
      <c r="B316" s="158">
        <f t="shared" si="27"/>
        <v>38290</v>
      </c>
      <c r="C316" s="159" t="str">
        <f t="shared" si="28"/>
        <v/>
      </c>
      <c r="D316" s="159" t="str">
        <f t="shared" si="29"/>
        <v/>
      </c>
      <c r="E316" s="159" t="str">
        <f t="shared" si="30"/>
        <v/>
      </c>
      <c r="F316" s="159" t="str">
        <f t="shared" si="31"/>
        <v/>
      </c>
      <c r="G316" s="137"/>
      <c r="H316" s="137"/>
      <c r="I316" s="137"/>
      <c r="J316" s="137"/>
      <c r="K316" s="160"/>
      <c r="L316" s="160"/>
      <c r="M316" s="137"/>
      <c r="N316" s="138"/>
      <c r="O316" s="138"/>
      <c r="P316" s="138"/>
      <c r="Q316" s="138"/>
      <c r="R316" s="138"/>
      <c r="S316" s="138"/>
      <c r="T316" s="138"/>
      <c r="U316" s="138"/>
      <c r="V316" s="150" t="e">
        <f t="shared" si="26"/>
        <v>#N/A</v>
      </c>
      <c r="W316" s="150" t="e">
        <f t="shared" si="26"/>
        <v>#N/A</v>
      </c>
      <c r="X316" s="150" t="e">
        <f t="shared" si="26"/>
        <v>#N/A</v>
      </c>
      <c r="Y316" s="150" t="e">
        <f t="shared" si="26"/>
        <v>#N/A</v>
      </c>
    </row>
    <row r="317" spans="1:25">
      <c r="A317" s="134"/>
      <c r="B317" s="158">
        <f t="shared" si="27"/>
        <v>38291</v>
      </c>
      <c r="C317" s="159" t="str">
        <f t="shared" si="28"/>
        <v/>
      </c>
      <c r="D317" s="159" t="str">
        <f t="shared" si="29"/>
        <v/>
      </c>
      <c r="E317" s="159" t="str">
        <f t="shared" si="30"/>
        <v/>
      </c>
      <c r="F317" s="159" t="str">
        <f t="shared" si="31"/>
        <v/>
      </c>
      <c r="G317" s="137"/>
      <c r="H317" s="137"/>
      <c r="I317" s="137"/>
      <c r="J317" s="137"/>
      <c r="K317" s="160"/>
      <c r="L317" s="160"/>
      <c r="M317" s="137"/>
      <c r="N317" s="138"/>
      <c r="O317" s="138"/>
      <c r="P317" s="138"/>
      <c r="Q317" s="138"/>
      <c r="R317" s="138"/>
      <c r="S317" s="138"/>
      <c r="T317" s="138"/>
      <c r="U317" s="138"/>
      <c r="V317" s="150" t="e">
        <f t="shared" si="26"/>
        <v>#N/A</v>
      </c>
      <c r="W317" s="150" t="e">
        <f t="shared" si="26"/>
        <v>#N/A</v>
      </c>
      <c r="X317" s="150" t="e">
        <f t="shared" si="26"/>
        <v>#N/A</v>
      </c>
      <c r="Y317" s="150" t="e">
        <f t="shared" si="26"/>
        <v>#N/A</v>
      </c>
    </row>
    <row r="318" spans="1:25">
      <c r="A318" s="134"/>
      <c r="B318" s="158">
        <f t="shared" si="27"/>
        <v>38292</v>
      </c>
      <c r="C318" s="159" t="str">
        <f t="shared" si="28"/>
        <v/>
      </c>
      <c r="D318" s="159" t="str">
        <f t="shared" si="29"/>
        <v/>
      </c>
      <c r="E318" s="159" t="str">
        <f t="shared" si="30"/>
        <v/>
      </c>
      <c r="F318" s="159" t="str">
        <f t="shared" si="31"/>
        <v/>
      </c>
      <c r="G318" s="137"/>
      <c r="H318" s="137"/>
      <c r="I318" s="137"/>
      <c r="J318" s="137"/>
      <c r="K318" s="160"/>
      <c r="L318" s="160"/>
      <c r="M318" s="137"/>
      <c r="N318" s="138"/>
      <c r="O318" s="138"/>
      <c r="P318" s="138"/>
      <c r="Q318" s="138"/>
      <c r="R318" s="138"/>
      <c r="S318" s="138"/>
      <c r="T318" s="138"/>
      <c r="U318" s="138"/>
      <c r="V318" s="150" t="e">
        <f t="shared" si="26"/>
        <v>#N/A</v>
      </c>
      <c r="W318" s="150" t="e">
        <f t="shared" si="26"/>
        <v>#N/A</v>
      </c>
      <c r="X318" s="150" t="e">
        <f t="shared" si="26"/>
        <v>#N/A</v>
      </c>
      <c r="Y318" s="150" t="e">
        <f t="shared" si="26"/>
        <v>#N/A</v>
      </c>
    </row>
    <row r="319" spans="1:25">
      <c r="A319" s="134"/>
      <c r="B319" s="158">
        <f t="shared" si="27"/>
        <v>38293</v>
      </c>
      <c r="C319" s="159" t="str">
        <f t="shared" si="28"/>
        <v/>
      </c>
      <c r="D319" s="159" t="str">
        <f t="shared" si="29"/>
        <v/>
      </c>
      <c r="E319" s="159" t="str">
        <f t="shared" si="30"/>
        <v/>
      </c>
      <c r="F319" s="159" t="str">
        <f t="shared" si="31"/>
        <v/>
      </c>
      <c r="G319" s="137"/>
      <c r="H319" s="137"/>
      <c r="I319" s="137"/>
      <c r="J319" s="137"/>
      <c r="K319" s="160"/>
      <c r="L319" s="160"/>
      <c r="M319" s="137"/>
      <c r="N319" s="138"/>
      <c r="O319" s="138"/>
      <c r="P319" s="138"/>
      <c r="Q319" s="138"/>
      <c r="R319" s="138"/>
      <c r="S319" s="138"/>
      <c r="T319" s="138"/>
      <c r="U319" s="138"/>
      <c r="V319" s="150" t="e">
        <f t="shared" si="26"/>
        <v>#N/A</v>
      </c>
      <c r="W319" s="150" t="e">
        <f t="shared" si="26"/>
        <v>#N/A</v>
      </c>
      <c r="X319" s="150" t="e">
        <f t="shared" si="26"/>
        <v>#N/A</v>
      </c>
      <c r="Y319" s="150" t="e">
        <f t="shared" si="26"/>
        <v>#N/A</v>
      </c>
    </row>
    <row r="320" spans="1:25">
      <c r="A320" s="134"/>
      <c r="B320" s="158">
        <f t="shared" si="27"/>
        <v>38294</v>
      </c>
      <c r="C320" s="159" t="str">
        <f t="shared" si="28"/>
        <v/>
      </c>
      <c r="D320" s="159" t="str">
        <f t="shared" si="29"/>
        <v/>
      </c>
      <c r="E320" s="159" t="str">
        <f t="shared" si="30"/>
        <v/>
      </c>
      <c r="F320" s="159" t="str">
        <f t="shared" si="31"/>
        <v/>
      </c>
      <c r="G320" s="137"/>
      <c r="H320" s="137"/>
      <c r="I320" s="137"/>
      <c r="J320" s="137"/>
      <c r="K320" s="160"/>
      <c r="L320" s="160"/>
      <c r="M320" s="137"/>
      <c r="N320" s="138"/>
      <c r="O320" s="138"/>
      <c r="P320" s="138"/>
      <c r="Q320" s="138"/>
      <c r="R320" s="138"/>
      <c r="S320" s="138"/>
      <c r="T320" s="138"/>
      <c r="U320" s="138"/>
      <c r="V320" s="150" t="e">
        <f t="shared" si="26"/>
        <v>#N/A</v>
      </c>
      <c r="W320" s="150" t="e">
        <f t="shared" si="26"/>
        <v>#N/A</v>
      </c>
      <c r="X320" s="150" t="e">
        <f t="shared" si="26"/>
        <v>#N/A</v>
      </c>
      <c r="Y320" s="150" t="e">
        <f t="shared" si="26"/>
        <v>#N/A</v>
      </c>
    </row>
    <row r="321" spans="1:25">
      <c r="A321" s="134"/>
      <c r="B321" s="158">
        <f t="shared" si="27"/>
        <v>38295</v>
      </c>
      <c r="C321" s="159" t="str">
        <f t="shared" si="28"/>
        <v/>
      </c>
      <c r="D321" s="159" t="str">
        <f t="shared" si="29"/>
        <v/>
      </c>
      <c r="E321" s="159" t="str">
        <f t="shared" si="30"/>
        <v/>
      </c>
      <c r="F321" s="159" t="str">
        <f t="shared" si="31"/>
        <v/>
      </c>
      <c r="G321" s="137"/>
      <c r="H321" s="137"/>
      <c r="I321" s="137"/>
      <c r="J321" s="137"/>
      <c r="K321" s="160"/>
      <c r="L321" s="160"/>
      <c r="M321" s="137"/>
      <c r="N321" s="138"/>
      <c r="O321" s="138"/>
      <c r="P321" s="138"/>
      <c r="Q321" s="138"/>
      <c r="R321" s="138"/>
      <c r="S321" s="138"/>
      <c r="T321" s="138"/>
      <c r="U321" s="138"/>
      <c r="V321" s="150" t="e">
        <f t="shared" si="26"/>
        <v>#N/A</v>
      </c>
      <c r="W321" s="150" t="e">
        <f t="shared" si="26"/>
        <v>#N/A</v>
      </c>
      <c r="X321" s="150" t="e">
        <f t="shared" si="26"/>
        <v>#N/A</v>
      </c>
      <c r="Y321" s="150" t="e">
        <f t="shared" si="26"/>
        <v>#N/A</v>
      </c>
    </row>
    <row r="322" spans="1:25">
      <c r="A322" s="134"/>
      <c r="B322" s="158">
        <f t="shared" si="27"/>
        <v>38296</v>
      </c>
      <c r="C322" s="159" t="str">
        <f t="shared" si="28"/>
        <v/>
      </c>
      <c r="D322" s="159" t="str">
        <f t="shared" si="29"/>
        <v/>
      </c>
      <c r="E322" s="159" t="str">
        <f t="shared" si="30"/>
        <v/>
      </c>
      <c r="F322" s="159" t="str">
        <f t="shared" si="31"/>
        <v/>
      </c>
      <c r="G322" s="137"/>
      <c r="H322" s="137"/>
      <c r="I322" s="137"/>
      <c r="J322" s="137"/>
      <c r="K322" s="160"/>
      <c r="L322" s="160"/>
      <c r="M322" s="137"/>
      <c r="N322" s="138"/>
      <c r="O322" s="138"/>
      <c r="P322" s="138"/>
      <c r="Q322" s="138"/>
      <c r="R322" s="138"/>
      <c r="S322" s="138"/>
      <c r="T322" s="138"/>
      <c r="U322" s="138"/>
      <c r="V322" s="150" t="e">
        <f t="shared" si="26"/>
        <v>#N/A</v>
      </c>
      <c r="W322" s="150" t="e">
        <f t="shared" si="26"/>
        <v>#N/A</v>
      </c>
      <c r="X322" s="150" t="e">
        <f t="shared" si="26"/>
        <v>#N/A</v>
      </c>
      <c r="Y322" s="150" t="e">
        <f t="shared" si="26"/>
        <v>#N/A</v>
      </c>
    </row>
    <row r="323" spans="1:25">
      <c r="A323" s="134"/>
      <c r="B323" s="158">
        <f t="shared" si="27"/>
        <v>38297</v>
      </c>
      <c r="C323" s="159" t="str">
        <f t="shared" si="28"/>
        <v/>
      </c>
      <c r="D323" s="159" t="str">
        <f t="shared" si="29"/>
        <v/>
      </c>
      <c r="E323" s="159" t="str">
        <f t="shared" si="30"/>
        <v/>
      </c>
      <c r="F323" s="159" t="str">
        <f t="shared" si="31"/>
        <v/>
      </c>
      <c r="G323" s="137"/>
      <c r="H323" s="137"/>
      <c r="I323" s="137"/>
      <c r="J323" s="137"/>
      <c r="K323" s="160"/>
      <c r="L323" s="160"/>
      <c r="M323" s="137"/>
      <c r="N323" s="138"/>
      <c r="O323" s="138"/>
      <c r="P323" s="138"/>
      <c r="Q323" s="138"/>
      <c r="R323" s="138"/>
      <c r="S323" s="138"/>
      <c r="T323" s="138"/>
      <c r="U323" s="138"/>
      <c r="V323" s="150" t="e">
        <f t="shared" si="26"/>
        <v>#N/A</v>
      </c>
      <c r="W323" s="150" t="e">
        <f t="shared" si="26"/>
        <v>#N/A</v>
      </c>
      <c r="X323" s="150" t="e">
        <f t="shared" si="26"/>
        <v>#N/A</v>
      </c>
      <c r="Y323" s="150" t="e">
        <f t="shared" si="26"/>
        <v>#N/A</v>
      </c>
    </row>
    <row r="324" spans="1:25">
      <c r="A324" s="134"/>
      <c r="B324" s="158">
        <f t="shared" si="27"/>
        <v>38298</v>
      </c>
      <c r="C324" s="159" t="str">
        <f t="shared" si="28"/>
        <v/>
      </c>
      <c r="D324" s="159" t="str">
        <f t="shared" si="29"/>
        <v/>
      </c>
      <c r="E324" s="159" t="str">
        <f t="shared" si="30"/>
        <v/>
      </c>
      <c r="F324" s="159" t="str">
        <f t="shared" si="31"/>
        <v/>
      </c>
      <c r="G324" s="137"/>
      <c r="H324" s="137"/>
      <c r="I324" s="137"/>
      <c r="J324" s="137"/>
      <c r="K324" s="160"/>
      <c r="L324" s="160"/>
      <c r="M324" s="137"/>
      <c r="N324" s="138"/>
      <c r="O324" s="138"/>
      <c r="P324" s="138"/>
      <c r="Q324" s="138"/>
      <c r="R324" s="138"/>
      <c r="S324" s="138"/>
      <c r="T324" s="138"/>
      <c r="U324" s="138"/>
      <c r="V324" s="150" t="e">
        <f t="shared" si="26"/>
        <v>#N/A</v>
      </c>
      <c r="W324" s="150" t="e">
        <f t="shared" si="26"/>
        <v>#N/A</v>
      </c>
      <c r="X324" s="150" t="e">
        <f t="shared" si="26"/>
        <v>#N/A</v>
      </c>
      <c r="Y324" s="150" t="e">
        <f t="shared" si="26"/>
        <v>#N/A</v>
      </c>
    </row>
    <row r="325" spans="1:25">
      <c r="A325" s="134"/>
      <c r="B325" s="158">
        <f t="shared" si="27"/>
        <v>38299</v>
      </c>
      <c r="C325" s="159" t="str">
        <f t="shared" si="28"/>
        <v/>
      </c>
      <c r="D325" s="159" t="str">
        <f t="shared" si="29"/>
        <v/>
      </c>
      <c r="E325" s="159" t="str">
        <f t="shared" si="30"/>
        <v/>
      </c>
      <c r="F325" s="159" t="str">
        <f t="shared" si="31"/>
        <v/>
      </c>
      <c r="G325" s="137"/>
      <c r="H325" s="137"/>
      <c r="I325" s="137"/>
      <c r="J325" s="137"/>
      <c r="K325" s="160"/>
      <c r="L325" s="160"/>
      <c r="M325" s="137"/>
      <c r="N325" s="138"/>
      <c r="O325" s="138"/>
      <c r="P325" s="138"/>
      <c r="Q325" s="138"/>
      <c r="R325" s="138"/>
      <c r="S325" s="138"/>
      <c r="T325" s="138"/>
      <c r="U325" s="138"/>
      <c r="V325" s="150" t="e">
        <f t="shared" si="26"/>
        <v>#N/A</v>
      </c>
      <c r="W325" s="150" t="e">
        <f t="shared" si="26"/>
        <v>#N/A</v>
      </c>
      <c r="X325" s="150" t="e">
        <f t="shared" si="26"/>
        <v>#N/A</v>
      </c>
      <c r="Y325" s="150" t="e">
        <f t="shared" si="26"/>
        <v>#N/A</v>
      </c>
    </row>
    <row r="326" spans="1:25">
      <c r="A326" s="134"/>
      <c r="B326" s="158">
        <f t="shared" si="27"/>
        <v>38300</v>
      </c>
      <c r="C326" s="159" t="str">
        <f t="shared" si="28"/>
        <v/>
      </c>
      <c r="D326" s="159" t="str">
        <f t="shared" si="29"/>
        <v/>
      </c>
      <c r="E326" s="159" t="str">
        <f t="shared" si="30"/>
        <v/>
      </c>
      <c r="F326" s="159" t="str">
        <f t="shared" si="31"/>
        <v/>
      </c>
      <c r="G326" s="137"/>
      <c r="H326" s="137"/>
      <c r="I326" s="137"/>
      <c r="J326" s="137"/>
      <c r="K326" s="160"/>
      <c r="L326" s="160"/>
      <c r="M326" s="137"/>
      <c r="N326" s="138"/>
      <c r="O326" s="138"/>
      <c r="P326" s="138"/>
      <c r="Q326" s="138"/>
      <c r="R326" s="138"/>
      <c r="S326" s="138"/>
      <c r="T326" s="138"/>
      <c r="U326" s="138"/>
      <c r="V326" s="150" t="e">
        <f t="shared" si="26"/>
        <v>#N/A</v>
      </c>
      <c r="W326" s="150" t="e">
        <f t="shared" si="26"/>
        <v>#N/A</v>
      </c>
      <c r="X326" s="150" t="e">
        <f t="shared" si="26"/>
        <v>#N/A</v>
      </c>
      <c r="Y326" s="150" t="e">
        <f t="shared" si="26"/>
        <v>#N/A</v>
      </c>
    </row>
    <row r="327" spans="1:25">
      <c r="A327" s="134"/>
      <c r="B327" s="158">
        <f t="shared" si="27"/>
        <v>38301</v>
      </c>
      <c r="C327" s="159" t="str">
        <f t="shared" si="28"/>
        <v/>
      </c>
      <c r="D327" s="159" t="str">
        <f t="shared" si="29"/>
        <v/>
      </c>
      <c r="E327" s="159" t="str">
        <f t="shared" si="30"/>
        <v/>
      </c>
      <c r="F327" s="159" t="str">
        <f t="shared" si="31"/>
        <v/>
      </c>
      <c r="G327" s="137"/>
      <c r="H327" s="137"/>
      <c r="I327" s="137"/>
      <c r="J327" s="137"/>
      <c r="K327" s="160"/>
      <c r="L327" s="160"/>
      <c r="M327" s="137"/>
      <c r="N327" s="138"/>
      <c r="O327" s="138"/>
      <c r="P327" s="138"/>
      <c r="Q327" s="138"/>
      <c r="R327" s="138"/>
      <c r="S327" s="138"/>
      <c r="T327" s="138"/>
      <c r="U327" s="138"/>
      <c r="V327" s="150" t="e">
        <f t="shared" si="26"/>
        <v>#N/A</v>
      </c>
      <c r="W327" s="150" t="e">
        <f t="shared" si="26"/>
        <v>#N/A</v>
      </c>
      <c r="X327" s="150" t="e">
        <f t="shared" si="26"/>
        <v>#N/A</v>
      </c>
      <c r="Y327" s="150" t="e">
        <f t="shared" si="26"/>
        <v>#N/A</v>
      </c>
    </row>
    <row r="328" spans="1:25">
      <c r="A328" s="134"/>
      <c r="B328" s="158">
        <f t="shared" si="27"/>
        <v>38302</v>
      </c>
      <c r="C328" s="159" t="str">
        <f t="shared" si="28"/>
        <v/>
      </c>
      <c r="D328" s="159" t="str">
        <f t="shared" si="29"/>
        <v/>
      </c>
      <c r="E328" s="159" t="str">
        <f t="shared" si="30"/>
        <v/>
      </c>
      <c r="F328" s="159" t="str">
        <f t="shared" si="31"/>
        <v/>
      </c>
      <c r="G328" s="137"/>
      <c r="H328" s="137"/>
      <c r="I328" s="137"/>
      <c r="J328" s="137"/>
      <c r="K328" s="160"/>
      <c r="L328" s="160"/>
      <c r="M328" s="137"/>
      <c r="N328" s="138"/>
      <c r="O328" s="138"/>
      <c r="P328" s="138"/>
      <c r="Q328" s="138"/>
      <c r="R328" s="138"/>
      <c r="S328" s="138"/>
      <c r="T328" s="138"/>
      <c r="U328" s="138"/>
      <c r="V328" s="150" t="e">
        <f t="shared" si="26"/>
        <v>#N/A</v>
      </c>
      <c r="W328" s="150" t="e">
        <f t="shared" si="26"/>
        <v>#N/A</v>
      </c>
      <c r="X328" s="150" t="e">
        <f t="shared" si="26"/>
        <v>#N/A</v>
      </c>
      <c r="Y328" s="150" t="e">
        <f t="shared" si="26"/>
        <v>#N/A</v>
      </c>
    </row>
    <row r="329" spans="1:25">
      <c r="A329" s="134"/>
      <c r="B329" s="158">
        <f t="shared" si="27"/>
        <v>38303</v>
      </c>
      <c r="C329" s="159" t="str">
        <f t="shared" si="28"/>
        <v/>
      </c>
      <c r="D329" s="159" t="str">
        <f t="shared" si="29"/>
        <v/>
      </c>
      <c r="E329" s="159" t="str">
        <f t="shared" si="30"/>
        <v/>
      </c>
      <c r="F329" s="159" t="str">
        <f t="shared" si="31"/>
        <v/>
      </c>
      <c r="G329" s="137"/>
      <c r="H329" s="137"/>
      <c r="I329" s="137"/>
      <c r="J329" s="137"/>
      <c r="K329" s="160"/>
      <c r="L329" s="160"/>
      <c r="M329" s="137"/>
      <c r="N329" s="138"/>
      <c r="O329" s="138"/>
      <c r="P329" s="138"/>
      <c r="Q329" s="138"/>
      <c r="R329" s="138"/>
      <c r="S329" s="138"/>
      <c r="T329" s="138"/>
      <c r="U329" s="138"/>
      <c r="V329" s="150" t="e">
        <f t="shared" si="26"/>
        <v>#N/A</v>
      </c>
      <c r="W329" s="150" t="e">
        <f t="shared" si="26"/>
        <v>#N/A</v>
      </c>
      <c r="X329" s="150" t="e">
        <f t="shared" si="26"/>
        <v>#N/A</v>
      </c>
      <c r="Y329" s="150" t="e">
        <f t="shared" si="26"/>
        <v>#N/A</v>
      </c>
    </row>
    <row r="330" spans="1:25">
      <c r="A330" s="134"/>
      <c r="B330" s="158">
        <f t="shared" si="27"/>
        <v>38304</v>
      </c>
      <c r="C330" s="159" t="str">
        <f t="shared" si="28"/>
        <v/>
      </c>
      <c r="D330" s="159" t="str">
        <f t="shared" si="29"/>
        <v/>
      </c>
      <c r="E330" s="159" t="str">
        <f t="shared" si="30"/>
        <v/>
      </c>
      <c r="F330" s="159" t="str">
        <f t="shared" si="31"/>
        <v/>
      </c>
      <c r="G330" s="137"/>
      <c r="H330" s="137"/>
      <c r="I330" s="137"/>
      <c r="J330" s="137"/>
      <c r="K330" s="160"/>
      <c r="L330" s="160"/>
      <c r="M330" s="137"/>
      <c r="N330" s="138"/>
      <c r="O330" s="138"/>
      <c r="P330" s="138"/>
      <c r="Q330" s="138"/>
      <c r="R330" s="138"/>
      <c r="S330" s="138"/>
      <c r="T330" s="138"/>
      <c r="U330" s="138"/>
      <c r="V330" s="150" t="e">
        <f t="shared" si="26"/>
        <v>#N/A</v>
      </c>
      <c r="W330" s="150" t="e">
        <f t="shared" si="26"/>
        <v>#N/A</v>
      </c>
      <c r="X330" s="150" t="e">
        <f t="shared" si="26"/>
        <v>#N/A</v>
      </c>
      <c r="Y330" s="150" t="e">
        <f t="shared" si="26"/>
        <v>#N/A</v>
      </c>
    </row>
    <row r="331" spans="1:25">
      <c r="A331" s="134"/>
      <c r="B331" s="158">
        <f t="shared" si="27"/>
        <v>38305</v>
      </c>
      <c r="C331" s="159" t="str">
        <f t="shared" si="28"/>
        <v/>
      </c>
      <c r="D331" s="159" t="str">
        <f t="shared" si="29"/>
        <v/>
      </c>
      <c r="E331" s="159" t="str">
        <f t="shared" si="30"/>
        <v/>
      </c>
      <c r="F331" s="159" t="str">
        <f t="shared" si="31"/>
        <v/>
      </c>
      <c r="G331" s="137"/>
      <c r="H331" s="137"/>
      <c r="I331" s="137"/>
      <c r="J331" s="137"/>
      <c r="K331" s="160"/>
      <c r="L331" s="160"/>
      <c r="M331" s="137"/>
      <c r="N331" s="138"/>
      <c r="O331" s="138"/>
      <c r="P331" s="138"/>
      <c r="Q331" s="138"/>
      <c r="R331" s="138"/>
      <c r="S331" s="138"/>
      <c r="T331" s="138"/>
      <c r="U331" s="138"/>
      <c r="V331" s="150" t="e">
        <f t="shared" si="26"/>
        <v>#N/A</v>
      </c>
      <c r="W331" s="150" t="e">
        <f t="shared" si="26"/>
        <v>#N/A</v>
      </c>
      <c r="X331" s="150" t="e">
        <f t="shared" si="26"/>
        <v>#N/A</v>
      </c>
      <c r="Y331" s="150" t="e">
        <f t="shared" si="26"/>
        <v>#N/A</v>
      </c>
    </row>
    <row r="332" spans="1:25">
      <c r="A332" s="134"/>
      <c r="B332" s="158">
        <f t="shared" si="27"/>
        <v>38306</v>
      </c>
      <c r="C332" s="159" t="str">
        <f t="shared" si="28"/>
        <v/>
      </c>
      <c r="D332" s="159" t="str">
        <f t="shared" si="29"/>
        <v/>
      </c>
      <c r="E332" s="159" t="str">
        <f t="shared" si="30"/>
        <v/>
      </c>
      <c r="F332" s="159" t="str">
        <f t="shared" si="31"/>
        <v/>
      </c>
      <c r="G332" s="137"/>
      <c r="H332" s="137"/>
      <c r="I332" s="137"/>
      <c r="J332" s="137"/>
      <c r="K332" s="160"/>
      <c r="L332" s="160"/>
      <c r="M332" s="137"/>
      <c r="N332" s="138"/>
      <c r="O332" s="138"/>
      <c r="P332" s="138"/>
      <c r="Q332" s="138"/>
      <c r="R332" s="138"/>
      <c r="S332" s="138"/>
      <c r="T332" s="138"/>
      <c r="U332" s="138"/>
      <c r="V332" s="150" t="e">
        <f t="shared" si="26"/>
        <v>#N/A</v>
      </c>
      <c r="W332" s="150" t="e">
        <f t="shared" si="26"/>
        <v>#N/A</v>
      </c>
      <c r="X332" s="150" t="e">
        <f t="shared" si="26"/>
        <v>#N/A</v>
      </c>
      <c r="Y332" s="150" t="e">
        <f t="shared" ref="Y332:Y395" si="32">IF(F332="",#N/A,F332)</f>
        <v>#N/A</v>
      </c>
    </row>
    <row r="333" spans="1:25">
      <c r="A333" s="134"/>
      <c r="B333" s="158">
        <f t="shared" si="27"/>
        <v>38307</v>
      </c>
      <c r="C333" s="159" t="str">
        <f t="shared" si="28"/>
        <v/>
      </c>
      <c r="D333" s="159" t="str">
        <f t="shared" si="29"/>
        <v/>
      </c>
      <c r="E333" s="159" t="str">
        <f t="shared" si="30"/>
        <v/>
      </c>
      <c r="F333" s="159" t="str">
        <f t="shared" si="31"/>
        <v/>
      </c>
      <c r="G333" s="137"/>
      <c r="H333" s="137"/>
      <c r="I333" s="137"/>
      <c r="J333" s="137"/>
      <c r="K333" s="160"/>
      <c r="L333" s="160"/>
      <c r="M333" s="137"/>
      <c r="N333" s="138"/>
      <c r="O333" s="138"/>
      <c r="P333" s="138"/>
      <c r="Q333" s="138"/>
      <c r="R333" s="138"/>
      <c r="S333" s="138"/>
      <c r="T333" s="138"/>
      <c r="U333" s="138"/>
      <c r="V333" s="150" t="e">
        <f t="shared" ref="V333:Y396" si="33">IF(C333="",#N/A,C333)</f>
        <v>#N/A</v>
      </c>
      <c r="W333" s="150" t="e">
        <f t="shared" si="33"/>
        <v>#N/A</v>
      </c>
      <c r="X333" s="150" t="e">
        <f t="shared" si="33"/>
        <v>#N/A</v>
      </c>
      <c r="Y333" s="150" t="e">
        <f t="shared" si="32"/>
        <v>#N/A</v>
      </c>
    </row>
    <row r="334" spans="1:25">
      <c r="A334" s="134"/>
      <c r="B334" s="158">
        <f t="shared" si="27"/>
        <v>38308</v>
      </c>
      <c r="C334" s="159" t="str">
        <f t="shared" si="28"/>
        <v/>
      </c>
      <c r="D334" s="159" t="str">
        <f t="shared" si="29"/>
        <v/>
      </c>
      <c r="E334" s="159" t="str">
        <f t="shared" si="30"/>
        <v/>
      </c>
      <c r="F334" s="159" t="str">
        <f t="shared" si="31"/>
        <v/>
      </c>
      <c r="G334" s="137"/>
      <c r="H334" s="137"/>
      <c r="I334" s="137"/>
      <c r="J334" s="137"/>
      <c r="K334" s="160"/>
      <c r="L334" s="160"/>
      <c r="M334" s="137"/>
      <c r="N334" s="138"/>
      <c r="O334" s="138"/>
      <c r="P334" s="138"/>
      <c r="Q334" s="138"/>
      <c r="R334" s="138"/>
      <c r="S334" s="138"/>
      <c r="T334" s="138"/>
      <c r="U334" s="138"/>
      <c r="V334" s="150" t="e">
        <f t="shared" si="33"/>
        <v>#N/A</v>
      </c>
      <c r="W334" s="150" t="e">
        <f t="shared" si="33"/>
        <v>#N/A</v>
      </c>
      <c r="X334" s="150" t="e">
        <f t="shared" si="33"/>
        <v>#N/A</v>
      </c>
      <c r="Y334" s="150" t="e">
        <f t="shared" si="32"/>
        <v>#N/A</v>
      </c>
    </row>
    <row r="335" spans="1:25">
      <c r="A335" s="134"/>
      <c r="B335" s="158">
        <f t="shared" ref="B335:B398" si="34">B334+1</f>
        <v>38309</v>
      </c>
      <c r="C335" s="159" t="str">
        <f t="shared" ref="C335:C398" si="35">IF(OR(B335&lt;B$6,B335&gt;B$10),"",G$8)</f>
        <v/>
      </c>
      <c r="D335" s="159" t="str">
        <f t="shared" ref="D335:D398" si="36">IF(B335=B$6,W$6,IF(B335&gt;B$10,"",IF(B335&gt;=B$9,D334+X$9,IF(B335&gt;B$8,D334+X$8,IF(B335&gt;B$7,D334+X$7,IF(B335&gt;B$6,W$6,""))))))</f>
        <v/>
      </c>
      <c r="E335" s="159" t="str">
        <f t="shared" ref="E335:E398" si="37">IF($B335=$B$6,L$6,IF($B335&gt;$B$10,"",IF($B335&gt;=$B$9,E334+V$9,IF($B335&gt;$B$8,E334+V$8,IF($B335&gt;$B$7,E334+V$7,IF($B335&gt;$B$6,L$6,""))))))</f>
        <v/>
      </c>
      <c r="F335" s="159" t="str">
        <f t="shared" ref="F335:F398" si="38">IF(C335="","",C335-E335)</f>
        <v/>
      </c>
      <c r="G335" s="137"/>
      <c r="H335" s="137"/>
      <c r="I335" s="137"/>
      <c r="J335" s="137"/>
      <c r="K335" s="160"/>
      <c r="L335" s="160"/>
      <c r="M335" s="137"/>
      <c r="N335" s="138"/>
      <c r="O335" s="138"/>
      <c r="P335" s="138"/>
      <c r="Q335" s="138"/>
      <c r="R335" s="138"/>
      <c r="S335" s="138"/>
      <c r="T335" s="138"/>
      <c r="U335" s="138"/>
      <c r="V335" s="150" t="e">
        <f t="shared" si="33"/>
        <v>#N/A</v>
      </c>
      <c r="W335" s="150" t="e">
        <f t="shared" si="33"/>
        <v>#N/A</v>
      </c>
      <c r="X335" s="150" t="e">
        <f t="shared" si="33"/>
        <v>#N/A</v>
      </c>
      <c r="Y335" s="150" t="e">
        <f t="shared" si="32"/>
        <v>#N/A</v>
      </c>
    </row>
    <row r="336" spans="1:25">
      <c r="A336" s="134"/>
      <c r="B336" s="158">
        <f t="shared" si="34"/>
        <v>38310</v>
      </c>
      <c r="C336" s="159" t="str">
        <f t="shared" si="35"/>
        <v/>
      </c>
      <c r="D336" s="159" t="str">
        <f t="shared" si="36"/>
        <v/>
      </c>
      <c r="E336" s="159" t="str">
        <f t="shared" si="37"/>
        <v/>
      </c>
      <c r="F336" s="159" t="str">
        <f t="shared" si="38"/>
        <v/>
      </c>
      <c r="G336" s="137"/>
      <c r="H336" s="137"/>
      <c r="I336" s="137"/>
      <c r="J336" s="137"/>
      <c r="K336" s="160"/>
      <c r="L336" s="160"/>
      <c r="M336" s="137"/>
      <c r="N336" s="138"/>
      <c r="O336" s="138"/>
      <c r="P336" s="138"/>
      <c r="Q336" s="138"/>
      <c r="R336" s="138"/>
      <c r="S336" s="138"/>
      <c r="T336" s="138"/>
      <c r="U336" s="138"/>
      <c r="V336" s="150" t="e">
        <f t="shared" si="33"/>
        <v>#N/A</v>
      </c>
      <c r="W336" s="150" t="e">
        <f t="shared" si="33"/>
        <v>#N/A</v>
      </c>
      <c r="X336" s="150" t="e">
        <f t="shared" si="33"/>
        <v>#N/A</v>
      </c>
      <c r="Y336" s="150" t="e">
        <f t="shared" si="32"/>
        <v>#N/A</v>
      </c>
    </row>
    <row r="337" spans="1:25">
      <c r="A337" s="134"/>
      <c r="B337" s="158">
        <f t="shared" si="34"/>
        <v>38311</v>
      </c>
      <c r="C337" s="159" t="str">
        <f t="shared" si="35"/>
        <v/>
      </c>
      <c r="D337" s="159" t="str">
        <f t="shared" si="36"/>
        <v/>
      </c>
      <c r="E337" s="159" t="str">
        <f t="shared" si="37"/>
        <v/>
      </c>
      <c r="F337" s="159" t="str">
        <f t="shared" si="38"/>
        <v/>
      </c>
      <c r="G337" s="137"/>
      <c r="H337" s="137"/>
      <c r="I337" s="137"/>
      <c r="J337" s="137"/>
      <c r="K337" s="160"/>
      <c r="L337" s="160"/>
      <c r="M337" s="137"/>
      <c r="N337" s="138"/>
      <c r="O337" s="138"/>
      <c r="P337" s="138"/>
      <c r="Q337" s="138"/>
      <c r="R337" s="138"/>
      <c r="S337" s="138"/>
      <c r="T337" s="138"/>
      <c r="U337" s="138"/>
      <c r="V337" s="150" t="e">
        <f t="shared" si="33"/>
        <v>#N/A</v>
      </c>
      <c r="W337" s="150" t="e">
        <f t="shared" si="33"/>
        <v>#N/A</v>
      </c>
      <c r="X337" s="150" t="e">
        <f t="shared" si="33"/>
        <v>#N/A</v>
      </c>
      <c r="Y337" s="150" t="e">
        <f t="shared" si="32"/>
        <v>#N/A</v>
      </c>
    </row>
    <row r="338" spans="1:25">
      <c r="A338" s="134"/>
      <c r="B338" s="158">
        <f t="shared" si="34"/>
        <v>38312</v>
      </c>
      <c r="C338" s="159" t="str">
        <f t="shared" si="35"/>
        <v/>
      </c>
      <c r="D338" s="159" t="str">
        <f t="shared" si="36"/>
        <v/>
      </c>
      <c r="E338" s="159" t="str">
        <f t="shared" si="37"/>
        <v/>
      </c>
      <c r="F338" s="159" t="str">
        <f t="shared" si="38"/>
        <v/>
      </c>
      <c r="G338" s="137"/>
      <c r="H338" s="137"/>
      <c r="I338" s="137"/>
      <c r="J338" s="137"/>
      <c r="K338" s="160"/>
      <c r="L338" s="160"/>
      <c r="M338" s="137"/>
      <c r="N338" s="138"/>
      <c r="O338" s="138"/>
      <c r="P338" s="138"/>
      <c r="Q338" s="138"/>
      <c r="R338" s="138"/>
      <c r="S338" s="138"/>
      <c r="T338" s="138"/>
      <c r="U338" s="138"/>
      <c r="V338" s="150" t="e">
        <f t="shared" si="33"/>
        <v>#N/A</v>
      </c>
      <c r="W338" s="150" t="e">
        <f t="shared" si="33"/>
        <v>#N/A</v>
      </c>
      <c r="X338" s="150" t="e">
        <f t="shared" si="33"/>
        <v>#N/A</v>
      </c>
      <c r="Y338" s="150" t="e">
        <f t="shared" si="32"/>
        <v>#N/A</v>
      </c>
    </row>
    <row r="339" spans="1:25">
      <c r="A339" s="134"/>
      <c r="B339" s="158">
        <f t="shared" si="34"/>
        <v>38313</v>
      </c>
      <c r="C339" s="159" t="str">
        <f t="shared" si="35"/>
        <v/>
      </c>
      <c r="D339" s="159" t="str">
        <f t="shared" si="36"/>
        <v/>
      </c>
      <c r="E339" s="159" t="str">
        <f t="shared" si="37"/>
        <v/>
      </c>
      <c r="F339" s="159" t="str">
        <f t="shared" si="38"/>
        <v/>
      </c>
      <c r="G339" s="137"/>
      <c r="H339" s="137"/>
      <c r="I339" s="137"/>
      <c r="J339" s="137"/>
      <c r="K339" s="160"/>
      <c r="L339" s="160"/>
      <c r="M339" s="137"/>
      <c r="N339" s="138"/>
      <c r="O339" s="138"/>
      <c r="P339" s="138"/>
      <c r="Q339" s="138"/>
      <c r="R339" s="138"/>
      <c r="S339" s="138"/>
      <c r="T339" s="138"/>
      <c r="U339" s="138"/>
      <c r="V339" s="150" t="e">
        <f t="shared" si="33"/>
        <v>#N/A</v>
      </c>
      <c r="W339" s="150" t="e">
        <f t="shared" si="33"/>
        <v>#N/A</v>
      </c>
      <c r="X339" s="150" t="e">
        <f t="shared" si="33"/>
        <v>#N/A</v>
      </c>
      <c r="Y339" s="150" t="e">
        <f t="shared" si="32"/>
        <v>#N/A</v>
      </c>
    </row>
    <row r="340" spans="1:25">
      <c r="A340" s="134"/>
      <c r="B340" s="158">
        <f t="shared" si="34"/>
        <v>38314</v>
      </c>
      <c r="C340" s="159" t="str">
        <f t="shared" si="35"/>
        <v/>
      </c>
      <c r="D340" s="159" t="str">
        <f t="shared" si="36"/>
        <v/>
      </c>
      <c r="E340" s="159" t="str">
        <f t="shared" si="37"/>
        <v/>
      </c>
      <c r="F340" s="159" t="str">
        <f t="shared" si="38"/>
        <v/>
      </c>
      <c r="G340" s="137"/>
      <c r="H340" s="137"/>
      <c r="I340" s="137"/>
      <c r="J340" s="137"/>
      <c r="K340" s="160"/>
      <c r="L340" s="160"/>
      <c r="M340" s="137"/>
      <c r="N340" s="138"/>
      <c r="O340" s="138"/>
      <c r="P340" s="138"/>
      <c r="Q340" s="138"/>
      <c r="R340" s="138"/>
      <c r="S340" s="138"/>
      <c r="T340" s="138"/>
      <c r="U340" s="138"/>
      <c r="V340" s="150" t="e">
        <f t="shared" si="33"/>
        <v>#N/A</v>
      </c>
      <c r="W340" s="150" t="e">
        <f t="shared" si="33"/>
        <v>#N/A</v>
      </c>
      <c r="X340" s="150" t="e">
        <f t="shared" si="33"/>
        <v>#N/A</v>
      </c>
      <c r="Y340" s="150" t="e">
        <f t="shared" si="32"/>
        <v>#N/A</v>
      </c>
    </row>
    <row r="341" spans="1:25">
      <c r="A341" s="134"/>
      <c r="B341" s="158">
        <f t="shared" si="34"/>
        <v>38315</v>
      </c>
      <c r="C341" s="159" t="str">
        <f t="shared" si="35"/>
        <v/>
      </c>
      <c r="D341" s="159" t="str">
        <f t="shared" si="36"/>
        <v/>
      </c>
      <c r="E341" s="159" t="str">
        <f t="shared" si="37"/>
        <v/>
      </c>
      <c r="F341" s="159" t="str">
        <f t="shared" si="38"/>
        <v/>
      </c>
      <c r="G341" s="137"/>
      <c r="H341" s="137"/>
      <c r="I341" s="137"/>
      <c r="J341" s="137"/>
      <c r="K341" s="160"/>
      <c r="L341" s="160"/>
      <c r="M341" s="137"/>
      <c r="N341" s="138"/>
      <c r="O341" s="138"/>
      <c r="P341" s="138"/>
      <c r="Q341" s="138"/>
      <c r="R341" s="138"/>
      <c r="S341" s="138"/>
      <c r="T341" s="138"/>
      <c r="U341" s="138"/>
      <c r="V341" s="150" t="e">
        <f t="shared" si="33"/>
        <v>#N/A</v>
      </c>
      <c r="W341" s="150" t="e">
        <f t="shared" si="33"/>
        <v>#N/A</v>
      </c>
      <c r="X341" s="150" t="e">
        <f t="shared" si="33"/>
        <v>#N/A</v>
      </c>
      <c r="Y341" s="150" t="e">
        <f t="shared" si="32"/>
        <v>#N/A</v>
      </c>
    </row>
    <row r="342" spans="1:25">
      <c r="A342" s="134"/>
      <c r="B342" s="158">
        <f t="shared" si="34"/>
        <v>38316</v>
      </c>
      <c r="C342" s="159" t="str">
        <f t="shared" si="35"/>
        <v/>
      </c>
      <c r="D342" s="159" t="str">
        <f t="shared" si="36"/>
        <v/>
      </c>
      <c r="E342" s="159" t="str">
        <f t="shared" si="37"/>
        <v/>
      </c>
      <c r="F342" s="159" t="str">
        <f t="shared" si="38"/>
        <v/>
      </c>
      <c r="G342" s="137"/>
      <c r="H342" s="137"/>
      <c r="I342" s="137"/>
      <c r="J342" s="137"/>
      <c r="K342" s="160"/>
      <c r="L342" s="160"/>
      <c r="M342" s="137"/>
      <c r="N342" s="138"/>
      <c r="O342" s="138"/>
      <c r="P342" s="138"/>
      <c r="Q342" s="138"/>
      <c r="R342" s="138"/>
      <c r="S342" s="138"/>
      <c r="T342" s="138"/>
      <c r="U342" s="138"/>
      <c r="V342" s="150" t="e">
        <f t="shared" si="33"/>
        <v>#N/A</v>
      </c>
      <c r="W342" s="150" t="e">
        <f t="shared" si="33"/>
        <v>#N/A</v>
      </c>
      <c r="X342" s="150" t="e">
        <f t="shared" si="33"/>
        <v>#N/A</v>
      </c>
      <c r="Y342" s="150" t="e">
        <f t="shared" si="32"/>
        <v>#N/A</v>
      </c>
    </row>
    <row r="343" spans="1:25">
      <c r="A343" s="134"/>
      <c r="B343" s="158">
        <f t="shared" si="34"/>
        <v>38317</v>
      </c>
      <c r="C343" s="159" t="str">
        <f t="shared" si="35"/>
        <v/>
      </c>
      <c r="D343" s="159" t="str">
        <f t="shared" si="36"/>
        <v/>
      </c>
      <c r="E343" s="159" t="str">
        <f t="shared" si="37"/>
        <v/>
      </c>
      <c r="F343" s="159" t="str">
        <f t="shared" si="38"/>
        <v/>
      </c>
      <c r="G343" s="137"/>
      <c r="H343" s="137"/>
      <c r="I343" s="137"/>
      <c r="J343" s="137"/>
      <c r="K343" s="160"/>
      <c r="L343" s="160"/>
      <c r="M343" s="137"/>
      <c r="N343" s="138"/>
      <c r="O343" s="138"/>
      <c r="P343" s="138"/>
      <c r="Q343" s="138"/>
      <c r="R343" s="138"/>
      <c r="S343" s="138"/>
      <c r="T343" s="138"/>
      <c r="U343" s="138"/>
      <c r="V343" s="150" t="e">
        <f t="shared" si="33"/>
        <v>#N/A</v>
      </c>
      <c r="W343" s="150" t="e">
        <f t="shared" si="33"/>
        <v>#N/A</v>
      </c>
      <c r="X343" s="150" t="e">
        <f t="shared" si="33"/>
        <v>#N/A</v>
      </c>
      <c r="Y343" s="150" t="e">
        <f t="shared" si="32"/>
        <v>#N/A</v>
      </c>
    </row>
    <row r="344" spans="1:25">
      <c r="A344" s="134"/>
      <c r="B344" s="158">
        <f t="shared" si="34"/>
        <v>38318</v>
      </c>
      <c r="C344" s="159" t="str">
        <f t="shared" si="35"/>
        <v/>
      </c>
      <c r="D344" s="159" t="str">
        <f t="shared" si="36"/>
        <v/>
      </c>
      <c r="E344" s="159" t="str">
        <f t="shared" si="37"/>
        <v/>
      </c>
      <c r="F344" s="159" t="str">
        <f t="shared" si="38"/>
        <v/>
      </c>
      <c r="G344" s="137"/>
      <c r="H344" s="137"/>
      <c r="I344" s="137"/>
      <c r="J344" s="137"/>
      <c r="K344" s="160"/>
      <c r="L344" s="160"/>
      <c r="M344" s="137"/>
      <c r="N344" s="138"/>
      <c r="O344" s="138"/>
      <c r="P344" s="138"/>
      <c r="Q344" s="138"/>
      <c r="R344" s="138"/>
      <c r="S344" s="138"/>
      <c r="T344" s="138"/>
      <c r="U344" s="138"/>
      <c r="V344" s="150" t="e">
        <f t="shared" si="33"/>
        <v>#N/A</v>
      </c>
      <c r="W344" s="150" t="e">
        <f t="shared" si="33"/>
        <v>#N/A</v>
      </c>
      <c r="X344" s="150" t="e">
        <f t="shared" si="33"/>
        <v>#N/A</v>
      </c>
      <c r="Y344" s="150" t="e">
        <f t="shared" si="32"/>
        <v>#N/A</v>
      </c>
    </row>
    <row r="345" spans="1:25">
      <c r="A345" s="134"/>
      <c r="B345" s="158">
        <f t="shared" si="34"/>
        <v>38319</v>
      </c>
      <c r="C345" s="159" t="str">
        <f t="shared" si="35"/>
        <v/>
      </c>
      <c r="D345" s="159" t="str">
        <f t="shared" si="36"/>
        <v/>
      </c>
      <c r="E345" s="159" t="str">
        <f t="shared" si="37"/>
        <v/>
      </c>
      <c r="F345" s="159" t="str">
        <f t="shared" si="38"/>
        <v/>
      </c>
      <c r="G345" s="137"/>
      <c r="H345" s="137"/>
      <c r="I345" s="137"/>
      <c r="J345" s="137"/>
      <c r="K345" s="160"/>
      <c r="L345" s="160"/>
      <c r="M345" s="137"/>
      <c r="N345" s="138"/>
      <c r="O345" s="138"/>
      <c r="P345" s="138"/>
      <c r="Q345" s="138"/>
      <c r="R345" s="138"/>
      <c r="S345" s="138"/>
      <c r="T345" s="138"/>
      <c r="U345" s="138"/>
      <c r="V345" s="150" t="e">
        <f t="shared" si="33"/>
        <v>#N/A</v>
      </c>
      <c r="W345" s="150" t="e">
        <f t="shared" si="33"/>
        <v>#N/A</v>
      </c>
      <c r="X345" s="150" t="e">
        <f t="shared" si="33"/>
        <v>#N/A</v>
      </c>
      <c r="Y345" s="150" t="e">
        <f t="shared" si="32"/>
        <v>#N/A</v>
      </c>
    </row>
    <row r="346" spans="1:25">
      <c r="A346" s="134"/>
      <c r="B346" s="158">
        <f t="shared" si="34"/>
        <v>38320</v>
      </c>
      <c r="C346" s="159" t="str">
        <f t="shared" si="35"/>
        <v/>
      </c>
      <c r="D346" s="159" t="str">
        <f t="shared" si="36"/>
        <v/>
      </c>
      <c r="E346" s="159" t="str">
        <f t="shared" si="37"/>
        <v/>
      </c>
      <c r="F346" s="159" t="str">
        <f t="shared" si="38"/>
        <v/>
      </c>
      <c r="G346" s="137"/>
      <c r="H346" s="137"/>
      <c r="I346" s="137"/>
      <c r="J346" s="137"/>
      <c r="K346" s="160"/>
      <c r="L346" s="160"/>
      <c r="M346" s="137"/>
      <c r="N346" s="138"/>
      <c r="O346" s="138"/>
      <c r="P346" s="138"/>
      <c r="Q346" s="138"/>
      <c r="R346" s="138"/>
      <c r="S346" s="138"/>
      <c r="T346" s="138"/>
      <c r="U346" s="138"/>
      <c r="V346" s="150" t="e">
        <f t="shared" si="33"/>
        <v>#N/A</v>
      </c>
      <c r="W346" s="150" t="e">
        <f t="shared" si="33"/>
        <v>#N/A</v>
      </c>
      <c r="X346" s="150" t="e">
        <f t="shared" si="33"/>
        <v>#N/A</v>
      </c>
      <c r="Y346" s="150" t="e">
        <f t="shared" si="32"/>
        <v>#N/A</v>
      </c>
    </row>
    <row r="347" spans="1:25">
      <c r="A347" s="134"/>
      <c r="B347" s="158">
        <f t="shared" si="34"/>
        <v>38321</v>
      </c>
      <c r="C347" s="159" t="str">
        <f t="shared" si="35"/>
        <v/>
      </c>
      <c r="D347" s="159" t="str">
        <f t="shared" si="36"/>
        <v/>
      </c>
      <c r="E347" s="159" t="str">
        <f t="shared" si="37"/>
        <v/>
      </c>
      <c r="F347" s="159" t="str">
        <f t="shared" si="38"/>
        <v/>
      </c>
      <c r="G347" s="137"/>
      <c r="H347" s="137"/>
      <c r="I347" s="137"/>
      <c r="J347" s="137"/>
      <c r="K347" s="160"/>
      <c r="L347" s="160"/>
      <c r="M347" s="137"/>
      <c r="N347" s="138"/>
      <c r="O347" s="138"/>
      <c r="P347" s="138"/>
      <c r="Q347" s="138"/>
      <c r="R347" s="138"/>
      <c r="S347" s="138"/>
      <c r="T347" s="138"/>
      <c r="U347" s="138"/>
      <c r="V347" s="150" t="e">
        <f t="shared" si="33"/>
        <v>#N/A</v>
      </c>
      <c r="W347" s="150" t="e">
        <f t="shared" si="33"/>
        <v>#N/A</v>
      </c>
      <c r="X347" s="150" t="e">
        <f t="shared" si="33"/>
        <v>#N/A</v>
      </c>
      <c r="Y347" s="150" t="e">
        <f t="shared" si="32"/>
        <v>#N/A</v>
      </c>
    </row>
    <row r="348" spans="1:25">
      <c r="A348" s="134"/>
      <c r="B348" s="158">
        <f t="shared" si="34"/>
        <v>38322</v>
      </c>
      <c r="C348" s="159" t="str">
        <f t="shared" si="35"/>
        <v/>
      </c>
      <c r="D348" s="159" t="str">
        <f t="shared" si="36"/>
        <v/>
      </c>
      <c r="E348" s="159" t="str">
        <f t="shared" si="37"/>
        <v/>
      </c>
      <c r="F348" s="159" t="str">
        <f t="shared" si="38"/>
        <v/>
      </c>
      <c r="G348" s="137"/>
      <c r="H348" s="137"/>
      <c r="I348" s="137"/>
      <c r="J348" s="137"/>
      <c r="K348" s="160"/>
      <c r="L348" s="160"/>
      <c r="M348" s="137"/>
      <c r="N348" s="138"/>
      <c r="O348" s="138"/>
      <c r="P348" s="138"/>
      <c r="Q348" s="138"/>
      <c r="R348" s="138"/>
      <c r="S348" s="138"/>
      <c r="T348" s="138"/>
      <c r="U348" s="138"/>
      <c r="V348" s="150" t="e">
        <f t="shared" si="33"/>
        <v>#N/A</v>
      </c>
      <c r="W348" s="150" t="e">
        <f t="shared" si="33"/>
        <v>#N/A</v>
      </c>
      <c r="X348" s="150" t="e">
        <f t="shared" si="33"/>
        <v>#N/A</v>
      </c>
      <c r="Y348" s="150" t="e">
        <f t="shared" si="32"/>
        <v>#N/A</v>
      </c>
    </row>
    <row r="349" spans="1:25">
      <c r="A349" s="134"/>
      <c r="B349" s="158">
        <f t="shared" si="34"/>
        <v>38323</v>
      </c>
      <c r="C349" s="159" t="str">
        <f t="shared" si="35"/>
        <v/>
      </c>
      <c r="D349" s="159" t="str">
        <f t="shared" si="36"/>
        <v/>
      </c>
      <c r="E349" s="159" t="str">
        <f t="shared" si="37"/>
        <v/>
      </c>
      <c r="F349" s="159" t="str">
        <f t="shared" si="38"/>
        <v/>
      </c>
      <c r="G349" s="137"/>
      <c r="H349" s="137"/>
      <c r="I349" s="137"/>
      <c r="J349" s="137"/>
      <c r="K349" s="160"/>
      <c r="L349" s="160"/>
      <c r="M349" s="137"/>
      <c r="N349" s="138"/>
      <c r="O349" s="138"/>
      <c r="P349" s="138"/>
      <c r="Q349" s="138"/>
      <c r="R349" s="138"/>
      <c r="S349" s="138"/>
      <c r="T349" s="138"/>
      <c r="U349" s="138"/>
      <c r="V349" s="150" t="e">
        <f t="shared" si="33"/>
        <v>#N/A</v>
      </c>
      <c r="W349" s="150" t="e">
        <f t="shared" si="33"/>
        <v>#N/A</v>
      </c>
      <c r="X349" s="150" t="e">
        <f t="shared" si="33"/>
        <v>#N/A</v>
      </c>
      <c r="Y349" s="150" t="e">
        <f t="shared" si="32"/>
        <v>#N/A</v>
      </c>
    </row>
    <row r="350" spans="1:25">
      <c r="A350" s="134"/>
      <c r="B350" s="158">
        <f t="shared" si="34"/>
        <v>38324</v>
      </c>
      <c r="C350" s="159" t="str">
        <f t="shared" si="35"/>
        <v/>
      </c>
      <c r="D350" s="159" t="str">
        <f t="shared" si="36"/>
        <v/>
      </c>
      <c r="E350" s="159" t="str">
        <f t="shared" si="37"/>
        <v/>
      </c>
      <c r="F350" s="159" t="str">
        <f t="shared" si="38"/>
        <v/>
      </c>
      <c r="G350" s="137"/>
      <c r="H350" s="137"/>
      <c r="I350" s="137"/>
      <c r="J350" s="137"/>
      <c r="K350" s="160"/>
      <c r="L350" s="160"/>
      <c r="M350" s="137"/>
      <c r="N350" s="138"/>
      <c r="O350" s="138"/>
      <c r="P350" s="138"/>
      <c r="Q350" s="138"/>
      <c r="R350" s="138"/>
      <c r="S350" s="138"/>
      <c r="T350" s="138"/>
      <c r="U350" s="138"/>
      <c r="V350" s="150" t="e">
        <f t="shared" si="33"/>
        <v>#N/A</v>
      </c>
      <c r="W350" s="150" t="e">
        <f t="shared" si="33"/>
        <v>#N/A</v>
      </c>
      <c r="X350" s="150" t="e">
        <f t="shared" si="33"/>
        <v>#N/A</v>
      </c>
      <c r="Y350" s="150" t="e">
        <f t="shared" si="32"/>
        <v>#N/A</v>
      </c>
    </row>
    <row r="351" spans="1:25">
      <c r="A351" s="134"/>
      <c r="B351" s="158">
        <f t="shared" si="34"/>
        <v>38325</v>
      </c>
      <c r="C351" s="159" t="str">
        <f t="shared" si="35"/>
        <v/>
      </c>
      <c r="D351" s="159" t="str">
        <f t="shared" si="36"/>
        <v/>
      </c>
      <c r="E351" s="159" t="str">
        <f t="shared" si="37"/>
        <v/>
      </c>
      <c r="F351" s="159" t="str">
        <f t="shared" si="38"/>
        <v/>
      </c>
      <c r="G351" s="137"/>
      <c r="H351" s="137"/>
      <c r="I351" s="137"/>
      <c r="J351" s="137"/>
      <c r="K351" s="160"/>
      <c r="L351" s="160"/>
      <c r="M351" s="137"/>
      <c r="N351" s="138"/>
      <c r="O351" s="138"/>
      <c r="P351" s="138"/>
      <c r="Q351" s="138"/>
      <c r="R351" s="138"/>
      <c r="S351" s="138"/>
      <c r="T351" s="138"/>
      <c r="U351" s="138"/>
      <c r="V351" s="150" t="e">
        <f t="shared" si="33"/>
        <v>#N/A</v>
      </c>
      <c r="W351" s="150" t="e">
        <f t="shared" si="33"/>
        <v>#N/A</v>
      </c>
      <c r="X351" s="150" t="e">
        <f t="shared" si="33"/>
        <v>#N/A</v>
      </c>
      <c r="Y351" s="150" t="e">
        <f t="shared" si="32"/>
        <v>#N/A</v>
      </c>
    </row>
    <row r="352" spans="1:25">
      <c r="A352" s="134"/>
      <c r="B352" s="158">
        <f t="shared" si="34"/>
        <v>38326</v>
      </c>
      <c r="C352" s="159" t="str">
        <f t="shared" si="35"/>
        <v/>
      </c>
      <c r="D352" s="159" t="str">
        <f t="shared" si="36"/>
        <v/>
      </c>
      <c r="E352" s="159" t="str">
        <f t="shared" si="37"/>
        <v/>
      </c>
      <c r="F352" s="159" t="str">
        <f t="shared" si="38"/>
        <v/>
      </c>
      <c r="G352" s="137"/>
      <c r="H352" s="137"/>
      <c r="I352" s="137"/>
      <c r="J352" s="137"/>
      <c r="K352" s="160"/>
      <c r="L352" s="160"/>
      <c r="M352" s="137"/>
      <c r="N352" s="138"/>
      <c r="O352" s="138"/>
      <c r="P352" s="138"/>
      <c r="Q352" s="138"/>
      <c r="R352" s="138"/>
      <c r="S352" s="138"/>
      <c r="T352" s="138"/>
      <c r="U352" s="138"/>
      <c r="V352" s="150" t="e">
        <f t="shared" si="33"/>
        <v>#N/A</v>
      </c>
      <c r="W352" s="150" t="e">
        <f t="shared" si="33"/>
        <v>#N/A</v>
      </c>
      <c r="X352" s="150" t="e">
        <f t="shared" si="33"/>
        <v>#N/A</v>
      </c>
      <c r="Y352" s="150" t="e">
        <f t="shared" si="32"/>
        <v>#N/A</v>
      </c>
    </row>
    <row r="353" spans="1:25">
      <c r="A353" s="134"/>
      <c r="B353" s="158">
        <f t="shared" si="34"/>
        <v>38327</v>
      </c>
      <c r="C353" s="159" t="str">
        <f t="shared" si="35"/>
        <v/>
      </c>
      <c r="D353" s="159" t="str">
        <f t="shared" si="36"/>
        <v/>
      </c>
      <c r="E353" s="159" t="str">
        <f t="shared" si="37"/>
        <v/>
      </c>
      <c r="F353" s="159" t="str">
        <f t="shared" si="38"/>
        <v/>
      </c>
      <c r="G353" s="137"/>
      <c r="H353" s="137"/>
      <c r="I353" s="137"/>
      <c r="J353" s="137"/>
      <c r="K353" s="160"/>
      <c r="L353" s="160"/>
      <c r="M353" s="137"/>
      <c r="N353" s="138"/>
      <c r="O353" s="138"/>
      <c r="P353" s="138"/>
      <c r="Q353" s="138"/>
      <c r="R353" s="138"/>
      <c r="S353" s="138"/>
      <c r="T353" s="138"/>
      <c r="U353" s="138"/>
      <c r="V353" s="150" t="e">
        <f t="shared" si="33"/>
        <v>#N/A</v>
      </c>
      <c r="W353" s="150" t="e">
        <f t="shared" si="33"/>
        <v>#N/A</v>
      </c>
      <c r="X353" s="150" t="e">
        <f t="shared" si="33"/>
        <v>#N/A</v>
      </c>
      <c r="Y353" s="150" t="e">
        <f t="shared" si="32"/>
        <v>#N/A</v>
      </c>
    </row>
    <row r="354" spans="1:25">
      <c r="A354" s="134"/>
      <c r="B354" s="158">
        <f t="shared" si="34"/>
        <v>38328</v>
      </c>
      <c r="C354" s="159" t="str">
        <f t="shared" si="35"/>
        <v/>
      </c>
      <c r="D354" s="159" t="str">
        <f t="shared" si="36"/>
        <v/>
      </c>
      <c r="E354" s="159" t="str">
        <f t="shared" si="37"/>
        <v/>
      </c>
      <c r="F354" s="159" t="str">
        <f t="shared" si="38"/>
        <v/>
      </c>
      <c r="G354" s="137"/>
      <c r="H354" s="137"/>
      <c r="I354" s="137"/>
      <c r="J354" s="137"/>
      <c r="K354" s="160"/>
      <c r="L354" s="160"/>
      <c r="M354" s="137"/>
      <c r="N354" s="138"/>
      <c r="O354" s="138"/>
      <c r="P354" s="138"/>
      <c r="Q354" s="138"/>
      <c r="R354" s="138"/>
      <c r="S354" s="138"/>
      <c r="T354" s="138"/>
      <c r="U354" s="138"/>
      <c r="V354" s="150" t="e">
        <f t="shared" si="33"/>
        <v>#N/A</v>
      </c>
      <c r="W354" s="150" t="e">
        <f t="shared" si="33"/>
        <v>#N/A</v>
      </c>
      <c r="X354" s="150" t="e">
        <f t="shared" si="33"/>
        <v>#N/A</v>
      </c>
      <c r="Y354" s="150" t="e">
        <f t="shared" si="32"/>
        <v>#N/A</v>
      </c>
    </row>
    <row r="355" spans="1:25">
      <c r="A355" s="134"/>
      <c r="B355" s="158">
        <f t="shared" si="34"/>
        <v>38329</v>
      </c>
      <c r="C355" s="159" t="str">
        <f t="shared" si="35"/>
        <v/>
      </c>
      <c r="D355" s="159" t="str">
        <f t="shared" si="36"/>
        <v/>
      </c>
      <c r="E355" s="159" t="str">
        <f t="shared" si="37"/>
        <v/>
      </c>
      <c r="F355" s="159" t="str">
        <f t="shared" si="38"/>
        <v/>
      </c>
      <c r="G355" s="137"/>
      <c r="H355" s="137"/>
      <c r="I355" s="137"/>
      <c r="J355" s="137"/>
      <c r="K355" s="160"/>
      <c r="L355" s="160"/>
      <c r="M355" s="137"/>
      <c r="N355" s="138"/>
      <c r="O355" s="138"/>
      <c r="P355" s="138"/>
      <c r="Q355" s="138"/>
      <c r="R355" s="138"/>
      <c r="S355" s="138"/>
      <c r="T355" s="138"/>
      <c r="U355" s="138"/>
      <c r="V355" s="150" t="e">
        <f t="shared" si="33"/>
        <v>#N/A</v>
      </c>
      <c r="W355" s="150" t="e">
        <f t="shared" si="33"/>
        <v>#N/A</v>
      </c>
      <c r="X355" s="150" t="e">
        <f t="shared" si="33"/>
        <v>#N/A</v>
      </c>
      <c r="Y355" s="150" t="e">
        <f t="shared" si="32"/>
        <v>#N/A</v>
      </c>
    </row>
    <row r="356" spans="1:25">
      <c r="A356" s="134"/>
      <c r="B356" s="158">
        <f t="shared" si="34"/>
        <v>38330</v>
      </c>
      <c r="C356" s="159" t="str">
        <f t="shared" si="35"/>
        <v/>
      </c>
      <c r="D356" s="159" t="str">
        <f t="shared" si="36"/>
        <v/>
      </c>
      <c r="E356" s="159" t="str">
        <f t="shared" si="37"/>
        <v/>
      </c>
      <c r="F356" s="159" t="str">
        <f t="shared" si="38"/>
        <v/>
      </c>
      <c r="G356" s="137"/>
      <c r="H356" s="137"/>
      <c r="I356" s="137"/>
      <c r="J356" s="137"/>
      <c r="K356" s="160"/>
      <c r="L356" s="160"/>
      <c r="M356" s="137"/>
      <c r="N356" s="138"/>
      <c r="O356" s="138"/>
      <c r="P356" s="138"/>
      <c r="Q356" s="138"/>
      <c r="R356" s="138"/>
      <c r="S356" s="138"/>
      <c r="T356" s="138"/>
      <c r="U356" s="138"/>
      <c r="V356" s="150" t="e">
        <f t="shared" si="33"/>
        <v>#N/A</v>
      </c>
      <c r="W356" s="150" t="e">
        <f t="shared" si="33"/>
        <v>#N/A</v>
      </c>
      <c r="X356" s="150" t="e">
        <f t="shared" si="33"/>
        <v>#N/A</v>
      </c>
      <c r="Y356" s="150" t="e">
        <f t="shared" si="32"/>
        <v>#N/A</v>
      </c>
    </row>
    <row r="357" spans="1:25">
      <c r="A357" s="134"/>
      <c r="B357" s="158">
        <f t="shared" si="34"/>
        <v>38331</v>
      </c>
      <c r="C357" s="159" t="str">
        <f t="shared" si="35"/>
        <v/>
      </c>
      <c r="D357" s="159" t="str">
        <f t="shared" si="36"/>
        <v/>
      </c>
      <c r="E357" s="159" t="str">
        <f t="shared" si="37"/>
        <v/>
      </c>
      <c r="F357" s="159" t="str">
        <f t="shared" si="38"/>
        <v/>
      </c>
      <c r="G357" s="137"/>
      <c r="H357" s="137"/>
      <c r="I357" s="137"/>
      <c r="J357" s="137"/>
      <c r="K357" s="160"/>
      <c r="L357" s="160"/>
      <c r="M357" s="137"/>
      <c r="N357" s="138"/>
      <c r="O357" s="138"/>
      <c r="P357" s="138"/>
      <c r="Q357" s="138"/>
      <c r="R357" s="138"/>
      <c r="S357" s="138"/>
      <c r="T357" s="138"/>
      <c r="U357" s="138"/>
      <c r="V357" s="150" t="e">
        <f t="shared" si="33"/>
        <v>#N/A</v>
      </c>
      <c r="W357" s="150" t="e">
        <f t="shared" si="33"/>
        <v>#N/A</v>
      </c>
      <c r="X357" s="150" t="e">
        <f t="shared" si="33"/>
        <v>#N/A</v>
      </c>
      <c r="Y357" s="150" t="e">
        <f t="shared" si="32"/>
        <v>#N/A</v>
      </c>
    </row>
    <row r="358" spans="1:25">
      <c r="A358" s="134"/>
      <c r="B358" s="158">
        <f t="shared" si="34"/>
        <v>38332</v>
      </c>
      <c r="C358" s="159" t="str">
        <f t="shared" si="35"/>
        <v/>
      </c>
      <c r="D358" s="159" t="str">
        <f t="shared" si="36"/>
        <v/>
      </c>
      <c r="E358" s="159" t="str">
        <f t="shared" si="37"/>
        <v/>
      </c>
      <c r="F358" s="159" t="str">
        <f t="shared" si="38"/>
        <v/>
      </c>
      <c r="G358" s="137"/>
      <c r="H358" s="137"/>
      <c r="I358" s="137"/>
      <c r="J358" s="137"/>
      <c r="K358" s="160"/>
      <c r="L358" s="160"/>
      <c r="M358" s="137"/>
      <c r="N358" s="138"/>
      <c r="O358" s="138"/>
      <c r="P358" s="138"/>
      <c r="Q358" s="138"/>
      <c r="R358" s="138"/>
      <c r="S358" s="138"/>
      <c r="T358" s="138"/>
      <c r="U358" s="138"/>
      <c r="V358" s="150" t="e">
        <f t="shared" si="33"/>
        <v>#N/A</v>
      </c>
      <c r="W358" s="150" t="e">
        <f t="shared" si="33"/>
        <v>#N/A</v>
      </c>
      <c r="X358" s="150" t="e">
        <f t="shared" si="33"/>
        <v>#N/A</v>
      </c>
      <c r="Y358" s="150" t="e">
        <f t="shared" si="32"/>
        <v>#N/A</v>
      </c>
    </row>
    <row r="359" spans="1:25">
      <c r="A359" s="134"/>
      <c r="B359" s="158">
        <f t="shared" si="34"/>
        <v>38333</v>
      </c>
      <c r="C359" s="159" t="str">
        <f t="shared" si="35"/>
        <v/>
      </c>
      <c r="D359" s="159" t="str">
        <f t="shared" si="36"/>
        <v/>
      </c>
      <c r="E359" s="159" t="str">
        <f t="shared" si="37"/>
        <v/>
      </c>
      <c r="F359" s="159" t="str">
        <f t="shared" si="38"/>
        <v/>
      </c>
      <c r="G359" s="137"/>
      <c r="H359" s="137"/>
      <c r="I359" s="137"/>
      <c r="J359" s="137"/>
      <c r="K359" s="160"/>
      <c r="L359" s="160"/>
      <c r="M359" s="137"/>
      <c r="N359" s="138"/>
      <c r="O359" s="138"/>
      <c r="P359" s="138"/>
      <c r="Q359" s="138"/>
      <c r="R359" s="138"/>
      <c r="S359" s="138"/>
      <c r="T359" s="138"/>
      <c r="U359" s="138"/>
      <c r="V359" s="150" t="e">
        <f t="shared" si="33"/>
        <v>#N/A</v>
      </c>
      <c r="W359" s="150" t="e">
        <f t="shared" si="33"/>
        <v>#N/A</v>
      </c>
      <c r="X359" s="150" t="e">
        <f t="shared" si="33"/>
        <v>#N/A</v>
      </c>
      <c r="Y359" s="150" t="e">
        <f t="shared" si="32"/>
        <v>#N/A</v>
      </c>
    </row>
    <row r="360" spans="1:25">
      <c r="A360" s="134"/>
      <c r="B360" s="158">
        <f t="shared" si="34"/>
        <v>38334</v>
      </c>
      <c r="C360" s="159" t="str">
        <f t="shared" si="35"/>
        <v/>
      </c>
      <c r="D360" s="159" t="str">
        <f t="shared" si="36"/>
        <v/>
      </c>
      <c r="E360" s="159" t="str">
        <f t="shared" si="37"/>
        <v/>
      </c>
      <c r="F360" s="159" t="str">
        <f t="shared" si="38"/>
        <v/>
      </c>
      <c r="G360" s="137"/>
      <c r="H360" s="137"/>
      <c r="I360" s="137"/>
      <c r="J360" s="137"/>
      <c r="K360" s="160"/>
      <c r="L360" s="160"/>
      <c r="M360" s="137"/>
      <c r="N360" s="138"/>
      <c r="O360" s="138"/>
      <c r="P360" s="138"/>
      <c r="Q360" s="138"/>
      <c r="R360" s="138"/>
      <c r="S360" s="138"/>
      <c r="T360" s="138"/>
      <c r="U360" s="138"/>
      <c r="V360" s="150" t="e">
        <f t="shared" si="33"/>
        <v>#N/A</v>
      </c>
      <c r="W360" s="150" t="e">
        <f t="shared" si="33"/>
        <v>#N/A</v>
      </c>
      <c r="X360" s="150" t="e">
        <f t="shared" si="33"/>
        <v>#N/A</v>
      </c>
      <c r="Y360" s="150" t="e">
        <f t="shared" si="32"/>
        <v>#N/A</v>
      </c>
    </row>
    <row r="361" spans="1:25">
      <c r="A361" s="134"/>
      <c r="B361" s="158">
        <f t="shared" si="34"/>
        <v>38335</v>
      </c>
      <c r="C361" s="159" t="str">
        <f t="shared" si="35"/>
        <v/>
      </c>
      <c r="D361" s="159" t="str">
        <f t="shared" si="36"/>
        <v/>
      </c>
      <c r="E361" s="159" t="str">
        <f t="shared" si="37"/>
        <v/>
      </c>
      <c r="F361" s="159" t="str">
        <f t="shared" si="38"/>
        <v/>
      </c>
      <c r="G361" s="137"/>
      <c r="H361" s="137"/>
      <c r="I361" s="137"/>
      <c r="J361" s="137"/>
      <c r="K361" s="160"/>
      <c r="L361" s="160"/>
      <c r="M361" s="137"/>
      <c r="N361" s="138"/>
      <c r="O361" s="138"/>
      <c r="P361" s="138"/>
      <c r="Q361" s="138"/>
      <c r="R361" s="138"/>
      <c r="S361" s="138"/>
      <c r="T361" s="138"/>
      <c r="U361" s="138"/>
      <c r="V361" s="150" t="e">
        <f t="shared" si="33"/>
        <v>#N/A</v>
      </c>
      <c r="W361" s="150" t="e">
        <f t="shared" si="33"/>
        <v>#N/A</v>
      </c>
      <c r="X361" s="150" t="e">
        <f t="shared" si="33"/>
        <v>#N/A</v>
      </c>
      <c r="Y361" s="150" t="e">
        <f t="shared" si="32"/>
        <v>#N/A</v>
      </c>
    </row>
    <row r="362" spans="1:25">
      <c r="A362" s="134"/>
      <c r="B362" s="158">
        <f t="shared" si="34"/>
        <v>38336</v>
      </c>
      <c r="C362" s="159" t="str">
        <f t="shared" si="35"/>
        <v/>
      </c>
      <c r="D362" s="159" t="str">
        <f t="shared" si="36"/>
        <v/>
      </c>
      <c r="E362" s="159" t="str">
        <f t="shared" si="37"/>
        <v/>
      </c>
      <c r="F362" s="159" t="str">
        <f t="shared" si="38"/>
        <v/>
      </c>
      <c r="G362" s="137"/>
      <c r="H362" s="137"/>
      <c r="I362" s="137"/>
      <c r="J362" s="137"/>
      <c r="K362" s="160"/>
      <c r="L362" s="160"/>
      <c r="M362" s="137"/>
      <c r="N362" s="138"/>
      <c r="O362" s="138"/>
      <c r="P362" s="138"/>
      <c r="Q362" s="138"/>
      <c r="R362" s="138"/>
      <c r="S362" s="138"/>
      <c r="T362" s="138"/>
      <c r="U362" s="138"/>
      <c r="V362" s="150" t="e">
        <f t="shared" si="33"/>
        <v>#N/A</v>
      </c>
      <c r="W362" s="150" t="e">
        <f t="shared" si="33"/>
        <v>#N/A</v>
      </c>
      <c r="X362" s="150" t="e">
        <f t="shared" si="33"/>
        <v>#N/A</v>
      </c>
      <c r="Y362" s="150" t="e">
        <f t="shared" si="32"/>
        <v>#N/A</v>
      </c>
    </row>
    <row r="363" spans="1:25">
      <c r="A363" s="134"/>
      <c r="B363" s="158">
        <f t="shared" si="34"/>
        <v>38337</v>
      </c>
      <c r="C363" s="159" t="str">
        <f t="shared" si="35"/>
        <v/>
      </c>
      <c r="D363" s="159" t="str">
        <f t="shared" si="36"/>
        <v/>
      </c>
      <c r="E363" s="159" t="str">
        <f t="shared" si="37"/>
        <v/>
      </c>
      <c r="F363" s="159" t="str">
        <f t="shared" si="38"/>
        <v/>
      </c>
      <c r="G363" s="137"/>
      <c r="H363" s="137"/>
      <c r="I363" s="137"/>
      <c r="J363" s="137"/>
      <c r="K363" s="160"/>
      <c r="L363" s="160"/>
      <c r="M363" s="137"/>
      <c r="N363" s="138"/>
      <c r="O363" s="138"/>
      <c r="P363" s="138"/>
      <c r="Q363" s="138"/>
      <c r="R363" s="138"/>
      <c r="S363" s="138"/>
      <c r="T363" s="138"/>
      <c r="U363" s="138"/>
      <c r="V363" s="150" t="e">
        <f t="shared" si="33"/>
        <v>#N/A</v>
      </c>
      <c r="W363" s="150" t="e">
        <f t="shared" si="33"/>
        <v>#N/A</v>
      </c>
      <c r="X363" s="150" t="e">
        <f t="shared" si="33"/>
        <v>#N/A</v>
      </c>
      <c r="Y363" s="150" t="e">
        <f t="shared" si="32"/>
        <v>#N/A</v>
      </c>
    </row>
    <row r="364" spans="1:25">
      <c r="A364" s="134"/>
      <c r="B364" s="158">
        <f t="shared" si="34"/>
        <v>38338</v>
      </c>
      <c r="C364" s="159" t="str">
        <f t="shared" si="35"/>
        <v/>
      </c>
      <c r="D364" s="159" t="str">
        <f t="shared" si="36"/>
        <v/>
      </c>
      <c r="E364" s="159" t="str">
        <f t="shared" si="37"/>
        <v/>
      </c>
      <c r="F364" s="159" t="str">
        <f t="shared" si="38"/>
        <v/>
      </c>
      <c r="G364" s="137"/>
      <c r="H364" s="137"/>
      <c r="I364" s="137"/>
      <c r="J364" s="137"/>
      <c r="K364" s="160"/>
      <c r="L364" s="160"/>
      <c r="M364" s="137"/>
      <c r="N364" s="138"/>
      <c r="O364" s="138"/>
      <c r="P364" s="138"/>
      <c r="Q364" s="138"/>
      <c r="R364" s="138"/>
      <c r="S364" s="138"/>
      <c r="T364" s="138"/>
      <c r="U364" s="138"/>
      <c r="V364" s="150" t="e">
        <f t="shared" si="33"/>
        <v>#N/A</v>
      </c>
      <c r="W364" s="150" t="e">
        <f t="shared" si="33"/>
        <v>#N/A</v>
      </c>
      <c r="X364" s="150" t="e">
        <f t="shared" si="33"/>
        <v>#N/A</v>
      </c>
      <c r="Y364" s="150" t="e">
        <f t="shared" si="32"/>
        <v>#N/A</v>
      </c>
    </row>
    <row r="365" spans="1:25">
      <c r="A365" s="134"/>
      <c r="B365" s="158">
        <f t="shared" si="34"/>
        <v>38339</v>
      </c>
      <c r="C365" s="159" t="str">
        <f t="shared" si="35"/>
        <v/>
      </c>
      <c r="D365" s="159" t="str">
        <f t="shared" si="36"/>
        <v/>
      </c>
      <c r="E365" s="159" t="str">
        <f t="shared" si="37"/>
        <v/>
      </c>
      <c r="F365" s="159" t="str">
        <f t="shared" si="38"/>
        <v/>
      </c>
      <c r="G365" s="137"/>
      <c r="H365" s="137"/>
      <c r="I365" s="137"/>
      <c r="J365" s="137"/>
      <c r="K365" s="160"/>
      <c r="L365" s="160"/>
      <c r="M365" s="137"/>
      <c r="N365" s="138"/>
      <c r="O365" s="138"/>
      <c r="P365" s="138"/>
      <c r="Q365" s="138"/>
      <c r="R365" s="138"/>
      <c r="S365" s="138"/>
      <c r="T365" s="138"/>
      <c r="U365" s="138"/>
      <c r="V365" s="150" t="e">
        <f t="shared" si="33"/>
        <v>#N/A</v>
      </c>
      <c r="W365" s="150" t="e">
        <f t="shared" si="33"/>
        <v>#N/A</v>
      </c>
      <c r="X365" s="150" t="e">
        <f t="shared" si="33"/>
        <v>#N/A</v>
      </c>
      <c r="Y365" s="150" t="e">
        <f t="shared" si="32"/>
        <v>#N/A</v>
      </c>
    </row>
    <row r="366" spans="1:25">
      <c r="A366" s="134"/>
      <c r="B366" s="158">
        <f t="shared" si="34"/>
        <v>38340</v>
      </c>
      <c r="C366" s="159" t="str">
        <f t="shared" si="35"/>
        <v/>
      </c>
      <c r="D366" s="159" t="str">
        <f t="shared" si="36"/>
        <v/>
      </c>
      <c r="E366" s="159" t="str">
        <f t="shared" si="37"/>
        <v/>
      </c>
      <c r="F366" s="159" t="str">
        <f t="shared" si="38"/>
        <v/>
      </c>
      <c r="G366" s="137"/>
      <c r="H366" s="137"/>
      <c r="I366" s="137"/>
      <c r="J366" s="137"/>
      <c r="K366" s="160"/>
      <c r="L366" s="160"/>
      <c r="M366" s="137"/>
      <c r="N366" s="138"/>
      <c r="O366" s="138"/>
      <c r="P366" s="138"/>
      <c r="Q366" s="138"/>
      <c r="R366" s="138"/>
      <c r="S366" s="138"/>
      <c r="T366" s="138"/>
      <c r="U366" s="138"/>
      <c r="V366" s="150" t="e">
        <f t="shared" si="33"/>
        <v>#N/A</v>
      </c>
      <c r="W366" s="150" t="e">
        <f t="shared" si="33"/>
        <v>#N/A</v>
      </c>
      <c r="X366" s="150" t="e">
        <f t="shared" si="33"/>
        <v>#N/A</v>
      </c>
      <c r="Y366" s="150" t="e">
        <f t="shared" si="32"/>
        <v>#N/A</v>
      </c>
    </row>
    <row r="367" spans="1:25">
      <c r="A367" s="134"/>
      <c r="B367" s="158">
        <f t="shared" si="34"/>
        <v>38341</v>
      </c>
      <c r="C367" s="159" t="str">
        <f t="shared" si="35"/>
        <v/>
      </c>
      <c r="D367" s="159" t="str">
        <f t="shared" si="36"/>
        <v/>
      </c>
      <c r="E367" s="159" t="str">
        <f t="shared" si="37"/>
        <v/>
      </c>
      <c r="F367" s="159" t="str">
        <f t="shared" si="38"/>
        <v/>
      </c>
      <c r="G367" s="137"/>
      <c r="H367" s="137"/>
      <c r="I367" s="137"/>
      <c r="J367" s="137"/>
      <c r="K367" s="160"/>
      <c r="L367" s="160"/>
      <c r="M367" s="137"/>
      <c r="N367" s="138"/>
      <c r="O367" s="138"/>
      <c r="P367" s="138"/>
      <c r="Q367" s="138"/>
      <c r="R367" s="138"/>
      <c r="S367" s="138"/>
      <c r="T367" s="138"/>
      <c r="U367" s="138"/>
      <c r="V367" s="150" t="e">
        <f t="shared" si="33"/>
        <v>#N/A</v>
      </c>
      <c r="W367" s="150" t="e">
        <f t="shared" si="33"/>
        <v>#N/A</v>
      </c>
      <c r="X367" s="150" t="e">
        <f t="shared" si="33"/>
        <v>#N/A</v>
      </c>
      <c r="Y367" s="150" t="e">
        <f t="shared" si="32"/>
        <v>#N/A</v>
      </c>
    </row>
    <row r="368" spans="1:25">
      <c r="A368" s="134"/>
      <c r="B368" s="158">
        <f t="shared" si="34"/>
        <v>38342</v>
      </c>
      <c r="C368" s="159" t="str">
        <f t="shared" si="35"/>
        <v/>
      </c>
      <c r="D368" s="159" t="str">
        <f t="shared" si="36"/>
        <v/>
      </c>
      <c r="E368" s="159" t="str">
        <f t="shared" si="37"/>
        <v/>
      </c>
      <c r="F368" s="159" t="str">
        <f t="shared" si="38"/>
        <v/>
      </c>
      <c r="G368" s="137"/>
      <c r="H368" s="137"/>
      <c r="I368" s="137"/>
      <c r="J368" s="137"/>
      <c r="K368" s="160"/>
      <c r="L368" s="160"/>
      <c r="M368" s="137"/>
      <c r="N368" s="138"/>
      <c r="O368" s="138"/>
      <c r="P368" s="138"/>
      <c r="Q368" s="138"/>
      <c r="R368" s="138"/>
      <c r="S368" s="138"/>
      <c r="T368" s="138"/>
      <c r="U368" s="138"/>
      <c r="V368" s="150" t="e">
        <f t="shared" si="33"/>
        <v>#N/A</v>
      </c>
      <c r="W368" s="150" t="e">
        <f t="shared" si="33"/>
        <v>#N/A</v>
      </c>
      <c r="X368" s="150" t="e">
        <f t="shared" si="33"/>
        <v>#N/A</v>
      </c>
      <c r="Y368" s="150" t="e">
        <f t="shared" si="32"/>
        <v>#N/A</v>
      </c>
    </row>
    <row r="369" spans="1:25">
      <c r="A369" s="134"/>
      <c r="B369" s="158">
        <f t="shared" si="34"/>
        <v>38343</v>
      </c>
      <c r="C369" s="159" t="str">
        <f t="shared" si="35"/>
        <v/>
      </c>
      <c r="D369" s="159" t="str">
        <f t="shared" si="36"/>
        <v/>
      </c>
      <c r="E369" s="159" t="str">
        <f t="shared" si="37"/>
        <v/>
      </c>
      <c r="F369" s="159" t="str">
        <f t="shared" si="38"/>
        <v/>
      </c>
      <c r="G369" s="137"/>
      <c r="H369" s="137"/>
      <c r="I369" s="137"/>
      <c r="J369" s="137"/>
      <c r="K369" s="160"/>
      <c r="L369" s="160"/>
      <c r="M369" s="137"/>
      <c r="N369" s="138"/>
      <c r="O369" s="138"/>
      <c r="P369" s="138"/>
      <c r="Q369" s="138"/>
      <c r="R369" s="138"/>
      <c r="S369" s="138"/>
      <c r="T369" s="138"/>
      <c r="U369" s="138"/>
      <c r="V369" s="150" t="e">
        <f t="shared" si="33"/>
        <v>#N/A</v>
      </c>
      <c r="W369" s="150" t="e">
        <f t="shared" si="33"/>
        <v>#N/A</v>
      </c>
      <c r="X369" s="150" t="e">
        <f t="shared" si="33"/>
        <v>#N/A</v>
      </c>
      <c r="Y369" s="150" t="e">
        <f t="shared" si="32"/>
        <v>#N/A</v>
      </c>
    </row>
    <row r="370" spans="1:25">
      <c r="A370" s="134"/>
      <c r="B370" s="158">
        <f t="shared" si="34"/>
        <v>38344</v>
      </c>
      <c r="C370" s="159" t="str">
        <f t="shared" si="35"/>
        <v/>
      </c>
      <c r="D370" s="159" t="str">
        <f t="shared" si="36"/>
        <v/>
      </c>
      <c r="E370" s="159" t="str">
        <f t="shared" si="37"/>
        <v/>
      </c>
      <c r="F370" s="159" t="str">
        <f t="shared" si="38"/>
        <v/>
      </c>
      <c r="G370" s="137"/>
      <c r="H370" s="137"/>
      <c r="I370" s="137"/>
      <c r="J370" s="137"/>
      <c r="K370" s="160"/>
      <c r="L370" s="160"/>
      <c r="M370" s="137"/>
      <c r="N370" s="138"/>
      <c r="O370" s="138"/>
      <c r="P370" s="138"/>
      <c r="Q370" s="138"/>
      <c r="R370" s="138"/>
      <c r="S370" s="138"/>
      <c r="T370" s="138"/>
      <c r="U370" s="138"/>
      <c r="V370" s="150" t="e">
        <f t="shared" si="33"/>
        <v>#N/A</v>
      </c>
      <c r="W370" s="150" t="e">
        <f t="shared" si="33"/>
        <v>#N/A</v>
      </c>
      <c r="X370" s="150" t="e">
        <f t="shared" si="33"/>
        <v>#N/A</v>
      </c>
      <c r="Y370" s="150" t="e">
        <f t="shared" si="32"/>
        <v>#N/A</v>
      </c>
    </row>
    <row r="371" spans="1:25">
      <c r="A371" s="134"/>
      <c r="B371" s="158">
        <f t="shared" si="34"/>
        <v>38345</v>
      </c>
      <c r="C371" s="159" t="str">
        <f t="shared" si="35"/>
        <v/>
      </c>
      <c r="D371" s="159" t="str">
        <f t="shared" si="36"/>
        <v/>
      </c>
      <c r="E371" s="159" t="str">
        <f t="shared" si="37"/>
        <v/>
      </c>
      <c r="F371" s="159" t="str">
        <f t="shared" si="38"/>
        <v/>
      </c>
      <c r="G371" s="137"/>
      <c r="H371" s="137"/>
      <c r="I371" s="137"/>
      <c r="J371" s="137"/>
      <c r="K371" s="160"/>
      <c r="L371" s="160"/>
      <c r="M371" s="137"/>
      <c r="N371" s="138"/>
      <c r="O371" s="138"/>
      <c r="P371" s="138"/>
      <c r="Q371" s="138"/>
      <c r="R371" s="138"/>
      <c r="S371" s="138"/>
      <c r="T371" s="138"/>
      <c r="U371" s="138"/>
      <c r="V371" s="150" t="e">
        <f t="shared" si="33"/>
        <v>#N/A</v>
      </c>
      <c r="W371" s="150" t="e">
        <f t="shared" si="33"/>
        <v>#N/A</v>
      </c>
      <c r="X371" s="150" t="e">
        <f t="shared" si="33"/>
        <v>#N/A</v>
      </c>
      <c r="Y371" s="150" t="e">
        <f t="shared" si="32"/>
        <v>#N/A</v>
      </c>
    </row>
    <row r="372" spans="1:25">
      <c r="A372" s="134"/>
      <c r="B372" s="158">
        <f t="shared" si="34"/>
        <v>38346</v>
      </c>
      <c r="C372" s="159" t="str">
        <f t="shared" si="35"/>
        <v/>
      </c>
      <c r="D372" s="159" t="str">
        <f t="shared" si="36"/>
        <v/>
      </c>
      <c r="E372" s="159" t="str">
        <f t="shared" si="37"/>
        <v/>
      </c>
      <c r="F372" s="159" t="str">
        <f t="shared" si="38"/>
        <v/>
      </c>
      <c r="G372" s="137"/>
      <c r="H372" s="137"/>
      <c r="I372" s="137"/>
      <c r="J372" s="137"/>
      <c r="K372" s="160"/>
      <c r="L372" s="160"/>
      <c r="M372" s="137"/>
      <c r="N372" s="138"/>
      <c r="O372" s="138"/>
      <c r="P372" s="138"/>
      <c r="Q372" s="138"/>
      <c r="R372" s="138"/>
      <c r="S372" s="138"/>
      <c r="T372" s="138"/>
      <c r="U372" s="138"/>
      <c r="V372" s="150" t="e">
        <f t="shared" si="33"/>
        <v>#N/A</v>
      </c>
      <c r="W372" s="150" t="e">
        <f t="shared" si="33"/>
        <v>#N/A</v>
      </c>
      <c r="X372" s="150" t="e">
        <f t="shared" si="33"/>
        <v>#N/A</v>
      </c>
      <c r="Y372" s="150" t="e">
        <f t="shared" si="32"/>
        <v>#N/A</v>
      </c>
    </row>
    <row r="373" spans="1:25">
      <c r="A373" s="134"/>
      <c r="B373" s="158">
        <f t="shared" si="34"/>
        <v>38347</v>
      </c>
      <c r="C373" s="159" t="str">
        <f t="shared" si="35"/>
        <v/>
      </c>
      <c r="D373" s="159" t="str">
        <f t="shared" si="36"/>
        <v/>
      </c>
      <c r="E373" s="159" t="str">
        <f t="shared" si="37"/>
        <v/>
      </c>
      <c r="F373" s="159" t="str">
        <f t="shared" si="38"/>
        <v/>
      </c>
      <c r="G373" s="137"/>
      <c r="H373" s="137"/>
      <c r="I373" s="137"/>
      <c r="J373" s="137"/>
      <c r="K373" s="160"/>
      <c r="L373" s="160"/>
      <c r="M373" s="137"/>
      <c r="N373" s="138"/>
      <c r="O373" s="138"/>
      <c r="P373" s="138"/>
      <c r="Q373" s="138"/>
      <c r="R373" s="138"/>
      <c r="S373" s="138"/>
      <c r="T373" s="138"/>
      <c r="U373" s="138"/>
      <c r="V373" s="150" t="e">
        <f t="shared" si="33"/>
        <v>#N/A</v>
      </c>
      <c r="W373" s="150" t="e">
        <f t="shared" si="33"/>
        <v>#N/A</v>
      </c>
      <c r="X373" s="150" t="e">
        <f t="shared" si="33"/>
        <v>#N/A</v>
      </c>
      <c r="Y373" s="150" t="e">
        <f t="shared" si="32"/>
        <v>#N/A</v>
      </c>
    </row>
    <row r="374" spans="1:25">
      <c r="A374" s="134"/>
      <c r="B374" s="158">
        <f t="shared" si="34"/>
        <v>38348</v>
      </c>
      <c r="C374" s="159" t="str">
        <f t="shared" si="35"/>
        <v/>
      </c>
      <c r="D374" s="159" t="str">
        <f t="shared" si="36"/>
        <v/>
      </c>
      <c r="E374" s="159" t="str">
        <f t="shared" si="37"/>
        <v/>
      </c>
      <c r="F374" s="159" t="str">
        <f t="shared" si="38"/>
        <v/>
      </c>
      <c r="G374" s="137"/>
      <c r="H374" s="137"/>
      <c r="I374" s="137"/>
      <c r="J374" s="137"/>
      <c r="K374" s="160"/>
      <c r="L374" s="160"/>
      <c r="M374" s="137"/>
      <c r="N374" s="138"/>
      <c r="O374" s="138"/>
      <c r="P374" s="138"/>
      <c r="Q374" s="138"/>
      <c r="R374" s="138"/>
      <c r="S374" s="138"/>
      <c r="T374" s="138"/>
      <c r="U374" s="138"/>
      <c r="V374" s="150" t="e">
        <f t="shared" si="33"/>
        <v>#N/A</v>
      </c>
      <c r="W374" s="150" t="e">
        <f t="shared" si="33"/>
        <v>#N/A</v>
      </c>
      <c r="X374" s="150" t="e">
        <f t="shared" si="33"/>
        <v>#N/A</v>
      </c>
      <c r="Y374" s="150" t="e">
        <f t="shared" si="32"/>
        <v>#N/A</v>
      </c>
    </row>
    <row r="375" spans="1:25">
      <c r="A375" s="134"/>
      <c r="B375" s="158">
        <f t="shared" si="34"/>
        <v>38349</v>
      </c>
      <c r="C375" s="159" t="str">
        <f t="shared" si="35"/>
        <v/>
      </c>
      <c r="D375" s="159" t="str">
        <f t="shared" si="36"/>
        <v/>
      </c>
      <c r="E375" s="159" t="str">
        <f t="shared" si="37"/>
        <v/>
      </c>
      <c r="F375" s="159" t="str">
        <f t="shared" si="38"/>
        <v/>
      </c>
      <c r="G375" s="137"/>
      <c r="H375" s="137"/>
      <c r="I375" s="137"/>
      <c r="J375" s="137"/>
      <c r="K375" s="160"/>
      <c r="L375" s="160"/>
      <c r="M375" s="137"/>
      <c r="N375" s="138"/>
      <c r="O375" s="138"/>
      <c r="P375" s="138"/>
      <c r="Q375" s="138"/>
      <c r="R375" s="138"/>
      <c r="S375" s="138"/>
      <c r="T375" s="138"/>
      <c r="U375" s="138"/>
      <c r="V375" s="150" t="e">
        <f t="shared" si="33"/>
        <v>#N/A</v>
      </c>
      <c r="W375" s="150" t="e">
        <f t="shared" si="33"/>
        <v>#N/A</v>
      </c>
      <c r="X375" s="150" t="e">
        <f t="shared" si="33"/>
        <v>#N/A</v>
      </c>
      <c r="Y375" s="150" t="e">
        <f t="shared" si="32"/>
        <v>#N/A</v>
      </c>
    </row>
    <row r="376" spans="1:25">
      <c r="A376" s="134"/>
      <c r="B376" s="158">
        <f t="shared" si="34"/>
        <v>38350</v>
      </c>
      <c r="C376" s="159" t="str">
        <f t="shared" si="35"/>
        <v/>
      </c>
      <c r="D376" s="159" t="str">
        <f t="shared" si="36"/>
        <v/>
      </c>
      <c r="E376" s="159" t="str">
        <f t="shared" si="37"/>
        <v/>
      </c>
      <c r="F376" s="159" t="str">
        <f t="shared" si="38"/>
        <v/>
      </c>
      <c r="G376" s="137"/>
      <c r="H376" s="137"/>
      <c r="I376" s="137"/>
      <c r="J376" s="137"/>
      <c r="K376" s="160"/>
      <c r="L376" s="160"/>
      <c r="M376" s="137"/>
      <c r="N376" s="138"/>
      <c r="O376" s="138"/>
      <c r="P376" s="138"/>
      <c r="Q376" s="138"/>
      <c r="R376" s="138"/>
      <c r="S376" s="138"/>
      <c r="T376" s="138"/>
      <c r="U376" s="138"/>
      <c r="V376" s="150" t="e">
        <f t="shared" si="33"/>
        <v>#N/A</v>
      </c>
      <c r="W376" s="150" t="e">
        <f t="shared" si="33"/>
        <v>#N/A</v>
      </c>
      <c r="X376" s="150" t="e">
        <f t="shared" si="33"/>
        <v>#N/A</v>
      </c>
      <c r="Y376" s="150" t="e">
        <f t="shared" si="32"/>
        <v>#N/A</v>
      </c>
    </row>
    <row r="377" spans="1:25">
      <c r="A377" s="134"/>
      <c r="B377" s="158">
        <f t="shared" si="34"/>
        <v>38351</v>
      </c>
      <c r="C377" s="159" t="str">
        <f t="shared" si="35"/>
        <v/>
      </c>
      <c r="D377" s="159" t="str">
        <f t="shared" si="36"/>
        <v/>
      </c>
      <c r="E377" s="159" t="str">
        <f t="shared" si="37"/>
        <v/>
      </c>
      <c r="F377" s="159" t="str">
        <f t="shared" si="38"/>
        <v/>
      </c>
      <c r="G377" s="137"/>
      <c r="H377" s="137"/>
      <c r="I377" s="137"/>
      <c r="J377" s="137"/>
      <c r="K377" s="160"/>
      <c r="L377" s="160"/>
      <c r="M377" s="137"/>
      <c r="N377" s="138"/>
      <c r="O377" s="138"/>
      <c r="P377" s="138"/>
      <c r="Q377" s="138"/>
      <c r="R377" s="138"/>
      <c r="S377" s="138"/>
      <c r="T377" s="138"/>
      <c r="U377" s="138"/>
      <c r="V377" s="150" t="e">
        <f t="shared" si="33"/>
        <v>#N/A</v>
      </c>
      <c r="W377" s="150" t="e">
        <f t="shared" si="33"/>
        <v>#N/A</v>
      </c>
      <c r="X377" s="150" t="e">
        <f t="shared" si="33"/>
        <v>#N/A</v>
      </c>
      <c r="Y377" s="150" t="e">
        <f t="shared" si="32"/>
        <v>#N/A</v>
      </c>
    </row>
    <row r="378" spans="1:25">
      <c r="A378" s="134"/>
      <c r="B378" s="158">
        <f t="shared" si="34"/>
        <v>38352</v>
      </c>
      <c r="C378" s="159" t="str">
        <f t="shared" si="35"/>
        <v/>
      </c>
      <c r="D378" s="159" t="str">
        <f t="shared" si="36"/>
        <v/>
      </c>
      <c r="E378" s="159" t="str">
        <f t="shared" si="37"/>
        <v/>
      </c>
      <c r="F378" s="159" t="str">
        <f t="shared" si="38"/>
        <v/>
      </c>
      <c r="G378" s="137"/>
      <c r="H378" s="137"/>
      <c r="I378" s="137"/>
      <c r="J378" s="137"/>
      <c r="K378" s="160"/>
      <c r="L378" s="160"/>
      <c r="M378" s="137"/>
      <c r="N378" s="138"/>
      <c r="O378" s="138"/>
      <c r="P378" s="138"/>
      <c r="Q378" s="138"/>
      <c r="R378" s="138"/>
      <c r="S378" s="138"/>
      <c r="T378" s="138"/>
      <c r="U378" s="138"/>
      <c r="V378" s="150" t="e">
        <f t="shared" si="33"/>
        <v>#N/A</v>
      </c>
      <c r="W378" s="150" t="e">
        <f t="shared" si="33"/>
        <v>#N/A</v>
      </c>
      <c r="X378" s="150" t="e">
        <f t="shared" si="33"/>
        <v>#N/A</v>
      </c>
      <c r="Y378" s="150" t="e">
        <f t="shared" si="32"/>
        <v>#N/A</v>
      </c>
    </row>
    <row r="379" spans="1:25">
      <c r="A379" s="134"/>
      <c r="B379" s="158">
        <f t="shared" si="34"/>
        <v>38353</v>
      </c>
      <c r="C379" s="159" t="str">
        <f t="shared" si="35"/>
        <v/>
      </c>
      <c r="D379" s="159" t="str">
        <f t="shared" si="36"/>
        <v/>
      </c>
      <c r="E379" s="159" t="str">
        <f t="shared" si="37"/>
        <v/>
      </c>
      <c r="F379" s="159" t="str">
        <f t="shared" si="38"/>
        <v/>
      </c>
      <c r="G379" s="137"/>
      <c r="H379" s="137"/>
      <c r="I379" s="137"/>
      <c r="J379" s="137"/>
      <c r="K379" s="160"/>
      <c r="L379" s="160"/>
      <c r="M379" s="137"/>
      <c r="N379" s="138"/>
      <c r="O379" s="138"/>
      <c r="P379" s="138"/>
      <c r="Q379" s="138"/>
      <c r="R379" s="138"/>
      <c r="S379" s="138"/>
      <c r="T379" s="138"/>
      <c r="U379" s="138"/>
      <c r="V379" s="150" t="e">
        <f t="shared" si="33"/>
        <v>#N/A</v>
      </c>
      <c r="W379" s="150" t="e">
        <f t="shared" si="33"/>
        <v>#N/A</v>
      </c>
      <c r="X379" s="150" t="e">
        <f t="shared" si="33"/>
        <v>#N/A</v>
      </c>
      <c r="Y379" s="150" t="e">
        <f t="shared" si="32"/>
        <v>#N/A</v>
      </c>
    </row>
    <row r="380" spans="1:25">
      <c r="A380" s="134"/>
      <c r="B380" s="158">
        <f t="shared" si="34"/>
        <v>38354</v>
      </c>
      <c r="C380" s="159" t="str">
        <f t="shared" si="35"/>
        <v/>
      </c>
      <c r="D380" s="159" t="str">
        <f t="shared" si="36"/>
        <v/>
      </c>
      <c r="E380" s="159" t="str">
        <f t="shared" si="37"/>
        <v/>
      </c>
      <c r="F380" s="159" t="str">
        <f t="shared" si="38"/>
        <v/>
      </c>
      <c r="G380" s="137"/>
      <c r="H380" s="137"/>
      <c r="I380" s="137"/>
      <c r="J380" s="137"/>
      <c r="K380" s="160"/>
      <c r="L380" s="160"/>
      <c r="M380" s="137"/>
      <c r="N380" s="138"/>
      <c r="O380" s="138"/>
      <c r="P380" s="138"/>
      <c r="Q380" s="138"/>
      <c r="R380" s="138"/>
      <c r="S380" s="138"/>
      <c r="T380" s="138"/>
      <c r="U380" s="138"/>
      <c r="V380" s="150" t="e">
        <f t="shared" si="33"/>
        <v>#N/A</v>
      </c>
      <c r="W380" s="150" t="e">
        <f t="shared" si="33"/>
        <v>#N/A</v>
      </c>
      <c r="X380" s="150" t="e">
        <f t="shared" si="33"/>
        <v>#N/A</v>
      </c>
      <c r="Y380" s="150" t="e">
        <f t="shared" si="32"/>
        <v>#N/A</v>
      </c>
    </row>
    <row r="381" spans="1:25">
      <c r="A381" s="134"/>
      <c r="B381" s="158">
        <f t="shared" si="34"/>
        <v>38355</v>
      </c>
      <c r="C381" s="159" t="str">
        <f t="shared" si="35"/>
        <v/>
      </c>
      <c r="D381" s="159" t="str">
        <f t="shared" si="36"/>
        <v/>
      </c>
      <c r="E381" s="159" t="str">
        <f t="shared" si="37"/>
        <v/>
      </c>
      <c r="F381" s="159" t="str">
        <f t="shared" si="38"/>
        <v/>
      </c>
      <c r="G381" s="137"/>
      <c r="H381" s="137"/>
      <c r="I381" s="137"/>
      <c r="J381" s="137"/>
      <c r="K381" s="160"/>
      <c r="L381" s="160"/>
      <c r="M381" s="137"/>
      <c r="N381" s="138"/>
      <c r="O381" s="138"/>
      <c r="P381" s="138"/>
      <c r="Q381" s="138"/>
      <c r="R381" s="138"/>
      <c r="S381" s="138"/>
      <c r="T381" s="138"/>
      <c r="U381" s="138"/>
      <c r="V381" s="150" t="e">
        <f t="shared" si="33"/>
        <v>#N/A</v>
      </c>
      <c r="W381" s="150" t="e">
        <f t="shared" si="33"/>
        <v>#N/A</v>
      </c>
      <c r="X381" s="150" t="e">
        <f t="shared" si="33"/>
        <v>#N/A</v>
      </c>
      <c r="Y381" s="150" t="e">
        <f t="shared" si="32"/>
        <v>#N/A</v>
      </c>
    </row>
    <row r="382" spans="1:25">
      <c r="A382" s="134"/>
      <c r="B382" s="158">
        <f t="shared" si="34"/>
        <v>38356</v>
      </c>
      <c r="C382" s="159" t="str">
        <f t="shared" si="35"/>
        <v/>
      </c>
      <c r="D382" s="159" t="str">
        <f t="shared" si="36"/>
        <v/>
      </c>
      <c r="E382" s="159" t="str">
        <f t="shared" si="37"/>
        <v/>
      </c>
      <c r="F382" s="159" t="str">
        <f t="shared" si="38"/>
        <v/>
      </c>
      <c r="G382" s="137"/>
      <c r="H382" s="137"/>
      <c r="I382" s="137"/>
      <c r="J382" s="137"/>
      <c r="K382" s="160"/>
      <c r="L382" s="160"/>
      <c r="M382" s="137"/>
      <c r="N382" s="138"/>
      <c r="O382" s="138"/>
      <c r="P382" s="138"/>
      <c r="Q382" s="138"/>
      <c r="R382" s="138"/>
      <c r="S382" s="138"/>
      <c r="T382" s="138"/>
      <c r="U382" s="138"/>
      <c r="V382" s="150" t="e">
        <f t="shared" si="33"/>
        <v>#N/A</v>
      </c>
      <c r="W382" s="150" t="e">
        <f t="shared" si="33"/>
        <v>#N/A</v>
      </c>
      <c r="X382" s="150" t="e">
        <f t="shared" si="33"/>
        <v>#N/A</v>
      </c>
      <c r="Y382" s="150" t="e">
        <f t="shared" si="32"/>
        <v>#N/A</v>
      </c>
    </row>
    <row r="383" spans="1:25">
      <c r="A383" s="134"/>
      <c r="B383" s="158">
        <f t="shared" si="34"/>
        <v>38357</v>
      </c>
      <c r="C383" s="159" t="str">
        <f t="shared" si="35"/>
        <v/>
      </c>
      <c r="D383" s="159" t="str">
        <f t="shared" si="36"/>
        <v/>
      </c>
      <c r="E383" s="159" t="str">
        <f t="shared" si="37"/>
        <v/>
      </c>
      <c r="F383" s="159" t="str">
        <f t="shared" si="38"/>
        <v/>
      </c>
      <c r="G383" s="137"/>
      <c r="H383" s="137"/>
      <c r="I383" s="137"/>
      <c r="J383" s="137"/>
      <c r="K383" s="160"/>
      <c r="L383" s="160"/>
      <c r="M383" s="137"/>
      <c r="N383" s="138"/>
      <c r="O383" s="138"/>
      <c r="P383" s="138"/>
      <c r="Q383" s="138"/>
      <c r="R383" s="138"/>
      <c r="S383" s="138"/>
      <c r="T383" s="138"/>
      <c r="U383" s="138"/>
      <c r="V383" s="150" t="e">
        <f t="shared" si="33"/>
        <v>#N/A</v>
      </c>
      <c r="W383" s="150" t="e">
        <f t="shared" si="33"/>
        <v>#N/A</v>
      </c>
      <c r="X383" s="150" t="e">
        <f t="shared" si="33"/>
        <v>#N/A</v>
      </c>
      <c r="Y383" s="150" t="e">
        <f t="shared" si="32"/>
        <v>#N/A</v>
      </c>
    </row>
    <row r="384" spans="1:25">
      <c r="A384" s="134"/>
      <c r="B384" s="158">
        <f t="shared" si="34"/>
        <v>38358</v>
      </c>
      <c r="C384" s="159" t="str">
        <f t="shared" si="35"/>
        <v/>
      </c>
      <c r="D384" s="159" t="str">
        <f t="shared" si="36"/>
        <v/>
      </c>
      <c r="E384" s="159" t="str">
        <f t="shared" si="37"/>
        <v/>
      </c>
      <c r="F384" s="159" t="str">
        <f t="shared" si="38"/>
        <v/>
      </c>
      <c r="G384" s="137"/>
      <c r="H384" s="137"/>
      <c r="I384" s="137"/>
      <c r="J384" s="137"/>
      <c r="K384" s="160"/>
      <c r="L384" s="160"/>
      <c r="M384" s="137"/>
      <c r="N384" s="138"/>
      <c r="O384" s="138"/>
      <c r="P384" s="138"/>
      <c r="Q384" s="138"/>
      <c r="R384" s="138"/>
      <c r="S384" s="138"/>
      <c r="T384" s="138"/>
      <c r="U384" s="138"/>
      <c r="V384" s="150" t="e">
        <f t="shared" si="33"/>
        <v>#N/A</v>
      </c>
      <c r="W384" s="150" t="e">
        <f t="shared" si="33"/>
        <v>#N/A</v>
      </c>
      <c r="X384" s="150" t="e">
        <f t="shared" si="33"/>
        <v>#N/A</v>
      </c>
      <c r="Y384" s="150" t="e">
        <f t="shared" si="32"/>
        <v>#N/A</v>
      </c>
    </row>
    <row r="385" spans="1:25">
      <c r="A385" s="134"/>
      <c r="B385" s="158">
        <f t="shared" si="34"/>
        <v>38359</v>
      </c>
      <c r="C385" s="159" t="str">
        <f t="shared" si="35"/>
        <v/>
      </c>
      <c r="D385" s="159" t="str">
        <f t="shared" si="36"/>
        <v/>
      </c>
      <c r="E385" s="159" t="str">
        <f t="shared" si="37"/>
        <v/>
      </c>
      <c r="F385" s="159" t="str">
        <f t="shared" si="38"/>
        <v/>
      </c>
      <c r="G385" s="137"/>
      <c r="H385" s="137"/>
      <c r="I385" s="137"/>
      <c r="J385" s="137"/>
      <c r="K385" s="160"/>
      <c r="L385" s="160"/>
      <c r="M385" s="137"/>
      <c r="N385" s="138"/>
      <c r="O385" s="138"/>
      <c r="P385" s="138"/>
      <c r="Q385" s="138"/>
      <c r="R385" s="138"/>
      <c r="S385" s="138"/>
      <c r="T385" s="138"/>
      <c r="U385" s="138"/>
      <c r="V385" s="150" t="e">
        <f t="shared" si="33"/>
        <v>#N/A</v>
      </c>
      <c r="W385" s="150" t="e">
        <f t="shared" si="33"/>
        <v>#N/A</v>
      </c>
      <c r="X385" s="150" t="e">
        <f t="shared" si="33"/>
        <v>#N/A</v>
      </c>
      <c r="Y385" s="150" t="e">
        <f t="shared" si="32"/>
        <v>#N/A</v>
      </c>
    </row>
    <row r="386" spans="1:25">
      <c r="A386" s="134"/>
      <c r="B386" s="158">
        <f t="shared" si="34"/>
        <v>38360</v>
      </c>
      <c r="C386" s="159" t="str">
        <f t="shared" si="35"/>
        <v/>
      </c>
      <c r="D386" s="159" t="str">
        <f t="shared" si="36"/>
        <v/>
      </c>
      <c r="E386" s="159" t="str">
        <f t="shared" si="37"/>
        <v/>
      </c>
      <c r="F386" s="159" t="str">
        <f t="shared" si="38"/>
        <v/>
      </c>
      <c r="G386" s="137"/>
      <c r="H386" s="137"/>
      <c r="I386" s="137"/>
      <c r="J386" s="137"/>
      <c r="K386" s="160"/>
      <c r="L386" s="160"/>
      <c r="M386" s="137"/>
      <c r="N386" s="138"/>
      <c r="O386" s="138"/>
      <c r="P386" s="138"/>
      <c r="Q386" s="138"/>
      <c r="R386" s="138"/>
      <c r="S386" s="138"/>
      <c r="T386" s="138"/>
      <c r="U386" s="138"/>
      <c r="V386" s="150" t="e">
        <f t="shared" si="33"/>
        <v>#N/A</v>
      </c>
      <c r="W386" s="150" t="e">
        <f t="shared" si="33"/>
        <v>#N/A</v>
      </c>
      <c r="X386" s="150" t="e">
        <f t="shared" si="33"/>
        <v>#N/A</v>
      </c>
      <c r="Y386" s="150" t="e">
        <f t="shared" si="32"/>
        <v>#N/A</v>
      </c>
    </row>
    <row r="387" spans="1:25">
      <c r="A387" s="134"/>
      <c r="B387" s="158">
        <f t="shared" si="34"/>
        <v>38361</v>
      </c>
      <c r="C387" s="159" t="str">
        <f t="shared" si="35"/>
        <v/>
      </c>
      <c r="D387" s="159" t="str">
        <f t="shared" si="36"/>
        <v/>
      </c>
      <c r="E387" s="159" t="str">
        <f t="shared" si="37"/>
        <v/>
      </c>
      <c r="F387" s="159" t="str">
        <f t="shared" si="38"/>
        <v/>
      </c>
      <c r="G387" s="137"/>
      <c r="H387" s="137"/>
      <c r="I387" s="137"/>
      <c r="J387" s="137"/>
      <c r="K387" s="160"/>
      <c r="L387" s="160"/>
      <c r="M387" s="137"/>
      <c r="N387" s="138"/>
      <c r="O387" s="138"/>
      <c r="P387" s="138"/>
      <c r="Q387" s="138"/>
      <c r="R387" s="138"/>
      <c r="S387" s="138"/>
      <c r="T387" s="138"/>
      <c r="U387" s="138"/>
      <c r="V387" s="150" t="e">
        <f t="shared" si="33"/>
        <v>#N/A</v>
      </c>
      <c r="W387" s="150" t="e">
        <f t="shared" si="33"/>
        <v>#N/A</v>
      </c>
      <c r="X387" s="150" t="e">
        <f t="shared" si="33"/>
        <v>#N/A</v>
      </c>
      <c r="Y387" s="150" t="e">
        <f t="shared" si="32"/>
        <v>#N/A</v>
      </c>
    </row>
    <row r="388" spans="1:25">
      <c r="A388" s="134"/>
      <c r="B388" s="158">
        <f t="shared" si="34"/>
        <v>38362</v>
      </c>
      <c r="C388" s="159" t="str">
        <f t="shared" si="35"/>
        <v/>
      </c>
      <c r="D388" s="159" t="str">
        <f t="shared" si="36"/>
        <v/>
      </c>
      <c r="E388" s="159" t="str">
        <f t="shared" si="37"/>
        <v/>
      </c>
      <c r="F388" s="159" t="str">
        <f t="shared" si="38"/>
        <v/>
      </c>
      <c r="G388" s="137"/>
      <c r="H388" s="137"/>
      <c r="I388" s="137"/>
      <c r="J388" s="137"/>
      <c r="K388" s="160"/>
      <c r="L388" s="160"/>
      <c r="M388" s="137"/>
      <c r="N388" s="138"/>
      <c r="O388" s="138"/>
      <c r="P388" s="138"/>
      <c r="Q388" s="138"/>
      <c r="R388" s="138"/>
      <c r="S388" s="138"/>
      <c r="T388" s="138"/>
      <c r="U388" s="138"/>
      <c r="V388" s="150" t="e">
        <f t="shared" si="33"/>
        <v>#N/A</v>
      </c>
      <c r="W388" s="150" t="e">
        <f t="shared" si="33"/>
        <v>#N/A</v>
      </c>
      <c r="X388" s="150" t="e">
        <f t="shared" si="33"/>
        <v>#N/A</v>
      </c>
      <c r="Y388" s="150" t="e">
        <f t="shared" si="32"/>
        <v>#N/A</v>
      </c>
    </row>
    <row r="389" spans="1:25">
      <c r="A389" s="134"/>
      <c r="B389" s="158">
        <f t="shared" si="34"/>
        <v>38363</v>
      </c>
      <c r="C389" s="159" t="str">
        <f t="shared" si="35"/>
        <v/>
      </c>
      <c r="D389" s="159" t="str">
        <f t="shared" si="36"/>
        <v/>
      </c>
      <c r="E389" s="159" t="str">
        <f t="shared" si="37"/>
        <v/>
      </c>
      <c r="F389" s="159" t="str">
        <f t="shared" si="38"/>
        <v/>
      </c>
      <c r="G389" s="137"/>
      <c r="H389" s="137"/>
      <c r="I389" s="137"/>
      <c r="J389" s="137"/>
      <c r="K389" s="160"/>
      <c r="L389" s="160"/>
      <c r="M389" s="137"/>
      <c r="N389" s="138"/>
      <c r="O389" s="138"/>
      <c r="P389" s="138"/>
      <c r="Q389" s="138"/>
      <c r="R389" s="138"/>
      <c r="S389" s="138"/>
      <c r="T389" s="138"/>
      <c r="U389" s="138"/>
      <c r="V389" s="150" t="e">
        <f t="shared" si="33"/>
        <v>#N/A</v>
      </c>
      <c r="W389" s="150" t="e">
        <f t="shared" si="33"/>
        <v>#N/A</v>
      </c>
      <c r="X389" s="150" t="e">
        <f t="shared" si="33"/>
        <v>#N/A</v>
      </c>
      <c r="Y389" s="150" t="e">
        <f t="shared" si="32"/>
        <v>#N/A</v>
      </c>
    </row>
    <row r="390" spans="1:25">
      <c r="A390" s="134"/>
      <c r="B390" s="158">
        <f t="shared" si="34"/>
        <v>38364</v>
      </c>
      <c r="C390" s="159" t="str">
        <f t="shared" si="35"/>
        <v/>
      </c>
      <c r="D390" s="159" t="str">
        <f t="shared" si="36"/>
        <v/>
      </c>
      <c r="E390" s="159" t="str">
        <f t="shared" si="37"/>
        <v/>
      </c>
      <c r="F390" s="159" t="str">
        <f t="shared" si="38"/>
        <v/>
      </c>
      <c r="G390" s="137"/>
      <c r="H390" s="137"/>
      <c r="I390" s="137"/>
      <c r="J390" s="137"/>
      <c r="K390" s="160"/>
      <c r="L390" s="160"/>
      <c r="M390" s="137"/>
      <c r="N390" s="138"/>
      <c r="O390" s="138"/>
      <c r="P390" s="138"/>
      <c r="Q390" s="138"/>
      <c r="R390" s="138"/>
      <c r="S390" s="138"/>
      <c r="T390" s="138"/>
      <c r="U390" s="138"/>
      <c r="V390" s="150" t="e">
        <f t="shared" si="33"/>
        <v>#N/A</v>
      </c>
      <c r="W390" s="150" t="e">
        <f t="shared" si="33"/>
        <v>#N/A</v>
      </c>
      <c r="X390" s="150" t="e">
        <f t="shared" si="33"/>
        <v>#N/A</v>
      </c>
      <c r="Y390" s="150" t="e">
        <f t="shared" si="32"/>
        <v>#N/A</v>
      </c>
    </row>
    <row r="391" spans="1:25">
      <c r="A391" s="134"/>
      <c r="B391" s="158">
        <f t="shared" si="34"/>
        <v>38365</v>
      </c>
      <c r="C391" s="159" t="str">
        <f t="shared" si="35"/>
        <v/>
      </c>
      <c r="D391" s="159" t="str">
        <f t="shared" si="36"/>
        <v/>
      </c>
      <c r="E391" s="159" t="str">
        <f t="shared" si="37"/>
        <v/>
      </c>
      <c r="F391" s="159" t="str">
        <f t="shared" si="38"/>
        <v/>
      </c>
      <c r="G391" s="137"/>
      <c r="H391" s="137"/>
      <c r="I391" s="137"/>
      <c r="J391" s="137"/>
      <c r="K391" s="160"/>
      <c r="L391" s="160"/>
      <c r="M391" s="137"/>
      <c r="N391" s="138"/>
      <c r="O391" s="138"/>
      <c r="P391" s="138"/>
      <c r="Q391" s="138"/>
      <c r="R391" s="138"/>
      <c r="S391" s="138"/>
      <c r="T391" s="138"/>
      <c r="U391" s="138"/>
      <c r="V391" s="150" t="e">
        <f t="shared" si="33"/>
        <v>#N/A</v>
      </c>
      <c r="W391" s="150" t="e">
        <f t="shared" si="33"/>
        <v>#N/A</v>
      </c>
      <c r="X391" s="150" t="e">
        <f t="shared" si="33"/>
        <v>#N/A</v>
      </c>
      <c r="Y391" s="150" t="e">
        <f t="shared" si="32"/>
        <v>#N/A</v>
      </c>
    </row>
    <row r="392" spans="1:25">
      <c r="A392" s="134"/>
      <c r="B392" s="158">
        <f t="shared" si="34"/>
        <v>38366</v>
      </c>
      <c r="C392" s="159" t="str">
        <f t="shared" si="35"/>
        <v/>
      </c>
      <c r="D392" s="159" t="str">
        <f t="shared" si="36"/>
        <v/>
      </c>
      <c r="E392" s="159" t="str">
        <f t="shared" si="37"/>
        <v/>
      </c>
      <c r="F392" s="159" t="str">
        <f t="shared" si="38"/>
        <v/>
      </c>
      <c r="G392" s="137"/>
      <c r="H392" s="137"/>
      <c r="I392" s="137"/>
      <c r="J392" s="137"/>
      <c r="K392" s="160"/>
      <c r="L392" s="160"/>
      <c r="M392" s="137"/>
      <c r="N392" s="138"/>
      <c r="O392" s="138"/>
      <c r="P392" s="138"/>
      <c r="Q392" s="138"/>
      <c r="R392" s="138"/>
      <c r="S392" s="138"/>
      <c r="T392" s="138"/>
      <c r="U392" s="138"/>
      <c r="V392" s="150" t="e">
        <f t="shared" si="33"/>
        <v>#N/A</v>
      </c>
      <c r="W392" s="150" t="e">
        <f t="shared" si="33"/>
        <v>#N/A</v>
      </c>
      <c r="X392" s="150" t="e">
        <f t="shared" si="33"/>
        <v>#N/A</v>
      </c>
      <c r="Y392" s="150" t="e">
        <f t="shared" si="32"/>
        <v>#N/A</v>
      </c>
    </row>
    <row r="393" spans="1:25">
      <c r="A393" s="134"/>
      <c r="B393" s="158">
        <f t="shared" si="34"/>
        <v>38367</v>
      </c>
      <c r="C393" s="159" t="str">
        <f t="shared" si="35"/>
        <v/>
      </c>
      <c r="D393" s="159" t="str">
        <f t="shared" si="36"/>
        <v/>
      </c>
      <c r="E393" s="159" t="str">
        <f t="shared" si="37"/>
        <v/>
      </c>
      <c r="F393" s="159" t="str">
        <f t="shared" si="38"/>
        <v/>
      </c>
      <c r="G393" s="137"/>
      <c r="H393" s="137"/>
      <c r="I393" s="137"/>
      <c r="J393" s="137"/>
      <c r="K393" s="160"/>
      <c r="L393" s="160"/>
      <c r="M393" s="137"/>
      <c r="N393" s="138"/>
      <c r="O393" s="138"/>
      <c r="P393" s="138"/>
      <c r="Q393" s="138"/>
      <c r="R393" s="138"/>
      <c r="S393" s="138"/>
      <c r="T393" s="138"/>
      <c r="U393" s="138"/>
      <c r="V393" s="150" t="e">
        <f t="shared" si="33"/>
        <v>#N/A</v>
      </c>
      <c r="W393" s="150" t="e">
        <f t="shared" si="33"/>
        <v>#N/A</v>
      </c>
      <c r="X393" s="150" t="e">
        <f t="shared" si="33"/>
        <v>#N/A</v>
      </c>
      <c r="Y393" s="150" t="e">
        <f t="shared" si="32"/>
        <v>#N/A</v>
      </c>
    </row>
    <row r="394" spans="1:25">
      <c r="A394" s="134"/>
      <c r="B394" s="158">
        <f t="shared" si="34"/>
        <v>38368</v>
      </c>
      <c r="C394" s="159" t="str">
        <f t="shared" si="35"/>
        <v/>
      </c>
      <c r="D394" s="159" t="str">
        <f t="shared" si="36"/>
        <v/>
      </c>
      <c r="E394" s="159" t="str">
        <f t="shared" si="37"/>
        <v/>
      </c>
      <c r="F394" s="159" t="str">
        <f t="shared" si="38"/>
        <v/>
      </c>
      <c r="G394" s="137"/>
      <c r="H394" s="137"/>
      <c r="I394" s="137"/>
      <c r="J394" s="137"/>
      <c r="K394" s="160"/>
      <c r="L394" s="160"/>
      <c r="M394" s="137"/>
      <c r="N394" s="138"/>
      <c r="O394" s="138"/>
      <c r="P394" s="138"/>
      <c r="Q394" s="138"/>
      <c r="R394" s="138"/>
      <c r="S394" s="138"/>
      <c r="T394" s="138"/>
      <c r="U394" s="138"/>
      <c r="V394" s="150" t="e">
        <f t="shared" si="33"/>
        <v>#N/A</v>
      </c>
      <c r="W394" s="150" t="e">
        <f t="shared" si="33"/>
        <v>#N/A</v>
      </c>
      <c r="X394" s="150" t="e">
        <f t="shared" si="33"/>
        <v>#N/A</v>
      </c>
      <c r="Y394" s="150" t="e">
        <f t="shared" si="32"/>
        <v>#N/A</v>
      </c>
    </row>
    <row r="395" spans="1:25">
      <c r="A395" s="134"/>
      <c r="B395" s="158">
        <f t="shared" si="34"/>
        <v>38369</v>
      </c>
      <c r="C395" s="159" t="str">
        <f t="shared" si="35"/>
        <v/>
      </c>
      <c r="D395" s="159" t="str">
        <f t="shared" si="36"/>
        <v/>
      </c>
      <c r="E395" s="159" t="str">
        <f t="shared" si="37"/>
        <v/>
      </c>
      <c r="F395" s="159" t="str">
        <f t="shared" si="38"/>
        <v/>
      </c>
      <c r="G395" s="137"/>
      <c r="H395" s="137"/>
      <c r="I395" s="137"/>
      <c r="J395" s="137"/>
      <c r="K395" s="160"/>
      <c r="L395" s="160"/>
      <c r="M395" s="137"/>
      <c r="N395" s="138"/>
      <c r="O395" s="138"/>
      <c r="P395" s="138"/>
      <c r="Q395" s="138"/>
      <c r="R395" s="138"/>
      <c r="S395" s="138"/>
      <c r="T395" s="138"/>
      <c r="U395" s="138"/>
      <c r="V395" s="150" t="e">
        <f t="shared" si="33"/>
        <v>#N/A</v>
      </c>
      <c r="W395" s="150" t="e">
        <f t="shared" si="33"/>
        <v>#N/A</v>
      </c>
      <c r="X395" s="150" t="e">
        <f t="shared" si="33"/>
        <v>#N/A</v>
      </c>
      <c r="Y395" s="150" t="e">
        <f t="shared" si="32"/>
        <v>#N/A</v>
      </c>
    </row>
    <row r="396" spans="1:25">
      <c r="A396" s="134"/>
      <c r="B396" s="158">
        <f t="shared" si="34"/>
        <v>38370</v>
      </c>
      <c r="C396" s="159" t="str">
        <f t="shared" si="35"/>
        <v/>
      </c>
      <c r="D396" s="159" t="str">
        <f t="shared" si="36"/>
        <v/>
      </c>
      <c r="E396" s="159" t="str">
        <f t="shared" si="37"/>
        <v/>
      </c>
      <c r="F396" s="159" t="str">
        <f t="shared" si="38"/>
        <v/>
      </c>
      <c r="G396" s="137"/>
      <c r="H396" s="137"/>
      <c r="I396" s="137"/>
      <c r="J396" s="137"/>
      <c r="K396" s="160"/>
      <c r="L396" s="160"/>
      <c r="M396" s="137"/>
      <c r="N396" s="138"/>
      <c r="O396" s="138"/>
      <c r="P396" s="138"/>
      <c r="Q396" s="138"/>
      <c r="R396" s="138"/>
      <c r="S396" s="138"/>
      <c r="T396" s="138"/>
      <c r="U396" s="138"/>
      <c r="V396" s="150" t="e">
        <f t="shared" si="33"/>
        <v>#N/A</v>
      </c>
      <c r="W396" s="150" t="e">
        <f t="shared" si="33"/>
        <v>#N/A</v>
      </c>
      <c r="X396" s="150" t="e">
        <f t="shared" si="33"/>
        <v>#N/A</v>
      </c>
      <c r="Y396" s="150" t="e">
        <f t="shared" si="33"/>
        <v>#N/A</v>
      </c>
    </row>
    <row r="397" spans="1:25">
      <c r="A397" s="134"/>
      <c r="B397" s="158">
        <f t="shared" si="34"/>
        <v>38371</v>
      </c>
      <c r="C397" s="159" t="str">
        <f t="shared" si="35"/>
        <v/>
      </c>
      <c r="D397" s="159" t="str">
        <f t="shared" si="36"/>
        <v/>
      </c>
      <c r="E397" s="159" t="str">
        <f t="shared" si="37"/>
        <v/>
      </c>
      <c r="F397" s="159" t="str">
        <f t="shared" si="38"/>
        <v/>
      </c>
      <c r="G397" s="137"/>
      <c r="H397" s="137"/>
      <c r="I397" s="137"/>
      <c r="J397" s="137"/>
      <c r="K397" s="160"/>
      <c r="L397" s="160"/>
      <c r="M397" s="137"/>
      <c r="N397" s="138"/>
      <c r="O397" s="138"/>
      <c r="P397" s="138"/>
      <c r="Q397" s="138"/>
      <c r="R397" s="138"/>
      <c r="S397" s="138"/>
      <c r="T397" s="138"/>
      <c r="U397" s="138"/>
      <c r="V397" s="150" t="e">
        <f t="shared" ref="V397:Y460" si="39">IF(C397="",#N/A,C397)</f>
        <v>#N/A</v>
      </c>
      <c r="W397" s="150" t="e">
        <f t="shared" si="39"/>
        <v>#N/A</v>
      </c>
      <c r="X397" s="150" t="e">
        <f t="shared" si="39"/>
        <v>#N/A</v>
      </c>
      <c r="Y397" s="150" t="e">
        <f t="shared" si="39"/>
        <v>#N/A</v>
      </c>
    </row>
    <row r="398" spans="1:25">
      <c r="A398" s="134"/>
      <c r="B398" s="158">
        <f t="shared" si="34"/>
        <v>38372</v>
      </c>
      <c r="C398" s="159" t="str">
        <f t="shared" si="35"/>
        <v/>
      </c>
      <c r="D398" s="159" t="str">
        <f t="shared" si="36"/>
        <v/>
      </c>
      <c r="E398" s="159" t="str">
        <f t="shared" si="37"/>
        <v/>
      </c>
      <c r="F398" s="159" t="str">
        <f t="shared" si="38"/>
        <v/>
      </c>
      <c r="G398" s="137"/>
      <c r="H398" s="137"/>
      <c r="I398" s="137"/>
      <c r="J398" s="137"/>
      <c r="K398" s="160"/>
      <c r="L398" s="160"/>
      <c r="M398" s="137"/>
      <c r="N398" s="138"/>
      <c r="O398" s="138"/>
      <c r="P398" s="138"/>
      <c r="Q398" s="138"/>
      <c r="R398" s="138"/>
      <c r="S398" s="138"/>
      <c r="T398" s="138"/>
      <c r="U398" s="138"/>
      <c r="V398" s="150" t="e">
        <f t="shared" si="39"/>
        <v>#N/A</v>
      </c>
      <c r="W398" s="150" t="e">
        <f t="shared" si="39"/>
        <v>#N/A</v>
      </c>
      <c r="X398" s="150" t="e">
        <f t="shared" si="39"/>
        <v>#N/A</v>
      </c>
      <c r="Y398" s="150" t="e">
        <f t="shared" si="39"/>
        <v>#N/A</v>
      </c>
    </row>
    <row r="399" spans="1:25">
      <c r="A399" s="134"/>
      <c r="B399" s="158">
        <f t="shared" ref="B399:B462" si="40">B398+1</f>
        <v>38373</v>
      </c>
      <c r="C399" s="159" t="str">
        <f t="shared" ref="C399:C462" si="41">IF(OR(B399&lt;B$6,B399&gt;B$10),"",G$8)</f>
        <v/>
      </c>
      <c r="D399" s="159" t="str">
        <f t="shared" ref="D399:D462" si="42">IF(B399=B$6,W$6,IF(B399&gt;B$10,"",IF(B399&gt;=B$9,D398+X$9,IF(B399&gt;B$8,D398+X$8,IF(B399&gt;B$7,D398+X$7,IF(B399&gt;B$6,W$6,""))))))</f>
        <v/>
      </c>
      <c r="E399" s="159" t="str">
        <f t="shared" ref="E399:E462" si="43">IF($B399=$B$6,L$6,IF($B399&gt;$B$10,"",IF($B399&gt;=$B$9,E398+V$9,IF($B399&gt;$B$8,E398+V$8,IF($B399&gt;$B$7,E398+V$7,IF($B399&gt;$B$6,L$6,""))))))</f>
        <v/>
      </c>
      <c r="F399" s="159" t="str">
        <f t="shared" ref="F399:F462" si="44">IF(C399="","",C399-E399)</f>
        <v/>
      </c>
      <c r="G399" s="137"/>
      <c r="H399" s="137"/>
      <c r="I399" s="137"/>
      <c r="J399" s="137"/>
      <c r="K399" s="160"/>
      <c r="L399" s="160"/>
      <c r="M399" s="137"/>
      <c r="N399" s="138"/>
      <c r="O399" s="138"/>
      <c r="P399" s="138"/>
      <c r="Q399" s="138"/>
      <c r="R399" s="138"/>
      <c r="S399" s="138"/>
      <c r="T399" s="138"/>
      <c r="U399" s="138"/>
      <c r="V399" s="150" t="e">
        <f t="shared" si="39"/>
        <v>#N/A</v>
      </c>
      <c r="W399" s="150" t="e">
        <f t="shared" si="39"/>
        <v>#N/A</v>
      </c>
      <c r="X399" s="150" t="e">
        <f t="shared" si="39"/>
        <v>#N/A</v>
      </c>
      <c r="Y399" s="150" t="e">
        <f t="shared" si="39"/>
        <v>#N/A</v>
      </c>
    </row>
    <row r="400" spans="1:25">
      <c r="A400" s="134"/>
      <c r="B400" s="158">
        <f t="shared" si="40"/>
        <v>38374</v>
      </c>
      <c r="C400" s="159" t="str">
        <f t="shared" si="41"/>
        <v/>
      </c>
      <c r="D400" s="159" t="str">
        <f t="shared" si="42"/>
        <v/>
      </c>
      <c r="E400" s="159" t="str">
        <f t="shared" si="43"/>
        <v/>
      </c>
      <c r="F400" s="159" t="str">
        <f t="shared" si="44"/>
        <v/>
      </c>
      <c r="G400" s="137"/>
      <c r="H400" s="137"/>
      <c r="I400" s="137"/>
      <c r="J400" s="137"/>
      <c r="K400" s="160"/>
      <c r="L400" s="160"/>
      <c r="M400" s="137"/>
      <c r="N400" s="138"/>
      <c r="O400" s="138"/>
      <c r="P400" s="138"/>
      <c r="Q400" s="138"/>
      <c r="R400" s="138"/>
      <c r="S400" s="138"/>
      <c r="T400" s="138"/>
      <c r="U400" s="138"/>
      <c r="V400" s="150" t="e">
        <f t="shared" si="39"/>
        <v>#N/A</v>
      </c>
      <c r="W400" s="150" t="e">
        <f t="shared" si="39"/>
        <v>#N/A</v>
      </c>
      <c r="X400" s="150" t="e">
        <f t="shared" si="39"/>
        <v>#N/A</v>
      </c>
      <c r="Y400" s="150" t="e">
        <f t="shared" si="39"/>
        <v>#N/A</v>
      </c>
    </row>
    <row r="401" spans="1:25">
      <c r="A401" s="134"/>
      <c r="B401" s="158">
        <f t="shared" si="40"/>
        <v>38375</v>
      </c>
      <c r="C401" s="159" t="str">
        <f t="shared" si="41"/>
        <v/>
      </c>
      <c r="D401" s="159" t="str">
        <f t="shared" si="42"/>
        <v/>
      </c>
      <c r="E401" s="159" t="str">
        <f t="shared" si="43"/>
        <v/>
      </c>
      <c r="F401" s="159" t="str">
        <f t="shared" si="44"/>
        <v/>
      </c>
      <c r="G401" s="137"/>
      <c r="H401" s="137"/>
      <c r="I401" s="137"/>
      <c r="J401" s="137"/>
      <c r="K401" s="160"/>
      <c r="L401" s="160"/>
      <c r="M401" s="137"/>
      <c r="N401" s="138"/>
      <c r="O401" s="138"/>
      <c r="P401" s="138"/>
      <c r="Q401" s="138"/>
      <c r="R401" s="138"/>
      <c r="S401" s="138"/>
      <c r="T401" s="138"/>
      <c r="U401" s="138"/>
      <c r="V401" s="150" t="e">
        <f t="shared" si="39"/>
        <v>#N/A</v>
      </c>
      <c r="W401" s="150" t="e">
        <f t="shared" si="39"/>
        <v>#N/A</v>
      </c>
      <c r="X401" s="150" t="e">
        <f t="shared" si="39"/>
        <v>#N/A</v>
      </c>
      <c r="Y401" s="150" t="e">
        <f t="shared" si="39"/>
        <v>#N/A</v>
      </c>
    </row>
    <row r="402" spans="1:25">
      <c r="A402" s="134"/>
      <c r="B402" s="158">
        <f t="shared" si="40"/>
        <v>38376</v>
      </c>
      <c r="C402" s="159" t="str">
        <f t="shared" si="41"/>
        <v/>
      </c>
      <c r="D402" s="159" t="str">
        <f t="shared" si="42"/>
        <v/>
      </c>
      <c r="E402" s="159" t="str">
        <f t="shared" si="43"/>
        <v/>
      </c>
      <c r="F402" s="159" t="str">
        <f t="shared" si="44"/>
        <v/>
      </c>
      <c r="G402" s="137"/>
      <c r="H402" s="137"/>
      <c r="I402" s="137"/>
      <c r="J402" s="137"/>
      <c r="K402" s="160"/>
      <c r="L402" s="160"/>
      <c r="M402" s="137"/>
      <c r="N402" s="138"/>
      <c r="O402" s="138"/>
      <c r="P402" s="138"/>
      <c r="Q402" s="138"/>
      <c r="R402" s="138"/>
      <c r="S402" s="138"/>
      <c r="T402" s="138"/>
      <c r="U402" s="138"/>
      <c r="V402" s="150" t="e">
        <f t="shared" si="39"/>
        <v>#N/A</v>
      </c>
      <c r="W402" s="150" t="e">
        <f t="shared" si="39"/>
        <v>#N/A</v>
      </c>
      <c r="X402" s="150" t="e">
        <f t="shared" si="39"/>
        <v>#N/A</v>
      </c>
      <c r="Y402" s="150" t="e">
        <f t="shared" si="39"/>
        <v>#N/A</v>
      </c>
    </row>
    <row r="403" spans="1:25">
      <c r="A403" s="134"/>
      <c r="B403" s="158">
        <f t="shared" si="40"/>
        <v>38377</v>
      </c>
      <c r="C403" s="159" t="str">
        <f t="shared" si="41"/>
        <v/>
      </c>
      <c r="D403" s="159" t="str">
        <f t="shared" si="42"/>
        <v/>
      </c>
      <c r="E403" s="159" t="str">
        <f t="shared" si="43"/>
        <v/>
      </c>
      <c r="F403" s="159" t="str">
        <f t="shared" si="44"/>
        <v/>
      </c>
      <c r="G403" s="137"/>
      <c r="H403" s="137"/>
      <c r="I403" s="137"/>
      <c r="J403" s="137"/>
      <c r="K403" s="160"/>
      <c r="L403" s="160"/>
      <c r="M403" s="137"/>
      <c r="N403" s="138"/>
      <c r="O403" s="138"/>
      <c r="P403" s="138"/>
      <c r="Q403" s="138"/>
      <c r="R403" s="138"/>
      <c r="S403" s="138"/>
      <c r="T403" s="138"/>
      <c r="U403" s="138"/>
      <c r="V403" s="150" t="e">
        <f t="shared" si="39"/>
        <v>#N/A</v>
      </c>
      <c r="W403" s="150" t="e">
        <f t="shared" si="39"/>
        <v>#N/A</v>
      </c>
      <c r="X403" s="150" t="e">
        <f t="shared" si="39"/>
        <v>#N/A</v>
      </c>
      <c r="Y403" s="150" t="e">
        <f t="shared" si="39"/>
        <v>#N/A</v>
      </c>
    </row>
    <row r="404" spans="1:25">
      <c r="A404" s="134"/>
      <c r="B404" s="158">
        <f t="shared" si="40"/>
        <v>38378</v>
      </c>
      <c r="C404" s="159" t="str">
        <f t="shared" si="41"/>
        <v/>
      </c>
      <c r="D404" s="159" t="str">
        <f t="shared" si="42"/>
        <v/>
      </c>
      <c r="E404" s="159" t="str">
        <f t="shared" si="43"/>
        <v/>
      </c>
      <c r="F404" s="159" t="str">
        <f t="shared" si="44"/>
        <v/>
      </c>
      <c r="G404" s="137"/>
      <c r="H404" s="137"/>
      <c r="I404" s="137"/>
      <c r="J404" s="137"/>
      <c r="K404" s="160"/>
      <c r="L404" s="160"/>
      <c r="M404" s="137"/>
      <c r="N404" s="138"/>
      <c r="O404" s="138"/>
      <c r="P404" s="138"/>
      <c r="Q404" s="138"/>
      <c r="R404" s="138"/>
      <c r="S404" s="138"/>
      <c r="T404" s="138"/>
      <c r="U404" s="138"/>
      <c r="V404" s="150" t="e">
        <f t="shared" si="39"/>
        <v>#N/A</v>
      </c>
      <c r="W404" s="150" t="e">
        <f t="shared" si="39"/>
        <v>#N/A</v>
      </c>
      <c r="X404" s="150" t="e">
        <f t="shared" si="39"/>
        <v>#N/A</v>
      </c>
      <c r="Y404" s="150" t="e">
        <f t="shared" si="39"/>
        <v>#N/A</v>
      </c>
    </row>
    <row r="405" spans="1:25">
      <c r="A405" s="134"/>
      <c r="B405" s="158">
        <f t="shared" si="40"/>
        <v>38379</v>
      </c>
      <c r="C405" s="159" t="str">
        <f t="shared" si="41"/>
        <v/>
      </c>
      <c r="D405" s="159" t="str">
        <f t="shared" si="42"/>
        <v/>
      </c>
      <c r="E405" s="159" t="str">
        <f t="shared" si="43"/>
        <v/>
      </c>
      <c r="F405" s="159" t="str">
        <f t="shared" si="44"/>
        <v/>
      </c>
      <c r="G405" s="137"/>
      <c r="H405" s="137"/>
      <c r="I405" s="137"/>
      <c r="J405" s="137"/>
      <c r="K405" s="160"/>
      <c r="L405" s="160"/>
      <c r="M405" s="137"/>
      <c r="N405" s="138"/>
      <c r="O405" s="138"/>
      <c r="P405" s="138"/>
      <c r="Q405" s="138"/>
      <c r="R405" s="138"/>
      <c r="S405" s="138"/>
      <c r="T405" s="138"/>
      <c r="U405" s="138"/>
      <c r="V405" s="150" t="e">
        <f t="shared" si="39"/>
        <v>#N/A</v>
      </c>
      <c r="W405" s="150" t="e">
        <f t="shared" si="39"/>
        <v>#N/A</v>
      </c>
      <c r="X405" s="150" t="e">
        <f t="shared" si="39"/>
        <v>#N/A</v>
      </c>
      <c r="Y405" s="150" t="e">
        <f t="shared" si="39"/>
        <v>#N/A</v>
      </c>
    </row>
    <row r="406" spans="1:25">
      <c r="A406" s="134"/>
      <c r="B406" s="158">
        <f t="shared" si="40"/>
        <v>38380</v>
      </c>
      <c r="C406" s="159" t="str">
        <f t="shared" si="41"/>
        <v/>
      </c>
      <c r="D406" s="159" t="str">
        <f t="shared" si="42"/>
        <v/>
      </c>
      <c r="E406" s="159" t="str">
        <f t="shared" si="43"/>
        <v/>
      </c>
      <c r="F406" s="159" t="str">
        <f t="shared" si="44"/>
        <v/>
      </c>
      <c r="G406" s="137"/>
      <c r="H406" s="137"/>
      <c r="I406" s="137"/>
      <c r="J406" s="137"/>
      <c r="K406" s="160"/>
      <c r="L406" s="160"/>
      <c r="M406" s="137"/>
      <c r="N406" s="138"/>
      <c r="O406" s="138"/>
      <c r="P406" s="138"/>
      <c r="Q406" s="138"/>
      <c r="R406" s="138"/>
      <c r="S406" s="138"/>
      <c r="T406" s="138"/>
      <c r="U406" s="138"/>
      <c r="V406" s="150" t="e">
        <f t="shared" si="39"/>
        <v>#N/A</v>
      </c>
      <c r="W406" s="150" t="e">
        <f t="shared" si="39"/>
        <v>#N/A</v>
      </c>
      <c r="X406" s="150" t="e">
        <f t="shared" si="39"/>
        <v>#N/A</v>
      </c>
      <c r="Y406" s="150" t="e">
        <f t="shared" si="39"/>
        <v>#N/A</v>
      </c>
    </row>
    <row r="407" spans="1:25">
      <c r="A407" s="134"/>
      <c r="B407" s="158">
        <f t="shared" si="40"/>
        <v>38381</v>
      </c>
      <c r="C407" s="159" t="str">
        <f t="shared" si="41"/>
        <v/>
      </c>
      <c r="D407" s="159" t="str">
        <f t="shared" si="42"/>
        <v/>
      </c>
      <c r="E407" s="159" t="str">
        <f t="shared" si="43"/>
        <v/>
      </c>
      <c r="F407" s="159" t="str">
        <f t="shared" si="44"/>
        <v/>
      </c>
      <c r="G407" s="137"/>
      <c r="H407" s="137"/>
      <c r="I407" s="137"/>
      <c r="J407" s="137"/>
      <c r="K407" s="160"/>
      <c r="L407" s="160"/>
      <c r="M407" s="137"/>
      <c r="N407" s="138"/>
      <c r="O407" s="138"/>
      <c r="P407" s="138"/>
      <c r="Q407" s="138"/>
      <c r="R407" s="138"/>
      <c r="S407" s="138"/>
      <c r="T407" s="138"/>
      <c r="U407" s="138"/>
      <c r="V407" s="150" t="e">
        <f t="shared" si="39"/>
        <v>#N/A</v>
      </c>
      <c r="W407" s="150" t="e">
        <f t="shared" si="39"/>
        <v>#N/A</v>
      </c>
      <c r="X407" s="150" t="e">
        <f t="shared" si="39"/>
        <v>#N/A</v>
      </c>
      <c r="Y407" s="150" t="e">
        <f t="shared" si="39"/>
        <v>#N/A</v>
      </c>
    </row>
    <row r="408" spans="1:25">
      <c r="A408" s="134"/>
      <c r="B408" s="158">
        <f t="shared" si="40"/>
        <v>38382</v>
      </c>
      <c r="C408" s="159" t="str">
        <f t="shared" si="41"/>
        <v/>
      </c>
      <c r="D408" s="159" t="str">
        <f t="shared" si="42"/>
        <v/>
      </c>
      <c r="E408" s="159" t="str">
        <f t="shared" si="43"/>
        <v/>
      </c>
      <c r="F408" s="159" t="str">
        <f t="shared" si="44"/>
        <v/>
      </c>
      <c r="G408" s="137"/>
      <c r="H408" s="137"/>
      <c r="I408" s="137"/>
      <c r="J408" s="137"/>
      <c r="K408" s="160"/>
      <c r="L408" s="160"/>
      <c r="M408" s="137"/>
      <c r="N408" s="138"/>
      <c r="O408" s="138"/>
      <c r="P408" s="138"/>
      <c r="Q408" s="138"/>
      <c r="R408" s="138"/>
      <c r="S408" s="138"/>
      <c r="T408" s="138"/>
      <c r="U408" s="138"/>
      <c r="V408" s="150" t="e">
        <f t="shared" si="39"/>
        <v>#N/A</v>
      </c>
      <c r="W408" s="150" t="e">
        <f t="shared" si="39"/>
        <v>#N/A</v>
      </c>
      <c r="X408" s="150" t="e">
        <f t="shared" si="39"/>
        <v>#N/A</v>
      </c>
      <c r="Y408" s="150" t="e">
        <f t="shared" si="39"/>
        <v>#N/A</v>
      </c>
    </row>
    <row r="409" spans="1:25">
      <c r="A409" s="134"/>
      <c r="B409" s="158">
        <f t="shared" si="40"/>
        <v>38383</v>
      </c>
      <c r="C409" s="159" t="str">
        <f t="shared" si="41"/>
        <v/>
      </c>
      <c r="D409" s="159" t="str">
        <f t="shared" si="42"/>
        <v/>
      </c>
      <c r="E409" s="159" t="str">
        <f t="shared" si="43"/>
        <v/>
      </c>
      <c r="F409" s="159" t="str">
        <f t="shared" si="44"/>
        <v/>
      </c>
      <c r="G409" s="137"/>
      <c r="H409" s="137"/>
      <c r="I409" s="137"/>
      <c r="J409" s="137"/>
      <c r="K409" s="160"/>
      <c r="L409" s="160"/>
      <c r="M409" s="137"/>
      <c r="N409" s="138"/>
      <c r="O409" s="138"/>
      <c r="P409" s="138"/>
      <c r="Q409" s="138"/>
      <c r="R409" s="138"/>
      <c r="S409" s="138"/>
      <c r="T409" s="138"/>
      <c r="U409" s="138"/>
      <c r="V409" s="150" t="e">
        <f t="shared" si="39"/>
        <v>#N/A</v>
      </c>
      <c r="W409" s="150" t="e">
        <f t="shared" si="39"/>
        <v>#N/A</v>
      </c>
      <c r="X409" s="150" t="e">
        <f t="shared" si="39"/>
        <v>#N/A</v>
      </c>
      <c r="Y409" s="150" t="e">
        <f t="shared" si="39"/>
        <v>#N/A</v>
      </c>
    </row>
    <row r="410" spans="1:25">
      <c r="A410" s="134"/>
      <c r="B410" s="158">
        <f t="shared" si="40"/>
        <v>38384</v>
      </c>
      <c r="C410" s="159" t="str">
        <f t="shared" si="41"/>
        <v/>
      </c>
      <c r="D410" s="159" t="str">
        <f t="shared" si="42"/>
        <v/>
      </c>
      <c r="E410" s="159" t="str">
        <f t="shared" si="43"/>
        <v/>
      </c>
      <c r="F410" s="159" t="str">
        <f t="shared" si="44"/>
        <v/>
      </c>
      <c r="G410" s="137"/>
      <c r="H410" s="137"/>
      <c r="I410" s="137"/>
      <c r="J410" s="137"/>
      <c r="K410" s="160"/>
      <c r="L410" s="160"/>
      <c r="M410" s="137"/>
      <c r="N410" s="138"/>
      <c r="O410" s="138"/>
      <c r="P410" s="138"/>
      <c r="Q410" s="138"/>
      <c r="R410" s="138"/>
      <c r="S410" s="138"/>
      <c r="T410" s="138"/>
      <c r="U410" s="138"/>
      <c r="V410" s="150" t="e">
        <f t="shared" si="39"/>
        <v>#N/A</v>
      </c>
      <c r="W410" s="150" t="e">
        <f t="shared" si="39"/>
        <v>#N/A</v>
      </c>
      <c r="X410" s="150" t="e">
        <f t="shared" si="39"/>
        <v>#N/A</v>
      </c>
      <c r="Y410" s="150" t="e">
        <f t="shared" si="39"/>
        <v>#N/A</v>
      </c>
    </row>
    <row r="411" spans="1:25">
      <c r="A411" s="134"/>
      <c r="B411" s="158">
        <f t="shared" si="40"/>
        <v>38385</v>
      </c>
      <c r="C411" s="159" t="str">
        <f t="shared" si="41"/>
        <v/>
      </c>
      <c r="D411" s="159" t="str">
        <f t="shared" si="42"/>
        <v/>
      </c>
      <c r="E411" s="159" t="str">
        <f t="shared" si="43"/>
        <v/>
      </c>
      <c r="F411" s="159" t="str">
        <f t="shared" si="44"/>
        <v/>
      </c>
      <c r="G411" s="137"/>
      <c r="H411" s="137"/>
      <c r="I411" s="137"/>
      <c r="J411" s="137"/>
      <c r="K411" s="160"/>
      <c r="L411" s="160"/>
      <c r="M411" s="137"/>
      <c r="N411" s="138"/>
      <c r="O411" s="138"/>
      <c r="P411" s="138"/>
      <c r="Q411" s="138"/>
      <c r="R411" s="138"/>
      <c r="S411" s="138"/>
      <c r="T411" s="138"/>
      <c r="U411" s="138"/>
      <c r="V411" s="150" t="e">
        <f t="shared" si="39"/>
        <v>#N/A</v>
      </c>
      <c r="W411" s="150" t="e">
        <f t="shared" si="39"/>
        <v>#N/A</v>
      </c>
      <c r="X411" s="150" t="e">
        <f t="shared" si="39"/>
        <v>#N/A</v>
      </c>
      <c r="Y411" s="150" t="e">
        <f t="shared" si="39"/>
        <v>#N/A</v>
      </c>
    </row>
    <row r="412" spans="1:25">
      <c r="A412" s="134"/>
      <c r="B412" s="158">
        <f t="shared" si="40"/>
        <v>38386</v>
      </c>
      <c r="C412" s="159" t="str">
        <f t="shared" si="41"/>
        <v/>
      </c>
      <c r="D412" s="159" t="str">
        <f t="shared" si="42"/>
        <v/>
      </c>
      <c r="E412" s="159" t="str">
        <f t="shared" si="43"/>
        <v/>
      </c>
      <c r="F412" s="159" t="str">
        <f t="shared" si="44"/>
        <v/>
      </c>
      <c r="G412" s="137"/>
      <c r="H412" s="137"/>
      <c r="I412" s="137"/>
      <c r="J412" s="137"/>
      <c r="K412" s="160"/>
      <c r="L412" s="160"/>
      <c r="M412" s="137"/>
      <c r="N412" s="138"/>
      <c r="O412" s="138"/>
      <c r="P412" s="138"/>
      <c r="Q412" s="138"/>
      <c r="R412" s="138"/>
      <c r="S412" s="138"/>
      <c r="T412" s="138"/>
      <c r="U412" s="138"/>
      <c r="V412" s="150" t="e">
        <f t="shared" si="39"/>
        <v>#N/A</v>
      </c>
      <c r="W412" s="150" t="e">
        <f t="shared" si="39"/>
        <v>#N/A</v>
      </c>
      <c r="X412" s="150" t="e">
        <f t="shared" si="39"/>
        <v>#N/A</v>
      </c>
      <c r="Y412" s="150" t="e">
        <f t="shared" si="39"/>
        <v>#N/A</v>
      </c>
    </row>
    <row r="413" spans="1:25">
      <c r="A413" s="134"/>
      <c r="B413" s="158">
        <f t="shared" si="40"/>
        <v>38387</v>
      </c>
      <c r="C413" s="159" t="str">
        <f t="shared" si="41"/>
        <v/>
      </c>
      <c r="D413" s="159" t="str">
        <f t="shared" si="42"/>
        <v/>
      </c>
      <c r="E413" s="159" t="str">
        <f t="shared" si="43"/>
        <v/>
      </c>
      <c r="F413" s="159" t="str">
        <f t="shared" si="44"/>
        <v/>
      </c>
      <c r="G413" s="137"/>
      <c r="H413" s="137"/>
      <c r="I413" s="137"/>
      <c r="J413" s="137"/>
      <c r="K413" s="160"/>
      <c r="L413" s="160"/>
      <c r="M413" s="137"/>
      <c r="N413" s="138"/>
      <c r="O413" s="138"/>
      <c r="P413" s="138"/>
      <c r="Q413" s="138"/>
      <c r="R413" s="138"/>
      <c r="S413" s="138"/>
      <c r="T413" s="138"/>
      <c r="U413" s="138"/>
      <c r="V413" s="150" t="e">
        <f t="shared" si="39"/>
        <v>#N/A</v>
      </c>
      <c r="W413" s="150" t="e">
        <f t="shared" si="39"/>
        <v>#N/A</v>
      </c>
      <c r="X413" s="150" t="e">
        <f t="shared" si="39"/>
        <v>#N/A</v>
      </c>
      <c r="Y413" s="150" t="e">
        <f t="shared" si="39"/>
        <v>#N/A</v>
      </c>
    </row>
    <row r="414" spans="1:25">
      <c r="A414" s="134"/>
      <c r="B414" s="158">
        <f t="shared" si="40"/>
        <v>38388</v>
      </c>
      <c r="C414" s="159" t="str">
        <f t="shared" si="41"/>
        <v/>
      </c>
      <c r="D414" s="159" t="str">
        <f t="shared" si="42"/>
        <v/>
      </c>
      <c r="E414" s="159" t="str">
        <f t="shared" si="43"/>
        <v/>
      </c>
      <c r="F414" s="159" t="str">
        <f t="shared" si="44"/>
        <v/>
      </c>
      <c r="G414" s="137"/>
      <c r="H414" s="137"/>
      <c r="I414" s="137"/>
      <c r="J414" s="137"/>
      <c r="K414" s="160"/>
      <c r="L414" s="160"/>
      <c r="M414" s="137"/>
      <c r="N414" s="138"/>
      <c r="O414" s="138"/>
      <c r="P414" s="138"/>
      <c r="Q414" s="138"/>
      <c r="R414" s="138"/>
      <c r="S414" s="138"/>
      <c r="T414" s="138"/>
      <c r="U414" s="138"/>
      <c r="V414" s="150" t="e">
        <f t="shared" si="39"/>
        <v>#N/A</v>
      </c>
      <c r="W414" s="150" t="e">
        <f t="shared" si="39"/>
        <v>#N/A</v>
      </c>
      <c r="X414" s="150" t="e">
        <f t="shared" si="39"/>
        <v>#N/A</v>
      </c>
      <c r="Y414" s="150" t="e">
        <f t="shared" si="39"/>
        <v>#N/A</v>
      </c>
    </row>
    <row r="415" spans="1:25">
      <c r="A415" s="134"/>
      <c r="B415" s="158">
        <f t="shared" si="40"/>
        <v>38389</v>
      </c>
      <c r="C415" s="159" t="str">
        <f t="shared" si="41"/>
        <v/>
      </c>
      <c r="D415" s="159" t="str">
        <f t="shared" si="42"/>
        <v/>
      </c>
      <c r="E415" s="159" t="str">
        <f t="shared" si="43"/>
        <v/>
      </c>
      <c r="F415" s="159" t="str">
        <f t="shared" si="44"/>
        <v/>
      </c>
      <c r="G415" s="137"/>
      <c r="H415" s="137"/>
      <c r="I415" s="137"/>
      <c r="J415" s="137"/>
      <c r="K415" s="160"/>
      <c r="L415" s="160"/>
      <c r="M415" s="137"/>
      <c r="N415" s="138"/>
      <c r="O415" s="138"/>
      <c r="P415" s="138"/>
      <c r="Q415" s="138"/>
      <c r="R415" s="138"/>
      <c r="S415" s="138"/>
      <c r="T415" s="138"/>
      <c r="U415" s="138"/>
      <c r="V415" s="150" t="e">
        <f t="shared" si="39"/>
        <v>#N/A</v>
      </c>
      <c r="W415" s="150" t="e">
        <f t="shared" si="39"/>
        <v>#N/A</v>
      </c>
      <c r="X415" s="150" t="e">
        <f t="shared" si="39"/>
        <v>#N/A</v>
      </c>
      <c r="Y415" s="150" t="e">
        <f t="shared" si="39"/>
        <v>#N/A</v>
      </c>
    </row>
    <row r="416" spans="1:25">
      <c r="A416" s="134"/>
      <c r="B416" s="158">
        <f t="shared" si="40"/>
        <v>38390</v>
      </c>
      <c r="C416" s="159" t="str">
        <f t="shared" si="41"/>
        <v/>
      </c>
      <c r="D416" s="159" t="str">
        <f t="shared" si="42"/>
        <v/>
      </c>
      <c r="E416" s="159" t="str">
        <f t="shared" si="43"/>
        <v/>
      </c>
      <c r="F416" s="159" t="str">
        <f t="shared" si="44"/>
        <v/>
      </c>
      <c r="G416" s="137"/>
      <c r="H416" s="137"/>
      <c r="I416" s="137"/>
      <c r="J416" s="137"/>
      <c r="K416" s="160"/>
      <c r="L416" s="160"/>
      <c r="M416" s="137"/>
      <c r="N416" s="138"/>
      <c r="O416" s="138"/>
      <c r="P416" s="138"/>
      <c r="Q416" s="138"/>
      <c r="R416" s="138"/>
      <c r="S416" s="138"/>
      <c r="T416" s="138"/>
      <c r="U416" s="138"/>
      <c r="V416" s="150" t="e">
        <f t="shared" si="39"/>
        <v>#N/A</v>
      </c>
      <c r="W416" s="150" t="e">
        <f t="shared" si="39"/>
        <v>#N/A</v>
      </c>
      <c r="X416" s="150" t="e">
        <f t="shared" si="39"/>
        <v>#N/A</v>
      </c>
      <c r="Y416" s="150" t="e">
        <f t="shared" si="39"/>
        <v>#N/A</v>
      </c>
    </row>
    <row r="417" spans="1:25">
      <c r="A417" s="134"/>
      <c r="B417" s="158">
        <f t="shared" si="40"/>
        <v>38391</v>
      </c>
      <c r="C417" s="159" t="str">
        <f t="shared" si="41"/>
        <v/>
      </c>
      <c r="D417" s="159" t="str">
        <f t="shared" si="42"/>
        <v/>
      </c>
      <c r="E417" s="159" t="str">
        <f t="shared" si="43"/>
        <v/>
      </c>
      <c r="F417" s="159" t="str">
        <f t="shared" si="44"/>
        <v/>
      </c>
      <c r="G417" s="137"/>
      <c r="H417" s="137"/>
      <c r="I417" s="137"/>
      <c r="J417" s="137"/>
      <c r="K417" s="160"/>
      <c r="L417" s="160"/>
      <c r="M417" s="137"/>
      <c r="N417" s="138"/>
      <c r="O417" s="138"/>
      <c r="P417" s="138"/>
      <c r="Q417" s="138"/>
      <c r="R417" s="138"/>
      <c r="S417" s="138"/>
      <c r="T417" s="138"/>
      <c r="U417" s="138"/>
      <c r="V417" s="150" t="e">
        <f t="shared" si="39"/>
        <v>#N/A</v>
      </c>
      <c r="W417" s="150" t="e">
        <f t="shared" si="39"/>
        <v>#N/A</v>
      </c>
      <c r="X417" s="150" t="e">
        <f t="shared" si="39"/>
        <v>#N/A</v>
      </c>
      <c r="Y417" s="150" t="e">
        <f t="shared" si="39"/>
        <v>#N/A</v>
      </c>
    </row>
    <row r="418" spans="1:25">
      <c r="A418" s="134"/>
      <c r="B418" s="158">
        <f t="shared" si="40"/>
        <v>38392</v>
      </c>
      <c r="C418" s="159" t="str">
        <f t="shared" si="41"/>
        <v/>
      </c>
      <c r="D418" s="159" t="str">
        <f t="shared" si="42"/>
        <v/>
      </c>
      <c r="E418" s="159" t="str">
        <f t="shared" si="43"/>
        <v/>
      </c>
      <c r="F418" s="159" t="str">
        <f t="shared" si="44"/>
        <v/>
      </c>
      <c r="G418" s="137"/>
      <c r="H418" s="137"/>
      <c r="I418" s="137"/>
      <c r="J418" s="137"/>
      <c r="K418" s="160"/>
      <c r="L418" s="160"/>
      <c r="M418" s="137"/>
      <c r="N418" s="138"/>
      <c r="O418" s="138"/>
      <c r="P418" s="138"/>
      <c r="Q418" s="138"/>
      <c r="R418" s="138"/>
      <c r="S418" s="138"/>
      <c r="T418" s="138"/>
      <c r="U418" s="138"/>
      <c r="V418" s="150" t="e">
        <f t="shared" si="39"/>
        <v>#N/A</v>
      </c>
      <c r="W418" s="150" t="e">
        <f t="shared" si="39"/>
        <v>#N/A</v>
      </c>
      <c r="X418" s="150" t="e">
        <f t="shared" si="39"/>
        <v>#N/A</v>
      </c>
      <c r="Y418" s="150" t="e">
        <f t="shared" si="39"/>
        <v>#N/A</v>
      </c>
    </row>
    <row r="419" spans="1:25">
      <c r="A419" s="134"/>
      <c r="B419" s="158">
        <f t="shared" si="40"/>
        <v>38393</v>
      </c>
      <c r="C419" s="159" t="str">
        <f t="shared" si="41"/>
        <v/>
      </c>
      <c r="D419" s="159" t="str">
        <f t="shared" si="42"/>
        <v/>
      </c>
      <c r="E419" s="159" t="str">
        <f t="shared" si="43"/>
        <v/>
      </c>
      <c r="F419" s="159" t="str">
        <f t="shared" si="44"/>
        <v/>
      </c>
      <c r="G419" s="137"/>
      <c r="H419" s="137"/>
      <c r="I419" s="137"/>
      <c r="J419" s="137"/>
      <c r="K419" s="160"/>
      <c r="L419" s="160"/>
      <c r="M419" s="137"/>
      <c r="N419" s="138"/>
      <c r="O419" s="138"/>
      <c r="P419" s="138"/>
      <c r="Q419" s="138"/>
      <c r="R419" s="138"/>
      <c r="S419" s="138"/>
      <c r="T419" s="138"/>
      <c r="U419" s="138"/>
      <c r="V419" s="150" t="e">
        <f t="shared" si="39"/>
        <v>#N/A</v>
      </c>
      <c r="W419" s="150" t="e">
        <f t="shared" si="39"/>
        <v>#N/A</v>
      </c>
      <c r="X419" s="150" t="e">
        <f t="shared" si="39"/>
        <v>#N/A</v>
      </c>
      <c r="Y419" s="150" t="e">
        <f t="shared" si="39"/>
        <v>#N/A</v>
      </c>
    </row>
    <row r="420" spans="1:25">
      <c r="A420" s="134"/>
      <c r="B420" s="158">
        <f t="shared" si="40"/>
        <v>38394</v>
      </c>
      <c r="C420" s="159" t="str">
        <f t="shared" si="41"/>
        <v/>
      </c>
      <c r="D420" s="159" t="str">
        <f t="shared" si="42"/>
        <v/>
      </c>
      <c r="E420" s="159" t="str">
        <f t="shared" si="43"/>
        <v/>
      </c>
      <c r="F420" s="159" t="str">
        <f t="shared" si="44"/>
        <v/>
      </c>
      <c r="G420" s="137"/>
      <c r="H420" s="137"/>
      <c r="I420" s="137"/>
      <c r="J420" s="137"/>
      <c r="K420" s="160"/>
      <c r="L420" s="160"/>
      <c r="M420" s="137"/>
      <c r="N420" s="138"/>
      <c r="O420" s="138"/>
      <c r="P420" s="138"/>
      <c r="Q420" s="138"/>
      <c r="R420" s="138"/>
      <c r="S420" s="138"/>
      <c r="T420" s="138"/>
      <c r="U420" s="138"/>
      <c r="V420" s="150" t="e">
        <f t="shared" si="39"/>
        <v>#N/A</v>
      </c>
      <c r="W420" s="150" t="e">
        <f t="shared" si="39"/>
        <v>#N/A</v>
      </c>
      <c r="X420" s="150" t="e">
        <f t="shared" si="39"/>
        <v>#N/A</v>
      </c>
      <c r="Y420" s="150" t="e">
        <f t="shared" si="39"/>
        <v>#N/A</v>
      </c>
    </row>
    <row r="421" spans="1:25">
      <c r="A421" s="134"/>
      <c r="B421" s="158">
        <f t="shared" si="40"/>
        <v>38395</v>
      </c>
      <c r="C421" s="159" t="str">
        <f t="shared" si="41"/>
        <v/>
      </c>
      <c r="D421" s="159" t="str">
        <f t="shared" si="42"/>
        <v/>
      </c>
      <c r="E421" s="159" t="str">
        <f t="shared" si="43"/>
        <v/>
      </c>
      <c r="F421" s="159" t="str">
        <f t="shared" si="44"/>
        <v/>
      </c>
      <c r="G421" s="137"/>
      <c r="H421" s="137"/>
      <c r="I421" s="137"/>
      <c r="J421" s="137"/>
      <c r="K421" s="160"/>
      <c r="L421" s="160"/>
      <c r="M421" s="137"/>
      <c r="N421" s="138"/>
      <c r="O421" s="138"/>
      <c r="P421" s="138"/>
      <c r="Q421" s="138"/>
      <c r="R421" s="138"/>
      <c r="S421" s="138"/>
      <c r="T421" s="138"/>
      <c r="U421" s="138"/>
      <c r="V421" s="150" t="e">
        <f t="shared" si="39"/>
        <v>#N/A</v>
      </c>
      <c r="W421" s="150" t="e">
        <f t="shared" si="39"/>
        <v>#N/A</v>
      </c>
      <c r="X421" s="150" t="e">
        <f t="shared" si="39"/>
        <v>#N/A</v>
      </c>
      <c r="Y421" s="150" t="e">
        <f t="shared" si="39"/>
        <v>#N/A</v>
      </c>
    </row>
    <row r="422" spans="1:25">
      <c r="A422" s="134"/>
      <c r="B422" s="158">
        <f t="shared" si="40"/>
        <v>38396</v>
      </c>
      <c r="C422" s="159" t="str">
        <f t="shared" si="41"/>
        <v/>
      </c>
      <c r="D422" s="159" t="str">
        <f t="shared" si="42"/>
        <v/>
      </c>
      <c r="E422" s="159" t="str">
        <f t="shared" si="43"/>
        <v/>
      </c>
      <c r="F422" s="159" t="str">
        <f t="shared" si="44"/>
        <v/>
      </c>
      <c r="G422" s="137"/>
      <c r="H422" s="137"/>
      <c r="I422" s="137"/>
      <c r="J422" s="137"/>
      <c r="K422" s="160"/>
      <c r="L422" s="160"/>
      <c r="M422" s="137"/>
      <c r="N422" s="138"/>
      <c r="O422" s="138"/>
      <c r="P422" s="138"/>
      <c r="Q422" s="138"/>
      <c r="R422" s="138"/>
      <c r="S422" s="138"/>
      <c r="T422" s="138"/>
      <c r="U422" s="138"/>
      <c r="V422" s="150" t="e">
        <f t="shared" si="39"/>
        <v>#N/A</v>
      </c>
      <c r="W422" s="150" t="e">
        <f t="shared" si="39"/>
        <v>#N/A</v>
      </c>
      <c r="X422" s="150" t="e">
        <f t="shared" si="39"/>
        <v>#N/A</v>
      </c>
      <c r="Y422" s="150" t="e">
        <f t="shared" si="39"/>
        <v>#N/A</v>
      </c>
    </row>
    <row r="423" spans="1:25">
      <c r="A423" s="134"/>
      <c r="B423" s="158">
        <f t="shared" si="40"/>
        <v>38397</v>
      </c>
      <c r="C423" s="159" t="str">
        <f t="shared" si="41"/>
        <v/>
      </c>
      <c r="D423" s="159" t="str">
        <f t="shared" si="42"/>
        <v/>
      </c>
      <c r="E423" s="159" t="str">
        <f t="shared" si="43"/>
        <v/>
      </c>
      <c r="F423" s="159" t="str">
        <f t="shared" si="44"/>
        <v/>
      </c>
      <c r="G423" s="137"/>
      <c r="H423" s="137"/>
      <c r="I423" s="137"/>
      <c r="J423" s="137"/>
      <c r="K423" s="160"/>
      <c r="L423" s="160"/>
      <c r="M423" s="137"/>
      <c r="N423" s="138"/>
      <c r="O423" s="138"/>
      <c r="P423" s="138"/>
      <c r="Q423" s="138"/>
      <c r="R423" s="138"/>
      <c r="S423" s="138"/>
      <c r="T423" s="138"/>
      <c r="U423" s="138"/>
      <c r="V423" s="150" t="e">
        <f t="shared" si="39"/>
        <v>#N/A</v>
      </c>
      <c r="W423" s="150" t="e">
        <f t="shared" si="39"/>
        <v>#N/A</v>
      </c>
      <c r="X423" s="150" t="e">
        <f t="shared" si="39"/>
        <v>#N/A</v>
      </c>
      <c r="Y423" s="150" t="e">
        <f t="shared" si="39"/>
        <v>#N/A</v>
      </c>
    </row>
    <row r="424" spans="1:25">
      <c r="A424" s="134"/>
      <c r="B424" s="158">
        <f t="shared" si="40"/>
        <v>38398</v>
      </c>
      <c r="C424" s="159" t="str">
        <f t="shared" si="41"/>
        <v/>
      </c>
      <c r="D424" s="159" t="str">
        <f t="shared" si="42"/>
        <v/>
      </c>
      <c r="E424" s="159" t="str">
        <f t="shared" si="43"/>
        <v/>
      </c>
      <c r="F424" s="159" t="str">
        <f t="shared" si="44"/>
        <v/>
      </c>
      <c r="G424" s="137"/>
      <c r="H424" s="137"/>
      <c r="I424" s="137"/>
      <c r="J424" s="137"/>
      <c r="K424" s="160"/>
      <c r="L424" s="160"/>
      <c r="M424" s="137"/>
      <c r="N424" s="138"/>
      <c r="O424" s="138"/>
      <c r="P424" s="138"/>
      <c r="Q424" s="138"/>
      <c r="R424" s="138"/>
      <c r="S424" s="138"/>
      <c r="T424" s="138"/>
      <c r="U424" s="138"/>
      <c r="V424" s="150" t="e">
        <f t="shared" si="39"/>
        <v>#N/A</v>
      </c>
      <c r="W424" s="150" t="e">
        <f t="shared" si="39"/>
        <v>#N/A</v>
      </c>
      <c r="X424" s="150" t="e">
        <f t="shared" si="39"/>
        <v>#N/A</v>
      </c>
      <c r="Y424" s="150" t="e">
        <f t="shared" si="39"/>
        <v>#N/A</v>
      </c>
    </row>
    <row r="425" spans="1:25">
      <c r="A425" s="134"/>
      <c r="B425" s="158">
        <f t="shared" si="40"/>
        <v>38399</v>
      </c>
      <c r="C425" s="159" t="str">
        <f t="shared" si="41"/>
        <v/>
      </c>
      <c r="D425" s="159" t="str">
        <f t="shared" si="42"/>
        <v/>
      </c>
      <c r="E425" s="159" t="str">
        <f t="shared" si="43"/>
        <v/>
      </c>
      <c r="F425" s="159" t="str">
        <f t="shared" si="44"/>
        <v/>
      </c>
      <c r="G425" s="137"/>
      <c r="H425" s="137"/>
      <c r="I425" s="137"/>
      <c r="J425" s="137"/>
      <c r="K425" s="160"/>
      <c r="L425" s="160"/>
      <c r="M425" s="137"/>
      <c r="N425" s="138"/>
      <c r="O425" s="138"/>
      <c r="P425" s="138"/>
      <c r="Q425" s="138"/>
      <c r="R425" s="138"/>
      <c r="S425" s="138"/>
      <c r="T425" s="138"/>
      <c r="U425" s="138"/>
      <c r="V425" s="150" t="e">
        <f t="shared" si="39"/>
        <v>#N/A</v>
      </c>
      <c r="W425" s="150" t="e">
        <f t="shared" si="39"/>
        <v>#N/A</v>
      </c>
      <c r="X425" s="150" t="e">
        <f t="shared" si="39"/>
        <v>#N/A</v>
      </c>
      <c r="Y425" s="150" t="e">
        <f t="shared" si="39"/>
        <v>#N/A</v>
      </c>
    </row>
    <row r="426" spans="1:25">
      <c r="A426" s="134"/>
      <c r="B426" s="158">
        <f t="shared" si="40"/>
        <v>38400</v>
      </c>
      <c r="C426" s="159" t="str">
        <f t="shared" si="41"/>
        <v/>
      </c>
      <c r="D426" s="159" t="str">
        <f t="shared" si="42"/>
        <v/>
      </c>
      <c r="E426" s="159" t="str">
        <f t="shared" si="43"/>
        <v/>
      </c>
      <c r="F426" s="159" t="str">
        <f t="shared" si="44"/>
        <v/>
      </c>
      <c r="G426" s="137"/>
      <c r="H426" s="137"/>
      <c r="I426" s="137"/>
      <c r="J426" s="137"/>
      <c r="K426" s="160"/>
      <c r="L426" s="160"/>
      <c r="M426" s="137"/>
      <c r="N426" s="138"/>
      <c r="O426" s="138"/>
      <c r="P426" s="138"/>
      <c r="Q426" s="138"/>
      <c r="R426" s="138"/>
      <c r="S426" s="138"/>
      <c r="T426" s="138"/>
      <c r="U426" s="138"/>
      <c r="V426" s="150" t="e">
        <f t="shared" si="39"/>
        <v>#N/A</v>
      </c>
      <c r="W426" s="150" t="e">
        <f t="shared" si="39"/>
        <v>#N/A</v>
      </c>
      <c r="X426" s="150" t="e">
        <f t="shared" si="39"/>
        <v>#N/A</v>
      </c>
      <c r="Y426" s="150" t="e">
        <f t="shared" si="39"/>
        <v>#N/A</v>
      </c>
    </row>
    <row r="427" spans="1:25">
      <c r="A427" s="134"/>
      <c r="B427" s="158">
        <f t="shared" si="40"/>
        <v>38401</v>
      </c>
      <c r="C427" s="159" t="str">
        <f t="shared" si="41"/>
        <v/>
      </c>
      <c r="D427" s="159" t="str">
        <f t="shared" si="42"/>
        <v/>
      </c>
      <c r="E427" s="159" t="str">
        <f t="shared" si="43"/>
        <v/>
      </c>
      <c r="F427" s="159" t="str">
        <f t="shared" si="44"/>
        <v/>
      </c>
      <c r="G427" s="137"/>
      <c r="H427" s="137"/>
      <c r="I427" s="137"/>
      <c r="J427" s="137"/>
      <c r="K427" s="160"/>
      <c r="L427" s="160"/>
      <c r="M427" s="137"/>
      <c r="N427" s="138"/>
      <c r="O427" s="138"/>
      <c r="P427" s="138"/>
      <c r="Q427" s="138"/>
      <c r="R427" s="138"/>
      <c r="S427" s="138"/>
      <c r="T427" s="138"/>
      <c r="U427" s="138"/>
      <c r="V427" s="150" t="e">
        <f t="shared" si="39"/>
        <v>#N/A</v>
      </c>
      <c r="W427" s="150" t="e">
        <f t="shared" si="39"/>
        <v>#N/A</v>
      </c>
      <c r="X427" s="150" t="e">
        <f t="shared" si="39"/>
        <v>#N/A</v>
      </c>
      <c r="Y427" s="150" t="e">
        <f t="shared" si="39"/>
        <v>#N/A</v>
      </c>
    </row>
    <row r="428" spans="1:25">
      <c r="A428" s="134"/>
      <c r="B428" s="158">
        <f t="shared" si="40"/>
        <v>38402</v>
      </c>
      <c r="C428" s="159" t="str">
        <f t="shared" si="41"/>
        <v/>
      </c>
      <c r="D428" s="159" t="str">
        <f t="shared" si="42"/>
        <v/>
      </c>
      <c r="E428" s="159" t="str">
        <f t="shared" si="43"/>
        <v/>
      </c>
      <c r="F428" s="159" t="str">
        <f t="shared" si="44"/>
        <v/>
      </c>
      <c r="G428" s="137"/>
      <c r="H428" s="137"/>
      <c r="I428" s="137"/>
      <c r="J428" s="137"/>
      <c r="K428" s="160"/>
      <c r="L428" s="160"/>
      <c r="M428" s="137"/>
      <c r="N428" s="138"/>
      <c r="O428" s="138"/>
      <c r="P428" s="138"/>
      <c r="Q428" s="138"/>
      <c r="R428" s="138"/>
      <c r="S428" s="138"/>
      <c r="T428" s="138"/>
      <c r="U428" s="138"/>
      <c r="V428" s="150" t="e">
        <f t="shared" si="39"/>
        <v>#N/A</v>
      </c>
      <c r="W428" s="150" t="e">
        <f t="shared" si="39"/>
        <v>#N/A</v>
      </c>
      <c r="X428" s="150" t="e">
        <f t="shared" si="39"/>
        <v>#N/A</v>
      </c>
      <c r="Y428" s="150" t="e">
        <f t="shared" si="39"/>
        <v>#N/A</v>
      </c>
    </row>
    <row r="429" spans="1:25">
      <c r="A429" s="134"/>
      <c r="B429" s="158">
        <f t="shared" si="40"/>
        <v>38403</v>
      </c>
      <c r="C429" s="159" t="str">
        <f t="shared" si="41"/>
        <v/>
      </c>
      <c r="D429" s="159" t="str">
        <f t="shared" si="42"/>
        <v/>
      </c>
      <c r="E429" s="159" t="str">
        <f t="shared" si="43"/>
        <v/>
      </c>
      <c r="F429" s="159" t="str">
        <f t="shared" si="44"/>
        <v/>
      </c>
      <c r="G429" s="137"/>
      <c r="H429" s="137"/>
      <c r="I429" s="137"/>
      <c r="J429" s="137"/>
      <c r="K429" s="160"/>
      <c r="L429" s="160"/>
      <c r="M429" s="137"/>
      <c r="N429" s="138"/>
      <c r="O429" s="138"/>
      <c r="P429" s="138"/>
      <c r="Q429" s="138"/>
      <c r="R429" s="138"/>
      <c r="S429" s="138"/>
      <c r="T429" s="138"/>
      <c r="U429" s="138"/>
      <c r="V429" s="150" t="e">
        <f t="shared" si="39"/>
        <v>#N/A</v>
      </c>
      <c r="W429" s="150" t="e">
        <f t="shared" si="39"/>
        <v>#N/A</v>
      </c>
      <c r="X429" s="150" t="e">
        <f t="shared" si="39"/>
        <v>#N/A</v>
      </c>
      <c r="Y429" s="150" t="e">
        <f t="shared" si="39"/>
        <v>#N/A</v>
      </c>
    </row>
    <row r="430" spans="1:25">
      <c r="A430" s="134"/>
      <c r="B430" s="158">
        <f t="shared" si="40"/>
        <v>38404</v>
      </c>
      <c r="C430" s="159" t="str">
        <f t="shared" si="41"/>
        <v/>
      </c>
      <c r="D430" s="159" t="str">
        <f t="shared" si="42"/>
        <v/>
      </c>
      <c r="E430" s="159" t="str">
        <f t="shared" si="43"/>
        <v/>
      </c>
      <c r="F430" s="159" t="str">
        <f t="shared" si="44"/>
        <v/>
      </c>
      <c r="G430" s="137"/>
      <c r="H430" s="137"/>
      <c r="I430" s="137"/>
      <c r="J430" s="137"/>
      <c r="K430" s="160"/>
      <c r="L430" s="160"/>
      <c r="M430" s="137"/>
      <c r="N430" s="138"/>
      <c r="O430" s="138"/>
      <c r="P430" s="138"/>
      <c r="Q430" s="138"/>
      <c r="R430" s="138"/>
      <c r="S430" s="138"/>
      <c r="T430" s="138"/>
      <c r="U430" s="138"/>
      <c r="V430" s="150" t="e">
        <f t="shared" si="39"/>
        <v>#N/A</v>
      </c>
      <c r="W430" s="150" t="e">
        <f t="shared" si="39"/>
        <v>#N/A</v>
      </c>
      <c r="X430" s="150" t="e">
        <f t="shared" si="39"/>
        <v>#N/A</v>
      </c>
      <c r="Y430" s="150" t="e">
        <f t="shared" si="39"/>
        <v>#N/A</v>
      </c>
    </row>
    <row r="431" spans="1:25">
      <c r="A431" s="134"/>
      <c r="B431" s="158">
        <f t="shared" si="40"/>
        <v>38405</v>
      </c>
      <c r="C431" s="159" t="str">
        <f t="shared" si="41"/>
        <v/>
      </c>
      <c r="D431" s="159" t="str">
        <f t="shared" si="42"/>
        <v/>
      </c>
      <c r="E431" s="159" t="str">
        <f t="shared" si="43"/>
        <v/>
      </c>
      <c r="F431" s="159" t="str">
        <f t="shared" si="44"/>
        <v/>
      </c>
      <c r="G431" s="137"/>
      <c r="H431" s="137"/>
      <c r="I431" s="137"/>
      <c r="J431" s="137"/>
      <c r="K431" s="160"/>
      <c r="L431" s="160"/>
      <c r="M431" s="137"/>
      <c r="N431" s="138"/>
      <c r="O431" s="138"/>
      <c r="P431" s="138"/>
      <c r="Q431" s="138"/>
      <c r="R431" s="138"/>
      <c r="S431" s="138"/>
      <c r="T431" s="138"/>
      <c r="U431" s="138"/>
      <c r="V431" s="150" t="e">
        <f t="shared" si="39"/>
        <v>#N/A</v>
      </c>
      <c r="W431" s="150" t="e">
        <f t="shared" si="39"/>
        <v>#N/A</v>
      </c>
      <c r="X431" s="150" t="e">
        <f t="shared" si="39"/>
        <v>#N/A</v>
      </c>
      <c r="Y431" s="150" t="e">
        <f t="shared" si="39"/>
        <v>#N/A</v>
      </c>
    </row>
    <row r="432" spans="1:25">
      <c r="A432" s="134"/>
      <c r="B432" s="158">
        <f t="shared" si="40"/>
        <v>38406</v>
      </c>
      <c r="C432" s="159" t="str">
        <f t="shared" si="41"/>
        <v/>
      </c>
      <c r="D432" s="159" t="str">
        <f t="shared" si="42"/>
        <v/>
      </c>
      <c r="E432" s="159" t="str">
        <f t="shared" si="43"/>
        <v/>
      </c>
      <c r="F432" s="159" t="str">
        <f t="shared" si="44"/>
        <v/>
      </c>
      <c r="G432" s="137"/>
      <c r="H432" s="137"/>
      <c r="I432" s="137"/>
      <c r="J432" s="137"/>
      <c r="K432" s="160"/>
      <c r="L432" s="160"/>
      <c r="M432" s="137"/>
      <c r="N432" s="138"/>
      <c r="O432" s="138"/>
      <c r="P432" s="138"/>
      <c r="Q432" s="138"/>
      <c r="R432" s="138"/>
      <c r="S432" s="138"/>
      <c r="T432" s="138"/>
      <c r="U432" s="138"/>
      <c r="V432" s="150" t="e">
        <f t="shared" si="39"/>
        <v>#N/A</v>
      </c>
      <c r="W432" s="150" t="e">
        <f t="shared" si="39"/>
        <v>#N/A</v>
      </c>
      <c r="X432" s="150" t="e">
        <f t="shared" si="39"/>
        <v>#N/A</v>
      </c>
      <c r="Y432" s="150" t="e">
        <f t="shared" si="39"/>
        <v>#N/A</v>
      </c>
    </row>
    <row r="433" spans="1:25">
      <c r="A433" s="134"/>
      <c r="B433" s="158">
        <f t="shared" si="40"/>
        <v>38407</v>
      </c>
      <c r="C433" s="159" t="str">
        <f t="shared" si="41"/>
        <v/>
      </c>
      <c r="D433" s="159" t="str">
        <f t="shared" si="42"/>
        <v/>
      </c>
      <c r="E433" s="159" t="str">
        <f t="shared" si="43"/>
        <v/>
      </c>
      <c r="F433" s="159" t="str">
        <f t="shared" si="44"/>
        <v/>
      </c>
      <c r="G433" s="137"/>
      <c r="H433" s="137"/>
      <c r="I433" s="137"/>
      <c r="J433" s="137"/>
      <c r="K433" s="160"/>
      <c r="L433" s="160"/>
      <c r="M433" s="137"/>
      <c r="N433" s="138"/>
      <c r="O433" s="138"/>
      <c r="P433" s="138"/>
      <c r="Q433" s="138"/>
      <c r="R433" s="138"/>
      <c r="S433" s="138"/>
      <c r="T433" s="138"/>
      <c r="U433" s="138"/>
      <c r="V433" s="150" t="e">
        <f t="shared" si="39"/>
        <v>#N/A</v>
      </c>
      <c r="W433" s="150" t="e">
        <f t="shared" si="39"/>
        <v>#N/A</v>
      </c>
      <c r="X433" s="150" t="e">
        <f t="shared" si="39"/>
        <v>#N/A</v>
      </c>
      <c r="Y433" s="150" t="e">
        <f t="shared" si="39"/>
        <v>#N/A</v>
      </c>
    </row>
    <row r="434" spans="1:25">
      <c r="A434" s="134"/>
      <c r="B434" s="158">
        <f t="shared" si="40"/>
        <v>38408</v>
      </c>
      <c r="C434" s="159" t="str">
        <f t="shared" si="41"/>
        <v/>
      </c>
      <c r="D434" s="159" t="str">
        <f t="shared" si="42"/>
        <v/>
      </c>
      <c r="E434" s="159" t="str">
        <f t="shared" si="43"/>
        <v/>
      </c>
      <c r="F434" s="159" t="str">
        <f t="shared" si="44"/>
        <v/>
      </c>
      <c r="G434" s="137"/>
      <c r="H434" s="137"/>
      <c r="I434" s="137"/>
      <c r="J434" s="137"/>
      <c r="K434" s="160"/>
      <c r="L434" s="160"/>
      <c r="M434" s="137"/>
      <c r="N434" s="138"/>
      <c r="O434" s="138"/>
      <c r="P434" s="138"/>
      <c r="Q434" s="138"/>
      <c r="R434" s="138"/>
      <c r="S434" s="138"/>
      <c r="T434" s="138"/>
      <c r="U434" s="138"/>
      <c r="V434" s="150" t="e">
        <f t="shared" si="39"/>
        <v>#N/A</v>
      </c>
      <c r="W434" s="150" t="e">
        <f t="shared" si="39"/>
        <v>#N/A</v>
      </c>
      <c r="X434" s="150" t="e">
        <f t="shared" si="39"/>
        <v>#N/A</v>
      </c>
      <c r="Y434" s="150" t="e">
        <f t="shared" si="39"/>
        <v>#N/A</v>
      </c>
    </row>
    <row r="435" spans="1:25">
      <c r="A435" s="134"/>
      <c r="B435" s="158">
        <f t="shared" si="40"/>
        <v>38409</v>
      </c>
      <c r="C435" s="159" t="str">
        <f t="shared" si="41"/>
        <v/>
      </c>
      <c r="D435" s="159" t="str">
        <f t="shared" si="42"/>
        <v/>
      </c>
      <c r="E435" s="159" t="str">
        <f t="shared" si="43"/>
        <v/>
      </c>
      <c r="F435" s="159" t="str">
        <f t="shared" si="44"/>
        <v/>
      </c>
      <c r="G435" s="137"/>
      <c r="H435" s="137"/>
      <c r="I435" s="137"/>
      <c r="J435" s="137"/>
      <c r="K435" s="160"/>
      <c r="L435" s="160"/>
      <c r="M435" s="137"/>
      <c r="N435" s="138"/>
      <c r="O435" s="138"/>
      <c r="P435" s="138"/>
      <c r="Q435" s="138"/>
      <c r="R435" s="138"/>
      <c r="S435" s="138"/>
      <c r="T435" s="138"/>
      <c r="U435" s="138"/>
      <c r="V435" s="150" t="e">
        <f t="shared" si="39"/>
        <v>#N/A</v>
      </c>
      <c r="W435" s="150" t="e">
        <f t="shared" si="39"/>
        <v>#N/A</v>
      </c>
      <c r="X435" s="150" t="e">
        <f t="shared" si="39"/>
        <v>#N/A</v>
      </c>
      <c r="Y435" s="150" t="e">
        <f t="shared" si="39"/>
        <v>#N/A</v>
      </c>
    </row>
    <row r="436" spans="1:25">
      <c r="A436" s="134"/>
      <c r="B436" s="158">
        <f t="shared" si="40"/>
        <v>38410</v>
      </c>
      <c r="C436" s="159" t="str">
        <f t="shared" si="41"/>
        <v/>
      </c>
      <c r="D436" s="159" t="str">
        <f t="shared" si="42"/>
        <v/>
      </c>
      <c r="E436" s="159" t="str">
        <f t="shared" si="43"/>
        <v/>
      </c>
      <c r="F436" s="159" t="str">
        <f t="shared" si="44"/>
        <v/>
      </c>
      <c r="G436" s="137"/>
      <c r="H436" s="137"/>
      <c r="I436" s="137"/>
      <c r="J436" s="137"/>
      <c r="K436" s="160"/>
      <c r="L436" s="160"/>
      <c r="M436" s="137"/>
      <c r="N436" s="138"/>
      <c r="O436" s="138"/>
      <c r="P436" s="138"/>
      <c r="Q436" s="138"/>
      <c r="R436" s="138"/>
      <c r="S436" s="138"/>
      <c r="T436" s="138"/>
      <c r="U436" s="138"/>
      <c r="V436" s="150" t="e">
        <f t="shared" si="39"/>
        <v>#N/A</v>
      </c>
      <c r="W436" s="150" t="e">
        <f t="shared" si="39"/>
        <v>#N/A</v>
      </c>
      <c r="X436" s="150" t="e">
        <f t="shared" si="39"/>
        <v>#N/A</v>
      </c>
      <c r="Y436" s="150" t="e">
        <f t="shared" si="39"/>
        <v>#N/A</v>
      </c>
    </row>
    <row r="437" spans="1:25">
      <c r="A437" s="134"/>
      <c r="B437" s="158">
        <f t="shared" si="40"/>
        <v>38411</v>
      </c>
      <c r="C437" s="159" t="str">
        <f t="shared" si="41"/>
        <v/>
      </c>
      <c r="D437" s="159" t="str">
        <f t="shared" si="42"/>
        <v/>
      </c>
      <c r="E437" s="159" t="str">
        <f t="shared" si="43"/>
        <v/>
      </c>
      <c r="F437" s="159" t="str">
        <f t="shared" si="44"/>
        <v/>
      </c>
      <c r="G437" s="137"/>
      <c r="H437" s="137"/>
      <c r="I437" s="137"/>
      <c r="J437" s="137"/>
      <c r="K437" s="160"/>
      <c r="L437" s="160"/>
      <c r="M437" s="137"/>
      <c r="N437" s="138"/>
      <c r="O437" s="138"/>
      <c r="P437" s="138"/>
      <c r="Q437" s="138"/>
      <c r="R437" s="138"/>
      <c r="S437" s="138"/>
      <c r="T437" s="138"/>
      <c r="U437" s="138"/>
      <c r="V437" s="150" t="e">
        <f t="shared" si="39"/>
        <v>#N/A</v>
      </c>
      <c r="W437" s="150" t="e">
        <f t="shared" si="39"/>
        <v>#N/A</v>
      </c>
      <c r="X437" s="150" t="e">
        <f t="shared" si="39"/>
        <v>#N/A</v>
      </c>
      <c r="Y437" s="150" t="e">
        <f t="shared" si="39"/>
        <v>#N/A</v>
      </c>
    </row>
    <row r="438" spans="1:25">
      <c r="A438" s="134"/>
      <c r="B438" s="158">
        <f t="shared" si="40"/>
        <v>38412</v>
      </c>
      <c r="C438" s="159" t="str">
        <f t="shared" si="41"/>
        <v/>
      </c>
      <c r="D438" s="159" t="str">
        <f t="shared" si="42"/>
        <v/>
      </c>
      <c r="E438" s="159" t="str">
        <f t="shared" si="43"/>
        <v/>
      </c>
      <c r="F438" s="159" t="str">
        <f t="shared" si="44"/>
        <v/>
      </c>
      <c r="G438" s="137"/>
      <c r="H438" s="137"/>
      <c r="I438" s="137"/>
      <c r="J438" s="137"/>
      <c r="K438" s="160"/>
      <c r="L438" s="160"/>
      <c r="M438" s="137"/>
      <c r="N438" s="138"/>
      <c r="O438" s="138"/>
      <c r="P438" s="138"/>
      <c r="Q438" s="138"/>
      <c r="R438" s="138"/>
      <c r="S438" s="138"/>
      <c r="T438" s="138"/>
      <c r="U438" s="138"/>
      <c r="V438" s="150" t="e">
        <f t="shared" si="39"/>
        <v>#N/A</v>
      </c>
      <c r="W438" s="150" t="e">
        <f t="shared" si="39"/>
        <v>#N/A</v>
      </c>
      <c r="X438" s="150" t="e">
        <f t="shared" si="39"/>
        <v>#N/A</v>
      </c>
      <c r="Y438" s="150" t="e">
        <f t="shared" si="39"/>
        <v>#N/A</v>
      </c>
    </row>
    <row r="439" spans="1:25">
      <c r="A439" s="134"/>
      <c r="B439" s="158">
        <f t="shared" si="40"/>
        <v>38413</v>
      </c>
      <c r="C439" s="159" t="str">
        <f t="shared" si="41"/>
        <v/>
      </c>
      <c r="D439" s="159" t="str">
        <f t="shared" si="42"/>
        <v/>
      </c>
      <c r="E439" s="159" t="str">
        <f t="shared" si="43"/>
        <v/>
      </c>
      <c r="F439" s="159" t="str">
        <f t="shared" si="44"/>
        <v/>
      </c>
      <c r="G439" s="137"/>
      <c r="H439" s="137"/>
      <c r="I439" s="137"/>
      <c r="J439" s="137"/>
      <c r="K439" s="160"/>
      <c r="L439" s="160"/>
      <c r="M439" s="137"/>
      <c r="N439" s="138"/>
      <c r="O439" s="138"/>
      <c r="P439" s="138"/>
      <c r="Q439" s="138"/>
      <c r="R439" s="138"/>
      <c r="S439" s="138"/>
      <c r="T439" s="138"/>
      <c r="U439" s="138"/>
      <c r="V439" s="150" t="e">
        <f t="shared" si="39"/>
        <v>#N/A</v>
      </c>
      <c r="W439" s="150" t="e">
        <f t="shared" si="39"/>
        <v>#N/A</v>
      </c>
      <c r="X439" s="150" t="e">
        <f t="shared" si="39"/>
        <v>#N/A</v>
      </c>
      <c r="Y439" s="150" t="e">
        <f t="shared" si="39"/>
        <v>#N/A</v>
      </c>
    </row>
    <row r="440" spans="1:25">
      <c r="A440" s="134"/>
      <c r="B440" s="158">
        <f t="shared" si="40"/>
        <v>38414</v>
      </c>
      <c r="C440" s="159" t="str">
        <f t="shared" si="41"/>
        <v/>
      </c>
      <c r="D440" s="159" t="str">
        <f t="shared" si="42"/>
        <v/>
      </c>
      <c r="E440" s="159" t="str">
        <f t="shared" si="43"/>
        <v/>
      </c>
      <c r="F440" s="159" t="str">
        <f t="shared" si="44"/>
        <v/>
      </c>
      <c r="G440" s="137"/>
      <c r="H440" s="137"/>
      <c r="I440" s="137"/>
      <c r="J440" s="137"/>
      <c r="K440" s="160"/>
      <c r="L440" s="160"/>
      <c r="M440" s="137"/>
      <c r="N440" s="138"/>
      <c r="O440" s="138"/>
      <c r="P440" s="138"/>
      <c r="Q440" s="138"/>
      <c r="R440" s="138"/>
      <c r="S440" s="138"/>
      <c r="T440" s="138"/>
      <c r="U440" s="138"/>
      <c r="V440" s="150" t="e">
        <f t="shared" si="39"/>
        <v>#N/A</v>
      </c>
      <c r="W440" s="150" t="e">
        <f t="shared" si="39"/>
        <v>#N/A</v>
      </c>
      <c r="X440" s="150" t="e">
        <f t="shared" si="39"/>
        <v>#N/A</v>
      </c>
      <c r="Y440" s="150" t="e">
        <f t="shared" si="39"/>
        <v>#N/A</v>
      </c>
    </row>
    <row r="441" spans="1:25">
      <c r="A441" s="134"/>
      <c r="B441" s="158">
        <f t="shared" si="40"/>
        <v>38415</v>
      </c>
      <c r="C441" s="159" t="str">
        <f t="shared" si="41"/>
        <v/>
      </c>
      <c r="D441" s="159" t="str">
        <f t="shared" si="42"/>
        <v/>
      </c>
      <c r="E441" s="159" t="str">
        <f t="shared" si="43"/>
        <v/>
      </c>
      <c r="F441" s="159" t="str">
        <f t="shared" si="44"/>
        <v/>
      </c>
      <c r="G441" s="137"/>
      <c r="H441" s="137"/>
      <c r="I441" s="137"/>
      <c r="J441" s="137"/>
      <c r="K441" s="160"/>
      <c r="L441" s="160"/>
      <c r="M441" s="137"/>
      <c r="N441" s="138"/>
      <c r="O441" s="138"/>
      <c r="P441" s="138"/>
      <c r="Q441" s="138"/>
      <c r="R441" s="138"/>
      <c r="S441" s="138"/>
      <c r="T441" s="138"/>
      <c r="U441" s="138"/>
      <c r="V441" s="150" t="e">
        <f t="shared" si="39"/>
        <v>#N/A</v>
      </c>
      <c r="W441" s="150" t="e">
        <f t="shared" si="39"/>
        <v>#N/A</v>
      </c>
      <c r="X441" s="150" t="e">
        <f t="shared" si="39"/>
        <v>#N/A</v>
      </c>
      <c r="Y441" s="150" t="e">
        <f t="shared" si="39"/>
        <v>#N/A</v>
      </c>
    </row>
    <row r="442" spans="1:25">
      <c r="A442" s="134"/>
      <c r="B442" s="158">
        <f t="shared" si="40"/>
        <v>38416</v>
      </c>
      <c r="C442" s="159" t="str">
        <f t="shared" si="41"/>
        <v/>
      </c>
      <c r="D442" s="159" t="str">
        <f t="shared" si="42"/>
        <v/>
      </c>
      <c r="E442" s="159" t="str">
        <f t="shared" si="43"/>
        <v/>
      </c>
      <c r="F442" s="159" t="str">
        <f t="shared" si="44"/>
        <v/>
      </c>
      <c r="G442" s="137"/>
      <c r="H442" s="137"/>
      <c r="I442" s="137"/>
      <c r="J442" s="137"/>
      <c r="K442" s="160"/>
      <c r="L442" s="160"/>
      <c r="M442" s="137"/>
      <c r="N442" s="138"/>
      <c r="O442" s="138"/>
      <c r="P442" s="138"/>
      <c r="Q442" s="138"/>
      <c r="R442" s="138"/>
      <c r="S442" s="138"/>
      <c r="T442" s="138"/>
      <c r="U442" s="138"/>
      <c r="V442" s="150" t="e">
        <f t="shared" si="39"/>
        <v>#N/A</v>
      </c>
      <c r="W442" s="150" t="e">
        <f t="shared" si="39"/>
        <v>#N/A</v>
      </c>
      <c r="X442" s="150" t="e">
        <f t="shared" si="39"/>
        <v>#N/A</v>
      </c>
      <c r="Y442" s="150" t="e">
        <f t="shared" si="39"/>
        <v>#N/A</v>
      </c>
    </row>
    <row r="443" spans="1:25">
      <c r="A443" s="134"/>
      <c r="B443" s="158">
        <f t="shared" si="40"/>
        <v>38417</v>
      </c>
      <c r="C443" s="159" t="str">
        <f t="shared" si="41"/>
        <v/>
      </c>
      <c r="D443" s="159" t="str">
        <f t="shared" si="42"/>
        <v/>
      </c>
      <c r="E443" s="159" t="str">
        <f t="shared" si="43"/>
        <v/>
      </c>
      <c r="F443" s="159" t="str">
        <f t="shared" si="44"/>
        <v/>
      </c>
      <c r="G443" s="137"/>
      <c r="H443" s="137"/>
      <c r="I443" s="137"/>
      <c r="J443" s="137"/>
      <c r="K443" s="160"/>
      <c r="L443" s="160"/>
      <c r="M443" s="137"/>
      <c r="N443" s="138"/>
      <c r="O443" s="138"/>
      <c r="P443" s="138"/>
      <c r="Q443" s="138"/>
      <c r="R443" s="138"/>
      <c r="S443" s="138"/>
      <c r="T443" s="138"/>
      <c r="U443" s="138"/>
      <c r="V443" s="150" t="e">
        <f t="shared" si="39"/>
        <v>#N/A</v>
      </c>
      <c r="W443" s="150" t="e">
        <f t="shared" si="39"/>
        <v>#N/A</v>
      </c>
      <c r="X443" s="150" t="e">
        <f t="shared" si="39"/>
        <v>#N/A</v>
      </c>
      <c r="Y443" s="150" t="e">
        <f t="shared" si="39"/>
        <v>#N/A</v>
      </c>
    </row>
    <row r="444" spans="1:25">
      <c r="A444" s="134"/>
      <c r="B444" s="158">
        <f t="shared" si="40"/>
        <v>38418</v>
      </c>
      <c r="C444" s="159" t="str">
        <f t="shared" si="41"/>
        <v/>
      </c>
      <c r="D444" s="159" t="str">
        <f t="shared" si="42"/>
        <v/>
      </c>
      <c r="E444" s="159" t="str">
        <f t="shared" si="43"/>
        <v/>
      </c>
      <c r="F444" s="159" t="str">
        <f t="shared" si="44"/>
        <v/>
      </c>
      <c r="G444" s="137"/>
      <c r="H444" s="137"/>
      <c r="I444" s="137"/>
      <c r="J444" s="137"/>
      <c r="K444" s="160"/>
      <c r="L444" s="160"/>
      <c r="M444" s="137"/>
      <c r="N444" s="138"/>
      <c r="O444" s="138"/>
      <c r="P444" s="138"/>
      <c r="Q444" s="138"/>
      <c r="R444" s="138"/>
      <c r="S444" s="138"/>
      <c r="T444" s="138"/>
      <c r="U444" s="138"/>
      <c r="V444" s="150" t="e">
        <f t="shared" si="39"/>
        <v>#N/A</v>
      </c>
      <c r="W444" s="150" t="e">
        <f t="shared" si="39"/>
        <v>#N/A</v>
      </c>
      <c r="X444" s="150" t="e">
        <f t="shared" si="39"/>
        <v>#N/A</v>
      </c>
      <c r="Y444" s="150" t="e">
        <f t="shared" si="39"/>
        <v>#N/A</v>
      </c>
    </row>
    <row r="445" spans="1:25">
      <c r="A445" s="134"/>
      <c r="B445" s="158">
        <f t="shared" si="40"/>
        <v>38419</v>
      </c>
      <c r="C445" s="159" t="str">
        <f t="shared" si="41"/>
        <v/>
      </c>
      <c r="D445" s="159" t="str">
        <f t="shared" si="42"/>
        <v/>
      </c>
      <c r="E445" s="159" t="str">
        <f t="shared" si="43"/>
        <v/>
      </c>
      <c r="F445" s="159" t="str">
        <f t="shared" si="44"/>
        <v/>
      </c>
      <c r="G445" s="137"/>
      <c r="H445" s="137"/>
      <c r="I445" s="137"/>
      <c r="J445" s="137"/>
      <c r="K445" s="160"/>
      <c r="L445" s="160"/>
      <c r="M445" s="137"/>
      <c r="N445" s="138"/>
      <c r="O445" s="138"/>
      <c r="P445" s="138"/>
      <c r="Q445" s="138"/>
      <c r="R445" s="138"/>
      <c r="S445" s="138"/>
      <c r="T445" s="138"/>
      <c r="U445" s="138"/>
      <c r="V445" s="150" t="e">
        <f t="shared" si="39"/>
        <v>#N/A</v>
      </c>
      <c r="W445" s="150" t="e">
        <f t="shared" si="39"/>
        <v>#N/A</v>
      </c>
      <c r="X445" s="150" t="e">
        <f t="shared" si="39"/>
        <v>#N/A</v>
      </c>
      <c r="Y445" s="150" t="e">
        <f t="shared" si="39"/>
        <v>#N/A</v>
      </c>
    </row>
    <row r="446" spans="1:25">
      <c r="A446" s="134"/>
      <c r="B446" s="158">
        <f t="shared" si="40"/>
        <v>38420</v>
      </c>
      <c r="C446" s="159" t="str">
        <f t="shared" si="41"/>
        <v/>
      </c>
      <c r="D446" s="159" t="str">
        <f t="shared" si="42"/>
        <v/>
      </c>
      <c r="E446" s="159" t="str">
        <f t="shared" si="43"/>
        <v/>
      </c>
      <c r="F446" s="159" t="str">
        <f t="shared" si="44"/>
        <v/>
      </c>
      <c r="G446" s="137"/>
      <c r="H446" s="137"/>
      <c r="I446" s="137"/>
      <c r="J446" s="137"/>
      <c r="K446" s="160"/>
      <c r="L446" s="160"/>
      <c r="M446" s="137"/>
      <c r="N446" s="138"/>
      <c r="O446" s="138"/>
      <c r="P446" s="138"/>
      <c r="Q446" s="138"/>
      <c r="R446" s="138"/>
      <c r="S446" s="138"/>
      <c r="T446" s="138"/>
      <c r="U446" s="138"/>
      <c r="V446" s="150" t="e">
        <f t="shared" si="39"/>
        <v>#N/A</v>
      </c>
      <c r="W446" s="150" t="e">
        <f t="shared" si="39"/>
        <v>#N/A</v>
      </c>
      <c r="X446" s="150" t="e">
        <f t="shared" si="39"/>
        <v>#N/A</v>
      </c>
      <c r="Y446" s="150" t="e">
        <f t="shared" si="39"/>
        <v>#N/A</v>
      </c>
    </row>
    <row r="447" spans="1:25">
      <c r="A447" s="134"/>
      <c r="B447" s="158">
        <f t="shared" si="40"/>
        <v>38421</v>
      </c>
      <c r="C447" s="159" t="str">
        <f t="shared" si="41"/>
        <v/>
      </c>
      <c r="D447" s="159" t="str">
        <f t="shared" si="42"/>
        <v/>
      </c>
      <c r="E447" s="159" t="str">
        <f t="shared" si="43"/>
        <v/>
      </c>
      <c r="F447" s="159" t="str">
        <f t="shared" si="44"/>
        <v/>
      </c>
      <c r="G447" s="137"/>
      <c r="H447" s="137"/>
      <c r="I447" s="137"/>
      <c r="J447" s="137"/>
      <c r="K447" s="160"/>
      <c r="L447" s="160"/>
      <c r="M447" s="137"/>
      <c r="N447" s="138"/>
      <c r="O447" s="138"/>
      <c r="P447" s="138"/>
      <c r="Q447" s="138"/>
      <c r="R447" s="138"/>
      <c r="S447" s="138"/>
      <c r="T447" s="138"/>
      <c r="U447" s="138"/>
      <c r="V447" s="150" t="e">
        <f t="shared" si="39"/>
        <v>#N/A</v>
      </c>
      <c r="W447" s="150" t="e">
        <f t="shared" si="39"/>
        <v>#N/A</v>
      </c>
      <c r="X447" s="150" t="e">
        <f t="shared" si="39"/>
        <v>#N/A</v>
      </c>
      <c r="Y447" s="150" t="e">
        <f t="shared" si="39"/>
        <v>#N/A</v>
      </c>
    </row>
    <row r="448" spans="1:25">
      <c r="A448" s="134"/>
      <c r="B448" s="158">
        <f t="shared" si="40"/>
        <v>38422</v>
      </c>
      <c r="C448" s="159" t="str">
        <f t="shared" si="41"/>
        <v/>
      </c>
      <c r="D448" s="159" t="str">
        <f t="shared" si="42"/>
        <v/>
      </c>
      <c r="E448" s="159" t="str">
        <f t="shared" si="43"/>
        <v/>
      </c>
      <c r="F448" s="159" t="str">
        <f t="shared" si="44"/>
        <v/>
      </c>
      <c r="G448" s="137"/>
      <c r="H448" s="137"/>
      <c r="I448" s="137"/>
      <c r="J448" s="137"/>
      <c r="K448" s="160"/>
      <c r="L448" s="160"/>
      <c r="M448" s="137"/>
      <c r="N448" s="138"/>
      <c r="O448" s="138"/>
      <c r="P448" s="138"/>
      <c r="Q448" s="138"/>
      <c r="R448" s="138"/>
      <c r="S448" s="138"/>
      <c r="T448" s="138"/>
      <c r="U448" s="138"/>
      <c r="V448" s="150" t="e">
        <f t="shared" si="39"/>
        <v>#N/A</v>
      </c>
      <c r="W448" s="150" t="e">
        <f t="shared" si="39"/>
        <v>#N/A</v>
      </c>
      <c r="X448" s="150" t="e">
        <f t="shared" si="39"/>
        <v>#N/A</v>
      </c>
      <c r="Y448" s="150" t="e">
        <f t="shared" si="39"/>
        <v>#N/A</v>
      </c>
    </row>
    <row r="449" spans="1:25">
      <c r="A449" s="134"/>
      <c r="B449" s="158">
        <f t="shared" si="40"/>
        <v>38423</v>
      </c>
      <c r="C449" s="159" t="str">
        <f t="shared" si="41"/>
        <v/>
      </c>
      <c r="D449" s="159" t="str">
        <f t="shared" si="42"/>
        <v/>
      </c>
      <c r="E449" s="159" t="str">
        <f t="shared" si="43"/>
        <v/>
      </c>
      <c r="F449" s="159" t="str">
        <f t="shared" si="44"/>
        <v/>
      </c>
      <c r="G449" s="137"/>
      <c r="H449" s="137"/>
      <c r="I449" s="137"/>
      <c r="J449" s="137"/>
      <c r="K449" s="160"/>
      <c r="L449" s="160"/>
      <c r="M449" s="137"/>
      <c r="N449" s="138"/>
      <c r="O449" s="138"/>
      <c r="P449" s="138"/>
      <c r="Q449" s="138"/>
      <c r="R449" s="138"/>
      <c r="S449" s="138"/>
      <c r="T449" s="138"/>
      <c r="U449" s="138"/>
      <c r="V449" s="150" t="e">
        <f t="shared" si="39"/>
        <v>#N/A</v>
      </c>
      <c r="W449" s="150" t="e">
        <f t="shared" si="39"/>
        <v>#N/A</v>
      </c>
      <c r="X449" s="150" t="e">
        <f t="shared" si="39"/>
        <v>#N/A</v>
      </c>
      <c r="Y449" s="150" t="e">
        <f t="shared" si="39"/>
        <v>#N/A</v>
      </c>
    </row>
    <row r="450" spans="1:25">
      <c r="A450" s="134"/>
      <c r="B450" s="158">
        <f t="shared" si="40"/>
        <v>38424</v>
      </c>
      <c r="C450" s="159" t="str">
        <f t="shared" si="41"/>
        <v/>
      </c>
      <c r="D450" s="159" t="str">
        <f t="shared" si="42"/>
        <v/>
      </c>
      <c r="E450" s="159" t="str">
        <f t="shared" si="43"/>
        <v/>
      </c>
      <c r="F450" s="159" t="str">
        <f t="shared" si="44"/>
        <v/>
      </c>
      <c r="G450" s="137"/>
      <c r="H450" s="137"/>
      <c r="I450" s="137"/>
      <c r="J450" s="137"/>
      <c r="K450" s="160"/>
      <c r="L450" s="160"/>
      <c r="M450" s="137"/>
      <c r="N450" s="138"/>
      <c r="O450" s="138"/>
      <c r="P450" s="138"/>
      <c r="Q450" s="138"/>
      <c r="R450" s="138"/>
      <c r="S450" s="138"/>
      <c r="T450" s="138"/>
      <c r="U450" s="138"/>
      <c r="V450" s="150" t="e">
        <f t="shared" si="39"/>
        <v>#N/A</v>
      </c>
      <c r="W450" s="150" t="e">
        <f t="shared" si="39"/>
        <v>#N/A</v>
      </c>
      <c r="X450" s="150" t="e">
        <f t="shared" si="39"/>
        <v>#N/A</v>
      </c>
      <c r="Y450" s="150" t="e">
        <f t="shared" si="39"/>
        <v>#N/A</v>
      </c>
    </row>
    <row r="451" spans="1:25">
      <c r="A451" s="134"/>
      <c r="B451" s="158">
        <f t="shared" si="40"/>
        <v>38425</v>
      </c>
      <c r="C451" s="159" t="str">
        <f t="shared" si="41"/>
        <v/>
      </c>
      <c r="D451" s="159" t="str">
        <f t="shared" si="42"/>
        <v/>
      </c>
      <c r="E451" s="159" t="str">
        <f t="shared" si="43"/>
        <v/>
      </c>
      <c r="F451" s="159" t="str">
        <f t="shared" si="44"/>
        <v/>
      </c>
      <c r="G451" s="137"/>
      <c r="H451" s="137"/>
      <c r="I451" s="137"/>
      <c r="J451" s="137"/>
      <c r="K451" s="160"/>
      <c r="L451" s="160"/>
      <c r="M451" s="137"/>
      <c r="N451" s="138"/>
      <c r="O451" s="138"/>
      <c r="P451" s="138"/>
      <c r="Q451" s="138"/>
      <c r="R451" s="138"/>
      <c r="S451" s="138"/>
      <c r="T451" s="138"/>
      <c r="U451" s="138"/>
      <c r="V451" s="150" t="e">
        <f t="shared" si="39"/>
        <v>#N/A</v>
      </c>
      <c r="W451" s="150" t="e">
        <f t="shared" si="39"/>
        <v>#N/A</v>
      </c>
      <c r="X451" s="150" t="e">
        <f t="shared" si="39"/>
        <v>#N/A</v>
      </c>
      <c r="Y451" s="150" t="e">
        <f t="shared" si="39"/>
        <v>#N/A</v>
      </c>
    </row>
    <row r="452" spans="1:25">
      <c r="A452" s="134"/>
      <c r="B452" s="158">
        <f t="shared" si="40"/>
        <v>38426</v>
      </c>
      <c r="C452" s="159" t="str">
        <f t="shared" si="41"/>
        <v/>
      </c>
      <c r="D452" s="159" t="str">
        <f t="shared" si="42"/>
        <v/>
      </c>
      <c r="E452" s="159" t="str">
        <f t="shared" si="43"/>
        <v/>
      </c>
      <c r="F452" s="159" t="str">
        <f t="shared" si="44"/>
        <v/>
      </c>
      <c r="G452" s="137"/>
      <c r="H452" s="137"/>
      <c r="I452" s="137"/>
      <c r="J452" s="137"/>
      <c r="K452" s="160"/>
      <c r="L452" s="160"/>
      <c r="M452" s="137"/>
      <c r="N452" s="138"/>
      <c r="O452" s="138"/>
      <c r="P452" s="138"/>
      <c r="Q452" s="138"/>
      <c r="R452" s="138"/>
      <c r="S452" s="138"/>
      <c r="T452" s="138"/>
      <c r="U452" s="138"/>
      <c r="V452" s="150" t="e">
        <f t="shared" si="39"/>
        <v>#N/A</v>
      </c>
      <c r="W452" s="150" t="e">
        <f t="shared" si="39"/>
        <v>#N/A</v>
      </c>
      <c r="X452" s="150" t="e">
        <f t="shared" si="39"/>
        <v>#N/A</v>
      </c>
      <c r="Y452" s="150" t="e">
        <f t="shared" si="39"/>
        <v>#N/A</v>
      </c>
    </row>
    <row r="453" spans="1:25">
      <c r="A453" s="134"/>
      <c r="B453" s="158">
        <f t="shared" si="40"/>
        <v>38427</v>
      </c>
      <c r="C453" s="159" t="str">
        <f t="shared" si="41"/>
        <v/>
      </c>
      <c r="D453" s="159" t="str">
        <f t="shared" si="42"/>
        <v/>
      </c>
      <c r="E453" s="159" t="str">
        <f t="shared" si="43"/>
        <v/>
      </c>
      <c r="F453" s="159" t="str">
        <f t="shared" si="44"/>
        <v/>
      </c>
      <c r="G453" s="137"/>
      <c r="H453" s="137"/>
      <c r="I453" s="137"/>
      <c r="J453" s="137"/>
      <c r="K453" s="160"/>
      <c r="L453" s="160"/>
      <c r="M453" s="137"/>
      <c r="N453" s="138"/>
      <c r="O453" s="138"/>
      <c r="P453" s="138"/>
      <c r="Q453" s="138"/>
      <c r="R453" s="138"/>
      <c r="S453" s="138"/>
      <c r="T453" s="138"/>
      <c r="U453" s="138"/>
      <c r="V453" s="150" t="e">
        <f t="shared" si="39"/>
        <v>#N/A</v>
      </c>
      <c r="W453" s="150" t="e">
        <f t="shared" si="39"/>
        <v>#N/A</v>
      </c>
      <c r="X453" s="150" t="e">
        <f t="shared" si="39"/>
        <v>#N/A</v>
      </c>
      <c r="Y453" s="150" t="e">
        <f t="shared" si="39"/>
        <v>#N/A</v>
      </c>
    </row>
    <row r="454" spans="1:25">
      <c r="A454" s="134"/>
      <c r="B454" s="158">
        <f t="shared" si="40"/>
        <v>38428</v>
      </c>
      <c r="C454" s="159" t="str">
        <f t="shared" si="41"/>
        <v/>
      </c>
      <c r="D454" s="159" t="str">
        <f t="shared" si="42"/>
        <v/>
      </c>
      <c r="E454" s="159" t="str">
        <f t="shared" si="43"/>
        <v/>
      </c>
      <c r="F454" s="159" t="str">
        <f t="shared" si="44"/>
        <v/>
      </c>
      <c r="G454" s="137"/>
      <c r="H454" s="137"/>
      <c r="I454" s="137"/>
      <c r="J454" s="137"/>
      <c r="K454" s="160"/>
      <c r="L454" s="160"/>
      <c r="M454" s="137"/>
      <c r="N454" s="138"/>
      <c r="O454" s="138"/>
      <c r="P454" s="138"/>
      <c r="Q454" s="138"/>
      <c r="R454" s="138"/>
      <c r="S454" s="138"/>
      <c r="T454" s="138"/>
      <c r="U454" s="138"/>
      <c r="V454" s="150" t="e">
        <f t="shared" si="39"/>
        <v>#N/A</v>
      </c>
      <c r="W454" s="150" t="e">
        <f t="shared" si="39"/>
        <v>#N/A</v>
      </c>
      <c r="X454" s="150" t="e">
        <f t="shared" si="39"/>
        <v>#N/A</v>
      </c>
      <c r="Y454" s="150" t="e">
        <f t="shared" si="39"/>
        <v>#N/A</v>
      </c>
    </row>
    <row r="455" spans="1:25">
      <c r="A455" s="134"/>
      <c r="B455" s="158">
        <f t="shared" si="40"/>
        <v>38429</v>
      </c>
      <c r="C455" s="159" t="str">
        <f t="shared" si="41"/>
        <v/>
      </c>
      <c r="D455" s="159" t="str">
        <f t="shared" si="42"/>
        <v/>
      </c>
      <c r="E455" s="159" t="str">
        <f t="shared" si="43"/>
        <v/>
      </c>
      <c r="F455" s="159" t="str">
        <f t="shared" si="44"/>
        <v/>
      </c>
      <c r="G455" s="137"/>
      <c r="H455" s="137"/>
      <c r="I455" s="137"/>
      <c r="J455" s="137"/>
      <c r="K455" s="160"/>
      <c r="L455" s="160"/>
      <c r="M455" s="137"/>
      <c r="N455" s="138"/>
      <c r="O455" s="138"/>
      <c r="P455" s="138"/>
      <c r="Q455" s="138"/>
      <c r="R455" s="138"/>
      <c r="S455" s="138"/>
      <c r="T455" s="138"/>
      <c r="U455" s="138"/>
      <c r="V455" s="150" t="e">
        <f t="shared" si="39"/>
        <v>#N/A</v>
      </c>
      <c r="W455" s="150" t="e">
        <f t="shared" si="39"/>
        <v>#N/A</v>
      </c>
      <c r="X455" s="150" t="e">
        <f t="shared" si="39"/>
        <v>#N/A</v>
      </c>
      <c r="Y455" s="150" t="e">
        <f t="shared" si="39"/>
        <v>#N/A</v>
      </c>
    </row>
    <row r="456" spans="1:25">
      <c r="A456" s="134"/>
      <c r="B456" s="158">
        <f t="shared" si="40"/>
        <v>38430</v>
      </c>
      <c r="C456" s="159" t="str">
        <f t="shared" si="41"/>
        <v/>
      </c>
      <c r="D456" s="159" t="str">
        <f t="shared" si="42"/>
        <v/>
      </c>
      <c r="E456" s="159" t="str">
        <f t="shared" si="43"/>
        <v/>
      </c>
      <c r="F456" s="159" t="str">
        <f t="shared" si="44"/>
        <v/>
      </c>
      <c r="G456" s="137"/>
      <c r="H456" s="137"/>
      <c r="I456" s="137"/>
      <c r="J456" s="137"/>
      <c r="K456" s="160"/>
      <c r="L456" s="160"/>
      <c r="M456" s="137"/>
      <c r="N456" s="138"/>
      <c r="O456" s="138"/>
      <c r="P456" s="138"/>
      <c r="Q456" s="138"/>
      <c r="R456" s="138"/>
      <c r="S456" s="138"/>
      <c r="T456" s="138"/>
      <c r="U456" s="138"/>
      <c r="V456" s="150" t="e">
        <f t="shared" si="39"/>
        <v>#N/A</v>
      </c>
      <c r="W456" s="150" t="e">
        <f t="shared" si="39"/>
        <v>#N/A</v>
      </c>
      <c r="X456" s="150" t="e">
        <f t="shared" si="39"/>
        <v>#N/A</v>
      </c>
      <c r="Y456" s="150" t="e">
        <f t="shared" si="39"/>
        <v>#N/A</v>
      </c>
    </row>
    <row r="457" spans="1:25">
      <c r="A457" s="134"/>
      <c r="B457" s="158">
        <f t="shared" si="40"/>
        <v>38431</v>
      </c>
      <c r="C457" s="159" t="str">
        <f t="shared" si="41"/>
        <v/>
      </c>
      <c r="D457" s="159" t="str">
        <f t="shared" si="42"/>
        <v/>
      </c>
      <c r="E457" s="159" t="str">
        <f t="shared" si="43"/>
        <v/>
      </c>
      <c r="F457" s="159" t="str">
        <f t="shared" si="44"/>
        <v/>
      </c>
      <c r="G457" s="137"/>
      <c r="H457" s="137"/>
      <c r="I457" s="137"/>
      <c r="J457" s="137"/>
      <c r="K457" s="160"/>
      <c r="L457" s="160"/>
      <c r="M457" s="137"/>
      <c r="N457" s="138"/>
      <c r="O457" s="138"/>
      <c r="P457" s="138"/>
      <c r="Q457" s="138"/>
      <c r="R457" s="138"/>
      <c r="S457" s="138"/>
      <c r="T457" s="138"/>
      <c r="U457" s="138"/>
      <c r="V457" s="150" t="e">
        <f t="shared" si="39"/>
        <v>#N/A</v>
      </c>
      <c r="W457" s="150" t="e">
        <f t="shared" si="39"/>
        <v>#N/A</v>
      </c>
      <c r="X457" s="150" t="e">
        <f t="shared" si="39"/>
        <v>#N/A</v>
      </c>
      <c r="Y457" s="150" t="e">
        <f t="shared" si="39"/>
        <v>#N/A</v>
      </c>
    </row>
    <row r="458" spans="1:25">
      <c r="A458" s="134"/>
      <c r="B458" s="158">
        <f t="shared" si="40"/>
        <v>38432</v>
      </c>
      <c r="C458" s="159" t="str">
        <f t="shared" si="41"/>
        <v/>
      </c>
      <c r="D458" s="159" t="str">
        <f t="shared" si="42"/>
        <v/>
      </c>
      <c r="E458" s="159" t="str">
        <f t="shared" si="43"/>
        <v/>
      </c>
      <c r="F458" s="159" t="str">
        <f t="shared" si="44"/>
        <v/>
      </c>
      <c r="G458" s="137"/>
      <c r="H458" s="137"/>
      <c r="I458" s="137"/>
      <c r="J458" s="137"/>
      <c r="K458" s="160"/>
      <c r="L458" s="160"/>
      <c r="M458" s="137"/>
      <c r="N458" s="138"/>
      <c r="O458" s="138"/>
      <c r="P458" s="138"/>
      <c r="Q458" s="138"/>
      <c r="R458" s="138"/>
      <c r="S458" s="138"/>
      <c r="T458" s="138"/>
      <c r="U458" s="138"/>
      <c r="V458" s="150" t="e">
        <f t="shared" si="39"/>
        <v>#N/A</v>
      </c>
      <c r="W458" s="150" t="e">
        <f t="shared" si="39"/>
        <v>#N/A</v>
      </c>
      <c r="X458" s="150" t="e">
        <f t="shared" si="39"/>
        <v>#N/A</v>
      </c>
      <c r="Y458" s="150" t="e">
        <f t="shared" si="39"/>
        <v>#N/A</v>
      </c>
    </row>
    <row r="459" spans="1:25">
      <c r="A459" s="134"/>
      <c r="B459" s="158">
        <f t="shared" si="40"/>
        <v>38433</v>
      </c>
      <c r="C459" s="159" t="str">
        <f t="shared" si="41"/>
        <v/>
      </c>
      <c r="D459" s="159" t="str">
        <f t="shared" si="42"/>
        <v/>
      </c>
      <c r="E459" s="159" t="str">
        <f t="shared" si="43"/>
        <v/>
      </c>
      <c r="F459" s="159" t="str">
        <f t="shared" si="44"/>
        <v/>
      </c>
      <c r="G459" s="137"/>
      <c r="H459" s="137"/>
      <c r="I459" s="137"/>
      <c r="J459" s="137"/>
      <c r="K459" s="160"/>
      <c r="L459" s="160"/>
      <c r="M459" s="137"/>
      <c r="N459" s="138"/>
      <c r="O459" s="138"/>
      <c r="P459" s="138"/>
      <c r="Q459" s="138"/>
      <c r="R459" s="138"/>
      <c r="S459" s="138"/>
      <c r="T459" s="138"/>
      <c r="U459" s="138"/>
      <c r="V459" s="150" t="e">
        <f t="shared" si="39"/>
        <v>#N/A</v>
      </c>
      <c r="W459" s="150" t="e">
        <f t="shared" si="39"/>
        <v>#N/A</v>
      </c>
      <c r="X459" s="150" t="e">
        <f t="shared" si="39"/>
        <v>#N/A</v>
      </c>
      <c r="Y459" s="150" t="e">
        <f t="shared" si="39"/>
        <v>#N/A</v>
      </c>
    </row>
    <row r="460" spans="1:25">
      <c r="A460" s="134"/>
      <c r="B460" s="158">
        <f t="shared" si="40"/>
        <v>38434</v>
      </c>
      <c r="C460" s="159" t="str">
        <f t="shared" si="41"/>
        <v/>
      </c>
      <c r="D460" s="159" t="str">
        <f t="shared" si="42"/>
        <v/>
      </c>
      <c r="E460" s="159" t="str">
        <f t="shared" si="43"/>
        <v/>
      </c>
      <c r="F460" s="159" t="str">
        <f t="shared" si="44"/>
        <v/>
      </c>
      <c r="G460" s="137"/>
      <c r="H460" s="137"/>
      <c r="I460" s="137"/>
      <c r="J460" s="137"/>
      <c r="K460" s="160"/>
      <c r="L460" s="160"/>
      <c r="M460" s="137"/>
      <c r="N460" s="138"/>
      <c r="O460" s="138"/>
      <c r="P460" s="138"/>
      <c r="Q460" s="138"/>
      <c r="R460" s="138"/>
      <c r="S460" s="138"/>
      <c r="T460" s="138"/>
      <c r="U460" s="138"/>
      <c r="V460" s="150" t="e">
        <f t="shared" si="39"/>
        <v>#N/A</v>
      </c>
      <c r="W460" s="150" t="e">
        <f t="shared" si="39"/>
        <v>#N/A</v>
      </c>
      <c r="X460" s="150" t="e">
        <f t="shared" si="39"/>
        <v>#N/A</v>
      </c>
      <c r="Y460" s="150" t="e">
        <f t="shared" ref="Y460:Y523" si="45">IF(F460="",#N/A,F460)</f>
        <v>#N/A</v>
      </c>
    </row>
    <row r="461" spans="1:25">
      <c r="A461" s="134"/>
      <c r="B461" s="158">
        <f t="shared" si="40"/>
        <v>38435</v>
      </c>
      <c r="C461" s="159" t="str">
        <f t="shared" si="41"/>
        <v/>
      </c>
      <c r="D461" s="159" t="str">
        <f t="shared" si="42"/>
        <v/>
      </c>
      <c r="E461" s="159" t="str">
        <f t="shared" si="43"/>
        <v/>
      </c>
      <c r="F461" s="159" t="str">
        <f t="shared" si="44"/>
        <v/>
      </c>
      <c r="G461" s="137"/>
      <c r="H461" s="137"/>
      <c r="I461" s="137"/>
      <c r="J461" s="137"/>
      <c r="K461" s="160"/>
      <c r="L461" s="160"/>
      <c r="M461" s="137"/>
      <c r="N461" s="138"/>
      <c r="O461" s="138"/>
      <c r="P461" s="138"/>
      <c r="Q461" s="138"/>
      <c r="R461" s="138"/>
      <c r="S461" s="138"/>
      <c r="T461" s="138"/>
      <c r="U461" s="138"/>
      <c r="V461" s="150" t="e">
        <f t="shared" ref="V461:Y524" si="46">IF(C461="",#N/A,C461)</f>
        <v>#N/A</v>
      </c>
      <c r="W461" s="150" t="e">
        <f t="shared" si="46"/>
        <v>#N/A</v>
      </c>
      <c r="X461" s="150" t="e">
        <f t="shared" si="46"/>
        <v>#N/A</v>
      </c>
      <c r="Y461" s="150" t="e">
        <f t="shared" si="45"/>
        <v>#N/A</v>
      </c>
    </row>
    <row r="462" spans="1:25">
      <c r="A462" s="134"/>
      <c r="B462" s="158">
        <f t="shared" si="40"/>
        <v>38436</v>
      </c>
      <c r="C462" s="159" t="str">
        <f t="shared" si="41"/>
        <v/>
      </c>
      <c r="D462" s="159" t="str">
        <f t="shared" si="42"/>
        <v/>
      </c>
      <c r="E462" s="159" t="str">
        <f t="shared" si="43"/>
        <v/>
      </c>
      <c r="F462" s="159" t="str">
        <f t="shared" si="44"/>
        <v/>
      </c>
      <c r="G462" s="137"/>
      <c r="H462" s="137"/>
      <c r="I462" s="137"/>
      <c r="J462" s="137"/>
      <c r="K462" s="160"/>
      <c r="L462" s="160"/>
      <c r="M462" s="137"/>
      <c r="N462" s="138"/>
      <c r="O462" s="138"/>
      <c r="P462" s="138"/>
      <c r="Q462" s="138"/>
      <c r="R462" s="138"/>
      <c r="S462" s="138"/>
      <c r="T462" s="138"/>
      <c r="U462" s="138"/>
      <c r="V462" s="150" t="e">
        <f t="shared" si="46"/>
        <v>#N/A</v>
      </c>
      <c r="W462" s="150" t="e">
        <f t="shared" si="46"/>
        <v>#N/A</v>
      </c>
      <c r="X462" s="150" t="e">
        <f t="shared" si="46"/>
        <v>#N/A</v>
      </c>
      <c r="Y462" s="150" t="e">
        <f t="shared" si="45"/>
        <v>#N/A</v>
      </c>
    </row>
    <row r="463" spans="1:25">
      <c r="A463" s="134"/>
      <c r="B463" s="158">
        <f t="shared" ref="B463:B526" si="47">B462+1</f>
        <v>38437</v>
      </c>
      <c r="C463" s="159" t="str">
        <f t="shared" ref="C463:C526" si="48">IF(OR(B463&lt;B$6,B463&gt;B$10),"",G$8)</f>
        <v/>
      </c>
      <c r="D463" s="159" t="str">
        <f t="shared" ref="D463:D526" si="49">IF(B463=B$6,W$6,IF(B463&gt;B$10,"",IF(B463&gt;=B$9,D462+X$9,IF(B463&gt;B$8,D462+X$8,IF(B463&gt;B$7,D462+X$7,IF(B463&gt;B$6,W$6,""))))))</f>
        <v/>
      </c>
      <c r="E463" s="159" t="str">
        <f t="shared" ref="E463:E526" si="50">IF($B463=$B$6,L$6,IF($B463&gt;$B$10,"",IF($B463&gt;=$B$9,E462+V$9,IF($B463&gt;$B$8,E462+V$8,IF($B463&gt;$B$7,E462+V$7,IF($B463&gt;$B$6,L$6,""))))))</f>
        <v/>
      </c>
      <c r="F463" s="159" t="str">
        <f t="shared" ref="F463:F526" si="51">IF(C463="","",C463-E463)</f>
        <v/>
      </c>
      <c r="G463" s="137"/>
      <c r="H463" s="137"/>
      <c r="I463" s="137"/>
      <c r="J463" s="137"/>
      <c r="K463" s="160"/>
      <c r="L463" s="160"/>
      <c r="M463" s="137"/>
      <c r="N463" s="138"/>
      <c r="O463" s="138"/>
      <c r="P463" s="138"/>
      <c r="Q463" s="138"/>
      <c r="R463" s="138"/>
      <c r="S463" s="138"/>
      <c r="T463" s="138"/>
      <c r="U463" s="138"/>
      <c r="V463" s="150" t="e">
        <f t="shared" si="46"/>
        <v>#N/A</v>
      </c>
      <c r="W463" s="150" t="e">
        <f t="shared" si="46"/>
        <v>#N/A</v>
      </c>
      <c r="X463" s="150" t="e">
        <f t="shared" si="46"/>
        <v>#N/A</v>
      </c>
      <c r="Y463" s="150" t="e">
        <f t="shared" si="45"/>
        <v>#N/A</v>
      </c>
    </row>
    <row r="464" spans="1:25">
      <c r="A464" s="134"/>
      <c r="B464" s="158">
        <f t="shared" si="47"/>
        <v>38438</v>
      </c>
      <c r="C464" s="159" t="str">
        <f t="shared" si="48"/>
        <v/>
      </c>
      <c r="D464" s="159" t="str">
        <f t="shared" si="49"/>
        <v/>
      </c>
      <c r="E464" s="159" t="str">
        <f t="shared" si="50"/>
        <v/>
      </c>
      <c r="F464" s="159" t="str">
        <f t="shared" si="51"/>
        <v/>
      </c>
      <c r="G464" s="137"/>
      <c r="H464" s="137"/>
      <c r="I464" s="137"/>
      <c r="J464" s="137"/>
      <c r="K464" s="160"/>
      <c r="L464" s="160"/>
      <c r="M464" s="137"/>
      <c r="N464" s="138"/>
      <c r="O464" s="138"/>
      <c r="P464" s="138"/>
      <c r="Q464" s="138"/>
      <c r="R464" s="138"/>
      <c r="S464" s="138"/>
      <c r="T464" s="138"/>
      <c r="U464" s="138"/>
      <c r="V464" s="150" t="e">
        <f t="shared" si="46"/>
        <v>#N/A</v>
      </c>
      <c r="W464" s="150" t="e">
        <f t="shared" si="46"/>
        <v>#N/A</v>
      </c>
      <c r="X464" s="150" t="e">
        <f t="shared" si="46"/>
        <v>#N/A</v>
      </c>
      <c r="Y464" s="150" t="e">
        <f t="shared" si="45"/>
        <v>#N/A</v>
      </c>
    </row>
    <row r="465" spans="1:25">
      <c r="A465" s="134"/>
      <c r="B465" s="158">
        <f t="shared" si="47"/>
        <v>38439</v>
      </c>
      <c r="C465" s="159" t="str">
        <f t="shared" si="48"/>
        <v/>
      </c>
      <c r="D465" s="159" t="str">
        <f t="shared" si="49"/>
        <v/>
      </c>
      <c r="E465" s="159" t="str">
        <f t="shared" si="50"/>
        <v/>
      </c>
      <c r="F465" s="159" t="str">
        <f t="shared" si="51"/>
        <v/>
      </c>
      <c r="G465" s="137"/>
      <c r="H465" s="137"/>
      <c r="I465" s="137"/>
      <c r="J465" s="137"/>
      <c r="K465" s="160"/>
      <c r="L465" s="160"/>
      <c r="M465" s="137"/>
      <c r="N465" s="138"/>
      <c r="O465" s="138"/>
      <c r="P465" s="138"/>
      <c r="Q465" s="138"/>
      <c r="R465" s="138"/>
      <c r="S465" s="138"/>
      <c r="T465" s="138"/>
      <c r="U465" s="138"/>
      <c r="V465" s="150" t="e">
        <f t="shared" si="46"/>
        <v>#N/A</v>
      </c>
      <c r="W465" s="150" t="e">
        <f t="shared" si="46"/>
        <v>#N/A</v>
      </c>
      <c r="X465" s="150" t="e">
        <f t="shared" si="46"/>
        <v>#N/A</v>
      </c>
      <c r="Y465" s="150" t="e">
        <f t="shared" si="45"/>
        <v>#N/A</v>
      </c>
    </row>
    <row r="466" spans="1:25">
      <c r="A466" s="134"/>
      <c r="B466" s="158">
        <f t="shared" si="47"/>
        <v>38440</v>
      </c>
      <c r="C466" s="159" t="str">
        <f t="shared" si="48"/>
        <v/>
      </c>
      <c r="D466" s="159" t="str">
        <f t="shared" si="49"/>
        <v/>
      </c>
      <c r="E466" s="159" t="str">
        <f t="shared" si="50"/>
        <v/>
      </c>
      <c r="F466" s="159" t="str">
        <f t="shared" si="51"/>
        <v/>
      </c>
      <c r="G466" s="137"/>
      <c r="H466" s="137"/>
      <c r="I466" s="137"/>
      <c r="J466" s="137"/>
      <c r="K466" s="160"/>
      <c r="L466" s="160"/>
      <c r="M466" s="137"/>
      <c r="N466" s="138"/>
      <c r="O466" s="138"/>
      <c r="P466" s="138"/>
      <c r="Q466" s="138"/>
      <c r="R466" s="138"/>
      <c r="S466" s="138"/>
      <c r="T466" s="138"/>
      <c r="U466" s="138"/>
      <c r="V466" s="150" t="e">
        <f t="shared" si="46"/>
        <v>#N/A</v>
      </c>
      <c r="W466" s="150" t="e">
        <f t="shared" si="46"/>
        <v>#N/A</v>
      </c>
      <c r="X466" s="150" t="e">
        <f t="shared" si="46"/>
        <v>#N/A</v>
      </c>
      <c r="Y466" s="150" t="e">
        <f t="shared" si="45"/>
        <v>#N/A</v>
      </c>
    </row>
    <row r="467" spans="1:25">
      <c r="A467" s="134"/>
      <c r="B467" s="158">
        <f t="shared" si="47"/>
        <v>38441</v>
      </c>
      <c r="C467" s="159" t="str">
        <f t="shared" si="48"/>
        <v/>
      </c>
      <c r="D467" s="159" t="str">
        <f t="shared" si="49"/>
        <v/>
      </c>
      <c r="E467" s="159" t="str">
        <f t="shared" si="50"/>
        <v/>
      </c>
      <c r="F467" s="159" t="str">
        <f t="shared" si="51"/>
        <v/>
      </c>
      <c r="G467" s="137"/>
      <c r="H467" s="137"/>
      <c r="I467" s="137"/>
      <c r="J467" s="137"/>
      <c r="K467" s="160"/>
      <c r="L467" s="160"/>
      <c r="M467" s="137"/>
      <c r="N467" s="138"/>
      <c r="O467" s="138"/>
      <c r="P467" s="138"/>
      <c r="Q467" s="138"/>
      <c r="R467" s="138"/>
      <c r="S467" s="138"/>
      <c r="T467" s="138"/>
      <c r="U467" s="138"/>
      <c r="V467" s="150" t="e">
        <f t="shared" si="46"/>
        <v>#N/A</v>
      </c>
      <c r="W467" s="150" t="e">
        <f t="shared" si="46"/>
        <v>#N/A</v>
      </c>
      <c r="X467" s="150" t="e">
        <f t="shared" si="46"/>
        <v>#N/A</v>
      </c>
      <c r="Y467" s="150" t="e">
        <f t="shared" si="45"/>
        <v>#N/A</v>
      </c>
    </row>
    <row r="468" spans="1:25">
      <c r="A468" s="134"/>
      <c r="B468" s="158">
        <f t="shared" si="47"/>
        <v>38442</v>
      </c>
      <c r="C468" s="159" t="str">
        <f t="shared" si="48"/>
        <v/>
      </c>
      <c r="D468" s="159" t="str">
        <f t="shared" si="49"/>
        <v/>
      </c>
      <c r="E468" s="159" t="str">
        <f t="shared" si="50"/>
        <v/>
      </c>
      <c r="F468" s="159" t="str">
        <f t="shared" si="51"/>
        <v/>
      </c>
      <c r="G468" s="137"/>
      <c r="H468" s="137"/>
      <c r="I468" s="137"/>
      <c r="J468" s="137"/>
      <c r="K468" s="160"/>
      <c r="L468" s="160"/>
      <c r="M468" s="137"/>
      <c r="N468" s="138"/>
      <c r="O468" s="138"/>
      <c r="P468" s="138"/>
      <c r="Q468" s="138"/>
      <c r="R468" s="138"/>
      <c r="S468" s="138"/>
      <c r="T468" s="138"/>
      <c r="U468" s="138"/>
      <c r="V468" s="150" t="e">
        <f t="shared" si="46"/>
        <v>#N/A</v>
      </c>
      <c r="W468" s="150" t="e">
        <f t="shared" si="46"/>
        <v>#N/A</v>
      </c>
      <c r="X468" s="150" t="e">
        <f t="shared" si="46"/>
        <v>#N/A</v>
      </c>
      <c r="Y468" s="150" t="e">
        <f t="shared" si="45"/>
        <v>#N/A</v>
      </c>
    </row>
    <row r="469" spans="1:25">
      <c r="A469" s="134"/>
      <c r="B469" s="158">
        <f t="shared" si="47"/>
        <v>38443</v>
      </c>
      <c r="C469" s="159" t="str">
        <f t="shared" si="48"/>
        <v/>
      </c>
      <c r="D469" s="159" t="str">
        <f t="shared" si="49"/>
        <v/>
      </c>
      <c r="E469" s="159" t="str">
        <f t="shared" si="50"/>
        <v/>
      </c>
      <c r="F469" s="159" t="str">
        <f t="shared" si="51"/>
        <v/>
      </c>
      <c r="G469" s="137"/>
      <c r="H469" s="137"/>
      <c r="I469" s="137"/>
      <c r="J469" s="137"/>
      <c r="K469" s="160"/>
      <c r="L469" s="160"/>
      <c r="M469" s="137"/>
      <c r="N469" s="138"/>
      <c r="O469" s="138"/>
      <c r="P469" s="138"/>
      <c r="Q469" s="138"/>
      <c r="R469" s="138"/>
      <c r="S469" s="138"/>
      <c r="T469" s="138"/>
      <c r="U469" s="138"/>
      <c r="V469" s="150" t="e">
        <f t="shared" si="46"/>
        <v>#N/A</v>
      </c>
      <c r="W469" s="150" t="e">
        <f t="shared" si="46"/>
        <v>#N/A</v>
      </c>
      <c r="X469" s="150" t="e">
        <f t="shared" si="46"/>
        <v>#N/A</v>
      </c>
      <c r="Y469" s="150" t="e">
        <f t="shared" si="45"/>
        <v>#N/A</v>
      </c>
    </row>
    <row r="470" spans="1:25">
      <c r="A470" s="134"/>
      <c r="B470" s="158">
        <f t="shared" si="47"/>
        <v>38444</v>
      </c>
      <c r="C470" s="159" t="str">
        <f t="shared" si="48"/>
        <v/>
      </c>
      <c r="D470" s="159" t="str">
        <f t="shared" si="49"/>
        <v/>
      </c>
      <c r="E470" s="159" t="str">
        <f t="shared" si="50"/>
        <v/>
      </c>
      <c r="F470" s="159" t="str">
        <f t="shared" si="51"/>
        <v/>
      </c>
      <c r="G470" s="137"/>
      <c r="H470" s="137"/>
      <c r="I470" s="137"/>
      <c r="J470" s="137"/>
      <c r="K470" s="160"/>
      <c r="L470" s="160"/>
      <c r="M470" s="137"/>
      <c r="N470" s="138"/>
      <c r="O470" s="138"/>
      <c r="P470" s="138"/>
      <c r="Q470" s="138"/>
      <c r="R470" s="138"/>
      <c r="S470" s="138"/>
      <c r="T470" s="138"/>
      <c r="U470" s="138"/>
      <c r="V470" s="150" t="e">
        <f t="shared" si="46"/>
        <v>#N/A</v>
      </c>
      <c r="W470" s="150" t="e">
        <f t="shared" si="46"/>
        <v>#N/A</v>
      </c>
      <c r="X470" s="150" t="e">
        <f t="shared" si="46"/>
        <v>#N/A</v>
      </c>
      <c r="Y470" s="150" t="e">
        <f t="shared" si="45"/>
        <v>#N/A</v>
      </c>
    </row>
    <row r="471" spans="1:25">
      <c r="A471" s="134"/>
      <c r="B471" s="158">
        <f t="shared" si="47"/>
        <v>38445</v>
      </c>
      <c r="C471" s="159" t="str">
        <f t="shared" si="48"/>
        <v/>
      </c>
      <c r="D471" s="159" t="str">
        <f t="shared" si="49"/>
        <v/>
      </c>
      <c r="E471" s="159" t="str">
        <f t="shared" si="50"/>
        <v/>
      </c>
      <c r="F471" s="159" t="str">
        <f t="shared" si="51"/>
        <v/>
      </c>
      <c r="G471" s="137"/>
      <c r="H471" s="137"/>
      <c r="I471" s="137"/>
      <c r="J471" s="137"/>
      <c r="K471" s="160"/>
      <c r="L471" s="160"/>
      <c r="M471" s="137"/>
      <c r="N471" s="138"/>
      <c r="O471" s="138"/>
      <c r="P471" s="138"/>
      <c r="Q471" s="138"/>
      <c r="R471" s="138"/>
      <c r="S471" s="138"/>
      <c r="T471" s="138"/>
      <c r="U471" s="138"/>
      <c r="V471" s="150" t="e">
        <f t="shared" si="46"/>
        <v>#N/A</v>
      </c>
      <c r="W471" s="150" t="e">
        <f t="shared" si="46"/>
        <v>#N/A</v>
      </c>
      <c r="X471" s="150" t="e">
        <f t="shared" si="46"/>
        <v>#N/A</v>
      </c>
      <c r="Y471" s="150" t="e">
        <f t="shared" si="45"/>
        <v>#N/A</v>
      </c>
    </row>
    <row r="472" spans="1:25">
      <c r="A472" s="134"/>
      <c r="B472" s="158">
        <f t="shared" si="47"/>
        <v>38446</v>
      </c>
      <c r="C472" s="159" t="str">
        <f t="shared" si="48"/>
        <v/>
      </c>
      <c r="D472" s="159" t="str">
        <f t="shared" si="49"/>
        <v/>
      </c>
      <c r="E472" s="159" t="str">
        <f t="shared" si="50"/>
        <v/>
      </c>
      <c r="F472" s="159" t="str">
        <f t="shared" si="51"/>
        <v/>
      </c>
      <c r="G472" s="137"/>
      <c r="H472" s="137"/>
      <c r="I472" s="137"/>
      <c r="J472" s="137"/>
      <c r="K472" s="160"/>
      <c r="L472" s="160"/>
      <c r="M472" s="137"/>
      <c r="N472" s="138"/>
      <c r="O472" s="138"/>
      <c r="P472" s="138"/>
      <c r="Q472" s="138"/>
      <c r="R472" s="138"/>
      <c r="S472" s="138"/>
      <c r="T472" s="138"/>
      <c r="U472" s="138"/>
      <c r="V472" s="150" t="e">
        <f t="shared" si="46"/>
        <v>#N/A</v>
      </c>
      <c r="W472" s="150" t="e">
        <f t="shared" si="46"/>
        <v>#N/A</v>
      </c>
      <c r="X472" s="150" t="e">
        <f t="shared" si="46"/>
        <v>#N/A</v>
      </c>
      <c r="Y472" s="150" t="e">
        <f t="shared" si="45"/>
        <v>#N/A</v>
      </c>
    </row>
    <row r="473" spans="1:25">
      <c r="A473" s="134"/>
      <c r="B473" s="158">
        <f t="shared" si="47"/>
        <v>38447</v>
      </c>
      <c r="C473" s="159" t="str">
        <f t="shared" si="48"/>
        <v/>
      </c>
      <c r="D473" s="159" t="str">
        <f t="shared" si="49"/>
        <v/>
      </c>
      <c r="E473" s="159" t="str">
        <f t="shared" si="50"/>
        <v/>
      </c>
      <c r="F473" s="159" t="str">
        <f t="shared" si="51"/>
        <v/>
      </c>
      <c r="G473" s="137"/>
      <c r="H473" s="137"/>
      <c r="I473" s="137"/>
      <c r="J473" s="137"/>
      <c r="K473" s="160"/>
      <c r="L473" s="160"/>
      <c r="M473" s="137"/>
      <c r="N473" s="138"/>
      <c r="O473" s="138"/>
      <c r="P473" s="138"/>
      <c r="Q473" s="138"/>
      <c r="R473" s="138"/>
      <c r="S473" s="138"/>
      <c r="T473" s="138"/>
      <c r="U473" s="138"/>
      <c r="V473" s="150" t="e">
        <f t="shared" si="46"/>
        <v>#N/A</v>
      </c>
      <c r="W473" s="150" t="e">
        <f t="shared" si="46"/>
        <v>#N/A</v>
      </c>
      <c r="X473" s="150" t="e">
        <f t="shared" si="46"/>
        <v>#N/A</v>
      </c>
      <c r="Y473" s="150" t="e">
        <f t="shared" si="45"/>
        <v>#N/A</v>
      </c>
    </row>
    <row r="474" spans="1:25">
      <c r="A474" s="134"/>
      <c r="B474" s="158">
        <f t="shared" si="47"/>
        <v>38448</v>
      </c>
      <c r="C474" s="159" t="str">
        <f t="shared" si="48"/>
        <v/>
      </c>
      <c r="D474" s="159" t="str">
        <f t="shared" si="49"/>
        <v/>
      </c>
      <c r="E474" s="159" t="str">
        <f t="shared" si="50"/>
        <v/>
      </c>
      <c r="F474" s="159" t="str">
        <f t="shared" si="51"/>
        <v/>
      </c>
      <c r="G474" s="137"/>
      <c r="H474" s="137"/>
      <c r="I474" s="137"/>
      <c r="J474" s="137"/>
      <c r="K474" s="160"/>
      <c r="L474" s="160"/>
      <c r="M474" s="137"/>
      <c r="N474" s="138"/>
      <c r="O474" s="138"/>
      <c r="P474" s="138"/>
      <c r="Q474" s="138"/>
      <c r="R474" s="138"/>
      <c r="S474" s="138"/>
      <c r="T474" s="138"/>
      <c r="U474" s="138"/>
      <c r="V474" s="150" t="e">
        <f t="shared" si="46"/>
        <v>#N/A</v>
      </c>
      <c r="W474" s="150" t="e">
        <f t="shared" si="46"/>
        <v>#N/A</v>
      </c>
      <c r="X474" s="150" t="e">
        <f t="shared" si="46"/>
        <v>#N/A</v>
      </c>
      <c r="Y474" s="150" t="e">
        <f t="shared" si="45"/>
        <v>#N/A</v>
      </c>
    </row>
    <row r="475" spans="1:25">
      <c r="A475" s="134"/>
      <c r="B475" s="158">
        <f t="shared" si="47"/>
        <v>38449</v>
      </c>
      <c r="C475" s="159" t="str">
        <f t="shared" si="48"/>
        <v/>
      </c>
      <c r="D475" s="159" t="str">
        <f t="shared" si="49"/>
        <v/>
      </c>
      <c r="E475" s="159" t="str">
        <f t="shared" si="50"/>
        <v/>
      </c>
      <c r="F475" s="159" t="str">
        <f t="shared" si="51"/>
        <v/>
      </c>
      <c r="G475" s="137"/>
      <c r="H475" s="137"/>
      <c r="I475" s="137"/>
      <c r="J475" s="137"/>
      <c r="K475" s="160"/>
      <c r="L475" s="160"/>
      <c r="M475" s="137"/>
      <c r="N475" s="138"/>
      <c r="O475" s="138"/>
      <c r="P475" s="138"/>
      <c r="Q475" s="138"/>
      <c r="R475" s="138"/>
      <c r="S475" s="138"/>
      <c r="T475" s="138"/>
      <c r="U475" s="138"/>
      <c r="V475" s="150" t="e">
        <f t="shared" si="46"/>
        <v>#N/A</v>
      </c>
      <c r="W475" s="150" t="e">
        <f t="shared" si="46"/>
        <v>#N/A</v>
      </c>
      <c r="X475" s="150" t="e">
        <f t="shared" si="46"/>
        <v>#N/A</v>
      </c>
      <c r="Y475" s="150" t="e">
        <f t="shared" si="45"/>
        <v>#N/A</v>
      </c>
    </row>
    <row r="476" spans="1:25">
      <c r="A476" s="134"/>
      <c r="B476" s="158">
        <f t="shared" si="47"/>
        <v>38450</v>
      </c>
      <c r="C476" s="159" t="str">
        <f t="shared" si="48"/>
        <v/>
      </c>
      <c r="D476" s="159" t="str">
        <f t="shared" si="49"/>
        <v/>
      </c>
      <c r="E476" s="159" t="str">
        <f t="shared" si="50"/>
        <v/>
      </c>
      <c r="F476" s="159" t="str">
        <f t="shared" si="51"/>
        <v/>
      </c>
      <c r="G476" s="137"/>
      <c r="H476" s="137"/>
      <c r="I476" s="137"/>
      <c r="J476" s="137"/>
      <c r="K476" s="160"/>
      <c r="L476" s="160"/>
      <c r="M476" s="137"/>
      <c r="N476" s="138"/>
      <c r="O476" s="138"/>
      <c r="P476" s="138"/>
      <c r="Q476" s="138"/>
      <c r="R476" s="138"/>
      <c r="S476" s="138"/>
      <c r="T476" s="138"/>
      <c r="U476" s="138"/>
      <c r="V476" s="150" t="e">
        <f t="shared" si="46"/>
        <v>#N/A</v>
      </c>
      <c r="W476" s="150" t="e">
        <f t="shared" si="46"/>
        <v>#N/A</v>
      </c>
      <c r="X476" s="150" t="e">
        <f t="shared" si="46"/>
        <v>#N/A</v>
      </c>
      <c r="Y476" s="150" t="e">
        <f t="shared" si="45"/>
        <v>#N/A</v>
      </c>
    </row>
    <row r="477" spans="1:25">
      <c r="A477" s="134"/>
      <c r="B477" s="158">
        <f t="shared" si="47"/>
        <v>38451</v>
      </c>
      <c r="C477" s="159" t="str">
        <f t="shared" si="48"/>
        <v/>
      </c>
      <c r="D477" s="159" t="str">
        <f t="shared" si="49"/>
        <v/>
      </c>
      <c r="E477" s="159" t="str">
        <f t="shared" si="50"/>
        <v/>
      </c>
      <c r="F477" s="159" t="str">
        <f t="shared" si="51"/>
        <v/>
      </c>
      <c r="G477" s="137"/>
      <c r="H477" s="137"/>
      <c r="I477" s="137"/>
      <c r="J477" s="137"/>
      <c r="K477" s="160"/>
      <c r="L477" s="160"/>
      <c r="M477" s="137"/>
      <c r="N477" s="138"/>
      <c r="O477" s="138"/>
      <c r="P477" s="138"/>
      <c r="Q477" s="138"/>
      <c r="R477" s="138"/>
      <c r="S477" s="138"/>
      <c r="T477" s="138"/>
      <c r="U477" s="138"/>
      <c r="V477" s="150" t="e">
        <f t="shared" si="46"/>
        <v>#N/A</v>
      </c>
      <c r="W477" s="150" t="e">
        <f t="shared" si="46"/>
        <v>#N/A</v>
      </c>
      <c r="X477" s="150" t="e">
        <f t="shared" si="46"/>
        <v>#N/A</v>
      </c>
      <c r="Y477" s="150" t="e">
        <f t="shared" si="45"/>
        <v>#N/A</v>
      </c>
    </row>
    <row r="478" spans="1:25">
      <c r="A478" s="134"/>
      <c r="B478" s="158">
        <f t="shared" si="47"/>
        <v>38452</v>
      </c>
      <c r="C478" s="159" t="str">
        <f t="shared" si="48"/>
        <v/>
      </c>
      <c r="D478" s="159" t="str">
        <f t="shared" si="49"/>
        <v/>
      </c>
      <c r="E478" s="159" t="str">
        <f t="shared" si="50"/>
        <v/>
      </c>
      <c r="F478" s="159" t="str">
        <f t="shared" si="51"/>
        <v/>
      </c>
      <c r="G478" s="137"/>
      <c r="H478" s="137"/>
      <c r="I478" s="137"/>
      <c r="J478" s="137"/>
      <c r="K478" s="160"/>
      <c r="L478" s="160"/>
      <c r="M478" s="137"/>
      <c r="N478" s="138"/>
      <c r="O478" s="138"/>
      <c r="P478" s="138"/>
      <c r="Q478" s="138"/>
      <c r="R478" s="138"/>
      <c r="S478" s="138"/>
      <c r="T478" s="138"/>
      <c r="U478" s="138"/>
      <c r="V478" s="150" t="e">
        <f t="shared" si="46"/>
        <v>#N/A</v>
      </c>
      <c r="W478" s="150" t="e">
        <f t="shared" si="46"/>
        <v>#N/A</v>
      </c>
      <c r="X478" s="150" t="e">
        <f t="shared" si="46"/>
        <v>#N/A</v>
      </c>
      <c r="Y478" s="150" t="e">
        <f t="shared" si="45"/>
        <v>#N/A</v>
      </c>
    </row>
    <row r="479" spans="1:25">
      <c r="A479" s="134"/>
      <c r="B479" s="158">
        <f t="shared" si="47"/>
        <v>38453</v>
      </c>
      <c r="C479" s="159" t="str">
        <f t="shared" si="48"/>
        <v/>
      </c>
      <c r="D479" s="159" t="str">
        <f t="shared" si="49"/>
        <v/>
      </c>
      <c r="E479" s="159" t="str">
        <f t="shared" si="50"/>
        <v/>
      </c>
      <c r="F479" s="159" t="str">
        <f t="shared" si="51"/>
        <v/>
      </c>
      <c r="G479" s="137"/>
      <c r="H479" s="137"/>
      <c r="I479" s="137"/>
      <c r="J479" s="137"/>
      <c r="K479" s="160"/>
      <c r="L479" s="160"/>
      <c r="M479" s="137"/>
      <c r="N479" s="138"/>
      <c r="O479" s="138"/>
      <c r="P479" s="138"/>
      <c r="Q479" s="138"/>
      <c r="R479" s="138"/>
      <c r="S479" s="138"/>
      <c r="T479" s="138"/>
      <c r="U479" s="138"/>
      <c r="V479" s="150" t="e">
        <f t="shared" si="46"/>
        <v>#N/A</v>
      </c>
      <c r="W479" s="150" t="e">
        <f t="shared" si="46"/>
        <v>#N/A</v>
      </c>
      <c r="X479" s="150" t="e">
        <f t="shared" si="46"/>
        <v>#N/A</v>
      </c>
      <c r="Y479" s="150" t="e">
        <f t="shared" si="45"/>
        <v>#N/A</v>
      </c>
    </row>
    <row r="480" spans="1:25">
      <c r="A480" s="134"/>
      <c r="B480" s="158">
        <f t="shared" si="47"/>
        <v>38454</v>
      </c>
      <c r="C480" s="159" t="str">
        <f t="shared" si="48"/>
        <v/>
      </c>
      <c r="D480" s="159" t="str">
        <f t="shared" si="49"/>
        <v/>
      </c>
      <c r="E480" s="159" t="str">
        <f t="shared" si="50"/>
        <v/>
      </c>
      <c r="F480" s="159" t="str">
        <f t="shared" si="51"/>
        <v/>
      </c>
      <c r="G480" s="137"/>
      <c r="H480" s="137"/>
      <c r="I480" s="137"/>
      <c r="J480" s="137"/>
      <c r="K480" s="160"/>
      <c r="L480" s="160"/>
      <c r="M480" s="137"/>
      <c r="N480" s="138"/>
      <c r="O480" s="138"/>
      <c r="P480" s="138"/>
      <c r="Q480" s="138"/>
      <c r="R480" s="138"/>
      <c r="S480" s="138"/>
      <c r="T480" s="138"/>
      <c r="U480" s="138"/>
      <c r="V480" s="150" t="e">
        <f t="shared" si="46"/>
        <v>#N/A</v>
      </c>
      <c r="W480" s="150" t="e">
        <f t="shared" si="46"/>
        <v>#N/A</v>
      </c>
      <c r="X480" s="150" t="e">
        <f t="shared" si="46"/>
        <v>#N/A</v>
      </c>
      <c r="Y480" s="150" t="e">
        <f t="shared" si="45"/>
        <v>#N/A</v>
      </c>
    </row>
    <row r="481" spans="1:25">
      <c r="A481" s="134"/>
      <c r="B481" s="158">
        <f t="shared" si="47"/>
        <v>38455</v>
      </c>
      <c r="C481" s="159" t="str">
        <f t="shared" si="48"/>
        <v/>
      </c>
      <c r="D481" s="159" t="str">
        <f t="shared" si="49"/>
        <v/>
      </c>
      <c r="E481" s="159" t="str">
        <f t="shared" si="50"/>
        <v/>
      </c>
      <c r="F481" s="159" t="str">
        <f t="shared" si="51"/>
        <v/>
      </c>
      <c r="G481" s="137"/>
      <c r="H481" s="137"/>
      <c r="I481" s="137"/>
      <c r="J481" s="137"/>
      <c r="K481" s="160"/>
      <c r="L481" s="160"/>
      <c r="M481" s="137"/>
      <c r="N481" s="138"/>
      <c r="O481" s="138"/>
      <c r="P481" s="138"/>
      <c r="Q481" s="138"/>
      <c r="R481" s="138"/>
      <c r="S481" s="138"/>
      <c r="T481" s="138"/>
      <c r="U481" s="138"/>
      <c r="V481" s="150" t="e">
        <f t="shared" si="46"/>
        <v>#N/A</v>
      </c>
      <c r="W481" s="150" t="e">
        <f t="shared" si="46"/>
        <v>#N/A</v>
      </c>
      <c r="X481" s="150" t="e">
        <f t="shared" si="46"/>
        <v>#N/A</v>
      </c>
      <c r="Y481" s="150" t="e">
        <f t="shared" si="45"/>
        <v>#N/A</v>
      </c>
    </row>
    <row r="482" spans="1:25">
      <c r="A482" s="134"/>
      <c r="B482" s="158">
        <f t="shared" si="47"/>
        <v>38456</v>
      </c>
      <c r="C482" s="159" t="str">
        <f t="shared" si="48"/>
        <v/>
      </c>
      <c r="D482" s="159" t="str">
        <f t="shared" si="49"/>
        <v/>
      </c>
      <c r="E482" s="159" t="str">
        <f t="shared" si="50"/>
        <v/>
      </c>
      <c r="F482" s="159" t="str">
        <f t="shared" si="51"/>
        <v/>
      </c>
      <c r="G482" s="137"/>
      <c r="H482" s="137"/>
      <c r="I482" s="137"/>
      <c r="J482" s="137"/>
      <c r="K482" s="160"/>
      <c r="L482" s="160"/>
      <c r="M482" s="137"/>
      <c r="N482" s="138"/>
      <c r="O482" s="138"/>
      <c r="P482" s="138"/>
      <c r="Q482" s="138"/>
      <c r="R482" s="138"/>
      <c r="S482" s="138"/>
      <c r="T482" s="138"/>
      <c r="U482" s="138"/>
      <c r="V482" s="150" t="e">
        <f t="shared" si="46"/>
        <v>#N/A</v>
      </c>
      <c r="W482" s="150" t="e">
        <f t="shared" si="46"/>
        <v>#N/A</v>
      </c>
      <c r="X482" s="150" t="e">
        <f t="shared" si="46"/>
        <v>#N/A</v>
      </c>
      <c r="Y482" s="150" t="e">
        <f t="shared" si="45"/>
        <v>#N/A</v>
      </c>
    </row>
    <row r="483" spans="1:25">
      <c r="A483" s="134"/>
      <c r="B483" s="158">
        <f t="shared" si="47"/>
        <v>38457</v>
      </c>
      <c r="C483" s="159" t="str">
        <f t="shared" si="48"/>
        <v/>
      </c>
      <c r="D483" s="159" t="str">
        <f t="shared" si="49"/>
        <v/>
      </c>
      <c r="E483" s="159" t="str">
        <f t="shared" si="50"/>
        <v/>
      </c>
      <c r="F483" s="159" t="str">
        <f t="shared" si="51"/>
        <v/>
      </c>
      <c r="G483" s="137"/>
      <c r="H483" s="137"/>
      <c r="I483" s="137"/>
      <c r="J483" s="137"/>
      <c r="K483" s="160"/>
      <c r="L483" s="160"/>
      <c r="M483" s="137"/>
      <c r="N483" s="138"/>
      <c r="O483" s="138"/>
      <c r="P483" s="138"/>
      <c r="Q483" s="138"/>
      <c r="R483" s="138"/>
      <c r="S483" s="138"/>
      <c r="T483" s="138"/>
      <c r="U483" s="138"/>
      <c r="V483" s="150" t="e">
        <f t="shared" si="46"/>
        <v>#N/A</v>
      </c>
      <c r="W483" s="150" t="e">
        <f t="shared" si="46"/>
        <v>#N/A</v>
      </c>
      <c r="X483" s="150" t="e">
        <f t="shared" si="46"/>
        <v>#N/A</v>
      </c>
      <c r="Y483" s="150" t="e">
        <f t="shared" si="45"/>
        <v>#N/A</v>
      </c>
    </row>
    <row r="484" spans="1:25">
      <c r="A484" s="134"/>
      <c r="B484" s="158">
        <f t="shared" si="47"/>
        <v>38458</v>
      </c>
      <c r="C484" s="159" t="str">
        <f t="shared" si="48"/>
        <v/>
      </c>
      <c r="D484" s="159" t="str">
        <f t="shared" si="49"/>
        <v/>
      </c>
      <c r="E484" s="159" t="str">
        <f t="shared" si="50"/>
        <v/>
      </c>
      <c r="F484" s="159" t="str">
        <f t="shared" si="51"/>
        <v/>
      </c>
      <c r="G484" s="137"/>
      <c r="H484" s="137"/>
      <c r="I484" s="137"/>
      <c r="J484" s="137"/>
      <c r="K484" s="160"/>
      <c r="L484" s="160"/>
      <c r="M484" s="137"/>
      <c r="N484" s="138"/>
      <c r="O484" s="138"/>
      <c r="P484" s="138"/>
      <c r="Q484" s="138"/>
      <c r="R484" s="138"/>
      <c r="S484" s="138"/>
      <c r="T484" s="138"/>
      <c r="U484" s="138"/>
      <c r="V484" s="150" t="e">
        <f t="shared" si="46"/>
        <v>#N/A</v>
      </c>
      <c r="W484" s="150" t="e">
        <f t="shared" si="46"/>
        <v>#N/A</v>
      </c>
      <c r="X484" s="150" t="e">
        <f t="shared" si="46"/>
        <v>#N/A</v>
      </c>
      <c r="Y484" s="150" t="e">
        <f t="shared" si="45"/>
        <v>#N/A</v>
      </c>
    </row>
    <row r="485" spans="1:25">
      <c r="A485" s="134"/>
      <c r="B485" s="158">
        <f t="shared" si="47"/>
        <v>38459</v>
      </c>
      <c r="C485" s="159" t="str">
        <f t="shared" si="48"/>
        <v/>
      </c>
      <c r="D485" s="159" t="str">
        <f t="shared" si="49"/>
        <v/>
      </c>
      <c r="E485" s="159" t="str">
        <f t="shared" si="50"/>
        <v/>
      </c>
      <c r="F485" s="159" t="str">
        <f t="shared" si="51"/>
        <v/>
      </c>
      <c r="G485" s="137"/>
      <c r="H485" s="137"/>
      <c r="I485" s="137"/>
      <c r="J485" s="137"/>
      <c r="K485" s="160"/>
      <c r="L485" s="160"/>
      <c r="M485" s="137"/>
      <c r="N485" s="138"/>
      <c r="O485" s="138"/>
      <c r="P485" s="138"/>
      <c r="Q485" s="138"/>
      <c r="R485" s="138"/>
      <c r="S485" s="138"/>
      <c r="T485" s="138"/>
      <c r="U485" s="138"/>
      <c r="V485" s="150" t="e">
        <f t="shared" si="46"/>
        <v>#N/A</v>
      </c>
      <c r="W485" s="150" t="e">
        <f t="shared" si="46"/>
        <v>#N/A</v>
      </c>
      <c r="X485" s="150" t="e">
        <f t="shared" si="46"/>
        <v>#N/A</v>
      </c>
      <c r="Y485" s="150" t="e">
        <f t="shared" si="45"/>
        <v>#N/A</v>
      </c>
    </row>
    <row r="486" spans="1:25">
      <c r="A486" s="134"/>
      <c r="B486" s="158">
        <f t="shared" si="47"/>
        <v>38460</v>
      </c>
      <c r="C486" s="159" t="str">
        <f t="shared" si="48"/>
        <v/>
      </c>
      <c r="D486" s="159" t="str">
        <f t="shared" si="49"/>
        <v/>
      </c>
      <c r="E486" s="159" t="str">
        <f t="shared" si="50"/>
        <v/>
      </c>
      <c r="F486" s="159" t="str">
        <f t="shared" si="51"/>
        <v/>
      </c>
      <c r="G486" s="137"/>
      <c r="H486" s="137"/>
      <c r="I486" s="137"/>
      <c r="J486" s="137"/>
      <c r="K486" s="160"/>
      <c r="L486" s="160"/>
      <c r="M486" s="137"/>
      <c r="N486" s="138"/>
      <c r="O486" s="138"/>
      <c r="P486" s="138"/>
      <c r="Q486" s="138"/>
      <c r="R486" s="138"/>
      <c r="S486" s="138"/>
      <c r="T486" s="138"/>
      <c r="U486" s="138"/>
      <c r="V486" s="150" t="e">
        <f t="shared" si="46"/>
        <v>#N/A</v>
      </c>
      <c r="W486" s="150" t="e">
        <f t="shared" si="46"/>
        <v>#N/A</v>
      </c>
      <c r="X486" s="150" t="e">
        <f t="shared" si="46"/>
        <v>#N/A</v>
      </c>
      <c r="Y486" s="150" t="e">
        <f t="shared" si="45"/>
        <v>#N/A</v>
      </c>
    </row>
    <row r="487" spans="1:25">
      <c r="A487" s="134"/>
      <c r="B487" s="158">
        <f t="shared" si="47"/>
        <v>38461</v>
      </c>
      <c r="C487" s="159" t="str">
        <f t="shared" si="48"/>
        <v/>
      </c>
      <c r="D487" s="159" t="str">
        <f t="shared" si="49"/>
        <v/>
      </c>
      <c r="E487" s="159" t="str">
        <f t="shared" si="50"/>
        <v/>
      </c>
      <c r="F487" s="159" t="str">
        <f t="shared" si="51"/>
        <v/>
      </c>
      <c r="G487" s="137"/>
      <c r="H487" s="137"/>
      <c r="I487" s="137"/>
      <c r="J487" s="137"/>
      <c r="K487" s="160"/>
      <c r="L487" s="160"/>
      <c r="M487" s="137"/>
      <c r="N487" s="138"/>
      <c r="O487" s="138"/>
      <c r="P487" s="138"/>
      <c r="Q487" s="138"/>
      <c r="R487" s="138"/>
      <c r="S487" s="138"/>
      <c r="T487" s="138"/>
      <c r="U487" s="138"/>
      <c r="V487" s="150" t="e">
        <f t="shared" si="46"/>
        <v>#N/A</v>
      </c>
      <c r="W487" s="150" t="e">
        <f t="shared" si="46"/>
        <v>#N/A</v>
      </c>
      <c r="X487" s="150" t="e">
        <f t="shared" si="46"/>
        <v>#N/A</v>
      </c>
      <c r="Y487" s="150" t="e">
        <f t="shared" si="45"/>
        <v>#N/A</v>
      </c>
    </row>
    <row r="488" spans="1:25">
      <c r="A488" s="134"/>
      <c r="B488" s="158">
        <f t="shared" si="47"/>
        <v>38462</v>
      </c>
      <c r="C488" s="159" t="str">
        <f t="shared" si="48"/>
        <v/>
      </c>
      <c r="D488" s="159" t="str">
        <f t="shared" si="49"/>
        <v/>
      </c>
      <c r="E488" s="159" t="str">
        <f t="shared" si="50"/>
        <v/>
      </c>
      <c r="F488" s="159" t="str">
        <f t="shared" si="51"/>
        <v/>
      </c>
      <c r="G488" s="137"/>
      <c r="H488" s="137"/>
      <c r="I488" s="137"/>
      <c r="J488" s="137"/>
      <c r="K488" s="160"/>
      <c r="L488" s="160"/>
      <c r="M488" s="137"/>
      <c r="N488" s="138"/>
      <c r="O488" s="138"/>
      <c r="P488" s="138"/>
      <c r="Q488" s="138"/>
      <c r="R488" s="138"/>
      <c r="S488" s="138"/>
      <c r="T488" s="138"/>
      <c r="U488" s="138"/>
      <c r="V488" s="150" t="e">
        <f t="shared" si="46"/>
        <v>#N/A</v>
      </c>
      <c r="W488" s="150" t="e">
        <f t="shared" si="46"/>
        <v>#N/A</v>
      </c>
      <c r="X488" s="150" t="e">
        <f t="shared" si="46"/>
        <v>#N/A</v>
      </c>
      <c r="Y488" s="150" t="e">
        <f t="shared" si="45"/>
        <v>#N/A</v>
      </c>
    </row>
    <row r="489" spans="1:25">
      <c r="A489" s="134"/>
      <c r="B489" s="158">
        <f t="shared" si="47"/>
        <v>38463</v>
      </c>
      <c r="C489" s="159" t="str">
        <f t="shared" si="48"/>
        <v/>
      </c>
      <c r="D489" s="159" t="str">
        <f t="shared" si="49"/>
        <v/>
      </c>
      <c r="E489" s="159" t="str">
        <f t="shared" si="50"/>
        <v/>
      </c>
      <c r="F489" s="159" t="str">
        <f t="shared" si="51"/>
        <v/>
      </c>
      <c r="G489" s="137"/>
      <c r="H489" s="137"/>
      <c r="I489" s="137"/>
      <c r="J489" s="137"/>
      <c r="K489" s="160"/>
      <c r="L489" s="160"/>
      <c r="M489" s="137"/>
      <c r="N489" s="138"/>
      <c r="O489" s="138"/>
      <c r="P489" s="138"/>
      <c r="Q489" s="138"/>
      <c r="R489" s="138"/>
      <c r="S489" s="138"/>
      <c r="T489" s="138"/>
      <c r="U489" s="138"/>
      <c r="V489" s="150" t="e">
        <f t="shared" si="46"/>
        <v>#N/A</v>
      </c>
      <c r="W489" s="150" t="e">
        <f t="shared" si="46"/>
        <v>#N/A</v>
      </c>
      <c r="X489" s="150" t="e">
        <f t="shared" si="46"/>
        <v>#N/A</v>
      </c>
      <c r="Y489" s="150" t="e">
        <f t="shared" si="45"/>
        <v>#N/A</v>
      </c>
    </row>
    <row r="490" spans="1:25">
      <c r="A490" s="134"/>
      <c r="B490" s="158">
        <f t="shared" si="47"/>
        <v>38464</v>
      </c>
      <c r="C490" s="159" t="str">
        <f t="shared" si="48"/>
        <v/>
      </c>
      <c r="D490" s="159" t="str">
        <f t="shared" si="49"/>
        <v/>
      </c>
      <c r="E490" s="159" t="str">
        <f t="shared" si="50"/>
        <v/>
      </c>
      <c r="F490" s="159" t="str">
        <f t="shared" si="51"/>
        <v/>
      </c>
      <c r="G490" s="137"/>
      <c r="H490" s="137"/>
      <c r="I490" s="137"/>
      <c r="J490" s="137"/>
      <c r="K490" s="160"/>
      <c r="L490" s="160"/>
      <c r="M490" s="137"/>
      <c r="N490" s="138"/>
      <c r="O490" s="138"/>
      <c r="P490" s="138"/>
      <c r="Q490" s="138"/>
      <c r="R490" s="138"/>
      <c r="S490" s="138"/>
      <c r="T490" s="138"/>
      <c r="U490" s="138"/>
      <c r="V490" s="150" t="e">
        <f t="shared" si="46"/>
        <v>#N/A</v>
      </c>
      <c r="W490" s="150" t="e">
        <f t="shared" si="46"/>
        <v>#N/A</v>
      </c>
      <c r="X490" s="150" t="e">
        <f t="shared" si="46"/>
        <v>#N/A</v>
      </c>
      <c r="Y490" s="150" t="e">
        <f t="shared" si="45"/>
        <v>#N/A</v>
      </c>
    </row>
    <row r="491" spans="1:25">
      <c r="A491" s="134"/>
      <c r="B491" s="158">
        <f t="shared" si="47"/>
        <v>38465</v>
      </c>
      <c r="C491" s="159" t="str">
        <f t="shared" si="48"/>
        <v/>
      </c>
      <c r="D491" s="159" t="str">
        <f t="shared" si="49"/>
        <v/>
      </c>
      <c r="E491" s="159" t="str">
        <f t="shared" si="50"/>
        <v/>
      </c>
      <c r="F491" s="159" t="str">
        <f t="shared" si="51"/>
        <v/>
      </c>
      <c r="G491" s="137"/>
      <c r="H491" s="137"/>
      <c r="I491" s="137"/>
      <c r="J491" s="137"/>
      <c r="K491" s="160"/>
      <c r="L491" s="160"/>
      <c r="M491" s="137"/>
      <c r="N491" s="138"/>
      <c r="O491" s="138"/>
      <c r="P491" s="138"/>
      <c r="Q491" s="138"/>
      <c r="R491" s="138"/>
      <c r="S491" s="138"/>
      <c r="T491" s="138"/>
      <c r="U491" s="138"/>
      <c r="V491" s="150" t="e">
        <f t="shared" si="46"/>
        <v>#N/A</v>
      </c>
      <c r="W491" s="150" t="e">
        <f t="shared" si="46"/>
        <v>#N/A</v>
      </c>
      <c r="X491" s="150" t="e">
        <f t="shared" si="46"/>
        <v>#N/A</v>
      </c>
      <c r="Y491" s="150" t="e">
        <f t="shared" si="45"/>
        <v>#N/A</v>
      </c>
    </row>
    <row r="492" spans="1:25">
      <c r="A492" s="134"/>
      <c r="B492" s="158">
        <f t="shared" si="47"/>
        <v>38466</v>
      </c>
      <c r="C492" s="159" t="str">
        <f t="shared" si="48"/>
        <v/>
      </c>
      <c r="D492" s="159" t="str">
        <f t="shared" si="49"/>
        <v/>
      </c>
      <c r="E492" s="159" t="str">
        <f t="shared" si="50"/>
        <v/>
      </c>
      <c r="F492" s="159" t="str">
        <f t="shared" si="51"/>
        <v/>
      </c>
      <c r="G492" s="137"/>
      <c r="H492" s="137"/>
      <c r="I492" s="137"/>
      <c r="J492" s="137"/>
      <c r="K492" s="160"/>
      <c r="L492" s="160"/>
      <c r="M492" s="137"/>
      <c r="N492" s="138"/>
      <c r="O492" s="138"/>
      <c r="P492" s="138"/>
      <c r="Q492" s="138"/>
      <c r="R492" s="138"/>
      <c r="S492" s="138"/>
      <c r="T492" s="138"/>
      <c r="U492" s="138"/>
      <c r="V492" s="150" t="e">
        <f t="shared" si="46"/>
        <v>#N/A</v>
      </c>
      <c r="W492" s="150" t="e">
        <f t="shared" si="46"/>
        <v>#N/A</v>
      </c>
      <c r="X492" s="150" t="e">
        <f t="shared" si="46"/>
        <v>#N/A</v>
      </c>
      <c r="Y492" s="150" t="e">
        <f t="shared" si="45"/>
        <v>#N/A</v>
      </c>
    </row>
    <row r="493" spans="1:25">
      <c r="A493" s="134"/>
      <c r="B493" s="158">
        <f t="shared" si="47"/>
        <v>38467</v>
      </c>
      <c r="C493" s="159" t="str">
        <f t="shared" si="48"/>
        <v/>
      </c>
      <c r="D493" s="159" t="str">
        <f t="shared" si="49"/>
        <v/>
      </c>
      <c r="E493" s="159" t="str">
        <f t="shared" si="50"/>
        <v/>
      </c>
      <c r="F493" s="159" t="str">
        <f t="shared" si="51"/>
        <v/>
      </c>
      <c r="G493" s="137"/>
      <c r="H493" s="137"/>
      <c r="I493" s="137"/>
      <c r="J493" s="137"/>
      <c r="K493" s="160"/>
      <c r="L493" s="160"/>
      <c r="M493" s="137"/>
      <c r="N493" s="138"/>
      <c r="O493" s="138"/>
      <c r="P493" s="138"/>
      <c r="Q493" s="138"/>
      <c r="R493" s="138"/>
      <c r="S493" s="138"/>
      <c r="T493" s="138"/>
      <c r="U493" s="138"/>
      <c r="V493" s="150" t="e">
        <f t="shared" si="46"/>
        <v>#N/A</v>
      </c>
      <c r="W493" s="150" t="e">
        <f t="shared" si="46"/>
        <v>#N/A</v>
      </c>
      <c r="X493" s="150" t="e">
        <f t="shared" si="46"/>
        <v>#N/A</v>
      </c>
      <c r="Y493" s="150" t="e">
        <f t="shared" si="45"/>
        <v>#N/A</v>
      </c>
    </row>
    <row r="494" spans="1:25">
      <c r="A494" s="134"/>
      <c r="B494" s="158">
        <f t="shared" si="47"/>
        <v>38468</v>
      </c>
      <c r="C494" s="159" t="str">
        <f t="shared" si="48"/>
        <v/>
      </c>
      <c r="D494" s="159" t="str">
        <f t="shared" si="49"/>
        <v/>
      </c>
      <c r="E494" s="159" t="str">
        <f t="shared" si="50"/>
        <v/>
      </c>
      <c r="F494" s="159" t="str">
        <f t="shared" si="51"/>
        <v/>
      </c>
      <c r="G494" s="137"/>
      <c r="H494" s="137"/>
      <c r="I494" s="137"/>
      <c r="J494" s="137"/>
      <c r="K494" s="160"/>
      <c r="L494" s="160"/>
      <c r="M494" s="137"/>
      <c r="N494" s="138"/>
      <c r="O494" s="138"/>
      <c r="P494" s="138"/>
      <c r="Q494" s="138"/>
      <c r="R494" s="138"/>
      <c r="S494" s="138"/>
      <c r="T494" s="138"/>
      <c r="U494" s="138"/>
      <c r="V494" s="150" t="e">
        <f t="shared" si="46"/>
        <v>#N/A</v>
      </c>
      <c r="W494" s="150" t="e">
        <f t="shared" si="46"/>
        <v>#N/A</v>
      </c>
      <c r="X494" s="150" t="e">
        <f t="shared" si="46"/>
        <v>#N/A</v>
      </c>
      <c r="Y494" s="150" t="e">
        <f t="shared" si="45"/>
        <v>#N/A</v>
      </c>
    </row>
    <row r="495" spans="1:25">
      <c r="A495" s="134"/>
      <c r="B495" s="158">
        <f t="shared" si="47"/>
        <v>38469</v>
      </c>
      <c r="C495" s="159" t="str">
        <f t="shared" si="48"/>
        <v/>
      </c>
      <c r="D495" s="159" t="str">
        <f t="shared" si="49"/>
        <v/>
      </c>
      <c r="E495" s="159" t="str">
        <f t="shared" si="50"/>
        <v/>
      </c>
      <c r="F495" s="159" t="str">
        <f t="shared" si="51"/>
        <v/>
      </c>
      <c r="G495" s="137"/>
      <c r="H495" s="137"/>
      <c r="I495" s="137"/>
      <c r="J495" s="137"/>
      <c r="K495" s="160"/>
      <c r="L495" s="160"/>
      <c r="M495" s="137"/>
      <c r="N495" s="138"/>
      <c r="O495" s="138"/>
      <c r="P495" s="138"/>
      <c r="Q495" s="138"/>
      <c r="R495" s="138"/>
      <c r="S495" s="138"/>
      <c r="T495" s="138"/>
      <c r="U495" s="138"/>
      <c r="V495" s="150" t="e">
        <f t="shared" si="46"/>
        <v>#N/A</v>
      </c>
      <c r="W495" s="150" t="e">
        <f t="shared" si="46"/>
        <v>#N/A</v>
      </c>
      <c r="X495" s="150" t="e">
        <f t="shared" si="46"/>
        <v>#N/A</v>
      </c>
      <c r="Y495" s="150" t="e">
        <f t="shared" si="45"/>
        <v>#N/A</v>
      </c>
    </row>
    <row r="496" spans="1:25">
      <c r="A496" s="134"/>
      <c r="B496" s="158">
        <f t="shared" si="47"/>
        <v>38470</v>
      </c>
      <c r="C496" s="159" t="str">
        <f t="shared" si="48"/>
        <v/>
      </c>
      <c r="D496" s="159" t="str">
        <f t="shared" si="49"/>
        <v/>
      </c>
      <c r="E496" s="159" t="str">
        <f t="shared" si="50"/>
        <v/>
      </c>
      <c r="F496" s="159" t="str">
        <f t="shared" si="51"/>
        <v/>
      </c>
      <c r="G496" s="137"/>
      <c r="H496" s="137"/>
      <c r="I496" s="137"/>
      <c r="J496" s="137"/>
      <c r="K496" s="160"/>
      <c r="L496" s="160"/>
      <c r="M496" s="137"/>
      <c r="N496" s="138"/>
      <c r="O496" s="138"/>
      <c r="P496" s="138"/>
      <c r="Q496" s="138"/>
      <c r="R496" s="138"/>
      <c r="S496" s="138"/>
      <c r="T496" s="138"/>
      <c r="U496" s="138"/>
      <c r="V496" s="150" t="e">
        <f t="shared" si="46"/>
        <v>#N/A</v>
      </c>
      <c r="W496" s="150" t="e">
        <f t="shared" si="46"/>
        <v>#N/A</v>
      </c>
      <c r="X496" s="150" t="e">
        <f t="shared" si="46"/>
        <v>#N/A</v>
      </c>
      <c r="Y496" s="150" t="e">
        <f t="shared" si="45"/>
        <v>#N/A</v>
      </c>
    </row>
    <row r="497" spans="1:25">
      <c r="A497" s="134"/>
      <c r="B497" s="158">
        <f t="shared" si="47"/>
        <v>38471</v>
      </c>
      <c r="C497" s="159" t="str">
        <f t="shared" si="48"/>
        <v/>
      </c>
      <c r="D497" s="159" t="str">
        <f t="shared" si="49"/>
        <v/>
      </c>
      <c r="E497" s="159" t="str">
        <f t="shared" si="50"/>
        <v/>
      </c>
      <c r="F497" s="159" t="str">
        <f t="shared" si="51"/>
        <v/>
      </c>
      <c r="G497" s="137"/>
      <c r="H497" s="137"/>
      <c r="I497" s="137"/>
      <c r="J497" s="137"/>
      <c r="K497" s="160"/>
      <c r="L497" s="160"/>
      <c r="M497" s="137"/>
      <c r="N497" s="138"/>
      <c r="O497" s="138"/>
      <c r="P497" s="138"/>
      <c r="Q497" s="138"/>
      <c r="R497" s="138"/>
      <c r="S497" s="138"/>
      <c r="T497" s="138"/>
      <c r="U497" s="138"/>
      <c r="V497" s="150" t="e">
        <f t="shared" si="46"/>
        <v>#N/A</v>
      </c>
      <c r="W497" s="150" t="e">
        <f t="shared" si="46"/>
        <v>#N/A</v>
      </c>
      <c r="X497" s="150" t="e">
        <f t="shared" si="46"/>
        <v>#N/A</v>
      </c>
      <c r="Y497" s="150" t="e">
        <f t="shared" si="45"/>
        <v>#N/A</v>
      </c>
    </row>
    <row r="498" spans="1:25">
      <c r="A498" s="134"/>
      <c r="B498" s="158">
        <f t="shared" si="47"/>
        <v>38472</v>
      </c>
      <c r="C498" s="159" t="str">
        <f t="shared" si="48"/>
        <v/>
      </c>
      <c r="D498" s="159" t="str">
        <f t="shared" si="49"/>
        <v/>
      </c>
      <c r="E498" s="159" t="str">
        <f t="shared" si="50"/>
        <v/>
      </c>
      <c r="F498" s="159" t="str">
        <f t="shared" si="51"/>
        <v/>
      </c>
      <c r="G498" s="137"/>
      <c r="H498" s="137"/>
      <c r="I498" s="137"/>
      <c r="J498" s="137"/>
      <c r="K498" s="160"/>
      <c r="L498" s="160"/>
      <c r="M498" s="137"/>
      <c r="N498" s="138"/>
      <c r="O498" s="138"/>
      <c r="P498" s="138"/>
      <c r="Q498" s="138"/>
      <c r="R498" s="138"/>
      <c r="S498" s="138"/>
      <c r="T498" s="138"/>
      <c r="U498" s="138"/>
      <c r="V498" s="150" t="e">
        <f t="shared" si="46"/>
        <v>#N/A</v>
      </c>
      <c r="W498" s="150" t="e">
        <f t="shared" si="46"/>
        <v>#N/A</v>
      </c>
      <c r="X498" s="150" t="e">
        <f t="shared" si="46"/>
        <v>#N/A</v>
      </c>
      <c r="Y498" s="150" t="e">
        <f t="shared" si="45"/>
        <v>#N/A</v>
      </c>
    </row>
    <row r="499" spans="1:25">
      <c r="A499" s="134"/>
      <c r="B499" s="158">
        <f t="shared" si="47"/>
        <v>38473</v>
      </c>
      <c r="C499" s="159" t="str">
        <f t="shared" si="48"/>
        <v/>
      </c>
      <c r="D499" s="159" t="str">
        <f t="shared" si="49"/>
        <v/>
      </c>
      <c r="E499" s="159" t="str">
        <f t="shared" si="50"/>
        <v/>
      </c>
      <c r="F499" s="159" t="str">
        <f t="shared" si="51"/>
        <v/>
      </c>
      <c r="G499" s="137"/>
      <c r="H499" s="137"/>
      <c r="I499" s="137"/>
      <c r="J499" s="137"/>
      <c r="K499" s="160"/>
      <c r="L499" s="160"/>
      <c r="M499" s="137"/>
      <c r="N499" s="138"/>
      <c r="O499" s="138"/>
      <c r="P499" s="138"/>
      <c r="Q499" s="138"/>
      <c r="R499" s="138"/>
      <c r="S499" s="138"/>
      <c r="T499" s="138"/>
      <c r="U499" s="138"/>
      <c r="V499" s="150" t="e">
        <f t="shared" si="46"/>
        <v>#N/A</v>
      </c>
      <c r="W499" s="150" t="e">
        <f t="shared" si="46"/>
        <v>#N/A</v>
      </c>
      <c r="X499" s="150" t="e">
        <f t="shared" si="46"/>
        <v>#N/A</v>
      </c>
      <c r="Y499" s="150" t="e">
        <f t="shared" si="45"/>
        <v>#N/A</v>
      </c>
    </row>
    <row r="500" spans="1:25">
      <c r="A500" s="134"/>
      <c r="B500" s="158">
        <f t="shared" si="47"/>
        <v>38474</v>
      </c>
      <c r="C500" s="159" t="str">
        <f t="shared" si="48"/>
        <v/>
      </c>
      <c r="D500" s="159" t="str">
        <f t="shared" si="49"/>
        <v/>
      </c>
      <c r="E500" s="159" t="str">
        <f t="shared" si="50"/>
        <v/>
      </c>
      <c r="F500" s="159" t="str">
        <f t="shared" si="51"/>
        <v/>
      </c>
      <c r="G500" s="137"/>
      <c r="H500" s="137"/>
      <c r="I500" s="137"/>
      <c r="J500" s="137"/>
      <c r="K500" s="160"/>
      <c r="L500" s="160"/>
      <c r="M500" s="137"/>
      <c r="N500" s="138"/>
      <c r="O500" s="138"/>
      <c r="P500" s="138"/>
      <c r="Q500" s="138"/>
      <c r="R500" s="138"/>
      <c r="S500" s="138"/>
      <c r="T500" s="138"/>
      <c r="U500" s="138"/>
      <c r="V500" s="150" t="e">
        <f t="shared" si="46"/>
        <v>#N/A</v>
      </c>
      <c r="W500" s="150" t="e">
        <f t="shared" si="46"/>
        <v>#N/A</v>
      </c>
      <c r="X500" s="150" t="e">
        <f t="shared" si="46"/>
        <v>#N/A</v>
      </c>
      <c r="Y500" s="150" t="e">
        <f t="shared" si="45"/>
        <v>#N/A</v>
      </c>
    </row>
    <row r="501" spans="1:25">
      <c r="A501" s="134"/>
      <c r="B501" s="158">
        <f t="shared" si="47"/>
        <v>38475</v>
      </c>
      <c r="C501" s="159" t="str">
        <f t="shared" si="48"/>
        <v/>
      </c>
      <c r="D501" s="159" t="str">
        <f t="shared" si="49"/>
        <v/>
      </c>
      <c r="E501" s="159" t="str">
        <f t="shared" si="50"/>
        <v/>
      </c>
      <c r="F501" s="159" t="str">
        <f t="shared" si="51"/>
        <v/>
      </c>
      <c r="G501" s="137"/>
      <c r="H501" s="137"/>
      <c r="I501" s="137"/>
      <c r="J501" s="137"/>
      <c r="K501" s="160"/>
      <c r="L501" s="160"/>
      <c r="M501" s="137"/>
      <c r="N501" s="138"/>
      <c r="O501" s="138"/>
      <c r="P501" s="138"/>
      <c r="Q501" s="138"/>
      <c r="R501" s="138"/>
      <c r="S501" s="138"/>
      <c r="T501" s="138"/>
      <c r="U501" s="138"/>
      <c r="V501" s="150" t="e">
        <f t="shared" si="46"/>
        <v>#N/A</v>
      </c>
      <c r="W501" s="150" t="e">
        <f t="shared" si="46"/>
        <v>#N/A</v>
      </c>
      <c r="X501" s="150" t="e">
        <f t="shared" si="46"/>
        <v>#N/A</v>
      </c>
      <c r="Y501" s="150" t="e">
        <f t="shared" si="45"/>
        <v>#N/A</v>
      </c>
    </row>
    <row r="502" spans="1:25">
      <c r="A502" s="134"/>
      <c r="B502" s="158">
        <f t="shared" si="47"/>
        <v>38476</v>
      </c>
      <c r="C502" s="159" t="str">
        <f t="shared" si="48"/>
        <v/>
      </c>
      <c r="D502" s="159" t="str">
        <f t="shared" si="49"/>
        <v/>
      </c>
      <c r="E502" s="159" t="str">
        <f t="shared" si="50"/>
        <v/>
      </c>
      <c r="F502" s="159" t="str">
        <f t="shared" si="51"/>
        <v/>
      </c>
      <c r="G502" s="137"/>
      <c r="H502" s="137"/>
      <c r="I502" s="137"/>
      <c r="J502" s="137"/>
      <c r="K502" s="160"/>
      <c r="L502" s="160"/>
      <c r="M502" s="137"/>
      <c r="N502" s="138"/>
      <c r="O502" s="138"/>
      <c r="P502" s="138"/>
      <c r="Q502" s="138"/>
      <c r="R502" s="138"/>
      <c r="S502" s="138"/>
      <c r="T502" s="138"/>
      <c r="U502" s="138"/>
      <c r="V502" s="150" t="e">
        <f t="shared" si="46"/>
        <v>#N/A</v>
      </c>
      <c r="W502" s="150" t="e">
        <f t="shared" si="46"/>
        <v>#N/A</v>
      </c>
      <c r="X502" s="150" t="e">
        <f t="shared" si="46"/>
        <v>#N/A</v>
      </c>
      <c r="Y502" s="150" t="e">
        <f t="shared" si="45"/>
        <v>#N/A</v>
      </c>
    </row>
    <row r="503" spans="1:25">
      <c r="A503" s="134"/>
      <c r="B503" s="158">
        <f t="shared" si="47"/>
        <v>38477</v>
      </c>
      <c r="C503" s="159" t="str">
        <f t="shared" si="48"/>
        <v/>
      </c>
      <c r="D503" s="159" t="str">
        <f t="shared" si="49"/>
        <v/>
      </c>
      <c r="E503" s="159" t="str">
        <f t="shared" si="50"/>
        <v/>
      </c>
      <c r="F503" s="159" t="str">
        <f t="shared" si="51"/>
        <v/>
      </c>
      <c r="G503" s="137"/>
      <c r="H503" s="137"/>
      <c r="I503" s="137"/>
      <c r="J503" s="137"/>
      <c r="K503" s="160"/>
      <c r="L503" s="160"/>
      <c r="M503" s="137"/>
      <c r="N503" s="138"/>
      <c r="O503" s="138"/>
      <c r="P503" s="138"/>
      <c r="Q503" s="138"/>
      <c r="R503" s="138"/>
      <c r="S503" s="138"/>
      <c r="T503" s="138"/>
      <c r="U503" s="138"/>
      <c r="V503" s="150" t="e">
        <f t="shared" si="46"/>
        <v>#N/A</v>
      </c>
      <c r="W503" s="150" t="e">
        <f t="shared" si="46"/>
        <v>#N/A</v>
      </c>
      <c r="X503" s="150" t="e">
        <f t="shared" si="46"/>
        <v>#N/A</v>
      </c>
      <c r="Y503" s="150" t="e">
        <f t="shared" si="45"/>
        <v>#N/A</v>
      </c>
    </row>
    <row r="504" spans="1:25">
      <c r="A504" s="134"/>
      <c r="B504" s="158">
        <f t="shared" si="47"/>
        <v>38478</v>
      </c>
      <c r="C504" s="159" t="str">
        <f t="shared" si="48"/>
        <v/>
      </c>
      <c r="D504" s="159" t="str">
        <f t="shared" si="49"/>
        <v/>
      </c>
      <c r="E504" s="159" t="str">
        <f t="shared" si="50"/>
        <v/>
      </c>
      <c r="F504" s="159" t="str">
        <f t="shared" si="51"/>
        <v/>
      </c>
      <c r="G504" s="137"/>
      <c r="H504" s="137"/>
      <c r="I504" s="137"/>
      <c r="J504" s="137"/>
      <c r="K504" s="160"/>
      <c r="L504" s="160"/>
      <c r="M504" s="137"/>
      <c r="N504" s="138"/>
      <c r="O504" s="138"/>
      <c r="P504" s="138"/>
      <c r="Q504" s="138"/>
      <c r="R504" s="138"/>
      <c r="S504" s="138"/>
      <c r="T504" s="138"/>
      <c r="U504" s="138"/>
      <c r="V504" s="150" t="e">
        <f t="shared" si="46"/>
        <v>#N/A</v>
      </c>
      <c r="W504" s="150" t="e">
        <f t="shared" si="46"/>
        <v>#N/A</v>
      </c>
      <c r="X504" s="150" t="e">
        <f t="shared" si="46"/>
        <v>#N/A</v>
      </c>
      <c r="Y504" s="150" t="e">
        <f t="shared" si="45"/>
        <v>#N/A</v>
      </c>
    </row>
    <row r="505" spans="1:25">
      <c r="A505" s="134"/>
      <c r="B505" s="158">
        <f t="shared" si="47"/>
        <v>38479</v>
      </c>
      <c r="C505" s="159" t="str">
        <f t="shared" si="48"/>
        <v/>
      </c>
      <c r="D505" s="159" t="str">
        <f t="shared" si="49"/>
        <v/>
      </c>
      <c r="E505" s="159" t="str">
        <f t="shared" si="50"/>
        <v/>
      </c>
      <c r="F505" s="159" t="str">
        <f t="shared" si="51"/>
        <v/>
      </c>
      <c r="G505" s="137"/>
      <c r="H505" s="137"/>
      <c r="I505" s="137"/>
      <c r="J505" s="137"/>
      <c r="K505" s="160"/>
      <c r="L505" s="160"/>
      <c r="M505" s="137"/>
      <c r="N505" s="138"/>
      <c r="O505" s="138"/>
      <c r="P505" s="138"/>
      <c r="Q505" s="138"/>
      <c r="R505" s="138"/>
      <c r="S505" s="138"/>
      <c r="T505" s="138"/>
      <c r="U505" s="138"/>
      <c r="V505" s="150" t="e">
        <f t="shared" si="46"/>
        <v>#N/A</v>
      </c>
      <c r="W505" s="150" t="e">
        <f t="shared" si="46"/>
        <v>#N/A</v>
      </c>
      <c r="X505" s="150" t="e">
        <f t="shared" si="46"/>
        <v>#N/A</v>
      </c>
      <c r="Y505" s="150" t="e">
        <f t="shared" si="45"/>
        <v>#N/A</v>
      </c>
    </row>
    <row r="506" spans="1:25">
      <c r="A506" s="134"/>
      <c r="B506" s="158">
        <f t="shared" si="47"/>
        <v>38480</v>
      </c>
      <c r="C506" s="159" t="str">
        <f t="shared" si="48"/>
        <v/>
      </c>
      <c r="D506" s="159" t="str">
        <f t="shared" si="49"/>
        <v/>
      </c>
      <c r="E506" s="159" t="str">
        <f t="shared" si="50"/>
        <v/>
      </c>
      <c r="F506" s="159" t="str">
        <f t="shared" si="51"/>
        <v/>
      </c>
      <c r="G506" s="137"/>
      <c r="H506" s="137"/>
      <c r="I506" s="137"/>
      <c r="J506" s="137"/>
      <c r="K506" s="160"/>
      <c r="L506" s="160"/>
      <c r="M506" s="137"/>
      <c r="N506" s="138"/>
      <c r="O506" s="138"/>
      <c r="P506" s="138"/>
      <c r="Q506" s="138"/>
      <c r="R506" s="138"/>
      <c r="S506" s="138"/>
      <c r="T506" s="138"/>
      <c r="U506" s="138"/>
      <c r="V506" s="150" t="e">
        <f t="shared" si="46"/>
        <v>#N/A</v>
      </c>
      <c r="W506" s="150" t="e">
        <f t="shared" si="46"/>
        <v>#N/A</v>
      </c>
      <c r="X506" s="150" t="e">
        <f t="shared" si="46"/>
        <v>#N/A</v>
      </c>
      <c r="Y506" s="150" t="e">
        <f t="shared" si="45"/>
        <v>#N/A</v>
      </c>
    </row>
    <row r="507" spans="1:25">
      <c r="A507" s="134"/>
      <c r="B507" s="158">
        <f t="shared" si="47"/>
        <v>38481</v>
      </c>
      <c r="C507" s="159" t="str">
        <f t="shared" si="48"/>
        <v/>
      </c>
      <c r="D507" s="159" t="str">
        <f t="shared" si="49"/>
        <v/>
      </c>
      <c r="E507" s="159" t="str">
        <f t="shared" si="50"/>
        <v/>
      </c>
      <c r="F507" s="159" t="str">
        <f t="shared" si="51"/>
        <v/>
      </c>
      <c r="G507" s="137"/>
      <c r="H507" s="137"/>
      <c r="I507" s="137"/>
      <c r="J507" s="137"/>
      <c r="K507" s="160"/>
      <c r="L507" s="160"/>
      <c r="M507" s="137"/>
      <c r="N507" s="138"/>
      <c r="O507" s="138"/>
      <c r="P507" s="138"/>
      <c r="Q507" s="138"/>
      <c r="R507" s="138"/>
      <c r="S507" s="138"/>
      <c r="T507" s="138"/>
      <c r="U507" s="138"/>
      <c r="V507" s="150" t="e">
        <f t="shared" si="46"/>
        <v>#N/A</v>
      </c>
      <c r="W507" s="150" t="e">
        <f t="shared" si="46"/>
        <v>#N/A</v>
      </c>
      <c r="X507" s="150" t="e">
        <f t="shared" si="46"/>
        <v>#N/A</v>
      </c>
      <c r="Y507" s="150" t="e">
        <f t="shared" si="45"/>
        <v>#N/A</v>
      </c>
    </row>
    <row r="508" spans="1:25">
      <c r="A508" s="134"/>
      <c r="B508" s="158">
        <f t="shared" si="47"/>
        <v>38482</v>
      </c>
      <c r="C508" s="159" t="str">
        <f t="shared" si="48"/>
        <v/>
      </c>
      <c r="D508" s="159" t="str">
        <f t="shared" si="49"/>
        <v/>
      </c>
      <c r="E508" s="159" t="str">
        <f t="shared" si="50"/>
        <v/>
      </c>
      <c r="F508" s="159" t="str">
        <f t="shared" si="51"/>
        <v/>
      </c>
      <c r="G508" s="137"/>
      <c r="H508" s="137"/>
      <c r="I508" s="137"/>
      <c r="J508" s="137"/>
      <c r="K508" s="160"/>
      <c r="L508" s="160"/>
      <c r="M508" s="137"/>
      <c r="N508" s="138"/>
      <c r="O508" s="138"/>
      <c r="P508" s="138"/>
      <c r="Q508" s="138"/>
      <c r="R508" s="138"/>
      <c r="S508" s="138"/>
      <c r="T508" s="138"/>
      <c r="U508" s="138"/>
      <c r="V508" s="150" t="e">
        <f t="shared" si="46"/>
        <v>#N/A</v>
      </c>
      <c r="W508" s="150" t="e">
        <f t="shared" si="46"/>
        <v>#N/A</v>
      </c>
      <c r="X508" s="150" t="e">
        <f t="shared" si="46"/>
        <v>#N/A</v>
      </c>
      <c r="Y508" s="150" t="e">
        <f t="shared" si="45"/>
        <v>#N/A</v>
      </c>
    </row>
    <row r="509" spans="1:25">
      <c r="A509" s="134"/>
      <c r="B509" s="158">
        <f t="shared" si="47"/>
        <v>38483</v>
      </c>
      <c r="C509" s="159" t="str">
        <f t="shared" si="48"/>
        <v/>
      </c>
      <c r="D509" s="159" t="str">
        <f t="shared" si="49"/>
        <v/>
      </c>
      <c r="E509" s="159" t="str">
        <f t="shared" si="50"/>
        <v/>
      </c>
      <c r="F509" s="159" t="str">
        <f t="shared" si="51"/>
        <v/>
      </c>
      <c r="G509" s="137"/>
      <c r="H509" s="137"/>
      <c r="I509" s="137"/>
      <c r="J509" s="137"/>
      <c r="K509" s="160"/>
      <c r="L509" s="160"/>
      <c r="M509" s="137"/>
      <c r="N509" s="138"/>
      <c r="O509" s="138"/>
      <c r="P509" s="138"/>
      <c r="Q509" s="138"/>
      <c r="R509" s="138"/>
      <c r="S509" s="138"/>
      <c r="T509" s="138"/>
      <c r="U509" s="138"/>
      <c r="V509" s="150" t="e">
        <f t="shared" si="46"/>
        <v>#N/A</v>
      </c>
      <c r="W509" s="150" t="e">
        <f t="shared" si="46"/>
        <v>#N/A</v>
      </c>
      <c r="X509" s="150" t="e">
        <f t="shared" si="46"/>
        <v>#N/A</v>
      </c>
      <c r="Y509" s="150" t="e">
        <f t="shared" si="45"/>
        <v>#N/A</v>
      </c>
    </row>
    <row r="510" spans="1:25">
      <c r="A510" s="134"/>
      <c r="B510" s="158">
        <f t="shared" si="47"/>
        <v>38484</v>
      </c>
      <c r="C510" s="159" t="str">
        <f t="shared" si="48"/>
        <v/>
      </c>
      <c r="D510" s="159" t="str">
        <f t="shared" si="49"/>
        <v/>
      </c>
      <c r="E510" s="159" t="str">
        <f t="shared" si="50"/>
        <v/>
      </c>
      <c r="F510" s="159" t="str">
        <f t="shared" si="51"/>
        <v/>
      </c>
      <c r="G510" s="137"/>
      <c r="H510" s="137"/>
      <c r="I510" s="137"/>
      <c r="J510" s="137"/>
      <c r="K510" s="160"/>
      <c r="L510" s="160"/>
      <c r="M510" s="137"/>
      <c r="N510" s="138"/>
      <c r="O510" s="138"/>
      <c r="P510" s="138"/>
      <c r="Q510" s="138"/>
      <c r="R510" s="138"/>
      <c r="S510" s="138"/>
      <c r="T510" s="138"/>
      <c r="U510" s="138"/>
      <c r="V510" s="150" t="e">
        <f t="shared" si="46"/>
        <v>#N/A</v>
      </c>
      <c r="W510" s="150" t="e">
        <f t="shared" si="46"/>
        <v>#N/A</v>
      </c>
      <c r="X510" s="150" t="e">
        <f t="shared" si="46"/>
        <v>#N/A</v>
      </c>
      <c r="Y510" s="150" t="e">
        <f t="shared" si="45"/>
        <v>#N/A</v>
      </c>
    </row>
    <row r="511" spans="1:25">
      <c r="A511" s="134"/>
      <c r="B511" s="158">
        <f t="shared" si="47"/>
        <v>38485</v>
      </c>
      <c r="C511" s="159" t="str">
        <f t="shared" si="48"/>
        <v/>
      </c>
      <c r="D511" s="159" t="str">
        <f t="shared" si="49"/>
        <v/>
      </c>
      <c r="E511" s="159" t="str">
        <f t="shared" si="50"/>
        <v/>
      </c>
      <c r="F511" s="159" t="str">
        <f t="shared" si="51"/>
        <v/>
      </c>
      <c r="G511" s="137"/>
      <c r="H511" s="137"/>
      <c r="I511" s="137"/>
      <c r="J511" s="137"/>
      <c r="K511" s="160"/>
      <c r="L511" s="160"/>
      <c r="M511" s="137"/>
      <c r="N511" s="138"/>
      <c r="O511" s="138"/>
      <c r="P511" s="138"/>
      <c r="Q511" s="138"/>
      <c r="R511" s="138"/>
      <c r="S511" s="138"/>
      <c r="T511" s="138"/>
      <c r="U511" s="138"/>
      <c r="V511" s="150" t="e">
        <f t="shared" si="46"/>
        <v>#N/A</v>
      </c>
      <c r="W511" s="150" t="e">
        <f t="shared" si="46"/>
        <v>#N/A</v>
      </c>
      <c r="X511" s="150" t="e">
        <f t="shared" si="46"/>
        <v>#N/A</v>
      </c>
      <c r="Y511" s="150" t="e">
        <f t="shared" si="45"/>
        <v>#N/A</v>
      </c>
    </row>
    <row r="512" spans="1:25">
      <c r="A512" s="134"/>
      <c r="B512" s="158">
        <f t="shared" si="47"/>
        <v>38486</v>
      </c>
      <c r="C512" s="159" t="str">
        <f t="shared" si="48"/>
        <v/>
      </c>
      <c r="D512" s="159" t="str">
        <f t="shared" si="49"/>
        <v/>
      </c>
      <c r="E512" s="159" t="str">
        <f t="shared" si="50"/>
        <v/>
      </c>
      <c r="F512" s="159" t="str">
        <f t="shared" si="51"/>
        <v/>
      </c>
      <c r="G512" s="137"/>
      <c r="H512" s="137"/>
      <c r="I512" s="137"/>
      <c r="J512" s="137"/>
      <c r="K512" s="160"/>
      <c r="L512" s="160"/>
      <c r="M512" s="137"/>
      <c r="N512" s="138"/>
      <c r="O512" s="138"/>
      <c r="P512" s="138"/>
      <c r="Q512" s="138"/>
      <c r="R512" s="138"/>
      <c r="S512" s="138"/>
      <c r="T512" s="138"/>
      <c r="U512" s="138"/>
      <c r="V512" s="150" t="e">
        <f t="shared" si="46"/>
        <v>#N/A</v>
      </c>
      <c r="W512" s="150" t="e">
        <f t="shared" si="46"/>
        <v>#N/A</v>
      </c>
      <c r="X512" s="150" t="e">
        <f t="shared" si="46"/>
        <v>#N/A</v>
      </c>
      <c r="Y512" s="150" t="e">
        <f t="shared" si="45"/>
        <v>#N/A</v>
      </c>
    </row>
    <row r="513" spans="1:25">
      <c r="A513" s="134"/>
      <c r="B513" s="158">
        <f t="shared" si="47"/>
        <v>38487</v>
      </c>
      <c r="C513" s="159" t="str">
        <f t="shared" si="48"/>
        <v/>
      </c>
      <c r="D513" s="159" t="str">
        <f t="shared" si="49"/>
        <v/>
      </c>
      <c r="E513" s="159" t="str">
        <f t="shared" si="50"/>
        <v/>
      </c>
      <c r="F513" s="159" t="str">
        <f t="shared" si="51"/>
        <v/>
      </c>
      <c r="G513" s="137"/>
      <c r="H513" s="137"/>
      <c r="I513" s="137"/>
      <c r="J513" s="137"/>
      <c r="K513" s="160"/>
      <c r="L513" s="160"/>
      <c r="M513" s="137"/>
      <c r="N513" s="138"/>
      <c r="O513" s="138"/>
      <c r="P513" s="138"/>
      <c r="Q513" s="138"/>
      <c r="R513" s="138"/>
      <c r="S513" s="138"/>
      <c r="T513" s="138"/>
      <c r="U513" s="138"/>
      <c r="V513" s="150" t="e">
        <f t="shared" si="46"/>
        <v>#N/A</v>
      </c>
      <c r="W513" s="150" t="e">
        <f t="shared" si="46"/>
        <v>#N/A</v>
      </c>
      <c r="X513" s="150" t="e">
        <f t="shared" si="46"/>
        <v>#N/A</v>
      </c>
      <c r="Y513" s="150" t="e">
        <f t="shared" si="45"/>
        <v>#N/A</v>
      </c>
    </row>
    <row r="514" spans="1:25">
      <c r="A514" s="134"/>
      <c r="B514" s="158">
        <f t="shared" si="47"/>
        <v>38488</v>
      </c>
      <c r="C514" s="159" t="str">
        <f t="shared" si="48"/>
        <v/>
      </c>
      <c r="D514" s="159" t="str">
        <f t="shared" si="49"/>
        <v/>
      </c>
      <c r="E514" s="159" t="str">
        <f t="shared" si="50"/>
        <v/>
      </c>
      <c r="F514" s="159" t="str">
        <f t="shared" si="51"/>
        <v/>
      </c>
      <c r="G514" s="137"/>
      <c r="H514" s="137"/>
      <c r="I514" s="137"/>
      <c r="J514" s="137"/>
      <c r="K514" s="160"/>
      <c r="L514" s="160"/>
      <c r="M514" s="137"/>
      <c r="N514" s="138"/>
      <c r="O514" s="138"/>
      <c r="P514" s="138"/>
      <c r="Q514" s="138"/>
      <c r="R514" s="138"/>
      <c r="S514" s="138"/>
      <c r="T514" s="138"/>
      <c r="U514" s="138"/>
      <c r="V514" s="150" t="e">
        <f t="shared" si="46"/>
        <v>#N/A</v>
      </c>
      <c r="W514" s="150" t="e">
        <f t="shared" si="46"/>
        <v>#N/A</v>
      </c>
      <c r="X514" s="150" t="e">
        <f t="shared" si="46"/>
        <v>#N/A</v>
      </c>
      <c r="Y514" s="150" t="e">
        <f t="shared" si="45"/>
        <v>#N/A</v>
      </c>
    </row>
    <row r="515" spans="1:25">
      <c r="A515" s="134"/>
      <c r="B515" s="158">
        <f t="shared" si="47"/>
        <v>38489</v>
      </c>
      <c r="C515" s="159" t="str">
        <f t="shared" si="48"/>
        <v/>
      </c>
      <c r="D515" s="159" t="str">
        <f t="shared" si="49"/>
        <v/>
      </c>
      <c r="E515" s="159" t="str">
        <f t="shared" si="50"/>
        <v/>
      </c>
      <c r="F515" s="159" t="str">
        <f t="shared" si="51"/>
        <v/>
      </c>
      <c r="G515" s="137"/>
      <c r="H515" s="137"/>
      <c r="I515" s="137"/>
      <c r="J515" s="137"/>
      <c r="K515" s="160"/>
      <c r="L515" s="160"/>
      <c r="M515" s="137"/>
      <c r="N515" s="138"/>
      <c r="O515" s="138"/>
      <c r="P515" s="138"/>
      <c r="Q515" s="138"/>
      <c r="R515" s="138"/>
      <c r="S515" s="138"/>
      <c r="T515" s="138"/>
      <c r="U515" s="138"/>
      <c r="V515" s="150" t="e">
        <f t="shared" si="46"/>
        <v>#N/A</v>
      </c>
      <c r="W515" s="150" t="e">
        <f t="shared" si="46"/>
        <v>#N/A</v>
      </c>
      <c r="X515" s="150" t="e">
        <f t="shared" si="46"/>
        <v>#N/A</v>
      </c>
      <c r="Y515" s="150" t="e">
        <f t="shared" si="45"/>
        <v>#N/A</v>
      </c>
    </row>
    <row r="516" spans="1:25">
      <c r="A516" s="134"/>
      <c r="B516" s="158">
        <f t="shared" si="47"/>
        <v>38490</v>
      </c>
      <c r="C516" s="159" t="str">
        <f t="shared" si="48"/>
        <v/>
      </c>
      <c r="D516" s="159" t="str">
        <f t="shared" si="49"/>
        <v/>
      </c>
      <c r="E516" s="159" t="str">
        <f t="shared" si="50"/>
        <v/>
      </c>
      <c r="F516" s="159" t="str">
        <f t="shared" si="51"/>
        <v/>
      </c>
      <c r="G516" s="137"/>
      <c r="H516" s="137"/>
      <c r="I516" s="137"/>
      <c r="J516" s="137"/>
      <c r="K516" s="160"/>
      <c r="L516" s="160"/>
      <c r="M516" s="137"/>
      <c r="N516" s="138"/>
      <c r="O516" s="138"/>
      <c r="P516" s="138"/>
      <c r="Q516" s="138"/>
      <c r="R516" s="138"/>
      <c r="S516" s="138"/>
      <c r="T516" s="138"/>
      <c r="U516" s="138"/>
      <c r="V516" s="150" t="e">
        <f t="shared" si="46"/>
        <v>#N/A</v>
      </c>
      <c r="W516" s="150" t="e">
        <f t="shared" si="46"/>
        <v>#N/A</v>
      </c>
      <c r="X516" s="150" t="e">
        <f t="shared" si="46"/>
        <v>#N/A</v>
      </c>
      <c r="Y516" s="150" t="e">
        <f t="shared" si="45"/>
        <v>#N/A</v>
      </c>
    </row>
    <row r="517" spans="1:25">
      <c r="A517" s="134"/>
      <c r="B517" s="158">
        <f t="shared" si="47"/>
        <v>38491</v>
      </c>
      <c r="C517" s="159" t="str">
        <f t="shared" si="48"/>
        <v/>
      </c>
      <c r="D517" s="159" t="str">
        <f t="shared" si="49"/>
        <v/>
      </c>
      <c r="E517" s="159" t="str">
        <f t="shared" si="50"/>
        <v/>
      </c>
      <c r="F517" s="159" t="str">
        <f t="shared" si="51"/>
        <v/>
      </c>
      <c r="G517" s="137"/>
      <c r="H517" s="137"/>
      <c r="I517" s="137"/>
      <c r="J517" s="137"/>
      <c r="K517" s="160"/>
      <c r="L517" s="160"/>
      <c r="M517" s="137"/>
      <c r="N517" s="138"/>
      <c r="O517" s="138"/>
      <c r="P517" s="138"/>
      <c r="Q517" s="138"/>
      <c r="R517" s="138"/>
      <c r="S517" s="138"/>
      <c r="T517" s="138"/>
      <c r="U517" s="138"/>
      <c r="V517" s="150" t="e">
        <f t="shared" si="46"/>
        <v>#N/A</v>
      </c>
      <c r="W517" s="150" t="e">
        <f t="shared" si="46"/>
        <v>#N/A</v>
      </c>
      <c r="X517" s="150" t="e">
        <f t="shared" si="46"/>
        <v>#N/A</v>
      </c>
      <c r="Y517" s="150" t="e">
        <f t="shared" si="45"/>
        <v>#N/A</v>
      </c>
    </row>
    <row r="518" spans="1:25">
      <c r="A518" s="134"/>
      <c r="B518" s="158">
        <f t="shared" si="47"/>
        <v>38492</v>
      </c>
      <c r="C518" s="159" t="str">
        <f t="shared" si="48"/>
        <v/>
      </c>
      <c r="D518" s="159" t="str">
        <f t="shared" si="49"/>
        <v/>
      </c>
      <c r="E518" s="159" t="str">
        <f t="shared" si="50"/>
        <v/>
      </c>
      <c r="F518" s="159" t="str">
        <f t="shared" si="51"/>
        <v/>
      </c>
      <c r="G518" s="137"/>
      <c r="H518" s="137"/>
      <c r="I518" s="137"/>
      <c r="J518" s="137"/>
      <c r="K518" s="160"/>
      <c r="L518" s="160"/>
      <c r="M518" s="137"/>
      <c r="N518" s="138"/>
      <c r="O518" s="138"/>
      <c r="P518" s="138"/>
      <c r="Q518" s="138"/>
      <c r="R518" s="138"/>
      <c r="S518" s="138"/>
      <c r="T518" s="138"/>
      <c r="U518" s="138"/>
      <c r="V518" s="150" t="e">
        <f t="shared" si="46"/>
        <v>#N/A</v>
      </c>
      <c r="W518" s="150" t="e">
        <f t="shared" si="46"/>
        <v>#N/A</v>
      </c>
      <c r="X518" s="150" t="e">
        <f t="shared" si="46"/>
        <v>#N/A</v>
      </c>
      <c r="Y518" s="150" t="e">
        <f t="shared" si="45"/>
        <v>#N/A</v>
      </c>
    </row>
    <row r="519" spans="1:25">
      <c r="A519" s="134"/>
      <c r="B519" s="158">
        <f t="shared" si="47"/>
        <v>38493</v>
      </c>
      <c r="C519" s="159" t="str">
        <f t="shared" si="48"/>
        <v/>
      </c>
      <c r="D519" s="159" t="str">
        <f t="shared" si="49"/>
        <v/>
      </c>
      <c r="E519" s="159" t="str">
        <f t="shared" si="50"/>
        <v/>
      </c>
      <c r="F519" s="159" t="str">
        <f t="shared" si="51"/>
        <v/>
      </c>
      <c r="G519" s="137"/>
      <c r="H519" s="137"/>
      <c r="I519" s="137"/>
      <c r="J519" s="137"/>
      <c r="K519" s="160"/>
      <c r="L519" s="160"/>
      <c r="M519" s="137"/>
      <c r="N519" s="138"/>
      <c r="O519" s="138"/>
      <c r="P519" s="138"/>
      <c r="Q519" s="138"/>
      <c r="R519" s="138"/>
      <c r="S519" s="138"/>
      <c r="T519" s="138"/>
      <c r="U519" s="138"/>
      <c r="V519" s="150" t="e">
        <f t="shared" si="46"/>
        <v>#N/A</v>
      </c>
      <c r="W519" s="150" t="e">
        <f t="shared" si="46"/>
        <v>#N/A</v>
      </c>
      <c r="X519" s="150" t="e">
        <f t="shared" si="46"/>
        <v>#N/A</v>
      </c>
      <c r="Y519" s="150" t="e">
        <f t="shared" si="45"/>
        <v>#N/A</v>
      </c>
    </row>
    <row r="520" spans="1:25">
      <c r="A520" s="134"/>
      <c r="B520" s="158">
        <f t="shared" si="47"/>
        <v>38494</v>
      </c>
      <c r="C520" s="159" t="str">
        <f t="shared" si="48"/>
        <v/>
      </c>
      <c r="D520" s="159" t="str">
        <f t="shared" si="49"/>
        <v/>
      </c>
      <c r="E520" s="159" t="str">
        <f t="shared" si="50"/>
        <v/>
      </c>
      <c r="F520" s="159" t="str">
        <f t="shared" si="51"/>
        <v/>
      </c>
      <c r="G520" s="137"/>
      <c r="H520" s="137"/>
      <c r="I520" s="137"/>
      <c r="J520" s="137"/>
      <c r="K520" s="160"/>
      <c r="L520" s="160"/>
      <c r="M520" s="137"/>
      <c r="N520" s="138"/>
      <c r="O520" s="138"/>
      <c r="P520" s="138"/>
      <c r="Q520" s="138"/>
      <c r="R520" s="138"/>
      <c r="S520" s="138"/>
      <c r="T520" s="138"/>
      <c r="U520" s="138"/>
      <c r="V520" s="150" t="e">
        <f t="shared" si="46"/>
        <v>#N/A</v>
      </c>
      <c r="W520" s="150" t="e">
        <f t="shared" si="46"/>
        <v>#N/A</v>
      </c>
      <c r="X520" s="150" t="e">
        <f t="shared" si="46"/>
        <v>#N/A</v>
      </c>
      <c r="Y520" s="150" t="e">
        <f t="shared" si="45"/>
        <v>#N/A</v>
      </c>
    </row>
    <row r="521" spans="1:25">
      <c r="A521" s="134"/>
      <c r="B521" s="158">
        <f t="shared" si="47"/>
        <v>38495</v>
      </c>
      <c r="C521" s="159" t="str">
        <f t="shared" si="48"/>
        <v/>
      </c>
      <c r="D521" s="159" t="str">
        <f t="shared" si="49"/>
        <v/>
      </c>
      <c r="E521" s="159" t="str">
        <f t="shared" si="50"/>
        <v/>
      </c>
      <c r="F521" s="159" t="str">
        <f t="shared" si="51"/>
        <v/>
      </c>
      <c r="G521" s="137"/>
      <c r="H521" s="137"/>
      <c r="I521" s="137"/>
      <c r="J521" s="137"/>
      <c r="K521" s="160"/>
      <c r="L521" s="160"/>
      <c r="M521" s="137"/>
      <c r="N521" s="138"/>
      <c r="O521" s="138"/>
      <c r="P521" s="138"/>
      <c r="Q521" s="138"/>
      <c r="R521" s="138"/>
      <c r="S521" s="138"/>
      <c r="T521" s="138"/>
      <c r="U521" s="138"/>
      <c r="V521" s="150" t="e">
        <f t="shared" si="46"/>
        <v>#N/A</v>
      </c>
      <c r="W521" s="150" t="e">
        <f t="shared" si="46"/>
        <v>#N/A</v>
      </c>
      <c r="X521" s="150" t="e">
        <f t="shared" si="46"/>
        <v>#N/A</v>
      </c>
      <c r="Y521" s="150" t="e">
        <f t="shared" si="45"/>
        <v>#N/A</v>
      </c>
    </row>
    <row r="522" spans="1:25">
      <c r="A522" s="134"/>
      <c r="B522" s="158">
        <f t="shared" si="47"/>
        <v>38496</v>
      </c>
      <c r="C522" s="159" t="str">
        <f t="shared" si="48"/>
        <v/>
      </c>
      <c r="D522" s="159" t="str">
        <f t="shared" si="49"/>
        <v/>
      </c>
      <c r="E522" s="159" t="str">
        <f t="shared" si="50"/>
        <v/>
      </c>
      <c r="F522" s="159" t="str">
        <f t="shared" si="51"/>
        <v/>
      </c>
      <c r="G522" s="137"/>
      <c r="H522" s="137"/>
      <c r="I522" s="137"/>
      <c r="J522" s="137"/>
      <c r="K522" s="160"/>
      <c r="L522" s="160"/>
      <c r="M522" s="137"/>
      <c r="N522" s="138"/>
      <c r="O522" s="138"/>
      <c r="P522" s="138"/>
      <c r="Q522" s="138"/>
      <c r="R522" s="138"/>
      <c r="S522" s="138"/>
      <c r="T522" s="138"/>
      <c r="U522" s="138"/>
      <c r="V522" s="150" t="e">
        <f t="shared" si="46"/>
        <v>#N/A</v>
      </c>
      <c r="W522" s="150" t="e">
        <f t="shared" si="46"/>
        <v>#N/A</v>
      </c>
      <c r="X522" s="150" t="e">
        <f t="shared" si="46"/>
        <v>#N/A</v>
      </c>
      <c r="Y522" s="150" t="e">
        <f t="shared" si="45"/>
        <v>#N/A</v>
      </c>
    </row>
    <row r="523" spans="1:25">
      <c r="A523" s="134"/>
      <c r="B523" s="158">
        <f t="shared" si="47"/>
        <v>38497</v>
      </c>
      <c r="C523" s="159" t="str">
        <f t="shared" si="48"/>
        <v/>
      </c>
      <c r="D523" s="159" t="str">
        <f t="shared" si="49"/>
        <v/>
      </c>
      <c r="E523" s="159" t="str">
        <f t="shared" si="50"/>
        <v/>
      </c>
      <c r="F523" s="159" t="str">
        <f t="shared" si="51"/>
        <v/>
      </c>
      <c r="G523" s="137"/>
      <c r="H523" s="137"/>
      <c r="I523" s="137"/>
      <c r="J523" s="137"/>
      <c r="K523" s="160"/>
      <c r="L523" s="160"/>
      <c r="M523" s="137"/>
      <c r="N523" s="138"/>
      <c r="O523" s="138"/>
      <c r="P523" s="138"/>
      <c r="Q523" s="138"/>
      <c r="R523" s="138"/>
      <c r="S523" s="138"/>
      <c r="T523" s="138"/>
      <c r="U523" s="138"/>
      <c r="V523" s="150" t="e">
        <f t="shared" si="46"/>
        <v>#N/A</v>
      </c>
      <c r="W523" s="150" t="e">
        <f t="shared" si="46"/>
        <v>#N/A</v>
      </c>
      <c r="X523" s="150" t="e">
        <f t="shared" si="46"/>
        <v>#N/A</v>
      </c>
      <c r="Y523" s="150" t="e">
        <f t="shared" si="45"/>
        <v>#N/A</v>
      </c>
    </row>
    <row r="524" spans="1:25">
      <c r="A524" s="134"/>
      <c r="B524" s="158">
        <f t="shared" si="47"/>
        <v>38498</v>
      </c>
      <c r="C524" s="159" t="str">
        <f t="shared" si="48"/>
        <v/>
      </c>
      <c r="D524" s="159" t="str">
        <f t="shared" si="49"/>
        <v/>
      </c>
      <c r="E524" s="159" t="str">
        <f t="shared" si="50"/>
        <v/>
      </c>
      <c r="F524" s="159" t="str">
        <f t="shared" si="51"/>
        <v/>
      </c>
      <c r="G524" s="137"/>
      <c r="H524" s="137"/>
      <c r="I524" s="137"/>
      <c r="J524" s="137"/>
      <c r="K524" s="160"/>
      <c r="L524" s="160"/>
      <c r="M524" s="137"/>
      <c r="N524" s="138"/>
      <c r="O524" s="138"/>
      <c r="P524" s="138"/>
      <c r="Q524" s="138"/>
      <c r="R524" s="138"/>
      <c r="S524" s="138"/>
      <c r="T524" s="138"/>
      <c r="U524" s="138"/>
      <c r="V524" s="150" t="e">
        <f t="shared" si="46"/>
        <v>#N/A</v>
      </c>
      <c r="W524" s="150" t="e">
        <f t="shared" si="46"/>
        <v>#N/A</v>
      </c>
      <c r="X524" s="150" t="e">
        <f t="shared" si="46"/>
        <v>#N/A</v>
      </c>
      <c r="Y524" s="150" t="e">
        <f t="shared" si="46"/>
        <v>#N/A</v>
      </c>
    </row>
    <row r="525" spans="1:25">
      <c r="A525" s="134"/>
      <c r="B525" s="158">
        <f t="shared" si="47"/>
        <v>38499</v>
      </c>
      <c r="C525" s="159" t="str">
        <f t="shared" si="48"/>
        <v/>
      </c>
      <c r="D525" s="159" t="str">
        <f t="shared" si="49"/>
        <v/>
      </c>
      <c r="E525" s="159" t="str">
        <f t="shared" si="50"/>
        <v/>
      </c>
      <c r="F525" s="159" t="str">
        <f t="shared" si="51"/>
        <v/>
      </c>
      <c r="G525" s="137"/>
      <c r="H525" s="137"/>
      <c r="I525" s="137"/>
      <c r="J525" s="137"/>
      <c r="K525" s="160"/>
      <c r="L525" s="160"/>
      <c r="M525" s="137"/>
      <c r="N525" s="138"/>
      <c r="O525" s="138"/>
      <c r="P525" s="138"/>
      <c r="Q525" s="138"/>
      <c r="R525" s="138"/>
      <c r="S525" s="138"/>
      <c r="T525" s="138"/>
      <c r="U525" s="138"/>
      <c r="V525" s="150" t="e">
        <f t="shared" ref="V525:Y588" si="52">IF(C525="",#N/A,C525)</f>
        <v>#N/A</v>
      </c>
      <c r="W525" s="150" t="e">
        <f t="shared" si="52"/>
        <v>#N/A</v>
      </c>
      <c r="X525" s="150" t="e">
        <f t="shared" si="52"/>
        <v>#N/A</v>
      </c>
      <c r="Y525" s="150" t="e">
        <f t="shared" si="52"/>
        <v>#N/A</v>
      </c>
    </row>
    <row r="526" spans="1:25">
      <c r="A526" s="134"/>
      <c r="B526" s="158">
        <f t="shared" si="47"/>
        <v>38500</v>
      </c>
      <c r="C526" s="159" t="str">
        <f t="shared" si="48"/>
        <v/>
      </c>
      <c r="D526" s="159" t="str">
        <f t="shared" si="49"/>
        <v/>
      </c>
      <c r="E526" s="159" t="str">
        <f t="shared" si="50"/>
        <v/>
      </c>
      <c r="F526" s="159" t="str">
        <f t="shared" si="51"/>
        <v/>
      </c>
      <c r="G526" s="137"/>
      <c r="H526" s="137"/>
      <c r="I526" s="137"/>
      <c r="J526" s="137"/>
      <c r="K526" s="160"/>
      <c r="L526" s="160"/>
      <c r="M526" s="137"/>
      <c r="N526" s="138"/>
      <c r="O526" s="138"/>
      <c r="P526" s="138"/>
      <c r="Q526" s="138"/>
      <c r="R526" s="138"/>
      <c r="S526" s="138"/>
      <c r="T526" s="138"/>
      <c r="U526" s="138"/>
      <c r="V526" s="150" t="e">
        <f t="shared" si="52"/>
        <v>#N/A</v>
      </c>
      <c r="W526" s="150" t="e">
        <f t="shared" si="52"/>
        <v>#N/A</v>
      </c>
      <c r="X526" s="150" t="e">
        <f t="shared" si="52"/>
        <v>#N/A</v>
      </c>
      <c r="Y526" s="150" t="e">
        <f t="shared" si="52"/>
        <v>#N/A</v>
      </c>
    </row>
    <row r="527" spans="1:25">
      <c r="A527" s="134"/>
      <c r="B527" s="158">
        <f t="shared" ref="B527:B589" si="53">B526+1</f>
        <v>38501</v>
      </c>
      <c r="C527" s="159" t="str">
        <f t="shared" ref="C527:C589" si="54">IF(OR(B527&lt;B$6,B527&gt;B$10),"",G$8)</f>
        <v/>
      </c>
      <c r="D527" s="159" t="str">
        <f t="shared" ref="D527:D589" si="55">IF(B527=B$6,W$6,IF(B527&gt;B$10,"",IF(B527&gt;=B$9,D526+X$9,IF(B527&gt;B$8,D526+X$8,IF(B527&gt;B$7,D526+X$7,IF(B527&gt;B$6,W$6,""))))))</f>
        <v/>
      </c>
      <c r="E527" s="159" t="str">
        <f t="shared" ref="E527:E589" si="56">IF($B527=$B$6,L$6,IF($B527&gt;$B$10,"",IF($B527&gt;=$B$9,E526+V$9,IF($B527&gt;$B$8,E526+V$8,IF($B527&gt;$B$7,E526+V$7,IF($B527&gt;$B$6,L$6,""))))))</f>
        <v/>
      </c>
      <c r="F527" s="159" t="str">
        <f t="shared" ref="F527:F589" si="57">IF(C527="","",C527-E527)</f>
        <v/>
      </c>
      <c r="G527" s="137"/>
      <c r="H527" s="137"/>
      <c r="I527" s="137"/>
      <c r="J527" s="137"/>
      <c r="K527" s="160"/>
      <c r="L527" s="160"/>
      <c r="M527" s="137"/>
      <c r="N527" s="138"/>
      <c r="O527" s="138"/>
      <c r="P527" s="138"/>
      <c r="Q527" s="138"/>
      <c r="R527" s="138"/>
      <c r="S527" s="138"/>
      <c r="T527" s="138"/>
      <c r="U527" s="138"/>
      <c r="V527" s="150" t="e">
        <f t="shared" si="52"/>
        <v>#N/A</v>
      </c>
      <c r="W527" s="150" t="e">
        <f t="shared" si="52"/>
        <v>#N/A</v>
      </c>
      <c r="X527" s="150" t="e">
        <f t="shared" si="52"/>
        <v>#N/A</v>
      </c>
      <c r="Y527" s="150" t="e">
        <f t="shared" si="52"/>
        <v>#N/A</v>
      </c>
    </row>
    <row r="528" spans="1:25">
      <c r="A528" s="134"/>
      <c r="B528" s="158">
        <f t="shared" si="53"/>
        <v>38502</v>
      </c>
      <c r="C528" s="159" t="str">
        <f t="shared" si="54"/>
        <v/>
      </c>
      <c r="D528" s="159" t="str">
        <f t="shared" si="55"/>
        <v/>
      </c>
      <c r="E528" s="159" t="str">
        <f t="shared" si="56"/>
        <v/>
      </c>
      <c r="F528" s="159" t="str">
        <f t="shared" si="57"/>
        <v/>
      </c>
      <c r="G528" s="137"/>
      <c r="H528" s="137"/>
      <c r="I528" s="137"/>
      <c r="J528" s="137"/>
      <c r="K528" s="160"/>
      <c r="L528" s="160"/>
      <c r="M528" s="137"/>
      <c r="N528" s="138"/>
      <c r="O528" s="138"/>
      <c r="P528" s="138"/>
      <c r="Q528" s="138"/>
      <c r="R528" s="138"/>
      <c r="S528" s="138"/>
      <c r="T528" s="138"/>
      <c r="U528" s="138"/>
      <c r="V528" s="150" t="e">
        <f t="shared" si="52"/>
        <v>#N/A</v>
      </c>
      <c r="W528" s="150" t="e">
        <f t="shared" si="52"/>
        <v>#N/A</v>
      </c>
      <c r="X528" s="150" t="e">
        <f t="shared" si="52"/>
        <v>#N/A</v>
      </c>
      <c r="Y528" s="150" t="e">
        <f t="shared" si="52"/>
        <v>#N/A</v>
      </c>
    </row>
    <row r="529" spans="1:25">
      <c r="A529" s="134"/>
      <c r="B529" s="158">
        <f t="shared" si="53"/>
        <v>38503</v>
      </c>
      <c r="C529" s="159" t="str">
        <f t="shared" si="54"/>
        <v/>
      </c>
      <c r="D529" s="159" t="str">
        <f t="shared" si="55"/>
        <v/>
      </c>
      <c r="E529" s="159" t="str">
        <f t="shared" si="56"/>
        <v/>
      </c>
      <c r="F529" s="159" t="str">
        <f t="shared" si="57"/>
        <v/>
      </c>
      <c r="G529" s="137"/>
      <c r="H529" s="137"/>
      <c r="I529" s="137"/>
      <c r="J529" s="137"/>
      <c r="K529" s="160"/>
      <c r="L529" s="160"/>
      <c r="M529" s="137"/>
      <c r="N529" s="138"/>
      <c r="O529" s="138"/>
      <c r="P529" s="138"/>
      <c r="Q529" s="138"/>
      <c r="R529" s="138"/>
      <c r="S529" s="138"/>
      <c r="T529" s="138"/>
      <c r="U529" s="138"/>
      <c r="V529" s="150" t="e">
        <f t="shared" si="52"/>
        <v>#N/A</v>
      </c>
      <c r="W529" s="150" t="e">
        <f t="shared" si="52"/>
        <v>#N/A</v>
      </c>
      <c r="X529" s="150" t="e">
        <f t="shared" si="52"/>
        <v>#N/A</v>
      </c>
      <c r="Y529" s="150" t="e">
        <f t="shared" si="52"/>
        <v>#N/A</v>
      </c>
    </row>
    <row r="530" spans="1:25">
      <c r="A530" s="134"/>
      <c r="B530" s="158">
        <f t="shared" si="53"/>
        <v>38504</v>
      </c>
      <c r="C530" s="159" t="str">
        <f t="shared" si="54"/>
        <v/>
      </c>
      <c r="D530" s="159" t="str">
        <f t="shared" si="55"/>
        <v/>
      </c>
      <c r="E530" s="159" t="str">
        <f t="shared" si="56"/>
        <v/>
      </c>
      <c r="F530" s="159" t="str">
        <f t="shared" si="57"/>
        <v/>
      </c>
      <c r="G530" s="137"/>
      <c r="H530" s="137"/>
      <c r="I530" s="137"/>
      <c r="J530" s="137"/>
      <c r="K530" s="160"/>
      <c r="L530" s="160"/>
      <c r="M530" s="137"/>
      <c r="N530" s="138"/>
      <c r="O530" s="138"/>
      <c r="P530" s="138"/>
      <c r="Q530" s="138"/>
      <c r="R530" s="138"/>
      <c r="S530" s="138"/>
      <c r="T530" s="138"/>
      <c r="U530" s="138"/>
      <c r="V530" s="150" t="e">
        <f t="shared" si="52"/>
        <v>#N/A</v>
      </c>
      <c r="W530" s="150" t="e">
        <f t="shared" si="52"/>
        <v>#N/A</v>
      </c>
      <c r="X530" s="150" t="e">
        <f t="shared" si="52"/>
        <v>#N/A</v>
      </c>
      <c r="Y530" s="150" t="e">
        <f t="shared" si="52"/>
        <v>#N/A</v>
      </c>
    </row>
    <row r="531" spans="1:25">
      <c r="A531" s="134"/>
      <c r="B531" s="158">
        <f t="shared" si="53"/>
        <v>38505</v>
      </c>
      <c r="C531" s="159" t="str">
        <f t="shared" si="54"/>
        <v/>
      </c>
      <c r="D531" s="159" t="str">
        <f t="shared" si="55"/>
        <v/>
      </c>
      <c r="E531" s="159" t="str">
        <f t="shared" si="56"/>
        <v/>
      </c>
      <c r="F531" s="159" t="str">
        <f t="shared" si="57"/>
        <v/>
      </c>
      <c r="G531" s="137"/>
      <c r="H531" s="137"/>
      <c r="I531" s="137"/>
      <c r="J531" s="137"/>
      <c r="K531" s="160"/>
      <c r="L531" s="160"/>
      <c r="M531" s="137"/>
      <c r="N531" s="138"/>
      <c r="O531" s="138"/>
      <c r="P531" s="138"/>
      <c r="Q531" s="138"/>
      <c r="R531" s="138"/>
      <c r="S531" s="138"/>
      <c r="T531" s="138"/>
      <c r="U531" s="138"/>
      <c r="V531" s="150" t="e">
        <f t="shared" si="52"/>
        <v>#N/A</v>
      </c>
      <c r="W531" s="150" t="e">
        <f t="shared" si="52"/>
        <v>#N/A</v>
      </c>
      <c r="X531" s="150" t="e">
        <f t="shared" si="52"/>
        <v>#N/A</v>
      </c>
      <c r="Y531" s="150" t="e">
        <f t="shared" si="52"/>
        <v>#N/A</v>
      </c>
    </row>
    <row r="532" spans="1:25">
      <c r="A532" s="134"/>
      <c r="B532" s="158">
        <f t="shared" si="53"/>
        <v>38506</v>
      </c>
      <c r="C532" s="159" t="str">
        <f t="shared" si="54"/>
        <v/>
      </c>
      <c r="D532" s="159" t="str">
        <f t="shared" si="55"/>
        <v/>
      </c>
      <c r="E532" s="159" t="str">
        <f t="shared" si="56"/>
        <v/>
      </c>
      <c r="F532" s="159" t="str">
        <f t="shared" si="57"/>
        <v/>
      </c>
      <c r="G532" s="137"/>
      <c r="H532" s="137"/>
      <c r="I532" s="137"/>
      <c r="J532" s="137"/>
      <c r="K532" s="160"/>
      <c r="L532" s="160"/>
      <c r="M532" s="137"/>
      <c r="N532" s="138"/>
      <c r="O532" s="138"/>
      <c r="P532" s="138"/>
      <c r="Q532" s="138"/>
      <c r="R532" s="138"/>
      <c r="S532" s="138"/>
      <c r="T532" s="138"/>
      <c r="U532" s="138"/>
      <c r="V532" s="150" t="e">
        <f t="shared" si="52"/>
        <v>#N/A</v>
      </c>
      <c r="W532" s="150" t="e">
        <f t="shared" si="52"/>
        <v>#N/A</v>
      </c>
      <c r="X532" s="150" t="e">
        <f t="shared" si="52"/>
        <v>#N/A</v>
      </c>
      <c r="Y532" s="150" t="e">
        <f t="shared" si="52"/>
        <v>#N/A</v>
      </c>
    </row>
    <row r="533" spans="1:25">
      <c r="A533" s="134"/>
      <c r="B533" s="158">
        <f t="shared" si="53"/>
        <v>38507</v>
      </c>
      <c r="C533" s="159" t="str">
        <f t="shared" si="54"/>
        <v/>
      </c>
      <c r="D533" s="159" t="str">
        <f t="shared" si="55"/>
        <v/>
      </c>
      <c r="E533" s="159" t="str">
        <f t="shared" si="56"/>
        <v/>
      </c>
      <c r="F533" s="159" t="str">
        <f t="shared" si="57"/>
        <v/>
      </c>
      <c r="G533" s="137"/>
      <c r="H533" s="137"/>
      <c r="I533" s="137"/>
      <c r="J533" s="137"/>
      <c r="K533" s="160"/>
      <c r="L533" s="160"/>
      <c r="M533" s="137"/>
      <c r="N533" s="138"/>
      <c r="O533" s="138"/>
      <c r="P533" s="138"/>
      <c r="Q533" s="138"/>
      <c r="R533" s="138"/>
      <c r="S533" s="138"/>
      <c r="T533" s="138"/>
      <c r="U533" s="138"/>
      <c r="V533" s="150" t="e">
        <f t="shared" si="52"/>
        <v>#N/A</v>
      </c>
      <c r="W533" s="150" t="e">
        <f t="shared" si="52"/>
        <v>#N/A</v>
      </c>
      <c r="X533" s="150" t="e">
        <f t="shared" si="52"/>
        <v>#N/A</v>
      </c>
      <c r="Y533" s="150" t="e">
        <f t="shared" si="52"/>
        <v>#N/A</v>
      </c>
    </row>
    <row r="534" spans="1:25">
      <c r="A534" s="134"/>
      <c r="B534" s="158">
        <f t="shared" si="53"/>
        <v>38508</v>
      </c>
      <c r="C534" s="159" t="str">
        <f t="shared" si="54"/>
        <v/>
      </c>
      <c r="D534" s="159" t="str">
        <f t="shared" si="55"/>
        <v/>
      </c>
      <c r="E534" s="159" t="str">
        <f t="shared" si="56"/>
        <v/>
      </c>
      <c r="F534" s="159" t="str">
        <f t="shared" si="57"/>
        <v/>
      </c>
      <c r="G534" s="137"/>
      <c r="H534" s="137"/>
      <c r="I534" s="137"/>
      <c r="J534" s="137"/>
      <c r="K534" s="160"/>
      <c r="L534" s="160"/>
      <c r="M534" s="137"/>
      <c r="N534" s="138"/>
      <c r="O534" s="138"/>
      <c r="P534" s="138"/>
      <c r="Q534" s="138"/>
      <c r="R534" s="138"/>
      <c r="S534" s="138"/>
      <c r="T534" s="138"/>
      <c r="U534" s="138"/>
      <c r="V534" s="150" t="e">
        <f t="shared" si="52"/>
        <v>#N/A</v>
      </c>
      <c r="W534" s="150" t="e">
        <f t="shared" si="52"/>
        <v>#N/A</v>
      </c>
      <c r="X534" s="150" t="e">
        <f t="shared" si="52"/>
        <v>#N/A</v>
      </c>
      <c r="Y534" s="150" t="e">
        <f t="shared" si="52"/>
        <v>#N/A</v>
      </c>
    </row>
    <row r="535" spans="1:25">
      <c r="A535" s="134"/>
      <c r="B535" s="158">
        <f t="shared" si="53"/>
        <v>38509</v>
      </c>
      <c r="C535" s="159" t="str">
        <f t="shared" si="54"/>
        <v/>
      </c>
      <c r="D535" s="159" t="str">
        <f t="shared" si="55"/>
        <v/>
      </c>
      <c r="E535" s="159" t="str">
        <f t="shared" si="56"/>
        <v/>
      </c>
      <c r="F535" s="159" t="str">
        <f t="shared" si="57"/>
        <v/>
      </c>
      <c r="G535" s="137"/>
      <c r="H535" s="137"/>
      <c r="I535" s="137"/>
      <c r="J535" s="137"/>
      <c r="K535" s="160"/>
      <c r="L535" s="160"/>
      <c r="M535" s="137"/>
      <c r="N535" s="138"/>
      <c r="O535" s="138"/>
      <c r="P535" s="138"/>
      <c r="Q535" s="138"/>
      <c r="R535" s="138"/>
      <c r="S535" s="138"/>
      <c r="T535" s="138"/>
      <c r="U535" s="138"/>
      <c r="V535" s="150" t="e">
        <f t="shared" si="52"/>
        <v>#N/A</v>
      </c>
      <c r="W535" s="150" t="e">
        <f t="shared" si="52"/>
        <v>#N/A</v>
      </c>
      <c r="X535" s="150" t="e">
        <f t="shared" si="52"/>
        <v>#N/A</v>
      </c>
      <c r="Y535" s="150" t="e">
        <f t="shared" si="52"/>
        <v>#N/A</v>
      </c>
    </row>
    <row r="536" spans="1:25">
      <c r="A536" s="134"/>
      <c r="B536" s="158">
        <f t="shared" si="53"/>
        <v>38510</v>
      </c>
      <c r="C536" s="159" t="str">
        <f t="shared" si="54"/>
        <v/>
      </c>
      <c r="D536" s="159" t="str">
        <f t="shared" si="55"/>
        <v/>
      </c>
      <c r="E536" s="159" t="str">
        <f t="shared" si="56"/>
        <v/>
      </c>
      <c r="F536" s="159" t="str">
        <f t="shared" si="57"/>
        <v/>
      </c>
      <c r="G536" s="137"/>
      <c r="H536" s="137"/>
      <c r="I536" s="137"/>
      <c r="J536" s="137"/>
      <c r="K536" s="160"/>
      <c r="L536" s="160"/>
      <c r="M536" s="137"/>
      <c r="N536" s="138"/>
      <c r="O536" s="138"/>
      <c r="P536" s="138"/>
      <c r="Q536" s="138"/>
      <c r="R536" s="138"/>
      <c r="S536" s="138"/>
      <c r="T536" s="138"/>
      <c r="U536" s="138"/>
      <c r="V536" s="150" t="e">
        <f t="shared" si="52"/>
        <v>#N/A</v>
      </c>
      <c r="W536" s="150" t="e">
        <f t="shared" si="52"/>
        <v>#N/A</v>
      </c>
      <c r="X536" s="150" t="e">
        <f t="shared" si="52"/>
        <v>#N/A</v>
      </c>
      <c r="Y536" s="150" t="e">
        <f t="shared" si="52"/>
        <v>#N/A</v>
      </c>
    </row>
    <row r="537" spans="1:25">
      <c r="A537" s="134"/>
      <c r="B537" s="158">
        <f t="shared" si="53"/>
        <v>38511</v>
      </c>
      <c r="C537" s="159" t="str">
        <f t="shared" si="54"/>
        <v/>
      </c>
      <c r="D537" s="159" t="str">
        <f t="shared" si="55"/>
        <v/>
      </c>
      <c r="E537" s="159" t="str">
        <f t="shared" si="56"/>
        <v/>
      </c>
      <c r="F537" s="159" t="str">
        <f t="shared" si="57"/>
        <v/>
      </c>
      <c r="G537" s="137"/>
      <c r="H537" s="137"/>
      <c r="I537" s="137"/>
      <c r="J537" s="137"/>
      <c r="K537" s="160"/>
      <c r="L537" s="160"/>
      <c r="M537" s="137"/>
      <c r="N537" s="138"/>
      <c r="O537" s="138"/>
      <c r="P537" s="138"/>
      <c r="Q537" s="138"/>
      <c r="R537" s="138"/>
      <c r="S537" s="138"/>
      <c r="T537" s="138"/>
      <c r="U537" s="138"/>
      <c r="V537" s="150" t="e">
        <f t="shared" si="52"/>
        <v>#N/A</v>
      </c>
      <c r="W537" s="150" t="e">
        <f t="shared" si="52"/>
        <v>#N/A</v>
      </c>
      <c r="X537" s="150" t="e">
        <f t="shared" si="52"/>
        <v>#N/A</v>
      </c>
      <c r="Y537" s="150" t="e">
        <f t="shared" si="52"/>
        <v>#N/A</v>
      </c>
    </row>
    <row r="538" spans="1:25">
      <c r="A538" s="134"/>
      <c r="B538" s="158">
        <f t="shared" si="53"/>
        <v>38512</v>
      </c>
      <c r="C538" s="159" t="str">
        <f t="shared" si="54"/>
        <v/>
      </c>
      <c r="D538" s="159" t="str">
        <f t="shared" si="55"/>
        <v/>
      </c>
      <c r="E538" s="159" t="str">
        <f t="shared" si="56"/>
        <v/>
      </c>
      <c r="F538" s="159" t="str">
        <f t="shared" si="57"/>
        <v/>
      </c>
      <c r="G538" s="137"/>
      <c r="H538" s="137"/>
      <c r="I538" s="137"/>
      <c r="J538" s="137"/>
      <c r="K538" s="160"/>
      <c r="L538" s="160"/>
      <c r="M538" s="137"/>
      <c r="N538" s="138"/>
      <c r="O538" s="138"/>
      <c r="P538" s="138"/>
      <c r="Q538" s="138"/>
      <c r="R538" s="138"/>
      <c r="S538" s="138"/>
      <c r="T538" s="138"/>
      <c r="U538" s="138"/>
      <c r="V538" s="150" t="e">
        <f t="shared" si="52"/>
        <v>#N/A</v>
      </c>
      <c r="W538" s="150" t="e">
        <f t="shared" si="52"/>
        <v>#N/A</v>
      </c>
      <c r="X538" s="150" t="e">
        <f t="shared" si="52"/>
        <v>#N/A</v>
      </c>
      <c r="Y538" s="150" t="e">
        <f t="shared" si="52"/>
        <v>#N/A</v>
      </c>
    </row>
    <row r="539" spans="1:25">
      <c r="A539" s="134"/>
      <c r="B539" s="158">
        <f t="shared" si="53"/>
        <v>38513</v>
      </c>
      <c r="C539" s="159" t="str">
        <f t="shared" si="54"/>
        <v/>
      </c>
      <c r="D539" s="159" t="str">
        <f t="shared" si="55"/>
        <v/>
      </c>
      <c r="E539" s="159" t="str">
        <f t="shared" si="56"/>
        <v/>
      </c>
      <c r="F539" s="159" t="str">
        <f t="shared" si="57"/>
        <v/>
      </c>
      <c r="G539" s="137"/>
      <c r="H539" s="137"/>
      <c r="I539" s="137"/>
      <c r="J539" s="137"/>
      <c r="K539" s="160"/>
      <c r="L539" s="160"/>
      <c r="M539" s="137"/>
      <c r="N539" s="138"/>
      <c r="O539" s="138"/>
      <c r="P539" s="138"/>
      <c r="Q539" s="138"/>
      <c r="R539" s="138"/>
      <c r="S539" s="138"/>
      <c r="T539" s="138"/>
      <c r="U539" s="138"/>
      <c r="V539" s="150" t="e">
        <f t="shared" si="52"/>
        <v>#N/A</v>
      </c>
      <c r="W539" s="150" t="e">
        <f t="shared" si="52"/>
        <v>#N/A</v>
      </c>
      <c r="X539" s="150" t="e">
        <f t="shared" si="52"/>
        <v>#N/A</v>
      </c>
      <c r="Y539" s="150" t="e">
        <f t="shared" si="52"/>
        <v>#N/A</v>
      </c>
    </row>
    <row r="540" spans="1:25">
      <c r="A540" s="134"/>
      <c r="B540" s="158">
        <f t="shared" si="53"/>
        <v>38514</v>
      </c>
      <c r="C540" s="159" t="str">
        <f t="shared" si="54"/>
        <v/>
      </c>
      <c r="D540" s="159" t="str">
        <f t="shared" si="55"/>
        <v/>
      </c>
      <c r="E540" s="159" t="str">
        <f t="shared" si="56"/>
        <v/>
      </c>
      <c r="F540" s="159" t="str">
        <f t="shared" si="57"/>
        <v/>
      </c>
      <c r="G540" s="137"/>
      <c r="H540" s="137"/>
      <c r="I540" s="137"/>
      <c r="J540" s="137"/>
      <c r="K540" s="160"/>
      <c r="L540" s="160"/>
      <c r="M540" s="137"/>
      <c r="N540" s="138"/>
      <c r="O540" s="138"/>
      <c r="P540" s="138"/>
      <c r="Q540" s="138"/>
      <c r="R540" s="138"/>
      <c r="S540" s="138"/>
      <c r="T540" s="138"/>
      <c r="U540" s="138"/>
      <c r="V540" s="150" t="e">
        <f t="shared" si="52"/>
        <v>#N/A</v>
      </c>
      <c r="W540" s="150" t="e">
        <f t="shared" si="52"/>
        <v>#N/A</v>
      </c>
      <c r="X540" s="150" t="e">
        <f t="shared" si="52"/>
        <v>#N/A</v>
      </c>
      <c r="Y540" s="150" t="e">
        <f t="shared" si="52"/>
        <v>#N/A</v>
      </c>
    </row>
    <row r="541" spans="1:25">
      <c r="A541" s="134"/>
      <c r="B541" s="158">
        <f t="shared" si="53"/>
        <v>38515</v>
      </c>
      <c r="C541" s="159" t="str">
        <f t="shared" si="54"/>
        <v/>
      </c>
      <c r="D541" s="159" t="str">
        <f t="shared" si="55"/>
        <v/>
      </c>
      <c r="E541" s="159" t="str">
        <f t="shared" si="56"/>
        <v/>
      </c>
      <c r="F541" s="159" t="str">
        <f t="shared" si="57"/>
        <v/>
      </c>
      <c r="G541" s="137"/>
      <c r="H541" s="137"/>
      <c r="I541" s="137"/>
      <c r="J541" s="137"/>
      <c r="K541" s="160"/>
      <c r="L541" s="160"/>
      <c r="M541" s="137"/>
      <c r="N541" s="138"/>
      <c r="O541" s="138"/>
      <c r="P541" s="138"/>
      <c r="Q541" s="138"/>
      <c r="R541" s="138"/>
      <c r="S541" s="138"/>
      <c r="T541" s="138"/>
      <c r="U541" s="138"/>
      <c r="V541" s="150" t="e">
        <f t="shared" si="52"/>
        <v>#N/A</v>
      </c>
      <c r="W541" s="150" t="e">
        <f t="shared" si="52"/>
        <v>#N/A</v>
      </c>
      <c r="X541" s="150" t="e">
        <f t="shared" si="52"/>
        <v>#N/A</v>
      </c>
      <c r="Y541" s="150" t="e">
        <f t="shared" si="52"/>
        <v>#N/A</v>
      </c>
    </row>
    <row r="542" spans="1:25">
      <c r="A542" s="134"/>
      <c r="B542" s="158">
        <f t="shared" si="53"/>
        <v>38516</v>
      </c>
      <c r="C542" s="159" t="str">
        <f t="shared" si="54"/>
        <v/>
      </c>
      <c r="D542" s="159" t="str">
        <f t="shared" si="55"/>
        <v/>
      </c>
      <c r="E542" s="159" t="str">
        <f t="shared" si="56"/>
        <v/>
      </c>
      <c r="F542" s="159" t="str">
        <f t="shared" si="57"/>
        <v/>
      </c>
      <c r="G542" s="137"/>
      <c r="H542" s="137"/>
      <c r="I542" s="137"/>
      <c r="J542" s="137"/>
      <c r="K542" s="160"/>
      <c r="L542" s="160"/>
      <c r="M542" s="137"/>
      <c r="N542" s="138"/>
      <c r="O542" s="138"/>
      <c r="P542" s="138"/>
      <c r="Q542" s="138"/>
      <c r="R542" s="138"/>
      <c r="S542" s="138"/>
      <c r="T542" s="138"/>
      <c r="U542" s="138"/>
      <c r="V542" s="150" t="e">
        <f t="shared" si="52"/>
        <v>#N/A</v>
      </c>
      <c r="W542" s="150" t="e">
        <f t="shared" si="52"/>
        <v>#N/A</v>
      </c>
      <c r="X542" s="150" t="e">
        <f t="shared" si="52"/>
        <v>#N/A</v>
      </c>
      <c r="Y542" s="150" t="e">
        <f t="shared" si="52"/>
        <v>#N/A</v>
      </c>
    </row>
    <row r="543" spans="1:25">
      <c r="A543" s="134"/>
      <c r="B543" s="158">
        <f t="shared" si="53"/>
        <v>38517</v>
      </c>
      <c r="C543" s="159" t="str">
        <f t="shared" si="54"/>
        <v/>
      </c>
      <c r="D543" s="159" t="str">
        <f t="shared" si="55"/>
        <v/>
      </c>
      <c r="E543" s="159" t="str">
        <f t="shared" si="56"/>
        <v/>
      </c>
      <c r="F543" s="159" t="str">
        <f t="shared" si="57"/>
        <v/>
      </c>
      <c r="G543" s="137"/>
      <c r="H543" s="137"/>
      <c r="I543" s="137"/>
      <c r="J543" s="137"/>
      <c r="K543" s="160"/>
      <c r="L543" s="160"/>
      <c r="M543" s="137"/>
      <c r="N543" s="138"/>
      <c r="O543" s="138"/>
      <c r="P543" s="138"/>
      <c r="Q543" s="138"/>
      <c r="R543" s="138"/>
      <c r="S543" s="138"/>
      <c r="T543" s="138"/>
      <c r="U543" s="138"/>
      <c r="V543" s="150" t="e">
        <f t="shared" si="52"/>
        <v>#N/A</v>
      </c>
      <c r="W543" s="150" t="e">
        <f t="shared" si="52"/>
        <v>#N/A</v>
      </c>
      <c r="X543" s="150" t="e">
        <f t="shared" si="52"/>
        <v>#N/A</v>
      </c>
      <c r="Y543" s="150" t="e">
        <f t="shared" si="52"/>
        <v>#N/A</v>
      </c>
    </row>
    <row r="544" spans="1:25">
      <c r="A544" s="134"/>
      <c r="B544" s="158">
        <f t="shared" si="53"/>
        <v>38518</v>
      </c>
      <c r="C544" s="159" t="str">
        <f t="shared" si="54"/>
        <v/>
      </c>
      <c r="D544" s="159" t="str">
        <f t="shared" si="55"/>
        <v/>
      </c>
      <c r="E544" s="159" t="str">
        <f t="shared" si="56"/>
        <v/>
      </c>
      <c r="F544" s="159" t="str">
        <f t="shared" si="57"/>
        <v/>
      </c>
      <c r="G544" s="137"/>
      <c r="H544" s="137"/>
      <c r="I544" s="137"/>
      <c r="J544" s="137"/>
      <c r="K544" s="160"/>
      <c r="L544" s="160"/>
      <c r="M544" s="137"/>
      <c r="N544" s="138"/>
      <c r="O544" s="138"/>
      <c r="P544" s="138"/>
      <c r="Q544" s="138"/>
      <c r="R544" s="138"/>
      <c r="S544" s="138"/>
      <c r="T544" s="138"/>
      <c r="U544" s="138"/>
      <c r="V544" s="150" t="e">
        <f t="shared" si="52"/>
        <v>#N/A</v>
      </c>
      <c r="W544" s="150" t="e">
        <f t="shared" si="52"/>
        <v>#N/A</v>
      </c>
      <c r="X544" s="150" t="e">
        <f t="shared" si="52"/>
        <v>#N/A</v>
      </c>
      <c r="Y544" s="150" t="e">
        <f t="shared" si="52"/>
        <v>#N/A</v>
      </c>
    </row>
    <row r="545" spans="1:25">
      <c r="A545" s="134"/>
      <c r="B545" s="158">
        <f t="shared" si="53"/>
        <v>38519</v>
      </c>
      <c r="C545" s="159" t="str">
        <f t="shared" si="54"/>
        <v/>
      </c>
      <c r="D545" s="159" t="str">
        <f t="shared" si="55"/>
        <v/>
      </c>
      <c r="E545" s="159" t="str">
        <f t="shared" si="56"/>
        <v/>
      </c>
      <c r="F545" s="159" t="str">
        <f t="shared" si="57"/>
        <v/>
      </c>
      <c r="G545" s="137"/>
      <c r="H545" s="137"/>
      <c r="I545" s="137"/>
      <c r="J545" s="137"/>
      <c r="K545" s="160"/>
      <c r="L545" s="160"/>
      <c r="M545" s="137"/>
      <c r="N545" s="138"/>
      <c r="O545" s="138"/>
      <c r="P545" s="138"/>
      <c r="Q545" s="138"/>
      <c r="R545" s="138"/>
      <c r="S545" s="138"/>
      <c r="T545" s="138"/>
      <c r="U545" s="138"/>
      <c r="V545" s="150" t="e">
        <f t="shared" si="52"/>
        <v>#N/A</v>
      </c>
      <c r="W545" s="150" t="e">
        <f t="shared" si="52"/>
        <v>#N/A</v>
      </c>
      <c r="X545" s="150" t="e">
        <f t="shared" si="52"/>
        <v>#N/A</v>
      </c>
      <c r="Y545" s="150" t="e">
        <f t="shared" si="52"/>
        <v>#N/A</v>
      </c>
    </row>
    <row r="546" spans="1:25">
      <c r="A546" s="134"/>
      <c r="B546" s="158">
        <f t="shared" si="53"/>
        <v>38520</v>
      </c>
      <c r="C546" s="159" t="str">
        <f t="shared" si="54"/>
        <v/>
      </c>
      <c r="D546" s="159" t="str">
        <f t="shared" si="55"/>
        <v/>
      </c>
      <c r="E546" s="159" t="str">
        <f t="shared" si="56"/>
        <v/>
      </c>
      <c r="F546" s="159" t="str">
        <f t="shared" si="57"/>
        <v/>
      </c>
      <c r="G546" s="137"/>
      <c r="H546" s="137"/>
      <c r="I546" s="137"/>
      <c r="J546" s="137"/>
      <c r="K546" s="160"/>
      <c r="L546" s="160"/>
      <c r="M546" s="137"/>
      <c r="N546" s="138"/>
      <c r="O546" s="138"/>
      <c r="P546" s="138"/>
      <c r="Q546" s="138"/>
      <c r="R546" s="138"/>
      <c r="S546" s="138"/>
      <c r="T546" s="138"/>
      <c r="U546" s="138"/>
      <c r="V546" s="150" t="e">
        <f t="shared" si="52"/>
        <v>#N/A</v>
      </c>
      <c r="W546" s="150" t="e">
        <f t="shared" si="52"/>
        <v>#N/A</v>
      </c>
      <c r="X546" s="150" t="e">
        <f t="shared" si="52"/>
        <v>#N/A</v>
      </c>
      <c r="Y546" s="150" t="e">
        <f t="shared" si="52"/>
        <v>#N/A</v>
      </c>
    </row>
    <row r="547" spans="1:25">
      <c r="A547" s="134"/>
      <c r="B547" s="158">
        <f t="shared" si="53"/>
        <v>38521</v>
      </c>
      <c r="C547" s="159" t="str">
        <f t="shared" si="54"/>
        <v/>
      </c>
      <c r="D547" s="159" t="str">
        <f t="shared" si="55"/>
        <v/>
      </c>
      <c r="E547" s="159" t="str">
        <f t="shared" si="56"/>
        <v/>
      </c>
      <c r="F547" s="159" t="str">
        <f t="shared" si="57"/>
        <v/>
      </c>
      <c r="G547" s="137"/>
      <c r="H547" s="137"/>
      <c r="I547" s="137"/>
      <c r="J547" s="137"/>
      <c r="K547" s="160"/>
      <c r="L547" s="160"/>
      <c r="M547" s="137"/>
      <c r="N547" s="138"/>
      <c r="O547" s="138"/>
      <c r="P547" s="138"/>
      <c r="Q547" s="138"/>
      <c r="R547" s="138"/>
      <c r="S547" s="138"/>
      <c r="T547" s="138"/>
      <c r="U547" s="138"/>
      <c r="V547" s="150" t="e">
        <f t="shared" si="52"/>
        <v>#N/A</v>
      </c>
      <c r="W547" s="150" t="e">
        <f t="shared" si="52"/>
        <v>#N/A</v>
      </c>
      <c r="X547" s="150" t="e">
        <f t="shared" si="52"/>
        <v>#N/A</v>
      </c>
      <c r="Y547" s="150" t="e">
        <f t="shared" si="52"/>
        <v>#N/A</v>
      </c>
    </row>
    <row r="548" spans="1:25">
      <c r="A548" s="134"/>
      <c r="B548" s="158">
        <f t="shared" si="53"/>
        <v>38522</v>
      </c>
      <c r="C548" s="159" t="str">
        <f t="shared" si="54"/>
        <v/>
      </c>
      <c r="D548" s="159" t="str">
        <f t="shared" si="55"/>
        <v/>
      </c>
      <c r="E548" s="159" t="str">
        <f t="shared" si="56"/>
        <v/>
      </c>
      <c r="F548" s="159" t="str">
        <f t="shared" si="57"/>
        <v/>
      </c>
      <c r="G548" s="137"/>
      <c r="H548" s="137"/>
      <c r="I548" s="137"/>
      <c r="J548" s="137"/>
      <c r="K548" s="160"/>
      <c r="L548" s="160"/>
      <c r="M548" s="137"/>
      <c r="N548" s="138"/>
      <c r="O548" s="138"/>
      <c r="P548" s="138"/>
      <c r="Q548" s="138"/>
      <c r="R548" s="138"/>
      <c r="S548" s="138"/>
      <c r="T548" s="138"/>
      <c r="U548" s="138"/>
      <c r="V548" s="150" t="e">
        <f t="shared" si="52"/>
        <v>#N/A</v>
      </c>
      <c r="W548" s="150" t="e">
        <f t="shared" si="52"/>
        <v>#N/A</v>
      </c>
      <c r="X548" s="150" t="e">
        <f t="shared" si="52"/>
        <v>#N/A</v>
      </c>
      <c r="Y548" s="150" t="e">
        <f t="shared" si="52"/>
        <v>#N/A</v>
      </c>
    </row>
    <row r="549" spans="1:25">
      <c r="A549" s="134"/>
      <c r="B549" s="158">
        <f t="shared" si="53"/>
        <v>38523</v>
      </c>
      <c r="C549" s="159" t="str">
        <f t="shared" si="54"/>
        <v/>
      </c>
      <c r="D549" s="159" t="str">
        <f t="shared" si="55"/>
        <v/>
      </c>
      <c r="E549" s="159" t="str">
        <f t="shared" si="56"/>
        <v/>
      </c>
      <c r="F549" s="159" t="str">
        <f t="shared" si="57"/>
        <v/>
      </c>
      <c r="G549" s="137"/>
      <c r="H549" s="137"/>
      <c r="I549" s="137"/>
      <c r="J549" s="137"/>
      <c r="K549" s="160"/>
      <c r="L549" s="160"/>
      <c r="M549" s="137"/>
      <c r="N549" s="138"/>
      <c r="O549" s="138"/>
      <c r="P549" s="138"/>
      <c r="Q549" s="138"/>
      <c r="R549" s="138"/>
      <c r="S549" s="138"/>
      <c r="T549" s="138"/>
      <c r="U549" s="138"/>
      <c r="V549" s="150" t="e">
        <f t="shared" si="52"/>
        <v>#N/A</v>
      </c>
      <c r="W549" s="150" t="e">
        <f t="shared" si="52"/>
        <v>#N/A</v>
      </c>
      <c r="X549" s="150" t="e">
        <f t="shared" si="52"/>
        <v>#N/A</v>
      </c>
      <c r="Y549" s="150" t="e">
        <f t="shared" si="52"/>
        <v>#N/A</v>
      </c>
    </row>
    <row r="550" spans="1:25">
      <c r="A550" s="134"/>
      <c r="B550" s="158">
        <f t="shared" si="53"/>
        <v>38524</v>
      </c>
      <c r="C550" s="159" t="str">
        <f t="shared" si="54"/>
        <v/>
      </c>
      <c r="D550" s="159" t="str">
        <f t="shared" si="55"/>
        <v/>
      </c>
      <c r="E550" s="159" t="str">
        <f t="shared" si="56"/>
        <v/>
      </c>
      <c r="F550" s="159" t="str">
        <f t="shared" si="57"/>
        <v/>
      </c>
      <c r="G550" s="137"/>
      <c r="H550" s="137"/>
      <c r="I550" s="137"/>
      <c r="J550" s="137"/>
      <c r="K550" s="160"/>
      <c r="L550" s="160"/>
      <c r="M550" s="137"/>
      <c r="N550" s="138"/>
      <c r="O550" s="138"/>
      <c r="P550" s="138"/>
      <c r="Q550" s="138"/>
      <c r="R550" s="138"/>
      <c r="S550" s="138"/>
      <c r="T550" s="138"/>
      <c r="U550" s="138"/>
      <c r="V550" s="150" t="e">
        <f t="shared" si="52"/>
        <v>#N/A</v>
      </c>
      <c r="W550" s="150" t="e">
        <f t="shared" si="52"/>
        <v>#N/A</v>
      </c>
      <c r="X550" s="150" t="e">
        <f t="shared" si="52"/>
        <v>#N/A</v>
      </c>
      <c r="Y550" s="150" t="e">
        <f t="shared" si="52"/>
        <v>#N/A</v>
      </c>
    </row>
    <row r="551" spans="1:25">
      <c r="A551" s="134"/>
      <c r="B551" s="158">
        <f t="shared" si="53"/>
        <v>38525</v>
      </c>
      <c r="C551" s="159" t="str">
        <f t="shared" si="54"/>
        <v/>
      </c>
      <c r="D551" s="159" t="str">
        <f t="shared" si="55"/>
        <v/>
      </c>
      <c r="E551" s="159" t="str">
        <f t="shared" si="56"/>
        <v/>
      </c>
      <c r="F551" s="159" t="str">
        <f t="shared" si="57"/>
        <v/>
      </c>
      <c r="G551" s="137"/>
      <c r="H551" s="137"/>
      <c r="I551" s="137"/>
      <c r="J551" s="137"/>
      <c r="K551" s="160"/>
      <c r="L551" s="160"/>
      <c r="M551" s="137"/>
      <c r="N551" s="138"/>
      <c r="O551" s="138"/>
      <c r="P551" s="138"/>
      <c r="Q551" s="138"/>
      <c r="R551" s="138"/>
      <c r="S551" s="138"/>
      <c r="T551" s="138"/>
      <c r="U551" s="138"/>
      <c r="V551" s="150" t="e">
        <f t="shared" si="52"/>
        <v>#N/A</v>
      </c>
      <c r="W551" s="150" t="e">
        <f t="shared" si="52"/>
        <v>#N/A</v>
      </c>
      <c r="X551" s="150" t="e">
        <f t="shared" si="52"/>
        <v>#N/A</v>
      </c>
      <c r="Y551" s="150" t="e">
        <f t="shared" si="52"/>
        <v>#N/A</v>
      </c>
    </row>
    <row r="552" spans="1:25">
      <c r="A552" s="134"/>
      <c r="B552" s="158">
        <f t="shared" si="53"/>
        <v>38526</v>
      </c>
      <c r="C552" s="159" t="str">
        <f t="shared" si="54"/>
        <v/>
      </c>
      <c r="D552" s="159" t="str">
        <f t="shared" si="55"/>
        <v/>
      </c>
      <c r="E552" s="159" t="str">
        <f t="shared" si="56"/>
        <v/>
      </c>
      <c r="F552" s="159" t="str">
        <f t="shared" si="57"/>
        <v/>
      </c>
      <c r="G552" s="137"/>
      <c r="H552" s="137"/>
      <c r="I552" s="137"/>
      <c r="J552" s="137"/>
      <c r="K552" s="160"/>
      <c r="L552" s="160"/>
      <c r="M552" s="137"/>
      <c r="N552" s="138"/>
      <c r="O552" s="138"/>
      <c r="P552" s="138"/>
      <c r="Q552" s="138"/>
      <c r="R552" s="138"/>
      <c r="S552" s="138"/>
      <c r="T552" s="138"/>
      <c r="U552" s="138"/>
      <c r="V552" s="150" t="e">
        <f t="shared" si="52"/>
        <v>#N/A</v>
      </c>
      <c r="W552" s="150" t="e">
        <f t="shared" si="52"/>
        <v>#N/A</v>
      </c>
      <c r="X552" s="150" t="e">
        <f t="shared" si="52"/>
        <v>#N/A</v>
      </c>
      <c r="Y552" s="150" t="e">
        <f t="shared" si="52"/>
        <v>#N/A</v>
      </c>
    </row>
    <row r="553" spans="1:25">
      <c r="A553" s="134"/>
      <c r="B553" s="158">
        <f t="shared" si="53"/>
        <v>38527</v>
      </c>
      <c r="C553" s="159" t="str">
        <f t="shared" si="54"/>
        <v/>
      </c>
      <c r="D553" s="159" t="str">
        <f t="shared" si="55"/>
        <v/>
      </c>
      <c r="E553" s="159" t="str">
        <f t="shared" si="56"/>
        <v/>
      </c>
      <c r="F553" s="159" t="str">
        <f t="shared" si="57"/>
        <v/>
      </c>
      <c r="G553" s="137"/>
      <c r="H553" s="137"/>
      <c r="I553" s="137"/>
      <c r="J553" s="137"/>
      <c r="K553" s="160"/>
      <c r="L553" s="160"/>
      <c r="M553" s="137"/>
      <c r="N553" s="138"/>
      <c r="O553" s="138"/>
      <c r="P553" s="138"/>
      <c r="Q553" s="138"/>
      <c r="R553" s="138"/>
      <c r="S553" s="138"/>
      <c r="T553" s="138"/>
      <c r="U553" s="138"/>
      <c r="V553" s="150" t="e">
        <f t="shared" si="52"/>
        <v>#N/A</v>
      </c>
      <c r="W553" s="150" t="e">
        <f t="shared" si="52"/>
        <v>#N/A</v>
      </c>
      <c r="X553" s="150" t="e">
        <f t="shared" si="52"/>
        <v>#N/A</v>
      </c>
      <c r="Y553" s="150" t="e">
        <f t="shared" si="52"/>
        <v>#N/A</v>
      </c>
    </row>
    <row r="554" spans="1:25">
      <c r="A554" s="134"/>
      <c r="B554" s="158">
        <f t="shared" si="53"/>
        <v>38528</v>
      </c>
      <c r="C554" s="159" t="str">
        <f t="shared" si="54"/>
        <v/>
      </c>
      <c r="D554" s="159" t="str">
        <f t="shared" si="55"/>
        <v/>
      </c>
      <c r="E554" s="159" t="str">
        <f t="shared" si="56"/>
        <v/>
      </c>
      <c r="F554" s="159" t="str">
        <f t="shared" si="57"/>
        <v/>
      </c>
      <c r="G554" s="137"/>
      <c r="H554" s="137"/>
      <c r="I554" s="137"/>
      <c r="J554" s="137"/>
      <c r="K554" s="160"/>
      <c r="L554" s="160"/>
      <c r="M554" s="137"/>
      <c r="N554" s="138"/>
      <c r="O554" s="138"/>
      <c r="P554" s="138"/>
      <c r="Q554" s="138"/>
      <c r="R554" s="138"/>
      <c r="S554" s="138"/>
      <c r="T554" s="138"/>
      <c r="U554" s="138"/>
      <c r="V554" s="150" t="e">
        <f t="shared" si="52"/>
        <v>#N/A</v>
      </c>
      <c r="W554" s="150" t="e">
        <f t="shared" si="52"/>
        <v>#N/A</v>
      </c>
      <c r="X554" s="150" t="e">
        <f t="shared" si="52"/>
        <v>#N/A</v>
      </c>
      <c r="Y554" s="150" t="e">
        <f t="shared" si="52"/>
        <v>#N/A</v>
      </c>
    </row>
    <row r="555" spans="1:25">
      <c r="A555" s="134"/>
      <c r="B555" s="158">
        <f t="shared" si="53"/>
        <v>38529</v>
      </c>
      <c r="C555" s="159" t="str">
        <f t="shared" si="54"/>
        <v/>
      </c>
      <c r="D555" s="159" t="str">
        <f t="shared" si="55"/>
        <v/>
      </c>
      <c r="E555" s="159" t="str">
        <f t="shared" si="56"/>
        <v/>
      </c>
      <c r="F555" s="159" t="str">
        <f t="shared" si="57"/>
        <v/>
      </c>
      <c r="G555" s="137"/>
      <c r="H555" s="137"/>
      <c r="I555" s="137"/>
      <c r="J555" s="137"/>
      <c r="K555" s="160"/>
      <c r="L555" s="160"/>
      <c r="M555" s="137"/>
      <c r="N555" s="138"/>
      <c r="O555" s="138"/>
      <c r="P555" s="138"/>
      <c r="Q555" s="138"/>
      <c r="R555" s="138"/>
      <c r="S555" s="138"/>
      <c r="T555" s="138"/>
      <c r="U555" s="138"/>
      <c r="V555" s="150" t="e">
        <f t="shared" si="52"/>
        <v>#N/A</v>
      </c>
      <c r="W555" s="150" t="e">
        <f t="shared" si="52"/>
        <v>#N/A</v>
      </c>
      <c r="X555" s="150" t="e">
        <f t="shared" si="52"/>
        <v>#N/A</v>
      </c>
      <c r="Y555" s="150" t="e">
        <f t="shared" si="52"/>
        <v>#N/A</v>
      </c>
    </row>
    <row r="556" spans="1:25">
      <c r="A556" s="134"/>
      <c r="B556" s="158">
        <f t="shared" si="53"/>
        <v>38530</v>
      </c>
      <c r="C556" s="159" t="str">
        <f t="shared" si="54"/>
        <v/>
      </c>
      <c r="D556" s="159" t="str">
        <f t="shared" si="55"/>
        <v/>
      </c>
      <c r="E556" s="159" t="str">
        <f t="shared" si="56"/>
        <v/>
      </c>
      <c r="F556" s="159" t="str">
        <f t="shared" si="57"/>
        <v/>
      </c>
      <c r="G556" s="137"/>
      <c r="H556" s="137"/>
      <c r="I556" s="137"/>
      <c r="J556" s="137"/>
      <c r="K556" s="160"/>
      <c r="L556" s="160"/>
      <c r="M556" s="137"/>
      <c r="N556" s="138"/>
      <c r="O556" s="138"/>
      <c r="P556" s="138"/>
      <c r="Q556" s="138"/>
      <c r="R556" s="138"/>
      <c r="S556" s="138"/>
      <c r="T556" s="138"/>
      <c r="U556" s="138"/>
      <c r="V556" s="150" t="e">
        <f t="shared" si="52"/>
        <v>#N/A</v>
      </c>
      <c r="W556" s="150" t="e">
        <f t="shared" si="52"/>
        <v>#N/A</v>
      </c>
      <c r="X556" s="150" t="e">
        <f t="shared" si="52"/>
        <v>#N/A</v>
      </c>
      <c r="Y556" s="150" t="e">
        <f t="shared" si="52"/>
        <v>#N/A</v>
      </c>
    </row>
    <row r="557" spans="1:25">
      <c r="A557" s="134"/>
      <c r="B557" s="158">
        <f t="shared" si="53"/>
        <v>38531</v>
      </c>
      <c r="C557" s="159" t="str">
        <f t="shared" si="54"/>
        <v/>
      </c>
      <c r="D557" s="159" t="str">
        <f t="shared" si="55"/>
        <v/>
      </c>
      <c r="E557" s="159" t="str">
        <f t="shared" si="56"/>
        <v/>
      </c>
      <c r="F557" s="159" t="str">
        <f t="shared" si="57"/>
        <v/>
      </c>
      <c r="G557" s="137"/>
      <c r="H557" s="137"/>
      <c r="I557" s="137"/>
      <c r="J557" s="137"/>
      <c r="K557" s="160"/>
      <c r="L557" s="160"/>
      <c r="M557" s="137"/>
      <c r="N557" s="138"/>
      <c r="O557" s="138"/>
      <c r="P557" s="138"/>
      <c r="Q557" s="138"/>
      <c r="R557" s="138"/>
      <c r="S557" s="138"/>
      <c r="T557" s="138"/>
      <c r="U557" s="138"/>
      <c r="V557" s="150" t="e">
        <f t="shared" si="52"/>
        <v>#N/A</v>
      </c>
      <c r="W557" s="150" t="e">
        <f t="shared" si="52"/>
        <v>#N/A</v>
      </c>
      <c r="X557" s="150" t="e">
        <f t="shared" si="52"/>
        <v>#N/A</v>
      </c>
      <c r="Y557" s="150" t="e">
        <f t="shared" si="52"/>
        <v>#N/A</v>
      </c>
    </row>
    <row r="558" spans="1:25">
      <c r="A558" s="134"/>
      <c r="B558" s="158">
        <f t="shared" si="53"/>
        <v>38532</v>
      </c>
      <c r="C558" s="159" t="str">
        <f t="shared" si="54"/>
        <v/>
      </c>
      <c r="D558" s="159" t="str">
        <f t="shared" si="55"/>
        <v/>
      </c>
      <c r="E558" s="159" t="str">
        <f t="shared" si="56"/>
        <v/>
      </c>
      <c r="F558" s="159" t="str">
        <f t="shared" si="57"/>
        <v/>
      </c>
      <c r="G558" s="137"/>
      <c r="H558" s="137"/>
      <c r="I558" s="137"/>
      <c r="J558" s="137"/>
      <c r="K558" s="160"/>
      <c r="L558" s="160"/>
      <c r="M558" s="137"/>
      <c r="N558" s="138"/>
      <c r="O558" s="138"/>
      <c r="P558" s="138"/>
      <c r="Q558" s="138"/>
      <c r="R558" s="138"/>
      <c r="S558" s="138"/>
      <c r="T558" s="138"/>
      <c r="U558" s="138"/>
      <c r="V558" s="150" t="e">
        <f t="shared" si="52"/>
        <v>#N/A</v>
      </c>
      <c r="W558" s="150" t="e">
        <f t="shared" si="52"/>
        <v>#N/A</v>
      </c>
      <c r="X558" s="150" t="e">
        <f t="shared" si="52"/>
        <v>#N/A</v>
      </c>
      <c r="Y558" s="150" t="e">
        <f t="shared" si="52"/>
        <v>#N/A</v>
      </c>
    </row>
    <row r="559" spans="1:25">
      <c r="A559" s="134"/>
      <c r="B559" s="158">
        <f t="shared" si="53"/>
        <v>38533</v>
      </c>
      <c r="C559" s="159" t="str">
        <f t="shared" si="54"/>
        <v/>
      </c>
      <c r="D559" s="159" t="str">
        <f t="shared" si="55"/>
        <v/>
      </c>
      <c r="E559" s="159" t="str">
        <f t="shared" si="56"/>
        <v/>
      </c>
      <c r="F559" s="159" t="str">
        <f t="shared" si="57"/>
        <v/>
      </c>
      <c r="G559" s="137"/>
      <c r="H559" s="137"/>
      <c r="I559" s="137"/>
      <c r="J559" s="137"/>
      <c r="K559" s="160"/>
      <c r="L559" s="160"/>
      <c r="M559" s="137"/>
      <c r="N559" s="138"/>
      <c r="O559" s="138"/>
      <c r="P559" s="138"/>
      <c r="Q559" s="138"/>
      <c r="R559" s="138"/>
      <c r="S559" s="138"/>
      <c r="T559" s="138"/>
      <c r="U559" s="138"/>
      <c r="V559" s="150" t="e">
        <f t="shared" si="52"/>
        <v>#N/A</v>
      </c>
      <c r="W559" s="150" t="e">
        <f t="shared" si="52"/>
        <v>#N/A</v>
      </c>
      <c r="X559" s="150" t="e">
        <f t="shared" si="52"/>
        <v>#N/A</v>
      </c>
      <c r="Y559" s="150" t="e">
        <f t="shared" si="52"/>
        <v>#N/A</v>
      </c>
    </row>
    <row r="560" spans="1:25">
      <c r="A560" s="134"/>
      <c r="B560" s="158">
        <f t="shared" si="53"/>
        <v>38534</v>
      </c>
      <c r="C560" s="159" t="str">
        <f t="shared" si="54"/>
        <v/>
      </c>
      <c r="D560" s="159" t="str">
        <f t="shared" si="55"/>
        <v/>
      </c>
      <c r="E560" s="159" t="str">
        <f t="shared" si="56"/>
        <v/>
      </c>
      <c r="F560" s="159" t="str">
        <f t="shared" si="57"/>
        <v/>
      </c>
      <c r="G560" s="137"/>
      <c r="H560" s="137"/>
      <c r="I560" s="137"/>
      <c r="J560" s="137"/>
      <c r="K560" s="160"/>
      <c r="L560" s="160"/>
      <c r="M560" s="137"/>
      <c r="N560" s="138"/>
      <c r="O560" s="138"/>
      <c r="P560" s="138"/>
      <c r="Q560" s="138"/>
      <c r="R560" s="138"/>
      <c r="S560" s="138"/>
      <c r="T560" s="138"/>
      <c r="U560" s="138"/>
      <c r="V560" s="150" t="e">
        <f t="shared" si="52"/>
        <v>#N/A</v>
      </c>
      <c r="W560" s="150" t="e">
        <f t="shared" si="52"/>
        <v>#N/A</v>
      </c>
      <c r="X560" s="150" t="e">
        <f t="shared" si="52"/>
        <v>#N/A</v>
      </c>
      <c r="Y560" s="150" t="e">
        <f t="shared" si="52"/>
        <v>#N/A</v>
      </c>
    </row>
    <row r="561" spans="1:25">
      <c r="A561" s="134"/>
      <c r="B561" s="158">
        <f t="shared" si="53"/>
        <v>38535</v>
      </c>
      <c r="C561" s="159" t="str">
        <f t="shared" si="54"/>
        <v/>
      </c>
      <c r="D561" s="159" t="str">
        <f t="shared" si="55"/>
        <v/>
      </c>
      <c r="E561" s="159" t="str">
        <f t="shared" si="56"/>
        <v/>
      </c>
      <c r="F561" s="159" t="str">
        <f t="shared" si="57"/>
        <v/>
      </c>
      <c r="G561" s="137"/>
      <c r="H561" s="137"/>
      <c r="I561" s="137"/>
      <c r="J561" s="137"/>
      <c r="K561" s="160"/>
      <c r="L561" s="160"/>
      <c r="M561" s="137"/>
      <c r="N561" s="138"/>
      <c r="O561" s="138"/>
      <c r="P561" s="138"/>
      <c r="Q561" s="138"/>
      <c r="R561" s="138"/>
      <c r="S561" s="138"/>
      <c r="T561" s="138"/>
      <c r="U561" s="138"/>
      <c r="V561" s="150" t="e">
        <f t="shared" si="52"/>
        <v>#N/A</v>
      </c>
      <c r="W561" s="150" t="e">
        <f t="shared" si="52"/>
        <v>#N/A</v>
      </c>
      <c r="X561" s="150" t="e">
        <f t="shared" si="52"/>
        <v>#N/A</v>
      </c>
      <c r="Y561" s="150" t="e">
        <f t="shared" si="52"/>
        <v>#N/A</v>
      </c>
    </row>
    <row r="562" spans="1:25">
      <c r="A562" s="134"/>
      <c r="B562" s="158">
        <f t="shared" si="53"/>
        <v>38536</v>
      </c>
      <c r="C562" s="159" t="str">
        <f t="shared" si="54"/>
        <v/>
      </c>
      <c r="D562" s="159" t="str">
        <f t="shared" si="55"/>
        <v/>
      </c>
      <c r="E562" s="159" t="str">
        <f t="shared" si="56"/>
        <v/>
      </c>
      <c r="F562" s="159" t="str">
        <f t="shared" si="57"/>
        <v/>
      </c>
      <c r="G562" s="137"/>
      <c r="H562" s="137"/>
      <c r="I562" s="137"/>
      <c r="J562" s="137"/>
      <c r="K562" s="160"/>
      <c r="L562" s="160"/>
      <c r="M562" s="137"/>
      <c r="N562" s="138"/>
      <c r="O562" s="138"/>
      <c r="P562" s="138"/>
      <c r="Q562" s="138"/>
      <c r="R562" s="138"/>
      <c r="S562" s="138"/>
      <c r="T562" s="138"/>
      <c r="U562" s="138"/>
      <c r="V562" s="150" t="e">
        <f t="shared" si="52"/>
        <v>#N/A</v>
      </c>
      <c r="W562" s="150" t="e">
        <f t="shared" si="52"/>
        <v>#N/A</v>
      </c>
      <c r="X562" s="150" t="e">
        <f t="shared" si="52"/>
        <v>#N/A</v>
      </c>
      <c r="Y562" s="150" t="e">
        <f t="shared" si="52"/>
        <v>#N/A</v>
      </c>
    </row>
    <row r="563" spans="1:25">
      <c r="A563" s="134"/>
      <c r="B563" s="158">
        <f t="shared" si="53"/>
        <v>38537</v>
      </c>
      <c r="C563" s="159" t="str">
        <f t="shared" si="54"/>
        <v/>
      </c>
      <c r="D563" s="159" t="str">
        <f t="shared" si="55"/>
        <v/>
      </c>
      <c r="E563" s="159" t="str">
        <f t="shared" si="56"/>
        <v/>
      </c>
      <c r="F563" s="159" t="str">
        <f t="shared" si="57"/>
        <v/>
      </c>
      <c r="G563" s="137"/>
      <c r="H563" s="137"/>
      <c r="I563" s="137"/>
      <c r="J563" s="137"/>
      <c r="K563" s="160"/>
      <c r="L563" s="160"/>
      <c r="M563" s="137"/>
      <c r="N563" s="138"/>
      <c r="O563" s="138"/>
      <c r="P563" s="138"/>
      <c r="Q563" s="138"/>
      <c r="R563" s="138"/>
      <c r="S563" s="138"/>
      <c r="T563" s="138"/>
      <c r="U563" s="138"/>
      <c r="V563" s="150" t="e">
        <f t="shared" si="52"/>
        <v>#N/A</v>
      </c>
      <c r="W563" s="150" t="e">
        <f t="shared" si="52"/>
        <v>#N/A</v>
      </c>
      <c r="X563" s="150" t="e">
        <f t="shared" si="52"/>
        <v>#N/A</v>
      </c>
      <c r="Y563" s="150" t="e">
        <f t="shared" si="52"/>
        <v>#N/A</v>
      </c>
    </row>
    <row r="564" spans="1:25">
      <c r="A564" s="134"/>
      <c r="B564" s="158">
        <f t="shared" si="53"/>
        <v>38538</v>
      </c>
      <c r="C564" s="159" t="str">
        <f t="shared" si="54"/>
        <v/>
      </c>
      <c r="D564" s="159" t="str">
        <f t="shared" si="55"/>
        <v/>
      </c>
      <c r="E564" s="159" t="str">
        <f t="shared" si="56"/>
        <v/>
      </c>
      <c r="F564" s="159" t="str">
        <f t="shared" si="57"/>
        <v/>
      </c>
      <c r="G564" s="137"/>
      <c r="H564" s="137"/>
      <c r="I564" s="137"/>
      <c r="J564" s="137"/>
      <c r="K564" s="160"/>
      <c r="L564" s="160"/>
      <c r="M564" s="137"/>
      <c r="N564" s="138"/>
      <c r="O564" s="138"/>
      <c r="P564" s="138"/>
      <c r="Q564" s="138"/>
      <c r="R564" s="138"/>
      <c r="S564" s="138"/>
      <c r="T564" s="138"/>
      <c r="U564" s="138"/>
      <c r="V564" s="150" t="e">
        <f t="shared" si="52"/>
        <v>#N/A</v>
      </c>
      <c r="W564" s="150" t="e">
        <f t="shared" si="52"/>
        <v>#N/A</v>
      </c>
      <c r="X564" s="150" t="e">
        <f t="shared" si="52"/>
        <v>#N/A</v>
      </c>
      <c r="Y564" s="150" t="e">
        <f t="shared" si="52"/>
        <v>#N/A</v>
      </c>
    </row>
    <row r="565" spans="1:25">
      <c r="A565" s="134"/>
      <c r="B565" s="158">
        <f t="shared" si="53"/>
        <v>38539</v>
      </c>
      <c r="C565" s="159" t="str">
        <f t="shared" si="54"/>
        <v/>
      </c>
      <c r="D565" s="159" t="str">
        <f t="shared" si="55"/>
        <v/>
      </c>
      <c r="E565" s="159" t="str">
        <f t="shared" si="56"/>
        <v/>
      </c>
      <c r="F565" s="159" t="str">
        <f t="shared" si="57"/>
        <v/>
      </c>
      <c r="G565" s="137"/>
      <c r="H565" s="137"/>
      <c r="I565" s="137"/>
      <c r="J565" s="137"/>
      <c r="K565" s="160"/>
      <c r="L565" s="160"/>
      <c r="M565" s="137"/>
      <c r="N565" s="138"/>
      <c r="O565" s="138"/>
      <c r="P565" s="138"/>
      <c r="Q565" s="138"/>
      <c r="R565" s="138"/>
      <c r="S565" s="138"/>
      <c r="T565" s="138"/>
      <c r="U565" s="138"/>
      <c r="V565" s="150" t="e">
        <f t="shared" si="52"/>
        <v>#N/A</v>
      </c>
      <c r="W565" s="150" t="e">
        <f t="shared" si="52"/>
        <v>#N/A</v>
      </c>
      <c r="X565" s="150" t="e">
        <f t="shared" si="52"/>
        <v>#N/A</v>
      </c>
      <c r="Y565" s="150" t="e">
        <f t="shared" si="52"/>
        <v>#N/A</v>
      </c>
    </row>
    <row r="566" spans="1:25">
      <c r="A566" s="134"/>
      <c r="B566" s="158">
        <f t="shared" si="53"/>
        <v>38540</v>
      </c>
      <c r="C566" s="159" t="str">
        <f t="shared" si="54"/>
        <v/>
      </c>
      <c r="D566" s="159" t="str">
        <f t="shared" si="55"/>
        <v/>
      </c>
      <c r="E566" s="159" t="str">
        <f t="shared" si="56"/>
        <v/>
      </c>
      <c r="F566" s="159" t="str">
        <f t="shared" si="57"/>
        <v/>
      </c>
      <c r="G566" s="137"/>
      <c r="H566" s="137"/>
      <c r="I566" s="137"/>
      <c r="J566" s="137"/>
      <c r="K566" s="160"/>
      <c r="L566" s="160"/>
      <c r="M566" s="137"/>
      <c r="N566" s="138"/>
      <c r="O566" s="138"/>
      <c r="P566" s="138"/>
      <c r="Q566" s="138"/>
      <c r="R566" s="138"/>
      <c r="S566" s="138"/>
      <c r="T566" s="138"/>
      <c r="U566" s="138"/>
      <c r="V566" s="150" t="e">
        <f t="shared" si="52"/>
        <v>#N/A</v>
      </c>
      <c r="W566" s="150" t="e">
        <f t="shared" si="52"/>
        <v>#N/A</v>
      </c>
      <c r="X566" s="150" t="e">
        <f t="shared" si="52"/>
        <v>#N/A</v>
      </c>
      <c r="Y566" s="150" t="e">
        <f t="shared" si="52"/>
        <v>#N/A</v>
      </c>
    </row>
    <row r="567" spans="1:25">
      <c r="A567" s="134"/>
      <c r="B567" s="158">
        <f t="shared" si="53"/>
        <v>38541</v>
      </c>
      <c r="C567" s="159" t="str">
        <f t="shared" si="54"/>
        <v/>
      </c>
      <c r="D567" s="159" t="str">
        <f t="shared" si="55"/>
        <v/>
      </c>
      <c r="E567" s="159" t="str">
        <f t="shared" si="56"/>
        <v/>
      </c>
      <c r="F567" s="159" t="str">
        <f t="shared" si="57"/>
        <v/>
      </c>
      <c r="G567" s="137"/>
      <c r="H567" s="137"/>
      <c r="I567" s="137"/>
      <c r="J567" s="137"/>
      <c r="K567" s="160"/>
      <c r="L567" s="160"/>
      <c r="M567" s="137"/>
      <c r="N567" s="138"/>
      <c r="O567" s="138"/>
      <c r="P567" s="138"/>
      <c r="Q567" s="138"/>
      <c r="R567" s="138"/>
      <c r="S567" s="138"/>
      <c r="T567" s="138"/>
      <c r="U567" s="138"/>
      <c r="V567" s="150" t="e">
        <f t="shared" si="52"/>
        <v>#N/A</v>
      </c>
      <c r="W567" s="150" t="e">
        <f t="shared" si="52"/>
        <v>#N/A</v>
      </c>
      <c r="X567" s="150" t="e">
        <f t="shared" si="52"/>
        <v>#N/A</v>
      </c>
      <c r="Y567" s="150" t="e">
        <f t="shared" si="52"/>
        <v>#N/A</v>
      </c>
    </row>
    <row r="568" spans="1:25">
      <c r="A568" s="134"/>
      <c r="B568" s="158">
        <f t="shared" si="53"/>
        <v>38542</v>
      </c>
      <c r="C568" s="159" t="str">
        <f t="shared" si="54"/>
        <v/>
      </c>
      <c r="D568" s="159" t="str">
        <f t="shared" si="55"/>
        <v/>
      </c>
      <c r="E568" s="159" t="str">
        <f t="shared" si="56"/>
        <v/>
      </c>
      <c r="F568" s="159" t="str">
        <f t="shared" si="57"/>
        <v/>
      </c>
      <c r="G568" s="137"/>
      <c r="H568" s="137"/>
      <c r="I568" s="137"/>
      <c r="J568" s="137"/>
      <c r="K568" s="160"/>
      <c r="L568" s="160"/>
      <c r="M568" s="137"/>
      <c r="N568" s="138"/>
      <c r="O568" s="138"/>
      <c r="P568" s="138"/>
      <c r="Q568" s="138"/>
      <c r="R568" s="138"/>
      <c r="S568" s="138"/>
      <c r="T568" s="138"/>
      <c r="U568" s="138"/>
      <c r="V568" s="150" t="e">
        <f t="shared" si="52"/>
        <v>#N/A</v>
      </c>
      <c r="W568" s="150" t="e">
        <f t="shared" si="52"/>
        <v>#N/A</v>
      </c>
      <c r="X568" s="150" t="e">
        <f t="shared" si="52"/>
        <v>#N/A</v>
      </c>
      <c r="Y568" s="150" t="e">
        <f t="shared" si="52"/>
        <v>#N/A</v>
      </c>
    </row>
    <row r="569" spans="1:25">
      <c r="A569" s="134"/>
      <c r="B569" s="158">
        <f t="shared" si="53"/>
        <v>38543</v>
      </c>
      <c r="C569" s="159" t="str">
        <f t="shared" si="54"/>
        <v/>
      </c>
      <c r="D569" s="159" t="str">
        <f t="shared" si="55"/>
        <v/>
      </c>
      <c r="E569" s="159" t="str">
        <f t="shared" si="56"/>
        <v/>
      </c>
      <c r="F569" s="159" t="str">
        <f t="shared" si="57"/>
        <v/>
      </c>
      <c r="G569" s="137"/>
      <c r="H569" s="137"/>
      <c r="I569" s="137"/>
      <c r="J569" s="137"/>
      <c r="K569" s="160"/>
      <c r="L569" s="160"/>
      <c r="M569" s="137"/>
      <c r="N569" s="138"/>
      <c r="O569" s="138"/>
      <c r="P569" s="138"/>
      <c r="Q569" s="138"/>
      <c r="R569" s="138"/>
      <c r="S569" s="138"/>
      <c r="T569" s="138"/>
      <c r="U569" s="138"/>
      <c r="V569" s="150" t="e">
        <f t="shared" si="52"/>
        <v>#N/A</v>
      </c>
      <c r="W569" s="150" t="e">
        <f t="shared" si="52"/>
        <v>#N/A</v>
      </c>
      <c r="X569" s="150" t="e">
        <f t="shared" si="52"/>
        <v>#N/A</v>
      </c>
      <c r="Y569" s="150" t="e">
        <f t="shared" si="52"/>
        <v>#N/A</v>
      </c>
    </row>
    <row r="570" spans="1:25">
      <c r="A570" s="134"/>
      <c r="B570" s="158">
        <f t="shared" si="53"/>
        <v>38544</v>
      </c>
      <c r="C570" s="159" t="str">
        <f t="shared" si="54"/>
        <v/>
      </c>
      <c r="D570" s="159" t="str">
        <f t="shared" si="55"/>
        <v/>
      </c>
      <c r="E570" s="159" t="str">
        <f t="shared" si="56"/>
        <v/>
      </c>
      <c r="F570" s="159" t="str">
        <f t="shared" si="57"/>
        <v/>
      </c>
      <c r="G570" s="137"/>
      <c r="H570" s="137"/>
      <c r="I570" s="137"/>
      <c r="J570" s="137"/>
      <c r="K570" s="160"/>
      <c r="L570" s="160"/>
      <c r="M570" s="137"/>
      <c r="N570" s="138"/>
      <c r="O570" s="138"/>
      <c r="P570" s="138"/>
      <c r="Q570" s="138"/>
      <c r="R570" s="138"/>
      <c r="S570" s="138"/>
      <c r="T570" s="138"/>
      <c r="U570" s="138"/>
      <c r="V570" s="150" t="e">
        <f t="shared" si="52"/>
        <v>#N/A</v>
      </c>
      <c r="W570" s="150" t="e">
        <f t="shared" si="52"/>
        <v>#N/A</v>
      </c>
      <c r="X570" s="150" t="e">
        <f t="shared" si="52"/>
        <v>#N/A</v>
      </c>
      <c r="Y570" s="150" t="e">
        <f t="shared" si="52"/>
        <v>#N/A</v>
      </c>
    </row>
    <row r="571" spans="1:25">
      <c r="A571" s="134"/>
      <c r="B571" s="158">
        <f t="shared" si="53"/>
        <v>38545</v>
      </c>
      <c r="C571" s="159" t="str">
        <f t="shared" si="54"/>
        <v/>
      </c>
      <c r="D571" s="159" t="str">
        <f t="shared" si="55"/>
        <v/>
      </c>
      <c r="E571" s="159" t="str">
        <f t="shared" si="56"/>
        <v/>
      </c>
      <c r="F571" s="159" t="str">
        <f t="shared" si="57"/>
        <v/>
      </c>
      <c r="G571" s="137"/>
      <c r="H571" s="137"/>
      <c r="I571" s="137"/>
      <c r="J571" s="137"/>
      <c r="K571" s="160"/>
      <c r="L571" s="160"/>
      <c r="M571" s="137"/>
      <c r="N571" s="138"/>
      <c r="O571" s="138"/>
      <c r="P571" s="138"/>
      <c r="Q571" s="138"/>
      <c r="R571" s="138"/>
      <c r="S571" s="138"/>
      <c r="T571" s="138"/>
      <c r="U571" s="138"/>
      <c r="V571" s="150" t="e">
        <f t="shared" si="52"/>
        <v>#N/A</v>
      </c>
      <c r="W571" s="150" t="e">
        <f t="shared" si="52"/>
        <v>#N/A</v>
      </c>
      <c r="X571" s="150" t="e">
        <f t="shared" si="52"/>
        <v>#N/A</v>
      </c>
      <c r="Y571" s="150" t="e">
        <f t="shared" si="52"/>
        <v>#N/A</v>
      </c>
    </row>
    <row r="572" spans="1:25">
      <c r="A572" s="134"/>
      <c r="B572" s="158">
        <f t="shared" si="53"/>
        <v>38546</v>
      </c>
      <c r="C572" s="159" t="str">
        <f t="shared" si="54"/>
        <v/>
      </c>
      <c r="D572" s="159" t="str">
        <f t="shared" si="55"/>
        <v/>
      </c>
      <c r="E572" s="159" t="str">
        <f t="shared" si="56"/>
        <v/>
      </c>
      <c r="F572" s="159" t="str">
        <f t="shared" si="57"/>
        <v/>
      </c>
      <c r="G572" s="137"/>
      <c r="H572" s="137"/>
      <c r="I572" s="137"/>
      <c r="J572" s="137"/>
      <c r="K572" s="160"/>
      <c r="L572" s="160"/>
      <c r="M572" s="137"/>
      <c r="N572" s="138"/>
      <c r="O572" s="138"/>
      <c r="P572" s="138"/>
      <c r="Q572" s="138"/>
      <c r="R572" s="138"/>
      <c r="S572" s="138"/>
      <c r="T572" s="138"/>
      <c r="U572" s="138"/>
      <c r="V572" s="150" t="e">
        <f t="shared" si="52"/>
        <v>#N/A</v>
      </c>
      <c r="W572" s="150" t="e">
        <f t="shared" si="52"/>
        <v>#N/A</v>
      </c>
      <c r="X572" s="150" t="e">
        <f t="shared" si="52"/>
        <v>#N/A</v>
      </c>
      <c r="Y572" s="150" t="e">
        <f t="shared" si="52"/>
        <v>#N/A</v>
      </c>
    </row>
    <row r="573" spans="1:25">
      <c r="A573" s="134"/>
      <c r="B573" s="158">
        <f t="shared" si="53"/>
        <v>38547</v>
      </c>
      <c r="C573" s="159" t="str">
        <f t="shared" si="54"/>
        <v/>
      </c>
      <c r="D573" s="159" t="str">
        <f t="shared" si="55"/>
        <v/>
      </c>
      <c r="E573" s="159" t="str">
        <f t="shared" si="56"/>
        <v/>
      </c>
      <c r="F573" s="159" t="str">
        <f t="shared" si="57"/>
        <v/>
      </c>
      <c r="G573" s="137"/>
      <c r="H573" s="137"/>
      <c r="I573" s="137"/>
      <c r="J573" s="137"/>
      <c r="K573" s="160"/>
      <c r="L573" s="160"/>
      <c r="M573" s="137"/>
      <c r="N573" s="138"/>
      <c r="O573" s="138"/>
      <c r="P573" s="138"/>
      <c r="Q573" s="138"/>
      <c r="R573" s="138"/>
      <c r="S573" s="138"/>
      <c r="T573" s="138"/>
      <c r="U573" s="138"/>
      <c r="V573" s="150" t="e">
        <f t="shared" si="52"/>
        <v>#N/A</v>
      </c>
      <c r="W573" s="150" t="e">
        <f t="shared" si="52"/>
        <v>#N/A</v>
      </c>
      <c r="X573" s="150" t="e">
        <f t="shared" si="52"/>
        <v>#N/A</v>
      </c>
      <c r="Y573" s="150" t="e">
        <f t="shared" si="52"/>
        <v>#N/A</v>
      </c>
    </row>
    <row r="574" spans="1:25">
      <c r="A574" s="134"/>
      <c r="B574" s="158">
        <f t="shared" si="53"/>
        <v>38548</v>
      </c>
      <c r="C574" s="159" t="str">
        <f t="shared" si="54"/>
        <v/>
      </c>
      <c r="D574" s="159" t="str">
        <f t="shared" si="55"/>
        <v/>
      </c>
      <c r="E574" s="159" t="str">
        <f t="shared" si="56"/>
        <v/>
      </c>
      <c r="F574" s="159" t="str">
        <f t="shared" si="57"/>
        <v/>
      </c>
      <c r="G574" s="137"/>
      <c r="H574" s="137"/>
      <c r="I574" s="137"/>
      <c r="J574" s="137"/>
      <c r="K574" s="160"/>
      <c r="L574" s="160"/>
      <c r="M574" s="137"/>
      <c r="N574" s="138"/>
      <c r="O574" s="138"/>
      <c r="P574" s="138"/>
      <c r="Q574" s="138"/>
      <c r="R574" s="138"/>
      <c r="S574" s="138"/>
      <c r="T574" s="138"/>
      <c r="U574" s="138"/>
      <c r="V574" s="150" t="e">
        <f t="shared" si="52"/>
        <v>#N/A</v>
      </c>
      <c r="W574" s="150" t="e">
        <f t="shared" si="52"/>
        <v>#N/A</v>
      </c>
      <c r="X574" s="150" t="e">
        <f t="shared" si="52"/>
        <v>#N/A</v>
      </c>
      <c r="Y574" s="150" t="e">
        <f t="shared" si="52"/>
        <v>#N/A</v>
      </c>
    </row>
    <row r="575" spans="1:25">
      <c r="A575" s="134"/>
      <c r="B575" s="158">
        <f t="shared" si="53"/>
        <v>38549</v>
      </c>
      <c r="C575" s="159" t="str">
        <f t="shared" si="54"/>
        <v/>
      </c>
      <c r="D575" s="159" t="str">
        <f t="shared" si="55"/>
        <v/>
      </c>
      <c r="E575" s="159" t="str">
        <f t="shared" si="56"/>
        <v/>
      </c>
      <c r="F575" s="159" t="str">
        <f t="shared" si="57"/>
        <v/>
      </c>
      <c r="G575" s="137"/>
      <c r="H575" s="137"/>
      <c r="I575" s="137"/>
      <c r="J575" s="137"/>
      <c r="K575" s="160"/>
      <c r="L575" s="160"/>
      <c r="M575" s="137"/>
      <c r="N575" s="138"/>
      <c r="O575" s="138"/>
      <c r="P575" s="138"/>
      <c r="Q575" s="138"/>
      <c r="R575" s="138"/>
      <c r="S575" s="138"/>
      <c r="T575" s="138"/>
      <c r="U575" s="138"/>
      <c r="V575" s="150" t="e">
        <f t="shared" si="52"/>
        <v>#N/A</v>
      </c>
      <c r="W575" s="150" t="e">
        <f t="shared" si="52"/>
        <v>#N/A</v>
      </c>
      <c r="X575" s="150" t="e">
        <f t="shared" si="52"/>
        <v>#N/A</v>
      </c>
      <c r="Y575" s="150" t="e">
        <f t="shared" si="52"/>
        <v>#N/A</v>
      </c>
    </row>
    <row r="576" spans="1:25">
      <c r="A576" s="134"/>
      <c r="B576" s="158">
        <f t="shared" si="53"/>
        <v>38550</v>
      </c>
      <c r="C576" s="159" t="str">
        <f t="shared" si="54"/>
        <v/>
      </c>
      <c r="D576" s="159" t="str">
        <f t="shared" si="55"/>
        <v/>
      </c>
      <c r="E576" s="159" t="str">
        <f t="shared" si="56"/>
        <v/>
      </c>
      <c r="F576" s="159" t="str">
        <f t="shared" si="57"/>
        <v/>
      </c>
      <c r="G576" s="137"/>
      <c r="H576" s="137"/>
      <c r="I576" s="137"/>
      <c r="J576" s="137"/>
      <c r="K576" s="160"/>
      <c r="L576" s="160"/>
      <c r="M576" s="137"/>
      <c r="N576" s="138"/>
      <c r="O576" s="138"/>
      <c r="P576" s="138"/>
      <c r="Q576" s="138"/>
      <c r="R576" s="138"/>
      <c r="S576" s="138"/>
      <c r="T576" s="138"/>
      <c r="U576" s="138"/>
      <c r="V576" s="150" t="e">
        <f t="shared" si="52"/>
        <v>#N/A</v>
      </c>
      <c r="W576" s="150" t="e">
        <f t="shared" si="52"/>
        <v>#N/A</v>
      </c>
      <c r="X576" s="150" t="e">
        <f t="shared" si="52"/>
        <v>#N/A</v>
      </c>
      <c r="Y576" s="150" t="e">
        <f t="shared" si="52"/>
        <v>#N/A</v>
      </c>
    </row>
    <row r="577" spans="1:25">
      <c r="A577" s="134"/>
      <c r="B577" s="158">
        <f t="shared" si="53"/>
        <v>38551</v>
      </c>
      <c r="C577" s="159" t="str">
        <f t="shared" si="54"/>
        <v/>
      </c>
      <c r="D577" s="159" t="str">
        <f t="shared" si="55"/>
        <v/>
      </c>
      <c r="E577" s="159" t="str">
        <f t="shared" si="56"/>
        <v/>
      </c>
      <c r="F577" s="159" t="str">
        <f t="shared" si="57"/>
        <v/>
      </c>
      <c r="G577" s="137"/>
      <c r="H577" s="137"/>
      <c r="I577" s="137"/>
      <c r="J577" s="137"/>
      <c r="K577" s="160"/>
      <c r="L577" s="160"/>
      <c r="M577" s="137"/>
      <c r="N577" s="138"/>
      <c r="O577" s="138"/>
      <c r="P577" s="138"/>
      <c r="Q577" s="138"/>
      <c r="R577" s="138"/>
      <c r="S577" s="138"/>
      <c r="T577" s="138"/>
      <c r="U577" s="138"/>
      <c r="V577" s="150" t="e">
        <f t="shared" si="52"/>
        <v>#N/A</v>
      </c>
      <c r="W577" s="150" t="e">
        <f t="shared" si="52"/>
        <v>#N/A</v>
      </c>
      <c r="X577" s="150" t="e">
        <f t="shared" si="52"/>
        <v>#N/A</v>
      </c>
      <c r="Y577" s="150" t="e">
        <f t="shared" si="52"/>
        <v>#N/A</v>
      </c>
    </row>
    <row r="578" spans="1:25">
      <c r="A578" s="134"/>
      <c r="B578" s="158">
        <f t="shared" si="53"/>
        <v>38552</v>
      </c>
      <c r="C578" s="159" t="str">
        <f t="shared" si="54"/>
        <v/>
      </c>
      <c r="D578" s="159" t="str">
        <f t="shared" si="55"/>
        <v/>
      </c>
      <c r="E578" s="159" t="str">
        <f t="shared" si="56"/>
        <v/>
      </c>
      <c r="F578" s="159" t="str">
        <f t="shared" si="57"/>
        <v/>
      </c>
      <c r="G578" s="137"/>
      <c r="H578" s="137"/>
      <c r="I578" s="137"/>
      <c r="J578" s="137"/>
      <c r="K578" s="160"/>
      <c r="L578" s="160"/>
      <c r="M578" s="137"/>
      <c r="N578" s="138"/>
      <c r="O578" s="138"/>
      <c r="P578" s="138"/>
      <c r="Q578" s="138"/>
      <c r="R578" s="138"/>
      <c r="S578" s="138"/>
      <c r="T578" s="138"/>
      <c r="U578" s="138"/>
      <c r="V578" s="150" t="e">
        <f t="shared" si="52"/>
        <v>#N/A</v>
      </c>
      <c r="W578" s="150" t="e">
        <f t="shared" si="52"/>
        <v>#N/A</v>
      </c>
      <c r="X578" s="150" t="e">
        <f t="shared" si="52"/>
        <v>#N/A</v>
      </c>
      <c r="Y578" s="150" t="e">
        <f t="shared" si="52"/>
        <v>#N/A</v>
      </c>
    </row>
    <row r="579" spans="1:25">
      <c r="A579" s="134"/>
      <c r="B579" s="158">
        <f t="shared" si="53"/>
        <v>38553</v>
      </c>
      <c r="C579" s="159" t="str">
        <f t="shared" si="54"/>
        <v/>
      </c>
      <c r="D579" s="159" t="str">
        <f t="shared" si="55"/>
        <v/>
      </c>
      <c r="E579" s="159" t="str">
        <f t="shared" si="56"/>
        <v/>
      </c>
      <c r="F579" s="159" t="str">
        <f t="shared" si="57"/>
        <v/>
      </c>
      <c r="G579" s="137"/>
      <c r="H579" s="137"/>
      <c r="I579" s="137"/>
      <c r="J579" s="137"/>
      <c r="K579" s="160"/>
      <c r="L579" s="160"/>
      <c r="M579" s="137"/>
      <c r="N579" s="138"/>
      <c r="O579" s="138"/>
      <c r="P579" s="138"/>
      <c r="Q579" s="138"/>
      <c r="R579" s="138"/>
      <c r="S579" s="138"/>
      <c r="T579" s="138"/>
      <c r="U579" s="138"/>
      <c r="V579" s="150" t="e">
        <f t="shared" si="52"/>
        <v>#N/A</v>
      </c>
      <c r="W579" s="150" t="e">
        <f t="shared" si="52"/>
        <v>#N/A</v>
      </c>
      <c r="X579" s="150" t="e">
        <f t="shared" si="52"/>
        <v>#N/A</v>
      </c>
      <c r="Y579" s="150" t="e">
        <f t="shared" si="52"/>
        <v>#N/A</v>
      </c>
    </row>
    <row r="580" spans="1:25">
      <c r="A580" s="134"/>
      <c r="B580" s="158">
        <f t="shared" si="53"/>
        <v>38554</v>
      </c>
      <c r="C580" s="159" t="str">
        <f t="shared" si="54"/>
        <v/>
      </c>
      <c r="D580" s="159" t="str">
        <f t="shared" si="55"/>
        <v/>
      </c>
      <c r="E580" s="159" t="str">
        <f t="shared" si="56"/>
        <v/>
      </c>
      <c r="F580" s="159" t="str">
        <f t="shared" si="57"/>
        <v/>
      </c>
      <c r="G580" s="137"/>
      <c r="H580" s="137"/>
      <c r="I580" s="137"/>
      <c r="J580" s="137"/>
      <c r="K580" s="160"/>
      <c r="L580" s="160"/>
      <c r="M580" s="137"/>
      <c r="N580" s="138"/>
      <c r="O580" s="138"/>
      <c r="P580" s="138"/>
      <c r="Q580" s="138"/>
      <c r="R580" s="138"/>
      <c r="S580" s="138"/>
      <c r="T580" s="138"/>
      <c r="U580" s="138"/>
      <c r="V580" s="150" t="e">
        <f t="shared" si="52"/>
        <v>#N/A</v>
      </c>
      <c r="W580" s="150" t="e">
        <f t="shared" si="52"/>
        <v>#N/A</v>
      </c>
      <c r="X580" s="150" t="e">
        <f t="shared" si="52"/>
        <v>#N/A</v>
      </c>
      <c r="Y580" s="150" t="e">
        <f t="shared" si="52"/>
        <v>#N/A</v>
      </c>
    </row>
    <row r="581" spans="1:25">
      <c r="A581" s="134"/>
      <c r="B581" s="158">
        <f t="shared" si="53"/>
        <v>38555</v>
      </c>
      <c r="C581" s="159" t="str">
        <f t="shared" si="54"/>
        <v/>
      </c>
      <c r="D581" s="159" t="str">
        <f t="shared" si="55"/>
        <v/>
      </c>
      <c r="E581" s="159" t="str">
        <f t="shared" si="56"/>
        <v/>
      </c>
      <c r="F581" s="159" t="str">
        <f t="shared" si="57"/>
        <v/>
      </c>
      <c r="G581" s="137"/>
      <c r="H581" s="137"/>
      <c r="I581" s="137"/>
      <c r="J581" s="137"/>
      <c r="K581" s="160"/>
      <c r="L581" s="160"/>
      <c r="M581" s="137"/>
      <c r="N581" s="138"/>
      <c r="O581" s="138"/>
      <c r="P581" s="138"/>
      <c r="Q581" s="138"/>
      <c r="R581" s="138"/>
      <c r="S581" s="138"/>
      <c r="T581" s="138"/>
      <c r="U581" s="138"/>
      <c r="V581" s="150" t="e">
        <f t="shared" si="52"/>
        <v>#N/A</v>
      </c>
      <c r="W581" s="150" t="e">
        <f t="shared" si="52"/>
        <v>#N/A</v>
      </c>
      <c r="X581" s="150" t="e">
        <f t="shared" si="52"/>
        <v>#N/A</v>
      </c>
      <c r="Y581" s="150" t="e">
        <f t="shared" si="52"/>
        <v>#N/A</v>
      </c>
    </row>
    <row r="582" spans="1:25">
      <c r="A582" s="134"/>
      <c r="B582" s="158">
        <f t="shared" si="53"/>
        <v>38556</v>
      </c>
      <c r="C582" s="159" t="str">
        <f t="shared" si="54"/>
        <v/>
      </c>
      <c r="D582" s="159" t="str">
        <f t="shared" si="55"/>
        <v/>
      </c>
      <c r="E582" s="159" t="str">
        <f t="shared" si="56"/>
        <v/>
      </c>
      <c r="F582" s="159" t="str">
        <f t="shared" si="57"/>
        <v/>
      </c>
      <c r="G582" s="137"/>
      <c r="H582" s="137"/>
      <c r="I582" s="137"/>
      <c r="J582" s="137"/>
      <c r="K582" s="160"/>
      <c r="L582" s="160"/>
      <c r="M582" s="137"/>
      <c r="N582" s="138"/>
      <c r="O582" s="138"/>
      <c r="P582" s="138"/>
      <c r="Q582" s="138"/>
      <c r="R582" s="138"/>
      <c r="S582" s="138"/>
      <c r="T582" s="138"/>
      <c r="U582" s="138"/>
      <c r="V582" s="150" t="e">
        <f t="shared" si="52"/>
        <v>#N/A</v>
      </c>
      <c r="W582" s="150" t="e">
        <f t="shared" si="52"/>
        <v>#N/A</v>
      </c>
      <c r="X582" s="150" t="e">
        <f t="shared" si="52"/>
        <v>#N/A</v>
      </c>
      <c r="Y582" s="150" t="e">
        <f t="shared" si="52"/>
        <v>#N/A</v>
      </c>
    </row>
    <row r="583" spans="1:25">
      <c r="A583" s="134"/>
      <c r="B583" s="158">
        <f t="shared" si="53"/>
        <v>38557</v>
      </c>
      <c r="C583" s="159" t="str">
        <f t="shared" si="54"/>
        <v/>
      </c>
      <c r="D583" s="159" t="str">
        <f t="shared" si="55"/>
        <v/>
      </c>
      <c r="E583" s="159" t="str">
        <f t="shared" si="56"/>
        <v/>
      </c>
      <c r="F583" s="159" t="str">
        <f t="shared" si="57"/>
        <v/>
      </c>
      <c r="G583" s="137"/>
      <c r="H583" s="137"/>
      <c r="I583" s="137"/>
      <c r="J583" s="137"/>
      <c r="K583" s="160"/>
      <c r="L583" s="160"/>
      <c r="M583" s="137"/>
      <c r="N583" s="138"/>
      <c r="O583" s="138"/>
      <c r="P583" s="138"/>
      <c r="Q583" s="138"/>
      <c r="R583" s="138"/>
      <c r="S583" s="138"/>
      <c r="T583" s="138"/>
      <c r="U583" s="138"/>
      <c r="V583" s="150" t="e">
        <f t="shared" si="52"/>
        <v>#N/A</v>
      </c>
      <c r="W583" s="150" t="e">
        <f t="shared" si="52"/>
        <v>#N/A</v>
      </c>
      <c r="X583" s="150" t="e">
        <f t="shared" si="52"/>
        <v>#N/A</v>
      </c>
      <c r="Y583" s="150" t="e">
        <f t="shared" si="52"/>
        <v>#N/A</v>
      </c>
    </row>
    <row r="584" spans="1:25">
      <c r="A584" s="134"/>
      <c r="B584" s="158">
        <f t="shared" si="53"/>
        <v>38558</v>
      </c>
      <c r="C584" s="159" t="str">
        <f t="shared" si="54"/>
        <v/>
      </c>
      <c r="D584" s="159" t="str">
        <f t="shared" si="55"/>
        <v/>
      </c>
      <c r="E584" s="159" t="str">
        <f t="shared" si="56"/>
        <v/>
      </c>
      <c r="F584" s="159" t="str">
        <f t="shared" si="57"/>
        <v/>
      </c>
      <c r="G584" s="137"/>
      <c r="H584" s="137"/>
      <c r="I584" s="137"/>
      <c r="J584" s="137"/>
      <c r="K584" s="160"/>
      <c r="L584" s="160"/>
      <c r="M584" s="137"/>
      <c r="N584" s="138"/>
      <c r="O584" s="138"/>
      <c r="P584" s="138"/>
      <c r="Q584" s="138"/>
      <c r="R584" s="138"/>
      <c r="S584" s="138"/>
      <c r="T584" s="138"/>
      <c r="U584" s="138"/>
      <c r="V584" s="150" t="e">
        <f t="shared" si="52"/>
        <v>#N/A</v>
      </c>
      <c r="W584" s="150" t="e">
        <f t="shared" si="52"/>
        <v>#N/A</v>
      </c>
      <c r="X584" s="150" t="e">
        <f t="shared" si="52"/>
        <v>#N/A</v>
      </c>
      <c r="Y584" s="150" t="e">
        <f t="shared" si="52"/>
        <v>#N/A</v>
      </c>
    </row>
    <row r="585" spans="1:25">
      <c r="A585" s="134"/>
      <c r="B585" s="158">
        <f t="shared" si="53"/>
        <v>38559</v>
      </c>
      <c r="C585" s="159" t="str">
        <f t="shared" si="54"/>
        <v/>
      </c>
      <c r="D585" s="159" t="str">
        <f t="shared" si="55"/>
        <v/>
      </c>
      <c r="E585" s="159" t="str">
        <f t="shared" si="56"/>
        <v/>
      </c>
      <c r="F585" s="159" t="str">
        <f t="shared" si="57"/>
        <v/>
      </c>
      <c r="G585" s="137"/>
      <c r="H585" s="137"/>
      <c r="I585" s="137"/>
      <c r="J585" s="137"/>
      <c r="K585" s="160"/>
      <c r="L585" s="160"/>
      <c r="M585" s="137"/>
      <c r="N585" s="138"/>
      <c r="O585" s="138"/>
      <c r="P585" s="138"/>
      <c r="Q585" s="138"/>
      <c r="R585" s="138"/>
      <c r="S585" s="138"/>
      <c r="T585" s="138"/>
      <c r="U585" s="138"/>
      <c r="V585" s="150" t="e">
        <f t="shared" si="52"/>
        <v>#N/A</v>
      </c>
      <c r="W585" s="150" t="e">
        <f t="shared" si="52"/>
        <v>#N/A</v>
      </c>
      <c r="X585" s="150" t="e">
        <f t="shared" si="52"/>
        <v>#N/A</v>
      </c>
      <c r="Y585" s="150" t="e">
        <f t="shared" si="52"/>
        <v>#N/A</v>
      </c>
    </row>
    <row r="586" spans="1:25">
      <c r="A586" s="134"/>
      <c r="B586" s="158">
        <f t="shared" si="53"/>
        <v>38560</v>
      </c>
      <c r="C586" s="159" t="str">
        <f t="shared" si="54"/>
        <v/>
      </c>
      <c r="D586" s="159" t="str">
        <f t="shared" si="55"/>
        <v/>
      </c>
      <c r="E586" s="159" t="str">
        <f t="shared" si="56"/>
        <v/>
      </c>
      <c r="F586" s="159" t="str">
        <f t="shared" si="57"/>
        <v/>
      </c>
      <c r="G586" s="137"/>
      <c r="H586" s="137"/>
      <c r="I586" s="137"/>
      <c r="J586" s="137"/>
      <c r="K586" s="160"/>
      <c r="L586" s="160"/>
      <c r="M586" s="137"/>
      <c r="N586" s="138"/>
      <c r="O586" s="138"/>
      <c r="P586" s="138"/>
      <c r="Q586" s="138"/>
      <c r="R586" s="138"/>
      <c r="S586" s="138"/>
      <c r="T586" s="138"/>
      <c r="U586" s="138"/>
      <c r="V586" s="150" t="e">
        <f t="shared" si="52"/>
        <v>#N/A</v>
      </c>
      <c r="W586" s="150" t="e">
        <f t="shared" si="52"/>
        <v>#N/A</v>
      </c>
      <c r="X586" s="150" t="e">
        <f t="shared" si="52"/>
        <v>#N/A</v>
      </c>
      <c r="Y586" s="150" t="e">
        <f t="shared" si="52"/>
        <v>#N/A</v>
      </c>
    </row>
    <row r="587" spans="1:25">
      <c r="A587" s="134"/>
      <c r="B587" s="158">
        <f t="shared" si="53"/>
        <v>38561</v>
      </c>
      <c r="C587" s="159" t="str">
        <f t="shared" si="54"/>
        <v/>
      </c>
      <c r="D587" s="159" t="str">
        <f t="shared" si="55"/>
        <v/>
      </c>
      <c r="E587" s="159" t="str">
        <f t="shared" si="56"/>
        <v/>
      </c>
      <c r="F587" s="159" t="str">
        <f t="shared" si="57"/>
        <v/>
      </c>
      <c r="G587" s="137"/>
      <c r="H587" s="137"/>
      <c r="I587" s="137"/>
      <c r="J587" s="137"/>
      <c r="K587" s="160"/>
      <c r="L587" s="160"/>
      <c r="M587" s="137"/>
      <c r="N587" s="138"/>
      <c r="O587" s="138"/>
      <c r="P587" s="138"/>
      <c r="Q587" s="138"/>
      <c r="R587" s="138"/>
      <c r="S587" s="138"/>
      <c r="T587" s="138"/>
      <c r="U587" s="138"/>
      <c r="V587" s="150" t="e">
        <f t="shared" si="52"/>
        <v>#N/A</v>
      </c>
      <c r="W587" s="150" t="e">
        <f t="shared" si="52"/>
        <v>#N/A</v>
      </c>
      <c r="X587" s="150" t="e">
        <f t="shared" si="52"/>
        <v>#N/A</v>
      </c>
      <c r="Y587" s="150" t="e">
        <f t="shared" si="52"/>
        <v>#N/A</v>
      </c>
    </row>
    <row r="588" spans="1:25">
      <c r="A588" s="134"/>
      <c r="B588" s="158">
        <f t="shared" si="53"/>
        <v>38562</v>
      </c>
      <c r="C588" s="159" t="str">
        <f t="shared" si="54"/>
        <v/>
      </c>
      <c r="D588" s="159" t="str">
        <f t="shared" si="55"/>
        <v/>
      </c>
      <c r="E588" s="159" t="str">
        <f t="shared" si="56"/>
        <v/>
      </c>
      <c r="F588" s="159" t="str">
        <f t="shared" si="57"/>
        <v/>
      </c>
      <c r="G588" s="137"/>
      <c r="H588" s="137"/>
      <c r="I588" s="137"/>
      <c r="J588" s="137"/>
      <c r="K588" s="160"/>
      <c r="L588" s="160"/>
      <c r="M588" s="137"/>
      <c r="N588" s="138"/>
      <c r="O588" s="138"/>
      <c r="P588" s="138"/>
      <c r="Q588" s="138"/>
      <c r="R588" s="138"/>
      <c r="S588" s="138"/>
      <c r="T588" s="138"/>
      <c r="U588" s="138"/>
      <c r="V588" s="150" t="e">
        <f t="shared" si="52"/>
        <v>#N/A</v>
      </c>
      <c r="W588" s="150" t="e">
        <f t="shared" si="52"/>
        <v>#N/A</v>
      </c>
      <c r="X588" s="150" t="e">
        <f t="shared" si="52"/>
        <v>#N/A</v>
      </c>
      <c r="Y588" s="150" t="e">
        <f>IF(F588="",#N/A,F588)</f>
        <v>#N/A</v>
      </c>
    </row>
    <row r="589" spans="1:25">
      <c r="A589" s="134"/>
      <c r="B589" s="158">
        <f t="shared" si="53"/>
        <v>38563</v>
      </c>
      <c r="C589" s="159" t="str">
        <f t="shared" si="54"/>
        <v/>
      </c>
      <c r="D589" s="159" t="str">
        <f t="shared" si="55"/>
        <v/>
      </c>
      <c r="E589" s="159" t="str">
        <f t="shared" si="56"/>
        <v/>
      </c>
      <c r="F589" s="159" t="str">
        <f t="shared" si="57"/>
        <v/>
      </c>
      <c r="G589" s="137"/>
      <c r="H589" s="137"/>
      <c r="I589" s="137"/>
      <c r="J589" s="137"/>
      <c r="K589" s="160"/>
      <c r="L589" s="160"/>
      <c r="M589" s="137"/>
      <c r="N589" s="138"/>
      <c r="O589" s="138"/>
      <c r="P589" s="138"/>
      <c r="Q589" s="138"/>
      <c r="R589" s="138"/>
      <c r="S589" s="138"/>
      <c r="T589" s="138"/>
      <c r="U589" s="138"/>
      <c r="V589" s="150" t="e">
        <f>IF(C589="",#N/A,C589)</f>
        <v>#N/A</v>
      </c>
      <c r="W589" s="150" t="e">
        <f>IF(D589="",#N/A,D589)</f>
        <v>#N/A</v>
      </c>
      <c r="X589" s="150" t="e">
        <f>IF(E589="",#N/A,E589)</f>
        <v>#N/A</v>
      </c>
      <c r="Y589" s="150" t="e">
        <f>IF(F589="",#N/A,F589)</f>
        <v>#N/A</v>
      </c>
    </row>
    <row r="590" spans="1:25">
      <c r="A590" s="161" t="s">
        <v>199</v>
      </c>
      <c r="B590" s="161" t="s">
        <v>199</v>
      </c>
      <c r="C590" s="162" t="s">
        <v>199</v>
      </c>
      <c r="D590" s="162" t="s">
        <v>199</v>
      </c>
      <c r="E590" s="162" t="s">
        <v>199</v>
      </c>
      <c r="F590" s="162" t="s">
        <v>199</v>
      </c>
      <c r="G590" s="162" t="s">
        <v>199</v>
      </c>
      <c r="H590" s="162" t="s">
        <v>199</v>
      </c>
      <c r="I590" s="162" t="s">
        <v>199</v>
      </c>
      <c r="J590" s="162" t="s">
        <v>199</v>
      </c>
      <c r="K590" s="162" t="s">
        <v>199</v>
      </c>
      <c r="L590" s="162" t="s">
        <v>199</v>
      </c>
      <c r="M590" s="162" t="s">
        <v>199</v>
      </c>
      <c r="N590" s="138"/>
      <c r="O590" s="138"/>
      <c r="P590" s="138"/>
      <c r="Q590" s="138"/>
      <c r="R590" s="138"/>
      <c r="S590" s="138"/>
      <c r="T590" s="138"/>
      <c r="U590" s="138"/>
      <c r="V590" s="163" t="s">
        <v>199</v>
      </c>
      <c r="W590" s="163" t="s">
        <v>199</v>
      </c>
      <c r="X590" s="163" t="s">
        <v>199</v>
      </c>
      <c r="Y590" s="163" t="s">
        <v>199</v>
      </c>
    </row>
    <row r="591" spans="1:25">
      <c r="A591" s="164"/>
      <c r="B591" s="138"/>
      <c r="C591" s="138"/>
      <c r="D591" s="138"/>
      <c r="E591" s="138"/>
      <c r="F591" s="138"/>
      <c r="G591" s="138"/>
      <c r="H591" s="138"/>
      <c r="I591" s="138"/>
      <c r="J591" s="138"/>
      <c r="K591" s="138"/>
      <c r="L591" s="138"/>
      <c r="M591" s="138"/>
      <c r="N591" s="138"/>
      <c r="O591" s="138"/>
      <c r="P591" s="138"/>
      <c r="Q591" s="138"/>
      <c r="R591" s="138"/>
      <c r="S591" s="138"/>
      <c r="T591" s="138"/>
      <c r="U591" s="138"/>
      <c r="V591" s="140"/>
      <c r="W591" s="140"/>
      <c r="X591" s="140"/>
      <c r="Y591" s="140"/>
    </row>
    <row r="592" spans="1:25">
      <c r="A592" s="164"/>
      <c r="B592" s="138"/>
      <c r="C592" s="138"/>
      <c r="D592" s="138"/>
      <c r="E592" s="138"/>
      <c r="F592" s="138"/>
      <c r="G592" s="138"/>
      <c r="H592" s="138"/>
      <c r="I592" s="138"/>
      <c r="J592" s="138"/>
      <c r="K592" s="138"/>
      <c r="L592" s="138"/>
      <c r="M592" s="138"/>
      <c r="N592" s="138"/>
      <c r="O592" s="138"/>
      <c r="P592" s="138"/>
      <c r="Q592" s="138"/>
      <c r="R592" s="138"/>
      <c r="S592" s="138"/>
      <c r="T592" s="138"/>
      <c r="U592" s="138"/>
      <c r="V592" s="140"/>
      <c r="W592" s="140"/>
      <c r="X592" s="140"/>
      <c r="Y592" s="140"/>
    </row>
    <row r="593" spans="1:25">
      <c r="A593" s="164"/>
      <c r="B593" s="138"/>
      <c r="C593" s="138"/>
      <c r="D593" s="138"/>
      <c r="E593" s="138"/>
      <c r="F593" s="138"/>
      <c r="G593" s="138"/>
      <c r="H593" s="138"/>
      <c r="I593" s="138"/>
      <c r="J593" s="138"/>
      <c r="K593" s="138"/>
      <c r="L593" s="138"/>
      <c r="M593" s="138"/>
      <c r="N593" s="138"/>
      <c r="O593" s="138"/>
      <c r="P593" s="138"/>
      <c r="Q593" s="138"/>
      <c r="R593" s="138"/>
      <c r="S593" s="138"/>
      <c r="T593" s="138"/>
      <c r="U593" s="138"/>
      <c r="V593" s="140"/>
      <c r="W593" s="140"/>
      <c r="X593" s="140"/>
      <c r="Y593" s="140"/>
    </row>
    <row r="594" spans="1:25">
      <c r="A594" s="164"/>
      <c r="B594" s="138"/>
      <c r="C594" s="138"/>
      <c r="D594" s="138"/>
      <c r="E594" s="138"/>
      <c r="F594" s="138"/>
      <c r="G594" s="138"/>
      <c r="H594" s="138"/>
      <c r="I594" s="138"/>
      <c r="J594" s="138"/>
      <c r="K594" s="138"/>
      <c r="L594" s="138"/>
      <c r="M594" s="138"/>
      <c r="N594" s="138"/>
      <c r="O594" s="138"/>
      <c r="P594" s="138"/>
      <c r="Q594" s="138"/>
      <c r="R594" s="138"/>
      <c r="S594" s="138"/>
      <c r="T594" s="138"/>
      <c r="U594" s="138"/>
      <c r="V594" s="140"/>
      <c r="W594" s="140"/>
      <c r="X594" s="140"/>
      <c r="Y594" s="140"/>
    </row>
    <row r="595" spans="1:25">
      <c r="A595" s="164"/>
      <c r="B595" s="138"/>
      <c r="C595" s="138"/>
      <c r="D595" s="138"/>
      <c r="E595" s="138"/>
      <c r="F595" s="138"/>
      <c r="G595" s="138"/>
      <c r="H595" s="138"/>
      <c r="I595" s="138"/>
      <c r="J595" s="138"/>
      <c r="K595" s="138"/>
      <c r="L595" s="138"/>
      <c r="M595" s="138"/>
      <c r="N595" s="138"/>
      <c r="O595" s="138"/>
      <c r="P595" s="138"/>
      <c r="Q595" s="138"/>
      <c r="R595" s="138"/>
      <c r="S595" s="138"/>
      <c r="T595" s="138"/>
      <c r="U595" s="138"/>
      <c r="V595" s="140"/>
      <c r="W595" s="140"/>
      <c r="X595" s="140"/>
      <c r="Y595" s="140"/>
    </row>
    <row r="596" spans="1:25">
      <c r="A596" s="164"/>
      <c r="B596" s="138"/>
      <c r="C596" s="138"/>
      <c r="D596" s="138"/>
      <c r="E596" s="138"/>
      <c r="F596" s="138"/>
      <c r="G596" s="138"/>
      <c r="H596" s="138"/>
      <c r="I596" s="138"/>
      <c r="J596" s="138"/>
      <c r="K596" s="138"/>
      <c r="L596" s="138"/>
      <c r="M596" s="138"/>
      <c r="N596" s="138"/>
      <c r="O596" s="138"/>
      <c r="P596" s="138"/>
      <c r="Q596" s="138"/>
      <c r="R596" s="138"/>
      <c r="S596" s="138"/>
      <c r="T596" s="138"/>
      <c r="U596" s="138"/>
      <c r="V596" s="140"/>
      <c r="W596" s="140"/>
      <c r="X596" s="140"/>
      <c r="Y596" s="140"/>
    </row>
    <row r="597" spans="1:25">
      <c r="A597" s="164"/>
      <c r="B597" s="138"/>
      <c r="C597" s="138"/>
      <c r="D597" s="138"/>
      <c r="E597" s="138"/>
      <c r="F597" s="138"/>
      <c r="G597" s="138"/>
      <c r="H597" s="138"/>
      <c r="I597" s="138"/>
      <c r="J597" s="138"/>
      <c r="K597" s="138"/>
      <c r="L597" s="138"/>
      <c r="M597" s="138"/>
      <c r="N597" s="138"/>
      <c r="O597" s="138"/>
      <c r="P597" s="138"/>
      <c r="Q597" s="138"/>
      <c r="R597" s="138"/>
      <c r="S597" s="138"/>
      <c r="T597" s="138"/>
      <c r="U597" s="138"/>
      <c r="V597" s="140"/>
      <c r="W597" s="140"/>
      <c r="X597" s="140"/>
      <c r="Y597" s="140"/>
    </row>
    <row r="598" spans="1:25">
      <c r="A598" s="164"/>
      <c r="B598" s="138"/>
      <c r="C598" s="138"/>
      <c r="D598" s="138"/>
      <c r="E598" s="138"/>
      <c r="F598" s="138"/>
      <c r="G598" s="138"/>
      <c r="H598" s="138"/>
      <c r="I598" s="138"/>
      <c r="J598" s="138"/>
      <c r="K598" s="138"/>
      <c r="L598" s="138"/>
      <c r="M598" s="138"/>
      <c r="N598" s="138"/>
      <c r="O598" s="138"/>
      <c r="P598" s="138"/>
      <c r="Q598" s="138"/>
      <c r="R598" s="138"/>
      <c r="S598" s="138"/>
      <c r="T598" s="138"/>
      <c r="U598" s="138"/>
      <c r="V598" s="140"/>
      <c r="W598" s="140"/>
      <c r="X598" s="140"/>
      <c r="Y598" s="140"/>
    </row>
    <row r="599" spans="1:25">
      <c r="A599" s="164"/>
      <c r="B599" s="138"/>
      <c r="C599" s="138"/>
      <c r="D599" s="138"/>
      <c r="E599" s="138"/>
      <c r="F599" s="138"/>
      <c r="G599" s="138"/>
      <c r="H599" s="138"/>
      <c r="I599" s="138"/>
      <c r="J599" s="138"/>
      <c r="K599" s="138"/>
      <c r="L599" s="138"/>
      <c r="M599" s="138"/>
      <c r="N599" s="138"/>
      <c r="O599" s="138"/>
      <c r="P599" s="138"/>
      <c r="Q599" s="138"/>
      <c r="R599" s="138"/>
      <c r="S599" s="138"/>
      <c r="T599" s="138"/>
      <c r="U599" s="138"/>
      <c r="V599" s="140"/>
      <c r="W599" s="140"/>
      <c r="X599" s="140"/>
      <c r="Y599" s="140"/>
    </row>
    <row r="600" spans="1:25">
      <c r="A600" s="164"/>
      <c r="B600" s="138"/>
      <c r="C600" s="138"/>
      <c r="D600" s="138"/>
      <c r="E600" s="138"/>
      <c r="F600" s="138"/>
      <c r="G600" s="138"/>
      <c r="H600" s="138"/>
      <c r="I600" s="138"/>
      <c r="J600" s="138"/>
      <c r="K600" s="138"/>
      <c r="L600" s="138"/>
      <c r="M600" s="138"/>
      <c r="N600" s="138"/>
      <c r="O600" s="138"/>
      <c r="P600" s="138"/>
      <c r="Q600" s="138"/>
      <c r="R600" s="138"/>
      <c r="S600" s="138"/>
      <c r="T600" s="138"/>
      <c r="U600" s="138"/>
      <c r="V600" s="140"/>
      <c r="W600" s="140"/>
      <c r="X600" s="140"/>
      <c r="Y600" s="140"/>
    </row>
    <row r="601" spans="1:25">
      <c r="A601" s="164"/>
      <c r="B601" s="138"/>
      <c r="C601" s="138"/>
      <c r="D601" s="138"/>
      <c r="E601" s="138"/>
      <c r="F601" s="138"/>
      <c r="G601" s="138"/>
      <c r="H601" s="138"/>
      <c r="I601" s="138"/>
      <c r="J601" s="138"/>
      <c r="K601" s="138"/>
      <c r="L601" s="138"/>
      <c r="M601" s="138"/>
      <c r="N601" s="138"/>
      <c r="O601" s="138"/>
      <c r="P601" s="138"/>
      <c r="Q601" s="138"/>
      <c r="R601" s="138"/>
      <c r="S601" s="138"/>
      <c r="T601" s="138"/>
      <c r="U601" s="138"/>
      <c r="V601" s="140"/>
      <c r="W601" s="140"/>
      <c r="X601" s="140"/>
      <c r="Y601" s="140"/>
    </row>
    <row r="602" spans="1:25">
      <c r="A602" s="164"/>
      <c r="B602" s="138"/>
      <c r="C602" s="138"/>
      <c r="D602" s="138"/>
      <c r="E602" s="138"/>
      <c r="F602" s="138"/>
      <c r="G602" s="138"/>
      <c r="H602" s="138"/>
      <c r="I602" s="138"/>
      <c r="J602" s="138"/>
      <c r="K602" s="138"/>
      <c r="L602" s="138"/>
      <c r="M602" s="138"/>
      <c r="N602" s="138"/>
      <c r="O602" s="138"/>
      <c r="P602" s="138"/>
      <c r="Q602" s="138"/>
      <c r="R602" s="138"/>
      <c r="S602" s="138"/>
      <c r="T602" s="138"/>
      <c r="U602" s="138"/>
      <c r="V602" s="140"/>
      <c r="W602" s="140"/>
      <c r="X602" s="140"/>
      <c r="Y602" s="140"/>
    </row>
    <row r="603" spans="1:25">
      <c r="A603" s="164"/>
      <c r="B603" s="138"/>
      <c r="C603" s="138"/>
      <c r="D603" s="138"/>
      <c r="E603" s="138"/>
      <c r="F603" s="138"/>
      <c r="G603" s="138"/>
      <c r="H603" s="138"/>
      <c r="I603" s="138"/>
      <c r="J603" s="138"/>
      <c r="K603" s="138"/>
      <c r="L603" s="138"/>
      <c r="M603" s="138"/>
      <c r="N603" s="138"/>
      <c r="O603" s="138"/>
      <c r="P603" s="138"/>
      <c r="Q603" s="138"/>
      <c r="R603" s="138"/>
      <c r="S603" s="138"/>
      <c r="T603" s="138"/>
      <c r="U603" s="138"/>
      <c r="V603" s="140"/>
      <c r="W603" s="140"/>
      <c r="X603" s="140"/>
      <c r="Y603" s="140"/>
    </row>
    <row r="604" spans="1:25">
      <c r="A604" s="164"/>
      <c r="B604" s="138"/>
      <c r="C604" s="138"/>
      <c r="D604" s="138"/>
      <c r="E604" s="138"/>
      <c r="F604" s="138"/>
      <c r="G604" s="138"/>
      <c r="H604" s="138"/>
      <c r="I604" s="138"/>
      <c r="J604" s="138"/>
      <c r="K604" s="138"/>
      <c r="L604" s="138"/>
      <c r="M604" s="138"/>
      <c r="N604" s="138"/>
      <c r="O604" s="138"/>
      <c r="P604" s="138"/>
      <c r="Q604" s="138"/>
      <c r="R604" s="138"/>
      <c r="S604" s="138"/>
      <c r="T604" s="138"/>
      <c r="U604" s="138"/>
      <c r="V604" s="140"/>
      <c r="W604" s="140"/>
      <c r="X604" s="140"/>
      <c r="Y604" s="140"/>
    </row>
    <row r="605" spans="1:25">
      <c r="A605" s="164"/>
      <c r="B605" s="138"/>
      <c r="C605" s="138"/>
      <c r="D605" s="138"/>
      <c r="E605" s="138"/>
      <c r="F605" s="138"/>
      <c r="G605" s="138"/>
      <c r="H605" s="138"/>
      <c r="I605" s="138"/>
      <c r="J605" s="138"/>
      <c r="K605" s="138"/>
      <c r="L605" s="138"/>
      <c r="M605" s="138"/>
      <c r="N605" s="138"/>
      <c r="O605" s="138"/>
      <c r="P605" s="138"/>
      <c r="Q605" s="138"/>
      <c r="R605" s="138"/>
      <c r="S605" s="138"/>
      <c r="T605" s="138"/>
      <c r="U605" s="138"/>
      <c r="V605" s="140"/>
      <c r="W605" s="140"/>
      <c r="X605" s="140"/>
      <c r="Y605" s="140"/>
    </row>
    <row r="606" spans="1:25">
      <c r="A606" s="164"/>
      <c r="B606" s="138"/>
      <c r="C606" s="138"/>
      <c r="D606" s="138"/>
      <c r="E606" s="138"/>
      <c r="F606" s="138"/>
      <c r="G606" s="138"/>
      <c r="H606" s="138"/>
      <c r="I606" s="138"/>
      <c r="J606" s="138"/>
      <c r="K606" s="138"/>
      <c r="L606" s="138"/>
      <c r="M606" s="138"/>
      <c r="N606" s="138"/>
      <c r="O606" s="138"/>
      <c r="P606" s="138"/>
      <c r="Q606" s="138"/>
      <c r="R606" s="138"/>
      <c r="S606" s="138"/>
      <c r="T606" s="138"/>
      <c r="U606" s="138"/>
      <c r="V606" s="140"/>
      <c r="W606" s="140"/>
      <c r="X606" s="140"/>
      <c r="Y606" s="140"/>
    </row>
    <row r="607" spans="1:25">
      <c r="A607" s="164"/>
      <c r="B607" s="138"/>
      <c r="C607" s="138"/>
      <c r="D607" s="138"/>
      <c r="E607" s="138"/>
      <c r="F607" s="138"/>
      <c r="G607" s="138"/>
      <c r="H607" s="138"/>
      <c r="I607" s="138"/>
      <c r="J607" s="138"/>
      <c r="K607" s="138"/>
      <c r="L607" s="138"/>
      <c r="M607" s="138"/>
      <c r="N607" s="138"/>
      <c r="O607" s="138"/>
      <c r="P607" s="138"/>
      <c r="Q607" s="138"/>
      <c r="R607" s="138"/>
      <c r="S607" s="138"/>
      <c r="T607" s="138"/>
      <c r="U607" s="138"/>
      <c r="V607" s="140"/>
      <c r="W607" s="140"/>
      <c r="X607" s="140"/>
      <c r="Y607" s="140"/>
    </row>
    <row r="608" spans="1:25">
      <c r="A608" s="164"/>
      <c r="B608" s="138"/>
      <c r="C608" s="138"/>
      <c r="D608" s="138"/>
      <c r="E608" s="138"/>
      <c r="F608" s="138"/>
      <c r="G608" s="138"/>
      <c r="H608" s="138"/>
      <c r="I608" s="138"/>
      <c r="J608" s="138"/>
      <c r="K608" s="138"/>
      <c r="L608" s="138"/>
      <c r="M608" s="138"/>
      <c r="N608" s="138"/>
      <c r="O608" s="138"/>
      <c r="P608" s="138"/>
      <c r="Q608" s="138"/>
      <c r="R608" s="138"/>
      <c r="S608" s="138"/>
      <c r="T608" s="138"/>
      <c r="U608" s="138"/>
      <c r="V608" s="140"/>
      <c r="W608" s="140"/>
      <c r="X608" s="140"/>
      <c r="Y608" s="140"/>
    </row>
    <row r="609" spans="1:25">
      <c r="A609" s="164"/>
      <c r="B609" s="138"/>
      <c r="C609" s="138"/>
      <c r="D609" s="138"/>
      <c r="E609" s="138"/>
      <c r="F609" s="138"/>
      <c r="G609" s="138"/>
      <c r="H609" s="138"/>
      <c r="I609" s="138"/>
      <c r="J609" s="138"/>
      <c r="K609" s="138"/>
      <c r="L609" s="138"/>
      <c r="M609" s="138"/>
      <c r="N609" s="138"/>
      <c r="O609" s="138"/>
      <c r="P609" s="138"/>
      <c r="Q609" s="138"/>
      <c r="R609" s="138"/>
      <c r="S609" s="138"/>
      <c r="T609" s="138"/>
      <c r="U609" s="138"/>
      <c r="V609" s="140"/>
      <c r="W609" s="140"/>
      <c r="X609" s="140"/>
      <c r="Y609" s="140"/>
    </row>
    <row r="610" spans="1:25">
      <c r="A610" s="164"/>
      <c r="B610" s="138"/>
      <c r="C610" s="138"/>
      <c r="D610" s="138"/>
      <c r="E610" s="138"/>
      <c r="F610" s="138"/>
      <c r="G610" s="138"/>
      <c r="H610" s="138"/>
      <c r="I610" s="138"/>
      <c r="J610" s="138"/>
      <c r="K610" s="138"/>
      <c r="L610" s="138"/>
      <c r="M610" s="138"/>
      <c r="N610" s="138"/>
      <c r="O610" s="138"/>
      <c r="P610" s="138"/>
      <c r="Q610" s="138"/>
      <c r="R610" s="138"/>
      <c r="S610" s="138"/>
      <c r="T610" s="138"/>
      <c r="U610" s="138"/>
      <c r="V610" s="140"/>
      <c r="W610" s="140"/>
      <c r="X610" s="140"/>
      <c r="Y610" s="140"/>
    </row>
    <row r="611" spans="1:25">
      <c r="A611" s="164"/>
      <c r="B611" s="138"/>
      <c r="C611" s="138"/>
      <c r="D611" s="138"/>
      <c r="E611" s="138"/>
      <c r="F611" s="138"/>
      <c r="G611" s="138"/>
      <c r="H611" s="138"/>
      <c r="I611" s="138"/>
      <c r="J611" s="138"/>
      <c r="K611" s="138"/>
      <c r="L611" s="138"/>
      <c r="M611" s="138"/>
      <c r="N611" s="138"/>
      <c r="O611" s="138"/>
      <c r="P611" s="138"/>
      <c r="Q611" s="138"/>
      <c r="R611" s="138"/>
      <c r="S611" s="138"/>
      <c r="T611" s="138"/>
      <c r="U611" s="138"/>
      <c r="V611" s="140"/>
      <c r="W611" s="140"/>
      <c r="X611" s="140"/>
      <c r="Y611" s="140"/>
    </row>
    <row r="612" spans="1:25">
      <c r="A612" s="166"/>
    </row>
    <row r="613" spans="1:25">
      <c r="A613" s="166"/>
    </row>
    <row r="614" spans="1:25">
      <c r="A614" s="166"/>
    </row>
    <row r="615" spans="1:25">
      <c r="A615" s="166"/>
    </row>
    <row r="616" spans="1:25">
      <c r="A616" s="166"/>
    </row>
    <row r="617" spans="1:25">
      <c r="A617" s="166"/>
    </row>
    <row r="618" spans="1:25">
      <c r="A618" s="166"/>
    </row>
    <row r="619" spans="1:25">
      <c r="A619" s="166"/>
    </row>
    <row r="620" spans="1:25">
      <c r="A620" s="166"/>
    </row>
    <row r="621" spans="1:25">
      <c r="A621" s="166"/>
    </row>
    <row r="622" spans="1:25">
      <c r="A622" s="166"/>
    </row>
    <row r="623" spans="1:25">
      <c r="A623" s="166"/>
    </row>
  </sheetData>
  <phoneticPr fontId="45" type="noConversion"/>
  <pageMargins left="0.75" right="0.75" top="1" bottom="1" header="0.5" footer="0.5"/>
  <pageSetup orientation="portrait" horizontalDpi="360" verticalDpi="360" r:id="rId1"/>
  <headerFooter alignWithMargins="0"/>
</worksheet>
</file>

<file path=xl/worksheets/sheet2.xml><?xml version="1.0" encoding="utf-8"?>
<worksheet xmlns="http://schemas.openxmlformats.org/spreadsheetml/2006/main" xmlns:r="http://schemas.openxmlformats.org/officeDocument/2006/relationships">
  <dimension ref="A1:T461"/>
  <sheetViews>
    <sheetView workbookViewId="0">
      <selection activeCell="A69" sqref="A69"/>
    </sheetView>
  </sheetViews>
  <sheetFormatPr defaultRowHeight="12.75"/>
  <cols>
    <col min="18" max="18" width="11.28515625" bestFit="1" customWidth="1"/>
  </cols>
  <sheetData>
    <row r="1" spans="1:17">
      <c r="N1" s="45"/>
    </row>
    <row r="2" spans="1:17">
      <c r="M2" t="s">
        <v>76</v>
      </c>
      <c r="N2" s="45" t="s">
        <v>77</v>
      </c>
      <c r="O2" t="s">
        <v>76</v>
      </c>
      <c r="P2" t="s">
        <v>77</v>
      </c>
    </row>
    <row r="3" spans="1:17">
      <c r="A3" t="s">
        <v>67</v>
      </c>
      <c r="B3" t="s">
        <v>78</v>
      </c>
      <c r="C3" t="s">
        <v>79</v>
      </c>
      <c r="D3" t="s">
        <v>80</v>
      </c>
      <c r="E3" t="s">
        <v>81</v>
      </c>
      <c r="F3" t="s">
        <v>82</v>
      </c>
      <c r="G3" t="s">
        <v>83</v>
      </c>
      <c r="H3" t="s">
        <v>84</v>
      </c>
      <c r="I3" t="s">
        <v>85</v>
      </c>
      <c r="J3" t="s">
        <v>86</v>
      </c>
      <c r="K3" t="s">
        <v>56</v>
      </c>
      <c r="L3" t="s">
        <v>87</v>
      </c>
      <c r="M3" t="s">
        <v>211</v>
      </c>
      <c r="N3" s="45" t="s">
        <v>211</v>
      </c>
      <c r="O3" t="s">
        <v>211</v>
      </c>
      <c r="P3" t="s">
        <v>211</v>
      </c>
      <c r="Q3" t="s">
        <v>77</v>
      </c>
    </row>
    <row r="4" spans="1:17">
      <c r="A4">
        <v>1</v>
      </c>
      <c r="B4">
        <v>1</v>
      </c>
      <c r="C4">
        <f t="shared" ref="C4:C67" si="0">E4-D4</f>
        <v>31</v>
      </c>
      <c r="D4">
        <v>1</v>
      </c>
      <c r="E4">
        <v>32</v>
      </c>
      <c r="F4">
        <f>TnSPLINE!F$4</f>
        <v>6.6500000000000012</v>
      </c>
      <c r="G4">
        <f>TnSPLINE!F$5</f>
        <v>-1.0322580645161292</v>
      </c>
      <c r="H4" s="6">
        <f>TnSPLINE!K$4</f>
        <v>-2.8750176842852856E-2</v>
      </c>
      <c r="I4" s="6">
        <f>TnSPLINE!K$5</f>
        <v>1.9072406877973791E-2</v>
      </c>
      <c r="J4">
        <f t="shared" ref="J4:J67" si="1">(E4-B4)/C4</f>
        <v>1</v>
      </c>
      <c r="K4">
        <f t="shared" ref="K4:K67" si="2">(B4-D4)/C4</f>
        <v>0</v>
      </c>
      <c r="L4">
        <f t="shared" ref="L4:L67" si="3">B4-46</f>
        <v>-45</v>
      </c>
      <c r="M4" s="6">
        <f t="shared" ref="M4:M67" si="4">J4*F4+K4*G4</f>
        <v>6.6500000000000012</v>
      </c>
      <c r="N4" s="6">
        <f t="shared" ref="N4:N49" si="5">M4+(((J4^3-J4)*H4+(K4^3-K4)*I4))*(C4^2)/6</f>
        <v>6.6500000000000012</v>
      </c>
      <c r="O4" s="6">
        <f>M4</f>
        <v>6.6500000000000012</v>
      </c>
      <c r="P4" s="6">
        <f>N4</f>
        <v>6.6500000000000012</v>
      </c>
      <c r="Q4" s="6">
        <f t="shared" ref="Q4:Q67" si="6">M4+(((J4^3-J4)*H4+(K4^3-K4)*I4))*(C4^2)/6</f>
        <v>6.6500000000000012</v>
      </c>
    </row>
    <row r="5" spans="1:17">
      <c r="B5">
        <f t="shared" ref="B5:B68" si="7">B4+1</f>
        <v>2</v>
      </c>
      <c r="C5">
        <f t="shared" si="0"/>
        <v>31</v>
      </c>
      <c r="D5">
        <v>1</v>
      </c>
      <c r="E5">
        <v>32</v>
      </c>
      <c r="F5">
        <f>TnSPLINE!F$4</f>
        <v>6.6500000000000012</v>
      </c>
      <c r="G5">
        <f>TnSPLINE!F$5</f>
        <v>-1.0322580645161292</v>
      </c>
      <c r="H5" s="6">
        <f>TnSPLINE!K$4</f>
        <v>-2.8750176842852856E-2</v>
      </c>
      <c r="I5" s="6">
        <f>TnSPLINE!K$5</f>
        <v>1.9072406877973791E-2</v>
      </c>
      <c r="J5">
        <f t="shared" si="1"/>
        <v>0.967741935483871</v>
      </c>
      <c r="K5">
        <f t="shared" si="2"/>
        <v>3.2258064516129031E-2</v>
      </c>
      <c r="L5">
        <f t="shared" si="3"/>
        <v>-44</v>
      </c>
      <c r="M5" s="6">
        <f t="shared" si="4"/>
        <v>6.4021852237252883</v>
      </c>
      <c r="N5" s="6">
        <f t="shared" si="5"/>
        <v>6.5866116378089758</v>
      </c>
      <c r="O5" s="6">
        <f t="shared" ref="O5:O68" si="8">O4+M5</f>
        <v>13.052185223725289</v>
      </c>
      <c r="P5" s="6">
        <f t="shared" ref="P5:P68" si="9">P4+N5</f>
        <v>13.236611637808977</v>
      </c>
      <c r="Q5" s="6">
        <f t="shared" si="6"/>
        <v>6.5866116378089758</v>
      </c>
    </row>
    <row r="6" spans="1:17">
      <c r="B6">
        <f t="shared" si="7"/>
        <v>3</v>
      </c>
      <c r="C6">
        <f t="shared" si="0"/>
        <v>31</v>
      </c>
      <c r="D6">
        <v>1</v>
      </c>
      <c r="E6">
        <v>32</v>
      </c>
      <c r="F6">
        <f>TnSPLINE!F$4</f>
        <v>6.6500000000000012</v>
      </c>
      <c r="G6">
        <f>TnSPLINE!F$5</f>
        <v>-1.0322580645161292</v>
      </c>
      <c r="H6" s="6">
        <f>TnSPLINE!K$4</f>
        <v>-2.8750176842852856E-2</v>
      </c>
      <c r="I6" s="6">
        <f>TnSPLINE!K$5</f>
        <v>1.9072406877973791E-2</v>
      </c>
      <c r="J6">
        <f t="shared" si="1"/>
        <v>0.93548387096774188</v>
      </c>
      <c r="K6">
        <f t="shared" si="2"/>
        <v>6.4516129032258063E-2</v>
      </c>
      <c r="L6">
        <f t="shared" si="3"/>
        <v>-43</v>
      </c>
      <c r="M6" s="6">
        <f t="shared" si="4"/>
        <v>6.1543704474505727</v>
      </c>
      <c r="N6" s="6">
        <f t="shared" si="5"/>
        <v>6.4960157627660902</v>
      </c>
      <c r="O6" s="6">
        <f t="shared" si="8"/>
        <v>19.206555671175863</v>
      </c>
      <c r="P6" s="6">
        <f t="shared" si="9"/>
        <v>19.732627400575069</v>
      </c>
      <c r="Q6" s="6">
        <f t="shared" si="6"/>
        <v>6.4960157627660902</v>
      </c>
    </row>
    <row r="7" spans="1:17">
      <c r="B7">
        <f t="shared" si="7"/>
        <v>4</v>
      </c>
      <c r="C7">
        <f t="shared" si="0"/>
        <v>31</v>
      </c>
      <c r="D7">
        <v>1</v>
      </c>
      <c r="E7">
        <v>32</v>
      </c>
      <c r="F7">
        <f>TnSPLINE!F$4</f>
        <v>6.6500000000000012</v>
      </c>
      <c r="G7">
        <f>TnSPLINE!F$5</f>
        <v>-1.0322580645161292</v>
      </c>
      <c r="H7" s="6">
        <f>TnSPLINE!K$4</f>
        <v>-2.8750176842852856E-2</v>
      </c>
      <c r="I7" s="6">
        <f>TnSPLINE!K$5</f>
        <v>1.9072406877973791E-2</v>
      </c>
      <c r="J7">
        <f t="shared" si="1"/>
        <v>0.90322580645161288</v>
      </c>
      <c r="K7">
        <f t="shared" si="2"/>
        <v>9.6774193548387094E-2</v>
      </c>
      <c r="L7">
        <f t="shared" si="3"/>
        <v>-42</v>
      </c>
      <c r="M7" s="6">
        <f t="shared" si="4"/>
        <v>5.9065556711758598</v>
      </c>
      <c r="N7" s="6">
        <f t="shared" si="5"/>
        <v>6.3797550388623421</v>
      </c>
      <c r="O7" s="6">
        <f t="shared" si="8"/>
        <v>25.113111342351722</v>
      </c>
      <c r="P7" s="6">
        <f t="shared" si="9"/>
        <v>26.112382439437411</v>
      </c>
      <c r="Q7" s="6">
        <f t="shared" si="6"/>
        <v>6.3797550388623421</v>
      </c>
    </row>
    <row r="8" spans="1:17">
      <c r="B8">
        <f t="shared" si="7"/>
        <v>5</v>
      </c>
      <c r="C8">
        <f t="shared" si="0"/>
        <v>31</v>
      </c>
      <c r="D8">
        <v>1</v>
      </c>
      <c r="E8">
        <v>32</v>
      </c>
      <c r="F8">
        <f>TnSPLINE!F$4</f>
        <v>6.6500000000000012</v>
      </c>
      <c r="G8">
        <f>TnSPLINE!F$5</f>
        <v>-1.0322580645161292</v>
      </c>
      <c r="H8" s="6">
        <f>TnSPLINE!K$4</f>
        <v>-2.8750176842852856E-2</v>
      </c>
      <c r="I8" s="6">
        <f>TnSPLINE!K$5</f>
        <v>1.9072406877973791E-2</v>
      </c>
      <c r="J8">
        <f t="shared" si="1"/>
        <v>0.87096774193548387</v>
      </c>
      <c r="K8">
        <f t="shared" si="2"/>
        <v>0.12903225806451613</v>
      </c>
      <c r="L8">
        <f t="shared" si="3"/>
        <v>-41</v>
      </c>
      <c r="M8" s="6">
        <f t="shared" si="4"/>
        <v>5.658740894901146</v>
      </c>
      <c r="N8" s="6">
        <f t="shared" si="5"/>
        <v>6.2393721300887233</v>
      </c>
      <c r="O8" s="6">
        <f t="shared" si="8"/>
        <v>30.771852237252869</v>
      </c>
      <c r="P8" s="6">
        <f t="shared" si="9"/>
        <v>32.351754569526136</v>
      </c>
      <c r="Q8" s="6">
        <f t="shared" si="6"/>
        <v>6.2393721300887233</v>
      </c>
    </row>
    <row r="9" spans="1:17">
      <c r="B9">
        <f t="shared" si="7"/>
        <v>6</v>
      </c>
      <c r="C9">
        <f t="shared" si="0"/>
        <v>31</v>
      </c>
      <c r="D9">
        <v>1</v>
      </c>
      <c r="E9">
        <v>32</v>
      </c>
      <c r="F9">
        <f>TnSPLINE!F$4</f>
        <v>6.6500000000000012</v>
      </c>
      <c r="G9">
        <f>TnSPLINE!F$5</f>
        <v>-1.0322580645161292</v>
      </c>
      <c r="H9" s="6">
        <f>TnSPLINE!K$4</f>
        <v>-2.8750176842852856E-2</v>
      </c>
      <c r="I9" s="6">
        <f>TnSPLINE!K$5</f>
        <v>1.9072406877973791E-2</v>
      </c>
      <c r="J9">
        <f t="shared" si="1"/>
        <v>0.83870967741935487</v>
      </c>
      <c r="K9">
        <f t="shared" si="2"/>
        <v>0.16129032258064516</v>
      </c>
      <c r="L9">
        <f t="shared" si="3"/>
        <v>-40</v>
      </c>
      <c r="M9" s="6">
        <f t="shared" si="4"/>
        <v>5.4109261186264321</v>
      </c>
      <c r="N9" s="6">
        <f t="shared" si="5"/>
        <v>6.076409700436229</v>
      </c>
      <c r="O9" s="6">
        <f t="shared" si="8"/>
        <v>36.1827783558793</v>
      </c>
      <c r="P9" s="6">
        <f t="shared" si="9"/>
        <v>38.428164269962366</v>
      </c>
      <c r="Q9" s="6">
        <f t="shared" si="6"/>
        <v>6.076409700436229</v>
      </c>
    </row>
    <row r="10" spans="1:17">
      <c r="B10">
        <f t="shared" si="7"/>
        <v>7</v>
      </c>
      <c r="C10">
        <f t="shared" si="0"/>
        <v>31</v>
      </c>
      <c r="D10">
        <v>1</v>
      </c>
      <c r="E10">
        <v>32</v>
      </c>
      <c r="F10">
        <f>TnSPLINE!F$4</f>
        <v>6.6500000000000012</v>
      </c>
      <c r="G10">
        <f>TnSPLINE!F$5</f>
        <v>-1.0322580645161292</v>
      </c>
      <c r="H10" s="6">
        <f>TnSPLINE!K$4</f>
        <v>-2.8750176842852856E-2</v>
      </c>
      <c r="I10" s="6">
        <f>TnSPLINE!K$5</f>
        <v>1.9072406877973791E-2</v>
      </c>
      <c r="J10">
        <f t="shared" si="1"/>
        <v>0.80645161290322576</v>
      </c>
      <c r="K10">
        <f t="shared" si="2"/>
        <v>0.19354838709677419</v>
      </c>
      <c r="L10">
        <f t="shared" si="3"/>
        <v>-39</v>
      </c>
      <c r="M10" s="6">
        <f t="shared" si="4"/>
        <v>5.1631113423517174</v>
      </c>
      <c r="N10" s="6">
        <f t="shared" si="5"/>
        <v>5.8924104138958544</v>
      </c>
      <c r="O10" s="6">
        <f t="shared" si="8"/>
        <v>41.345889698231019</v>
      </c>
      <c r="P10" s="6">
        <f t="shared" si="9"/>
        <v>44.320574683858219</v>
      </c>
      <c r="Q10" s="6">
        <f t="shared" si="6"/>
        <v>5.8924104138958544</v>
      </c>
    </row>
    <row r="11" spans="1:17">
      <c r="B11">
        <f t="shared" si="7"/>
        <v>8</v>
      </c>
      <c r="C11">
        <f t="shared" si="0"/>
        <v>31</v>
      </c>
      <c r="D11">
        <v>1</v>
      </c>
      <c r="E11">
        <v>32</v>
      </c>
      <c r="F11">
        <f>TnSPLINE!F$4</f>
        <v>6.6500000000000012</v>
      </c>
      <c r="G11">
        <f>TnSPLINE!F$5</f>
        <v>-1.0322580645161292</v>
      </c>
      <c r="H11" s="6">
        <f>TnSPLINE!K$4</f>
        <v>-2.8750176842852856E-2</v>
      </c>
      <c r="I11" s="6">
        <f>TnSPLINE!K$5</f>
        <v>1.9072406877973791E-2</v>
      </c>
      <c r="J11">
        <f t="shared" si="1"/>
        <v>0.77419354838709675</v>
      </c>
      <c r="K11">
        <f t="shared" si="2"/>
        <v>0.22580645161290322</v>
      </c>
      <c r="L11">
        <f t="shared" si="3"/>
        <v>-38</v>
      </c>
      <c r="M11" s="6">
        <f t="shared" si="4"/>
        <v>4.9152965660770036</v>
      </c>
      <c r="N11" s="6">
        <f t="shared" si="5"/>
        <v>5.688916934458593</v>
      </c>
      <c r="O11" s="6">
        <f t="shared" si="8"/>
        <v>46.261186264308023</v>
      </c>
      <c r="P11" s="6">
        <f t="shared" si="9"/>
        <v>50.009491618316815</v>
      </c>
      <c r="Q11" s="6">
        <f t="shared" si="6"/>
        <v>5.688916934458593</v>
      </c>
    </row>
    <row r="12" spans="1:17">
      <c r="B12">
        <f t="shared" si="7"/>
        <v>9</v>
      </c>
      <c r="C12">
        <f t="shared" si="0"/>
        <v>31</v>
      </c>
      <c r="D12">
        <v>1</v>
      </c>
      <c r="E12">
        <v>32</v>
      </c>
      <c r="F12">
        <f>TnSPLINE!F$4</f>
        <v>6.6500000000000012</v>
      </c>
      <c r="G12">
        <f>TnSPLINE!F$5</f>
        <v>-1.0322580645161292</v>
      </c>
      <c r="H12" s="6">
        <f>TnSPLINE!K$4</f>
        <v>-2.8750176842852856E-2</v>
      </c>
      <c r="I12" s="6">
        <f>TnSPLINE!K$5</f>
        <v>1.9072406877973791E-2</v>
      </c>
      <c r="J12">
        <f t="shared" si="1"/>
        <v>0.74193548387096775</v>
      </c>
      <c r="K12">
        <f t="shared" si="2"/>
        <v>0.25806451612903225</v>
      </c>
      <c r="L12">
        <f t="shared" si="3"/>
        <v>-37</v>
      </c>
      <c r="M12" s="6">
        <f t="shared" si="4"/>
        <v>4.6674817898022898</v>
      </c>
      <c r="N12" s="6">
        <f t="shared" si="5"/>
        <v>5.4674719261154401</v>
      </c>
      <c r="O12" s="6">
        <f t="shared" si="8"/>
        <v>50.928668054110311</v>
      </c>
      <c r="P12" s="6">
        <f t="shared" si="9"/>
        <v>55.476963544432252</v>
      </c>
      <c r="Q12" s="6">
        <f t="shared" si="6"/>
        <v>5.4674719261154401</v>
      </c>
    </row>
    <row r="13" spans="1:17">
      <c r="B13">
        <f t="shared" si="7"/>
        <v>10</v>
      </c>
      <c r="C13">
        <f t="shared" si="0"/>
        <v>31</v>
      </c>
      <c r="D13">
        <v>1</v>
      </c>
      <c r="E13">
        <v>32</v>
      </c>
      <c r="F13">
        <f>TnSPLINE!F$4</f>
        <v>6.6500000000000012</v>
      </c>
      <c r="G13">
        <f>TnSPLINE!F$5</f>
        <v>-1.0322580645161292</v>
      </c>
      <c r="H13" s="6">
        <f>TnSPLINE!K$4</f>
        <v>-2.8750176842852856E-2</v>
      </c>
      <c r="I13" s="6">
        <f>TnSPLINE!K$5</f>
        <v>1.9072406877973791E-2</v>
      </c>
      <c r="J13">
        <f t="shared" si="1"/>
        <v>0.70967741935483875</v>
      </c>
      <c r="K13">
        <f t="shared" si="2"/>
        <v>0.29032258064516131</v>
      </c>
      <c r="L13">
        <f t="shared" si="3"/>
        <v>-36</v>
      </c>
      <c r="M13" s="6">
        <f t="shared" si="4"/>
        <v>4.4196670135275768</v>
      </c>
      <c r="N13" s="6">
        <f t="shared" si="5"/>
        <v>5.2296180528573908</v>
      </c>
      <c r="O13" s="6">
        <f t="shared" si="8"/>
        <v>55.34833506763789</v>
      </c>
      <c r="P13" s="6">
        <f t="shared" si="9"/>
        <v>60.706581597289642</v>
      </c>
      <c r="Q13" s="6">
        <f t="shared" si="6"/>
        <v>5.2296180528573908</v>
      </c>
    </row>
    <row r="14" spans="1:17">
      <c r="B14">
        <f t="shared" si="7"/>
        <v>11</v>
      </c>
      <c r="C14">
        <f t="shared" si="0"/>
        <v>31</v>
      </c>
      <c r="D14">
        <v>1</v>
      </c>
      <c r="E14">
        <v>32</v>
      </c>
      <c r="F14">
        <f>TnSPLINE!F$4</f>
        <v>6.6500000000000012</v>
      </c>
      <c r="G14">
        <f>TnSPLINE!F$5</f>
        <v>-1.0322580645161292</v>
      </c>
      <c r="H14" s="6">
        <f>TnSPLINE!K$4</f>
        <v>-2.8750176842852856E-2</v>
      </c>
      <c r="I14" s="6">
        <f>TnSPLINE!K$5</f>
        <v>1.9072406877973791E-2</v>
      </c>
      <c r="J14">
        <f t="shared" si="1"/>
        <v>0.67741935483870963</v>
      </c>
      <c r="K14">
        <f t="shared" si="2"/>
        <v>0.32258064516129031</v>
      </c>
      <c r="L14">
        <f t="shared" si="3"/>
        <v>-35</v>
      </c>
      <c r="M14" s="6">
        <f t="shared" si="4"/>
        <v>4.1718522372528621</v>
      </c>
      <c r="N14" s="6">
        <f t="shared" si="5"/>
        <v>4.9768979786754368</v>
      </c>
      <c r="O14" s="6">
        <f t="shared" si="8"/>
        <v>59.520187304890754</v>
      </c>
      <c r="P14" s="6">
        <f t="shared" si="9"/>
        <v>65.68347957596508</v>
      </c>
      <c r="Q14" s="6">
        <f t="shared" si="6"/>
        <v>4.9768979786754368</v>
      </c>
    </row>
    <row r="15" spans="1:17">
      <c r="B15">
        <f t="shared" si="7"/>
        <v>12</v>
      </c>
      <c r="C15">
        <f t="shared" si="0"/>
        <v>31</v>
      </c>
      <c r="D15">
        <v>1</v>
      </c>
      <c r="E15">
        <v>32</v>
      </c>
      <c r="F15">
        <f>TnSPLINE!F$4</f>
        <v>6.6500000000000012</v>
      </c>
      <c r="G15">
        <f>TnSPLINE!F$5</f>
        <v>-1.0322580645161292</v>
      </c>
      <c r="H15" s="6">
        <f>TnSPLINE!K$4</f>
        <v>-2.8750176842852856E-2</v>
      </c>
      <c r="I15" s="6">
        <f>TnSPLINE!K$5</f>
        <v>1.9072406877973791E-2</v>
      </c>
      <c r="J15">
        <f t="shared" si="1"/>
        <v>0.64516129032258063</v>
      </c>
      <c r="K15">
        <f t="shared" si="2"/>
        <v>0.35483870967741937</v>
      </c>
      <c r="L15">
        <f t="shared" si="3"/>
        <v>-34</v>
      </c>
      <c r="M15" s="6">
        <f t="shared" si="4"/>
        <v>3.9240374609781483</v>
      </c>
      <c r="N15" s="6">
        <f t="shared" si="5"/>
        <v>4.7108543675605743</v>
      </c>
      <c r="O15" s="6">
        <f t="shared" si="8"/>
        <v>63.444224765868903</v>
      </c>
      <c r="P15" s="6">
        <f t="shared" si="9"/>
        <v>70.394333943525652</v>
      </c>
      <c r="Q15" s="6">
        <f t="shared" si="6"/>
        <v>4.7108543675605743</v>
      </c>
    </row>
    <row r="16" spans="1:17">
      <c r="B16">
        <f t="shared" si="7"/>
        <v>13</v>
      </c>
      <c r="C16">
        <f t="shared" si="0"/>
        <v>31</v>
      </c>
      <c r="D16">
        <v>1</v>
      </c>
      <c r="E16">
        <v>32</v>
      </c>
      <c r="F16">
        <f>TnSPLINE!F$4</f>
        <v>6.6500000000000012</v>
      </c>
      <c r="G16">
        <f>TnSPLINE!F$5</f>
        <v>-1.0322580645161292</v>
      </c>
      <c r="H16" s="6">
        <f>TnSPLINE!K$4</f>
        <v>-2.8750176842852856E-2</v>
      </c>
      <c r="I16" s="6">
        <f>TnSPLINE!K$5</f>
        <v>1.9072406877973791E-2</v>
      </c>
      <c r="J16">
        <f t="shared" si="1"/>
        <v>0.61290322580645162</v>
      </c>
      <c r="K16">
        <f t="shared" si="2"/>
        <v>0.38709677419354838</v>
      </c>
      <c r="L16">
        <f t="shared" si="3"/>
        <v>-33</v>
      </c>
      <c r="M16" s="6">
        <f t="shared" si="4"/>
        <v>3.6762226847034349</v>
      </c>
      <c r="N16" s="6">
        <f t="shared" si="5"/>
        <v>4.4330298835037976</v>
      </c>
      <c r="O16" s="6">
        <f t="shared" si="8"/>
        <v>67.120447450572343</v>
      </c>
      <c r="P16" s="6">
        <f t="shared" si="9"/>
        <v>74.827363827029444</v>
      </c>
      <c r="Q16" s="6">
        <f t="shared" si="6"/>
        <v>4.4330298835037976</v>
      </c>
    </row>
    <row r="17" spans="2:17">
      <c r="B17">
        <f t="shared" si="7"/>
        <v>14</v>
      </c>
      <c r="C17">
        <f t="shared" si="0"/>
        <v>31</v>
      </c>
      <c r="D17">
        <v>1</v>
      </c>
      <c r="E17">
        <v>32</v>
      </c>
      <c r="F17">
        <f>TnSPLINE!F$4</f>
        <v>6.6500000000000012</v>
      </c>
      <c r="G17">
        <f>TnSPLINE!F$5</f>
        <v>-1.0322580645161292</v>
      </c>
      <c r="H17" s="6">
        <f>TnSPLINE!K$4</f>
        <v>-2.8750176842852856E-2</v>
      </c>
      <c r="I17" s="6">
        <f>TnSPLINE!K$5</f>
        <v>1.9072406877973791E-2</v>
      </c>
      <c r="J17">
        <f t="shared" si="1"/>
        <v>0.58064516129032262</v>
      </c>
      <c r="K17">
        <f t="shared" si="2"/>
        <v>0.41935483870967744</v>
      </c>
      <c r="L17">
        <f t="shared" si="3"/>
        <v>-32</v>
      </c>
      <c r="M17" s="6">
        <f t="shared" si="4"/>
        <v>3.4284079084287207</v>
      </c>
      <c r="N17" s="6">
        <f t="shared" si="5"/>
        <v>4.144967190496101</v>
      </c>
      <c r="O17" s="6">
        <f t="shared" si="8"/>
        <v>70.548855359001067</v>
      </c>
      <c r="P17" s="6">
        <f t="shared" si="9"/>
        <v>78.972331017525548</v>
      </c>
      <c r="Q17" s="6">
        <f t="shared" si="6"/>
        <v>4.144967190496101</v>
      </c>
    </row>
    <row r="18" spans="2:17">
      <c r="B18">
        <f t="shared" si="7"/>
        <v>15</v>
      </c>
      <c r="C18">
        <f t="shared" si="0"/>
        <v>31</v>
      </c>
      <c r="D18">
        <v>1</v>
      </c>
      <c r="E18">
        <v>32</v>
      </c>
      <c r="F18">
        <f>TnSPLINE!F$4</f>
        <v>6.6500000000000012</v>
      </c>
      <c r="G18">
        <f>TnSPLINE!F$5</f>
        <v>-1.0322580645161292</v>
      </c>
      <c r="H18" s="6">
        <f>TnSPLINE!K$4</f>
        <v>-2.8750176842852856E-2</v>
      </c>
      <c r="I18" s="6">
        <f>TnSPLINE!K$5</f>
        <v>1.9072406877973791E-2</v>
      </c>
      <c r="J18">
        <f t="shared" si="1"/>
        <v>0.54838709677419351</v>
      </c>
      <c r="K18">
        <f t="shared" si="2"/>
        <v>0.45161290322580644</v>
      </c>
      <c r="L18">
        <f t="shared" si="3"/>
        <v>-31</v>
      </c>
      <c r="M18" s="6">
        <f t="shared" si="4"/>
        <v>3.1805931321540064</v>
      </c>
      <c r="N18" s="6">
        <f t="shared" si="5"/>
        <v>3.8482089525284779</v>
      </c>
      <c r="O18" s="6">
        <f t="shared" si="8"/>
        <v>73.729448491155068</v>
      </c>
      <c r="P18" s="6">
        <f t="shared" si="9"/>
        <v>82.820539970054028</v>
      </c>
      <c r="Q18" s="6">
        <f t="shared" si="6"/>
        <v>3.8482089525284779</v>
      </c>
    </row>
    <row r="19" spans="2:17">
      <c r="B19">
        <f t="shared" si="7"/>
        <v>16</v>
      </c>
      <c r="C19">
        <f t="shared" si="0"/>
        <v>31</v>
      </c>
      <c r="D19">
        <v>1</v>
      </c>
      <c r="E19">
        <v>32</v>
      </c>
      <c r="F19">
        <f>TnSPLINE!F$4</f>
        <v>6.6500000000000012</v>
      </c>
      <c r="G19">
        <f>TnSPLINE!F$5</f>
        <v>-1.0322580645161292</v>
      </c>
      <c r="H19" s="6">
        <f>TnSPLINE!K$4</f>
        <v>-2.8750176842852856E-2</v>
      </c>
      <c r="I19" s="6">
        <f>TnSPLINE!K$5</f>
        <v>1.9072406877973791E-2</v>
      </c>
      <c r="J19">
        <f t="shared" si="1"/>
        <v>0.5161290322580645</v>
      </c>
      <c r="K19">
        <f t="shared" si="2"/>
        <v>0.4838709677419355</v>
      </c>
      <c r="L19">
        <f t="shared" si="3"/>
        <v>-30</v>
      </c>
      <c r="M19" s="6">
        <f t="shared" si="4"/>
        <v>2.9327783558792926</v>
      </c>
      <c r="N19" s="6">
        <f t="shared" si="5"/>
        <v>3.5442978335919246</v>
      </c>
      <c r="O19" s="6">
        <f t="shared" si="8"/>
        <v>76.662226847034361</v>
      </c>
      <c r="P19" s="6">
        <f t="shared" si="9"/>
        <v>86.364837803645955</v>
      </c>
      <c r="Q19" s="6">
        <f t="shared" si="6"/>
        <v>3.5442978335919246</v>
      </c>
    </row>
    <row r="20" spans="2:17">
      <c r="B20">
        <f t="shared" si="7"/>
        <v>17</v>
      </c>
      <c r="C20">
        <f t="shared" si="0"/>
        <v>31</v>
      </c>
      <c r="D20">
        <v>1</v>
      </c>
      <c r="E20">
        <v>32</v>
      </c>
      <c r="F20">
        <f>TnSPLINE!F$4</f>
        <v>6.6500000000000012</v>
      </c>
      <c r="G20">
        <f>TnSPLINE!F$5</f>
        <v>-1.0322580645161292</v>
      </c>
      <c r="H20" s="6">
        <f>TnSPLINE!K$4</f>
        <v>-2.8750176842852856E-2</v>
      </c>
      <c r="I20" s="6">
        <f>TnSPLINE!K$5</f>
        <v>1.9072406877973791E-2</v>
      </c>
      <c r="J20">
        <f t="shared" si="1"/>
        <v>0.4838709677419355</v>
      </c>
      <c r="K20">
        <f t="shared" si="2"/>
        <v>0.5161290322580645</v>
      </c>
      <c r="L20">
        <f t="shared" si="3"/>
        <v>-29</v>
      </c>
      <c r="M20" s="6">
        <f t="shared" si="4"/>
        <v>2.6849635796045792</v>
      </c>
      <c r="N20" s="6">
        <f t="shared" si="5"/>
        <v>3.2347764976774345</v>
      </c>
      <c r="O20" s="6">
        <f t="shared" si="8"/>
        <v>79.347190426638946</v>
      </c>
      <c r="P20" s="6">
        <f t="shared" si="9"/>
        <v>89.599614301323385</v>
      </c>
      <c r="Q20" s="6">
        <f t="shared" si="6"/>
        <v>3.2347764976774345</v>
      </c>
    </row>
    <row r="21" spans="2:17">
      <c r="B21">
        <f t="shared" si="7"/>
        <v>18</v>
      </c>
      <c r="C21">
        <f t="shared" si="0"/>
        <v>31</v>
      </c>
      <c r="D21">
        <v>1</v>
      </c>
      <c r="E21">
        <v>32</v>
      </c>
      <c r="F21">
        <f>TnSPLINE!F$4</f>
        <v>6.6500000000000012</v>
      </c>
      <c r="G21">
        <f>TnSPLINE!F$5</f>
        <v>-1.0322580645161292</v>
      </c>
      <c r="H21" s="6">
        <f>TnSPLINE!K$4</f>
        <v>-2.8750176842852856E-2</v>
      </c>
      <c r="I21" s="6">
        <f>TnSPLINE!K$5</f>
        <v>1.9072406877973791E-2</v>
      </c>
      <c r="J21">
        <f t="shared" si="1"/>
        <v>0.45161290322580644</v>
      </c>
      <c r="K21">
        <f t="shared" si="2"/>
        <v>0.54838709677419351</v>
      </c>
      <c r="L21">
        <f t="shared" si="3"/>
        <v>-28</v>
      </c>
      <c r="M21" s="6">
        <f t="shared" si="4"/>
        <v>2.4371488033298654</v>
      </c>
      <c r="N21" s="6">
        <f t="shared" si="5"/>
        <v>2.9211876087760023</v>
      </c>
      <c r="O21" s="6">
        <f t="shared" si="8"/>
        <v>81.784339229968808</v>
      </c>
      <c r="P21" s="6">
        <f t="shared" si="9"/>
        <v>92.520801910099394</v>
      </c>
      <c r="Q21" s="6">
        <f t="shared" si="6"/>
        <v>2.9211876087760023</v>
      </c>
    </row>
    <row r="22" spans="2:17">
      <c r="B22">
        <f t="shared" si="7"/>
        <v>19</v>
      </c>
      <c r="C22">
        <f t="shared" si="0"/>
        <v>31</v>
      </c>
      <c r="D22">
        <v>1</v>
      </c>
      <c r="E22">
        <v>32</v>
      </c>
      <c r="F22">
        <f>TnSPLINE!F$4</f>
        <v>6.6500000000000012</v>
      </c>
      <c r="G22">
        <f>TnSPLINE!F$5</f>
        <v>-1.0322580645161292</v>
      </c>
      <c r="H22" s="6">
        <f>TnSPLINE!K$4</f>
        <v>-2.8750176842852856E-2</v>
      </c>
      <c r="I22" s="6">
        <f>TnSPLINE!K$5</f>
        <v>1.9072406877973791E-2</v>
      </c>
      <c r="J22">
        <f t="shared" si="1"/>
        <v>0.41935483870967744</v>
      </c>
      <c r="K22">
        <f t="shared" si="2"/>
        <v>0.58064516129032262</v>
      </c>
      <c r="L22">
        <f t="shared" si="3"/>
        <v>-27</v>
      </c>
      <c r="M22" s="6">
        <f t="shared" si="4"/>
        <v>2.1893340270551516</v>
      </c>
      <c r="N22" s="6">
        <f t="shared" si="5"/>
        <v>2.6050738308786219</v>
      </c>
      <c r="O22" s="6">
        <f t="shared" si="8"/>
        <v>83.973673257023961</v>
      </c>
      <c r="P22" s="6">
        <f t="shared" si="9"/>
        <v>95.125875740978017</v>
      </c>
      <c r="Q22" s="6">
        <f t="shared" si="6"/>
        <v>2.6050738308786219</v>
      </c>
    </row>
    <row r="23" spans="2:17">
      <c r="B23">
        <f t="shared" si="7"/>
        <v>20</v>
      </c>
      <c r="C23">
        <f t="shared" si="0"/>
        <v>31</v>
      </c>
      <c r="D23">
        <v>1</v>
      </c>
      <c r="E23">
        <v>32</v>
      </c>
      <c r="F23">
        <f>TnSPLINE!F$4</f>
        <v>6.6500000000000012</v>
      </c>
      <c r="G23">
        <f>TnSPLINE!F$5</f>
        <v>-1.0322580645161292</v>
      </c>
      <c r="H23" s="6">
        <f>TnSPLINE!K$4</f>
        <v>-2.8750176842852856E-2</v>
      </c>
      <c r="I23" s="6">
        <f>TnSPLINE!K$5</f>
        <v>1.9072406877973791E-2</v>
      </c>
      <c r="J23">
        <f t="shared" si="1"/>
        <v>0.38709677419354838</v>
      </c>
      <c r="K23">
        <f t="shared" si="2"/>
        <v>0.61290322580645162</v>
      </c>
      <c r="L23">
        <f t="shared" si="3"/>
        <v>-26</v>
      </c>
      <c r="M23" s="6">
        <f t="shared" si="4"/>
        <v>1.9415192507804373</v>
      </c>
      <c r="N23" s="6">
        <f t="shared" si="5"/>
        <v>2.2879778279762877</v>
      </c>
      <c r="O23" s="6">
        <f t="shared" si="8"/>
        <v>85.915192507804392</v>
      </c>
      <c r="P23" s="6">
        <f t="shared" si="9"/>
        <v>97.413853568954309</v>
      </c>
      <c r="Q23" s="6">
        <f t="shared" si="6"/>
        <v>2.2879778279762877</v>
      </c>
    </row>
    <row r="24" spans="2:17">
      <c r="B24">
        <f t="shared" si="7"/>
        <v>21</v>
      </c>
      <c r="C24">
        <f t="shared" si="0"/>
        <v>31</v>
      </c>
      <c r="D24">
        <v>1</v>
      </c>
      <c r="E24">
        <v>32</v>
      </c>
      <c r="F24">
        <f>TnSPLINE!F$4</f>
        <v>6.6500000000000012</v>
      </c>
      <c r="G24">
        <f>TnSPLINE!F$5</f>
        <v>-1.0322580645161292</v>
      </c>
      <c r="H24" s="6">
        <f>TnSPLINE!K$4</f>
        <v>-2.8750176842852856E-2</v>
      </c>
      <c r="I24" s="6">
        <f>TnSPLINE!K$5</f>
        <v>1.9072406877973791E-2</v>
      </c>
      <c r="J24">
        <f t="shared" si="1"/>
        <v>0.35483870967741937</v>
      </c>
      <c r="K24">
        <f t="shared" si="2"/>
        <v>0.64516129032258063</v>
      </c>
      <c r="L24">
        <f t="shared" si="3"/>
        <v>-25</v>
      </c>
      <c r="M24" s="6">
        <f t="shared" si="4"/>
        <v>1.6937044745057237</v>
      </c>
      <c r="N24" s="6">
        <f t="shared" si="5"/>
        <v>1.9714422640599949</v>
      </c>
      <c r="O24" s="6">
        <f t="shared" si="8"/>
        <v>87.608896982310114</v>
      </c>
      <c r="P24" s="6">
        <f t="shared" si="9"/>
        <v>99.385295833014311</v>
      </c>
      <c r="Q24" s="6">
        <f t="shared" si="6"/>
        <v>1.9714422640599949</v>
      </c>
    </row>
    <row r="25" spans="2:17">
      <c r="B25">
        <f t="shared" si="7"/>
        <v>22</v>
      </c>
      <c r="C25">
        <f t="shared" si="0"/>
        <v>31</v>
      </c>
      <c r="D25">
        <v>1</v>
      </c>
      <c r="E25">
        <v>32</v>
      </c>
      <c r="F25">
        <f>TnSPLINE!F$4</f>
        <v>6.6500000000000012</v>
      </c>
      <c r="G25">
        <f>TnSPLINE!F$5</f>
        <v>-1.0322580645161292</v>
      </c>
      <c r="H25" s="6">
        <f>TnSPLINE!K$4</f>
        <v>-2.8750176842852856E-2</v>
      </c>
      <c r="I25" s="6">
        <f>TnSPLINE!K$5</f>
        <v>1.9072406877973791E-2</v>
      </c>
      <c r="J25">
        <f t="shared" si="1"/>
        <v>0.32258064516129031</v>
      </c>
      <c r="K25">
        <f t="shared" si="2"/>
        <v>0.67741935483870963</v>
      </c>
      <c r="L25">
        <f t="shared" si="3"/>
        <v>-24</v>
      </c>
      <c r="M25" s="6">
        <f t="shared" si="4"/>
        <v>1.4458896982310097</v>
      </c>
      <c r="N25" s="6">
        <f t="shared" si="5"/>
        <v>1.657009803120737</v>
      </c>
      <c r="O25" s="6">
        <f t="shared" si="8"/>
        <v>89.054786680541127</v>
      </c>
      <c r="P25" s="6">
        <f t="shared" si="9"/>
        <v>101.04230563613505</v>
      </c>
      <c r="Q25" s="6">
        <f t="shared" si="6"/>
        <v>1.657009803120737</v>
      </c>
    </row>
    <row r="26" spans="2:17">
      <c r="B26">
        <f t="shared" si="7"/>
        <v>23</v>
      </c>
      <c r="C26">
        <f t="shared" si="0"/>
        <v>31</v>
      </c>
      <c r="D26">
        <v>1</v>
      </c>
      <c r="E26">
        <v>32</v>
      </c>
      <c r="F26">
        <f>TnSPLINE!F$4</f>
        <v>6.6500000000000012</v>
      </c>
      <c r="G26">
        <f>TnSPLINE!F$5</f>
        <v>-1.0322580645161292</v>
      </c>
      <c r="H26" s="6">
        <f>TnSPLINE!K$4</f>
        <v>-2.8750176842852856E-2</v>
      </c>
      <c r="I26" s="6">
        <f>TnSPLINE!K$5</f>
        <v>1.9072406877973791E-2</v>
      </c>
      <c r="J26">
        <f t="shared" si="1"/>
        <v>0.29032258064516131</v>
      </c>
      <c r="K26">
        <f t="shared" si="2"/>
        <v>0.70967741935483875</v>
      </c>
      <c r="L26">
        <f t="shared" si="3"/>
        <v>-23</v>
      </c>
      <c r="M26" s="6">
        <f t="shared" si="4"/>
        <v>1.1980749219562958</v>
      </c>
      <c r="N26" s="6">
        <f t="shared" si="5"/>
        <v>1.3462231091495094</v>
      </c>
      <c r="O26" s="6">
        <f t="shared" si="8"/>
        <v>90.252861602497418</v>
      </c>
      <c r="P26" s="6">
        <f t="shared" si="9"/>
        <v>102.38852874528456</v>
      </c>
      <c r="Q26" s="6">
        <f t="shared" si="6"/>
        <v>1.3462231091495094</v>
      </c>
    </row>
    <row r="27" spans="2:17">
      <c r="B27">
        <f t="shared" si="7"/>
        <v>24</v>
      </c>
      <c r="C27">
        <f t="shared" si="0"/>
        <v>31</v>
      </c>
      <c r="D27">
        <v>1</v>
      </c>
      <c r="E27">
        <v>32</v>
      </c>
      <c r="F27">
        <f>TnSPLINE!F$4</f>
        <v>6.6500000000000012</v>
      </c>
      <c r="G27">
        <f>TnSPLINE!F$5</f>
        <v>-1.0322580645161292</v>
      </c>
      <c r="H27" s="6">
        <f>TnSPLINE!K$4</f>
        <v>-2.8750176842852856E-2</v>
      </c>
      <c r="I27" s="6">
        <f>TnSPLINE!K$5</f>
        <v>1.9072406877973791E-2</v>
      </c>
      <c r="J27">
        <f t="shared" si="1"/>
        <v>0.25806451612903225</v>
      </c>
      <c r="K27">
        <f t="shared" si="2"/>
        <v>0.74193548387096775</v>
      </c>
      <c r="L27">
        <f t="shared" si="3"/>
        <v>-22</v>
      </c>
      <c r="M27" s="6">
        <f t="shared" si="4"/>
        <v>0.95026014568158168</v>
      </c>
      <c r="N27" s="6">
        <f t="shared" si="5"/>
        <v>1.0406248461373049</v>
      </c>
      <c r="O27" s="6">
        <f t="shared" si="8"/>
        <v>91.203121748179001</v>
      </c>
      <c r="P27" s="6">
        <f t="shared" si="9"/>
        <v>103.42915359142187</v>
      </c>
      <c r="Q27" s="6">
        <f t="shared" si="6"/>
        <v>1.0406248461373049</v>
      </c>
    </row>
    <row r="28" spans="2:17">
      <c r="B28">
        <f t="shared" si="7"/>
        <v>25</v>
      </c>
      <c r="C28">
        <f t="shared" si="0"/>
        <v>31</v>
      </c>
      <c r="D28">
        <v>1</v>
      </c>
      <c r="E28">
        <v>32</v>
      </c>
      <c r="F28">
        <f>TnSPLINE!F$4</f>
        <v>6.6500000000000012</v>
      </c>
      <c r="G28">
        <f>TnSPLINE!F$5</f>
        <v>-1.0322580645161292</v>
      </c>
      <c r="H28" s="6">
        <f>TnSPLINE!K$4</f>
        <v>-2.8750176842852856E-2</v>
      </c>
      <c r="I28" s="6">
        <f>TnSPLINE!K$5</f>
        <v>1.9072406877973791E-2</v>
      </c>
      <c r="J28">
        <f t="shared" si="1"/>
        <v>0.22580645161290322</v>
      </c>
      <c r="K28">
        <f t="shared" si="2"/>
        <v>0.77419354838709675</v>
      </c>
      <c r="L28">
        <f t="shared" si="3"/>
        <v>-21</v>
      </c>
      <c r="M28" s="6">
        <f t="shared" si="4"/>
        <v>0.70244536940686808</v>
      </c>
      <c r="N28" s="6">
        <f t="shared" si="5"/>
        <v>0.74175767807511972</v>
      </c>
      <c r="O28" s="6">
        <f t="shared" si="8"/>
        <v>91.905567117585875</v>
      </c>
      <c r="P28" s="6">
        <f t="shared" si="9"/>
        <v>104.17091126949698</v>
      </c>
      <c r="Q28" s="6">
        <f t="shared" si="6"/>
        <v>0.74175767807511972</v>
      </c>
    </row>
    <row r="29" spans="2:17">
      <c r="B29">
        <f t="shared" si="7"/>
        <v>26</v>
      </c>
      <c r="C29">
        <f t="shared" si="0"/>
        <v>31</v>
      </c>
      <c r="D29">
        <v>1</v>
      </c>
      <c r="E29">
        <v>32</v>
      </c>
      <c r="F29">
        <f>TnSPLINE!F$4</f>
        <v>6.6500000000000012</v>
      </c>
      <c r="G29">
        <f>TnSPLINE!F$5</f>
        <v>-1.0322580645161292</v>
      </c>
      <c r="H29" s="6">
        <f>TnSPLINE!K$4</f>
        <v>-2.8750176842852856E-2</v>
      </c>
      <c r="I29" s="6">
        <f>TnSPLINE!K$5</f>
        <v>1.9072406877973791E-2</v>
      </c>
      <c r="J29">
        <f t="shared" si="1"/>
        <v>0.19354838709677419</v>
      </c>
      <c r="K29">
        <f t="shared" si="2"/>
        <v>0.80645161290322576</v>
      </c>
      <c r="L29">
        <f t="shared" si="3"/>
        <v>-20</v>
      </c>
      <c r="M29" s="6">
        <f t="shared" si="4"/>
        <v>0.45463059313215415</v>
      </c>
      <c r="N29" s="6">
        <f t="shared" si="5"/>
        <v>0.45116426895394679</v>
      </c>
      <c r="O29" s="6">
        <f t="shared" si="8"/>
        <v>92.360197710718026</v>
      </c>
      <c r="P29" s="6">
        <f t="shared" si="9"/>
        <v>104.62207553845093</v>
      </c>
      <c r="Q29" s="6">
        <f t="shared" si="6"/>
        <v>0.45116426895394679</v>
      </c>
    </row>
    <row r="30" spans="2:17">
      <c r="B30">
        <f t="shared" si="7"/>
        <v>27</v>
      </c>
      <c r="C30">
        <f t="shared" si="0"/>
        <v>31</v>
      </c>
      <c r="D30">
        <v>1</v>
      </c>
      <c r="E30">
        <v>32</v>
      </c>
      <c r="F30">
        <f>TnSPLINE!F$4</f>
        <v>6.6500000000000012</v>
      </c>
      <c r="G30">
        <f>TnSPLINE!F$5</f>
        <v>-1.0322580645161292</v>
      </c>
      <c r="H30" s="6">
        <f>TnSPLINE!K$4</f>
        <v>-2.8750176842852856E-2</v>
      </c>
      <c r="I30" s="6">
        <f>TnSPLINE!K$5</f>
        <v>1.9072406877973791E-2</v>
      </c>
      <c r="J30">
        <f t="shared" si="1"/>
        <v>0.16129032258064516</v>
      </c>
      <c r="K30">
        <f t="shared" si="2"/>
        <v>0.83870967741935487</v>
      </c>
      <c r="L30">
        <f t="shared" si="3"/>
        <v>-19</v>
      </c>
      <c r="M30" s="6">
        <f t="shared" si="4"/>
        <v>0.2068158168574401</v>
      </c>
      <c r="N30" s="6">
        <f t="shared" si="5"/>
        <v>0.1703872827647821</v>
      </c>
      <c r="O30" s="6">
        <f t="shared" si="8"/>
        <v>92.567013527575469</v>
      </c>
      <c r="P30" s="6">
        <f t="shared" si="9"/>
        <v>104.79246282121571</v>
      </c>
      <c r="Q30" s="6">
        <f t="shared" si="6"/>
        <v>0.1703872827647821</v>
      </c>
    </row>
    <row r="31" spans="2:17">
      <c r="B31">
        <f t="shared" si="7"/>
        <v>28</v>
      </c>
      <c r="C31">
        <f t="shared" si="0"/>
        <v>31</v>
      </c>
      <c r="D31">
        <v>1</v>
      </c>
      <c r="E31">
        <v>32</v>
      </c>
      <c r="F31">
        <f>TnSPLINE!F$4</f>
        <v>6.6500000000000012</v>
      </c>
      <c r="G31">
        <f>TnSPLINE!F$5</f>
        <v>-1.0322580645161292</v>
      </c>
      <c r="H31" s="6">
        <f>TnSPLINE!K$4</f>
        <v>-2.8750176842852856E-2</v>
      </c>
      <c r="I31" s="6">
        <f>TnSPLINE!K$5</f>
        <v>1.9072406877973791E-2</v>
      </c>
      <c r="J31">
        <f t="shared" si="1"/>
        <v>0.12903225806451613</v>
      </c>
      <c r="K31">
        <f t="shared" si="2"/>
        <v>0.87096774193548387</v>
      </c>
      <c r="L31">
        <f t="shared" si="3"/>
        <v>-18</v>
      </c>
      <c r="M31" s="6">
        <f t="shared" si="4"/>
        <v>-4.0998959417273717E-2</v>
      </c>
      <c r="N31" s="6">
        <f t="shared" si="5"/>
        <v>-9.9030616501381563E-2</v>
      </c>
      <c r="O31" s="6">
        <f t="shared" si="8"/>
        <v>92.526014568158189</v>
      </c>
      <c r="P31" s="6">
        <f t="shared" si="9"/>
        <v>104.69343220471433</v>
      </c>
      <c r="Q31" s="6">
        <f t="shared" si="6"/>
        <v>-9.9030616501381563E-2</v>
      </c>
    </row>
    <row r="32" spans="2:17">
      <c r="B32">
        <f t="shared" si="7"/>
        <v>29</v>
      </c>
      <c r="C32">
        <f t="shared" si="0"/>
        <v>31</v>
      </c>
      <c r="D32">
        <v>1</v>
      </c>
      <c r="E32">
        <v>32</v>
      </c>
      <c r="F32">
        <f>TnSPLINE!F$4</f>
        <v>6.6500000000000012</v>
      </c>
      <c r="G32">
        <f>TnSPLINE!F$5</f>
        <v>-1.0322580645161292</v>
      </c>
      <c r="H32" s="6">
        <f>TnSPLINE!K$4</f>
        <v>-2.8750176842852856E-2</v>
      </c>
      <c r="I32" s="6">
        <f>TnSPLINE!K$5</f>
        <v>1.9072406877973791E-2</v>
      </c>
      <c r="J32">
        <f t="shared" si="1"/>
        <v>9.6774193548387094E-2</v>
      </c>
      <c r="K32">
        <f t="shared" si="2"/>
        <v>0.90322580645161288</v>
      </c>
      <c r="L32">
        <f t="shared" si="3"/>
        <v>-17</v>
      </c>
      <c r="M32" s="6">
        <f t="shared" si="4"/>
        <v>-0.28881373569198754</v>
      </c>
      <c r="N32" s="6">
        <f t="shared" si="5"/>
        <v>-0.3555467648535488</v>
      </c>
      <c r="O32" s="6">
        <f t="shared" si="8"/>
        <v>92.2372008324662</v>
      </c>
      <c r="P32" s="6">
        <f t="shared" si="9"/>
        <v>104.33788543986078</v>
      </c>
      <c r="Q32" s="6">
        <f t="shared" si="6"/>
        <v>-0.3555467648535488</v>
      </c>
    </row>
    <row r="33" spans="1:17">
      <c r="B33">
        <f t="shared" si="7"/>
        <v>30</v>
      </c>
      <c r="C33">
        <f t="shared" si="0"/>
        <v>31</v>
      </c>
      <c r="D33">
        <v>1</v>
      </c>
      <c r="E33">
        <v>32</v>
      </c>
      <c r="F33">
        <f>TnSPLINE!F$4</f>
        <v>6.6500000000000012</v>
      </c>
      <c r="G33">
        <f>TnSPLINE!F$5</f>
        <v>-1.0322580645161292</v>
      </c>
      <c r="H33" s="6">
        <f>TnSPLINE!K$4</f>
        <v>-2.8750176842852856E-2</v>
      </c>
      <c r="I33" s="6">
        <f>TnSPLINE!K$5</f>
        <v>1.9072406877973791E-2</v>
      </c>
      <c r="J33">
        <f t="shared" si="1"/>
        <v>6.4516129032258063E-2</v>
      </c>
      <c r="K33">
        <f t="shared" si="2"/>
        <v>0.93548387096774188</v>
      </c>
      <c r="L33">
        <f t="shared" si="3"/>
        <v>-16</v>
      </c>
      <c r="M33" s="6">
        <f t="shared" si="4"/>
        <v>-0.53662851196670147</v>
      </c>
      <c r="N33" s="6">
        <f t="shared" si="5"/>
        <v>-0.59761849830072578</v>
      </c>
      <c r="O33" s="6">
        <f t="shared" si="8"/>
        <v>91.700572320499504</v>
      </c>
      <c r="P33" s="6">
        <f t="shared" si="9"/>
        <v>103.74026694156007</v>
      </c>
      <c r="Q33" s="6">
        <f t="shared" si="6"/>
        <v>-0.59761849830072578</v>
      </c>
    </row>
    <row r="34" spans="1:17">
      <c r="B34">
        <f t="shared" si="7"/>
        <v>31</v>
      </c>
      <c r="C34">
        <f t="shared" si="0"/>
        <v>31</v>
      </c>
      <c r="D34">
        <v>1</v>
      </c>
      <c r="E34">
        <v>32</v>
      </c>
      <c r="F34">
        <f>TnSPLINE!F$4</f>
        <v>6.6500000000000012</v>
      </c>
      <c r="G34">
        <f>TnSPLINE!F$5</f>
        <v>-1.0322580645161292</v>
      </c>
      <c r="H34" s="6">
        <f>TnSPLINE!K$4</f>
        <v>-2.8750176842852856E-2</v>
      </c>
      <c r="I34" s="6">
        <f>TnSPLINE!K$5</f>
        <v>1.9072406877973791E-2</v>
      </c>
      <c r="J34">
        <f t="shared" si="1"/>
        <v>3.2258064516129031E-2</v>
      </c>
      <c r="K34">
        <f t="shared" si="2"/>
        <v>0.967741935483871</v>
      </c>
      <c r="L34">
        <f t="shared" si="3"/>
        <v>-15</v>
      </c>
      <c r="M34" s="6">
        <f t="shared" si="4"/>
        <v>-0.7844432882414154</v>
      </c>
      <c r="N34" s="6">
        <f t="shared" si="5"/>
        <v>-0.82370315285191686</v>
      </c>
      <c r="O34" s="6">
        <f t="shared" si="8"/>
        <v>90.916129032258084</v>
      </c>
      <c r="P34" s="6">
        <f t="shared" si="9"/>
        <v>102.91656378870815</v>
      </c>
      <c r="Q34" s="6">
        <f t="shared" si="6"/>
        <v>-0.82370315285191686</v>
      </c>
    </row>
    <row r="35" spans="1:17">
      <c r="A35">
        <v>32</v>
      </c>
      <c r="B35">
        <f t="shared" si="7"/>
        <v>32</v>
      </c>
      <c r="C35">
        <f t="shared" si="0"/>
        <v>31</v>
      </c>
      <c r="D35">
        <v>1</v>
      </c>
      <c r="E35">
        <v>32</v>
      </c>
      <c r="F35">
        <f>TnSPLINE!F$4</f>
        <v>6.6500000000000012</v>
      </c>
      <c r="G35">
        <f>TnSPLINE!F$5</f>
        <v>-1.0322580645161292</v>
      </c>
      <c r="H35" s="6">
        <f>TnSPLINE!K$4</f>
        <v>-2.8750176842852856E-2</v>
      </c>
      <c r="I35" s="6">
        <f>TnSPLINE!K$5</f>
        <v>1.9072406877973791E-2</v>
      </c>
      <c r="J35">
        <f t="shared" si="1"/>
        <v>0</v>
      </c>
      <c r="K35">
        <f t="shared" si="2"/>
        <v>1</v>
      </c>
      <c r="L35">
        <f t="shared" si="3"/>
        <v>-14</v>
      </c>
      <c r="M35" s="6">
        <f t="shared" si="4"/>
        <v>-1.0322580645161292</v>
      </c>
      <c r="N35" s="6">
        <f t="shared" si="5"/>
        <v>-1.0322580645161292</v>
      </c>
      <c r="O35" s="6">
        <f t="shared" si="8"/>
        <v>89.883870967741956</v>
      </c>
      <c r="P35" s="6">
        <f t="shared" si="9"/>
        <v>101.88430572419202</v>
      </c>
      <c r="Q35" s="6">
        <f t="shared" si="6"/>
        <v>-1.0322580645161292</v>
      </c>
    </row>
    <row r="36" spans="1:17">
      <c r="B36">
        <f t="shared" si="7"/>
        <v>33</v>
      </c>
      <c r="C36">
        <f t="shared" si="0"/>
        <v>29</v>
      </c>
      <c r="D36">
        <v>32</v>
      </c>
      <c r="E36">
        <v>61</v>
      </c>
      <c r="F36">
        <f>TnSPLINE!F$5</f>
        <v>-1.0322580645161292</v>
      </c>
      <c r="G36">
        <f>TnSPLINE!F$6</f>
        <v>-2.8612903225806448</v>
      </c>
      <c r="H36" s="6">
        <f>TnSPLINE!K$5</f>
        <v>1.9072406877973791E-2</v>
      </c>
      <c r="I36" s="6">
        <f>TnSPLINE!K$6</f>
        <v>-9.9643156126170574E-3</v>
      </c>
      <c r="J36">
        <f t="shared" si="1"/>
        <v>0.96551724137931039</v>
      </c>
      <c r="K36">
        <f t="shared" si="2"/>
        <v>3.4482758620689655E-2</v>
      </c>
      <c r="L36">
        <f t="shared" si="3"/>
        <v>-13</v>
      </c>
      <c r="M36" s="6">
        <f t="shared" si="4"/>
        <v>-1.0953281423804229</v>
      </c>
      <c r="N36" s="6">
        <f t="shared" si="5"/>
        <v>-1.2221645576829963</v>
      </c>
      <c r="O36" s="6">
        <f t="shared" si="8"/>
        <v>88.788542825361532</v>
      </c>
      <c r="P36" s="6">
        <f t="shared" si="9"/>
        <v>100.66214116650902</v>
      </c>
      <c r="Q36" s="6">
        <f t="shared" si="6"/>
        <v>-1.2221645576829963</v>
      </c>
    </row>
    <row r="37" spans="1:17">
      <c r="B37">
        <f t="shared" si="7"/>
        <v>34</v>
      </c>
      <c r="C37">
        <f t="shared" si="0"/>
        <v>29</v>
      </c>
      <c r="D37">
        <v>32</v>
      </c>
      <c r="E37">
        <v>61</v>
      </c>
      <c r="F37">
        <f>TnSPLINE!F$5</f>
        <v>-1.0322580645161292</v>
      </c>
      <c r="G37">
        <f>TnSPLINE!F$6</f>
        <v>-2.8612903225806448</v>
      </c>
      <c r="H37" s="6">
        <f>TnSPLINE!K$5</f>
        <v>1.9072406877973791E-2</v>
      </c>
      <c r="I37" s="6">
        <f>TnSPLINE!K$6</f>
        <v>-9.9643156126170574E-3</v>
      </c>
      <c r="J37">
        <f t="shared" si="1"/>
        <v>0.93103448275862066</v>
      </c>
      <c r="K37">
        <f t="shared" si="2"/>
        <v>6.8965517241379309E-2</v>
      </c>
      <c r="L37">
        <f t="shared" si="3"/>
        <v>-12</v>
      </c>
      <c r="M37" s="6">
        <f t="shared" si="4"/>
        <v>-1.1583982202447165</v>
      </c>
      <c r="N37" s="6">
        <f t="shared" si="5"/>
        <v>-1.3939999102646694</v>
      </c>
      <c r="O37" s="6">
        <f t="shared" si="8"/>
        <v>87.630144605116811</v>
      </c>
      <c r="P37" s="6">
        <f t="shared" si="9"/>
        <v>99.268141256244348</v>
      </c>
      <c r="Q37" s="6">
        <f t="shared" si="6"/>
        <v>-1.3939999102646694</v>
      </c>
    </row>
    <row r="38" spans="1:17">
      <c r="B38">
        <f t="shared" si="7"/>
        <v>35</v>
      </c>
      <c r="C38">
        <f t="shared" si="0"/>
        <v>29</v>
      </c>
      <c r="D38">
        <v>32</v>
      </c>
      <c r="E38">
        <v>61</v>
      </c>
      <c r="F38">
        <f>TnSPLINE!F$5</f>
        <v>-1.0322580645161292</v>
      </c>
      <c r="G38">
        <f>TnSPLINE!F$6</f>
        <v>-2.8612903225806448</v>
      </c>
      <c r="H38" s="6">
        <f>TnSPLINE!K$5</f>
        <v>1.9072406877973791E-2</v>
      </c>
      <c r="I38" s="6">
        <f>TnSPLINE!K$6</f>
        <v>-9.9643156126170574E-3</v>
      </c>
      <c r="J38">
        <f t="shared" si="1"/>
        <v>0.89655172413793105</v>
      </c>
      <c r="K38">
        <f t="shared" si="2"/>
        <v>0.10344827586206896</v>
      </c>
      <c r="L38">
        <f t="shared" si="3"/>
        <v>-11</v>
      </c>
      <c r="M38" s="6">
        <f t="shared" si="4"/>
        <v>-1.2214682981090101</v>
      </c>
      <c r="N38" s="6">
        <f t="shared" si="5"/>
        <v>-1.5487653885539261</v>
      </c>
      <c r="O38" s="6">
        <f t="shared" si="8"/>
        <v>86.408676307007795</v>
      </c>
      <c r="P38" s="6">
        <f t="shared" si="9"/>
        <v>97.719375867690417</v>
      </c>
      <c r="Q38" s="6">
        <f t="shared" si="6"/>
        <v>-1.5487653885539261</v>
      </c>
    </row>
    <row r="39" spans="1:17">
      <c r="B39">
        <f t="shared" si="7"/>
        <v>36</v>
      </c>
      <c r="C39">
        <f t="shared" si="0"/>
        <v>29</v>
      </c>
      <c r="D39">
        <v>32</v>
      </c>
      <c r="E39">
        <v>61</v>
      </c>
      <c r="F39">
        <f>TnSPLINE!F$5</f>
        <v>-1.0322580645161292</v>
      </c>
      <c r="G39">
        <f>TnSPLINE!F$6</f>
        <v>-2.8612903225806448</v>
      </c>
      <c r="H39" s="6">
        <f>TnSPLINE!K$5</f>
        <v>1.9072406877973791E-2</v>
      </c>
      <c r="I39" s="6">
        <f>TnSPLINE!K$6</f>
        <v>-9.9643156126170574E-3</v>
      </c>
      <c r="J39">
        <f t="shared" si="1"/>
        <v>0.86206896551724133</v>
      </c>
      <c r="K39">
        <f t="shared" si="2"/>
        <v>0.13793103448275862</v>
      </c>
      <c r="L39">
        <f t="shared" si="3"/>
        <v>-10</v>
      </c>
      <c r="M39" s="6">
        <f t="shared" si="4"/>
        <v>-1.2845383759733038</v>
      </c>
      <c r="N39" s="6">
        <f t="shared" si="5"/>
        <v>-1.6874622588435464</v>
      </c>
      <c r="O39" s="6">
        <f t="shared" si="8"/>
        <v>85.124137931034497</v>
      </c>
      <c r="P39" s="6">
        <f t="shared" si="9"/>
        <v>96.031913608846864</v>
      </c>
      <c r="Q39" s="6">
        <f t="shared" si="6"/>
        <v>-1.6874622588435464</v>
      </c>
    </row>
    <row r="40" spans="1:17">
      <c r="B40">
        <f t="shared" si="7"/>
        <v>37</v>
      </c>
      <c r="C40">
        <f t="shared" si="0"/>
        <v>29</v>
      </c>
      <c r="D40">
        <v>32</v>
      </c>
      <c r="E40">
        <v>61</v>
      </c>
      <c r="F40">
        <f>TnSPLINE!F$5</f>
        <v>-1.0322580645161292</v>
      </c>
      <c r="G40">
        <f>TnSPLINE!F$6</f>
        <v>-2.8612903225806448</v>
      </c>
      <c r="H40" s="6">
        <f>TnSPLINE!K$5</f>
        <v>1.9072406877973791E-2</v>
      </c>
      <c r="I40" s="6">
        <f>TnSPLINE!K$6</f>
        <v>-9.9643156126170574E-3</v>
      </c>
      <c r="J40">
        <f t="shared" si="1"/>
        <v>0.82758620689655171</v>
      </c>
      <c r="K40">
        <f t="shared" si="2"/>
        <v>0.17241379310344829</v>
      </c>
      <c r="L40">
        <f t="shared" si="3"/>
        <v>-9</v>
      </c>
      <c r="M40" s="6">
        <f t="shared" si="4"/>
        <v>-1.3476084538375974</v>
      </c>
      <c r="N40" s="6">
        <f t="shared" si="5"/>
        <v>-1.8110917874263084</v>
      </c>
      <c r="O40" s="6">
        <f t="shared" si="8"/>
        <v>83.776529477196902</v>
      </c>
      <c r="P40" s="6">
        <f t="shared" si="9"/>
        <v>94.220821821420557</v>
      </c>
      <c r="Q40" s="6">
        <f t="shared" si="6"/>
        <v>-1.8110917874263084</v>
      </c>
    </row>
    <row r="41" spans="1:17">
      <c r="B41">
        <f t="shared" si="7"/>
        <v>38</v>
      </c>
      <c r="C41">
        <f t="shared" si="0"/>
        <v>29</v>
      </c>
      <c r="D41">
        <v>32</v>
      </c>
      <c r="E41">
        <v>61</v>
      </c>
      <c r="F41">
        <f>TnSPLINE!F$5</f>
        <v>-1.0322580645161292</v>
      </c>
      <c r="G41">
        <f>TnSPLINE!F$6</f>
        <v>-2.8612903225806448</v>
      </c>
      <c r="H41" s="6">
        <f>TnSPLINE!K$5</f>
        <v>1.9072406877973791E-2</v>
      </c>
      <c r="I41" s="6">
        <f>TnSPLINE!K$6</f>
        <v>-9.9643156126170574E-3</v>
      </c>
      <c r="J41">
        <f t="shared" si="1"/>
        <v>0.7931034482758621</v>
      </c>
      <c r="K41">
        <f t="shared" si="2"/>
        <v>0.20689655172413793</v>
      </c>
      <c r="L41">
        <f t="shared" si="3"/>
        <v>-8</v>
      </c>
      <c r="M41" s="6">
        <f t="shared" si="4"/>
        <v>-1.4106785317018911</v>
      </c>
      <c r="N41" s="6">
        <f t="shared" si="5"/>
        <v>-1.9206552405949919</v>
      </c>
      <c r="O41" s="6">
        <f t="shared" si="8"/>
        <v>82.365850945495012</v>
      </c>
      <c r="P41" s="6">
        <f t="shared" si="9"/>
        <v>92.300166580825561</v>
      </c>
      <c r="Q41" s="6">
        <f t="shared" si="6"/>
        <v>-1.9206552405949919</v>
      </c>
    </row>
    <row r="42" spans="1:17">
      <c r="B42">
        <f t="shared" si="7"/>
        <v>39</v>
      </c>
      <c r="C42">
        <f t="shared" si="0"/>
        <v>29</v>
      </c>
      <c r="D42">
        <v>32</v>
      </c>
      <c r="E42">
        <v>61</v>
      </c>
      <c r="F42">
        <f>TnSPLINE!F$5</f>
        <v>-1.0322580645161292</v>
      </c>
      <c r="G42">
        <f>TnSPLINE!F$6</f>
        <v>-2.8612903225806448</v>
      </c>
      <c r="H42" s="6">
        <f>TnSPLINE!K$5</f>
        <v>1.9072406877973791E-2</v>
      </c>
      <c r="I42" s="6">
        <f>TnSPLINE!K$6</f>
        <v>-9.9643156126170574E-3</v>
      </c>
      <c r="J42">
        <f t="shared" si="1"/>
        <v>0.75862068965517238</v>
      </c>
      <c r="K42">
        <f t="shared" si="2"/>
        <v>0.2413793103448276</v>
      </c>
      <c r="L42">
        <f t="shared" si="3"/>
        <v>-7</v>
      </c>
      <c r="M42" s="6">
        <f t="shared" si="4"/>
        <v>-1.4737486095661847</v>
      </c>
      <c r="N42" s="6">
        <f t="shared" si="5"/>
        <v>-2.0171538846423753</v>
      </c>
      <c r="O42" s="6">
        <f t="shared" si="8"/>
        <v>80.892102335928826</v>
      </c>
      <c r="P42" s="6">
        <f t="shared" si="9"/>
        <v>90.283012696183192</v>
      </c>
      <c r="Q42" s="6">
        <f t="shared" si="6"/>
        <v>-2.0171538846423753</v>
      </c>
    </row>
    <row r="43" spans="1:17">
      <c r="B43">
        <f t="shared" si="7"/>
        <v>40</v>
      </c>
      <c r="C43">
        <f t="shared" si="0"/>
        <v>29</v>
      </c>
      <c r="D43">
        <v>32</v>
      </c>
      <c r="E43">
        <v>61</v>
      </c>
      <c r="F43">
        <f>TnSPLINE!F$5</f>
        <v>-1.0322580645161292</v>
      </c>
      <c r="G43">
        <f>TnSPLINE!F$6</f>
        <v>-2.8612903225806448</v>
      </c>
      <c r="H43" s="6">
        <f>TnSPLINE!K$5</f>
        <v>1.9072406877973791E-2</v>
      </c>
      <c r="I43" s="6">
        <f>TnSPLINE!K$6</f>
        <v>-9.9643156126170574E-3</v>
      </c>
      <c r="J43">
        <f t="shared" si="1"/>
        <v>0.72413793103448276</v>
      </c>
      <c r="K43">
        <f t="shared" si="2"/>
        <v>0.27586206896551724</v>
      </c>
      <c r="L43">
        <f t="shared" si="3"/>
        <v>-6</v>
      </c>
      <c r="M43" s="6">
        <f t="shared" si="4"/>
        <v>-1.5368186874304783</v>
      </c>
      <c r="N43" s="6">
        <f t="shared" si="5"/>
        <v>-2.101588985861238</v>
      </c>
      <c r="O43" s="6">
        <f t="shared" si="8"/>
        <v>79.355283648498343</v>
      </c>
      <c r="P43" s="6">
        <f t="shared" si="9"/>
        <v>88.181423710321951</v>
      </c>
      <c r="Q43" s="6">
        <f t="shared" si="6"/>
        <v>-2.101588985861238</v>
      </c>
    </row>
    <row r="44" spans="1:17">
      <c r="B44">
        <f t="shared" si="7"/>
        <v>41</v>
      </c>
      <c r="C44">
        <f t="shared" si="0"/>
        <v>29</v>
      </c>
      <c r="D44">
        <v>32</v>
      </c>
      <c r="E44">
        <v>61</v>
      </c>
      <c r="F44">
        <f>TnSPLINE!F$5</f>
        <v>-1.0322580645161292</v>
      </c>
      <c r="G44">
        <f>TnSPLINE!F$6</f>
        <v>-2.8612903225806448</v>
      </c>
      <c r="H44" s="6">
        <f>TnSPLINE!K$5</f>
        <v>1.9072406877973791E-2</v>
      </c>
      <c r="I44" s="6">
        <f>TnSPLINE!K$6</f>
        <v>-9.9643156126170574E-3</v>
      </c>
      <c r="J44">
        <f t="shared" si="1"/>
        <v>0.68965517241379315</v>
      </c>
      <c r="K44">
        <f t="shared" si="2"/>
        <v>0.31034482758620691</v>
      </c>
      <c r="L44">
        <f t="shared" si="3"/>
        <v>-5</v>
      </c>
      <c r="M44" s="6">
        <f t="shared" si="4"/>
        <v>-1.599888765294772</v>
      </c>
      <c r="N44" s="6">
        <f t="shared" si="5"/>
        <v>-2.1749618105443593</v>
      </c>
      <c r="O44" s="6">
        <f t="shared" si="8"/>
        <v>77.755394883203564</v>
      </c>
      <c r="P44" s="6">
        <f t="shared" si="9"/>
        <v>86.006461899777591</v>
      </c>
      <c r="Q44" s="6">
        <f t="shared" si="6"/>
        <v>-2.1749618105443593</v>
      </c>
    </row>
    <row r="45" spans="1:17">
      <c r="B45">
        <f t="shared" si="7"/>
        <v>42</v>
      </c>
      <c r="C45">
        <f t="shared" si="0"/>
        <v>29</v>
      </c>
      <c r="D45">
        <v>32</v>
      </c>
      <c r="E45">
        <v>61</v>
      </c>
      <c r="F45">
        <f>TnSPLINE!F$5</f>
        <v>-1.0322580645161292</v>
      </c>
      <c r="G45">
        <f>TnSPLINE!F$6</f>
        <v>-2.8612903225806448</v>
      </c>
      <c r="H45" s="6">
        <f>TnSPLINE!K$5</f>
        <v>1.9072406877973791E-2</v>
      </c>
      <c r="I45" s="6">
        <f>TnSPLINE!K$6</f>
        <v>-9.9643156126170574E-3</v>
      </c>
      <c r="J45">
        <f t="shared" si="1"/>
        <v>0.65517241379310343</v>
      </c>
      <c r="K45">
        <f t="shared" si="2"/>
        <v>0.34482758620689657</v>
      </c>
      <c r="L45">
        <f t="shared" si="3"/>
        <v>-4</v>
      </c>
      <c r="M45" s="6">
        <f t="shared" si="4"/>
        <v>-1.6629588431590658</v>
      </c>
      <c r="N45" s="6">
        <f t="shared" si="5"/>
        <v>-2.2382736249845174</v>
      </c>
      <c r="O45" s="6">
        <f t="shared" si="8"/>
        <v>76.092436040044504</v>
      </c>
      <c r="P45" s="6">
        <f t="shared" si="9"/>
        <v>83.768188274793076</v>
      </c>
      <c r="Q45" s="6">
        <f t="shared" si="6"/>
        <v>-2.2382736249845174</v>
      </c>
    </row>
    <row r="46" spans="1:17">
      <c r="B46">
        <f t="shared" si="7"/>
        <v>43</v>
      </c>
      <c r="C46">
        <f t="shared" si="0"/>
        <v>29</v>
      </c>
      <c r="D46">
        <v>32</v>
      </c>
      <c r="E46">
        <v>61</v>
      </c>
      <c r="F46">
        <f>TnSPLINE!F$5</f>
        <v>-1.0322580645161292</v>
      </c>
      <c r="G46">
        <f>TnSPLINE!F$6</f>
        <v>-2.8612903225806448</v>
      </c>
      <c r="H46" s="6">
        <f>TnSPLINE!K$5</f>
        <v>1.9072406877973791E-2</v>
      </c>
      <c r="I46" s="6">
        <f>TnSPLINE!K$6</f>
        <v>-9.9643156126170574E-3</v>
      </c>
      <c r="J46">
        <f t="shared" si="1"/>
        <v>0.62068965517241381</v>
      </c>
      <c r="K46">
        <f t="shared" si="2"/>
        <v>0.37931034482758619</v>
      </c>
      <c r="L46">
        <f t="shared" si="3"/>
        <v>-3</v>
      </c>
      <c r="M46" s="6">
        <f t="shared" si="4"/>
        <v>-1.7260289210233593</v>
      </c>
      <c r="N46" s="6">
        <f t="shared" si="5"/>
        <v>-2.2925256954744913</v>
      </c>
      <c r="O46" s="6">
        <f t="shared" si="8"/>
        <v>74.366407119021147</v>
      </c>
      <c r="P46" s="6">
        <f t="shared" si="9"/>
        <v>81.47566257931858</v>
      </c>
      <c r="Q46" s="6">
        <f t="shared" si="6"/>
        <v>-2.2925256954744913</v>
      </c>
    </row>
    <row r="47" spans="1:17">
      <c r="B47">
        <f t="shared" si="7"/>
        <v>44</v>
      </c>
      <c r="C47">
        <f t="shared" si="0"/>
        <v>29</v>
      </c>
      <c r="D47">
        <v>32</v>
      </c>
      <c r="E47">
        <v>61</v>
      </c>
      <c r="F47">
        <f>TnSPLINE!F$5</f>
        <v>-1.0322580645161292</v>
      </c>
      <c r="G47">
        <f>TnSPLINE!F$6</f>
        <v>-2.8612903225806448</v>
      </c>
      <c r="H47" s="6">
        <f>TnSPLINE!K$5</f>
        <v>1.9072406877973791E-2</v>
      </c>
      <c r="I47" s="6">
        <f>TnSPLINE!K$6</f>
        <v>-9.9643156126170574E-3</v>
      </c>
      <c r="J47">
        <f t="shared" si="1"/>
        <v>0.58620689655172409</v>
      </c>
      <c r="K47">
        <f t="shared" si="2"/>
        <v>0.41379310344827586</v>
      </c>
      <c r="L47">
        <f t="shared" si="3"/>
        <v>-2</v>
      </c>
      <c r="M47" s="6">
        <f t="shared" si="4"/>
        <v>-1.7890989988876529</v>
      </c>
      <c r="N47" s="6">
        <f t="shared" si="5"/>
        <v>-2.3387192883070607</v>
      </c>
      <c r="O47" s="6">
        <f t="shared" si="8"/>
        <v>72.577308120133495</v>
      </c>
      <c r="P47" s="6">
        <f t="shared" si="9"/>
        <v>79.136943291011519</v>
      </c>
      <c r="Q47" s="6">
        <f t="shared" si="6"/>
        <v>-2.3387192883070607</v>
      </c>
    </row>
    <row r="48" spans="1:17">
      <c r="B48">
        <f t="shared" si="7"/>
        <v>45</v>
      </c>
      <c r="C48">
        <f t="shared" si="0"/>
        <v>29</v>
      </c>
      <c r="D48">
        <v>32</v>
      </c>
      <c r="E48">
        <v>61</v>
      </c>
      <c r="F48">
        <f>TnSPLINE!F$5</f>
        <v>-1.0322580645161292</v>
      </c>
      <c r="G48">
        <f>TnSPLINE!F$6</f>
        <v>-2.8612903225806448</v>
      </c>
      <c r="H48" s="6">
        <f>TnSPLINE!K$5</f>
        <v>1.9072406877973791E-2</v>
      </c>
      <c r="I48" s="6">
        <f>TnSPLINE!K$6</f>
        <v>-9.9643156126170574E-3</v>
      </c>
      <c r="J48">
        <f t="shared" si="1"/>
        <v>0.55172413793103448</v>
      </c>
      <c r="K48">
        <f t="shared" si="2"/>
        <v>0.44827586206896552</v>
      </c>
      <c r="L48">
        <f t="shared" si="3"/>
        <v>-1</v>
      </c>
      <c r="M48" s="6">
        <f t="shared" si="4"/>
        <v>-1.8521690767519465</v>
      </c>
      <c r="N48" s="6">
        <f t="shared" si="5"/>
        <v>-2.3778556697750046</v>
      </c>
      <c r="O48" s="6">
        <f t="shared" si="8"/>
        <v>70.725139043381546</v>
      </c>
      <c r="P48" s="6">
        <f t="shared" si="9"/>
        <v>76.759087621236517</v>
      </c>
      <c r="Q48" s="6">
        <f t="shared" si="6"/>
        <v>-2.3778556697750046</v>
      </c>
    </row>
    <row r="49" spans="1:20">
      <c r="B49">
        <f t="shared" si="7"/>
        <v>46</v>
      </c>
      <c r="C49">
        <f t="shared" si="0"/>
        <v>29</v>
      </c>
      <c r="D49">
        <v>32</v>
      </c>
      <c r="E49">
        <v>61</v>
      </c>
      <c r="F49">
        <f>TnSPLINE!F$5</f>
        <v>-1.0322580645161292</v>
      </c>
      <c r="G49">
        <f>TnSPLINE!F$6</f>
        <v>-2.8612903225806448</v>
      </c>
      <c r="H49" s="6">
        <f>TnSPLINE!K$5</f>
        <v>1.9072406877973791E-2</v>
      </c>
      <c r="I49" s="6">
        <f>TnSPLINE!K$6</f>
        <v>-9.9643156126170574E-3</v>
      </c>
      <c r="J49">
        <f t="shared" si="1"/>
        <v>0.51724137931034486</v>
      </c>
      <c r="K49">
        <f t="shared" si="2"/>
        <v>0.48275862068965519</v>
      </c>
      <c r="L49">
        <f t="shared" si="3"/>
        <v>0</v>
      </c>
      <c r="M49" s="6">
        <f t="shared" si="4"/>
        <v>-1.9152391546162402</v>
      </c>
      <c r="N49" s="6">
        <f t="shared" si="5"/>
        <v>-2.4109361061711012</v>
      </c>
      <c r="O49" s="6">
        <f t="shared" si="8"/>
        <v>68.809899888765301</v>
      </c>
      <c r="P49" s="6">
        <f t="shared" si="9"/>
        <v>74.34815151506541</v>
      </c>
      <c r="Q49" s="6">
        <f t="shared" si="6"/>
        <v>-2.4109361061711012</v>
      </c>
    </row>
    <row r="50" spans="1:20">
      <c r="A50" s="10"/>
      <c r="B50" s="10">
        <f t="shared" si="7"/>
        <v>47</v>
      </c>
      <c r="C50" s="10">
        <f t="shared" si="0"/>
        <v>29</v>
      </c>
      <c r="D50" s="10">
        <v>32</v>
      </c>
      <c r="E50" s="10">
        <v>61</v>
      </c>
      <c r="F50" s="10">
        <f>TnSPLINE!F$5</f>
        <v>-1.0322580645161292</v>
      </c>
      <c r="G50" s="10">
        <f>TnSPLINE!F$6</f>
        <v>-2.8612903225806448</v>
      </c>
      <c r="H50" s="11">
        <f>TnSPLINE!K$5</f>
        <v>1.9072406877973791E-2</v>
      </c>
      <c r="I50" s="11">
        <f>TnSPLINE!K$6</f>
        <v>-9.9643156126170574E-3</v>
      </c>
      <c r="J50" s="10">
        <f t="shared" si="1"/>
        <v>0.48275862068965519</v>
      </c>
      <c r="K50" s="10">
        <f t="shared" si="2"/>
        <v>0.51724137931034486</v>
      </c>
      <c r="L50" s="10">
        <f t="shared" si="3"/>
        <v>1</v>
      </c>
      <c r="M50" s="11">
        <f t="shared" si="4"/>
        <v>-1.9783092324805338</v>
      </c>
      <c r="N50" s="11">
        <f>(Q50+Q414)/2</f>
        <v>-2.4086055481050677</v>
      </c>
      <c r="O50" s="11">
        <f t="shared" si="8"/>
        <v>66.83159065628476</v>
      </c>
      <c r="P50" s="11">
        <f t="shared" si="9"/>
        <v>71.939545966960338</v>
      </c>
      <c r="Q50" s="11">
        <f t="shared" si="6"/>
        <v>-2.4389618637881298</v>
      </c>
      <c r="R50" s="12">
        <f>(N55-N50)/5</f>
        <v>-2.5941848465890694E-2</v>
      </c>
      <c r="T50" s="6">
        <f t="shared" ref="T50:T113" si="10">N50</f>
        <v>-2.4086055481050677</v>
      </c>
    </row>
    <row r="51" spans="1:20">
      <c r="B51">
        <f t="shared" si="7"/>
        <v>48</v>
      </c>
      <c r="C51">
        <f t="shared" si="0"/>
        <v>29</v>
      </c>
      <c r="D51">
        <v>32</v>
      </c>
      <c r="E51">
        <v>61</v>
      </c>
      <c r="F51">
        <f>TnSPLINE!F$5</f>
        <v>-1.0322580645161292</v>
      </c>
      <c r="G51">
        <f>TnSPLINE!F$6</f>
        <v>-2.8612903225806448</v>
      </c>
      <c r="H51" s="6">
        <f>TnSPLINE!K$5</f>
        <v>1.9072406877973791E-2</v>
      </c>
      <c r="I51" s="6">
        <f>TnSPLINE!K$6</f>
        <v>-9.9643156126170574E-3</v>
      </c>
      <c r="J51">
        <f t="shared" si="1"/>
        <v>0.44827586206896552</v>
      </c>
      <c r="K51">
        <f t="shared" si="2"/>
        <v>0.55172413793103448</v>
      </c>
      <c r="L51">
        <f t="shared" si="3"/>
        <v>2</v>
      </c>
      <c r="M51" s="13">
        <f t="shared" si="4"/>
        <v>-2.0413793103448272</v>
      </c>
      <c r="N51" s="14">
        <f>N50+R$50</f>
        <v>-2.4345473965709585</v>
      </c>
      <c r="O51" s="6">
        <f t="shared" si="8"/>
        <v>64.790211345939937</v>
      </c>
      <c r="P51" s="6">
        <f t="shared" si="9"/>
        <v>69.504998570389375</v>
      </c>
      <c r="Q51" s="6">
        <f t="shared" si="6"/>
        <v>-2.4629342089188695</v>
      </c>
      <c r="T51" s="6">
        <f t="shared" si="10"/>
        <v>-2.4345473965709585</v>
      </c>
    </row>
    <row r="52" spans="1:20">
      <c r="B52">
        <f t="shared" si="7"/>
        <v>49</v>
      </c>
      <c r="C52">
        <f t="shared" si="0"/>
        <v>29</v>
      </c>
      <c r="D52">
        <v>32</v>
      </c>
      <c r="E52">
        <v>61</v>
      </c>
      <c r="F52">
        <f>TnSPLINE!F$5</f>
        <v>-1.0322580645161292</v>
      </c>
      <c r="G52">
        <f>TnSPLINE!F$6</f>
        <v>-2.8612903225806448</v>
      </c>
      <c r="H52" s="6">
        <f>TnSPLINE!K$5</f>
        <v>1.9072406877973791E-2</v>
      </c>
      <c r="I52" s="6">
        <f>TnSPLINE!K$6</f>
        <v>-9.9643156126170574E-3</v>
      </c>
      <c r="J52">
        <f t="shared" si="1"/>
        <v>0.41379310344827586</v>
      </c>
      <c r="K52">
        <f t="shared" si="2"/>
        <v>0.58620689655172409</v>
      </c>
      <c r="L52">
        <f t="shared" si="3"/>
        <v>3</v>
      </c>
      <c r="M52" s="13">
        <f t="shared" si="4"/>
        <v>-2.1044493882091206</v>
      </c>
      <c r="N52" s="14">
        <f>N51+R$50</f>
        <v>-2.4604892450368494</v>
      </c>
      <c r="O52" s="6">
        <f t="shared" si="8"/>
        <v>62.685761957730818</v>
      </c>
      <c r="P52" s="6">
        <f t="shared" si="9"/>
        <v>67.044509325352522</v>
      </c>
      <c r="Q52" s="6">
        <f t="shared" si="6"/>
        <v>-2.4838544078560996</v>
      </c>
      <c r="T52" s="6">
        <f t="shared" si="10"/>
        <v>-2.4604892450368494</v>
      </c>
    </row>
    <row r="53" spans="1:20">
      <c r="B53">
        <f t="shared" si="7"/>
        <v>50</v>
      </c>
      <c r="C53">
        <f t="shared" si="0"/>
        <v>29</v>
      </c>
      <c r="D53">
        <v>32</v>
      </c>
      <c r="E53">
        <v>61</v>
      </c>
      <c r="F53">
        <f>TnSPLINE!F$5</f>
        <v>-1.0322580645161292</v>
      </c>
      <c r="G53">
        <f>TnSPLINE!F$6</f>
        <v>-2.8612903225806448</v>
      </c>
      <c r="H53" s="6">
        <f>TnSPLINE!K$5</f>
        <v>1.9072406877973791E-2</v>
      </c>
      <c r="I53" s="6">
        <f>TnSPLINE!K$6</f>
        <v>-9.9643156126170574E-3</v>
      </c>
      <c r="J53">
        <f t="shared" si="1"/>
        <v>0.37931034482758619</v>
      </c>
      <c r="K53">
        <f t="shared" si="2"/>
        <v>0.62068965517241381</v>
      </c>
      <c r="L53">
        <f t="shared" si="3"/>
        <v>4</v>
      </c>
      <c r="M53" s="13">
        <f t="shared" si="4"/>
        <v>-2.1675194660734149</v>
      </c>
      <c r="N53" s="14">
        <f>N52+R$50</f>
        <v>-2.4864310935027403</v>
      </c>
      <c r="O53" s="6">
        <f t="shared" si="8"/>
        <v>60.518242491657404</v>
      </c>
      <c r="P53" s="6">
        <f t="shared" si="9"/>
        <v>64.558078231849777</v>
      </c>
      <c r="Q53" s="6">
        <f t="shared" si="6"/>
        <v>-2.5027237268925995</v>
      </c>
      <c r="T53" s="6">
        <f t="shared" si="10"/>
        <v>-2.4864310935027403</v>
      </c>
    </row>
    <row r="54" spans="1:20">
      <c r="B54">
        <f t="shared" si="7"/>
        <v>51</v>
      </c>
      <c r="C54">
        <f t="shared" si="0"/>
        <v>29</v>
      </c>
      <c r="D54">
        <v>32</v>
      </c>
      <c r="E54">
        <v>61</v>
      </c>
      <c r="F54">
        <f>TnSPLINE!F$5</f>
        <v>-1.0322580645161292</v>
      </c>
      <c r="G54">
        <f>TnSPLINE!F$6</f>
        <v>-2.8612903225806448</v>
      </c>
      <c r="H54" s="6">
        <f>TnSPLINE!K$5</f>
        <v>1.9072406877973791E-2</v>
      </c>
      <c r="I54" s="6">
        <f>TnSPLINE!K$6</f>
        <v>-9.9643156126170574E-3</v>
      </c>
      <c r="J54">
        <f t="shared" si="1"/>
        <v>0.34482758620689657</v>
      </c>
      <c r="K54">
        <f t="shared" si="2"/>
        <v>0.65517241379310343</v>
      </c>
      <c r="L54">
        <f t="shared" si="3"/>
        <v>5</v>
      </c>
      <c r="M54" s="13">
        <f t="shared" si="4"/>
        <v>-2.2305895439377084</v>
      </c>
      <c r="N54" s="14">
        <f>N53+R$50</f>
        <v>-2.5123729419686311</v>
      </c>
      <c r="O54" s="6">
        <f t="shared" si="8"/>
        <v>58.287652947719693</v>
      </c>
      <c r="P54" s="6">
        <f t="shared" si="9"/>
        <v>62.045705289881148</v>
      </c>
      <c r="Q54" s="6">
        <f t="shared" si="6"/>
        <v>-2.5205434323211464</v>
      </c>
      <c r="T54" s="6">
        <f t="shared" si="10"/>
        <v>-2.5123729419686311</v>
      </c>
    </row>
    <row r="55" spans="1:20">
      <c r="B55">
        <f t="shared" si="7"/>
        <v>52</v>
      </c>
      <c r="C55">
        <f t="shared" si="0"/>
        <v>29</v>
      </c>
      <c r="D55">
        <v>32</v>
      </c>
      <c r="E55">
        <v>61</v>
      </c>
      <c r="F55">
        <f>TnSPLINE!F$5</f>
        <v>-1.0322580645161292</v>
      </c>
      <c r="G55">
        <f>TnSPLINE!F$6</f>
        <v>-2.8612903225806448</v>
      </c>
      <c r="H55" s="6">
        <f>TnSPLINE!K$5</f>
        <v>1.9072406877973791E-2</v>
      </c>
      <c r="I55" s="6">
        <f>TnSPLINE!K$6</f>
        <v>-9.9643156126170574E-3</v>
      </c>
      <c r="J55">
        <f t="shared" si="1"/>
        <v>0.31034482758620691</v>
      </c>
      <c r="K55">
        <f t="shared" si="2"/>
        <v>0.68965517241379315</v>
      </c>
      <c r="L55">
        <f t="shared" si="3"/>
        <v>6</v>
      </c>
      <c r="M55" s="13">
        <f t="shared" si="4"/>
        <v>-2.2936596218020022</v>
      </c>
      <c r="N55" s="13">
        <f t="shared" ref="N55:N118" si="11">Q55</f>
        <v>-2.5383147904345211</v>
      </c>
      <c r="O55" s="6">
        <f t="shared" si="8"/>
        <v>55.993993325917693</v>
      </c>
      <c r="P55" s="6">
        <f t="shared" si="9"/>
        <v>59.507390499446629</v>
      </c>
      <c r="Q55" s="6">
        <f t="shared" si="6"/>
        <v>-2.5383147904345211</v>
      </c>
      <c r="T55" s="6">
        <f t="shared" si="10"/>
        <v>-2.5383147904345211</v>
      </c>
    </row>
    <row r="56" spans="1:20">
      <c r="B56">
        <f t="shared" si="7"/>
        <v>53</v>
      </c>
      <c r="C56">
        <f t="shared" si="0"/>
        <v>29</v>
      </c>
      <c r="D56">
        <v>32</v>
      </c>
      <c r="E56">
        <v>61</v>
      </c>
      <c r="F56">
        <f>TnSPLINE!F$5</f>
        <v>-1.0322580645161292</v>
      </c>
      <c r="G56">
        <f>TnSPLINE!F$6</f>
        <v>-2.8612903225806448</v>
      </c>
      <c r="H56" s="6">
        <f>TnSPLINE!K$5</f>
        <v>1.9072406877973791E-2</v>
      </c>
      <c r="I56" s="6">
        <f>TnSPLINE!K$6</f>
        <v>-9.9643156126170574E-3</v>
      </c>
      <c r="J56">
        <f t="shared" si="1"/>
        <v>0.27586206896551724</v>
      </c>
      <c r="K56">
        <f t="shared" si="2"/>
        <v>0.72413793103448276</v>
      </c>
      <c r="L56">
        <f t="shared" si="3"/>
        <v>7</v>
      </c>
      <c r="M56" s="13">
        <f t="shared" si="4"/>
        <v>-2.3567296996662956</v>
      </c>
      <c r="N56" s="13">
        <f t="shared" si="11"/>
        <v>-2.5570390675255013</v>
      </c>
      <c r="O56" s="6">
        <f t="shared" si="8"/>
        <v>53.637263626251396</v>
      </c>
      <c r="P56" s="6">
        <f t="shared" si="9"/>
        <v>56.950351431921128</v>
      </c>
      <c r="Q56" s="6">
        <f t="shared" si="6"/>
        <v>-2.5570390675255013</v>
      </c>
      <c r="T56" s="6">
        <f t="shared" si="10"/>
        <v>-2.5570390675255013</v>
      </c>
    </row>
    <row r="57" spans="1:20">
      <c r="B57">
        <f t="shared" si="7"/>
        <v>54</v>
      </c>
      <c r="C57">
        <f t="shared" si="0"/>
        <v>29</v>
      </c>
      <c r="D57">
        <v>32</v>
      </c>
      <c r="E57">
        <v>61</v>
      </c>
      <c r="F57">
        <f>TnSPLINE!F$5</f>
        <v>-1.0322580645161292</v>
      </c>
      <c r="G57">
        <f>TnSPLINE!F$6</f>
        <v>-2.8612903225806448</v>
      </c>
      <c r="H57" s="6">
        <f>TnSPLINE!K$5</f>
        <v>1.9072406877973791E-2</v>
      </c>
      <c r="I57" s="6">
        <f>TnSPLINE!K$6</f>
        <v>-9.9643156126170574E-3</v>
      </c>
      <c r="J57">
        <f t="shared" si="1"/>
        <v>0.2413793103448276</v>
      </c>
      <c r="K57">
        <f t="shared" si="2"/>
        <v>0.75862068965517238</v>
      </c>
      <c r="L57">
        <f t="shared" si="3"/>
        <v>8</v>
      </c>
      <c r="M57" s="13">
        <f t="shared" si="4"/>
        <v>-2.4197997775305895</v>
      </c>
      <c r="N57" s="13">
        <f t="shared" si="11"/>
        <v>-2.5777175298868671</v>
      </c>
      <c r="O57" s="6">
        <f t="shared" si="8"/>
        <v>51.217463848720804</v>
      </c>
      <c r="P57" s="6">
        <f t="shared" si="9"/>
        <v>54.372633902034259</v>
      </c>
      <c r="Q57" s="6">
        <f t="shared" si="6"/>
        <v>-2.5777175298868671</v>
      </c>
      <c r="T57" s="6">
        <f t="shared" si="10"/>
        <v>-2.5777175298868671</v>
      </c>
    </row>
    <row r="58" spans="1:20">
      <c r="B58">
        <f t="shared" si="7"/>
        <v>55</v>
      </c>
      <c r="C58">
        <f t="shared" si="0"/>
        <v>29</v>
      </c>
      <c r="D58">
        <v>32</v>
      </c>
      <c r="E58">
        <v>61</v>
      </c>
      <c r="F58">
        <f>TnSPLINE!F$5</f>
        <v>-1.0322580645161292</v>
      </c>
      <c r="G58">
        <f>TnSPLINE!F$6</f>
        <v>-2.8612903225806448</v>
      </c>
      <c r="H58" s="6">
        <f>TnSPLINE!K$5</f>
        <v>1.9072406877973791E-2</v>
      </c>
      <c r="I58" s="6">
        <f>TnSPLINE!K$6</f>
        <v>-9.9643156126170574E-3</v>
      </c>
      <c r="J58">
        <f t="shared" si="1"/>
        <v>0.20689655172413793</v>
      </c>
      <c r="K58">
        <f t="shared" si="2"/>
        <v>0.7931034482758621</v>
      </c>
      <c r="L58">
        <f t="shared" si="3"/>
        <v>9</v>
      </c>
      <c r="M58" s="13">
        <f t="shared" si="4"/>
        <v>-2.4828698553948829</v>
      </c>
      <c r="N58" s="13">
        <f t="shared" si="11"/>
        <v>-2.6013514438113967</v>
      </c>
      <c r="O58" s="6">
        <f t="shared" si="8"/>
        <v>48.734593993325923</v>
      </c>
      <c r="P58" s="6">
        <f t="shared" si="9"/>
        <v>51.771282458222863</v>
      </c>
      <c r="Q58" s="6">
        <f t="shared" si="6"/>
        <v>-2.6013514438113967</v>
      </c>
      <c r="T58" s="6">
        <f t="shared" si="10"/>
        <v>-2.6013514438113967</v>
      </c>
    </row>
    <row r="59" spans="1:20">
      <c r="B59">
        <f t="shared" si="7"/>
        <v>56</v>
      </c>
      <c r="C59">
        <f t="shared" si="0"/>
        <v>29</v>
      </c>
      <c r="D59">
        <v>32</v>
      </c>
      <c r="E59">
        <v>61</v>
      </c>
      <c r="F59">
        <f>TnSPLINE!F$5</f>
        <v>-1.0322580645161292</v>
      </c>
      <c r="G59">
        <f>TnSPLINE!F$6</f>
        <v>-2.8612903225806448</v>
      </c>
      <c r="H59" s="6">
        <f>TnSPLINE!K$5</f>
        <v>1.9072406877973791E-2</v>
      </c>
      <c r="I59" s="6">
        <f>TnSPLINE!K$6</f>
        <v>-9.9643156126170574E-3</v>
      </c>
      <c r="J59">
        <f t="shared" si="1"/>
        <v>0.17241379310344829</v>
      </c>
      <c r="K59">
        <f t="shared" si="2"/>
        <v>0.82758620689655171</v>
      </c>
      <c r="L59">
        <f t="shared" si="3"/>
        <v>10</v>
      </c>
      <c r="M59" s="13">
        <f t="shared" si="4"/>
        <v>-2.5459399332591763</v>
      </c>
      <c r="N59" s="13">
        <f t="shared" si="11"/>
        <v>-2.6289420755918695</v>
      </c>
      <c r="O59" s="6">
        <f t="shared" si="8"/>
        <v>46.188654060066746</v>
      </c>
      <c r="P59" s="6">
        <f t="shared" si="9"/>
        <v>49.142340382630991</v>
      </c>
      <c r="Q59" s="6">
        <f t="shared" si="6"/>
        <v>-2.6289420755918695</v>
      </c>
      <c r="T59" s="6">
        <f t="shared" si="10"/>
        <v>-2.6289420755918695</v>
      </c>
    </row>
    <row r="60" spans="1:20">
      <c r="B60">
        <f t="shared" si="7"/>
        <v>57</v>
      </c>
      <c r="C60">
        <f t="shared" si="0"/>
        <v>29</v>
      </c>
      <c r="D60">
        <v>32</v>
      </c>
      <c r="E60">
        <v>61</v>
      </c>
      <c r="F60">
        <f>TnSPLINE!F$5</f>
        <v>-1.0322580645161292</v>
      </c>
      <c r="G60">
        <f>TnSPLINE!F$6</f>
        <v>-2.8612903225806448</v>
      </c>
      <c r="H60" s="6">
        <f>TnSPLINE!K$5</f>
        <v>1.9072406877973791E-2</v>
      </c>
      <c r="I60" s="6">
        <f>TnSPLINE!K$6</f>
        <v>-9.9643156126170574E-3</v>
      </c>
      <c r="J60">
        <f t="shared" si="1"/>
        <v>0.13793103448275862</v>
      </c>
      <c r="K60">
        <f t="shared" si="2"/>
        <v>0.86206896551724133</v>
      </c>
      <c r="L60">
        <f t="shared" si="3"/>
        <v>11</v>
      </c>
      <c r="M60" s="13">
        <f t="shared" si="4"/>
        <v>-2.6090100111234702</v>
      </c>
      <c r="N60" s="13">
        <f t="shared" si="11"/>
        <v>-2.6614906915210645</v>
      </c>
      <c r="O60" s="6">
        <f t="shared" si="8"/>
        <v>43.579644048943273</v>
      </c>
      <c r="P60" s="6">
        <f t="shared" si="9"/>
        <v>46.480849691109924</v>
      </c>
      <c r="Q60" s="6">
        <f t="shared" si="6"/>
        <v>-2.6614906915210645</v>
      </c>
      <c r="T60" s="6">
        <f t="shared" si="10"/>
        <v>-2.6614906915210645</v>
      </c>
    </row>
    <row r="61" spans="1:20">
      <c r="B61">
        <f t="shared" si="7"/>
        <v>58</v>
      </c>
      <c r="C61">
        <f t="shared" si="0"/>
        <v>29</v>
      </c>
      <c r="D61">
        <v>32</v>
      </c>
      <c r="E61">
        <v>61</v>
      </c>
      <c r="F61">
        <f>TnSPLINE!F$5</f>
        <v>-1.0322580645161292</v>
      </c>
      <c r="G61">
        <f>TnSPLINE!F$6</f>
        <v>-2.8612903225806448</v>
      </c>
      <c r="H61" s="6">
        <f>TnSPLINE!K$5</f>
        <v>1.9072406877973791E-2</v>
      </c>
      <c r="I61" s="6">
        <f>TnSPLINE!K$6</f>
        <v>-9.9643156126170574E-3</v>
      </c>
      <c r="J61">
        <f t="shared" si="1"/>
        <v>0.10344827586206896</v>
      </c>
      <c r="K61">
        <f t="shared" si="2"/>
        <v>0.89655172413793105</v>
      </c>
      <c r="L61">
        <f t="shared" si="3"/>
        <v>12</v>
      </c>
      <c r="M61" s="13">
        <f t="shared" si="4"/>
        <v>-2.6720800889877641</v>
      </c>
      <c r="N61" s="13">
        <f t="shared" si="11"/>
        <v>-2.6999985578917607</v>
      </c>
      <c r="O61" s="6">
        <f t="shared" si="8"/>
        <v>40.90756395995551</v>
      </c>
      <c r="P61" s="6">
        <f t="shared" si="9"/>
        <v>43.780851133218164</v>
      </c>
      <c r="Q61" s="6">
        <f t="shared" si="6"/>
        <v>-2.6999985578917607</v>
      </c>
      <c r="T61" s="6">
        <f t="shared" si="10"/>
        <v>-2.6999985578917607</v>
      </c>
    </row>
    <row r="62" spans="1:20">
      <c r="B62">
        <f t="shared" si="7"/>
        <v>59</v>
      </c>
      <c r="C62">
        <f t="shared" si="0"/>
        <v>29</v>
      </c>
      <c r="D62">
        <v>32</v>
      </c>
      <c r="E62">
        <v>61</v>
      </c>
      <c r="F62">
        <f>TnSPLINE!F$5</f>
        <v>-1.0322580645161292</v>
      </c>
      <c r="G62">
        <f>TnSPLINE!F$6</f>
        <v>-2.8612903225806448</v>
      </c>
      <c r="H62" s="6">
        <f>TnSPLINE!K$5</f>
        <v>1.9072406877973791E-2</v>
      </c>
      <c r="I62" s="6">
        <f>TnSPLINE!K$6</f>
        <v>-9.9643156126170574E-3</v>
      </c>
      <c r="J62">
        <f t="shared" si="1"/>
        <v>6.8965517241379309E-2</v>
      </c>
      <c r="K62">
        <f t="shared" si="2"/>
        <v>0.93103448275862066</v>
      </c>
      <c r="L62">
        <f t="shared" si="3"/>
        <v>13</v>
      </c>
      <c r="M62" s="13">
        <f t="shared" si="4"/>
        <v>-2.7351501668520575</v>
      </c>
      <c r="N62" s="13">
        <f t="shared" si="11"/>
        <v>-2.7454669409967365</v>
      </c>
      <c r="O62" s="6">
        <f t="shared" si="8"/>
        <v>38.172413793103452</v>
      </c>
      <c r="P62" s="6">
        <f t="shared" si="9"/>
        <v>41.035384192221429</v>
      </c>
      <c r="Q62" s="6">
        <f t="shared" si="6"/>
        <v>-2.7454669409967365</v>
      </c>
      <c r="T62" s="6">
        <f t="shared" si="10"/>
        <v>-2.7454669409967365</v>
      </c>
    </row>
    <row r="63" spans="1:20">
      <c r="B63">
        <f t="shared" si="7"/>
        <v>60</v>
      </c>
      <c r="C63">
        <f t="shared" si="0"/>
        <v>29</v>
      </c>
      <c r="D63">
        <v>32</v>
      </c>
      <c r="E63">
        <v>61</v>
      </c>
      <c r="F63">
        <f>TnSPLINE!F$5</f>
        <v>-1.0322580645161292</v>
      </c>
      <c r="G63">
        <f>TnSPLINE!F$6</f>
        <v>-2.8612903225806448</v>
      </c>
      <c r="H63" s="6">
        <f>TnSPLINE!K$5</f>
        <v>1.9072406877973791E-2</v>
      </c>
      <c r="I63" s="6">
        <f>TnSPLINE!K$6</f>
        <v>-9.9643156126170574E-3</v>
      </c>
      <c r="J63">
        <f t="shared" si="1"/>
        <v>3.4482758620689655E-2</v>
      </c>
      <c r="K63">
        <f t="shared" si="2"/>
        <v>0.96551724137931039</v>
      </c>
      <c r="L63">
        <f t="shared" si="3"/>
        <v>14</v>
      </c>
      <c r="M63" s="13">
        <f t="shared" si="4"/>
        <v>-2.7982202447163509</v>
      </c>
      <c r="N63" s="13">
        <f t="shared" si="11"/>
        <v>-2.7988971071287714</v>
      </c>
      <c r="O63" s="6">
        <f t="shared" si="8"/>
        <v>35.374193548387098</v>
      </c>
      <c r="P63" s="6">
        <f t="shared" si="9"/>
        <v>38.236487085092655</v>
      </c>
      <c r="Q63" s="6">
        <f t="shared" si="6"/>
        <v>-2.7988971071287714</v>
      </c>
      <c r="T63" s="6">
        <f t="shared" si="10"/>
        <v>-2.7988971071287714</v>
      </c>
    </row>
    <row r="64" spans="1:20">
      <c r="A64">
        <v>61</v>
      </c>
      <c r="B64">
        <f t="shared" si="7"/>
        <v>61</v>
      </c>
      <c r="C64">
        <f t="shared" si="0"/>
        <v>29</v>
      </c>
      <c r="D64">
        <v>32</v>
      </c>
      <c r="E64">
        <v>61</v>
      </c>
      <c r="F64">
        <f>TnSPLINE!F$5</f>
        <v>-1.0322580645161292</v>
      </c>
      <c r="G64">
        <f>TnSPLINE!F$6</f>
        <v>-2.8612903225806448</v>
      </c>
      <c r="H64" s="6">
        <f>TnSPLINE!K$5</f>
        <v>1.9072406877973791E-2</v>
      </c>
      <c r="I64" s="6">
        <f>TnSPLINE!K$6</f>
        <v>-9.9643156126170574E-3</v>
      </c>
      <c r="J64">
        <f t="shared" si="1"/>
        <v>0</v>
      </c>
      <c r="K64">
        <f t="shared" si="2"/>
        <v>1</v>
      </c>
      <c r="L64">
        <f t="shared" si="3"/>
        <v>15</v>
      </c>
      <c r="M64" s="13">
        <f t="shared" si="4"/>
        <v>-2.8612903225806448</v>
      </c>
      <c r="N64" s="13">
        <f t="shared" si="11"/>
        <v>-2.8612903225806448</v>
      </c>
      <c r="O64" s="6">
        <f t="shared" si="8"/>
        <v>32.512903225806454</v>
      </c>
      <c r="P64" s="6">
        <f t="shared" si="9"/>
        <v>35.375196762512012</v>
      </c>
      <c r="Q64" s="6">
        <f t="shared" si="6"/>
        <v>-2.8612903225806448</v>
      </c>
      <c r="T64" s="6">
        <f t="shared" si="10"/>
        <v>-2.8612903225806448</v>
      </c>
    </row>
    <row r="65" spans="2:20">
      <c r="B65">
        <f t="shared" si="7"/>
        <v>62</v>
      </c>
      <c r="C65">
        <f t="shared" si="0"/>
        <v>31</v>
      </c>
      <c r="D65">
        <v>61</v>
      </c>
      <c r="E65">
        <v>92</v>
      </c>
      <c r="F65">
        <f>TnSPLINE!F$6</f>
        <v>-2.8612903225806448</v>
      </c>
      <c r="G65">
        <f>TnSPLINE!F$7</f>
        <v>-4.5999999999999996</v>
      </c>
      <c r="H65" s="6">
        <f>TnSPLINE!K$6</f>
        <v>-9.9643156126170574E-3</v>
      </c>
      <c r="I65" s="6">
        <f>TnSPLINE!K$7</f>
        <v>2.2081099598209687E-2</v>
      </c>
      <c r="J65">
        <f t="shared" si="1"/>
        <v>0.967741935483871</v>
      </c>
      <c r="K65">
        <f t="shared" si="2"/>
        <v>3.2258064516129031E-2</v>
      </c>
      <c r="L65">
        <f t="shared" si="3"/>
        <v>16</v>
      </c>
      <c r="M65" s="6">
        <f t="shared" si="4"/>
        <v>-2.9173777315296565</v>
      </c>
      <c r="N65" s="13">
        <f t="shared" si="11"/>
        <v>-2.9333086887511195</v>
      </c>
      <c r="O65" s="6">
        <f t="shared" si="8"/>
        <v>29.595525494276799</v>
      </c>
      <c r="P65" s="6">
        <f t="shared" si="9"/>
        <v>32.441888073760893</v>
      </c>
      <c r="Q65" s="6">
        <f t="shared" si="6"/>
        <v>-2.9333086887511195</v>
      </c>
      <c r="T65" s="6">
        <f t="shared" si="10"/>
        <v>-2.9333086887511195</v>
      </c>
    </row>
    <row r="66" spans="2:20">
      <c r="B66">
        <f t="shared" si="7"/>
        <v>63</v>
      </c>
      <c r="C66">
        <f t="shared" si="0"/>
        <v>31</v>
      </c>
      <c r="D66">
        <v>61</v>
      </c>
      <c r="E66">
        <v>92</v>
      </c>
      <c r="F66">
        <f>TnSPLINE!F$6</f>
        <v>-2.8612903225806448</v>
      </c>
      <c r="G66">
        <f>TnSPLINE!F$7</f>
        <v>-4.5999999999999996</v>
      </c>
      <c r="H66" s="6">
        <f>TnSPLINE!K$6</f>
        <v>-9.9643156126170574E-3</v>
      </c>
      <c r="I66" s="6">
        <f>TnSPLINE!K$7</f>
        <v>2.2081099598209687E-2</v>
      </c>
      <c r="J66">
        <f t="shared" si="1"/>
        <v>0.93548387096774188</v>
      </c>
      <c r="K66">
        <f t="shared" si="2"/>
        <v>6.4516129032258063E-2</v>
      </c>
      <c r="L66">
        <f t="shared" si="3"/>
        <v>17</v>
      </c>
      <c r="M66" s="6">
        <f t="shared" si="4"/>
        <v>-2.9734651404786674</v>
      </c>
      <c r="N66" s="13">
        <f t="shared" si="11"/>
        <v>-3.0142576474628928</v>
      </c>
      <c r="O66" s="6">
        <f t="shared" si="8"/>
        <v>26.622060353798133</v>
      </c>
      <c r="P66" s="6">
        <f t="shared" si="9"/>
        <v>29.427630426298002</v>
      </c>
      <c r="Q66" s="6">
        <f t="shared" si="6"/>
        <v>-3.0142576474628928</v>
      </c>
      <c r="T66" s="6">
        <f t="shared" si="10"/>
        <v>-3.0142576474628928</v>
      </c>
    </row>
    <row r="67" spans="2:20">
      <c r="B67">
        <f t="shared" si="7"/>
        <v>64</v>
      </c>
      <c r="C67">
        <f t="shared" si="0"/>
        <v>31</v>
      </c>
      <c r="D67">
        <v>61</v>
      </c>
      <c r="E67">
        <v>92</v>
      </c>
      <c r="F67">
        <f>TnSPLINE!F$6</f>
        <v>-2.8612903225806448</v>
      </c>
      <c r="G67">
        <f>TnSPLINE!F$7</f>
        <v>-4.5999999999999996</v>
      </c>
      <c r="H67" s="6">
        <f>TnSPLINE!K$6</f>
        <v>-9.9643156126170574E-3</v>
      </c>
      <c r="I67" s="6">
        <f>TnSPLINE!K$7</f>
        <v>2.2081099598209687E-2</v>
      </c>
      <c r="J67">
        <f t="shared" si="1"/>
        <v>0.90322580645161288</v>
      </c>
      <c r="K67">
        <f t="shared" si="2"/>
        <v>9.6774193548387094E-2</v>
      </c>
      <c r="L67">
        <f t="shared" si="3"/>
        <v>18</v>
      </c>
      <c r="M67" s="6">
        <f t="shared" si="4"/>
        <v>-3.0295525494276792</v>
      </c>
      <c r="N67" s="13">
        <f t="shared" si="11"/>
        <v>-3.1031034756446507</v>
      </c>
      <c r="O67" s="6">
        <f t="shared" si="8"/>
        <v>23.592507804370456</v>
      </c>
      <c r="P67" s="6">
        <f t="shared" si="9"/>
        <v>26.32452695065335</v>
      </c>
      <c r="Q67" s="6">
        <f t="shared" si="6"/>
        <v>-3.1031034756446507</v>
      </c>
      <c r="T67" s="6">
        <f t="shared" si="10"/>
        <v>-3.1031034756446507</v>
      </c>
    </row>
    <row r="68" spans="2:20">
      <c r="B68">
        <f t="shared" si="7"/>
        <v>65</v>
      </c>
      <c r="C68">
        <f t="shared" ref="C68:C131" si="12">E68-D68</f>
        <v>31</v>
      </c>
      <c r="D68">
        <v>61</v>
      </c>
      <c r="E68">
        <v>92</v>
      </c>
      <c r="F68">
        <f>TnSPLINE!F$6</f>
        <v>-2.8612903225806448</v>
      </c>
      <c r="G68">
        <f>TnSPLINE!F$7</f>
        <v>-4.5999999999999996</v>
      </c>
      <c r="H68" s="6">
        <f>TnSPLINE!K$6</f>
        <v>-9.9643156126170574E-3</v>
      </c>
      <c r="I68" s="6">
        <f>TnSPLINE!K$7</f>
        <v>2.2081099598209687E-2</v>
      </c>
      <c r="J68">
        <f t="shared" ref="J68:J131" si="13">(E68-B68)/C68</f>
        <v>0.87096774193548387</v>
      </c>
      <c r="K68">
        <f t="shared" ref="K68:K131" si="14">(B68-D68)/C68</f>
        <v>0.12903225806451613</v>
      </c>
      <c r="L68">
        <f t="shared" ref="L68:L131" si="15">B68-46</f>
        <v>19</v>
      </c>
      <c r="M68" s="6">
        <f t="shared" ref="M68:M131" si="16">J68*F68+K68*G68</f>
        <v>-3.0856399583766905</v>
      </c>
      <c r="N68" s="13">
        <f t="shared" si="11"/>
        <v>-3.1988124502250739</v>
      </c>
      <c r="O68" s="6">
        <f t="shared" si="8"/>
        <v>20.506867845993767</v>
      </c>
      <c r="P68" s="6">
        <f t="shared" si="9"/>
        <v>23.125714500428277</v>
      </c>
      <c r="Q68" s="6">
        <f t="shared" ref="Q68:Q131" si="17">M68+(((J68^3-J68)*H68+(K68^3-K68)*I68))*(C68^2)/6</f>
        <v>-3.1988124502250739</v>
      </c>
      <c r="T68" s="6">
        <f t="shared" si="10"/>
        <v>-3.1988124502250739</v>
      </c>
    </row>
    <row r="69" spans="2:20">
      <c r="B69">
        <f t="shared" ref="B69:B132" si="18">B68+1</f>
        <v>66</v>
      </c>
      <c r="C69">
        <f t="shared" si="12"/>
        <v>31</v>
      </c>
      <c r="D69">
        <v>61</v>
      </c>
      <c r="E69">
        <v>92</v>
      </c>
      <c r="F69">
        <f>TnSPLINE!F$6</f>
        <v>-2.8612903225806448</v>
      </c>
      <c r="G69">
        <f>TnSPLINE!F$7</f>
        <v>-4.5999999999999996</v>
      </c>
      <c r="H69" s="6">
        <f>TnSPLINE!K$6</f>
        <v>-9.9643156126170574E-3</v>
      </c>
      <c r="I69" s="6">
        <f>TnSPLINE!K$7</f>
        <v>2.2081099598209687E-2</v>
      </c>
      <c r="J69">
        <f t="shared" si="13"/>
        <v>0.83870967741935487</v>
      </c>
      <c r="K69">
        <f t="shared" si="14"/>
        <v>0.16129032258064516</v>
      </c>
      <c r="L69">
        <f t="shared" si="15"/>
        <v>20</v>
      </c>
      <c r="M69" s="6">
        <f t="shared" si="16"/>
        <v>-3.1417273673257018</v>
      </c>
      <c r="N69" s="13">
        <f t="shared" si="11"/>
        <v>-3.3003508481328465</v>
      </c>
      <c r="O69" s="6">
        <f t="shared" ref="O69:O132" si="19">O68+M69</f>
        <v>17.365140478668067</v>
      </c>
      <c r="P69" s="6">
        <f t="shared" ref="P69:P132" si="20">P68+N69</f>
        <v>19.82536365229543</v>
      </c>
      <c r="Q69" s="6">
        <f t="shared" si="17"/>
        <v>-3.3003508481328465</v>
      </c>
      <c r="T69" s="6">
        <f t="shared" si="10"/>
        <v>-3.3003508481328465</v>
      </c>
    </row>
    <row r="70" spans="2:20">
      <c r="B70">
        <f t="shared" si="18"/>
        <v>67</v>
      </c>
      <c r="C70">
        <f t="shared" si="12"/>
        <v>31</v>
      </c>
      <c r="D70">
        <v>61</v>
      </c>
      <c r="E70">
        <v>92</v>
      </c>
      <c r="F70">
        <f>TnSPLINE!F$6</f>
        <v>-2.8612903225806448</v>
      </c>
      <c r="G70">
        <f>TnSPLINE!F$7</f>
        <v>-4.5999999999999996</v>
      </c>
      <c r="H70" s="6">
        <f>TnSPLINE!K$6</f>
        <v>-9.9643156126170574E-3</v>
      </c>
      <c r="I70" s="6">
        <f>TnSPLINE!K$7</f>
        <v>2.2081099598209687E-2</v>
      </c>
      <c r="J70">
        <f t="shared" si="13"/>
        <v>0.80645161290322576</v>
      </c>
      <c r="K70">
        <f t="shared" si="14"/>
        <v>0.19354838709677419</v>
      </c>
      <c r="L70">
        <f t="shared" si="15"/>
        <v>21</v>
      </c>
      <c r="M70" s="6">
        <f t="shared" si="16"/>
        <v>-3.1978147762747131</v>
      </c>
      <c r="N70" s="13">
        <f t="shared" si="11"/>
        <v>-3.4066849462966511</v>
      </c>
      <c r="O70" s="6">
        <f t="shared" si="19"/>
        <v>14.167325702393354</v>
      </c>
      <c r="P70" s="6">
        <f t="shared" si="20"/>
        <v>16.418678705998779</v>
      </c>
      <c r="Q70" s="6">
        <f t="shared" si="17"/>
        <v>-3.4066849462966511</v>
      </c>
      <c r="T70" s="6">
        <f t="shared" si="10"/>
        <v>-3.4066849462966511</v>
      </c>
    </row>
    <row r="71" spans="2:20">
      <c r="B71">
        <f t="shared" si="18"/>
        <v>68</v>
      </c>
      <c r="C71">
        <f t="shared" si="12"/>
        <v>31</v>
      </c>
      <c r="D71">
        <v>61</v>
      </c>
      <c r="E71">
        <v>92</v>
      </c>
      <c r="F71">
        <f>TnSPLINE!F$6</f>
        <v>-2.8612903225806448</v>
      </c>
      <c r="G71">
        <f>TnSPLINE!F$7</f>
        <v>-4.5999999999999996</v>
      </c>
      <c r="H71" s="6">
        <f>TnSPLINE!K$6</f>
        <v>-9.9643156126170574E-3</v>
      </c>
      <c r="I71" s="6">
        <f>TnSPLINE!K$7</f>
        <v>2.2081099598209687E-2</v>
      </c>
      <c r="J71">
        <f t="shared" si="13"/>
        <v>0.77419354838709675</v>
      </c>
      <c r="K71">
        <f t="shared" si="14"/>
        <v>0.22580645161290322</v>
      </c>
      <c r="L71">
        <f t="shared" si="15"/>
        <v>22</v>
      </c>
      <c r="M71" s="6">
        <f t="shared" si="16"/>
        <v>-3.2539021852237249</v>
      </c>
      <c r="N71" s="13">
        <f t="shared" si="11"/>
        <v>-3.5167810216451714</v>
      </c>
      <c r="O71" s="6">
        <f t="shared" si="19"/>
        <v>10.91342351716963</v>
      </c>
      <c r="P71" s="6">
        <f t="shared" si="20"/>
        <v>12.901897684353608</v>
      </c>
      <c r="Q71" s="6">
        <f t="shared" si="17"/>
        <v>-3.5167810216451714</v>
      </c>
      <c r="T71" s="6">
        <f t="shared" si="10"/>
        <v>-3.5167810216451714</v>
      </c>
    </row>
    <row r="72" spans="2:20">
      <c r="B72">
        <f t="shared" si="18"/>
        <v>69</v>
      </c>
      <c r="C72">
        <f t="shared" si="12"/>
        <v>31</v>
      </c>
      <c r="D72">
        <v>61</v>
      </c>
      <c r="E72">
        <v>92</v>
      </c>
      <c r="F72">
        <f>TnSPLINE!F$6</f>
        <v>-2.8612903225806448</v>
      </c>
      <c r="G72">
        <f>TnSPLINE!F$7</f>
        <v>-4.5999999999999996</v>
      </c>
      <c r="H72" s="6">
        <f>TnSPLINE!K$6</f>
        <v>-9.9643156126170574E-3</v>
      </c>
      <c r="I72" s="6">
        <f>TnSPLINE!K$7</f>
        <v>2.2081099598209687E-2</v>
      </c>
      <c r="J72">
        <f t="shared" si="13"/>
        <v>0.74193548387096775</v>
      </c>
      <c r="K72">
        <f t="shared" si="14"/>
        <v>0.25806451612903225</v>
      </c>
      <c r="L72">
        <f t="shared" si="15"/>
        <v>23</v>
      </c>
      <c r="M72" s="6">
        <f t="shared" si="16"/>
        <v>-3.3099895941727362</v>
      </c>
      <c r="N72" s="13">
        <f t="shared" si="11"/>
        <v>-3.6296053511070889</v>
      </c>
      <c r="O72" s="6">
        <f t="shared" si="19"/>
        <v>7.6034339229968939</v>
      </c>
      <c r="P72" s="6">
        <f t="shared" si="20"/>
        <v>9.2722923332465186</v>
      </c>
      <c r="Q72" s="6">
        <f t="shared" si="17"/>
        <v>-3.6296053511070889</v>
      </c>
      <c r="T72" s="6">
        <f t="shared" si="10"/>
        <v>-3.6296053511070889</v>
      </c>
    </row>
    <row r="73" spans="2:20">
      <c r="B73">
        <f t="shared" si="18"/>
        <v>70</v>
      </c>
      <c r="C73">
        <f t="shared" si="12"/>
        <v>31</v>
      </c>
      <c r="D73">
        <v>61</v>
      </c>
      <c r="E73">
        <v>92</v>
      </c>
      <c r="F73">
        <f>TnSPLINE!F$6</f>
        <v>-2.8612903225806448</v>
      </c>
      <c r="G73">
        <f>TnSPLINE!F$7</f>
        <v>-4.5999999999999996</v>
      </c>
      <c r="H73" s="6">
        <f>TnSPLINE!K$6</f>
        <v>-9.9643156126170574E-3</v>
      </c>
      <c r="I73" s="6">
        <f>TnSPLINE!K$7</f>
        <v>2.2081099598209687E-2</v>
      </c>
      <c r="J73">
        <f t="shared" si="13"/>
        <v>0.70967741935483875</v>
      </c>
      <c r="K73">
        <f t="shared" si="14"/>
        <v>0.29032258064516131</v>
      </c>
      <c r="L73">
        <f t="shared" si="15"/>
        <v>24</v>
      </c>
      <c r="M73" s="6">
        <f t="shared" si="16"/>
        <v>-3.366077003121748</v>
      </c>
      <c r="N73" s="13">
        <f t="shared" si="11"/>
        <v>-3.7441242116110889</v>
      </c>
      <c r="O73" s="6">
        <f t="shared" si="19"/>
        <v>4.237356919875146</v>
      </c>
      <c r="P73" s="6">
        <f t="shared" si="20"/>
        <v>5.5281681216354297</v>
      </c>
      <c r="Q73" s="6">
        <f t="shared" si="17"/>
        <v>-3.7441242116110889</v>
      </c>
      <c r="T73" s="6">
        <f t="shared" si="10"/>
        <v>-3.7441242116110889</v>
      </c>
    </row>
    <row r="74" spans="2:20">
      <c r="B74">
        <f t="shared" si="18"/>
        <v>71</v>
      </c>
      <c r="C74">
        <f t="shared" si="12"/>
        <v>31</v>
      </c>
      <c r="D74">
        <v>61</v>
      </c>
      <c r="E74">
        <v>92</v>
      </c>
      <c r="F74">
        <f>TnSPLINE!F$6</f>
        <v>-2.8612903225806448</v>
      </c>
      <c r="G74">
        <f>TnSPLINE!F$7</f>
        <v>-4.5999999999999996</v>
      </c>
      <c r="H74" s="6">
        <f>TnSPLINE!K$6</f>
        <v>-9.9643156126170574E-3</v>
      </c>
      <c r="I74" s="6">
        <f>TnSPLINE!K$7</f>
        <v>2.2081099598209687E-2</v>
      </c>
      <c r="J74">
        <f t="shared" si="13"/>
        <v>0.67741935483870963</v>
      </c>
      <c r="K74">
        <f t="shared" si="14"/>
        <v>0.32258064516129031</v>
      </c>
      <c r="L74">
        <f t="shared" si="15"/>
        <v>25</v>
      </c>
      <c r="M74" s="6">
        <f t="shared" si="16"/>
        <v>-3.4221644120707593</v>
      </c>
      <c r="N74" s="13">
        <f t="shared" si="11"/>
        <v>-3.8593038800858515</v>
      </c>
      <c r="O74" s="6">
        <f t="shared" si="19"/>
        <v>0.81519250780438668</v>
      </c>
      <c r="P74" s="6">
        <f t="shared" si="20"/>
        <v>1.6688642415495782</v>
      </c>
      <c r="Q74" s="6">
        <f t="shared" si="17"/>
        <v>-3.8593038800858515</v>
      </c>
      <c r="T74" s="6">
        <f t="shared" si="10"/>
        <v>-3.8593038800858515</v>
      </c>
    </row>
    <row r="75" spans="2:20">
      <c r="B75">
        <f t="shared" si="18"/>
        <v>72</v>
      </c>
      <c r="C75">
        <f t="shared" si="12"/>
        <v>31</v>
      </c>
      <c r="D75">
        <v>61</v>
      </c>
      <c r="E75">
        <v>92</v>
      </c>
      <c r="F75">
        <f>TnSPLINE!F$6</f>
        <v>-2.8612903225806448</v>
      </c>
      <c r="G75">
        <f>TnSPLINE!F$7</f>
        <v>-4.5999999999999996</v>
      </c>
      <c r="H75" s="6">
        <f>TnSPLINE!K$6</f>
        <v>-9.9643156126170574E-3</v>
      </c>
      <c r="I75" s="6">
        <f>TnSPLINE!K$7</f>
        <v>2.2081099598209687E-2</v>
      </c>
      <c r="J75">
        <f t="shared" si="13"/>
        <v>0.64516129032258063</v>
      </c>
      <c r="K75">
        <f t="shared" si="14"/>
        <v>0.35483870967741937</v>
      </c>
      <c r="L75">
        <f t="shared" si="15"/>
        <v>26</v>
      </c>
      <c r="M75" s="6">
        <f t="shared" si="16"/>
        <v>-3.4782518210197706</v>
      </c>
      <c r="N75" s="13">
        <f t="shared" si="11"/>
        <v>-3.9741106334600618</v>
      </c>
      <c r="O75" s="6">
        <f t="shared" si="19"/>
        <v>-2.6630593132153839</v>
      </c>
      <c r="P75" s="6">
        <f t="shared" si="20"/>
        <v>-2.3052463919104835</v>
      </c>
      <c r="Q75" s="6">
        <f t="shared" si="17"/>
        <v>-3.9741106334600618</v>
      </c>
      <c r="T75" s="6">
        <f t="shared" si="10"/>
        <v>-3.9741106334600618</v>
      </c>
    </row>
    <row r="76" spans="2:20">
      <c r="B76">
        <f t="shared" si="18"/>
        <v>73</v>
      </c>
      <c r="C76">
        <f t="shared" si="12"/>
        <v>31</v>
      </c>
      <c r="D76">
        <v>61</v>
      </c>
      <c r="E76">
        <v>92</v>
      </c>
      <c r="F76">
        <f>TnSPLINE!F$6</f>
        <v>-2.8612903225806448</v>
      </c>
      <c r="G76">
        <f>TnSPLINE!F$7</f>
        <v>-4.5999999999999996</v>
      </c>
      <c r="H76" s="6">
        <f>TnSPLINE!K$6</f>
        <v>-9.9643156126170574E-3</v>
      </c>
      <c r="I76" s="6">
        <f>TnSPLINE!K$7</f>
        <v>2.2081099598209687E-2</v>
      </c>
      <c r="J76">
        <f t="shared" si="13"/>
        <v>0.61290322580645162</v>
      </c>
      <c r="K76">
        <f t="shared" si="14"/>
        <v>0.38709677419354838</v>
      </c>
      <c r="L76">
        <f t="shared" si="15"/>
        <v>27</v>
      </c>
      <c r="M76" s="6">
        <f t="shared" si="16"/>
        <v>-3.5343392299687819</v>
      </c>
      <c r="N76" s="13">
        <f t="shared" si="11"/>
        <v>-4.0875107486624014</v>
      </c>
      <c r="O76" s="6">
        <f t="shared" si="19"/>
        <v>-6.1973985431841658</v>
      </c>
      <c r="P76" s="6">
        <f t="shared" si="20"/>
        <v>-6.3927571405728845</v>
      </c>
      <c r="Q76" s="6">
        <f t="shared" si="17"/>
        <v>-4.0875107486624014</v>
      </c>
      <c r="T76" s="6">
        <f t="shared" si="10"/>
        <v>-4.0875107486624014</v>
      </c>
    </row>
    <row r="77" spans="2:20">
      <c r="B77">
        <f t="shared" si="18"/>
        <v>74</v>
      </c>
      <c r="C77">
        <f t="shared" si="12"/>
        <v>31</v>
      </c>
      <c r="D77">
        <v>61</v>
      </c>
      <c r="E77">
        <v>92</v>
      </c>
      <c r="F77">
        <f>TnSPLINE!F$6</f>
        <v>-2.8612903225806448</v>
      </c>
      <c r="G77">
        <f>TnSPLINE!F$7</f>
        <v>-4.5999999999999996</v>
      </c>
      <c r="H77" s="6">
        <f>TnSPLINE!K$6</f>
        <v>-9.9643156126170574E-3</v>
      </c>
      <c r="I77" s="6">
        <f>TnSPLINE!K$7</f>
        <v>2.2081099598209687E-2</v>
      </c>
      <c r="J77">
        <f t="shared" si="13"/>
        <v>0.58064516129032262</v>
      </c>
      <c r="K77">
        <f t="shared" si="14"/>
        <v>0.41935483870967744</v>
      </c>
      <c r="L77">
        <f t="shared" si="15"/>
        <v>28</v>
      </c>
      <c r="M77" s="6">
        <f t="shared" si="16"/>
        <v>-3.5904266389177937</v>
      </c>
      <c r="N77" s="13">
        <f t="shared" si="11"/>
        <v>-4.1984705026215563</v>
      </c>
      <c r="O77" s="6">
        <f t="shared" si="19"/>
        <v>-9.78782518210196</v>
      </c>
      <c r="P77" s="6">
        <f t="shared" si="20"/>
        <v>-10.59122764319444</v>
      </c>
      <c r="Q77" s="6">
        <f t="shared" si="17"/>
        <v>-4.1984705026215563</v>
      </c>
      <c r="T77" s="6">
        <f t="shared" si="10"/>
        <v>-4.1984705026215563</v>
      </c>
    </row>
    <row r="78" spans="2:20">
      <c r="B78">
        <f t="shared" si="18"/>
        <v>75</v>
      </c>
      <c r="C78">
        <f t="shared" si="12"/>
        <v>31</v>
      </c>
      <c r="D78">
        <v>61</v>
      </c>
      <c r="E78">
        <v>92</v>
      </c>
      <c r="F78">
        <f>TnSPLINE!F$6</f>
        <v>-2.8612903225806448</v>
      </c>
      <c r="G78">
        <f>TnSPLINE!F$7</f>
        <v>-4.5999999999999996</v>
      </c>
      <c r="H78" s="6">
        <f>TnSPLINE!K$6</f>
        <v>-9.9643156126170574E-3</v>
      </c>
      <c r="I78" s="6">
        <f>TnSPLINE!K$7</f>
        <v>2.2081099598209687E-2</v>
      </c>
      <c r="J78">
        <f t="shared" si="13"/>
        <v>0.54838709677419351</v>
      </c>
      <c r="K78">
        <f t="shared" si="14"/>
        <v>0.45161290322580644</v>
      </c>
      <c r="L78">
        <f t="shared" si="15"/>
        <v>29</v>
      </c>
      <c r="M78" s="6">
        <f t="shared" si="16"/>
        <v>-3.6465140478668046</v>
      </c>
      <c r="N78" s="13">
        <f t="shared" si="11"/>
        <v>-4.305956172266205</v>
      </c>
      <c r="O78" s="6">
        <f t="shared" si="19"/>
        <v>-13.434339229968764</v>
      </c>
      <c r="P78" s="6">
        <f t="shared" si="20"/>
        <v>-14.897183815460645</v>
      </c>
      <c r="Q78" s="6">
        <f t="shared" si="17"/>
        <v>-4.305956172266205</v>
      </c>
      <c r="T78" s="6">
        <f t="shared" si="10"/>
        <v>-4.305956172266205</v>
      </c>
    </row>
    <row r="79" spans="2:20">
      <c r="B79">
        <f t="shared" si="18"/>
        <v>76</v>
      </c>
      <c r="C79">
        <f t="shared" si="12"/>
        <v>31</v>
      </c>
      <c r="D79">
        <v>61</v>
      </c>
      <c r="E79">
        <v>92</v>
      </c>
      <c r="F79">
        <f>TnSPLINE!F$6</f>
        <v>-2.8612903225806448</v>
      </c>
      <c r="G79">
        <f>TnSPLINE!F$7</f>
        <v>-4.5999999999999996</v>
      </c>
      <c r="H79" s="6">
        <f>TnSPLINE!K$6</f>
        <v>-9.9643156126170574E-3</v>
      </c>
      <c r="I79" s="6">
        <f>TnSPLINE!K$7</f>
        <v>2.2081099598209687E-2</v>
      </c>
      <c r="J79">
        <f t="shared" si="13"/>
        <v>0.5161290322580645</v>
      </c>
      <c r="K79">
        <f t="shared" si="14"/>
        <v>0.4838709677419355</v>
      </c>
      <c r="L79">
        <f t="shared" si="15"/>
        <v>30</v>
      </c>
      <c r="M79" s="6">
        <f t="shared" si="16"/>
        <v>-3.7026014568158163</v>
      </c>
      <c r="N79" s="13">
        <f t="shared" si="11"/>
        <v>-4.4089340345250339</v>
      </c>
      <c r="O79" s="6">
        <f t="shared" si="19"/>
        <v>-17.13694068678458</v>
      </c>
      <c r="P79" s="6">
        <f t="shared" si="20"/>
        <v>-19.306117849985679</v>
      </c>
      <c r="Q79" s="6">
        <f t="shared" si="17"/>
        <v>-4.4089340345250339</v>
      </c>
      <c r="T79" s="6">
        <f t="shared" si="10"/>
        <v>-4.4089340345250339</v>
      </c>
    </row>
    <row r="80" spans="2:20">
      <c r="B80">
        <f t="shared" si="18"/>
        <v>77</v>
      </c>
      <c r="C80">
        <f t="shared" si="12"/>
        <v>31</v>
      </c>
      <c r="D80">
        <v>61</v>
      </c>
      <c r="E80">
        <v>92</v>
      </c>
      <c r="F80">
        <f>TnSPLINE!F$6</f>
        <v>-2.8612903225806448</v>
      </c>
      <c r="G80">
        <f>TnSPLINE!F$7</f>
        <v>-4.5999999999999996</v>
      </c>
      <c r="H80" s="6">
        <f>TnSPLINE!K$6</f>
        <v>-9.9643156126170574E-3</v>
      </c>
      <c r="I80" s="6">
        <f>TnSPLINE!K$7</f>
        <v>2.2081099598209687E-2</v>
      </c>
      <c r="J80">
        <f t="shared" si="13"/>
        <v>0.4838709677419355</v>
      </c>
      <c r="K80">
        <f t="shared" si="14"/>
        <v>0.5161290322580645</v>
      </c>
      <c r="L80">
        <f t="shared" si="15"/>
        <v>31</v>
      </c>
      <c r="M80" s="6">
        <f t="shared" si="16"/>
        <v>-3.7586888657648281</v>
      </c>
      <c r="N80" s="13">
        <f t="shared" si="11"/>
        <v>-4.5063703663267258</v>
      </c>
      <c r="O80" s="6">
        <f t="shared" si="19"/>
        <v>-20.895629552549408</v>
      </c>
      <c r="P80" s="6">
        <f t="shared" si="20"/>
        <v>-23.812488216312403</v>
      </c>
      <c r="Q80" s="6">
        <f t="shared" si="17"/>
        <v>-4.5063703663267258</v>
      </c>
      <c r="T80" s="6">
        <f t="shared" si="10"/>
        <v>-4.5063703663267258</v>
      </c>
    </row>
    <row r="81" spans="1:20">
      <c r="B81">
        <f t="shared" si="18"/>
        <v>78</v>
      </c>
      <c r="C81">
        <f t="shared" si="12"/>
        <v>31</v>
      </c>
      <c r="D81">
        <v>61</v>
      </c>
      <c r="E81">
        <v>92</v>
      </c>
      <c r="F81">
        <f>TnSPLINE!F$6</f>
        <v>-2.8612903225806448</v>
      </c>
      <c r="G81">
        <f>TnSPLINE!F$7</f>
        <v>-4.5999999999999996</v>
      </c>
      <c r="H81" s="6">
        <f>TnSPLINE!K$6</f>
        <v>-9.9643156126170574E-3</v>
      </c>
      <c r="I81" s="6">
        <f>TnSPLINE!K$7</f>
        <v>2.2081099598209687E-2</v>
      </c>
      <c r="J81">
        <f t="shared" si="13"/>
        <v>0.45161290322580644</v>
      </c>
      <c r="K81">
        <f t="shared" si="14"/>
        <v>0.54838709677419351</v>
      </c>
      <c r="L81">
        <f t="shared" si="15"/>
        <v>32</v>
      </c>
      <c r="M81" s="6">
        <f t="shared" si="16"/>
        <v>-3.814776274713839</v>
      </c>
      <c r="N81" s="13">
        <f t="shared" si="11"/>
        <v>-4.5972314445999611</v>
      </c>
      <c r="O81" s="6">
        <f t="shared" si="19"/>
        <v>-24.710405827263248</v>
      </c>
      <c r="P81" s="6">
        <f t="shared" si="20"/>
        <v>-28.409719660912366</v>
      </c>
      <c r="Q81" s="6">
        <f t="shared" si="17"/>
        <v>-4.5972314445999611</v>
      </c>
      <c r="T81" s="6">
        <f t="shared" si="10"/>
        <v>-4.5972314445999611</v>
      </c>
    </row>
    <row r="82" spans="1:20">
      <c r="B82">
        <f t="shared" si="18"/>
        <v>79</v>
      </c>
      <c r="C82">
        <f t="shared" si="12"/>
        <v>31</v>
      </c>
      <c r="D82">
        <v>61</v>
      </c>
      <c r="E82">
        <v>92</v>
      </c>
      <c r="F82">
        <f>TnSPLINE!F$6</f>
        <v>-2.8612903225806448</v>
      </c>
      <c r="G82">
        <f>TnSPLINE!F$7</f>
        <v>-4.5999999999999996</v>
      </c>
      <c r="H82" s="6">
        <f>TnSPLINE!K$6</f>
        <v>-9.9643156126170574E-3</v>
      </c>
      <c r="I82" s="6">
        <f>TnSPLINE!K$7</f>
        <v>2.2081099598209687E-2</v>
      </c>
      <c r="J82">
        <f t="shared" si="13"/>
        <v>0.41935483870967744</v>
      </c>
      <c r="K82">
        <f t="shared" si="14"/>
        <v>0.58064516129032262</v>
      </c>
      <c r="L82">
        <f t="shared" si="15"/>
        <v>33</v>
      </c>
      <c r="M82" s="6">
        <f t="shared" si="16"/>
        <v>-3.8708636836628507</v>
      </c>
      <c r="N82" s="13">
        <f t="shared" si="11"/>
        <v>-4.6804835462734262</v>
      </c>
      <c r="O82" s="6">
        <f t="shared" si="19"/>
        <v>-28.581269510926099</v>
      </c>
      <c r="P82" s="6">
        <f t="shared" si="20"/>
        <v>-33.090203207185795</v>
      </c>
      <c r="Q82" s="6">
        <f t="shared" si="17"/>
        <v>-4.6804835462734262</v>
      </c>
      <c r="T82" s="6">
        <f t="shared" si="10"/>
        <v>-4.6804835462734262</v>
      </c>
    </row>
    <row r="83" spans="1:20">
      <c r="B83">
        <f t="shared" si="18"/>
        <v>80</v>
      </c>
      <c r="C83">
        <f t="shared" si="12"/>
        <v>31</v>
      </c>
      <c r="D83">
        <v>61</v>
      </c>
      <c r="E83">
        <v>92</v>
      </c>
      <c r="F83">
        <f>TnSPLINE!F$6</f>
        <v>-2.8612903225806448</v>
      </c>
      <c r="G83">
        <f>TnSPLINE!F$7</f>
        <v>-4.5999999999999996</v>
      </c>
      <c r="H83" s="6">
        <f>TnSPLINE!K$6</f>
        <v>-9.9643156126170574E-3</v>
      </c>
      <c r="I83" s="6">
        <f>TnSPLINE!K$7</f>
        <v>2.2081099598209687E-2</v>
      </c>
      <c r="J83">
        <f t="shared" si="13"/>
        <v>0.38709677419354838</v>
      </c>
      <c r="K83">
        <f t="shared" si="14"/>
        <v>0.61290322580645162</v>
      </c>
      <c r="L83">
        <f t="shared" si="15"/>
        <v>34</v>
      </c>
      <c r="M83" s="6">
        <f t="shared" si="16"/>
        <v>-3.9269510926118625</v>
      </c>
      <c r="N83" s="13">
        <f t="shared" si="11"/>
        <v>-4.7550929482758022</v>
      </c>
      <c r="O83" s="6">
        <f t="shared" si="19"/>
        <v>-32.508220603537964</v>
      </c>
      <c r="P83" s="6">
        <f t="shared" si="20"/>
        <v>-37.845296155461597</v>
      </c>
      <c r="Q83" s="6">
        <f t="shared" si="17"/>
        <v>-4.7550929482758022</v>
      </c>
      <c r="T83" s="6">
        <f t="shared" si="10"/>
        <v>-4.7550929482758022</v>
      </c>
    </row>
    <row r="84" spans="1:20">
      <c r="B84">
        <f t="shared" si="18"/>
        <v>81</v>
      </c>
      <c r="C84">
        <f t="shared" si="12"/>
        <v>31</v>
      </c>
      <c r="D84">
        <v>61</v>
      </c>
      <c r="E84">
        <v>92</v>
      </c>
      <c r="F84">
        <f>TnSPLINE!F$6</f>
        <v>-2.8612903225806448</v>
      </c>
      <c r="G84">
        <f>TnSPLINE!F$7</f>
        <v>-4.5999999999999996</v>
      </c>
      <c r="H84" s="6">
        <f>TnSPLINE!K$6</f>
        <v>-9.9643156126170574E-3</v>
      </c>
      <c r="I84" s="6">
        <f>TnSPLINE!K$7</f>
        <v>2.2081099598209687E-2</v>
      </c>
      <c r="J84">
        <f t="shared" si="13"/>
        <v>0.35483870967741937</v>
      </c>
      <c r="K84">
        <f t="shared" si="14"/>
        <v>0.64516129032258063</v>
      </c>
      <c r="L84">
        <f t="shared" si="15"/>
        <v>35</v>
      </c>
      <c r="M84" s="6">
        <f t="shared" si="16"/>
        <v>-3.9830385015608734</v>
      </c>
      <c r="N84" s="13">
        <f t="shared" si="11"/>
        <v>-4.820025927535772</v>
      </c>
      <c r="O84" s="6">
        <f t="shared" si="19"/>
        <v>-36.491259105098834</v>
      </c>
      <c r="P84" s="6">
        <f t="shared" si="20"/>
        <v>-42.665322082997371</v>
      </c>
      <c r="Q84" s="6">
        <f t="shared" si="17"/>
        <v>-4.820025927535772</v>
      </c>
      <c r="T84" s="6">
        <f t="shared" si="10"/>
        <v>-4.820025927535772</v>
      </c>
    </row>
    <row r="85" spans="1:20">
      <c r="B85">
        <f t="shared" si="18"/>
        <v>82</v>
      </c>
      <c r="C85">
        <f t="shared" si="12"/>
        <v>31</v>
      </c>
      <c r="D85">
        <v>61</v>
      </c>
      <c r="E85">
        <v>92</v>
      </c>
      <c r="F85">
        <f>TnSPLINE!F$6</f>
        <v>-2.8612903225806448</v>
      </c>
      <c r="G85">
        <f>TnSPLINE!F$7</f>
        <v>-4.5999999999999996</v>
      </c>
      <c r="H85" s="6">
        <f>TnSPLINE!K$6</f>
        <v>-9.9643156126170574E-3</v>
      </c>
      <c r="I85" s="6">
        <f>TnSPLINE!K$7</f>
        <v>2.2081099598209687E-2</v>
      </c>
      <c r="J85">
        <f t="shared" si="13"/>
        <v>0.32258064516129031</v>
      </c>
      <c r="K85">
        <f t="shared" si="14"/>
        <v>0.67741935483870963</v>
      </c>
      <c r="L85">
        <f t="shared" si="15"/>
        <v>36</v>
      </c>
      <c r="M85" s="6">
        <f t="shared" si="16"/>
        <v>-4.0391259105098847</v>
      </c>
      <c r="N85" s="13">
        <f t="shared" si="11"/>
        <v>-4.8742487609820184</v>
      </c>
      <c r="O85" s="6">
        <f t="shared" si="19"/>
        <v>-40.530385015608715</v>
      </c>
      <c r="P85" s="6">
        <f t="shared" si="20"/>
        <v>-47.539570843979391</v>
      </c>
      <c r="Q85" s="6">
        <f t="shared" si="17"/>
        <v>-4.8742487609820184</v>
      </c>
      <c r="T85" s="6">
        <f t="shared" si="10"/>
        <v>-4.8742487609820184</v>
      </c>
    </row>
    <row r="86" spans="1:20">
      <c r="B86">
        <f t="shared" si="18"/>
        <v>83</v>
      </c>
      <c r="C86">
        <f t="shared" si="12"/>
        <v>31</v>
      </c>
      <c r="D86">
        <v>61</v>
      </c>
      <c r="E86">
        <v>92</v>
      </c>
      <c r="F86">
        <f>TnSPLINE!F$6</f>
        <v>-2.8612903225806448</v>
      </c>
      <c r="G86">
        <f>TnSPLINE!F$7</f>
        <v>-4.5999999999999996</v>
      </c>
      <c r="H86" s="6">
        <f>TnSPLINE!K$6</f>
        <v>-9.9643156126170574E-3</v>
      </c>
      <c r="I86" s="6">
        <f>TnSPLINE!K$7</f>
        <v>2.2081099598209687E-2</v>
      </c>
      <c r="J86">
        <f t="shared" si="13"/>
        <v>0.29032258064516131</v>
      </c>
      <c r="K86">
        <f t="shared" si="14"/>
        <v>0.70967741935483875</v>
      </c>
      <c r="L86">
        <f t="shared" si="15"/>
        <v>37</v>
      </c>
      <c r="M86" s="6">
        <f t="shared" si="16"/>
        <v>-4.0952133194588969</v>
      </c>
      <c r="N86" s="13">
        <f t="shared" si="11"/>
        <v>-4.9167277255432262</v>
      </c>
      <c r="O86" s="6">
        <f t="shared" si="19"/>
        <v>-44.625598335067615</v>
      </c>
      <c r="P86" s="6">
        <f t="shared" si="20"/>
        <v>-52.456298569522616</v>
      </c>
      <c r="Q86" s="6">
        <f t="shared" si="17"/>
        <v>-4.9167277255432262</v>
      </c>
      <c r="T86" s="6">
        <f t="shared" si="10"/>
        <v>-4.9167277255432262</v>
      </c>
    </row>
    <row r="87" spans="1:20">
      <c r="B87">
        <f t="shared" si="18"/>
        <v>84</v>
      </c>
      <c r="C87">
        <f t="shared" si="12"/>
        <v>31</v>
      </c>
      <c r="D87">
        <v>61</v>
      </c>
      <c r="E87">
        <v>92</v>
      </c>
      <c r="F87">
        <f>TnSPLINE!F$6</f>
        <v>-2.8612903225806448</v>
      </c>
      <c r="G87">
        <f>TnSPLINE!F$7</f>
        <v>-4.5999999999999996</v>
      </c>
      <c r="H87" s="6">
        <f>TnSPLINE!K$6</f>
        <v>-9.9643156126170574E-3</v>
      </c>
      <c r="I87" s="6">
        <f>TnSPLINE!K$7</f>
        <v>2.2081099598209687E-2</v>
      </c>
      <c r="J87">
        <f t="shared" si="13"/>
        <v>0.25806451612903225</v>
      </c>
      <c r="K87">
        <f t="shared" si="14"/>
        <v>0.74193548387096775</v>
      </c>
      <c r="L87">
        <f t="shared" si="15"/>
        <v>38</v>
      </c>
      <c r="M87" s="6">
        <f t="shared" si="16"/>
        <v>-4.1513007284079082</v>
      </c>
      <c r="N87" s="13">
        <f t="shared" si="11"/>
        <v>-4.9464290981480774</v>
      </c>
      <c r="O87" s="6">
        <f t="shared" si="19"/>
        <v>-48.776899063475526</v>
      </c>
      <c r="P87" s="6">
        <f t="shared" si="20"/>
        <v>-57.402727667670696</v>
      </c>
      <c r="Q87" s="6">
        <f t="shared" si="17"/>
        <v>-4.9464290981480774</v>
      </c>
      <c r="T87" s="6">
        <f t="shared" si="10"/>
        <v>-4.9464290981480774</v>
      </c>
    </row>
    <row r="88" spans="1:20">
      <c r="B88">
        <f t="shared" si="18"/>
        <v>85</v>
      </c>
      <c r="C88">
        <f t="shared" si="12"/>
        <v>31</v>
      </c>
      <c r="D88">
        <v>61</v>
      </c>
      <c r="E88">
        <v>92</v>
      </c>
      <c r="F88">
        <f>TnSPLINE!F$6</f>
        <v>-2.8612903225806448</v>
      </c>
      <c r="G88">
        <f>TnSPLINE!F$7</f>
        <v>-4.5999999999999996</v>
      </c>
      <c r="H88" s="6">
        <f>TnSPLINE!K$6</f>
        <v>-9.9643156126170574E-3</v>
      </c>
      <c r="I88" s="6">
        <f>TnSPLINE!K$7</f>
        <v>2.2081099598209687E-2</v>
      </c>
      <c r="J88">
        <f t="shared" si="13"/>
        <v>0.22580645161290322</v>
      </c>
      <c r="K88">
        <f t="shared" si="14"/>
        <v>0.77419354838709675</v>
      </c>
      <c r="L88">
        <f t="shared" si="15"/>
        <v>39</v>
      </c>
      <c r="M88" s="6">
        <f t="shared" si="16"/>
        <v>-4.2073881373569195</v>
      </c>
      <c r="N88" s="13">
        <f t="shared" si="11"/>
        <v>-4.9623191557252539</v>
      </c>
      <c r="O88" s="6">
        <f t="shared" si="19"/>
        <v>-52.984287200832448</v>
      </c>
      <c r="P88" s="6">
        <f t="shared" si="20"/>
        <v>-62.36504682339595</v>
      </c>
      <c r="Q88" s="6">
        <f t="shared" si="17"/>
        <v>-4.9623191557252539</v>
      </c>
      <c r="T88" s="6">
        <f t="shared" si="10"/>
        <v>-4.9623191557252539</v>
      </c>
    </row>
    <row r="89" spans="1:20">
      <c r="B89">
        <f t="shared" si="18"/>
        <v>86</v>
      </c>
      <c r="C89">
        <f t="shared" si="12"/>
        <v>31</v>
      </c>
      <c r="D89">
        <v>61</v>
      </c>
      <c r="E89">
        <v>92</v>
      </c>
      <c r="F89">
        <f>TnSPLINE!F$6</f>
        <v>-2.8612903225806448</v>
      </c>
      <c r="G89">
        <f>TnSPLINE!F$7</f>
        <v>-4.5999999999999996</v>
      </c>
      <c r="H89" s="6">
        <f>TnSPLINE!K$6</f>
        <v>-9.9643156126170574E-3</v>
      </c>
      <c r="I89" s="6">
        <f>TnSPLINE!K$7</f>
        <v>2.2081099598209687E-2</v>
      </c>
      <c r="J89">
        <f t="shared" si="13"/>
        <v>0.19354838709677419</v>
      </c>
      <c r="K89">
        <f t="shared" si="14"/>
        <v>0.80645161290322576</v>
      </c>
      <c r="L89">
        <f t="shared" si="15"/>
        <v>40</v>
      </c>
      <c r="M89" s="6">
        <f t="shared" si="16"/>
        <v>-4.2634755463059308</v>
      </c>
      <c r="N89" s="13">
        <f t="shared" si="11"/>
        <v>-4.9633641752034405</v>
      </c>
      <c r="O89" s="6">
        <f t="shared" si="19"/>
        <v>-57.247762747138381</v>
      </c>
      <c r="P89" s="6">
        <f t="shared" si="20"/>
        <v>-67.328410998599395</v>
      </c>
      <c r="Q89" s="6">
        <f t="shared" si="17"/>
        <v>-4.9633641752034405</v>
      </c>
      <c r="T89" s="6">
        <f t="shared" si="10"/>
        <v>-4.9633641752034405</v>
      </c>
    </row>
    <row r="90" spans="1:20">
      <c r="B90">
        <f t="shared" si="18"/>
        <v>87</v>
      </c>
      <c r="C90">
        <f t="shared" si="12"/>
        <v>31</v>
      </c>
      <c r="D90">
        <v>61</v>
      </c>
      <c r="E90">
        <v>92</v>
      </c>
      <c r="F90">
        <f>TnSPLINE!F$6</f>
        <v>-2.8612903225806448</v>
      </c>
      <c r="G90">
        <f>TnSPLINE!F$7</f>
        <v>-4.5999999999999996</v>
      </c>
      <c r="H90" s="6">
        <f>TnSPLINE!K$6</f>
        <v>-9.9643156126170574E-3</v>
      </c>
      <c r="I90" s="6">
        <f>TnSPLINE!K$7</f>
        <v>2.2081099598209687E-2</v>
      </c>
      <c r="J90">
        <f t="shared" si="13"/>
        <v>0.16129032258064516</v>
      </c>
      <c r="K90">
        <f t="shared" si="14"/>
        <v>0.83870967741935487</v>
      </c>
      <c r="L90">
        <f t="shared" si="15"/>
        <v>41</v>
      </c>
      <c r="M90" s="6">
        <f t="shared" si="16"/>
        <v>-4.3195629552549422</v>
      </c>
      <c r="N90" s="13">
        <f t="shared" si="11"/>
        <v>-4.9485304335113183</v>
      </c>
      <c r="O90" s="6">
        <f t="shared" si="19"/>
        <v>-61.567325702393326</v>
      </c>
      <c r="P90" s="6">
        <f t="shared" si="20"/>
        <v>-72.276941432110718</v>
      </c>
      <c r="Q90" s="6">
        <f t="shared" si="17"/>
        <v>-4.9485304335113183</v>
      </c>
      <c r="T90" s="6">
        <f t="shared" si="10"/>
        <v>-4.9485304335113183</v>
      </c>
    </row>
    <row r="91" spans="1:20">
      <c r="B91">
        <f t="shared" si="18"/>
        <v>88</v>
      </c>
      <c r="C91">
        <f t="shared" si="12"/>
        <v>31</v>
      </c>
      <c r="D91">
        <v>61</v>
      </c>
      <c r="E91">
        <v>92</v>
      </c>
      <c r="F91">
        <f>TnSPLINE!F$6</f>
        <v>-2.8612903225806448</v>
      </c>
      <c r="G91">
        <f>TnSPLINE!F$7</f>
        <v>-4.5999999999999996</v>
      </c>
      <c r="H91" s="6">
        <f>TnSPLINE!K$6</f>
        <v>-9.9643156126170574E-3</v>
      </c>
      <c r="I91" s="6">
        <f>TnSPLINE!K$7</f>
        <v>2.2081099598209687E-2</v>
      </c>
      <c r="J91">
        <f t="shared" si="13"/>
        <v>0.12903225806451613</v>
      </c>
      <c r="K91">
        <f t="shared" si="14"/>
        <v>0.87096774193548387</v>
      </c>
      <c r="L91">
        <f t="shared" si="15"/>
        <v>42</v>
      </c>
      <c r="M91" s="6">
        <f t="shared" si="16"/>
        <v>-4.3756503642039535</v>
      </c>
      <c r="N91" s="13">
        <f t="shared" si="11"/>
        <v>-4.9167842075775718</v>
      </c>
      <c r="O91" s="6">
        <f t="shared" si="19"/>
        <v>-65.942976066597282</v>
      </c>
      <c r="P91" s="6">
        <f t="shared" si="20"/>
        <v>-77.193725639688296</v>
      </c>
      <c r="Q91" s="6">
        <f t="shared" si="17"/>
        <v>-4.9167842075775718</v>
      </c>
      <c r="T91" s="6">
        <f t="shared" si="10"/>
        <v>-4.9167842075775718</v>
      </c>
    </row>
    <row r="92" spans="1:20">
      <c r="B92">
        <f t="shared" si="18"/>
        <v>89</v>
      </c>
      <c r="C92">
        <f t="shared" si="12"/>
        <v>31</v>
      </c>
      <c r="D92">
        <v>61</v>
      </c>
      <c r="E92">
        <v>92</v>
      </c>
      <c r="F92">
        <f>TnSPLINE!F$6</f>
        <v>-2.8612903225806448</v>
      </c>
      <c r="G92">
        <f>TnSPLINE!F$7</f>
        <v>-4.5999999999999996</v>
      </c>
      <c r="H92" s="6">
        <f>TnSPLINE!K$6</f>
        <v>-9.9643156126170574E-3</v>
      </c>
      <c r="I92" s="6">
        <f>TnSPLINE!K$7</f>
        <v>2.2081099598209687E-2</v>
      </c>
      <c r="J92">
        <f t="shared" si="13"/>
        <v>9.6774193548387094E-2</v>
      </c>
      <c r="K92">
        <f t="shared" si="14"/>
        <v>0.90322580645161288</v>
      </c>
      <c r="L92">
        <f t="shared" si="15"/>
        <v>43</v>
      </c>
      <c r="M92" s="6">
        <f t="shared" si="16"/>
        <v>-4.4317377731529648</v>
      </c>
      <c r="N92" s="13">
        <f t="shared" si="11"/>
        <v>-4.8670917743308841</v>
      </c>
      <c r="O92" s="6">
        <f t="shared" si="19"/>
        <v>-70.374713839750243</v>
      </c>
      <c r="P92" s="6">
        <f t="shared" si="20"/>
        <v>-82.060817414019184</v>
      </c>
      <c r="Q92" s="6">
        <f t="shared" si="17"/>
        <v>-4.8670917743308841</v>
      </c>
      <c r="T92" s="6">
        <f t="shared" si="10"/>
        <v>-4.8670917743308841</v>
      </c>
    </row>
    <row r="93" spans="1:20">
      <c r="B93">
        <f t="shared" si="18"/>
        <v>90</v>
      </c>
      <c r="C93">
        <f t="shared" si="12"/>
        <v>31</v>
      </c>
      <c r="D93">
        <v>61</v>
      </c>
      <c r="E93">
        <v>92</v>
      </c>
      <c r="F93">
        <f>TnSPLINE!F$6</f>
        <v>-2.8612903225806448</v>
      </c>
      <c r="G93">
        <f>TnSPLINE!F$7</f>
        <v>-4.5999999999999996</v>
      </c>
      <c r="H93" s="6">
        <f>TnSPLINE!K$6</f>
        <v>-9.9643156126170574E-3</v>
      </c>
      <c r="I93" s="6">
        <f>TnSPLINE!K$7</f>
        <v>2.2081099598209687E-2</v>
      </c>
      <c r="J93">
        <f t="shared" si="13"/>
        <v>6.4516129032258063E-2</v>
      </c>
      <c r="K93">
        <f t="shared" si="14"/>
        <v>0.93548387096774188</v>
      </c>
      <c r="L93">
        <f t="shared" si="15"/>
        <v>44</v>
      </c>
      <c r="M93" s="6">
        <f t="shared" si="16"/>
        <v>-4.487825182101977</v>
      </c>
      <c r="N93" s="13">
        <f t="shared" si="11"/>
        <v>-4.798419410699938</v>
      </c>
      <c r="O93" s="6">
        <f t="shared" si="19"/>
        <v>-74.862539021852214</v>
      </c>
      <c r="P93" s="6">
        <f t="shared" si="20"/>
        <v>-86.859236824719119</v>
      </c>
      <c r="Q93" s="6">
        <f t="shared" si="17"/>
        <v>-4.798419410699938</v>
      </c>
      <c r="T93" s="6">
        <f t="shared" si="10"/>
        <v>-4.798419410699938</v>
      </c>
    </row>
    <row r="94" spans="1:20">
      <c r="B94">
        <f t="shared" si="18"/>
        <v>91</v>
      </c>
      <c r="C94">
        <f t="shared" si="12"/>
        <v>31</v>
      </c>
      <c r="D94">
        <v>61</v>
      </c>
      <c r="E94">
        <v>92</v>
      </c>
      <c r="F94">
        <f>TnSPLINE!F$6</f>
        <v>-2.8612903225806448</v>
      </c>
      <c r="G94">
        <f>TnSPLINE!F$7</f>
        <v>-4.5999999999999996</v>
      </c>
      <c r="H94" s="6">
        <f>TnSPLINE!K$6</f>
        <v>-9.9643156126170574E-3</v>
      </c>
      <c r="I94" s="6">
        <f>TnSPLINE!K$7</f>
        <v>2.2081099598209687E-2</v>
      </c>
      <c r="J94">
        <f t="shared" si="13"/>
        <v>3.2258064516129031E-2</v>
      </c>
      <c r="K94">
        <f t="shared" si="14"/>
        <v>0.967741935483871</v>
      </c>
      <c r="L94">
        <f t="shared" si="15"/>
        <v>45</v>
      </c>
      <c r="M94" s="6">
        <f t="shared" si="16"/>
        <v>-4.5439125910509883</v>
      </c>
      <c r="N94" s="13">
        <f t="shared" si="11"/>
        <v>-4.7097333936134147</v>
      </c>
      <c r="O94" s="6">
        <f t="shared" si="19"/>
        <v>-79.406451612903197</v>
      </c>
      <c r="P94" s="6">
        <f t="shared" si="20"/>
        <v>-91.568970218332538</v>
      </c>
      <c r="Q94" s="6">
        <f t="shared" si="17"/>
        <v>-4.7097333936134147</v>
      </c>
      <c r="T94" s="6">
        <f t="shared" si="10"/>
        <v>-4.7097333936134147</v>
      </c>
    </row>
    <row r="95" spans="1:20">
      <c r="A95">
        <v>92</v>
      </c>
      <c r="B95">
        <f t="shared" si="18"/>
        <v>92</v>
      </c>
      <c r="C95">
        <f t="shared" si="12"/>
        <v>31</v>
      </c>
      <c r="D95">
        <v>61</v>
      </c>
      <c r="E95">
        <v>92</v>
      </c>
      <c r="F95">
        <f>TnSPLINE!F$6</f>
        <v>-2.8612903225806448</v>
      </c>
      <c r="G95">
        <f>TnSPLINE!F$7</f>
        <v>-4.5999999999999996</v>
      </c>
      <c r="H95" s="6">
        <f>TnSPLINE!K$6</f>
        <v>-9.9643156126170574E-3</v>
      </c>
      <c r="I95" s="6">
        <f>TnSPLINE!K$7</f>
        <v>2.2081099598209687E-2</v>
      </c>
      <c r="J95">
        <f t="shared" si="13"/>
        <v>0</v>
      </c>
      <c r="K95">
        <f t="shared" si="14"/>
        <v>1</v>
      </c>
      <c r="L95">
        <f t="shared" si="15"/>
        <v>46</v>
      </c>
      <c r="M95" s="6">
        <f t="shared" si="16"/>
        <v>-4.5999999999999996</v>
      </c>
      <c r="N95" s="13">
        <f t="shared" si="11"/>
        <v>-4.5999999999999996</v>
      </c>
      <c r="O95" s="6">
        <f t="shared" si="19"/>
        <v>-84.006451612903192</v>
      </c>
      <c r="P95" s="6">
        <f t="shared" si="20"/>
        <v>-96.168970218332532</v>
      </c>
      <c r="Q95" s="6">
        <f t="shared" si="17"/>
        <v>-4.5999999999999996</v>
      </c>
      <c r="T95" s="6">
        <f t="shared" si="10"/>
        <v>-4.5999999999999996</v>
      </c>
    </row>
    <row r="96" spans="1:20">
      <c r="B96">
        <f t="shared" si="18"/>
        <v>93</v>
      </c>
      <c r="C96">
        <f t="shared" si="12"/>
        <v>30</v>
      </c>
      <c r="D96">
        <v>92</v>
      </c>
      <c r="E96">
        <v>122</v>
      </c>
      <c r="F96">
        <f>TnSPLINE!F$7</f>
        <v>-4.5999999999999996</v>
      </c>
      <c r="G96">
        <f>TnSPLINE!F$8</f>
        <v>3.4967741935483869</v>
      </c>
      <c r="H96">
        <f>TnSPLINE!K$7</f>
        <v>2.2081099598209687E-2</v>
      </c>
      <c r="I96">
        <f>TnSPLINE!K$8</f>
        <v>-1.4304035819556932E-2</v>
      </c>
      <c r="J96">
        <f t="shared" si="13"/>
        <v>0.96666666666666667</v>
      </c>
      <c r="K96">
        <f t="shared" si="14"/>
        <v>3.3333333333333333E-2</v>
      </c>
      <c r="L96">
        <f t="shared" si="15"/>
        <v>47</v>
      </c>
      <c r="M96" s="6">
        <f t="shared" si="16"/>
        <v>-4.3301075268817204</v>
      </c>
      <c r="N96" s="13">
        <f t="shared" si="11"/>
        <v>-4.4685599336081374</v>
      </c>
      <c r="O96" s="6">
        <f t="shared" si="19"/>
        <v>-88.33655913978491</v>
      </c>
      <c r="P96" s="6">
        <f t="shared" si="20"/>
        <v>-100.63753015194067</v>
      </c>
      <c r="Q96" s="6">
        <f t="shared" si="17"/>
        <v>-4.4685599336081374</v>
      </c>
      <c r="T96" s="6">
        <f t="shared" si="10"/>
        <v>-4.4685599336081374</v>
      </c>
    </row>
    <row r="97" spans="2:20">
      <c r="B97">
        <f t="shared" si="18"/>
        <v>94</v>
      </c>
      <c r="C97">
        <f t="shared" si="12"/>
        <v>30</v>
      </c>
      <c r="D97">
        <v>92</v>
      </c>
      <c r="E97">
        <v>122</v>
      </c>
      <c r="F97">
        <f>TnSPLINE!F$7</f>
        <v>-4.5999999999999996</v>
      </c>
      <c r="G97">
        <f>TnSPLINE!F$8</f>
        <v>3.4967741935483869</v>
      </c>
      <c r="H97">
        <f>TnSPLINE!K$7</f>
        <v>2.2081099598209687E-2</v>
      </c>
      <c r="I97">
        <f>TnSPLINE!K$8</f>
        <v>-1.4304035819556932E-2</v>
      </c>
      <c r="J97">
        <f t="shared" si="13"/>
        <v>0.93333333333333335</v>
      </c>
      <c r="K97">
        <f t="shared" si="14"/>
        <v>6.6666666666666666E-2</v>
      </c>
      <c r="L97">
        <f t="shared" si="15"/>
        <v>48</v>
      </c>
      <c r="M97" s="6">
        <f t="shared" si="16"/>
        <v>-4.0602150537634403</v>
      </c>
      <c r="N97" s="13">
        <f t="shared" si="11"/>
        <v>-4.3162516054653235</v>
      </c>
      <c r="O97" s="6">
        <f t="shared" si="19"/>
        <v>-92.396774193548353</v>
      </c>
      <c r="P97" s="6">
        <f t="shared" si="20"/>
        <v>-104.95378175740599</v>
      </c>
      <c r="Q97" s="6">
        <f t="shared" si="17"/>
        <v>-4.3162516054653235</v>
      </c>
      <c r="T97" s="6">
        <f t="shared" si="10"/>
        <v>-4.3162516054653235</v>
      </c>
    </row>
    <row r="98" spans="2:20">
      <c r="B98">
        <f t="shared" si="18"/>
        <v>95</v>
      </c>
      <c r="C98">
        <f t="shared" si="12"/>
        <v>30</v>
      </c>
      <c r="D98">
        <v>92</v>
      </c>
      <c r="E98">
        <v>122</v>
      </c>
      <c r="F98">
        <f>TnSPLINE!F$7</f>
        <v>-4.5999999999999996</v>
      </c>
      <c r="G98">
        <f>TnSPLINE!F$8</f>
        <v>3.4967741935483869</v>
      </c>
      <c r="H98">
        <f>TnSPLINE!K$7</f>
        <v>2.2081099598209687E-2</v>
      </c>
      <c r="I98">
        <f>TnSPLINE!K$8</f>
        <v>-1.4304035819556932E-2</v>
      </c>
      <c r="J98">
        <f t="shared" si="13"/>
        <v>0.9</v>
      </c>
      <c r="K98">
        <f t="shared" si="14"/>
        <v>0.1</v>
      </c>
      <c r="L98">
        <f t="shared" si="15"/>
        <v>49</v>
      </c>
      <c r="M98" s="6">
        <f t="shared" si="16"/>
        <v>-3.790322580645161</v>
      </c>
      <c r="N98" s="13">
        <f t="shared" si="11"/>
        <v>-4.1442878534188186</v>
      </c>
      <c r="O98" s="6">
        <f t="shared" si="19"/>
        <v>-96.18709677419352</v>
      </c>
      <c r="P98" s="6">
        <f t="shared" si="20"/>
        <v>-109.09806961082481</v>
      </c>
      <c r="Q98" s="6">
        <f t="shared" si="17"/>
        <v>-4.1442878534188186</v>
      </c>
      <c r="T98" s="6">
        <f t="shared" si="10"/>
        <v>-4.1442878534188186</v>
      </c>
    </row>
    <row r="99" spans="2:20">
      <c r="B99">
        <f t="shared" si="18"/>
        <v>96</v>
      </c>
      <c r="C99">
        <f t="shared" si="12"/>
        <v>30</v>
      </c>
      <c r="D99">
        <v>92</v>
      </c>
      <c r="E99">
        <v>122</v>
      </c>
      <c r="F99">
        <f>TnSPLINE!F$7</f>
        <v>-4.5999999999999996</v>
      </c>
      <c r="G99">
        <f>TnSPLINE!F$8</f>
        <v>3.4967741935483869</v>
      </c>
      <c r="H99">
        <f>TnSPLINE!K$7</f>
        <v>2.2081099598209687E-2</v>
      </c>
      <c r="I99">
        <f>TnSPLINE!K$8</f>
        <v>-1.4304035819556932E-2</v>
      </c>
      <c r="J99">
        <f t="shared" si="13"/>
        <v>0.8666666666666667</v>
      </c>
      <c r="K99">
        <f t="shared" si="14"/>
        <v>0.13333333333333333</v>
      </c>
      <c r="L99">
        <f t="shared" si="15"/>
        <v>50</v>
      </c>
      <c r="M99" s="6">
        <f t="shared" si="16"/>
        <v>-3.5204301075268813</v>
      </c>
      <c r="N99" s="13">
        <f t="shared" si="11"/>
        <v>-3.9538815153158806</v>
      </c>
      <c r="O99" s="6">
        <f t="shared" si="19"/>
        <v>-99.707526881720398</v>
      </c>
      <c r="P99" s="6">
        <f t="shared" si="20"/>
        <v>-113.05195112614069</v>
      </c>
      <c r="Q99" s="6">
        <f t="shared" si="17"/>
        <v>-3.9538815153158806</v>
      </c>
      <c r="T99" s="6">
        <f t="shared" si="10"/>
        <v>-3.9538815153158806</v>
      </c>
    </row>
    <row r="100" spans="2:20">
      <c r="B100">
        <f t="shared" si="18"/>
        <v>97</v>
      </c>
      <c r="C100">
        <f t="shared" si="12"/>
        <v>30</v>
      </c>
      <c r="D100">
        <v>92</v>
      </c>
      <c r="E100">
        <v>122</v>
      </c>
      <c r="F100">
        <f>TnSPLINE!F$7</f>
        <v>-4.5999999999999996</v>
      </c>
      <c r="G100">
        <f>TnSPLINE!F$8</f>
        <v>3.4967741935483869</v>
      </c>
      <c r="H100">
        <f>TnSPLINE!K$7</f>
        <v>2.2081099598209687E-2</v>
      </c>
      <c r="I100">
        <f>TnSPLINE!K$8</f>
        <v>-1.4304035819556932E-2</v>
      </c>
      <c r="J100">
        <f t="shared" si="13"/>
        <v>0.83333333333333337</v>
      </c>
      <c r="K100">
        <f t="shared" si="14"/>
        <v>0.16666666666666666</v>
      </c>
      <c r="L100">
        <f t="shared" si="15"/>
        <v>51</v>
      </c>
      <c r="M100" s="6">
        <f t="shared" si="16"/>
        <v>-3.2505376344086017</v>
      </c>
      <c r="N100" s="13">
        <f t="shared" si="11"/>
        <v>-3.7462454290037681</v>
      </c>
      <c r="O100" s="6">
        <f t="shared" si="19"/>
        <v>-102.958064516129</v>
      </c>
      <c r="P100" s="6">
        <f t="shared" si="20"/>
        <v>-116.79819655514446</v>
      </c>
      <c r="Q100" s="6">
        <f t="shared" si="17"/>
        <v>-3.7462454290037681</v>
      </c>
      <c r="T100" s="6">
        <f t="shared" si="10"/>
        <v>-3.7462454290037681</v>
      </c>
    </row>
    <row r="101" spans="2:20">
      <c r="B101">
        <f t="shared" si="18"/>
        <v>98</v>
      </c>
      <c r="C101">
        <f t="shared" si="12"/>
        <v>30</v>
      </c>
      <c r="D101">
        <v>92</v>
      </c>
      <c r="E101">
        <v>122</v>
      </c>
      <c r="F101">
        <f>TnSPLINE!F$7</f>
        <v>-4.5999999999999996</v>
      </c>
      <c r="G101">
        <f>TnSPLINE!F$8</f>
        <v>3.4967741935483869</v>
      </c>
      <c r="H101">
        <f>TnSPLINE!K$7</f>
        <v>2.2081099598209687E-2</v>
      </c>
      <c r="I101">
        <f>TnSPLINE!K$8</f>
        <v>-1.4304035819556932E-2</v>
      </c>
      <c r="J101">
        <f t="shared" si="13"/>
        <v>0.8</v>
      </c>
      <c r="K101">
        <f t="shared" si="14"/>
        <v>0.2</v>
      </c>
      <c r="L101">
        <f t="shared" si="15"/>
        <v>52</v>
      </c>
      <c r="M101" s="6">
        <f t="shared" si="16"/>
        <v>-2.9806451612903224</v>
      </c>
      <c r="N101" s="13">
        <f t="shared" si="11"/>
        <v>-3.5225924323297408</v>
      </c>
      <c r="O101" s="6">
        <f t="shared" si="19"/>
        <v>-105.93870967741933</v>
      </c>
      <c r="P101" s="6">
        <f t="shared" si="20"/>
        <v>-120.3207889874742</v>
      </c>
      <c r="Q101" s="6">
        <f t="shared" si="17"/>
        <v>-3.5225924323297408</v>
      </c>
      <c r="T101" s="6">
        <f t="shared" si="10"/>
        <v>-3.5225924323297408</v>
      </c>
    </row>
    <row r="102" spans="2:20">
      <c r="B102">
        <f t="shared" si="18"/>
        <v>99</v>
      </c>
      <c r="C102">
        <f t="shared" si="12"/>
        <v>30</v>
      </c>
      <c r="D102">
        <v>92</v>
      </c>
      <c r="E102">
        <v>122</v>
      </c>
      <c r="F102">
        <f>TnSPLINE!F$7</f>
        <v>-4.5999999999999996</v>
      </c>
      <c r="G102">
        <f>TnSPLINE!F$8</f>
        <v>3.4967741935483869</v>
      </c>
      <c r="H102">
        <f>TnSPLINE!K$7</f>
        <v>2.2081099598209687E-2</v>
      </c>
      <c r="I102">
        <f>TnSPLINE!K$8</f>
        <v>-1.4304035819556932E-2</v>
      </c>
      <c r="J102">
        <f t="shared" si="13"/>
        <v>0.76666666666666672</v>
      </c>
      <c r="K102">
        <f t="shared" si="14"/>
        <v>0.23333333333333334</v>
      </c>
      <c r="L102">
        <f t="shared" si="15"/>
        <v>53</v>
      </c>
      <c r="M102" s="6">
        <f t="shared" si="16"/>
        <v>-2.7107526881720432</v>
      </c>
      <c r="N102" s="13">
        <f t="shared" si="11"/>
        <v>-3.2841353631410577</v>
      </c>
      <c r="O102" s="6">
        <f t="shared" si="19"/>
        <v>-108.64946236559138</v>
      </c>
      <c r="P102" s="6">
        <f t="shared" si="20"/>
        <v>-123.60492435061526</v>
      </c>
      <c r="Q102" s="6">
        <f t="shared" si="17"/>
        <v>-3.2841353631410577</v>
      </c>
      <c r="T102" s="6">
        <f t="shared" si="10"/>
        <v>-3.2841353631410577</v>
      </c>
    </row>
    <row r="103" spans="2:20">
      <c r="B103">
        <f t="shared" si="18"/>
        <v>100</v>
      </c>
      <c r="C103">
        <f t="shared" si="12"/>
        <v>30</v>
      </c>
      <c r="D103">
        <v>92</v>
      </c>
      <c r="E103">
        <v>122</v>
      </c>
      <c r="F103">
        <f>TnSPLINE!F$7</f>
        <v>-4.5999999999999996</v>
      </c>
      <c r="G103">
        <f>TnSPLINE!F$8</f>
        <v>3.4967741935483869</v>
      </c>
      <c r="H103">
        <f>TnSPLINE!K$7</f>
        <v>2.2081099598209687E-2</v>
      </c>
      <c r="I103">
        <f>TnSPLINE!K$8</f>
        <v>-1.4304035819556932E-2</v>
      </c>
      <c r="J103">
        <f t="shared" si="13"/>
        <v>0.73333333333333328</v>
      </c>
      <c r="K103">
        <f t="shared" si="14"/>
        <v>0.26666666666666666</v>
      </c>
      <c r="L103">
        <f t="shared" si="15"/>
        <v>54</v>
      </c>
      <c r="M103" s="6">
        <f t="shared" si="16"/>
        <v>-2.440860215053763</v>
      </c>
      <c r="N103" s="13">
        <f t="shared" si="11"/>
        <v>-3.0320870592849758</v>
      </c>
      <c r="O103" s="6">
        <f t="shared" si="19"/>
        <v>-111.09032258064514</v>
      </c>
      <c r="P103" s="6">
        <f t="shared" si="20"/>
        <v>-126.63701140990024</v>
      </c>
      <c r="Q103" s="6">
        <f t="shared" si="17"/>
        <v>-3.0320870592849758</v>
      </c>
      <c r="T103" s="6">
        <f t="shared" si="10"/>
        <v>-3.0320870592849758</v>
      </c>
    </row>
    <row r="104" spans="2:20">
      <c r="B104">
        <f t="shared" si="18"/>
        <v>101</v>
      </c>
      <c r="C104">
        <f t="shared" si="12"/>
        <v>30</v>
      </c>
      <c r="D104">
        <v>92</v>
      </c>
      <c r="E104">
        <v>122</v>
      </c>
      <c r="F104">
        <f>TnSPLINE!F$7</f>
        <v>-4.5999999999999996</v>
      </c>
      <c r="G104">
        <f>TnSPLINE!F$8</f>
        <v>3.4967741935483869</v>
      </c>
      <c r="H104">
        <f>TnSPLINE!K$7</f>
        <v>2.2081099598209687E-2</v>
      </c>
      <c r="I104">
        <f>TnSPLINE!K$8</f>
        <v>-1.4304035819556932E-2</v>
      </c>
      <c r="J104">
        <f t="shared" si="13"/>
        <v>0.7</v>
      </c>
      <c r="K104">
        <f t="shared" si="14"/>
        <v>0.3</v>
      </c>
      <c r="L104">
        <f t="shared" si="15"/>
        <v>55</v>
      </c>
      <c r="M104" s="6">
        <f t="shared" si="16"/>
        <v>-2.1709677419354838</v>
      </c>
      <c r="N104" s="13">
        <f t="shared" si="11"/>
        <v>-2.7676603586087563</v>
      </c>
      <c r="O104" s="6">
        <f t="shared" si="19"/>
        <v>-113.26129032258062</v>
      </c>
      <c r="P104" s="6">
        <f t="shared" si="20"/>
        <v>-129.40467176850899</v>
      </c>
      <c r="Q104" s="6">
        <f t="shared" si="17"/>
        <v>-2.7676603586087563</v>
      </c>
      <c r="T104" s="6">
        <f t="shared" si="10"/>
        <v>-2.7676603586087563</v>
      </c>
    </row>
    <row r="105" spans="2:20">
      <c r="B105">
        <f t="shared" si="18"/>
        <v>102</v>
      </c>
      <c r="C105">
        <f t="shared" si="12"/>
        <v>30</v>
      </c>
      <c r="D105">
        <v>92</v>
      </c>
      <c r="E105">
        <v>122</v>
      </c>
      <c r="F105">
        <f>TnSPLINE!F$7</f>
        <v>-4.5999999999999996</v>
      </c>
      <c r="G105">
        <f>TnSPLINE!F$8</f>
        <v>3.4967741935483869</v>
      </c>
      <c r="H105">
        <f>TnSPLINE!K$7</f>
        <v>2.2081099598209687E-2</v>
      </c>
      <c r="I105">
        <f>TnSPLINE!K$8</f>
        <v>-1.4304035819556932E-2</v>
      </c>
      <c r="J105">
        <f t="shared" si="13"/>
        <v>0.66666666666666663</v>
      </c>
      <c r="K105">
        <f t="shared" si="14"/>
        <v>0.33333333333333331</v>
      </c>
      <c r="L105">
        <f t="shared" si="15"/>
        <v>56</v>
      </c>
      <c r="M105" s="6">
        <f t="shared" si="16"/>
        <v>-1.9010752688172041</v>
      </c>
      <c r="N105" s="13">
        <f t="shared" si="11"/>
        <v>-2.4920680989596562</v>
      </c>
      <c r="O105" s="6">
        <f t="shared" si="19"/>
        <v>-115.16236559139783</v>
      </c>
      <c r="P105" s="6">
        <f t="shared" si="20"/>
        <v>-131.89673986746865</v>
      </c>
      <c r="Q105" s="6">
        <f t="shared" si="17"/>
        <v>-2.4920680989596562</v>
      </c>
      <c r="T105" s="6">
        <f t="shared" si="10"/>
        <v>-2.4920680989596562</v>
      </c>
    </row>
    <row r="106" spans="2:20">
      <c r="B106">
        <f t="shared" si="18"/>
        <v>103</v>
      </c>
      <c r="C106">
        <f t="shared" si="12"/>
        <v>30</v>
      </c>
      <c r="D106">
        <v>92</v>
      </c>
      <c r="E106">
        <v>122</v>
      </c>
      <c r="F106">
        <f>TnSPLINE!F$7</f>
        <v>-4.5999999999999996</v>
      </c>
      <c r="G106">
        <f>TnSPLINE!F$8</f>
        <v>3.4967741935483869</v>
      </c>
      <c r="H106">
        <f>TnSPLINE!K$7</f>
        <v>2.2081099598209687E-2</v>
      </c>
      <c r="I106">
        <f>TnSPLINE!K$8</f>
        <v>-1.4304035819556932E-2</v>
      </c>
      <c r="J106">
        <f t="shared" si="13"/>
        <v>0.6333333333333333</v>
      </c>
      <c r="K106">
        <f t="shared" si="14"/>
        <v>0.36666666666666664</v>
      </c>
      <c r="L106">
        <f t="shared" si="15"/>
        <v>57</v>
      </c>
      <c r="M106" s="6">
        <f t="shared" si="16"/>
        <v>-1.6311827956989247</v>
      </c>
      <c r="N106" s="13">
        <f t="shared" si="11"/>
        <v>-2.2065231181849363</v>
      </c>
      <c r="O106" s="6">
        <f t="shared" si="19"/>
        <v>-116.79354838709675</v>
      </c>
      <c r="P106" s="6">
        <f t="shared" si="20"/>
        <v>-134.1032629856536</v>
      </c>
      <c r="Q106" s="6">
        <f t="shared" si="17"/>
        <v>-2.2065231181849363</v>
      </c>
      <c r="T106" s="6">
        <f t="shared" si="10"/>
        <v>-2.2065231181849363</v>
      </c>
    </row>
    <row r="107" spans="2:20">
      <c r="B107">
        <f t="shared" si="18"/>
        <v>104</v>
      </c>
      <c r="C107">
        <f t="shared" si="12"/>
        <v>30</v>
      </c>
      <c r="D107">
        <v>92</v>
      </c>
      <c r="E107">
        <v>122</v>
      </c>
      <c r="F107">
        <f>TnSPLINE!F$7</f>
        <v>-4.5999999999999996</v>
      </c>
      <c r="G107">
        <f>TnSPLINE!F$8</f>
        <v>3.4967741935483869</v>
      </c>
      <c r="H107">
        <f>TnSPLINE!K$7</f>
        <v>2.2081099598209687E-2</v>
      </c>
      <c r="I107">
        <f>TnSPLINE!K$8</f>
        <v>-1.4304035819556932E-2</v>
      </c>
      <c r="J107">
        <f t="shared" si="13"/>
        <v>0.6</v>
      </c>
      <c r="K107">
        <f t="shared" si="14"/>
        <v>0.4</v>
      </c>
      <c r="L107">
        <f t="shared" si="15"/>
        <v>58</v>
      </c>
      <c r="M107" s="6">
        <f t="shared" si="16"/>
        <v>-1.361290322580645</v>
      </c>
      <c r="N107" s="13">
        <f t="shared" si="11"/>
        <v>-1.9122382541318537</v>
      </c>
      <c r="O107" s="6">
        <f t="shared" si="19"/>
        <v>-118.15483870967739</v>
      </c>
      <c r="P107" s="6">
        <f t="shared" si="20"/>
        <v>-136.01550123978546</v>
      </c>
      <c r="Q107" s="6">
        <f t="shared" si="17"/>
        <v>-1.9122382541318537</v>
      </c>
      <c r="T107" s="6">
        <f t="shared" si="10"/>
        <v>-1.9122382541318537</v>
      </c>
    </row>
    <row r="108" spans="2:20">
      <c r="B108">
        <f t="shared" si="18"/>
        <v>105</v>
      </c>
      <c r="C108">
        <f t="shared" si="12"/>
        <v>30</v>
      </c>
      <c r="D108">
        <v>92</v>
      </c>
      <c r="E108">
        <v>122</v>
      </c>
      <c r="F108">
        <f>TnSPLINE!F$7</f>
        <v>-4.5999999999999996</v>
      </c>
      <c r="G108">
        <f>TnSPLINE!F$8</f>
        <v>3.4967741935483869</v>
      </c>
      <c r="H108">
        <f>TnSPLINE!K$7</f>
        <v>2.2081099598209687E-2</v>
      </c>
      <c r="I108">
        <f>TnSPLINE!K$8</f>
        <v>-1.4304035819556932E-2</v>
      </c>
      <c r="J108">
        <f t="shared" si="13"/>
        <v>0.56666666666666665</v>
      </c>
      <c r="K108">
        <f t="shared" si="14"/>
        <v>0.43333333333333335</v>
      </c>
      <c r="L108">
        <f t="shared" si="15"/>
        <v>59</v>
      </c>
      <c r="M108" s="6">
        <f t="shared" si="16"/>
        <v>-1.0913978494623655</v>
      </c>
      <c r="N108" s="13">
        <f t="shared" si="11"/>
        <v>-1.6104263446476681</v>
      </c>
      <c r="O108" s="6">
        <f t="shared" si="19"/>
        <v>-119.24623655913976</v>
      </c>
      <c r="P108" s="6">
        <f t="shared" si="20"/>
        <v>-137.62592758443313</v>
      </c>
      <c r="Q108" s="6">
        <f t="shared" si="17"/>
        <v>-1.6104263446476681</v>
      </c>
      <c r="T108" s="6">
        <f t="shared" si="10"/>
        <v>-1.6104263446476681</v>
      </c>
    </row>
    <row r="109" spans="2:20">
      <c r="B109">
        <f t="shared" si="18"/>
        <v>106</v>
      </c>
      <c r="C109">
        <f t="shared" si="12"/>
        <v>30</v>
      </c>
      <c r="D109">
        <v>92</v>
      </c>
      <c r="E109">
        <v>122</v>
      </c>
      <c r="F109">
        <f>TnSPLINE!F$7</f>
        <v>-4.5999999999999996</v>
      </c>
      <c r="G109">
        <f>TnSPLINE!F$8</f>
        <v>3.4967741935483869</v>
      </c>
      <c r="H109">
        <f>TnSPLINE!K$7</f>
        <v>2.2081099598209687E-2</v>
      </c>
      <c r="I109">
        <f>TnSPLINE!K$8</f>
        <v>-1.4304035819556932E-2</v>
      </c>
      <c r="J109">
        <f t="shared" si="13"/>
        <v>0.53333333333333333</v>
      </c>
      <c r="K109">
        <f t="shared" si="14"/>
        <v>0.46666666666666667</v>
      </c>
      <c r="L109">
        <f t="shared" si="15"/>
        <v>60</v>
      </c>
      <c r="M109" s="6">
        <f t="shared" si="16"/>
        <v>-0.82150537634408582</v>
      </c>
      <c r="N109" s="13">
        <f t="shared" si="11"/>
        <v>-1.3023002275796387</v>
      </c>
      <c r="O109" s="6">
        <f t="shared" si="19"/>
        <v>-120.06774193548385</v>
      </c>
      <c r="P109" s="6">
        <f t="shared" si="20"/>
        <v>-138.92822781201278</v>
      </c>
      <c r="Q109" s="6">
        <f t="shared" si="17"/>
        <v>-1.3023002275796387</v>
      </c>
      <c r="T109" s="6">
        <f t="shared" si="10"/>
        <v>-1.3023002275796387</v>
      </c>
    </row>
    <row r="110" spans="2:20">
      <c r="B110">
        <f t="shared" si="18"/>
        <v>107</v>
      </c>
      <c r="C110">
        <f t="shared" si="12"/>
        <v>30</v>
      </c>
      <c r="D110">
        <v>92</v>
      </c>
      <c r="E110">
        <v>122</v>
      </c>
      <c r="F110">
        <f>TnSPLINE!F$7</f>
        <v>-4.5999999999999996</v>
      </c>
      <c r="G110">
        <f>TnSPLINE!F$8</f>
        <v>3.4967741935483869</v>
      </c>
      <c r="H110">
        <f>TnSPLINE!K$7</f>
        <v>2.2081099598209687E-2</v>
      </c>
      <c r="I110">
        <f>TnSPLINE!K$8</f>
        <v>-1.4304035819556932E-2</v>
      </c>
      <c r="J110">
        <f t="shared" si="13"/>
        <v>0.5</v>
      </c>
      <c r="K110">
        <f t="shared" si="14"/>
        <v>0.5</v>
      </c>
      <c r="L110">
        <f t="shared" si="15"/>
        <v>61</v>
      </c>
      <c r="M110" s="6">
        <f t="shared" si="16"/>
        <v>-0.55161290322580636</v>
      </c>
      <c r="N110" s="13">
        <f t="shared" si="11"/>
        <v>-0.98907274077502372</v>
      </c>
      <c r="O110" s="6">
        <f t="shared" si="19"/>
        <v>-120.61935483870965</v>
      </c>
      <c r="P110" s="6">
        <f t="shared" si="20"/>
        <v>-139.91730055278779</v>
      </c>
      <c r="Q110" s="6">
        <f t="shared" si="17"/>
        <v>-0.98907274077502372</v>
      </c>
      <c r="T110" s="6">
        <f t="shared" si="10"/>
        <v>-0.98907274077502372</v>
      </c>
    </row>
    <row r="111" spans="2:20">
      <c r="B111">
        <f t="shared" si="18"/>
        <v>108</v>
      </c>
      <c r="C111">
        <f t="shared" si="12"/>
        <v>30</v>
      </c>
      <c r="D111">
        <v>92</v>
      </c>
      <c r="E111">
        <v>122</v>
      </c>
      <c r="F111">
        <f>TnSPLINE!F$7</f>
        <v>-4.5999999999999996</v>
      </c>
      <c r="G111">
        <f>TnSPLINE!F$8</f>
        <v>3.4967741935483869</v>
      </c>
      <c r="H111">
        <f>TnSPLINE!K$7</f>
        <v>2.2081099598209687E-2</v>
      </c>
      <c r="I111">
        <f>TnSPLINE!K$8</f>
        <v>-1.4304035819556932E-2</v>
      </c>
      <c r="J111">
        <f t="shared" si="13"/>
        <v>0.46666666666666667</v>
      </c>
      <c r="K111">
        <f t="shared" si="14"/>
        <v>0.53333333333333333</v>
      </c>
      <c r="L111">
        <f t="shared" si="15"/>
        <v>62</v>
      </c>
      <c r="M111" s="6">
        <f t="shared" si="16"/>
        <v>-0.2817204301075269</v>
      </c>
      <c r="N111" s="13">
        <f t="shared" si="11"/>
        <v>-0.6719567220810827</v>
      </c>
      <c r="O111" s="6">
        <f t="shared" si="19"/>
        <v>-120.90107526881718</v>
      </c>
      <c r="P111" s="6">
        <f t="shared" si="20"/>
        <v>-140.58925727486888</v>
      </c>
      <c r="Q111" s="6">
        <f t="shared" si="17"/>
        <v>-0.6719567220810827</v>
      </c>
      <c r="T111" s="6">
        <f t="shared" si="10"/>
        <v>-0.6719567220810827</v>
      </c>
    </row>
    <row r="112" spans="2:20">
      <c r="B112">
        <f t="shared" si="18"/>
        <v>109</v>
      </c>
      <c r="C112">
        <f t="shared" si="12"/>
        <v>30</v>
      </c>
      <c r="D112">
        <v>92</v>
      </c>
      <c r="E112">
        <v>122</v>
      </c>
      <c r="F112">
        <f>TnSPLINE!F$7</f>
        <v>-4.5999999999999996</v>
      </c>
      <c r="G112">
        <f>TnSPLINE!F$8</f>
        <v>3.4967741935483869</v>
      </c>
      <c r="H112">
        <f>TnSPLINE!K$7</f>
        <v>2.2081099598209687E-2</v>
      </c>
      <c r="I112">
        <f>TnSPLINE!K$8</f>
        <v>-1.4304035819556932E-2</v>
      </c>
      <c r="J112">
        <f t="shared" si="13"/>
        <v>0.43333333333333335</v>
      </c>
      <c r="K112">
        <f t="shared" si="14"/>
        <v>0.56666666666666665</v>
      </c>
      <c r="L112">
        <f t="shared" si="15"/>
        <v>63</v>
      </c>
      <c r="M112" s="6">
        <f t="shared" si="16"/>
        <v>-1.1827956989247213E-2</v>
      </c>
      <c r="N112" s="13">
        <f t="shared" si="11"/>
        <v>-0.35216500934507389</v>
      </c>
      <c r="O112" s="6">
        <f t="shared" si="19"/>
        <v>-120.91290322580643</v>
      </c>
      <c r="P112" s="6">
        <f t="shared" si="20"/>
        <v>-140.94142228421396</v>
      </c>
      <c r="Q112" s="6">
        <f t="shared" si="17"/>
        <v>-0.35216500934507389</v>
      </c>
      <c r="T112" s="6">
        <f t="shared" si="10"/>
        <v>-0.35216500934507389</v>
      </c>
    </row>
    <row r="113" spans="1:20">
      <c r="B113">
        <f t="shared" si="18"/>
        <v>110</v>
      </c>
      <c r="C113">
        <f t="shared" si="12"/>
        <v>30</v>
      </c>
      <c r="D113">
        <v>92</v>
      </c>
      <c r="E113">
        <v>122</v>
      </c>
      <c r="F113">
        <f>TnSPLINE!F$7</f>
        <v>-4.5999999999999996</v>
      </c>
      <c r="G113">
        <f>TnSPLINE!F$8</f>
        <v>3.4967741935483869</v>
      </c>
      <c r="H113">
        <f>TnSPLINE!K$7</f>
        <v>2.2081099598209687E-2</v>
      </c>
      <c r="I113">
        <f>TnSPLINE!K$8</f>
        <v>-1.4304035819556932E-2</v>
      </c>
      <c r="J113">
        <f t="shared" si="13"/>
        <v>0.4</v>
      </c>
      <c r="K113">
        <f t="shared" si="14"/>
        <v>0.6</v>
      </c>
      <c r="L113">
        <f t="shared" si="15"/>
        <v>64</v>
      </c>
      <c r="M113" s="6">
        <f t="shared" si="16"/>
        <v>0.25806451612903203</v>
      </c>
      <c r="N113" s="13">
        <f t="shared" si="11"/>
        <v>-3.091044041425689E-2</v>
      </c>
      <c r="O113" s="6">
        <f t="shared" si="19"/>
        <v>-120.65483870967739</v>
      </c>
      <c r="P113" s="6">
        <f t="shared" si="20"/>
        <v>-140.97233272462822</v>
      </c>
      <c r="Q113" s="6">
        <f t="shared" si="17"/>
        <v>-3.091044041425689E-2</v>
      </c>
      <c r="T113" s="6">
        <f t="shared" si="10"/>
        <v>-3.091044041425689E-2</v>
      </c>
    </row>
    <row r="114" spans="1:20">
      <c r="B114">
        <f t="shared" si="18"/>
        <v>111</v>
      </c>
      <c r="C114">
        <f t="shared" si="12"/>
        <v>30</v>
      </c>
      <c r="D114">
        <v>92</v>
      </c>
      <c r="E114">
        <v>122</v>
      </c>
      <c r="F114">
        <f>TnSPLINE!F$7</f>
        <v>-4.5999999999999996</v>
      </c>
      <c r="G114">
        <f>TnSPLINE!F$8</f>
        <v>3.4967741935483869</v>
      </c>
      <c r="H114">
        <f>TnSPLINE!K$7</f>
        <v>2.2081099598209687E-2</v>
      </c>
      <c r="I114">
        <f>TnSPLINE!K$8</f>
        <v>-1.4304035819556932E-2</v>
      </c>
      <c r="J114">
        <f t="shared" si="13"/>
        <v>0.36666666666666664</v>
      </c>
      <c r="K114">
        <f t="shared" si="14"/>
        <v>0.6333333333333333</v>
      </c>
      <c r="L114">
        <f t="shared" si="15"/>
        <v>65</v>
      </c>
      <c r="M114" s="6">
        <f t="shared" si="16"/>
        <v>0.52795698924731194</v>
      </c>
      <c r="N114" s="13">
        <f t="shared" si="11"/>
        <v>0.29059414686411056</v>
      </c>
      <c r="O114" s="6">
        <f t="shared" si="19"/>
        <v>-120.12688172043008</v>
      </c>
      <c r="P114" s="6">
        <f t="shared" si="20"/>
        <v>-140.68173857776409</v>
      </c>
      <c r="Q114" s="6">
        <f t="shared" si="17"/>
        <v>0.29059414686411056</v>
      </c>
      <c r="T114" s="6">
        <f t="shared" ref="T114:T177" si="21">N114</f>
        <v>0.29059414686411056</v>
      </c>
    </row>
    <row r="115" spans="1:20">
      <c r="B115">
        <f t="shared" si="18"/>
        <v>112</v>
      </c>
      <c r="C115">
        <f t="shared" si="12"/>
        <v>30</v>
      </c>
      <c r="D115">
        <v>92</v>
      </c>
      <c r="E115">
        <v>122</v>
      </c>
      <c r="F115">
        <f>TnSPLINE!F$7</f>
        <v>-4.5999999999999996</v>
      </c>
      <c r="G115">
        <f>TnSPLINE!F$8</f>
        <v>3.4967741935483869</v>
      </c>
      <c r="H115">
        <f>TnSPLINE!K$7</f>
        <v>2.2081099598209687E-2</v>
      </c>
      <c r="I115">
        <f>TnSPLINE!K$8</f>
        <v>-1.4304035819556932E-2</v>
      </c>
      <c r="J115">
        <f t="shared" si="13"/>
        <v>0.33333333333333331</v>
      </c>
      <c r="K115">
        <f t="shared" si="14"/>
        <v>0.66666666666666663</v>
      </c>
      <c r="L115">
        <f t="shared" si="15"/>
        <v>66</v>
      </c>
      <c r="M115" s="6">
        <f t="shared" si="16"/>
        <v>0.7978494623655914</v>
      </c>
      <c r="N115" s="13">
        <f t="shared" si="11"/>
        <v>0.61113591464276817</v>
      </c>
      <c r="O115" s="6">
        <f t="shared" si="19"/>
        <v>-119.32903225806449</v>
      </c>
      <c r="P115" s="6">
        <f t="shared" si="20"/>
        <v>-140.07060266312132</v>
      </c>
      <c r="Q115" s="6">
        <f t="shared" si="17"/>
        <v>0.61113591464276817</v>
      </c>
      <c r="T115" s="6">
        <f t="shared" si="21"/>
        <v>0.61113591464276817</v>
      </c>
    </row>
    <row r="116" spans="1:20">
      <c r="B116">
        <f t="shared" si="18"/>
        <v>113</v>
      </c>
      <c r="C116">
        <f t="shared" si="12"/>
        <v>30</v>
      </c>
      <c r="D116">
        <v>92</v>
      </c>
      <c r="E116">
        <v>122</v>
      </c>
      <c r="F116">
        <f>TnSPLINE!F$7</f>
        <v>-4.5999999999999996</v>
      </c>
      <c r="G116">
        <f>TnSPLINE!F$8</f>
        <v>3.4967741935483869</v>
      </c>
      <c r="H116">
        <f>TnSPLINE!K$7</f>
        <v>2.2081099598209687E-2</v>
      </c>
      <c r="I116">
        <f>TnSPLINE!K$8</f>
        <v>-1.4304035819556932E-2</v>
      </c>
      <c r="J116">
        <f t="shared" si="13"/>
        <v>0.3</v>
      </c>
      <c r="K116">
        <f t="shared" si="14"/>
        <v>0.7</v>
      </c>
      <c r="L116">
        <f t="shared" si="15"/>
        <v>67</v>
      </c>
      <c r="M116" s="6">
        <f t="shared" si="16"/>
        <v>1.0677419354838706</v>
      </c>
      <c r="N116" s="13">
        <f t="shared" si="11"/>
        <v>0.92950202507445789</v>
      </c>
      <c r="O116" s="6">
        <f t="shared" si="19"/>
        <v>-118.26129032258062</v>
      </c>
      <c r="P116" s="6">
        <f t="shared" si="20"/>
        <v>-139.14110063804685</v>
      </c>
      <c r="Q116" s="6">
        <f t="shared" si="17"/>
        <v>0.92950202507445789</v>
      </c>
      <c r="T116" s="6">
        <f t="shared" si="21"/>
        <v>0.92950202507445789</v>
      </c>
    </row>
    <row r="117" spans="1:20">
      <c r="B117">
        <f t="shared" si="18"/>
        <v>114</v>
      </c>
      <c r="C117">
        <f t="shared" si="12"/>
        <v>30</v>
      </c>
      <c r="D117">
        <v>92</v>
      </c>
      <c r="E117">
        <v>122</v>
      </c>
      <c r="F117">
        <f>TnSPLINE!F$7</f>
        <v>-4.5999999999999996</v>
      </c>
      <c r="G117">
        <f>TnSPLINE!F$8</f>
        <v>3.4967741935483869</v>
      </c>
      <c r="H117">
        <f>TnSPLINE!K$7</f>
        <v>2.2081099598209687E-2</v>
      </c>
      <c r="I117">
        <f>TnSPLINE!K$8</f>
        <v>-1.4304035819556932E-2</v>
      </c>
      <c r="J117">
        <f t="shared" si="13"/>
        <v>0.26666666666666666</v>
      </c>
      <c r="K117">
        <f t="shared" si="14"/>
        <v>0.73333333333333328</v>
      </c>
      <c r="L117">
        <f t="shared" si="15"/>
        <v>68</v>
      </c>
      <c r="M117" s="6">
        <f t="shared" si="16"/>
        <v>1.3376344086021503</v>
      </c>
      <c r="N117" s="13">
        <f t="shared" si="11"/>
        <v>1.2444796403119209</v>
      </c>
      <c r="O117" s="6">
        <f t="shared" si="19"/>
        <v>-116.92365591397846</v>
      </c>
      <c r="P117" s="6">
        <f t="shared" si="20"/>
        <v>-137.89662099773494</v>
      </c>
      <c r="Q117" s="6">
        <f t="shared" si="17"/>
        <v>1.2444796403119209</v>
      </c>
      <c r="T117" s="6">
        <f t="shared" si="21"/>
        <v>1.2444796403119209</v>
      </c>
    </row>
    <row r="118" spans="1:20">
      <c r="B118">
        <f t="shared" si="18"/>
        <v>115</v>
      </c>
      <c r="C118">
        <f t="shared" si="12"/>
        <v>30</v>
      </c>
      <c r="D118">
        <v>92</v>
      </c>
      <c r="E118">
        <v>122</v>
      </c>
      <c r="F118">
        <f>TnSPLINE!F$7</f>
        <v>-4.5999999999999996</v>
      </c>
      <c r="G118">
        <f>TnSPLINE!F$8</f>
        <v>3.4967741935483869</v>
      </c>
      <c r="H118">
        <f>TnSPLINE!K$7</f>
        <v>2.2081099598209687E-2</v>
      </c>
      <c r="I118">
        <f>TnSPLINE!K$8</f>
        <v>-1.4304035819556932E-2</v>
      </c>
      <c r="J118">
        <f t="shared" si="13"/>
        <v>0.23333333333333334</v>
      </c>
      <c r="K118">
        <f t="shared" si="14"/>
        <v>0.76666666666666672</v>
      </c>
      <c r="L118">
        <f t="shared" si="15"/>
        <v>69</v>
      </c>
      <c r="M118" s="6">
        <f t="shared" si="16"/>
        <v>1.6075268817204305</v>
      </c>
      <c r="N118" s="13">
        <f t="shared" si="11"/>
        <v>1.5548559225078984</v>
      </c>
      <c r="O118" s="6">
        <f t="shared" si="19"/>
        <v>-115.31612903225803</v>
      </c>
      <c r="P118" s="6">
        <f t="shared" si="20"/>
        <v>-136.34176507522704</v>
      </c>
      <c r="Q118" s="6">
        <f t="shared" si="17"/>
        <v>1.5548559225078984</v>
      </c>
      <c r="T118" s="6">
        <f t="shared" si="21"/>
        <v>1.5548559225078984</v>
      </c>
    </row>
    <row r="119" spans="1:20">
      <c r="B119">
        <f t="shared" si="18"/>
        <v>116</v>
      </c>
      <c r="C119">
        <f t="shared" si="12"/>
        <v>30</v>
      </c>
      <c r="D119">
        <v>92</v>
      </c>
      <c r="E119">
        <v>122</v>
      </c>
      <c r="F119">
        <f>TnSPLINE!F$7</f>
        <v>-4.5999999999999996</v>
      </c>
      <c r="G119">
        <f>TnSPLINE!F$8</f>
        <v>3.4967741935483869</v>
      </c>
      <c r="H119">
        <f>TnSPLINE!K$7</f>
        <v>2.2081099598209687E-2</v>
      </c>
      <c r="I119">
        <f>TnSPLINE!K$8</f>
        <v>-1.4304035819556932E-2</v>
      </c>
      <c r="J119">
        <f t="shared" si="13"/>
        <v>0.2</v>
      </c>
      <c r="K119">
        <f t="shared" si="14"/>
        <v>0.8</v>
      </c>
      <c r="L119">
        <f t="shared" si="15"/>
        <v>70</v>
      </c>
      <c r="M119" s="6">
        <f t="shared" si="16"/>
        <v>1.8774193548387097</v>
      </c>
      <c r="N119" s="13">
        <f t="shared" ref="N119:N182" si="22">Q119</f>
        <v>1.85941803381513</v>
      </c>
      <c r="O119" s="6">
        <f t="shared" si="19"/>
        <v>-113.43870967741933</v>
      </c>
      <c r="P119" s="6">
        <f t="shared" si="20"/>
        <v>-134.48234704141191</v>
      </c>
      <c r="Q119" s="6">
        <f t="shared" si="17"/>
        <v>1.85941803381513</v>
      </c>
      <c r="T119" s="6">
        <f t="shared" si="21"/>
        <v>1.85941803381513</v>
      </c>
    </row>
    <row r="120" spans="1:20">
      <c r="B120">
        <f t="shared" si="18"/>
        <v>117</v>
      </c>
      <c r="C120">
        <f t="shared" si="12"/>
        <v>30</v>
      </c>
      <c r="D120">
        <v>92</v>
      </c>
      <c r="E120">
        <v>122</v>
      </c>
      <c r="F120">
        <f>TnSPLINE!F$7</f>
        <v>-4.5999999999999996</v>
      </c>
      <c r="G120">
        <f>TnSPLINE!F$8</f>
        <v>3.4967741935483869</v>
      </c>
      <c r="H120">
        <f>TnSPLINE!K$7</f>
        <v>2.2081099598209687E-2</v>
      </c>
      <c r="I120">
        <f>TnSPLINE!K$8</f>
        <v>-1.4304035819556932E-2</v>
      </c>
      <c r="J120">
        <f t="shared" si="13"/>
        <v>0.16666666666666666</v>
      </c>
      <c r="K120">
        <f t="shared" si="14"/>
        <v>0.83333333333333337</v>
      </c>
      <c r="L120">
        <f t="shared" si="15"/>
        <v>71</v>
      </c>
      <c r="M120" s="6">
        <f t="shared" si="16"/>
        <v>2.1473118279569894</v>
      </c>
      <c r="N120" s="13">
        <f t="shared" si="22"/>
        <v>2.1569531363863588</v>
      </c>
      <c r="O120" s="6">
        <f t="shared" si="19"/>
        <v>-111.29139784946234</v>
      </c>
      <c r="P120" s="6">
        <f t="shared" si="20"/>
        <v>-132.32539390502555</v>
      </c>
      <c r="Q120" s="6">
        <f t="shared" si="17"/>
        <v>2.1569531363863588</v>
      </c>
      <c r="T120" s="6">
        <f t="shared" si="21"/>
        <v>2.1569531363863588</v>
      </c>
    </row>
    <row r="121" spans="1:20">
      <c r="B121">
        <f t="shared" si="18"/>
        <v>118</v>
      </c>
      <c r="C121">
        <f t="shared" si="12"/>
        <v>30</v>
      </c>
      <c r="D121">
        <v>92</v>
      </c>
      <c r="E121">
        <v>122</v>
      </c>
      <c r="F121">
        <f>TnSPLINE!F$7</f>
        <v>-4.5999999999999996</v>
      </c>
      <c r="G121">
        <f>TnSPLINE!F$8</f>
        <v>3.4967741935483869</v>
      </c>
      <c r="H121">
        <f>TnSPLINE!K$7</f>
        <v>2.2081099598209687E-2</v>
      </c>
      <c r="I121">
        <f>TnSPLINE!K$8</f>
        <v>-1.4304035819556932E-2</v>
      </c>
      <c r="J121">
        <f t="shared" si="13"/>
        <v>0.13333333333333333</v>
      </c>
      <c r="K121">
        <f t="shared" si="14"/>
        <v>0.8666666666666667</v>
      </c>
      <c r="L121">
        <f t="shared" si="15"/>
        <v>72</v>
      </c>
      <c r="M121" s="6">
        <f t="shared" si="16"/>
        <v>2.4172043010752686</v>
      </c>
      <c r="N121" s="13">
        <f t="shared" si="22"/>
        <v>2.4462483923743248</v>
      </c>
      <c r="O121" s="6">
        <f t="shared" si="19"/>
        <v>-108.87419354838707</v>
      </c>
      <c r="P121" s="6">
        <f t="shared" si="20"/>
        <v>-129.87914551265123</v>
      </c>
      <c r="Q121" s="6">
        <f t="shared" si="17"/>
        <v>2.4462483923743248</v>
      </c>
      <c r="T121" s="6">
        <f t="shared" si="21"/>
        <v>2.4462483923743248</v>
      </c>
    </row>
    <row r="122" spans="1:20">
      <c r="B122">
        <f t="shared" si="18"/>
        <v>119</v>
      </c>
      <c r="C122">
        <f t="shared" si="12"/>
        <v>30</v>
      </c>
      <c r="D122">
        <v>92</v>
      </c>
      <c r="E122">
        <v>122</v>
      </c>
      <c r="F122">
        <f>TnSPLINE!F$7</f>
        <v>-4.5999999999999996</v>
      </c>
      <c r="G122">
        <f>TnSPLINE!F$8</f>
        <v>3.4967741935483869</v>
      </c>
      <c r="H122">
        <f>TnSPLINE!K$7</f>
        <v>2.2081099598209687E-2</v>
      </c>
      <c r="I122">
        <f>TnSPLINE!K$8</f>
        <v>-1.4304035819556932E-2</v>
      </c>
      <c r="J122">
        <f t="shared" si="13"/>
        <v>0.1</v>
      </c>
      <c r="K122">
        <f t="shared" si="14"/>
        <v>0.9</v>
      </c>
      <c r="L122">
        <f t="shared" si="15"/>
        <v>73</v>
      </c>
      <c r="M122" s="6">
        <f t="shared" si="16"/>
        <v>2.6870967741935483</v>
      </c>
      <c r="N122" s="13">
        <f t="shared" si="22"/>
        <v>2.7260909639317696</v>
      </c>
      <c r="O122" s="6">
        <f t="shared" si="19"/>
        <v>-106.18709677419352</v>
      </c>
      <c r="P122" s="6">
        <f t="shared" si="20"/>
        <v>-127.15305454871947</v>
      </c>
      <c r="Q122" s="6">
        <f t="shared" si="17"/>
        <v>2.7260909639317696</v>
      </c>
      <c r="T122" s="6">
        <f t="shared" si="21"/>
        <v>2.7260909639317696</v>
      </c>
    </row>
    <row r="123" spans="1:20">
      <c r="B123">
        <f t="shared" si="18"/>
        <v>120</v>
      </c>
      <c r="C123">
        <f t="shared" si="12"/>
        <v>30</v>
      </c>
      <c r="D123">
        <v>92</v>
      </c>
      <c r="E123">
        <v>122</v>
      </c>
      <c r="F123">
        <f>TnSPLINE!F$7</f>
        <v>-4.5999999999999996</v>
      </c>
      <c r="G123">
        <f>TnSPLINE!F$8</f>
        <v>3.4967741935483869</v>
      </c>
      <c r="H123">
        <f>TnSPLINE!K$7</f>
        <v>2.2081099598209687E-2</v>
      </c>
      <c r="I123">
        <f>TnSPLINE!K$8</f>
        <v>-1.4304035819556932E-2</v>
      </c>
      <c r="J123">
        <f t="shared" si="13"/>
        <v>6.6666666666666666E-2</v>
      </c>
      <c r="K123">
        <f t="shared" si="14"/>
        <v>0.93333333333333335</v>
      </c>
      <c r="L123">
        <f t="shared" si="15"/>
        <v>74</v>
      </c>
      <c r="M123" s="6">
        <f t="shared" si="16"/>
        <v>2.956989247311828</v>
      </c>
      <c r="N123" s="13">
        <f t="shared" si="22"/>
        <v>2.9952680132114344</v>
      </c>
      <c r="O123" s="6">
        <f t="shared" si="19"/>
        <v>-103.2301075268817</v>
      </c>
      <c r="P123" s="6">
        <f t="shared" si="20"/>
        <v>-124.15778653550804</v>
      </c>
      <c r="Q123" s="6">
        <f t="shared" si="17"/>
        <v>2.9952680132114344</v>
      </c>
      <c r="T123" s="6">
        <f t="shared" si="21"/>
        <v>2.9952680132114344</v>
      </c>
    </row>
    <row r="124" spans="1:20">
      <c r="B124">
        <f t="shared" si="18"/>
        <v>121</v>
      </c>
      <c r="C124">
        <f t="shared" si="12"/>
        <v>30</v>
      </c>
      <c r="D124">
        <v>92</v>
      </c>
      <c r="E124">
        <v>122</v>
      </c>
      <c r="F124">
        <f>TnSPLINE!F$7</f>
        <v>-4.5999999999999996</v>
      </c>
      <c r="G124">
        <f>TnSPLINE!F$8</f>
        <v>3.4967741935483869</v>
      </c>
      <c r="H124">
        <f>TnSPLINE!K$7</f>
        <v>2.2081099598209687E-2</v>
      </c>
      <c r="I124">
        <f>TnSPLINE!K$8</f>
        <v>-1.4304035819556932E-2</v>
      </c>
      <c r="J124">
        <f t="shared" si="13"/>
        <v>3.3333333333333333E-2</v>
      </c>
      <c r="K124">
        <f t="shared" si="14"/>
        <v>0.96666666666666667</v>
      </c>
      <c r="L124">
        <f t="shared" si="15"/>
        <v>75</v>
      </c>
      <c r="M124" s="6">
        <f t="shared" si="16"/>
        <v>3.2268817204301072</v>
      </c>
      <c r="N124" s="13">
        <f t="shared" si="22"/>
        <v>3.2525667023660594</v>
      </c>
      <c r="O124" s="6">
        <f t="shared" si="19"/>
        <v>-100.00322580645158</v>
      </c>
      <c r="P124" s="6">
        <f t="shared" si="20"/>
        <v>-120.90521983314198</v>
      </c>
      <c r="Q124" s="6">
        <f t="shared" si="17"/>
        <v>3.2525667023660594</v>
      </c>
      <c r="T124" s="6">
        <f t="shared" si="21"/>
        <v>3.2525667023660594</v>
      </c>
    </row>
    <row r="125" spans="1:20">
      <c r="A125">
        <v>122</v>
      </c>
      <c r="B125">
        <f t="shared" si="18"/>
        <v>122</v>
      </c>
      <c r="C125">
        <f t="shared" si="12"/>
        <v>30</v>
      </c>
      <c r="D125">
        <v>92</v>
      </c>
      <c r="E125">
        <v>122</v>
      </c>
      <c r="F125">
        <f>TnSPLINE!F$7</f>
        <v>-4.5999999999999996</v>
      </c>
      <c r="G125">
        <f>TnSPLINE!F$8</f>
        <v>3.4967741935483869</v>
      </c>
      <c r="H125">
        <f>TnSPLINE!K$7</f>
        <v>2.2081099598209687E-2</v>
      </c>
      <c r="I125">
        <f>TnSPLINE!K$8</f>
        <v>-1.4304035819556932E-2</v>
      </c>
      <c r="J125">
        <f t="shared" si="13"/>
        <v>0</v>
      </c>
      <c r="K125">
        <f t="shared" si="14"/>
        <v>1</v>
      </c>
      <c r="L125">
        <f t="shared" si="15"/>
        <v>76</v>
      </c>
      <c r="M125" s="6">
        <f t="shared" si="16"/>
        <v>3.4967741935483869</v>
      </c>
      <c r="N125" s="13">
        <f t="shared" si="22"/>
        <v>3.4967741935483869</v>
      </c>
      <c r="O125" s="6">
        <f t="shared" si="19"/>
        <v>-96.506451612903192</v>
      </c>
      <c r="P125" s="6">
        <f t="shared" si="20"/>
        <v>-117.40844563959359</v>
      </c>
      <c r="Q125" s="6">
        <f t="shared" si="17"/>
        <v>3.4967741935483869</v>
      </c>
      <c r="T125" s="6">
        <f t="shared" si="21"/>
        <v>3.4967741935483869</v>
      </c>
    </row>
    <row r="126" spans="1:20">
      <c r="B126">
        <f t="shared" si="18"/>
        <v>123</v>
      </c>
      <c r="C126">
        <f t="shared" si="12"/>
        <v>31</v>
      </c>
      <c r="D126">
        <v>122</v>
      </c>
      <c r="E126">
        <v>153</v>
      </c>
      <c r="F126">
        <f>TnSPLINE!F$8</f>
        <v>3.4967741935483869</v>
      </c>
      <c r="G126">
        <f>TnSPLINE!F$9</f>
        <v>7.0266666666666682</v>
      </c>
      <c r="H126">
        <f>TnSPLINE!K$8</f>
        <v>-1.4304035819556932E-2</v>
      </c>
      <c r="I126">
        <f>TnSPLINE!K$9</f>
        <v>4.7261141331311199E-3</v>
      </c>
      <c r="J126">
        <f t="shared" si="13"/>
        <v>0.967741935483871</v>
      </c>
      <c r="K126">
        <f t="shared" si="14"/>
        <v>3.2258064516129031E-2</v>
      </c>
      <c r="L126">
        <f t="shared" si="15"/>
        <v>77</v>
      </c>
      <c r="M126" s="6">
        <f t="shared" si="16"/>
        <v>3.6106416926812348</v>
      </c>
      <c r="N126" s="13">
        <f t="shared" si="22"/>
        <v>3.7269821011865214</v>
      </c>
      <c r="O126" s="6">
        <f t="shared" si="19"/>
        <v>-92.89580992022195</v>
      </c>
      <c r="P126" s="6">
        <f t="shared" si="20"/>
        <v>-113.68146353840707</v>
      </c>
      <c r="Q126" s="6">
        <f t="shared" si="17"/>
        <v>3.7269821011865214</v>
      </c>
      <c r="T126" s="6">
        <f t="shared" si="21"/>
        <v>3.7269821011865214</v>
      </c>
    </row>
    <row r="127" spans="1:20">
      <c r="B127">
        <f t="shared" si="18"/>
        <v>124</v>
      </c>
      <c r="C127">
        <f t="shared" si="12"/>
        <v>31</v>
      </c>
      <c r="D127">
        <v>122</v>
      </c>
      <c r="E127">
        <v>153</v>
      </c>
      <c r="F127">
        <f>TnSPLINE!F$8</f>
        <v>3.4967741935483869</v>
      </c>
      <c r="G127">
        <f>TnSPLINE!F$9</f>
        <v>7.0266666666666682</v>
      </c>
      <c r="H127">
        <f>TnSPLINE!K$8</f>
        <v>-1.4304035819556932E-2</v>
      </c>
      <c r="I127">
        <f>TnSPLINE!K$9</f>
        <v>4.7261141331311199E-3</v>
      </c>
      <c r="J127">
        <f t="shared" si="13"/>
        <v>0.93548387096774188</v>
      </c>
      <c r="K127">
        <f t="shared" si="14"/>
        <v>6.4516129032258063E-2</v>
      </c>
      <c r="L127">
        <f t="shared" si="15"/>
        <v>78</v>
      </c>
      <c r="M127" s="6">
        <f t="shared" si="16"/>
        <v>3.7245091918140822</v>
      </c>
      <c r="N127" s="13">
        <f t="shared" si="22"/>
        <v>3.9434998488100241</v>
      </c>
      <c r="O127" s="6">
        <f t="shared" si="19"/>
        <v>-89.171300728407871</v>
      </c>
      <c r="P127" s="6">
        <f t="shared" si="20"/>
        <v>-109.73796368959705</v>
      </c>
      <c r="Q127" s="6">
        <f t="shared" si="17"/>
        <v>3.9434998488100241</v>
      </c>
      <c r="T127" s="6">
        <f t="shared" si="21"/>
        <v>3.9434998488100241</v>
      </c>
    </row>
    <row r="128" spans="1:20">
      <c r="B128">
        <f t="shared" si="18"/>
        <v>125</v>
      </c>
      <c r="C128">
        <f t="shared" si="12"/>
        <v>31</v>
      </c>
      <c r="D128">
        <v>122</v>
      </c>
      <c r="E128">
        <v>153</v>
      </c>
      <c r="F128">
        <f>TnSPLINE!F$8</f>
        <v>3.4967741935483869</v>
      </c>
      <c r="G128">
        <f>TnSPLINE!F$9</f>
        <v>7.0266666666666682</v>
      </c>
      <c r="H128">
        <f>TnSPLINE!K$8</f>
        <v>-1.4304035819556932E-2</v>
      </c>
      <c r="I128">
        <f>TnSPLINE!K$9</f>
        <v>4.7261141331311199E-3</v>
      </c>
      <c r="J128">
        <f t="shared" si="13"/>
        <v>0.90322580645161288</v>
      </c>
      <c r="K128">
        <f t="shared" si="14"/>
        <v>9.6774193548387094E-2</v>
      </c>
      <c r="L128">
        <f t="shared" si="15"/>
        <v>79</v>
      </c>
      <c r="M128" s="6">
        <f t="shared" si="16"/>
        <v>3.8383766909469301</v>
      </c>
      <c r="N128" s="13">
        <f t="shared" si="22"/>
        <v>4.146941312223821</v>
      </c>
      <c r="O128" s="6">
        <f t="shared" si="19"/>
        <v>-85.332924037460941</v>
      </c>
      <c r="P128" s="6">
        <f t="shared" si="20"/>
        <v>-105.59102237737324</v>
      </c>
      <c r="Q128" s="6">
        <f t="shared" si="17"/>
        <v>4.146941312223821</v>
      </c>
      <c r="T128" s="6">
        <f t="shared" si="21"/>
        <v>4.146941312223821</v>
      </c>
    </row>
    <row r="129" spans="2:20">
      <c r="B129">
        <f t="shared" si="18"/>
        <v>126</v>
      </c>
      <c r="C129">
        <f t="shared" si="12"/>
        <v>31</v>
      </c>
      <c r="D129">
        <v>122</v>
      </c>
      <c r="E129">
        <v>153</v>
      </c>
      <c r="F129">
        <f>TnSPLINE!F$8</f>
        <v>3.4967741935483869</v>
      </c>
      <c r="G129">
        <f>TnSPLINE!F$9</f>
        <v>7.0266666666666682</v>
      </c>
      <c r="H129">
        <f>TnSPLINE!K$8</f>
        <v>-1.4304035819556932E-2</v>
      </c>
      <c r="I129">
        <f>TnSPLINE!K$9</f>
        <v>4.7261141331311199E-3</v>
      </c>
      <c r="J129">
        <f t="shared" si="13"/>
        <v>0.87096774193548387</v>
      </c>
      <c r="K129">
        <f t="shared" si="14"/>
        <v>0.12903225806451613</v>
      </c>
      <c r="L129">
        <f t="shared" si="15"/>
        <v>80</v>
      </c>
      <c r="M129" s="6">
        <f t="shared" si="16"/>
        <v>3.952244190079778</v>
      </c>
      <c r="N129" s="13">
        <f t="shared" si="22"/>
        <v>4.3379203672328375</v>
      </c>
      <c r="O129" s="6">
        <f t="shared" si="19"/>
        <v>-81.38067984738116</v>
      </c>
      <c r="P129" s="6">
        <f t="shared" si="20"/>
        <v>-101.2531020101404</v>
      </c>
      <c r="Q129" s="6">
        <f t="shared" si="17"/>
        <v>4.3379203672328375</v>
      </c>
      <c r="T129" s="6">
        <f t="shared" si="21"/>
        <v>4.3379203672328375</v>
      </c>
    </row>
    <row r="130" spans="2:20">
      <c r="B130">
        <f t="shared" si="18"/>
        <v>127</v>
      </c>
      <c r="C130">
        <f t="shared" si="12"/>
        <v>31</v>
      </c>
      <c r="D130">
        <v>122</v>
      </c>
      <c r="E130">
        <v>153</v>
      </c>
      <c r="F130">
        <f>TnSPLINE!F$8</f>
        <v>3.4967741935483869</v>
      </c>
      <c r="G130">
        <f>TnSPLINE!F$9</f>
        <v>7.0266666666666682</v>
      </c>
      <c r="H130">
        <f>TnSPLINE!K$8</f>
        <v>-1.4304035819556932E-2</v>
      </c>
      <c r="I130">
        <f>TnSPLINE!K$9</f>
        <v>4.7261141331311199E-3</v>
      </c>
      <c r="J130">
        <f t="shared" si="13"/>
        <v>0.83870967741935487</v>
      </c>
      <c r="K130">
        <f t="shared" si="14"/>
        <v>0.16129032258064516</v>
      </c>
      <c r="L130">
        <f t="shared" si="15"/>
        <v>81</v>
      </c>
      <c r="M130" s="6">
        <f t="shared" si="16"/>
        <v>4.0661116892126259</v>
      </c>
      <c r="N130" s="13">
        <f t="shared" si="22"/>
        <v>4.5170508896419976</v>
      </c>
      <c r="O130" s="6">
        <f t="shared" si="19"/>
        <v>-77.314568158168527</v>
      </c>
      <c r="P130" s="6">
        <f t="shared" si="20"/>
        <v>-96.736051120498402</v>
      </c>
      <c r="Q130" s="6">
        <f t="shared" si="17"/>
        <v>4.5170508896419976</v>
      </c>
      <c r="T130" s="6">
        <f t="shared" si="21"/>
        <v>4.5170508896419976</v>
      </c>
    </row>
    <row r="131" spans="2:20">
      <c r="B131">
        <f t="shared" si="18"/>
        <v>128</v>
      </c>
      <c r="C131">
        <f t="shared" si="12"/>
        <v>31</v>
      </c>
      <c r="D131">
        <v>122</v>
      </c>
      <c r="E131">
        <v>153</v>
      </c>
      <c r="F131">
        <f>TnSPLINE!F$8</f>
        <v>3.4967741935483869</v>
      </c>
      <c r="G131">
        <f>TnSPLINE!F$9</f>
        <v>7.0266666666666682</v>
      </c>
      <c r="H131">
        <f>TnSPLINE!K$8</f>
        <v>-1.4304035819556932E-2</v>
      </c>
      <c r="I131">
        <f>TnSPLINE!K$9</f>
        <v>4.7261141331311199E-3</v>
      </c>
      <c r="J131">
        <f t="shared" si="13"/>
        <v>0.80645161290322576</v>
      </c>
      <c r="K131">
        <f t="shared" si="14"/>
        <v>0.19354838709677419</v>
      </c>
      <c r="L131">
        <f t="shared" si="15"/>
        <v>82</v>
      </c>
      <c r="M131" s="6">
        <f t="shared" si="16"/>
        <v>4.1799791883454738</v>
      </c>
      <c r="N131" s="13">
        <f t="shared" si="22"/>
        <v>4.6849467552562292</v>
      </c>
      <c r="O131" s="6">
        <f t="shared" si="19"/>
        <v>-73.134588969823056</v>
      </c>
      <c r="P131" s="6">
        <f t="shared" si="20"/>
        <v>-92.051104365242168</v>
      </c>
      <c r="Q131" s="6">
        <f t="shared" si="17"/>
        <v>4.6849467552562292</v>
      </c>
      <c r="T131" s="6">
        <f t="shared" si="21"/>
        <v>4.6849467552562292</v>
      </c>
    </row>
    <row r="132" spans="2:20">
      <c r="B132">
        <f t="shared" si="18"/>
        <v>129</v>
      </c>
      <c r="C132">
        <f t="shared" ref="C132:C195" si="23">E132-D132</f>
        <v>31</v>
      </c>
      <c r="D132">
        <v>122</v>
      </c>
      <c r="E132">
        <v>153</v>
      </c>
      <c r="F132">
        <f>TnSPLINE!F$8</f>
        <v>3.4967741935483869</v>
      </c>
      <c r="G132">
        <f>TnSPLINE!F$9</f>
        <v>7.0266666666666682</v>
      </c>
      <c r="H132">
        <f>TnSPLINE!K$8</f>
        <v>-1.4304035819556932E-2</v>
      </c>
      <c r="I132">
        <f>TnSPLINE!K$9</f>
        <v>4.7261141331311199E-3</v>
      </c>
      <c r="J132">
        <f t="shared" ref="J132:J195" si="24">(E132-B132)/C132</f>
        <v>0.77419354838709675</v>
      </c>
      <c r="K132">
        <f t="shared" ref="K132:K195" si="25">(B132-D132)/C132</f>
        <v>0.22580645161290322</v>
      </c>
      <c r="L132">
        <f t="shared" ref="L132:L195" si="26">B132-46</f>
        <v>83</v>
      </c>
      <c r="M132" s="6">
        <f t="shared" ref="M132:M195" si="27">J132*F132+K132*G132</f>
        <v>4.2938466874783217</v>
      </c>
      <c r="N132" s="13">
        <f t="shared" si="22"/>
        <v>4.8422218398804562</v>
      </c>
      <c r="O132" s="6">
        <f t="shared" si="19"/>
        <v>-68.840742282344735</v>
      </c>
      <c r="P132" s="6">
        <f t="shared" si="20"/>
        <v>-87.208882525361716</v>
      </c>
      <c r="Q132" s="6">
        <f t="shared" ref="Q132:Q195" si="28">M132+(((J132^3-J132)*H132+(K132^3-K132)*I132))*(C132^2)/6</f>
        <v>4.8422218398804562</v>
      </c>
      <c r="T132" s="6">
        <f t="shared" si="21"/>
        <v>4.8422218398804562</v>
      </c>
    </row>
    <row r="133" spans="2:20">
      <c r="B133">
        <f t="shared" ref="B133:B196" si="29">B132+1</f>
        <v>130</v>
      </c>
      <c r="C133">
        <f t="shared" si="23"/>
        <v>31</v>
      </c>
      <c r="D133">
        <v>122</v>
      </c>
      <c r="E133">
        <v>153</v>
      </c>
      <c r="F133">
        <f>TnSPLINE!F$8</f>
        <v>3.4967741935483869</v>
      </c>
      <c r="G133">
        <f>TnSPLINE!F$9</f>
        <v>7.0266666666666682</v>
      </c>
      <c r="H133">
        <f>TnSPLINE!K$8</f>
        <v>-1.4304035819556932E-2</v>
      </c>
      <c r="I133">
        <f>TnSPLINE!K$9</f>
        <v>4.7261141331311199E-3</v>
      </c>
      <c r="J133">
        <f t="shared" si="24"/>
        <v>0.74193548387096775</v>
      </c>
      <c r="K133">
        <f t="shared" si="25"/>
        <v>0.25806451612903225</v>
      </c>
      <c r="L133">
        <f t="shared" si="26"/>
        <v>84</v>
      </c>
      <c r="M133" s="6">
        <f t="shared" si="27"/>
        <v>4.4077141866111695</v>
      </c>
      <c r="N133" s="13">
        <f t="shared" si="22"/>
        <v>4.9894900193196037</v>
      </c>
      <c r="O133" s="6">
        <f t="shared" ref="O133:O196" si="30">O132+M133</f>
        <v>-64.433028095733562</v>
      </c>
      <c r="P133" s="6">
        <f t="shared" ref="P133:P196" si="31">P132+N133</f>
        <v>-82.219392506042112</v>
      </c>
      <c r="Q133" s="6">
        <f t="shared" si="28"/>
        <v>4.9894900193196037</v>
      </c>
      <c r="T133" s="6">
        <f t="shared" si="21"/>
        <v>4.9894900193196037</v>
      </c>
    </row>
    <row r="134" spans="2:20">
      <c r="B134">
        <f t="shared" si="29"/>
        <v>131</v>
      </c>
      <c r="C134">
        <f t="shared" si="23"/>
        <v>31</v>
      </c>
      <c r="D134">
        <v>122</v>
      </c>
      <c r="E134">
        <v>153</v>
      </c>
      <c r="F134">
        <f>TnSPLINE!F$8</f>
        <v>3.4967741935483869</v>
      </c>
      <c r="G134">
        <f>TnSPLINE!F$9</f>
        <v>7.0266666666666682</v>
      </c>
      <c r="H134">
        <f>TnSPLINE!K$8</f>
        <v>-1.4304035819556932E-2</v>
      </c>
      <c r="I134">
        <f>TnSPLINE!K$9</f>
        <v>4.7261141331311199E-3</v>
      </c>
      <c r="J134">
        <f t="shared" si="24"/>
        <v>0.70967741935483875</v>
      </c>
      <c r="K134">
        <f t="shared" si="25"/>
        <v>0.29032258064516131</v>
      </c>
      <c r="L134">
        <f t="shared" si="26"/>
        <v>85</v>
      </c>
      <c r="M134" s="6">
        <f t="shared" si="27"/>
        <v>4.5215816857440174</v>
      </c>
      <c r="N134" s="13">
        <f t="shared" si="22"/>
        <v>5.1273651693785975</v>
      </c>
      <c r="O134" s="6">
        <f t="shared" si="30"/>
        <v>-59.911446409989544</v>
      </c>
      <c r="P134" s="6">
        <f t="shared" si="31"/>
        <v>-77.09202733666352</v>
      </c>
      <c r="Q134" s="6">
        <f t="shared" si="28"/>
        <v>5.1273651693785975</v>
      </c>
      <c r="T134" s="6">
        <f t="shared" si="21"/>
        <v>5.1273651693785975</v>
      </c>
    </row>
    <row r="135" spans="2:20">
      <c r="B135">
        <f t="shared" si="29"/>
        <v>132</v>
      </c>
      <c r="C135">
        <f t="shared" si="23"/>
        <v>31</v>
      </c>
      <c r="D135">
        <v>122</v>
      </c>
      <c r="E135">
        <v>153</v>
      </c>
      <c r="F135">
        <f>TnSPLINE!F$8</f>
        <v>3.4967741935483869</v>
      </c>
      <c r="G135">
        <f>TnSPLINE!F$9</f>
        <v>7.0266666666666682</v>
      </c>
      <c r="H135">
        <f>TnSPLINE!K$8</f>
        <v>-1.4304035819556932E-2</v>
      </c>
      <c r="I135">
        <f>TnSPLINE!K$9</f>
        <v>4.7261141331311199E-3</v>
      </c>
      <c r="J135">
        <f t="shared" si="24"/>
        <v>0.67741935483870963</v>
      </c>
      <c r="K135">
        <f t="shared" si="25"/>
        <v>0.32258064516129031</v>
      </c>
      <c r="L135">
        <f t="shared" si="26"/>
        <v>86</v>
      </c>
      <c r="M135" s="6">
        <f t="shared" si="27"/>
        <v>4.6354491848768644</v>
      </c>
      <c r="N135" s="13">
        <f t="shared" si="22"/>
        <v>5.2564611658623628</v>
      </c>
      <c r="O135" s="6">
        <f t="shared" si="30"/>
        <v>-55.275997225112683</v>
      </c>
      <c r="P135" s="6">
        <f t="shared" si="31"/>
        <v>-71.835566170801158</v>
      </c>
      <c r="Q135" s="6">
        <f t="shared" si="28"/>
        <v>5.2564611658623628</v>
      </c>
      <c r="T135" s="6">
        <f t="shared" si="21"/>
        <v>5.2564611658623628</v>
      </c>
    </row>
    <row r="136" spans="2:20">
      <c r="B136">
        <f t="shared" si="29"/>
        <v>133</v>
      </c>
      <c r="C136">
        <f t="shared" si="23"/>
        <v>31</v>
      </c>
      <c r="D136">
        <v>122</v>
      </c>
      <c r="E136">
        <v>153</v>
      </c>
      <c r="F136">
        <f>TnSPLINE!F$8</f>
        <v>3.4967741935483869</v>
      </c>
      <c r="G136">
        <f>TnSPLINE!F$9</f>
        <v>7.0266666666666682</v>
      </c>
      <c r="H136">
        <f>TnSPLINE!K$8</f>
        <v>-1.4304035819556932E-2</v>
      </c>
      <c r="I136">
        <f>TnSPLINE!K$9</f>
        <v>4.7261141331311199E-3</v>
      </c>
      <c r="J136">
        <f t="shared" si="24"/>
        <v>0.64516129032258063</v>
      </c>
      <c r="K136">
        <f t="shared" si="25"/>
        <v>0.35483870967741937</v>
      </c>
      <c r="L136">
        <f t="shared" si="26"/>
        <v>87</v>
      </c>
      <c r="M136" s="6">
        <f t="shared" si="27"/>
        <v>4.7493166840097132</v>
      </c>
      <c r="N136" s="13">
        <f t="shared" si="22"/>
        <v>5.3773918845758271</v>
      </c>
      <c r="O136" s="6">
        <f t="shared" si="30"/>
        <v>-50.526680541102969</v>
      </c>
      <c r="P136" s="6">
        <f t="shared" si="31"/>
        <v>-66.458174286225329</v>
      </c>
      <c r="Q136" s="6">
        <f t="shared" si="28"/>
        <v>5.3773918845758271</v>
      </c>
      <c r="T136" s="6">
        <f t="shared" si="21"/>
        <v>5.3773918845758271</v>
      </c>
    </row>
    <row r="137" spans="2:20">
      <c r="B137">
        <f t="shared" si="29"/>
        <v>134</v>
      </c>
      <c r="C137">
        <f t="shared" si="23"/>
        <v>31</v>
      </c>
      <c r="D137">
        <v>122</v>
      </c>
      <c r="E137">
        <v>153</v>
      </c>
      <c r="F137">
        <f>TnSPLINE!F$8</f>
        <v>3.4967741935483869</v>
      </c>
      <c r="G137">
        <f>TnSPLINE!F$9</f>
        <v>7.0266666666666682</v>
      </c>
      <c r="H137">
        <f>TnSPLINE!K$8</f>
        <v>-1.4304035819556932E-2</v>
      </c>
      <c r="I137">
        <f>TnSPLINE!K$9</f>
        <v>4.7261141331311199E-3</v>
      </c>
      <c r="J137">
        <f t="shared" si="24"/>
        <v>0.61290322580645162</v>
      </c>
      <c r="K137">
        <f t="shared" si="25"/>
        <v>0.38709677419354838</v>
      </c>
      <c r="L137">
        <f t="shared" si="26"/>
        <v>88</v>
      </c>
      <c r="M137" s="6">
        <f t="shared" si="27"/>
        <v>4.8631841831425611</v>
      </c>
      <c r="N137" s="13">
        <f t="shared" si="22"/>
        <v>5.4907712013239136</v>
      </c>
      <c r="O137" s="6">
        <f t="shared" si="30"/>
        <v>-45.663496357960412</v>
      </c>
      <c r="P137" s="6">
        <f t="shared" si="31"/>
        <v>-60.967403084901413</v>
      </c>
      <c r="Q137" s="6">
        <f t="shared" si="28"/>
        <v>5.4907712013239136</v>
      </c>
      <c r="T137" s="6">
        <f t="shared" si="21"/>
        <v>5.4907712013239136</v>
      </c>
    </row>
    <row r="138" spans="2:20">
      <c r="B138">
        <f t="shared" si="29"/>
        <v>135</v>
      </c>
      <c r="C138">
        <f t="shared" si="23"/>
        <v>31</v>
      </c>
      <c r="D138">
        <v>122</v>
      </c>
      <c r="E138">
        <v>153</v>
      </c>
      <c r="F138">
        <f>TnSPLINE!F$8</f>
        <v>3.4967741935483869</v>
      </c>
      <c r="G138">
        <f>TnSPLINE!F$9</f>
        <v>7.0266666666666682</v>
      </c>
      <c r="H138">
        <f>TnSPLINE!K$8</f>
        <v>-1.4304035819556932E-2</v>
      </c>
      <c r="I138">
        <f>TnSPLINE!K$9</f>
        <v>4.7261141331311199E-3</v>
      </c>
      <c r="J138">
        <f t="shared" si="24"/>
        <v>0.58064516129032262</v>
      </c>
      <c r="K138">
        <f t="shared" si="25"/>
        <v>0.41935483870967744</v>
      </c>
      <c r="L138">
        <f t="shared" si="26"/>
        <v>89</v>
      </c>
      <c r="M138" s="6">
        <f t="shared" si="27"/>
        <v>4.9770516822754081</v>
      </c>
      <c r="N138" s="13">
        <f t="shared" si="22"/>
        <v>5.5972129919115465</v>
      </c>
      <c r="O138" s="6">
        <f t="shared" si="30"/>
        <v>-40.686444675685003</v>
      </c>
      <c r="P138" s="6">
        <f t="shared" si="31"/>
        <v>-55.370190092989866</v>
      </c>
      <c r="Q138" s="6">
        <f t="shared" si="28"/>
        <v>5.5972129919115465</v>
      </c>
      <c r="T138" s="6">
        <f t="shared" si="21"/>
        <v>5.5972129919115465</v>
      </c>
    </row>
    <row r="139" spans="2:20">
      <c r="B139">
        <f t="shared" si="29"/>
        <v>136</v>
      </c>
      <c r="C139">
        <f t="shared" si="23"/>
        <v>31</v>
      </c>
      <c r="D139">
        <v>122</v>
      </c>
      <c r="E139">
        <v>153</v>
      </c>
      <c r="F139">
        <f>TnSPLINE!F$8</f>
        <v>3.4967741935483869</v>
      </c>
      <c r="G139">
        <f>TnSPLINE!F$9</f>
        <v>7.0266666666666682</v>
      </c>
      <c r="H139">
        <f>TnSPLINE!K$8</f>
        <v>-1.4304035819556932E-2</v>
      </c>
      <c r="I139">
        <f>TnSPLINE!K$9</f>
        <v>4.7261141331311199E-3</v>
      </c>
      <c r="J139">
        <f t="shared" si="24"/>
        <v>0.54838709677419351</v>
      </c>
      <c r="K139">
        <f t="shared" si="25"/>
        <v>0.45161290322580644</v>
      </c>
      <c r="L139">
        <f t="shared" si="26"/>
        <v>90</v>
      </c>
      <c r="M139" s="6">
        <f t="shared" si="27"/>
        <v>5.0909191814082551</v>
      </c>
      <c r="N139" s="13">
        <f t="shared" si="22"/>
        <v>5.6973311321436535</v>
      </c>
      <c r="O139" s="6">
        <f t="shared" si="30"/>
        <v>-35.59552549427675</v>
      </c>
      <c r="P139" s="6">
        <f t="shared" si="31"/>
        <v>-49.672858960846213</v>
      </c>
      <c r="Q139" s="6">
        <f t="shared" si="28"/>
        <v>5.6973311321436535</v>
      </c>
      <c r="T139" s="6">
        <f t="shared" si="21"/>
        <v>5.6973311321436535</v>
      </c>
    </row>
    <row r="140" spans="2:20">
      <c r="B140">
        <f t="shared" si="29"/>
        <v>137</v>
      </c>
      <c r="C140">
        <f t="shared" si="23"/>
        <v>31</v>
      </c>
      <c r="D140">
        <v>122</v>
      </c>
      <c r="E140">
        <v>153</v>
      </c>
      <c r="F140">
        <f>TnSPLINE!F$8</f>
        <v>3.4967741935483869</v>
      </c>
      <c r="G140">
        <f>TnSPLINE!F$9</f>
        <v>7.0266666666666682</v>
      </c>
      <c r="H140">
        <f>TnSPLINE!K$8</f>
        <v>-1.4304035819556932E-2</v>
      </c>
      <c r="I140">
        <f>TnSPLINE!K$9</f>
        <v>4.7261141331311199E-3</v>
      </c>
      <c r="J140">
        <f t="shared" si="24"/>
        <v>0.5161290322580645</v>
      </c>
      <c r="K140">
        <f t="shared" si="25"/>
        <v>0.4838709677419355</v>
      </c>
      <c r="L140">
        <f t="shared" si="26"/>
        <v>91</v>
      </c>
      <c r="M140" s="6">
        <f t="shared" si="27"/>
        <v>5.2047866805411038</v>
      </c>
      <c r="N140" s="13">
        <f t="shared" si="22"/>
        <v>5.7917394978251613</v>
      </c>
      <c r="O140" s="6">
        <f t="shared" si="30"/>
        <v>-30.390738813735645</v>
      </c>
      <c r="P140" s="6">
        <f t="shared" si="31"/>
        <v>-43.881119463021051</v>
      </c>
      <c r="Q140" s="6">
        <f t="shared" si="28"/>
        <v>5.7917394978251613</v>
      </c>
      <c r="T140" s="6">
        <f t="shared" si="21"/>
        <v>5.7917394978251613</v>
      </c>
    </row>
    <row r="141" spans="2:20">
      <c r="B141">
        <f t="shared" si="29"/>
        <v>138</v>
      </c>
      <c r="C141">
        <f t="shared" si="23"/>
        <v>31</v>
      </c>
      <c r="D141">
        <v>122</v>
      </c>
      <c r="E141">
        <v>153</v>
      </c>
      <c r="F141">
        <f>TnSPLINE!F$8</f>
        <v>3.4967741935483869</v>
      </c>
      <c r="G141">
        <f>TnSPLINE!F$9</f>
        <v>7.0266666666666682</v>
      </c>
      <c r="H141">
        <f>TnSPLINE!K$8</f>
        <v>-1.4304035819556932E-2</v>
      </c>
      <c r="I141">
        <f>TnSPLINE!K$9</f>
        <v>4.7261141331311199E-3</v>
      </c>
      <c r="J141">
        <f t="shared" si="24"/>
        <v>0.4838709677419355</v>
      </c>
      <c r="K141">
        <f t="shared" si="25"/>
        <v>0.5161290322580645</v>
      </c>
      <c r="L141">
        <f t="shared" si="26"/>
        <v>92</v>
      </c>
      <c r="M141" s="6">
        <f t="shared" si="27"/>
        <v>5.3186541796739517</v>
      </c>
      <c r="N141" s="13">
        <f t="shared" si="22"/>
        <v>5.8810519647609922</v>
      </c>
      <c r="O141" s="6">
        <f t="shared" si="30"/>
        <v>-25.072084634061692</v>
      </c>
      <c r="P141" s="6">
        <f t="shared" si="31"/>
        <v>-38.000067498260059</v>
      </c>
      <c r="Q141" s="6">
        <f t="shared" si="28"/>
        <v>5.8810519647609922</v>
      </c>
      <c r="T141" s="6">
        <f t="shared" si="21"/>
        <v>5.8810519647609922</v>
      </c>
    </row>
    <row r="142" spans="2:20">
      <c r="B142">
        <f t="shared" si="29"/>
        <v>139</v>
      </c>
      <c r="C142">
        <f t="shared" si="23"/>
        <v>31</v>
      </c>
      <c r="D142">
        <v>122</v>
      </c>
      <c r="E142">
        <v>153</v>
      </c>
      <c r="F142">
        <f>TnSPLINE!F$8</f>
        <v>3.4967741935483869</v>
      </c>
      <c r="G142">
        <f>TnSPLINE!F$9</f>
        <v>7.0266666666666682</v>
      </c>
      <c r="H142">
        <f>TnSPLINE!K$8</f>
        <v>-1.4304035819556932E-2</v>
      </c>
      <c r="I142">
        <f>TnSPLINE!K$9</f>
        <v>4.7261141331311199E-3</v>
      </c>
      <c r="J142">
        <f t="shared" si="24"/>
        <v>0.45161290322580644</v>
      </c>
      <c r="K142">
        <f t="shared" si="25"/>
        <v>0.54838709677419351</v>
      </c>
      <c r="L142">
        <f t="shared" si="26"/>
        <v>93</v>
      </c>
      <c r="M142" s="6">
        <f t="shared" si="27"/>
        <v>5.4325216788067987</v>
      </c>
      <c r="N142" s="13">
        <f t="shared" si="22"/>
        <v>5.9658824087560722</v>
      </c>
      <c r="O142" s="6">
        <f t="shared" si="30"/>
        <v>-19.639562955254895</v>
      </c>
      <c r="P142" s="6">
        <f t="shared" si="31"/>
        <v>-32.034185089503985</v>
      </c>
      <c r="Q142" s="6">
        <f t="shared" si="28"/>
        <v>5.9658824087560722</v>
      </c>
      <c r="T142" s="6">
        <f t="shared" si="21"/>
        <v>5.9658824087560722</v>
      </c>
    </row>
    <row r="143" spans="2:20">
      <c r="B143">
        <f t="shared" si="29"/>
        <v>140</v>
      </c>
      <c r="C143">
        <f t="shared" si="23"/>
        <v>31</v>
      </c>
      <c r="D143">
        <v>122</v>
      </c>
      <c r="E143">
        <v>153</v>
      </c>
      <c r="F143">
        <f>TnSPLINE!F$8</f>
        <v>3.4967741935483869</v>
      </c>
      <c r="G143">
        <f>TnSPLINE!F$9</f>
        <v>7.0266666666666682</v>
      </c>
      <c r="H143">
        <f>TnSPLINE!K$8</f>
        <v>-1.4304035819556932E-2</v>
      </c>
      <c r="I143">
        <f>TnSPLINE!K$9</f>
        <v>4.7261141331311199E-3</v>
      </c>
      <c r="J143">
        <f t="shared" si="24"/>
        <v>0.41935483870967744</v>
      </c>
      <c r="K143">
        <f t="shared" si="25"/>
        <v>0.58064516129032262</v>
      </c>
      <c r="L143">
        <f t="shared" si="26"/>
        <v>94</v>
      </c>
      <c r="M143" s="6">
        <f t="shared" si="27"/>
        <v>5.5463891779396475</v>
      </c>
      <c r="N143" s="13">
        <f t="shared" si="22"/>
        <v>6.0468447056153289</v>
      </c>
      <c r="O143" s="6">
        <f t="shared" si="30"/>
        <v>-14.093173777315247</v>
      </c>
      <c r="P143" s="6">
        <f t="shared" si="31"/>
        <v>-25.987340383888657</v>
      </c>
      <c r="Q143" s="6">
        <f t="shared" si="28"/>
        <v>6.0468447056153289</v>
      </c>
      <c r="T143" s="6">
        <f t="shared" si="21"/>
        <v>6.0468447056153289</v>
      </c>
    </row>
    <row r="144" spans="2:20">
      <c r="B144">
        <f t="shared" si="29"/>
        <v>141</v>
      </c>
      <c r="C144">
        <f t="shared" si="23"/>
        <v>31</v>
      </c>
      <c r="D144">
        <v>122</v>
      </c>
      <c r="E144">
        <v>153</v>
      </c>
      <c r="F144">
        <f>TnSPLINE!F$8</f>
        <v>3.4967741935483869</v>
      </c>
      <c r="G144">
        <f>TnSPLINE!F$9</f>
        <v>7.0266666666666682</v>
      </c>
      <c r="H144">
        <f>TnSPLINE!K$8</f>
        <v>-1.4304035819556932E-2</v>
      </c>
      <c r="I144">
        <f>TnSPLINE!K$9</f>
        <v>4.7261141331311199E-3</v>
      </c>
      <c r="J144">
        <f t="shared" si="24"/>
        <v>0.38709677419354838</v>
      </c>
      <c r="K144">
        <f t="shared" si="25"/>
        <v>0.61290322580645162</v>
      </c>
      <c r="L144">
        <f t="shared" si="26"/>
        <v>95</v>
      </c>
      <c r="M144" s="6">
        <f t="shared" si="27"/>
        <v>5.6602566770724945</v>
      </c>
      <c r="N144" s="13">
        <f t="shared" si="22"/>
        <v>6.1245527311436847</v>
      </c>
      <c r="O144" s="6">
        <f t="shared" si="30"/>
        <v>-8.4329171002427525</v>
      </c>
      <c r="P144" s="6">
        <f t="shared" si="31"/>
        <v>-19.862787652744974</v>
      </c>
      <c r="Q144" s="6">
        <f t="shared" si="28"/>
        <v>6.1245527311436847</v>
      </c>
      <c r="T144" s="6">
        <f t="shared" si="21"/>
        <v>6.1245527311436847</v>
      </c>
    </row>
    <row r="145" spans="1:20">
      <c r="B145">
        <f t="shared" si="29"/>
        <v>142</v>
      </c>
      <c r="C145">
        <f t="shared" si="23"/>
        <v>31</v>
      </c>
      <c r="D145">
        <v>122</v>
      </c>
      <c r="E145">
        <v>153</v>
      </c>
      <c r="F145">
        <f>TnSPLINE!F$8</f>
        <v>3.4967741935483869</v>
      </c>
      <c r="G145">
        <f>TnSPLINE!F$9</f>
        <v>7.0266666666666682</v>
      </c>
      <c r="H145">
        <f>TnSPLINE!K$8</f>
        <v>-1.4304035819556932E-2</v>
      </c>
      <c r="I145">
        <f>TnSPLINE!K$9</f>
        <v>4.7261141331311199E-3</v>
      </c>
      <c r="J145">
        <f t="shared" si="24"/>
        <v>0.35483870967741937</v>
      </c>
      <c r="K145">
        <f t="shared" si="25"/>
        <v>0.64516129032258063</v>
      </c>
      <c r="L145">
        <f t="shared" si="26"/>
        <v>96</v>
      </c>
      <c r="M145" s="6">
        <f t="shared" si="27"/>
        <v>5.7741241762053424</v>
      </c>
      <c r="N145" s="13">
        <f t="shared" si="22"/>
        <v>6.1996203611460672</v>
      </c>
      <c r="O145" s="6">
        <f t="shared" si="30"/>
        <v>-2.6587929240374102</v>
      </c>
      <c r="P145" s="6">
        <f t="shared" si="31"/>
        <v>-13.663167291598906</v>
      </c>
      <c r="Q145" s="6">
        <f t="shared" si="28"/>
        <v>6.1996203611460672</v>
      </c>
      <c r="T145" s="6">
        <f t="shared" si="21"/>
        <v>6.1996203611460672</v>
      </c>
    </row>
    <row r="146" spans="1:20">
      <c r="B146">
        <f t="shared" si="29"/>
        <v>143</v>
      </c>
      <c r="C146">
        <f t="shared" si="23"/>
        <v>31</v>
      </c>
      <c r="D146">
        <v>122</v>
      </c>
      <c r="E146">
        <v>153</v>
      </c>
      <c r="F146">
        <f>TnSPLINE!F$8</f>
        <v>3.4967741935483869</v>
      </c>
      <c r="G146">
        <f>TnSPLINE!F$9</f>
        <v>7.0266666666666682</v>
      </c>
      <c r="H146">
        <f>TnSPLINE!K$8</f>
        <v>-1.4304035819556932E-2</v>
      </c>
      <c r="I146">
        <f>TnSPLINE!K$9</f>
        <v>4.7261141331311199E-3</v>
      </c>
      <c r="J146">
        <f t="shared" si="24"/>
        <v>0.32258064516129031</v>
      </c>
      <c r="K146">
        <f t="shared" si="25"/>
        <v>0.67741935483870963</v>
      </c>
      <c r="L146">
        <f t="shared" si="26"/>
        <v>97</v>
      </c>
      <c r="M146" s="6">
        <f t="shared" si="27"/>
        <v>5.8879916753381902</v>
      </c>
      <c r="N146" s="13">
        <f t="shared" si="22"/>
        <v>6.2726614714274014</v>
      </c>
      <c r="O146" s="6">
        <f t="shared" si="30"/>
        <v>3.22919875130078</v>
      </c>
      <c r="P146" s="6">
        <f t="shared" si="31"/>
        <v>-7.390505820171505</v>
      </c>
      <c r="Q146" s="6">
        <f t="shared" si="28"/>
        <v>6.2726614714274014</v>
      </c>
      <c r="T146" s="6">
        <f t="shared" si="21"/>
        <v>6.2726614714274014</v>
      </c>
    </row>
    <row r="147" spans="1:20">
      <c r="B147">
        <f t="shared" si="29"/>
        <v>144</v>
      </c>
      <c r="C147">
        <f t="shared" si="23"/>
        <v>31</v>
      </c>
      <c r="D147">
        <v>122</v>
      </c>
      <c r="E147">
        <v>153</v>
      </c>
      <c r="F147">
        <f>TnSPLINE!F$8</f>
        <v>3.4967741935483869</v>
      </c>
      <c r="G147">
        <f>TnSPLINE!F$9</f>
        <v>7.0266666666666682</v>
      </c>
      <c r="H147">
        <f>TnSPLINE!K$8</f>
        <v>-1.4304035819556932E-2</v>
      </c>
      <c r="I147">
        <f>TnSPLINE!K$9</f>
        <v>4.7261141331311199E-3</v>
      </c>
      <c r="J147">
        <f t="shared" si="24"/>
        <v>0.29032258064516131</v>
      </c>
      <c r="K147">
        <f t="shared" si="25"/>
        <v>0.70967741935483875</v>
      </c>
      <c r="L147">
        <f t="shared" si="26"/>
        <v>98</v>
      </c>
      <c r="M147" s="6">
        <f t="shared" si="27"/>
        <v>6.0018591744710381</v>
      </c>
      <c r="N147" s="13">
        <f t="shared" si="22"/>
        <v>6.3442899377926132</v>
      </c>
      <c r="O147" s="6">
        <f t="shared" si="30"/>
        <v>9.2310579257718182</v>
      </c>
      <c r="P147" s="6">
        <f t="shared" si="31"/>
        <v>-1.0462158823788918</v>
      </c>
      <c r="Q147" s="6">
        <f t="shared" si="28"/>
        <v>6.3442899377926132</v>
      </c>
      <c r="T147" s="6">
        <f t="shared" si="21"/>
        <v>6.3442899377926132</v>
      </c>
    </row>
    <row r="148" spans="1:20">
      <c r="B148">
        <f t="shared" si="29"/>
        <v>145</v>
      </c>
      <c r="C148">
        <f t="shared" si="23"/>
        <v>31</v>
      </c>
      <c r="D148">
        <v>122</v>
      </c>
      <c r="E148">
        <v>153</v>
      </c>
      <c r="F148">
        <f>TnSPLINE!F$8</f>
        <v>3.4967741935483869</v>
      </c>
      <c r="G148">
        <f>TnSPLINE!F$9</f>
        <v>7.0266666666666682</v>
      </c>
      <c r="H148">
        <f>TnSPLINE!K$8</f>
        <v>-1.4304035819556932E-2</v>
      </c>
      <c r="I148">
        <f>TnSPLINE!K$9</f>
        <v>4.7261141331311199E-3</v>
      </c>
      <c r="J148">
        <f t="shared" si="24"/>
        <v>0.25806451612903225</v>
      </c>
      <c r="K148">
        <f t="shared" si="25"/>
        <v>0.74193548387096775</v>
      </c>
      <c r="L148">
        <f t="shared" si="26"/>
        <v>99</v>
      </c>
      <c r="M148" s="6">
        <f t="shared" si="27"/>
        <v>6.115726673603886</v>
      </c>
      <c r="N148" s="13">
        <f t="shared" si="22"/>
        <v>6.4151196360466267</v>
      </c>
      <c r="O148" s="6">
        <f t="shared" si="30"/>
        <v>15.346784599375704</v>
      </c>
      <c r="P148" s="6">
        <f t="shared" si="31"/>
        <v>5.3689037536677349</v>
      </c>
      <c r="Q148" s="6">
        <f t="shared" si="28"/>
        <v>6.4151196360466267</v>
      </c>
      <c r="T148" s="6">
        <f t="shared" si="21"/>
        <v>6.4151196360466267</v>
      </c>
    </row>
    <row r="149" spans="1:20">
      <c r="B149">
        <f t="shared" si="29"/>
        <v>146</v>
      </c>
      <c r="C149">
        <f t="shared" si="23"/>
        <v>31</v>
      </c>
      <c r="D149">
        <v>122</v>
      </c>
      <c r="E149">
        <v>153</v>
      </c>
      <c r="F149">
        <f>TnSPLINE!F$8</f>
        <v>3.4967741935483869</v>
      </c>
      <c r="G149">
        <f>TnSPLINE!F$9</f>
        <v>7.0266666666666682</v>
      </c>
      <c r="H149">
        <f>TnSPLINE!K$8</f>
        <v>-1.4304035819556932E-2</v>
      </c>
      <c r="I149">
        <f>TnSPLINE!K$9</f>
        <v>4.7261141331311199E-3</v>
      </c>
      <c r="J149">
        <f t="shared" si="24"/>
        <v>0.22580645161290322</v>
      </c>
      <c r="K149">
        <f t="shared" si="25"/>
        <v>0.77419354838709675</v>
      </c>
      <c r="L149">
        <f t="shared" si="26"/>
        <v>100</v>
      </c>
      <c r="M149" s="6">
        <f t="shared" si="27"/>
        <v>6.2295941727367339</v>
      </c>
      <c r="N149" s="13">
        <f t="shared" si="22"/>
        <v>6.4857644419943679</v>
      </c>
      <c r="O149" s="6">
        <f t="shared" si="30"/>
        <v>21.576378772112438</v>
      </c>
      <c r="P149" s="6">
        <f t="shared" si="31"/>
        <v>11.854668195662104</v>
      </c>
      <c r="Q149" s="6">
        <f t="shared" si="28"/>
        <v>6.4857644419943679</v>
      </c>
      <c r="T149" s="6">
        <f t="shared" si="21"/>
        <v>6.4857644419943679</v>
      </c>
    </row>
    <row r="150" spans="1:20">
      <c r="B150">
        <f t="shared" si="29"/>
        <v>147</v>
      </c>
      <c r="C150">
        <f t="shared" si="23"/>
        <v>31</v>
      </c>
      <c r="D150">
        <v>122</v>
      </c>
      <c r="E150">
        <v>153</v>
      </c>
      <c r="F150">
        <f>TnSPLINE!F$8</f>
        <v>3.4967741935483869</v>
      </c>
      <c r="G150">
        <f>TnSPLINE!F$9</f>
        <v>7.0266666666666682</v>
      </c>
      <c r="H150">
        <f>TnSPLINE!K$8</f>
        <v>-1.4304035819556932E-2</v>
      </c>
      <c r="I150">
        <f>TnSPLINE!K$9</f>
        <v>4.7261141331311199E-3</v>
      </c>
      <c r="J150">
        <f t="shared" si="24"/>
        <v>0.19354838709677419</v>
      </c>
      <c r="K150">
        <f t="shared" si="25"/>
        <v>0.80645161290322576</v>
      </c>
      <c r="L150">
        <f t="shared" si="26"/>
        <v>101</v>
      </c>
      <c r="M150" s="6">
        <f t="shared" si="27"/>
        <v>6.3434616718695818</v>
      </c>
      <c r="N150" s="13">
        <f t="shared" si="22"/>
        <v>6.5568382314407625</v>
      </c>
      <c r="O150" s="6">
        <f t="shared" si="30"/>
        <v>27.919840443982018</v>
      </c>
      <c r="P150" s="6">
        <f t="shared" si="31"/>
        <v>18.411506427102864</v>
      </c>
      <c r="Q150" s="6">
        <f t="shared" si="28"/>
        <v>6.5568382314407625</v>
      </c>
      <c r="T150" s="6">
        <f t="shared" si="21"/>
        <v>6.5568382314407625</v>
      </c>
    </row>
    <row r="151" spans="1:20">
      <c r="B151">
        <f t="shared" si="29"/>
        <v>148</v>
      </c>
      <c r="C151">
        <f t="shared" si="23"/>
        <v>31</v>
      </c>
      <c r="D151">
        <v>122</v>
      </c>
      <c r="E151">
        <v>153</v>
      </c>
      <c r="F151">
        <f>TnSPLINE!F$8</f>
        <v>3.4967741935483869</v>
      </c>
      <c r="G151">
        <f>TnSPLINE!F$9</f>
        <v>7.0266666666666682</v>
      </c>
      <c r="H151">
        <f>TnSPLINE!K$8</f>
        <v>-1.4304035819556932E-2</v>
      </c>
      <c r="I151">
        <f>TnSPLINE!K$9</f>
        <v>4.7261141331311199E-3</v>
      </c>
      <c r="J151">
        <f t="shared" si="24"/>
        <v>0.16129032258064516</v>
      </c>
      <c r="K151">
        <f t="shared" si="25"/>
        <v>0.83870967741935487</v>
      </c>
      <c r="L151">
        <f t="shared" si="26"/>
        <v>102</v>
      </c>
      <c r="M151" s="6">
        <f t="shared" si="27"/>
        <v>6.4573291710024288</v>
      </c>
      <c r="N151" s="13">
        <f t="shared" si="22"/>
        <v>6.6289548801907348</v>
      </c>
      <c r="O151" s="6">
        <f t="shared" si="30"/>
        <v>34.377169614984446</v>
      </c>
      <c r="P151" s="6">
        <f t="shared" si="31"/>
        <v>25.040461307293597</v>
      </c>
      <c r="Q151" s="6">
        <f t="shared" si="28"/>
        <v>6.6289548801907348</v>
      </c>
      <c r="T151" s="6">
        <f t="shared" si="21"/>
        <v>6.6289548801907348</v>
      </c>
    </row>
    <row r="152" spans="1:20">
      <c r="B152">
        <f t="shared" si="29"/>
        <v>149</v>
      </c>
      <c r="C152">
        <f t="shared" si="23"/>
        <v>31</v>
      </c>
      <c r="D152">
        <v>122</v>
      </c>
      <c r="E152">
        <v>153</v>
      </c>
      <c r="F152">
        <f>TnSPLINE!F$8</f>
        <v>3.4967741935483869</v>
      </c>
      <c r="G152">
        <f>TnSPLINE!F$9</f>
        <v>7.0266666666666682</v>
      </c>
      <c r="H152">
        <f>TnSPLINE!K$8</f>
        <v>-1.4304035819556932E-2</v>
      </c>
      <c r="I152">
        <f>TnSPLINE!K$9</f>
        <v>4.7261141331311199E-3</v>
      </c>
      <c r="J152">
        <f t="shared" si="24"/>
        <v>0.12903225806451613</v>
      </c>
      <c r="K152">
        <f t="shared" si="25"/>
        <v>0.87096774193548387</v>
      </c>
      <c r="L152">
        <f t="shared" si="26"/>
        <v>103</v>
      </c>
      <c r="M152" s="6">
        <f t="shared" si="27"/>
        <v>6.5711966701352766</v>
      </c>
      <c r="N152" s="13">
        <f t="shared" si="22"/>
        <v>6.7027282640492114</v>
      </c>
      <c r="O152" s="6">
        <f t="shared" si="30"/>
        <v>40.948366285119725</v>
      </c>
      <c r="P152" s="6">
        <f t="shared" si="31"/>
        <v>31.74318957134281</v>
      </c>
      <c r="Q152" s="6">
        <f t="shared" si="28"/>
        <v>6.7027282640492114</v>
      </c>
      <c r="T152" s="6">
        <f t="shared" si="21"/>
        <v>6.7027282640492114</v>
      </c>
    </row>
    <row r="153" spans="1:20">
      <c r="B153">
        <f t="shared" si="29"/>
        <v>150</v>
      </c>
      <c r="C153">
        <f t="shared" si="23"/>
        <v>31</v>
      </c>
      <c r="D153">
        <v>122</v>
      </c>
      <c r="E153">
        <v>153</v>
      </c>
      <c r="F153">
        <f>TnSPLINE!F$8</f>
        <v>3.4967741935483869</v>
      </c>
      <c r="G153">
        <f>TnSPLINE!F$9</f>
        <v>7.0266666666666682</v>
      </c>
      <c r="H153">
        <f>TnSPLINE!K$8</f>
        <v>-1.4304035819556932E-2</v>
      </c>
      <c r="I153">
        <f>TnSPLINE!K$9</f>
        <v>4.7261141331311199E-3</v>
      </c>
      <c r="J153">
        <f t="shared" si="24"/>
        <v>9.6774193548387094E-2</v>
      </c>
      <c r="K153">
        <f t="shared" si="25"/>
        <v>0.90322580645161288</v>
      </c>
      <c r="L153">
        <f t="shared" si="26"/>
        <v>104</v>
      </c>
      <c r="M153" s="6">
        <f t="shared" si="27"/>
        <v>6.6850641692681245</v>
      </c>
      <c r="N153" s="13">
        <f t="shared" si="22"/>
        <v>6.7787722588211174</v>
      </c>
      <c r="O153" s="6">
        <f t="shared" si="30"/>
        <v>47.633430454387849</v>
      </c>
      <c r="P153" s="6">
        <f t="shared" si="31"/>
        <v>38.521961830163931</v>
      </c>
      <c r="Q153" s="6">
        <f t="shared" si="28"/>
        <v>6.7787722588211174</v>
      </c>
      <c r="T153" s="6">
        <f t="shared" si="21"/>
        <v>6.7787722588211174</v>
      </c>
    </row>
    <row r="154" spans="1:20">
      <c r="B154">
        <f t="shared" si="29"/>
        <v>151</v>
      </c>
      <c r="C154">
        <f t="shared" si="23"/>
        <v>31</v>
      </c>
      <c r="D154">
        <v>122</v>
      </c>
      <c r="E154">
        <v>153</v>
      </c>
      <c r="F154">
        <f>TnSPLINE!F$8</f>
        <v>3.4967741935483869</v>
      </c>
      <c r="G154">
        <f>TnSPLINE!F$9</f>
        <v>7.0266666666666682</v>
      </c>
      <c r="H154">
        <f>TnSPLINE!K$8</f>
        <v>-1.4304035819556932E-2</v>
      </c>
      <c r="I154">
        <f>TnSPLINE!K$9</f>
        <v>4.7261141331311199E-3</v>
      </c>
      <c r="J154">
        <f t="shared" si="24"/>
        <v>6.4516129032258063E-2</v>
      </c>
      <c r="K154">
        <f t="shared" si="25"/>
        <v>0.93548387096774188</v>
      </c>
      <c r="L154">
        <f t="shared" si="26"/>
        <v>105</v>
      </c>
      <c r="M154" s="6">
        <f t="shared" si="27"/>
        <v>6.7989316684009724</v>
      </c>
      <c r="N154" s="13">
        <f t="shared" si="22"/>
        <v>6.8577007403113788</v>
      </c>
      <c r="O154" s="6">
        <f t="shared" si="30"/>
        <v>54.432362122788824</v>
      </c>
      <c r="P154" s="6">
        <f t="shared" si="31"/>
        <v>45.379662570475311</v>
      </c>
      <c r="Q154" s="6">
        <f t="shared" si="28"/>
        <v>6.8577007403113788</v>
      </c>
      <c r="T154" s="6">
        <f t="shared" si="21"/>
        <v>6.8577007403113788</v>
      </c>
    </row>
    <row r="155" spans="1:20">
      <c r="B155">
        <f t="shared" si="29"/>
        <v>152</v>
      </c>
      <c r="C155">
        <f t="shared" si="23"/>
        <v>31</v>
      </c>
      <c r="D155">
        <v>122</v>
      </c>
      <c r="E155">
        <v>153</v>
      </c>
      <c r="F155">
        <f>TnSPLINE!F$8</f>
        <v>3.4967741935483869</v>
      </c>
      <c r="G155">
        <f>TnSPLINE!F$9</f>
        <v>7.0266666666666682</v>
      </c>
      <c r="H155">
        <f>TnSPLINE!K$8</f>
        <v>-1.4304035819556932E-2</v>
      </c>
      <c r="I155">
        <f>TnSPLINE!K$9</f>
        <v>4.7261141331311199E-3</v>
      </c>
      <c r="J155">
        <f t="shared" si="24"/>
        <v>3.2258064516129031E-2</v>
      </c>
      <c r="K155">
        <f t="shared" si="25"/>
        <v>0.967741935483871</v>
      </c>
      <c r="L155">
        <f t="shared" si="26"/>
        <v>106</v>
      </c>
      <c r="M155" s="6">
        <f t="shared" si="27"/>
        <v>6.9127991675338203</v>
      </c>
      <c r="N155" s="13">
        <f t="shared" si="22"/>
        <v>6.9401275843249213</v>
      </c>
      <c r="O155" s="6">
        <f t="shared" si="30"/>
        <v>61.345161290322643</v>
      </c>
      <c r="P155" s="6">
        <f t="shared" si="31"/>
        <v>52.319790154800231</v>
      </c>
      <c r="Q155" s="6">
        <f t="shared" si="28"/>
        <v>6.9401275843249213</v>
      </c>
      <c r="T155" s="6">
        <f t="shared" si="21"/>
        <v>6.9401275843249213</v>
      </c>
    </row>
    <row r="156" spans="1:20">
      <c r="A156">
        <v>153</v>
      </c>
      <c r="B156">
        <f t="shared" si="29"/>
        <v>153</v>
      </c>
      <c r="C156">
        <f t="shared" si="23"/>
        <v>31</v>
      </c>
      <c r="D156">
        <v>122</v>
      </c>
      <c r="E156">
        <v>153</v>
      </c>
      <c r="F156">
        <f>TnSPLINE!F$8</f>
        <v>3.4967741935483869</v>
      </c>
      <c r="G156">
        <f>TnSPLINE!F$9</f>
        <v>7.0266666666666682</v>
      </c>
      <c r="H156">
        <f>TnSPLINE!K$8</f>
        <v>-1.4304035819556932E-2</v>
      </c>
      <c r="I156">
        <f>TnSPLINE!K$9</f>
        <v>4.7261141331311199E-3</v>
      </c>
      <c r="J156">
        <f t="shared" si="24"/>
        <v>0</v>
      </c>
      <c r="K156">
        <f t="shared" si="25"/>
        <v>1</v>
      </c>
      <c r="L156">
        <f t="shared" si="26"/>
        <v>107</v>
      </c>
      <c r="M156" s="6">
        <f t="shared" si="27"/>
        <v>7.0266666666666682</v>
      </c>
      <c r="N156" s="13">
        <f t="shared" si="22"/>
        <v>7.0266666666666682</v>
      </c>
      <c r="O156" s="6">
        <f t="shared" si="30"/>
        <v>68.371827956989307</v>
      </c>
      <c r="P156" s="6">
        <f t="shared" si="31"/>
        <v>59.346456821466901</v>
      </c>
      <c r="Q156" s="6">
        <f t="shared" si="28"/>
        <v>7.0266666666666682</v>
      </c>
      <c r="T156" s="6">
        <f t="shared" si="21"/>
        <v>7.0266666666666682</v>
      </c>
    </row>
    <row r="157" spans="1:20">
      <c r="B157">
        <f t="shared" si="29"/>
        <v>154</v>
      </c>
      <c r="C157">
        <f t="shared" si="23"/>
        <v>30</v>
      </c>
      <c r="D157">
        <v>153</v>
      </c>
      <c r="E157">
        <v>183</v>
      </c>
      <c r="F157">
        <f>TnSPLINE!F$9</f>
        <v>7.0266666666666682</v>
      </c>
      <c r="G157">
        <f>TnSPLINE!F$10</f>
        <v>11.332258064516131</v>
      </c>
      <c r="H157" s="5">
        <f>TnSPLINE!K$9</f>
        <v>4.7261141331311199E-3</v>
      </c>
      <c r="I157" s="5">
        <f>TnSPLINE!K$10</f>
        <v>1.4917490312358057E-3</v>
      </c>
      <c r="J157">
        <f t="shared" si="24"/>
        <v>0.96666666666666667</v>
      </c>
      <c r="K157">
        <f t="shared" si="25"/>
        <v>3.3333333333333333E-2</v>
      </c>
      <c r="L157">
        <f t="shared" si="26"/>
        <v>108</v>
      </c>
      <c r="M157" s="6">
        <f t="shared" si="27"/>
        <v>7.1701863799283174</v>
      </c>
      <c r="N157" s="13">
        <f t="shared" si="22"/>
        <v>7.1178115818123819</v>
      </c>
      <c r="O157" s="6">
        <f t="shared" si="30"/>
        <v>75.542014336917617</v>
      </c>
      <c r="P157" s="6">
        <f t="shared" si="31"/>
        <v>66.464268403279277</v>
      </c>
      <c r="Q157" s="6">
        <f t="shared" si="28"/>
        <v>7.1178115818123819</v>
      </c>
      <c r="T157" s="6">
        <f t="shared" si="21"/>
        <v>7.1178115818123819</v>
      </c>
    </row>
    <row r="158" spans="1:20">
      <c r="B158">
        <f t="shared" si="29"/>
        <v>155</v>
      </c>
      <c r="C158">
        <f t="shared" si="23"/>
        <v>30</v>
      </c>
      <c r="D158">
        <v>153</v>
      </c>
      <c r="E158">
        <v>183</v>
      </c>
      <c r="F158">
        <f>TnSPLINE!F$9</f>
        <v>7.0266666666666682</v>
      </c>
      <c r="G158">
        <f>TnSPLINE!F$10</f>
        <v>11.332258064516131</v>
      </c>
      <c r="H158" s="5">
        <f>TnSPLINE!K$9</f>
        <v>4.7261141331311199E-3</v>
      </c>
      <c r="I158" s="5">
        <f>TnSPLINE!K$10</f>
        <v>1.4917490312358057E-3</v>
      </c>
      <c r="J158">
        <f t="shared" si="24"/>
        <v>0.93333333333333335</v>
      </c>
      <c r="K158">
        <f t="shared" si="25"/>
        <v>6.6666666666666666E-2</v>
      </c>
      <c r="L158">
        <f t="shared" si="26"/>
        <v>109</v>
      </c>
      <c r="M158" s="6">
        <f t="shared" si="27"/>
        <v>7.3137060931899658</v>
      </c>
      <c r="N158" s="13">
        <f t="shared" si="22"/>
        <v>7.2135747989211634</v>
      </c>
      <c r="O158" s="6">
        <f t="shared" si="30"/>
        <v>82.855720430107581</v>
      </c>
      <c r="P158" s="6">
        <f t="shared" si="31"/>
        <v>73.677843202200435</v>
      </c>
      <c r="Q158" s="6">
        <f t="shared" si="28"/>
        <v>7.2135747989211634</v>
      </c>
      <c r="T158" s="6">
        <f t="shared" si="21"/>
        <v>7.2135747989211634</v>
      </c>
    </row>
    <row r="159" spans="1:20">
      <c r="B159">
        <f t="shared" si="29"/>
        <v>156</v>
      </c>
      <c r="C159">
        <f t="shared" si="23"/>
        <v>30</v>
      </c>
      <c r="D159">
        <v>153</v>
      </c>
      <c r="E159">
        <v>183</v>
      </c>
      <c r="F159">
        <f>TnSPLINE!F$9</f>
        <v>7.0266666666666682</v>
      </c>
      <c r="G159">
        <f>TnSPLINE!F$10</f>
        <v>11.332258064516131</v>
      </c>
      <c r="H159" s="5">
        <f>TnSPLINE!K$9</f>
        <v>4.7261141331311199E-3</v>
      </c>
      <c r="I159" s="5">
        <f>TnSPLINE!K$10</f>
        <v>1.4917490312358057E-3</v>
      </c>
      <c r="J159">
        <f t="shared" si="24"/>
        <v>0.9</v>
      </c>
      <c r="K159">
        <f t="shared" si="25"/>
        <v>0.1</v>
      </c>
      <c r="L159">
        <f t="shared" si="26"/>
        <v>110</v>
      </c>
      <c r="M159" s="6">
        <f t="shared" si="27"/>
        <v>7.457225806451615</v>
      </c>
      <c r="N159" s="13">
        <f t="shared" si="22"/>
        <v>7.3138485058229499</v>
      </c>
      <c r="O159" s="6">
        <f t="shared" si="30"/>
        <v>90.312946236559199</v>
      </c>
      <c r="P159" s="6">
        <f t="shared" si="31"/>
        <v>80.991691708023382</v>
      </c>
      <c r="Q159" s="6">
        <f t="shared" si="28"/>
        <v>7.3138485058229499</v>
      </c>
      <c r="T159" s="6">
        <f t="shared" si="21"/>
        <v>7.3138485058229499</v>
      </c>
    </row>
    <row r="160" spans="1:20">
      <c r="B160">
        <f t="shared" si="29"/>
        <v>157</v>
      </c>
      <c r="C160">
        <f t="shared" si="23"/>
        <v>30</v>
      </c>
      <c r="D160">
        <v>153</v>
      </c>
      <c r="E160">
        <v>183</v>
      </c>
      <c r="F160">
        <f>TnSPLINE!F$9</f>
        <v>7.0266666666666682</v>
      </c>
      <c r="G160">
        <f>TnSPLINE!F$10</f>
        <v>11.332258064516131</v>
      </c>
      <c r="H160" s="5">
        <f>TnSPLINE!K$9</f>
        <v>4.7261141331311199E-3</v>
      </c>
      <c r="I160" s="5">
        <f>TnSPLINE!K$10</f>
        <v>1.4917490312358057E-3</v>
      </c>
      <c r="J160">
        <f t="shared" si="24"/>
        <v>0.8666666666666667</v>
      </c>
      <c r="K160">
        <f t="shared" si="25"/>
        <v>0.13333333333333333</v>
      </c>
      <c r="L160">
        <f t="shared" si="26"/>
        <v>111</v>
      </c>
      <c r="M160" s="6">
        <f t="shared" si="27"/>
        <v>7.6007455197132643</v>
      </c>
      <c r="N160" s="13">
        <f t="shared" si="22"/>
        <v>7.4185248903476788</v>
      </c>
      <c r="O160" s="6">
        <f t="shared" si="30"/>
        <v>97.91369175627247</v>
      </c>
      <c r="P160" s="6">
        <f t="shared" si="31"/>
        <v>88.410216598371065</v>
      </c>
      <c r="Q160" s="6">
        <f t="shared" si="28"/>
        <v>7.4185248903476788</v>
      </c>
      <c r="T160" s="6">
        <f t="shared" si="21"/>
        <v>7.4185248903476788</v>
      </c>
    </row>
    <row r="161" spans="2:20">
      <c r="B161">
        <f t="shared" si="29"/>
        <v>158</v>
      </c>
      <c r="C161">
        <f t="shared" si="23"/>
        <v>30</v>
      </c>
      <c r="D161">
        <v>153</v>
      </c>
      <c r="E161">
        <v>183</v>
      </c>
      <c r="F161">
        <f>TnSPLINE!F$9</f>
        <v>7.0266666666666682</v>
      </c>
      <c r="G161">
        <f>TnSPLINE!F$10</f>
        <v>11.332258064516131</v>
      </c>
      <c r="H161" s="5">
        <f>TnSPLINE!K$9</f>
        <v>4.7261141331311199E-3</v>
      </c>
      <c r="I161" s="5">
        <f>TnSPLINE!K$10</f>
        <v>1.4917490312358057E-3</v>
      </c>
      <c r="J161">
        <f t="shared" si="24"/>
        <v>0.83333333333333337</v>
      </c>
      <c r="K161">
        <f t="shared" si="25"/>
        <v>0.16666666666666666</v>
      </c>
      <c r="L161">
        <f t="shared" si="26"/>
        <v>112</v>
      </c>
      <c r="M161" s="6">
        <f t="shared" si="27"/>
        <v>7.7442652329749118</v>
      </c>
      <c r="N161" s="13">
        <f t="shared" si="22"/>
        <v>7.5274961403252831</v>
      </c>
      <c r="O161" s="6">
        <f t="shared" si="30"/>
        <v>105.65795698924738</v>
      </c>
      <c r="P161" s="6">
        <f t="shared" si="31"/>
        <v>95.937712738696348</v>
      </c>
      <c r="Q161" s="6">
        <f t="shared" si="28"/>
        <v>7.5274961403252831</v>
      </c>
      <c r="T161" s="6">
        <f t="shared" si="21"/>
        <v>7.5274961403252831</v>
      </c>
    </row>
    <row r="162" spans="2:20">
      <c r="B162">
        <f t="shared" si="29"/>
        <v>159</v>
      </c>
      <c r="C162">
        <f t="shared" si="23"/>
        <v>30</v>
      </c>
      <c r="D162">
        <v>153</v>
      </c>
      <c r="E162">
        <v>183</v>
      </c>
      <c r="F162">
        <f>TnSPLINE!F$9</f>
        <v>7.0266666666666682</v>
      </c>
      <c r="G162">
        <f>TnSPLINE!F$10</f>
        <v>11.332258064516131</v>
      </c>
      <c r="H162" s="5">
        <f>TnSPLINE!K$9</f>
        <v>4.7261141331311199E-3</v>
      </c>
      <c r="I162" s="5">
        <f>TnSPLINE!K$10</f>
        <v>1.4917490312358057E-3</v>
      </c>
      <c r="J162">
        <f t="shared" si="24"/>
        <v>0.8</v>
      </c>
      <c r="K162">
        <f t="shared" si="25"/>
        <v>0.2</v>
      </c>
      <c r="L162">
        <f t="shared" si="26"/>
        <v>113</v>
      </c>
      <c r="M162" s="6">
        <f t="shared" si="27"/>
        <v>7.887784946236561</v>
      </c>
      <c r="N162" s="13">
        <f t="shared" si="22"/>
        <v>7.6406544435857056</v>
      </c>
      <c r="O162" s="6">
        <f t="shared" si="30"/>
        <v>113.54574193548395</v>
      </c>
      <c r="P162" s="6">
        <f t="shared" si="31"/>
        <v>103.57836718228205</v>
      </c>
      <c r="Q162" s="6">
        <f t="shared" si="28"/>
        <v>7.6406544435857056</v>
      </c>
      <c r="T162" s="6">
        <f t="shared" si="21"/>
        <v>7.6406544435857056</v>
      </c>
    </row>
    <row r="163" spans="2:20">
      <c r="B163">
        <f t="shared" si="29"/>
        <v>160</v>
      </c>
      <c r="C163">
        <f t="shared" si="23"/>
        <v>30</v>
      </c>
      <c r="D163">
        <v>153</v>
      </c>
      <c r="E163">
        <v>183</v>
      </c>
      <c r="F163">
        <f>TnSPLINE!F$9</f>
        <v>7.0266666666666682</v>
      </c>
      <c r="G163">
        <f>TnSPLINE!F$10</f>
        <v>11.332258064516131</v>
      </c>
      <c r="H163" s="5">
        <f>TnSPLINE!K$9</f>
        <v>4.7261141331311199E-3</v>
      </c>
      <c r="I163" s="5">
        <f>TnSPLINE!K$10</f>
        <v>1.4917490312358057E-3</v>
      </c>
      <c r="J163">
        <f t="shared" si="24"/>
        <v>0.76666666666666672</v>
      </c>
      <c r="K163">
        <f t="shared" si="25"/>
        <v>0.23333333333333334</v>
      </c>
      <c r="L163">
        <f t="shared" si="26"/>
        <v>114</v>
      </c>
      <c r="M163" s="6">
        <f t="shared" si="27"/>
        <v>8.0313046594982094</v>
      </c>
      <c r="N163" s="13">
        <f t="shared" si="22"/>
        <v>7.757891987958879</v>
      </c>
      <c r="O163" s="6">
        <f t="shared" si="30"/>
        <v>121.57704659498215</v>
      </c>
      <c r="P163" s="6">
        <f t="shared" si="31"/>
        <v>111.33625917024094</v>
      </c>
      <c r="Q163" s="6">
        <f t="shared" si="28"/>
        <v>7.757891987958879</v>
      </c>
      <c r="T163" s="6">
        <f t="shared" si="21"/>
        <v>7.757891987958879</v>
      </c>
    </row>
    <row r="164" spans="2:20">
      <c r="B164">
        <f t="shared" si="29"/>
        <v>161</v>
      </c>
      <c r="C164">
        <f t="shared" si="23"/>
        <v>30</v>
      </c>
      <c r="D164">
        <v>153</v>
      </c>
      <c r="E164">
        <v>183</v>
      </c>
      <c r="F164">
        <f>TnSPLINE!F$9</f>
        <v>7.0266666666666682</v>
      </c>
      <c r="G164">
        <f>TnSPLINE!F$10</f>
        <v>11.332258064516131</v>
      </c>
      <c r="H164" s="5">
        <f>TnSPLINE!K$9</f>
        <v>4.7261141331311199E-3</v>
      </c>
      <c r="I164" s="5">
        <f>TnSPLINE!K$10</f>
        <v>1.4917490312358057E-3</v>
      </c>
      <c r="J164">
        <f t="shared" si="24"/>
        <v>0.73333333333333328</v>
      </c>
      <c r="K164">
        <f t="shared" si="25"/>
        <v>0.26666666666666666</v>
      </c>
      <c r="L164">
        <f t="shared" si="26"/>
        <v>115</v>
      </c>
      <c r="M164" s="6">
        <f t="shared" si="27"/>
        <v>8.1748243727598577</v>
      </c>
      <c r="N164" s="13">
        <f t="shared" si="22"/>
        <v>7.8791009612747409</v>
      </c>
      <c r="O164" s="6">
        <f t="shared" si="30"/>
        <v>129.75187096774201</v>
      </c>
      <c r="P164" s="6">
        <f t="shared" si="31"/>
        <v>119.21536013151568</v>
      </c>
      <c r="Q164" s="6">
        <f t="shared" si="28"/>
        <v>7.8791009612747409</v>
      </c>
      <c r="T164" s="6">
        <f t="shared" si="21"/>
        <v>7.8791009612747409</v>
      </c>
    </row>
    <row r="165" spans="2:20">
      <c r="B165">
        <f t="shared" si="29"/>
        <v>162</v>
      </c>
      <c r="C165">
        <f t="shared" si="23"/>
        <v>30</v>
      </c>
      <c r="D165">
        <v>153</v>
      </c>
      <c r="E165">
        <v>183</v>
      </c>
      <c r="F165">
        <f>TnSPLINE!F$9</f>
        <v>7.0266666666666682</v>
      </c>
      <c r="G165">
        <f>TnSPLINE!F$10</f>
        <v>11.332258064516131</v>
      </c>
      <c r="H165" s="5">
        <f>TnSPLINE!K$9</f>
        <v>4.7261141331311199E-3</v>
      </c>
      <c r="I165" s="5">
        <f>TnSPLINE!K$10</f>
        <v>1.4917490312358057E-3</v>
      </c>
      <c r="J165">
        <f t="shared" si="24"/>
        <v>0.7</v>
      </c>
      <c r="K165">
        <f t="shared" si="25"/>
        <v>0.3</v>
      </c>
      <c r="L165">
        <f t="shared" si="26"/>
        <v>116</v>
      </c>
      <c r="M165" s="6">
        <f t="shared" si="27"/>
        <v>8.3183440860215061</v>
      </c>
      <c r="N165" s="13">
        <f t="shared" si="22"/>
        <v>8.0041735513632286</v>
      </c>
      <c r="O165" s="6">
        <f t="shared" si="30"/>
        <v>138.07021505376352</v>
      </c>
      <c r="P165" s="6">
        <f t="shared" si="31"/>
        <v>127.2195336828789</v>
      </c>
      <c r="Q165" s="6">
        <f t="shared" si="28"/>
        <v>8.0041735513632286</v>
      </c>
      <c r="T165" s="6">
        <f t="shared" si="21"/>
        <v>8.0041735513632286</v>
      </c>
    </row>
    <row r="166" spans="2:20">
      <c r="B166">
        <f t="shared" si="29"/>
        <v>163</v>
      </c>
      <c r="C166">
        <f t="shared" si="23"/>
        <v>30</v>
      </c>
      <c r="D166">
        <v>153</v>
      </c>
      <c r="E166">
        <v>183</v>
      </c>
      <c r="F166">
        <f>TnSPLINE!F$9</f>
        <v>7.0266666666666682</v>
      </c>
      <c r="G166">
        <f>TnSPLINE!F$10</f>
        <v>11.332258064516131</v>
      </c>
      <c r="H166" s="5">
        <f>TnSPLINE!K$9</f>
        <v>4.7261141331311199E-3</v>
      </c>
      <c r="I166" s="5">
        <f>TnSPLINE!K$10</f>
        <v>1.4917490312358057E-3</v>
      </c>
      <c r="J166">
        <f t="shared" si="24"/>
        <v>0.66666666666666663</v>
      </c>
      <c r="K166">
        <f t="shared" si="25"/>
        <v>0.33333333333333331</v>
      </c>
      <c r="L166">
        <f t="shared" si="26"/>
        <v>117</v>
      </c>
      <c r="M166" s="6">
        <f t="shared" si="27"/>
        <v>8.4618637992831545</v>
      </c>
      <c r="N166" s="13">
        <f t="shared" si="22"/>
        <v>8.1330019460542786</v>
      </c>
      <c r="O166" s="6">
        <f t="shared" si="30"/>
        <v>146.53207885304667</v>
      </c>
      <c r="P166" s="6">
        <f t="shared" si="31"/>
        <v>135.3525356289332</v>
      </c>
      <c r="Q166" s="6">
        <f t="shared" si="28"/>
        <v>8.1330019460542786</v>
      </c>
      <c r="T166" s="6">
        <f t="shared" si="21"/>
        <v>8.1330019460542786</v>
      </c>
    </row>
    <row r="167" spans="2:20">
      <c r="B167">
        <f t="shared" si="29"/>
        <v>164</v>
      </c>
      <c r="C167">
        <f t="shared" si="23"/>
        <v>30</v>
      </c>
      <c r="D167">
        <v>153</v>
      </c>
      <c r="E167">
        <v>183</v>
      </c>
      <c r="F167">
        <f>TnSPLINE!F$9</f>
        <v>7.0266666666666682</v>
      </c>
      <c r="G167">
        <f>TnSPLINE!F$10</f>
        <v>11.332258064516131</v>
      </c>
      <c r="H167" s="5">
        <f>TnSPLINE!K$9</f>
        <v>4.7261141331311199E-3</v>
      </c>
      <c r="I167" s="5">
        <f>TnSPLINE!K$10</f>
        <v>1.4917490312358057E-3</v>
      </c>
      <c r="J167">
        <f t="shared" si="24"/>
        <v>0.6333333333333333</v>
      </c>
      <c r="K167">
        <f t="shared" si="25"/>
        <v>0.36666666666666664</v>
      </c>
      <c r="L167">
        <f t="shared" si="26"/>
        <v>118</v>
      </c>
      <c r="M167" s="6">
        <f t="shared" si="27"/>
        <v>8.6053835125448046</v>
      </c>
      <c r="N167" s="13">
        <f t="shared" si="22"/>
        <v>8.2654783331778301</v>
      </c>
      <c r="O167" s="6">
        <f t="shared" si="30"/>
        <v>155.13746236559149</v>
      </c>
      <c r="P167" s="6">
        <f t="shared" si="31"/>
        <v>143.61801396211104</v>
      </c>
      <c r="Q167" s="6">
        <f t="shared" si="28"/>
        <v>8.2654783331778301</v>
      </c>
      <c r="T167" s="6">
        <f t="shared" si="21"/>
        <v>8.2654783331778301</v>
      </c>
    </row>
    <row r="168" spans="2:20">
      <c r="B168">
        <f t="shared" si="29"/>
        <v>165</v>
      </c>
      <c r="C168">
        <f t="shared" si="23"/>
        <v>30</v>
      </c>
      <c r="D168">
        <v>153</v>
      </c>
      <c r="E168">
        <v>183</v>
      </c>
      <c r="F168">
        <f>TnSPLINE!F$9</f>
        <v>7.0266666666666682</v>
      </c>
      <c r="G168">
        <f>TnSPLINE!F$10</f>
        <v>11.332258064516131</v>
      </c>
      <c r="H168" s="5">
        <f>TnSPLINE!K$9</f>
        <v>4.7261141331311199E-3</v>
      </c>
      <c r="I168" s="5">
        <f>TnSPLINE!K$10</f>
        <v>1.4917490312358057E-3</v>
      </c>
      <c r="J168">
        <f t="shared" si="24"/>
        <v>0.6</v>
      </c>
      <c r="K168">
        <f t="shared" si="25"/>
        <v>0.4</v>
      </c>
      <c r="L168">
        <f t="shared" si="26"/>
        <v>119</v>
      </c>
      <c r="M168" s="6">
        <f t="shared" si="27"/>
        <v>8.7489032258064547</v>
      </c>
      <c r="N168" s="13">
        <f t="shared" si="22"/>
        <v>8.4014949005638169</v>
      </c>
      <c r="O168" s="6">
        <f t="shared" si="30"/>
        <v>163.88636559139795</v>
      </c>
      <c r="P168" s="6">
        <f t="shared" si="31"/>
        <v>152.01950886267485</v>
      </c>
      <c r="Q168" s="6">
        <f t="shared" si="28"/>
        <v>8.4014949005638169</v>
      </c>
      <c r="T168" s="6">
        <f t="shared" si="21"/>
        <v>8.4014949005638169</v>
      </c>
    </row>
    <row r="169" spans="2:20">
      <c r="B169">
        <f t="shared" si="29"/>
        <v>166</v>
      </c>
      <c r="C169">
        <f t="shared" si="23"/>
        <v>30</v>
      </c>
      <c r="D169">
        <v>153</v>
      </c>
      <c r="E169">
        <v>183</v>
      </c>
      <c r="F169">
        <f>TnSPLINE!F$9</f>
        <v>7.0266666666666682</v>
      </c>
      <c r="G169">
        <f>TnSPLINE!F$10</f>
        <v>11.332258064516131</v>
      </c>
      <c r="H169" s="5">
        <f>TnSPLINE!K$9</f>
        <v>4.7261141331311199E-3</v>
      </c>
      <c r="I169" s="5">
        <f>TnSPLINE!K$10</f>
        <v>1.4917490312358057E-3</v>
      </c>
      <c r="J169">
        <f t="shared" si="24"/>
        <v>0.56666666666666665</v>
      </c>
      <c r="K169">
        <f t="shared" si="25"/>
        <v>0.43333333333333335</v>
      </c>
      <c r="L169">
        <f t="shared" si="26"/>
        <v>120</v>
      </c>
      <c r="M169" s="6">
        <f t="shared" si="27"/>
        <v>8.8924229390681013</v>
      </c>
      <c r="N169" s="13">
        <f t="shared" si="22"/>
        <v>8.5409438360421746</v>
      </c>
      <c r="O169" s="6">
        <f t="shared" si="30"/>
        <v>172.77878853046604</v>
      </c>
      <c r="P169" s="6">
        <f t="shared" si="31"/>
        <v>160.56045269871703</v>
      </c>
      <c r="Q169" s="6">
        <f t="shared" si="28"/>
        <v>8.5409438360421746</v>
      </c>
      <c r="T169" s="6">
        <f t="shared" si="21"/>
        <v>8.5409438360421746</v>
      </c>
    </row>
    <row r="170" spans="2:20">
      <c r="B170">
        <f t="shared" si="29"/>
        <v>167</v>
      </c>
      <c r="C170">
        <f t="shared" si="23"/>
        <v>30</v>
      </c>
      <c r="D170">
        <v>153</v>
      </c>
      <c r="E170">
        <v>183</v>
      </c>
      <c r="F170">
        <f>TnSPLINE!F$9</f>
        <v>7.0266666666666682</v>
      </c>
      <c r="G170">
        <f>TnSPLINE!F$10</f>
        <v>11.332258064516131</v>
      </c>
      <c r="H170" s="5">
        <f>TnSPLINE!K$9</f>
        <v>4.7261141331311199E-3</v>
      </c>
      <c r="I170" s="5">
        <f>TnSPLINE!K$10</f>
        <v>1.4917490312358057E-3</v>
      </c>
      <c r="J170">
        <f t="shared" si="24"/>
        <v>0.53333333333333333</v>
      </c>
      <c r="K170">
        <f t="shared" si="25"/>
        <v>0.46666666666666667</v>
      </c>
      <c r="L170">
        <f t="shared" si="26"/>
        <v>121</v>
      </c>
      <c r="M170" s="6">
        <f t="shared" si="27"/>
        <v>9.0359426523297515</v>
      </c>
      <c r="N170" s="13">
        <f t="shared" si="22"/>
        <v>8.6837173274428459</v>
      </c>
      <c r="O170" s="6">
        <f t="shared" si="30"/>
        <v>181.81473118279581</v>
      </c>
      <c r="P170" s="6">
        <f t="shared" si="31"/>
        <v>169.24417002615988</v>
      </c>
      <c r="Q170" s="6">
        <f t="shared" si="28"/>
        <v>8.6837173274428459</v>
      </c>
      <c r="T170" s="6">
        <f t="shared" si="21"/>
        <v>8.6837173274428459</v>
      </c>
    </row>
    <row r="171" spans="2:20">
      <c r="B171">
        <f t="shared" si="29"/>
        <v>168</v>
      </c>
      <c r="C171">
        <f t="shared" si="23"/>
        <v>30</v>
      </c>
      <c r="D171">
        <v>153</v>
      </c>
      <c r="E171">
        <v>183</v>
      </c>
      <c r="F171">
        <f>TnSPLINE!F$9</f>
        <v>7.0266666666666682</v>
      </c>
      <c r="G171">
        <f>TnSPLINE!F$10</f>
        <v>11.332258064516131</v>
      </c>
      <c r="H171" s="5">
        <f>TnSPLINE!K$9</f>
        <v>4.7261141331311199E-3</v>
      </c>
      <c r="I171" s="5">
        <f>TnSPLINE!K$10</f>
        <v>1.4917490312358057E-3</v>
      </c>
      <c r="J171">
        <f t="shared" si="24"/>
        <v>0.5</v>
      </c>
      <c r="K171">
        <f t="shared" si="25"/>
        <v>0.5</v>
      </c>
      <c r="L171">
        <f t="shared" si="26"/>
        <v>122</v>
      </c>
      <c r="M171" s="6">
        <f t="shared" si="27"/>
        <v>9.1794623655913998</v>
      </c>
      <c r="N171" s="13">
        <f t="shared" si="22"/>
        <v>8.8297075625957611</v>
      </c>
      <c r="O171" s="6">
        <f t="shared" si="30"/>
        <v>190.99419354838722</v>
      </c>
      <c r="P171" s="6">
        <f t="shared" si="31"/>
        <v>178.07387758875564</v>
      </c>
      <c r="Q171" s="6">
        <f t="shared" si="28"/>
        <v>8.8297075625957611</v>
      </c>
      <c r="T171" s="6">
        <f t="shared" si="21"/>
        <v>8.8297075625957611</v>
      </c>
    </row>
    <row r="172" spans="2:20">
      <c r="B172">
        <f t="shared" si="29"/>
        <v>169</v>
      </c>
      <c r="C172">
        <f t="shared" si="23"/>
        <v>30</v>
      </c>
      <c r="D172">
        <v>153</v>
      </c>
      <c r="E172">
        <v>183</v>
      </c>
      <c r="F172">
        <f>TnSPLINE!F$9</f>
        <v>7.0266666666666682</v>
      </c>
      <c r="G172">
        <f>TnSPLINE!F$10</f>
        <v>11.332258064516131</v>
      </c>
      <c r="H172" s="5">
        <f>TnSPLINE!K$9</f>
        <v>4.7261141331311199E-3</v>
      </c>
      <c r="I172" s="5">
        <f>TnSPLINE!K$10</f>
        <v>1.4917490312358057E-3</v>
      </c>
      <c r="J172">
        <f t="shared" si="24"/>
        <v>0.46666666666666667</v>
      </c>
      <c r="K172">
        <f t="shared" si="25"/>
        <v>0.53333333333333333</v>
      </c>
      <c r="L172">
        <f t="shared" si="26"/>
        <v>123</v>
      </c>
      <c r="M172" s="6">
        <f t="shared" si="27"/>
        <v>9.3229820788530482</v>
      </c>
      <c r="N172" s="13">
        <f t="shared" si="22"/>
        <v>8.9788067293308593</v>
      </c>
      <c r="O172" s="6">
        <f t="shared" si="30"/>
        <v>200.31717562724026</v>
      </c>
      <c r="P172" s="6">
        <f t="shared" si="31"/>
        <v>187.05268431808651</v>
      </c>
      <c r="Q172" s="6">
        <f t="shared" si="28"/>
        <v>8.9788067293308593</v>
      </c>
      <c r="T172" s="6">
        <f t="shared" si="21"/>
        <v>8.9788067293308593</v>
      </c>
    </row>
    <row r="173" spans="2:20">
      <c r="B173">
        <f t="shared" si="29"/>
        <v>170</v>
      </c>
      <c r="C173">
        <f t="shared" si="23"/>
        <v>30</v>
      </c>
      <c r="D173">
        <v>153</v>
      </c>
      <c r="E173">
        <v>183</v>
      </c>
      <c r="F173">
        <f>TnSPLINE!F$9</f>
        <v>7.0266666666666682</v>
      </c>
      <c r="G173">
        <f>TnSPLINE!F$10</f>
        <v>11.332258064516131</v>
      </c>
      <c r="H173" s="5">
        <f>TnSPLINE!K$9</f>
        <v>4.7261141331311199E-3</v>
      </c>
      <c r="I173" s="5">
        <f>TnSPLINE!K$10</f>
        <v>1.4917490312358057E-3</v>
      </c>
      <c r="J173">
        <f t="shared" si="24"/>
        <v>0.43333333333333335</v>
      </c>
      <c r="K173">
        <f t="shared" si="25"/>
        <v>0.56666666666666665</v>
      </c>
      <c r="L173">
        <f t="shared" si="26"/>
        <v>124</v>
      </c>
      <c r="M173" s="6">
        <f t="shared" si="27"/>
        <v>9.4665017921146983</v>
      </c>
      <c r="N173" s="13">
        <f t="shared" si="22"/>
        <v>9.1309070154780798</v>
      </c>
      <c r="O173" s="6">
        <f t="shared" si="30"/>
        <v>209.78367741935494</v>
      </c>
      <c r="P173" s="6">
        <f t="shared" si="31"/>
        <v>196.18359133356458</v>
      </c>
      <c r="Q173" s="6">
        <f t="shared" si="28"/>
        <v>9.1309070154780798</v>
      </c>
      <c r="T173" s="6">
        <f t="shared" si="21"/>
        <v>9.1309070154780798</v>
      </c>
    </row>
    <row r="174" spans="2:20">
      <c r="B174">
        <f t="shared" si="29"/>
        <v>171</v>
      </c>
      <c r="C174">
        <f t="shared" si="23"/>
        <v>30</v>
      </c>
      <c r="D174">
        <v>153</v>
      </c>
      <c r="E174">
        <v>183</v>
      </c>
      <c r="F174">
        <f>TnSPLINE!F$9</f>
        <v>7.0266666666666682</v>
      </c>
      <c r="G174">
        <f>TnSPLINE!F$10</f>
        <v>11.332258064516131</v>
      </c>
      <c r="H174" s="5">
        <f>TnSPLINE!K$9</f>
        <v>4.7261141331311199E-3</v>
      </c>
      <c r="I174" s="5">
        <f>TnSPLINE!K$10</f>
        <v>1.4917490312358057E-3</v>
      </c>
      <c r="J174">
        <f t="shared" si="24"/>
        <v>0.4</v>
      </c>
      <c r="K174">
        <f t="shared" si="25"/>
        <v>0.6</v>
      </c>
      <c r="L174">
        <f t="shared" si="26"/>
        <v>125</v>
      </c>
      <c r="M174" s="6">
        <f t="shared" si="27"/>
        <v>9.6100215053763449</v>
      </c>
      <c r="N174" s="13">
        <f t="shared" si="22"/>
        <v>9.2859006088673546</v>
      </c>
      <c r="O174" s="6">
        <f t="shared" si="30"/>
        <v>219.3936989247313</v>
      </c>
      <c r="P174" s="6">
        <f t="shared" si="31"/>
        <v>205.46949194243194</v>
      </c>
      <c r="Q174" s="6">
        <f t="shared" si="28"/>
        <v>9.2859006088673546</v>
      </c>
      <c r="T174" s="6">
        <f t="shared" si="21"/>
        <v>9.2859006088673546</v>
      </c>
    </row>
    <row r="175" spans="2:20">
      <c r="B175">
        <f t="shared" si="29"/>
        <v>172</v>
      </c>
      <c r="C175">
        <f t="shared" si="23"/>
        <v>30</v>
      </c>
      <c r="D175">
        <v>153</v>
      </c>
      <c r="E175">
        <v>183</v>
      </c>
      <c r="F175">
        <f>TnSPLINE!F$9</f>
        <v>7.0266666666666682</v>
      </c>
      <c r="G175">
        <f>TnSPLINE!F$10</f>
        <v>11.332258064516131</v>
      </c>
      <c r="H175" s="5">
        <f>TnSPLINE!K$9</f>
        <v>4.7261141331311199E-3</v>
      </c>
      <c r="I175" s="5">
        <f>TnSPLINE!K$10</f>
        <v>1.4917490312358057E-3</v>
      </c>
      <c r="J175">
        <f t="shared" si="24"/>
        <v>0.36666666666666664</v>
      </c>
      <c r="K175">
        <f t="shared" si="25"/>
        <v>0.6333333333333333</v>
      </c>
      <c r="L175">
        <f t="shared" si="26"/>
        <v>126</v>
      </c>
      <c r="M175" s="6">
        <f t="shared" si="27"/>
        <v>9.7535412186379933</v>
      </c>
      <c r="N175" s="13">
        <f t="shared" si="22"/>
        <v>9.4436796973286246</v>
      </c>
      <c r="O175" s="6">
        <f t="shared" si="30"/>
        <v>229.14724014336929</v>
      </c>
      <c r="P175" s="6">
        <f t="shared" si="31"/>
        <v>214.91317163976058</v>
      </c>
      <c r="Q175" s="6">
        <f t="shared" si="28"/>
        <v>9.4436796973286246</v>
      </c>
      <c r="T175" s="6">
        <f t="shared" si="21"/>
        <v>9.4436796973286246</v>
      </c>
    </row>
    <row r="176" spans="2:20">
      <c r="B176">
        <f t="shared" si="29"/>
        <v>173</v>
      </c>
      <c r="C176">
        <f t="shared" si="23"/>
        <v>30</v>
      </c>
      <c r="D176">
        <v>153</v>
      </c>
      <c r="E176">
        <v>183</v>
      </c>
      <c r="F176">
        <f>TnSPLINE!F$9</f>
        <v>7.0266666666666682</v>
      </c>
      <c r="G176">
        <f>TnSPLINE!F$10</f>
        <v>11.332258064516131</v>
      </c>
      <c r="H176" s="5">
        <f>TnSPLINE!K$9</f>
        <v>4.7261141331311199E-3</v>
      </c>
      <c r="I176" s="5">
        <f>TnSPLINE!K$10</f>
        <v>1.4917490312358057E-3</v>
      </c>
      <c r="J176">
        <f t="shared" si="24"/>
        <v>0.33333333333333331</v>
      </c>
      <c r="K176">
        <f t="shared" si="25"/>
        <v>0.66666666666666663</v>
      </c>
      <c r="L176">
        <f t="shared" si="26"/>
        <v>127</v>
      </c>
      <c r="M176" s="6">
        <f t="shared" si="27"/>
        <v>9.8970609318996416</v>
      </c>
      <c r="N176" s="13">
        <f t="shared" si="22"/>
        <v>9.6041364686918254</v>
      </c>
      <c r="O176" s="6">
        <f t="shared" si="30"/>
        <v>239.04430107526892</v>
      </c>
      <c r="P176" s="6">
        <f t="shared" si="31"/>
        <v>224.5173081084524</v>
      </c>
      <c r="Q176" s="6">
        <f t="shared" si="28"/>
        <v>9.6041364686918254</v>
      </c>
      <c r="T176" s="6">
        <f t="shared" si="21"/>
        <v>9.6041364686918254</v>
      </c>
    </row>
    <row r="177" spans="1:20">
      <c r="B177">
        <f t="shared" si="29"/>
        <v>174</v>
      </c>
      <c r="C177">
        <f t="shared" si="23"/>
        <v>30</v>
      </c>
      <c r="D177">
        <v>153</v>
      </c>
      <c r="E177">
        <v>183</v>
      </c>
      <c r="F177">
        <f>TnSPLINE!F$9</f>
        <v>7.0266666666666682</v>
      </c>
      <c r="G177">
        <f>TnSPLINE!F$10</f>
        <v>11.332258064516131</v>
      </c>
      <c r="H177" s="5">
        <f>TnSPLINE!K$9</f>
        <v>4.7261141331311199E-3</v>
      </c>
      <c r="I177" s="5">
        <f>TnSPLINE!K$10</f>
        <v>1.4917490312358057E-3</v>
      </c>
      <c r="J177">
        <f t="shared" si="24"/>
        <v>0.3</v>
      </c>
      <c r="K177">
        <f t="shared" si="25"/>
        <v>0.7</v>
      </c>
      <c r="L177">
        <f t="shared" si="26"/>
        <v>128</v>
      </c>
      <c r="M177" s="6">
        <f t="shared" si="27"/>
        <v>10.040580645161292</v>
      </c>
      <c r="N177" s="13">
        <f t="shared" si="22"/>
        <v>9.7671631107868944</v>
      </c>
      <c r="O177" s="6">
        <f t="shared" si="30"/>
        <v>249.08488172043022</v>
      </c>
      <c r="P177" s="6">
        <f t="shared" si="31"/>
        <v>234.28447121923929</v>
      </c>
      <c r="Q177" s="6">
        <f t="shared" si="28"/>
        <v>9.7671631107868944</v>
      </c>
      <c r="T177" s="6">
        <f t="shared" si="21"/>
        <v>9.7671631107868944</v>
      </c>
    </row>
    <row r="178" spans="1:20">
      <c r="B178">
        <f t="shared" si="29"/>
        <v>175</v>
      </c>
      <c r="C178">
        <f t="shared" si="23"/>
        <v>30</v>
      </c>
      <c r="D178">
        <v>153</v>
      </c>
      <c r="E178">
        <v>183</v>
      </c>
      <c r="F178">
        <f>TnSPLINE!F$9</f>
        <v>7.0266666666666682</v>
      </c>
      <c r="G178">
        <f>TnSPLINE!F$10</f>
        <v>11.332258064516131</v>
      </c>
      <c r="H178" s="5">
        <f>TnSPLINE!K$9</f>
        <v>4.7261141331311199E-3</v>
      </c>
      <c r="I178" s="5">
        <f>TnSPLINE!K$10</f>
        <v>1.4917490312358057E-3</v>
      </c>
      <c r="J178">
        <f t="shared" si="24"/>
        <v>0.26666666666666666</v>
      </c>
      <c r="K178">
        <f t="shared" si="25"/>
        <v>0.73333333333333328</v>
      </c>
      <c r="L178">
        <f t="shared" si="26"/>
        <v>129</v>
      </c>
      <c r="M178" s="6">
        <f t="shared" si="27"/>
        <v>10.18410035842294</v>
      </c>
      <c r="N178" s="13">
        <f t="shared" si="22"/>
        <v>9.9326518114437672</v>
      </c>
      <c r="O178" s="6">
        <f t="shared" si="30"/>
        <v>259.26898207885318</v>
      </c>
      <c r="P178" s="6">
        <f t="shared" si="31"/>
        <v>244.21712303068307</v>
      </c>
      <c r="Q178" s="6">
        <f t="shared" si="28"/>
        <v>9.9326518114437672</v>
      </c>
      <c r="T178" s="6">
        <f t="shared" ref="T178:T241" si="32">N178</f>
        <v>9.9326518114437672</v>
      </c>
    </row>
    <row r="179" spans="1:20">
      <c r="B179">
        <f t="shared" si="29"/>
        <v>176</v>
      </c>
      <c r="C179">
        <f t="shared" si="23"/>
        <v>30</v>
      </c>
      <c r="D179">
        <v>153</v>
      </c>
      <c r="E179">
        <v>183</v>
      </c>
      <c r="F179">
        <f>TnSPLINE!F$9</f>
        <v>7.0266666666666682</v>
      </c>
      <c r="G179">
        <f>TnSPLINE!F$10</f>
        <v>11.332258064516131</v>
      </c>
      <c r="H179" s="5">
        <f>TnSPLINE!K$9</f>
        <v>4.7261141331311199E-3</v>
      </c>
      <c r="I179" s="5">
        <f>TnSPLINE!K$10</f>
        <v>1.4917490312358057E-3</v>
      </c>
      <c r="J179">
        <f t="shared" si="24"/>
        <v>0.23333333333333334</v>
      </c>
      <c r="K179">
        <f t="shared" si="25"/>
        <v>0.76666666666666672</v>
      </c>
      <c r="L179">
        <f t="shared" si="26"/>
        <v>130</v>
      </c>
      <c r="M179" s="6">
        <f t="shared" si="27"/>
        <v>10.327620071684589</v>
      </c>
      <c r="N179" s="13">
        <f t="shared" si="22"/>
        <v>10.100494758492381</v>
      </c>
      <c r="O179" s="6">
        <f t="shared" si="30"/>
        <v>269.59660215053776</v>
      </c>
      <c r="P179" s="6">
        <f t="shared" si="31"/>
        <v>254.31761778917544</v>
      </c>
      <c r="Q179" s="6">
        <f t="shared" si="28"/>
        <v>10.100494758492381</v>
      </c>
      <c r="T179" s="6">
        <f t="shared" si="32"/>
        <v>10.100494758492381</v>
      </c>
    </row>
    <row r="180" spans="1:20">
      <c r="B180">
        <f t="shared" si="29"/>
        <v>177</v>
      </c>
      <c r="C180">
        <f t="shared" si="23"/>
        <v>30</v>
      </c>
      <c r="D180">
        <v>153</v>
      </c>
      <c r="E180">
        <v>183</v>
      </c>
      <c r="F180">
        <f>TnSPLINE!F$9</f>
        <v>7.0266666666666682</v>
      </c>
      <c r="G180">
        <f>TnSPLINE!F$10</f>
        <v>11.332258064516131</v>
      </c>
      <c r="H180" s="5">
        <f>TnSPLINE!K$9</f>
        <v>4.7261141331311199E-3</v>
      </c>
      <c r="I180" s="5">
        <f>TnSPLINE!K$10</f>
        <v>1.4917490312358057E-3</v>
      </c>
      <c r="J180">
        <f t="shared" si="24"/>
        <v>0.2</v>
      </c>
      <c r="K180">
        <f t="shared" si="25"/>
        <v>0.8</v>
      </c>
      <c r="L180">
        <f t="shared" si="26"/>
        <v>131</v>
      </c>
      <c r="M180" s="6">
        <f t="shared" si="27"/>
        <v>10.471139784946239</v>
      </c>
      <c r="N180" s="13">
        <f t="shared" si="22"/>
        <v>10.270584139762676</v>
      </c>
      <c r="O180" s="6">
        <f t="shared" si="30"/>
        <v>280.06774193548398</v>
      </c>
      <c r="P180" s="6">
        <f t="shared" si="31"/>
        <v>264.58820192893813</v>
      </c>
      <c r="Q180" s="6">
        <f t="shared" si="28"/>
        <v>10.270584139762676</v>
      </c>
      <c r="T180" s="6">
        <f t="shared" si="32"/>
        <v>10.270584139762676</v>
      </c>
    </row>
    <row r="181" spans="1:20">
      <c r="B181">
        <f t="shared" si="29"/>
        <v>178</v>
      </c>
      <c r="C181">
        <f t="shared" si="23"/>
        <v>30</v>
      </c>
      <c r="D181">
        <v>153</v>
      </c>
      <c r="E181">
        <v>183</v>
      </c>
      <c r="F181">
        <f>TnSPLINE!F$9</f>
        <v>7.0266666666666682</v>
      </c>
      <c r="G181">
        <f>TnSPLINE!F$10</f>
        <v>11.332258064516131</v>
      </c>
      <c r="H181" s="5">
        <f>TnSPLINE!K$9</f>
        <v>4.7261141331311199E-3</v>
      </c>
      <c r="I181" s="5">
        <f>TnSPLINE!K$10</f>
        <v>1.4917490312358057E-3</v>
      </c>
      <c r="J181">
        <f t="shared" si="24"/>
        <v>0.16666666666666666</v>
      </c>
      <c r="K181">
        <f t="shared" si="25"/>
        <v>0.83333333333333337</v>
      </c>
      <c r="L181">
        <f t="shared" si="26"/>
        <v>132</v>
      </c>
      <c r="M181" s="6">
        <f t="shared" si="27"/>
        <v>10.614659498207887</v>
      </c>
      <c r="N181" s="13">
        <f t="shared" si="22"/>
        <v>10.442812143084582</v>
      </c>
      <c r="O181" s="6">
        <f t="shared" si="30"/>
        <v>290.68240143369189</v>
      </c>
      <c r="P181" s="6">
        <f t="shared" si="31"/>
        <v>275.03101407202274</v>
      </c>
      <c r="Q181" s="6">
        <f t="shared" si="28"/>
        <v>10.442812143084582</v>
      </c>
      <c r="T181" s="6">
        <f t="shared" si="32"/>
        <v>10.442812143084582</v>
      </c>
    </row>
    <row r="182" spans="1:20">
      <c r="B182">
        <f t="shared" si="29"/>
        <v>179</v>
      </c>
      <c r="C182">
        <f t="shared" si="23"/>
        <v>30</v>
      </c>
      <c r="D182">
        <v>153</v>
      </c>
      <c r="E182">
        <v>183</v>
      </c>
      <c r="F182">
        <f>TnSPLINE!F$9</f>
        <v>7.0266666666666682</v>
      </c>
      <c r="G182">
        <f>TnSPLINE!F$10</f>
        <v>11.332258064516131</v>
      </c>
      <c r="H182" s="5">
        <f>TnSPLINE!K$9</f>
        <v>4.7261141331311199E-3</v>
      </c>
      <c r="I182" s="5">
        <f>TnSPLINE!K$10</f>
        <v>1.4917490312358057E-3</v>
      </c>
      <c r="J182">
        <f t="shared" si="24"/>
        <v>0.13333333333333333</v>
      </c>
      <c r="K182">
        <f t="shared" si="25"/>
        <v>0.8666666666666667</v>
      </c>
      <c r="L182">
        <f t="shared" si="26"/>
        <v>133</v>
      </c>
      <c r="M182" s="6">
        <f t="shared" si="27"/>
        <v>10.758179211469535</v>
      </c>
      <c r="N182" s="13">
        <f t="shared" si="22"/>
        <v>10.617070956288041</v>
      </c>
      <c r="O182" s="6">
        <f t="shared" si="30"/>
        <v>301.44058064516145</v>
      </c>
      <c r="P182" s="6">
        <f t="shared" si="31"/>
        <v>285.64808502831079</v>
      </c>
      <c r="Q182" s="6">
        <f t="shared" si="28"/>
        <v>10.617070956288041</v>
      </c>
      <c r="T182" s="6">
        <f t="shared" si="32"/>
        <v>10.617070956288041</v>
      </c>
    </row>
    <row r="183" spans="1:20">
      <c r="B183">
        <f t="shared" si="29"/>
        <v>180</v>
      </c>
      <c r="C183">
        <f t="shared" si="23"/>
        <v>30</v>
      </c>
      <c r="D183">
        <v>153</v>
      </c>
      <c r="E183">
        <v>183</v>
      </c>
      <c r="F183">
        <f>TnSPLINE!F$9</f>
        <v>7.0266666666666682</v>
      </c>
      <c r="G183">
        <f>TnSPLINE!F$10</f>
        <v>11.332258064516131</v>
      </c>
      <c r="H183" s="5">
        <f>TnSPLINE!K$9</f>
        <v>4.7261141331311199E-3</v>
      </c>
      <c r="I183" s="5">
        <f>TnSPLINE!K$10</f>
        <v>1.4917490312358057E-3</v>
      </c>
      <c r="J183">
        <f t="shared" si="24"/>
        <v>0.1</v>
      </c>
      <c r="K183">
        <f t="shared" si="25"/>
        <v>0.9</v>
      </c>
      <c r="L183">
        <f t="shared" si="26"/>
        <v>134</v>
      </c>
      <c r="M183" s="6">
        <f t="shared" si="27"/>
        <v>10.901698924731186</v>
      </c>
      <c r="N183" s="13">
        <f t="shared" ref="N183:N246" si="33">Q183</f>
        <v>10.79325276720299</v>
      </c>
      <c r="O183" s="6">
        <f t="shared" si="30"/>
        <v>312.34227956989264</v>
      </c>
      <c r="P183" s="6">
        <f t="shared" si="31"/>
        <v>296.44133779551379</v>
      </c>
      <c r="Q183" s="6">
        <f t="shared" si="28"/>
        <v>10.79325276720299</v>
      </c>
      <c r="T183" s="6">
        <f t="shared" si="32"/>
        <v>10.79325276720299</v>
      </c>
    </row>
    <row r="184" spans="1:20">
      <c r="B184">
        <f t="shared" si="29"/>
        <v>181</v>
      </c>
      <c r="C184">
        <f t="shared" si="23"/>
        <v>30</v>
      </c>
      <c r="D184">
        <v>153</v>
      </c>
      <c r="E184">
        <v>183</v>
      </c>
      <c r="F184">
        <f>TnSPLINE!F$9</f>
        <v>7.0266666666666682</v>
      </c>
      <c r="G184">
        <f>TnSPLINE!F$10</f>
        <v>11.332258064516131</v>
      </c>
      <c r="H184" s="5">
        <f>TnSPLINE!K$9</f>
        <v>4.7261141331311199E-3</v>
      </c>
      <c r="I184" s="5">
        <f>TnSPLINE!K$10</f>
        <v>1.4917490312358057E-3</v>
      </c>
      <c r="J184">
        <f t="shared" si="24"/>
        <v>6.6666666666666666E-2</v>
      </c>
      <c r="K184">
        <f t="shared" si="25"/>
        <v>0.93333333333333335</v>
      </c>
      <c r="L184">
        <f t="shared" si="26"/>
        <v>135</v>
      </c>
      <c r="M184" s="6">
        <f t="shared" si="27"/>
        <v>11.045218637992832</v>
      </c>
      <c r="N184" s="13">
        <f t="shared" si="33"/>
        <v>10.97124976365936</v>
      </c>
      <c r="O184" s="6">
        <f t="shared" si="30"/>
        <v>323.38749820788547</v>
      </c>
      <c r="P184" s="6">
        <f t="shared" si="31"/>
        <v>307.41258755917318</v>
      </c>
      <c r="Q184" s="6">
        <f t="shared" si="28"/>
        <v>10.97124976365936</v>
      </c>
      <c r="T184" s="6">
        <f t="shared" si="32"/>
        <v>10.97124976365936</v>
      </c>
    </row>
    <row r="185" spans="1:20">
      <c r="B185">
        <f t="shared" si="29"/>
        <v>182</v>
      </c>
      <c r="C185">
        <f t="shared" si="23"/>
        <v>30</v>
      </c>
      <c r="D185">
        <v>153</v>
      </c>
      <c r="E185">
        <v>183</v>
      </c>
      <c r="F185">
        <f>TnSPLINE!F$9</f>
        <v>7.0266666666666682</v>
      </c>
      <c r="G185">
        <f>TnSPLINE!F$10</f>
        <v>11.332258064516131</v>
      </c>
      <c r="H185" s="5">
        <f>TnSPLINE!K$9</f>
        <v>4.7261141331311199E-3</v>
      </c>
      <c r="I185" s="5">
        <f>TnSPLINE!K$10</f>
        <v>1.4917490312358057E-3</v>
      </c>
      <c r="J185">
        <f t="shared" si="24"/>
        <v>3.3333333333333333E-2</v>
      </c>
      <c r="K185">
        <f t="shared" si="25"/>
        <v>0.96666666666666667</v>
      </c>
      <c r="L185">
        <f t="shared" si="26"/>
        <v>136</v>
      </c>
      <c r="M185" s="6">
        <f t="shared" si="27"/>
        <v>11.188738351254482</v>
      </c>
      <c r="N185" s="13">
        <f t="shared" si="33"/>
        <v>11.150954133487097</v>
      </c>
      <c r="O185" s="6">
        <f t="shared" si="30"/>
        <v>334.57623655913994</v>
      </c>
      <c r="P185" s="6">
        <f t="shared" si="31"/>
        <v>318.56354169266029</v>
      </c>
      <c r="Q185" s="6">
        <f t="shared" si="28"/>
        <v>11.150954133487097</v>
      </c>
      <c r="T185" s="6">
        <f t="shared" si="32"/>
        <v>11.150954133487097</v>
      </c>
    </row>
    <row r="186" spans="1:20">
      <c r="A186">
        <v>183</v>
      </c>
      <c r="B186">
        <f t="shared" si="29"/>
        <v>183</v>
      </c>
      <c r="C186">
        <f t="shared" si="23"/>
        <v>30</v>
      </c>
      <c r="D186">
        <v>153</v>
      </c>
      <c r="E186">
        <v>183</v>
      </c>
      <c r="F186">
        <f>TnSPLINE!F$9</f>
        <v>7.0266666666666682</v>
      </c>
      <c r="G186">
        <f>TnSPLINE!F$10</f>
        <v>11.332258064516131</v>
      </c>
      <c r="H186" s="5">
        <f>TnSPLINE!K$9</f>
        <v>4.7261141331311199E-3</v>
      </c>
      <c r="I186" s="5">
        <f>TnSPLINE!K$10</f>
        <v>1.4917490312358057E-3</v>
      </c>
      <c r="J186">
        <f t="shared" si="24"/>
        <v>0</v>
      </c>
      <c r="K186">
        <f t="shared" si="25"/>
        <v>1</v>
      </c>
      <c r="L186">
        <f t="shared" si="26"/>
        <v>137</v>
      </c>
      <c r="M186" s="6">
        <f t="shared" si="27"/>
        <v>11.332258064516131</v>
      </c>
      <c r="N186" s="13">
        <f t="shared" si="33"/>
        <v>11.332258064516131</v>
      </c>
      <c r="O186" s="6">
        <f t="shared" si="30"/>
        <v>345.90849462365605</v>
      </c>
      <c r="P186" s="6">
        <f t="shared" si="31"/>
        <v>329.89579975717641</v>
      </c>
      <c r="Q186" s="6">
        <f t="shared" si="28"/>
        <v>11.332258064516131</v>
      </c>
      <c r="T186" s="6">
        <f t="shared" si="32"/>
        <v>11.332258064516131</v>
      </c>
    </row>
    <row r="187" spans="1:20">
      <c r="B187">
        <f t="shared" si="29"/>
        <v>184</v>
      </c>
      <c r="C187">
        <f t="shared" si="23"/>
        <v>31</v>
      </c>
      <c r="D187">
        <v>183</v>
      </c>
      <c r="E187">
        <v>214</v>
      </c>
      <c r="F187">
        <f>TnSPLINE!F$10</f>
        <v>11.332258064516131</v>
      </c>
      <c r="G187">
        <f>TnSPLINE!F$11</f>
        <v>16.553333333333331</v>
      </c>
      <c r="H187" s="5">
        <f>TnSPLINE!K$10</f>
        <v>1.4917490312358057E-3</v>
      </c>
      <c r="I187" s="5">
        <f>TnSPLINE!K$11</f>
        <v>-5.6246576833602737E-3</v>
      </c>
      <c r="J187">
        <f t="shared" si="24"/>
        <v>0.967741935483871</v>
      </c>
      <c r="K187">
        <f t="shared" si="25"/>
        <v>3.2258064516129031E-2</v>
      </c>
      <c r="L187">
        <f t="shared" si="26"/>
        <v>138</v>
      </c>
      <c r="M187" s="6">
        <f t="shared" si="27"/>
        <v>11.500679847381202</v>
      </c>
      <c r="N187" s="13">
        <f t="shared" si="33"/>
        <v>11.515033453020257</v>
      </c>
      <c r="O187" s="6">
        <f t="shared" si="30"/>
        <v>357.40917447103726</v>
      </c>
      <c r="P187" s="6">
        <f t="shared" si="31"/>
        <v>341.41083321019664</v>
      </c>
      <c r="Q187" s="6">
        <f t="shared" si="28"/>
        <v>11.515033453020257</v>
      </c>
      <c r="T187" s="6">
        <f t="shared" si="32"/>
        <v>11.515033453020257</v>
      </c>
    </row>
    <row r="188" spans="1:20">
      <c r="B188">
        <f t="shared" si="29"/>
        <v>185</v>
      </c>
      <c r="C188">
        <f t="shared" si="23"/>
        <v>31</v>
      </c>
      <c r="D188">
        <v>183</v>
      </c>
      <c r="E188">
        <v>214</v>
      </c>
      <c r="F188">
        <f>TnSPLINE!F$10</f>
        <v>11.332258064516131</v>
      </c>
      <c r="G188">
        <f>TnSPLINE!F$11</f>
        <v>16.553333333333331</v>
      </c>
      <c r="H188" s="5">
        <f>TnSPLINE!K$10</f>
        <v>1.4917490312358057E-3</v>
      </c>
      <c r="I188" s="5">
        <f>TnSPLINE!K$11</f>
        <v>-5.6246576833602737E-3</v>
      </c>
      <c r="J188">
        <f t="shared" si="24"/>
        <v>0.93548387096774188</v>
      </c>
      <c r="K188">
        <f t="shared" si="25"/>
        <v>6.4516129032258063E-2</v>
      </c>
      <c r="L188">
        <f t="shared" si="26"/>
        <v>139</v>
      </c>
      <c r="M188" s="6">
        <f t="shared" si="27"/>
        <v>11.669101630246272</v>
      </c>
      <c r="N188" s="13">
        <f t="shared" si="33"/>
        <v>11.699071029048698</v>
      </c>
      <c r="O188" s="6">
        <f t="shared" si="30"/>
        <v>369.07827610128351</v>
      </c>
      <c r="P188" s="6">
        <f t="shared" si="31"/>
        <v>353.10990423924534</v>
      </c>
      <c r="Q188" s="6">
        <f t="shared" si="28"/>
        <v>11.699071029048698</v>
      </c>
      <c r="T188" s="6">
        <f t="shared" si="32"/>
        <v>11.699071029048698</v>
      </c>
    </row>
    <row r="189" spans="1:20">
      <c r="B189">
        <f t="shared" si="29"/>
        <v>186</v>
      </c>
      <c r="C189">
        <f t="shared" si="23"/>
        <v>31</v>
      </c>
      <c r="D189">
        <v>183</v>
      </c>
      <c r="E189">
        <v>214</v>
      </c>
      <c r="F189">
        <f>TnSPLINE!F$10</f>
        <v>11.332258064516131</v>
      </c>
      <c r="G189">
        <f>TnSPLINE!F$11</f>
        <v>16.553333333333331</v>
      </c>
      <c r="H189" s="5">
        <f>TnSPLINE!K$10</f>
        <v>1.4917490312358057E-3</v>
      </c>
      <c r="I189" s="5">
        <f>TnSPLINE!K$11</f>
        <v>-5.6246576833602737E-3</v>
      </c>
      <c r="J189">
        <f t="shared" si="24"/>
        <v>0.90322580645161288</v>
      </c>
      <c r="K189">
        <f t="shared" si="25"/>
        <v>9.6774193548387094E-2</v>
      </c>
      <c r="L189">
        <f t="shared" si="26"/>
        <v>140</v>
      </c>
      <c r="M189" s="6">
        <f t="shared" si="27"/>
        <v>11.837523413111343</v>
      </c>
      <c r="N189" s="13">
        <f t="shared" si="33"/>
        <v>11.884141231094528</v>
      </c>
      <c r="O189" s="6">
        <f t="shared" si="30"/>
        <v>380.91579951439485</v>
      </c>
      <c r="P189" s="6">
        <f t="shared" si="31"/>
        <v>364.99404547033987</v>
      </c>
      <c r="Q189" s="6">
        <f t="shared" si="28"/>
        <v>11.884141231094528</v>
      </c>
      <c r="T189" s="6">
        <f t="shared" si="32"/>
        <v>11.884141231094528</v>
      </c>
    </row>
    <row r="190" spans="1:20">
      <c r="B190">
        <f t="shared" si="29"/>
        <v>187</v>
      </c>
      <c r="C190">
        <f t="shared" si="23"/>
        <v>31</v>
      </c>
      <c r="D190">
        <v>183</v>
      </c>
      <c r="E190">
        <v>214</v>
      </c>
      <c r="F190">
        <f>TnSPLINE!F$10</f>
        <v>11.332258064516131</v>
      </c>
      <c r="G190">
        <f>TnSPLINE!F$11</f>
        <v>16.553333333333331</v>
      </c>
      <c r="H190" s="5">
        <f>TnSPLINE!K$10</f>
        <v>1.4917490312358057E-3</v>
      </c>
      <c r="I190" s="5">
        <f>TnSPLINE!K$11</f>
        <v>-5.6246576833602737E-3</v>
      </c>
      <c r="J190">
        <f t="shared" si="24"/>
        <v>0.87096774193548387</v>
      </c>
      <c r="K190">
        <f t="shared" si="25"/>
        <v>0.12903225806451613</v>
      </c>
      <c r="L190">
        <f t="shared" si="26"/>
        <v>141</v>
      </c>
      <c r="M190" s="6">
        <f t="shared" si="27"/>
        <v>12.005945195976416</v>
      </c>
      <c r="N190" s="13">
        <f t="shared" si="33"/>
        <v>12.070014497650829</v>
      </c>
      <c r="O190" s="6">
        <f t="shared" si="30"/>
        <v>392.92174471037129</v>
      </c>
      <c r="P190" s="6">
        <f t="shared" si="31"/>
        <v>377.06405996799072</v>
      </c>
      <c r="Q190" s="6">
        <f t="shared" si="28"/>
        <v>12.070014497650829</v>
      </c>
      <c r="T190" s="6">
        <f t="shared" si="32"/>
        <v>12.070014497650829</v>
      </c>
    </row>
    <row r="191" spans="1:20">
      <c r="B191">
        <f t="shared" si="29"/>
        <v>188</v>
      </c>
      <c r="C191">
        <f t="shared" si="23"/>
        <v>31</v>
      </c>
      <c r="D191">
        <v>183</v>
      </c>
      <c r="E191">
        <v>214</v>
      </c>
      <c r="F191">
        <f>TnSPLINE!F$10</f>
        <v>11.332258064516131</v>
      </c>
      <c r="G191">
        <f>TnSPLINE!F$11</f>
        <v>16.553333333333331</v>
      </c>
      <c r="H191" s="5">
        <f>TnSPLINE!K$10</f>
        <v>1.4917490312358057E-3</v>
      </c>
      <c r="I191" s="5">
        <f>TnSPLINE!K$11</f>
        <v>-5.6246576833602737E-3</v>
      </c>
      <c r="J191">
        <f t="shared" si="24"/>
        <v>0.83870967741935487</v>
      </c>
      <c r="K191">
        <f t="shared" si="25"/>
        <v>0.16129032258064516</v>
      </c>
      <c r="L191">
        <f t="shared" si="26"/>
        <v>142</v>
      </c>
      <c r="M191" s="6">
        <f t="shared" si="27"/>
        <v>12.174366978841487</v>
      </c>
      <c r="N191" s="13">
        <f t="shared" si="33"/>
        <v>12.256461267210675</v>
      </c>
      <c r="O191" s="6">
        <f t="shared" si="30"/>
        <v>405.09611168921276</v>
      </c>
      <c r="P191" s="6">
        <f t="shared" si="31"/>
        <v>389.3205212352014</v>
      </c>
      <c r="Q191" s="6">
        <f t="shared" si="28"/>
        <v>12.256461267210675</v>
      </c>
      <c r="T191" s="6">
        <f t="shared" si="32"/>
        <v>12.256461267210675</v>
      </c>
    </row>
    <row r="192" spans="1:20">
      <c r="B192">
        <f t="shared" si="29"/>
        <v>189</v>
      </c>
      <c r="C192">
        <f t="shared" si="23"/>
        <v>31</v>
      </c>
      <c r="D192">
        <v>183</v>
      </c>
      <c r="E192">
        <v>214</v>
      </c>
      <c r="F192">
        <f>TnSPLINE!F$10</f>
        <v>11.332258064516131</v>
      </c>
      <c r="G192">
        <f>TnSPLINE!F$11</f>
        <v>16.553333333333331</v>
      </c>
      <c r="H192" s="5">
        <f>TnSPLINE!K$10</f>
        <v>1.4917490312358057E-3</v>
      </c>
      <c r="I192" s="5">
        <f>TnSPLINE!K$11</f>
        <v>-5.6246576833602737E-3</v>
      </c>
      <c r="J192">
        <f t="shared" si="24"/>
        <v>0.80645161290322576</v>
      </c>
      <c r="K192">
        <f t="shared" si="25"/>
        <v>0.19354838709677419</v>
      </c>
      <c r="L192">
        <f t="shared" si="26"/>
        <v>143</v>
      </c>
      <c r="M192" s="6">
        <f t="shared" si="27"/>
        <v>12.342788761706556</v>
      </c>
      <c r="N192" s="13">
        <f t="shared" si="33"/>
        <v>12.44325197826714</v>
      </c>
      <c r="O192" s="6">
        <f t="shared" si="30"/>
        <v>417.43890045091933</v>
      </c>
      <c r="P192" s="6">
        <f t="shared" si="31"/>
        <v>401.76377321346854</v>
      </c>
      <c r="Q192" s="6">
        <f t="shared" si="28"/>
        <v>12.44325197826714</v>
      </c>
      <c r="T192" s="6">
        <f t="shared" si="32"/>
        <v>12.44325197826714</v>
      </c>
    </row>
    <row r="193" spans="2:20">
      <c r="B193">
        <f t="shared" si="29"/>
        <v>190</v>
      </c>
      <c r="C193">
        <f t="shared" si="23"/>
        <v>31</v>
      </c>
      <c r="D193">
        <v>183</v>
      </c>
      <c r="E193">
        <v>214</v>
      </c>
      <c r="F193">
        <f>TnSPLINE!F$10</f>
        <v>11.332258064516131</v>
      </c>
      <c r="G193">
        <f>TnSPLINE!F$11</f>
        <v>16.553333333333331</v>
      </c>
      <c r="H193" s="5">
        <f>TnSPLINE!K$10</f>
        <v>1.4917490312358057E-3</v>
      </c>
      <c r="I193" s="5">
        <f>TnSPLINE!K$11</f>
        <v>-5.6246576833602737E-3</v>
      </c>
      <c r="J193">
        <f t="shared" si="24"/>
        <v>0.77419354838709675</v>
      </c>
      <c r="K193">
        <f t="shared" si="25"/>
        <v>0.22580645161290322</v>
      </c>
      <c r="L193">
        <f t="shared" si="26"/>
        <v>144</v>
      </c>
      <c r="M193" s="6">
        <f t="shared" si="27"/>
        <v>12.511210544571629</v>
      </c>
      <c r="N193" s="13">
        <f t="shared" si="33"/>
        <v>12.630157069313313</v>
      </c>
      <c r="O193" s="6">
        <f t="shared" si="30"/>
        <v>429.95011099549095</v>
      </c>
      <c r="P193" s="6">
        <f t="shared" si="31"/>
        <v>414.39393028278187</v>
      </c>
      <c r="Q193" s="6">
        <f t="shared" si="28"/>
        <v>12.630157069313313</v>
      </c>
      <c r="T193" s="6">
        <f t="shared" si="32"/>
        <v>12.630157069313313</v>
      </c>
    </row>
    <row r="194" spans="2:20">
      <c r="B194">
        <f t="shared" si="29"/>
        <v>191</v>
      </c>
      <c r="C194">
        <f t="shared" si="23"/>
        <v>31</v>
      </c>
      <c r="D194">
        <v>183</v>
      </c>
      <c r="E194">
        <v>214</v>
      </c>
      <c r="F194">
        <f>TnSPLINE!F$10</f>
        <v>11.332258064516131</v>
      </c>
      <c r="G194">
        <f>TnSPLINE!F$11</f>
        <v>16.553333333333331</v>
      </c>
      <c r="H194" s="5">
        <f>TnSPLINE!K$10</f>
        <v>1.4917490312358057E-3</v>
      </c>
      <c r="I194" s="5">
        <f>TnSPLINE!K$11</f>
        <v>-5.6246576833602737E-3</v>
      </c>
      <c r="J194">
        <f t="shared" si="24"/>
        <v>0.74193548387096775</v>
      </c>
      <c r="K194">
        <f t="shared" si="25"/>
        <v>0.25806451612903225</v>
      </c>
      <c r="L194">
        <f t="shared" si="26"/>
        <v>145</v>
      </c>
      <c r="M194" s="6">
        <f t="shared" si="27"/>
        <v>12.679632327436698</v>
      </c>
      <c r="N194" s="13">
        <f t="shared" si="33"/>
        <v>12.816946978842259</v>
      </c>
      <c r="O194" s="6">
        <f t="shared" si="30"/>
        <v>442.62974332292765</v>
      </c>
      <c r="P194" s="6">
        <f t="shared" si="31"/>
        <v>427.21087726162415</v>
      </c>
      <c r="Q194" s="6">
        <f t="shared" si="28"/>
        <v>12.816946978842259</v>
      </c>
      <c r="T194" s="6">
        <f t="shared" si="32"/>
        <v>12.816946978842259</v>
      </c>
    </row>
    <row r="195" spans="2:20">
      <c r="B195">
        <f t="shared" si="29"/>
        <v>192</v>
      </c>
      <c r="C195">
        <f t="shared" si="23"/>
        <v>31</v>
      </c>
      <c r="D195">
        <v>183</v>
      </c>
      <c r="E195">
        <v>214</v>
      </c>
      <c r="F195">
        <f>TnSPLINE!F$10</f>
        <v>11.332258064516131</v>
      </c>
      <c r="G195">
        <f>TnSPLINE!F$11</f>
        <v>16.553333333333331</v>
      </c>
      <c r="H195" s="5">
        <f>TnSPLINE!K$10</f>
        <v>1.4917490312358057E-3</v>
      </c>
      <c r="I195" s="5">
        <f>TnSPLINE!K$11</f>
        <v>-5.6246576833602737E-3</v>
      </c>
      <c r="J195">
        <f t="shared" si="24"/>
        <v>0.70967741935483875</v>
      </c>
      <c r="K195">
        <f t="shared" si="25"/>
        <v>0.29032258064516131</v>
      </c>
      <c r="L195">
        <f t="shared" si="26"/>
        <v>146</v>
      </c>
      <c r="M195" s="6">
        <f t="shared" si="27"/>
        <v>12.848054110301771</v>
      </c>
      <c r="N195" s="13">
        <f t="shared" si="33"/>
        <v>13.003392145347066</v>
      </c>
      <c r="O195" s="6">
        <f t="shared" si="30"/>
        <v>455.4777974332294</v>
      </c>
      <c r="P195" s="6">
        <f t="shared" si="31"/>
        <v>440.2142694069712</v>
      </c>
      <c r="Q195" s="6">
        <f t="shared" si="28"/>
        <v>13.003392145347066</v>
      </c>
      <c r="T195" s="6">
        <f t="shared" si="32"/>
        <v>13.003392145347066</v>
      </c>
    </row>
    <row r="196" spans="2:20">
      <c r="B196">
        <f t="shared" si="29"/>
        <v>193</v>
      </c>
      <c r="C196">
        <f t="shared" ref="C196:C259" si="34">E196-D196</f>
        <v>31</v>
      </c>
      <c r="D196">
        <v>183</v>
      </c>
      <c r="E196">
        <v>214</v>
      </c>
      <c r="F196">
        <f>TnSPLINE!F$10</f>
        <v>11.332258064516131</v>
      </c>
      <c r="G196">
        <f>TnSPLINE!F$11</f>
        <v>16.553333333333331</v>
      </c>
      <c r="H196" s="5">
        <f>TnSPLINE!K$10</f>
        <v>1.4917490312358057E-3</v>
      </c>
      <c r="I196" s="5">
        <f>TnSPLINE!K$11</f>
        <v>-5.6246576833602737E-3</v>
      </c>
      <c r="J196">
        <f t="shared" ref="J196:J259" si="35">(E196-B196)/C196</f>
        <v>0.67741935483870963</v>
      </c>
      <c r="K196">
        <f t="shared" ref="K196:K259" si="36">(B196-D196)/C196</f>
        <v>0.32258064516129031</v>
      </c>
      <c r="L196">
        <f t="shared" ref="L196:L259" si="37">B196-46</f>
        <v>147</v>
      </c>
      <c r="M196" s="6">
        <f t="shared" ref="M196:M259" si="38">J196*F196+K196*G196</f>
        <v>13.01647589316684</v>
      </c>
      <c r="N196" s="13">
        <f t="shared" si="33"/>
        <v>13.189263007320802</v>
      </c>
      <c r="O196" s="6">
        <f t="shared" si="30"/>
        <v>468.49427332639624</v>
      </c>
      <c r="P196" s="6">
        <f t="shared" si="31"/>
        <v>453.40353241429199</v>
      </c>
      <c r="Q196" s="6">
        <f t="shared" ref="Q196:Q259" si="39">M196+(((J196^3-J196)*H196+(K196^3-K196)*I196))*(C196^2)/6</f>
        <v>13.189263007320802</v>
      </c>
      <c r="T196" s="6">
        <f t="shared" si="32"/>
        <v>13.189263007320802</v>
      </c>
    </row>
    <row r="197" spans="2:20">
      <c r="B197">
        <f t="shared" ref="B197:B260" si="40">B196+1</f>
        <v>194</v>
      </c>
      <c r="C197">
        <f t="shared" si="34"/>
        <v>31</v>
      </c>
      <c r="D197">
        <v>183</v>
      </c>
      <c r="E197">
        <v>214</v>
      </c>
      <c r="F197">
        <f>TnSPLINE!F$10</f>
        <v>11.332258064516131</v>
      </c>
      <c r="G197">
        <f>TnSPLINE!F$11</f>
        <v>16.553333333333331</v>
      </c>
      <c r="H197" s="5">
        <f>TnSPLINE!K$10</f>
        <v>1.4917490312358057E-3</v>
      </c>
      <c r="I197" s="5">
        <f>TnSPLINE!K$11</f>
        <v>-5.6246576833602737E-3</v>
      </c>
      <c r="J197">
        <f t="shared" si="35"/>
        <v>0.64516129032258063</v>
      </c>
      <c r="K197">
        <f t="shared" si="36"/>
        <v>0.35483870967741937</v>
      </c>
      <c r="L197">
        <f t="shared" si="37"/>
        <v>148</v>
      </c>
      <c r="M197" s="6">
        <f t="shared" si="38"/>
        <v>13.184897676031913</v>
      </c>
      <c r="N197" s="13">
        <f t="shared" si="33"/>
        <v>13.374330003256553</v>
      </c>
      <c r="O197" s="6">
        <f t="shared" ref="O197:O260" si="41">O196+M197</f>
        <v>481.67917100242818</v>
      </c>
      <c r="P197" s="6">
        <f t="shared" ref="P197:P260" si="42">P196+N197</f>
        <v>466.77786241754853</v>
      </c>
      <c r="Q197" s="6">
        <f t="shared" si="39"/>
        <v>13.374330003256553</v>
      </c>
      <c r="T197" s="6">
        <f t="shared" si="32"/>
        <v>13.374330003256553</v>
      </c>
    </row>
    <row r="198" spans="2:20">
      <c r="B198">
        <f t="shared" si="40"/>
        <v>195</v>
      </c>
      <c r="C198">
        <f t="shared" si="34"/>
        <v>31</v>
      </c>
      <c r="D198">
        <v>183</v>
      </c>
      <c r="E198">
        <v>214</v>
      </c>
      <c r="F198">
        <f>TnSPLINE!F$10</f>
        <v>11.332258064516131</v>
      </c>
      <c r="G198">
        <f>TnSPLINE!F$11</f>
        <v>16.553333333333331</v>
      </c>
      <c r="H198" s="5">
        <f>TnSPLINE!K$10</f>
        <v>1.4917490312358057E-3</v>
      </c>
      <c r="I198" s="5">
        <f>TnSPLINE!K$11</f>
        <v>-5.6246576833602737E-3</v>
      </c>
      <c r="J198">
        <f t="shared" si="35"/>
        <v>0.61290322580645162</v>
      </c>
      <c r="K198">
        <f t="shared" si="36"/>
        <v>0.38709677419354838</v>
      </c>
      <c r="L198">
        <f t="shared" si="37"/>
        <v>149</v>
      </c>
      <c r="M198" s="6">
        <f t="shared" si="38"/>
        <v>13.353319458896982</v>
      </c>
      <c r="N198" s="13">
        <f t="shared" si="33"/>
        <v>13.558363571647391</v>
      </c>
      <c r="O198" s="6">
        <f t="shared" si="41"/>
        <v>495.03249046132515</v>
      </c>
      <c r="P198" s="6">
        <f t="shared" si="42"/>
        <v>480.3362259891959</v>
      </c>
      <c r="Q198" s="6">
        <f t="shared" si="39"/>
        <v>13.558363571647391</v>
      </c>
      <c r="T198" s="6">
        <f t="shared" si="32"/>
        <v>13.558363571647391</v>
      </c>
    </row>
    <row r="199" spans="2:20">
      <c r="B199">
        <f t="shared" si="40"/>
        <v>196</v>
      </c>
      <c r="C199">
        <f t="shared" si="34"/>
        <v>31</v>
      </c>
      <c r="D199">
        <v>183</v>
      </c>
      <c r="E199">
        <v>214</v>
      </c>
      <c r="F199">
        <f>TnSPLINE!F$10</f>
        <v>11.332258064516131</v>
      </c>
      <c r="G199">
        <f>TnSPLINE!F$11</f>
        <v>16.553333333333331</v>
      </c>
      <c r="H199" s="5">
        <f>TnSPLINE!K$10</f>
        <v>1.4917490312358057E-3</v>
      </c>
      <c r="I199" s="5">
        <f>TnSPLINE!K$11</f>
        <v>-5.6246576833602737E-3</v>
      </c>
      <c r="J199">
        <f t="shared" si="35"/>
        <v>0.58064516129032262</v>
      </c>
      <c r="K199">
        <f t="shared" si="36"/>
        <v>0.41935483870967744</v>
      </c>
      <c r="L199">
        <f t="shared" si="37"/>
        <v>150</v>
      </c>
      <c r="M199" s="6">
        <f t="shared" si="38"/>
        <v>13.521741241762054</v>
      </c>
      <c r="N199" s="13">
        <f t="shared" si="33"/>
        <v>13.741134150986397</v>
      </c>
      <c r="O199" s="6">
        <f t="shared" si="41"/>
        <v>508.55423170308723</v>
      </c>
      <c r="P199" s="6">
        <f t="shared" si="42"/>
        <v>494.07736014018229</v>
      </c>
      <c r="Q199" s="6">
        <f t="shared" si="39"/>
        <v>13.741134150986397</v>
      </c>
      <c r="T199" s="6">
        <f t="shared" si="32"/>
        <v>13.741134150986397</v>
      </c>
    </row>
    <row r="200" spans="2:20">
      <c r="B200">
        <f t="shared" si="40"/>
        <v>197</v>
      </c>
      <c r="C200">
        <f t="shared" si="34"/>
        <v>31</v>
      </c>
      <c r="D200">
        <v>183</v>
      </c>
      <c r="E200">
        <v>214</v>
      </c>
      <c r="F200">
        <f>TnSPLINE!F$10</f>
        <v>11.332258064516131</v>
      </c>
      <c r="G200">
        <f>TnSPLINE!F$11</f>
        <v>16.553333333333331</v>
      </c>
      <c r="H200" s="5">
        <f>TnSPLINE!K$10</f>
        <v>1.4917490312358057E-3</v>
      </c>
      <c r="I200" s="5">
        <f>TnSPLINE!K$11</f>
        <v>-5.6246576833602737E-3</v>
      </c>
      <c r="J200">
        <f t="shared" si="35"/>
        <v>0.54838709677419351</v>
      </c>
      <c r="K200">
        <f t="shared" si="36"/>
        <v>0.45161290322580644</v>
      </c>
      <c r="L200">
        <f t="shared" si="37"/>
        <v>151</v>
      </c>
      <c r="M200" s="6">
        <f t="shared" si="38"/>
        <v>13.690163024627124</v>
      </c>
      <c r="N200" s="13">
        <f t="shared" si="33"/>
        <v>13.922412179766644</v>
      </c>
      <c r="O200" s="6">
        <f t="shared" si="41"/>
        <v>522.24439472771439</v>
      </c>
      <c r="P200" s="6">
        <f t="shared" si="42"/>
        <v>507.99977231994893</v>
      </c>
      <c r="Q200" s="6">
        <f t="shared" si="39"/>
        <v>13.922412179766644</v>
      </c>
      <c r="T200" s="6">
        <f t="shared" si="32"/>
        <v>13.922412179766644</v>
      </c>
    </row>
    <row r="201" spans="2:20">
      <c r="B201">
        <f t="shared" si="40"/>
        <v>198</v>
      </c>
      <c r="C201">
        <f t="shared" si="34"/>
        <v>31</v>
      </c>
      <c r="D201">
        <v>183</v>
      </c>
      <c r="E201">
        <v>214</v>
      </c>
      <c r="F201">
        <f>TnSPLINE!F$10</f>
        <v>11.332258064516131</v>
      </c>
      <c r="G201">
        <f>TnSPLINE!F$11</f>
        <v>16.553333333333331</v>
      </c>
      <c r="H201" s="5">
        <f>TnSPLINE!K$10</f>
        <v>1.4917490312358057E-3</v>
      </c>
      <c r="I201" s="5">
        <f>TnSPLINE!K$11</f>
        <v>-5.6246576833602737E-3</v>
      </c>
      <c r="J201">
        <f t="shared" si="35"/>
        <v>0.5161290322580645</v>
      </c>
      <c r="K201">
        <f t="shared" si="36"/>
        <v>0.4838709677419355</v>
      </c>
      <c r="L201">
        <f t="shared" si="37"/>
        <v>152</v>
      </c>
      <c r="M201" s="6">
        <f t="shared" si="38"/>
        <v>13.858584807492194</v>
      </c>
      <c r="N201" s="13">
        <f t="shared" si="33"/>
        <v>14.101968096481214</v>
      </c>
      <c r="O201" s="6">
        <f t="shared" si="41"/>
        <v>536.1029795352066</v>
      </c>
      <c r="P201" s="6">
        <f t="shared" si="42"/>
        <v>522.10174041643018</v>
      </c>
      <c r="Q201" s="6">
        <f t="shared" si="39"/>
        <v>14.101968096481214</v>
      </c>
      <c r="T201" s="6">
        <f t="shared" si="32"/>
        <v>14.101968096481214</v>
      </c>
    </row>
    <row r="202" spans="2:20">
      <c r="B202">
        <f t="shared" si="40"/>
        <v>199</v>
      </c>
      <c r="C202">
        <f t="shared" si="34"/>
        <v>31</v>
      </c>
      <c r="D202">
        <v>183</v>
      </c>
      <c r="E202">
        <v>214</v>
      </c>
      <c r="F202">
        <f>TnSPLINE!F$10</f>
        <v>11.332258064516131</v>
      </c>
      <c r="G202">
        <f>TnSPLINE!F$11</f>
        <v>16.553333333333331</v>
      </c>
      <c r="H202" s="5">
        <f>TnSPLINE!K$10</f>
        <v>1.4917490312358057E-3</v>
      </c>
      <c r="I202" s="5">
        <f>TnSPLINE!K$11</f>
        <v>-5.6246576833602737E-3</v>
      </c>
      <c r="J202">
        <f t="shared" si="35"/>
        <v>0.4838709677419355</v>
      </c>
      <c r="K202">
        <f t="shared" si="36"/>
        <v>0.5161290322580645</v>
      </c>
      <c r="L202">
        <f t="shared" si="37"/>
        <v>153</v>
      </c>
      <c r="M202" s="6">
        <f t="shared" si="38"/>
        <v>14.027006590357267</v>
      </c>
      <c r="N202" s="13">
        <f t="shared" si="33"/>
        <v>14.279572339623185</v>
      </c>
      <c r="O202" s="6">
        <f t="shared" si="41"/>
        <v>550.12998612556385</v>
      </c>
      <c r="P202" s="6">
        <f t="shared" si="42"/>
        <v>536.38131275605338</v>
      </c>
      <c r="Q202" s="6">
        <f t="shared" si="39"/>
        <v>14.279572339623185</v>
      </c>
      <c r="T202" s="6">
        <f t="shared" si="32"/>
        <v>14.279572339623185</v>
      </c>
    </row>
    <row r="203" spans="2:20">
      <c r="B203">
        <f t="shared" si="40"/>
        <v>200</v>
      </c>
      <c r="C203">
        <f t="shared" si="34"/>
        <v>31</v>
      </c>
      <c r="D203">
        <v>183</v>
      </c>
      <c r="E203">
        <v>214</v>
      </c>
      <c r="F203">
        <f>TnSPLINE!F$10</f>
        <v>11.332258064516131</v>
      </c>
      <c r="G203">
        <f>TnSPLINE!F$11</f>
        <v>16.553333333333331</v>
      </c>
      <c r="H203" s="5">
        <f>TnSPLINE!K$10</f>
        <v>1.4917490312358057E-3</v>
      </c>
      <c r="I203" s="5">
        <f>TnSPLINE!K$11</f>
        <v>-5.6246576833602737E-3</v>
      </c>
      <c r="J203">
        <f t="shared" si="35"/>
        <v>0.45161290322580644</v>
      </c>
      <c r="K203">
        <f t="shared" si="36"/>
        <v>0.54838709677419351</v>
      </c>
      <c r="L203">
        <f t="shared" si="37"/>
        <v>154</v>
      </c>
      <c r="M203" s="6">
        <f t="shared" si="38"/>
        <v>14.195428373222338</v>
      </c>
      <c r="N203" s="13">
        <f t="shared" si="33"/>
        <v>14.45499534768563</v>
      </c>
      <c r="O203" s="6">
        <f t="shared" si="41"/>
        <v>564.32541449878613</v>
      </c>
      <c r="P203" s="6">
        <f t="shared" si="42"/>
        <v>550.83630810373904</v>
      </c>
      <c r="Q203" s="6">
        <f t="shared" si="39"/>
        <v>14.45499534768563</v>
      </c>
      <c r="T203" s="6">
        <f t="shared" si="32"/>
        <v>14.45499534768563</v>
      </c>
    </row>
    <row r="204" spans="2:20">
      <c r="B204">
        <f t="shared" si="40"/>
        <v>201</v>
      </c>
      <c r="C204">
        <f t="shared" si="34"/>
        <v>31</v>
      </c>
      <c r="D204">
        <v>183</v>
      </c>
      <c r="E204">
        <v>214</v>
      </c>
      <c r="F204">
        <f>TnSPLINE!F$10</f>
        <v>11.332258064516131</v>
      </c>
      <c r="G204">
        <f>TnSPLINE!F$11</f>
        <v>16.553333333333331</v>
      </c>
      <c r="H204" s="5">
        <f>TnSPLINE!K$10</f>
        <v>1.4917490312358057E-3</v>
      </c>
      <c r="I204" s="5">
        <f>TnSPLINE!K$11</f>
        <v>-5.6246576833602737E-3</v>
      </c>
      <c r="J204">
        <f t="shared" si="35"/>
        <v>0.41935483870967744</v>
      </c>
      <c r="K204">
        <f t="shared" si="36"/>
        <v>0.58064516129032262</v>
      </c>
      <c r="L204">
        <f t="shared" si="37"/>
        <v>155</v>
      </c>
      <c r="M204" s="6">
        <f t="shared" si="38"/>
        <v>14.363850156087409</v>
      </c>
      <c r="N204" s="13">
        <f t="shared" si="33"/>
        <v>14.628007559161629</v>
      </c>
      <c r="O204" s="6">
        <f t="shared" si="41"/>
        <v>578.68926465487357</v>
      </c>
      <c r="P204" s="6">
        <f t="shared" si="42"/>
        <v>565.46431566290062</v>
      </c>
      <c r="Q204" s="6">
        <f t="shared" si="39"/>
        <v>14.628007559161629</v>
      </c>
      <c r="T204" s="6">
        <f t="shared" si="32"/>
        <v>14.628007559161629</v>
      </c>
    </row>
    <row r="205" spans="2:20">
      <c r="B205">
        <f t="shared" si="40"/>
        <v>202</v>
      </c>
      <c r="C205">
        <f t="shared" si="34"/>
        <v>31</v>
      </c>
      <c r="D205">
        <v>183</v>
      </c>
      <c r="E205">
        <v>214</v>
      </c>
      <c r="F205">
        <f>TnSPLINE!F$10</f>
        <v>11.332258064516131</v>
      </c>
      <c r="G205">
        <f>TnSPLINE!F$11</f>
        <v>16.553333333333331</v>
      </c>
      <c r="H205" s="5">
        <f>TnSPLINE!K$10</f>
        <v>1.4917490312358057E-3</v>
      </c>
      <c r="I205" s="5">
        <f>TnSPLINE!K$11</f>
        <v>-5.6246576833602737E-3</v>
      </c>
      <c r="J205">
        <f t="shared" si="35"/>
        <v>0.38709677419354838</v>
      </c>
      <c r="K205">
        <f t="shared" si="36"/>
        <v>0.61290322580645162</v>
      </c>
      <c r="L205">
        <f t="shared" si="37"/>
        <v>156</v>
      </c>
      <c r="M205" s="6">
        <f t="shared" si="38"/>
        <v>14.53227193895248</v>
      </c>
      <c r="N205" s="13">
        <f t="shared" si="33"/>
        <v>14.798379412544261</v>
      </c>
      <c r="O205" s="6">
        <f t="shared" si="41"/>
        <v>593.22153659382604</v>
      </c>
      <c r="P205" s="6">
        <f t="shared" si="42"/>
        <v>580.26269507544487</v>
      </c>
      <c r="Q205" s="6">
        <f t="shared" si="39"/>
        <v>14.798379412544261</v>
      </c>
      <c r="T205" s="6">
        <f t="shared" si="32"/>
        <v>14.798379412544261</v>
      </c>
    </row>
    <row r="206" spans="2:20">
      <c r="B206">
        <f t="shared" si="40"/>
        <v>203</v>
      </c>
      <c r="C206">
        <f t="shared" si="34"/>
        <v>31</v>
      </c>
      <c r="D206">
        <v>183</v>
      </c>
      <c r="E206">
        <v>214</v>
      </c>
      <c r="F206">
        <f>TnSPLINE!F$10</f>
        <v>11.332258064516131</v>
      </c>
      <c r="G206">
        <f>TnSPLINE!F$11</f>
        <v>16.553333333333331</v>
      </c>
      <c r="H206" s="5">
        <f>TnSPLINE!K$10</f>
        <v>1.4917490312358057E-3</v>
      </c>
      <c r="I206" s="5">
        <f>TnSPLINE!K$11</f>
        <v>-5.6246576833602737E-3</v>
      </c>
      <c r="J206">
        <f t="shared" si="35"/>
        <v>0.35483870967741937</v>
      </c>
      <c r="K206">
        <f t="shared" si="36"/>
        <v>0.64516129032258063</v>
      </c>
      <c r="L206">
        <f t="shared" si="37"/>
        <v>157</v>
      </c>
      <c r="M206" s="6">
        <f t="shared" si="38"/>
        <v>14.700693721817551</v>
      </c>
      <c r="N206" s="13">
        <f t="shared" si="33"/>
        <v>14.965881346326601</v>
      </c>
      <c r="O206" s="6">
        <f t="shared" si="41"/>
        <v>607.92223031564356</v>
      </c>
      <c r="P206" s="6">
        <f t="shared" si="42"/>
        <v>595.22857642177144</v>
      </c>
      <c r="Q206" s="6">
        <f t="shared" si="39"/>
        <v>14.965881346326601</v>
      </c>
      <c r="T206" s="6">
        <f t="shared" si="32"/>
        <v>14.965881346326601</v>
      </c>
    </row>
    <row r="207" spans="2:20">
      <c r="B207">
        <f t="shared" si="40"/>
        <v>204</v>
      </c>
      <c r="C207">
        <f t="shared" si="34"/>
        <v>31</v>
      </c>
      <c r="D207">
        <v>183</v>
      </c>
      <c r="E207">
        <v>214</v>
      </c>
      <c r="F207">
        <f>TnSPLINE!F$10</f>
        <v>11.332258064516131</v>
      </c>
      <c r="G207">
        <f>TnSPLINE!F$11</f>
        <v>16.553333333333331</v>
      </c>
      <c r="H207" s="5">
        <f>TnSPLINE!K$10</f>
        <v>1.4917490312358057E-3</v>
      </c>
      <c r="I207" s="5">
        <f>TnSPLINE!K$11</f>
        <v>-5.6246576833602737E-3</v>
      </c>
      <c r="J207">
        <f t="shared" si="35"/>
        <v>0.32258064516129031</v>
      </c>
      <c r="K207">
        <f t="shared" si="36"/>
        <v>0.67741935483870963</v>
      </c>
      <c r="L207">
        <f t="shared" si="37"/>
        <v>158</v>
      </c>
      <c r="M207" s="6">
        <f t="shared" si="38"/>
        <v>14.86911550468262</v>
      </c>
      <c r="N207" s="13">
        <f t="shared" si="33"/>
        <v>15.130283799001727</v>
      </c>
      <c r="O207" s="6">
        <f t="shared" si="41"/>
        <v>622.79134582032623</v>
      </c>
      <c r="P207" s="6">
        <f t="shared" si="42"/>
        <v>610.35886022077318</v>
      </c>
      <c r="Q207" s="6">
        <f t="shared" si="39"/>
        <v>15.130283799001727</v>
      </c>
      <c r="T207" s="6">
        <f t="shared" si="32"/>
        <v>15.130283799001727</v>
      </c>
    </row>
    <row r="208" spans="2:20">
      <c r="B208">
        <f t="shared" si="40"/>
        <v>205</v>
      </c>
      <c r="C208">
        <f t="shared" si="34"/>
        <v>31</v>
      </c>
      <c r="D208">
        <v>183</v>
      </c>
      <c r="E208">
        <v>214</v>
      </c>
      <c r="F208">
        <f>TnSPLINE!F$10</f>
        <v>11.332258064516131</v>
      </c>
      <c r="G208">
        <f>TnSPLINE!F$11</f>
        <v>16.553333333333331</v>
      </c>
      <c r="H208" s="5">
        <f>TnSPLINE!K$10</f>
        <v>1.4917490312358057E-3</v>
      </c>
      <c r="I208" s="5">
        <f>TnSPLINE!K$11</f>
        <v>-5.6246576833602737E-3</v>
      </c>
      <c r="J208">
        <f t="shared" si="35"/>
        <v>0.29032258064516131</v>
      </c>
      <c r="K208">
        <f t="shared" si="36"/>
        <v>0.70967741935483875</v>
      </c>
      <c r="L208">
        <f t="shared" si="37"/>
        <v>159</v>
      </c>
      <c r="M208" s="6">
        <f t="shared" si="38"/>
        <v>15.037537287547693</v>
      </c>
      <c r="N208" s="13">
        <f t="shared" si="33"/>
        <v>15.291357209062721</v>
      </c>
      <c r="O208" s="6">
        <f t="shared" si="41"/>
        <v>637.82888310787393</v>
      </c>
      <c r="P208" s="6">
        <f t="shared" si="42"/>
        <v>625.65021742983595</v>
      </c>
      <c r="Q208" s="6">
        <f t="shared" si="39"/>
        <v>15.291357209062721</v>
      </c>
      <c r="T208" s="6">
        <f t="shared" si="32"/>
        <v>15.291357209062721</v>
      </c>
    </row>
    <row r="209" spans="1:20">
      <c r="B209">
        <f t="shared" si="40"/>
        <v>206</v>
      </c>
      <c r="C209">
        <f t="shared" si="34"/>
        <v>31</v>
      </c>
      <c r="D209">
        <v>183</v>
      </c>
      <c r="E209">
        <v>214</v>
      </c>
      <c r="F209">
        <f>TnSPLINE!F$10</f>
        <v>11.332258064516131</v>
      </c>
      <c r="G209">
        <f>TnSPLINE!F$11</f>
        <v>16.553333333333331</v>
      </c>
      <c r="H209" s="5">
        <f>TnSPLINE!K$10</f>
        <v>1.4917490312358057E-3</v>
      </c>
      <c r="I209" s="5">
        <f>TnSPLINE!K$11</f>
        <v>-5.6246576833602737E-3</v>
      </c>
      <c r="J209">
        <f t="shared" si="35"/>
        <v>0.25806451612903225</v>
      </c>
      <c r="K209">
        <f t="shared" si="36"/>
        <v>0.74193548387096775</v>
      </c>
      <c r="L209">
        <f t="shared" si="37"/>
        <v>160</v>
      </c>
      <c r="M209" s="6">
        <f t="shared" si="38"/>
        <v>15.205959070412764</v>
      </c>
      <c r="N209" s="13">
        <f t="shared" si="33"/>
        <v>15.448872015002653</v>
      </c>
      <c r="O209" s="6">
        <f t="shared" si="41"/>
        <v>653.03484217828668</v>
      </c>
      <c r="P209" s="6">
        <f t="shared" si="42"/>
        <v>641.09908944483857</v>
      </c>
      <c r="Q209" s="6">
        <f t="shared" si="39"/>
        <v>15.448872015002653</v>
      </c>
      <c r="T209" s="6">
        <f t="shared" si="32"/>
        <v>15.448872015002653</v>
      </c>
    </row>
    <row r="210" spans="1:20">
      <c r="B210">
        <f t="shared" si="40"/>
        <v>207</v>
      </c>
      <c r="C210">
        <f t="shared" si="34"/>
        <v>31</v>
      </c>
      <c r="D210">
        <v>183</v>
      </c>
      <c r="E210">
        <v>214</v>
      </c>
      <c r="F210">
        <f>TnSPLINE!F$10</f>
        <v>11.332258064516131</v>
      </c>
      <c r="G210">
        <f>TnSPLINE!F$11</f>
        <v>16.553333333333331</v>
      </c>
      <c r="H210" s="5">
        <f>TnSPLINE!K$10</f>
        <v>1.4917490312358057E-3</v>
      </c>
      <c r="I210" s="5">
        <f>TnSPLINE!K$11</f>
        <v>-5.6246576833602737E-3</v>
      </c>
      <c r="J210">
        <f t="shared" si="35"/>
        <v>0.22580645161290322</v>
      </c>
      <c r="K210">
        <f t="shared" si="36"/>
        <v>0.77419354838709675</v>
      </c>
      <c r="L210">
        <f t="shared" si="37"/>
        <v>161</v>
      </c>
      <c r="M210" s="6">
        <f t="shared" si="38"/>
        <v>15.374380853277833</v>
      </c>
      <c r="N210" s="13">
        <f t="shared" si="33"/>
        <v>15.602598655314605</v>
      </c>
      <c r="O210" s="6">
        <f t="shared" si="41"/>
        <v>668.40922303156447</v>
      </c>
      <c r="P210" s="6">
        <f t="shared" si="42"/>
        <v>656.70168810015321</v>
      </c>
      <c r="Q210" s="6">
        <f t="shared" si="39"/>
        <v>15.602598655314605</v>
      </c>
      <c r="T210" s="6">
        <f t="shared" si="32"/>
        <v>15.602598655314605</v>
      </c>
    </row>
    <row r="211" spans="1:20">
      <c r="B211">
        <f t="shared" si="40"/>
        <v>208</v>
      </c>
      <c r="C211">
        <f t="shared" si="34"/>
        <v>31</v>
      </c>
      <c r="D211">
        <v>183</v>
      </c>
      <c r="E211">
        <v>214</v>
      </c>
      <c r="F211">
        <f>TnSPLINE!F$10</f>
        <v>11.332258064516131</v>
      </c>
      <c r="G211">
        <f>TnSPLINE!F$11</f>
        <v>16.553333333333331</v>
      </c>
      <c r="H211" s="5">
        <f>TnSPLINE!K$10</f>
        <v>1.4917490312358057E-3</v>
      </c>
      <c r="I211" s="5">
        <f>TnSPLINE!K$11</f>
        <v>-5.6246576833602737E-3</v>
      </c>
      <c r="J211">
        <f t="shared" si="35"/>
        <v>0.19354838709677419</v>
      </c>
      <c r="K211">
        <f t="shared" si="36"/>
        <v>0.80645161290322576</v>
      </c>
      <c r="L211">
        <f t="shared" si="37"/>
        <v>162</v>
      </c>
      <c r="M211" s="6">
        <f t="shared" si="38"/>
        <v>15.542802636142904</v>
      </c>
      <c r="N211" s="13">
        <f t="shared" si="33"/>
        <v>15.752307568491654</v>
      </c>
      <c r="O211" s="6">
        <f t="shared" si="41"/>
        <v>683.9520256677074</v>
      </c>
      <c r="P211" s="6">
        <f t="shared" si="42"/>
        <v>672.45399566864489</v>
      </c>
      <c r="Q211" s="6">
        <f t="shared" si="39"/>
        <v>15.752307568491654</v>
      </c>
      <c r="T211" s="6">
        <f t="shared" si="32"/>
        <v>15.752307568491654</v>
      </c>
    </row>
    <row r="212" spans="1:20">
      <c r="B212">
        <f t="shared" si="40"/>
        <v>209</v>
      </c>
      <c r="C212">
        <f t="shared" si="34"/>
        <v>31</v>
      </c>
      <c r="D212">
        <v>183</v>
      </c>
      <c r="E212">
        <v>214</v>
      </c>
      <c r="F212">
        <f>TnSPLINE!F$10</f>
        <v>11.332258064516131</v>
      </c>
      <c r="G212">
        <f>TnSPLINE!F$11</f>
        <v>16.553333333333331</v>
      </c>
      <c r="H212" s="5">
        <f>TnSPLINE!K$10</f>
        <v>1.4917490312358057E-3</v>
      </c>
      <c r="I212" s="5">
        <f>TnSPLINE!K$11</f>
        <v>-5.6246576833602737E-3</v>
      </c>
      <c r="J212">
        <f t="shared" si="35"/>
        <v>0.16129032258064516</v>
      </c>
      <c r="K212">
        <f t="shared" si="36"/>
        <v>0.83870967741935487</v>
      </c>
      <c r="L212">
        <f t="shared" si="37"/>
        <v>163</v>
      </c>
      <c r="M212" s="6">
        <f t="shared" si="38"/>
        <v>15.711224419007978</v>
      </c>
      <c r="N212" s="13">
        <f t="shared" si="33"/>
        <v>15.897769193026882</v>
      </c>
      <c r="O212" s="6">
        <f t="shared" si="41"/>
        <v>699.66325008671538</v>
      </c>
      <c r="P212" s="6">
        <f t="shared" si="42"/>
        <v>688.35176486167177</v>
      </c>
      <c r="Q212" s="6">
        <f t="shared" si="39"/>
        <v>15.897769193026882</v>
      </c>
      <c r="T212" s="6">
        <f t="shared" si="32"/>
        <v>15.897769193026882</v>
      </c>
    </row>
    <row r="213" spans="1:20">
      <c r="B213">
        <f t="shared" si="40"/>
        <v>210</v>
      </c>
      <c r="C213">
        <f t="shared" si="34"/>
        <v>31</v>
      </c>
      <c r="D213">
        <v>183</v>
      </c>
      <c r="E213">
        <v>214</v>
      </c>
      <c r="F213">
        <f>TnSPLINE!F$10</f>
        <v>11.332258064516131</v>
      </c>
      <c r="G213">
        <f>TnSPLINE!F$11</f>
        <v>16.553333333333331</v>
      </c>
      <c r="H213" s="5">
        <f>TnSPLINE!K$10</f>
        <v>1.4917490312358057E-3</v>
      </c>
      <c r="I213" s="5">
        <f>TnSPLINE!K$11</f>
        <v>-5.6246576833602737E-3</v>
      </c>
      <c r="J213">
        <f t="shared" si="35"/>
        <v>0.12903225806451613</v>
      </c>
      <c r="K213">
        <f t="shared" si="36"/>
        <v>0.87096774193548387</v>
      </c>
      <c r="L213">
        <f t="shared" si="37"/>
        <v>164</v>
      </c>
      <c r="M213" s="6">
        <f t="shared" si="38"/>
        <v>15.879646201873047</v>
      </c>
      <c r="N213" s="13">
        <f t="shared" si="33"/>
        <v>16.038753967413356</v>
      </c>
      <c r="O213" s="6">
        <f t="shared" si="41"/>
        <v>715.54289628858839</v>
      </c>
      <c r="P213" s="6">
        <f t="shared" si="42"/>
        <v>704.39051882908507</v>
      </c>
      <c r="Q213" s="6">
        <f t="shared" si="39"/>
        <v>16.038753967413356</v>
      </c>
      <c r="T213" s="6">
        <f t="shared" si="32"/>
        <v>16.038753967413356</v>
      </c>
    </row>
    <row r="214" spans="1:20">
      <c r="B214">
        <f t="shared" si="40"/>
        <v>211</v>
      </c>
      <c r="C214">
        <f t="shared" si="34"/>
        <v>31</v>
      </c>
      <c r="D214">
        <v>183</v>
      </c>
      <c r="E214">
        <v>214</v>
      </c>
      <c r="F214">
        <f>TnSPLINE!F$10</f>
        <v>11.332258064516131</v>
      </c>
      <c r="G214">
        <f>TnSPLINE!F$11</f>
        <v>16.553333333333331</v>
      </c>
      <c r="H214" s="5">
        <f>TnSPLINE!K$10</f>
        <v>1.4917490312358057E-3</v>
      </c>
      <c r="I214" s="5">
        <f>TnSPLINE!K$11</f>
        <v>-5.6246576833602737E-3</v>
      </c>
      <c r="J214">
        <f t="shared" si="35"/>
        <v>9.6774193548387094E-2</v>
      </c>
      <c r="K214">
        <f t="shared" si="36"/>
        <v>0.90322580645161288</v>
      </c>
      <c r="L214">
        <f t="shared" si="37"/>
        <v>165</v>
      </c>
      <c r="M214" s="6">
        <f t="shared" si="38"/>
        <v>16.048067984738118</v>
      </c>
      <c r="N214" s="13">
        <f t="shared" si="33"/>
        <v>16.175032330144163</v>
      </c>
      <c r="O214" s="6">
        <f t="shared" si="41"/>
        <v>731.59096427332656</v>
      </c>
      <c r="P214" s="6">
        <f t="shared" si="42"/>
        <v>720.56555115922924</v>
      </c>
      <c r="Q214" s="6">
        <f t="shared" si="39"/>
        <v>16.175032330144163</v>
      </c>
      <c r="T214" s="6">
        <f t="shared" si="32"/>
        <v>16.175032330144163</v>
      </c>
    </row>
    <row r="215" spans="1:20">
      <c r="B215">
        <f t="shared" si="40"/>
        <v>212</v>
      </c>
      <c r="C215">
        <f t="shared" si="34"/>
        <v>31</v>
      </c>
      <c r="D215">
        <v>183</v>
      </c>
      <c r="E215">
        <v>214</v>
      </c>
      <c r="F215">
        <f>TnSPLINE!F$10</f>
        <v>11.332258064516131</v>
      </c>
      <c r="G215">
        <f>TnSPLINE!F$11</f>
        <v>16.553333333333331</v>
      </c>
      <c r="H215" s="5">
        <f>TnSPLINE!K$10</f>
        <v>1.4917490312358057E-3</v>
      </c>
      <c r="I215" s="5">
        <f>TnSPLINE!K$11</f>
        <v>-5.6246576833602737E-3</v>
      </c>
      <c r="J215">
        <f t="shared" si="35"/>
        <v>6.4516129032258063E-2</v>
      </c>
      <c r="K215">
        <f t="shared" si="36"/>
        <v>0.93548387096774188</v>
      </c>
      <c r="L215">
        <f t="shared" si="37"/>
        <v>166</v>
      </c>
      <c r="M215" s="6">
        <f t="shared" si="38"/>
        <v>16.216489767603189</v>
      </c>
      <c r="N215" s="13">
        <f t="shared" si="33"/>
        <v>16.306374719712373</v>
      </c>
      <c r="O215" s="6">
        <f t="shared" si="41"/>
        <v>747.80745404092977</v>
      </c>
      <c r="P215" s="6">
        <f t="shared" si="42"/>
        <v>736.87192587894162</v>
      </c>
      <c r="Q215" s="6">
        <f t="shared" si="39"/>
        <v>16.306374719712373</v>
      </c>
      <c r="T215" s="6">
        <f t="shared" si="32"/>
        <v>16.306374719712373</v>
      </c>
    </row>
    <row r="216" spans="1:20">
      <c r="B216">
        <f t="shared" si="40"/>
        <v>213</v>
      </c>
      <c r="C216">
        <f t="shared" si="34"/>
        <v>31</v>
      </c>
      <c r="D216">
        <v>183</v>
      </c>
      <c r="E216">
        <v>214</v>
      </c>
      <c r="F216">
        <f>TnSPLINE!F$10</f>
        <v>11.332258064516131</v>
      </c>
      <c r="G216">
        <f>TnSPLINE!F$11</f>
        <v>16.553333333333331</v>
      </c>
      <c r="H216" s="5">
        <f>TnSPLINE!K$10</f>
        <v>1.4917490312358057E-3</v>
      </c>
      <c r="I216" s="5">
        <f>TnSPLINE!K$11</f>
        <v>-5.6246576833602737E-3</v>
      </c>
      <c r="J216">
        <f t="shared" si="35"/>
        <v>3.2258064516129031E-2</v>
      </c>
      <c r="K216">
        <f t="shared" si="36"/>
        <v>0.967741935483871</v>
      </c>
      <c r="L216">
        <f t="shared" si="37"/>
        <v>167</v>
      </c>
      <c r="M216" s="6">
        <f t="shared" si="38"/>
        <v>16.38491155046826</v>
      </c>
      <c r="N216" s="13">
        <f t="shared" si="33"/>
        <v>16.432551574611072</v>
      </c>
      <c r="O216" s="6">
        <f t="shared" si="41"/>
        <v>764.19236559139802</v>
      </c>
      <c r="P216" s="6">
        <f t="shared" si="42"/>
        <v>753.30447745355275</v>
      </c>
      <c r="Q216" s="6">
        <f t="shared" si="39"/>
        <v>16.432551574611072</v>
      </c>
      <c r="T216" s="6">
        <f t="shared" si="32"/>
        <v>16.432551574611072</v>
      </c>
    </row>
    <row r="217" spans="1:20">
      <c r="A217">
        <v>214</v>
      </c>
      <c r="B217">
        <f t="shared" si="40"/>
        <v>214</v>
      </c>
      <c r="C217">
        <f t="shared" si="34"/>
        <v>31</v>
      </c>
      <c r="D217">
        <v>183</v>
      </c>
      <c r="E217">
        <v>214</v>
      </c>
      <c r="F217">
        <f>TnSPLINE!F$10</f>
        <v>11.332258064516131</v>
      </c>
      <c r="G217">
        <f>TnSPLINE!F$11</f>
        <v>16.553333333333331</v>
      </c>
      <c r="H217" s="5">
        <f>TnSPLINE!K$10</f>
        <v>1.4917490312358057E-3</v>
      </c>
      <c r="I217" s="5">
        <f>TnSPLINE!K$11</f>
        <v>-5.6246576833602737E-3</v>
      </c>
      <c r="J217">
        <f t="shared" si="35"/>
        <v>0</v>
      </c>
      <c r="K217">
        <f t="shared" si="36"/>
        <v>1</v>
      </c>
      <c r="L217">
        <f t="shared" si="37"/>
        <v>168</v>
      </c>
      <c r="M217" s="6">
        <f t="shared" si="38"/>
        <v>16.553333333333331</v>
      </c>
      <c r="N217" s="13">
        <f t="shared" si="33"/>
        <v>16.553333333333331</v>
      </c>
      <c r="O217" s="6">
        <f t="shared" si="41"/>
        <v>780.7456989247313</v>
      </c>
      <c r="P217" s="6">
        <f t="shared" si="42"/>
        <v>769.85781078688603</v>
      </c>
      <c r="Q217" s="6">
        <f t="shared" si="39"/>
        <v>16.553333333333331</v>
      </c>
      <c r="T217" s="6">
        <f t="shared" si="32"/>
        <v>16.553333333333331</v>
      </c>
    </row>
    <row r="218" spans="1:20">
      <c r="B218">
        <f t="shared" si="40"/>
        <v>215</v>
      </c>
      <c r="C218">
        <f t="shared" si="34"/>
        <v>30</v>
      </c>
      <c r="D218">
        <v>214</v>
      </c>
      <c r="E218">
        <v>244</v>
      </c>
      <c r="F218">
        <f>TnSPLINE!F$11</f>
        <v>16.553333333333331</v>
      </c>
      <c r="G218">
        <f>TnSPLINE!F$12</f>
        <v>18.506451612903223</v>
      </c>
      <c r="H218" s="5">
        <f>TnSPLINE!K$11</f>
        <v>-5.6246576833602737E-3</v>
      </c>
      <c r="I218" s="5">
        <f>TnSPLINE!K$12</f>
        <v>6.6856587083987079E-4</v>
      </c>
      <c r="J218">
        <f t="shared" si="35"/>
        <v>0.96666666666666667</v>
      </c>
      <c r="K218">
        <f t="shared" si="36"/>
        <v>3.3333333333333333E-2</v>
      </c>
      <c r="L218">
        <f t="shared" si="37"/>
        <v>169</v>
      </c>
      <c r="M218" s="6">
        <f t="shared" si="38"/>
        <v>16.618437275985663</v>
      </c>
      <c r="N218" s="13">
        <f t="shared" si="33"/>
        <v>16.668563656976467</v>
      </c>
      <c r="O218" s="6">
        <f t="shared" si="41"/>
        <v>797.36413620071698</v>
      </c>
      <c r="P218" s="6">
        <f t="shared" si="42"/>
        <v>786.52637444386255</v>
      </c>
      <c r="Q218" s="6">
        <f t="shared" si="39"/>
        <v>16.668563656976467</v>
      </c>
      <c r="T218" s="6">
        <f t="shared" si="32"/>
        <v>16.668563656976467</v>
      </c>
    </row>
    <row r="219" spans="1:20">
      <c r="B219">
        <f t="shared" si="40"/>
        <v>216</v>
      </c>
      <c r="C219">
        <f t="shared" si="34"/>
        <v>30</v>
      </c>
      <c r="D219">
        <v>214</v>
      </c>
      <c r="E219">
        <v>244</v>
      </c>
      <c r="F219">
        <f>TnSPLINE!F$11</f>
        <v>16.553333333333331</v>
      </c>
      <c r="G219">
        <f>TnSPLINE!F$12</f>
        <v>18.506451612903223</v>
      </c>
      <c r="H219" s="5">
        <f>TnSPLINE!K$11</f>
        <v>-5.6246576833602737E-3</v>
      </c>
      <c r="I219" s="5">
        <f>TnSPLINE!K$12</f>
        <v>6.6856587083987079E-4</v>
      </c>
      <c r="J219">
        <f t="shared" si="35"/>
        <v>0.93333333333333335</v>
      </c>
      <c r="K219">
        <f t="shared" si="36"/>
        <v>6.6666666666666666E-2</v>
      </c>
      <c r="L219">
        <f t="shared" si="37"/>
        <v>170</v>
      </c>
      <c r="M219" s="6">
        <f t="shared" si="38"/>
        <v>16.683541218637991</v>
      </c>
      <c r="N219" s="13">
        <f t="shared" si="33"/>
        <v>16.77837909705471</v>
      </c>
      <c r="O219" s="6">
        <f t="shared" si="41"/>
        <v>814.04767741935495</v>
      </c>
      <c r="P219" s="6">
        <f t="shared" si="42"/>
        <v>803.30475354091732</v>
      </c>
      <c r="Q219" s="6">
        <f t="shared" si="39"/>
        <v>16.77837909705471</v>
      </c>
      <c r="T219" s="6">
        <f t="shared" si="32"/>
        <v>16.77837909705471</v>
      </c>
    </row>
    <row r="220" spans="1:20">
      <c r="B220">
        <f t="shared" si="40"/>
        <v>217</v>
      </c>
      <c r="C220">
        <f t="shared" si="34"/>
        <v>30</v>
      </c>
      <c r="D220">
        <v>214</v>
      </c>
      <c r="E220">
        <v>244</v>
      </c>
      <c r="F220">
        <f>TnSPLINE!F$11</f>
        <v>16.553333333333331</v>
      </c>
      <c r="G220">
        <f>TnSPLINE!F$12</f>
        <v>18.506451612903223</v>
      </c>
      <c r="H220" s="5">
        <f>TnSPLINE!K$11</f>
        <v>-5.6246576833602737E-3</v>
      </c>
      <c r="I220" s="5">
        <f>TnSPLINE!K$12</f>
        <v>6.6856587083987079E-4</v>
      </c>
      <c r="J220">
        <f t="shared" si="35"/>
        <v>0.9</v>
      </c>
      <c r="K220">
        <f t="shared" si="36"/>
        <v>0.1</v>
      </c>
      <c r="L220">
        <f t="shared" si="37"/>
        <v>171</v>
      </c>
      <c r="M220" s="6">
        <f t="shared" si="38"/>
        <v>16.74864516129032</v>
      </c>
      <c r="N220" s="13">
        <f t="shared" si="33"/>
        <v>16.882989427686539</v>
      </c>
      <c r="O220" s="6">
        <f t="shared" si="41"/>
        <v>830.79632258064532</v>
      </c>
      <c r="P220" s="6">
        <f t="shared" si="42"/>
        <v>820.18774296860386</v>
      </c>
      <c r="Q220" s="6">
        <f t="shared" si="39"/>
        <v>16.882989427686539</v>
      </c>
      <c r="T220" s="6">
        <f t="shared" si="32"/>
        <v>16.882989427686539</v>
      </c>
    </row>
    <row r="221" spans="1:20">
      <c r="B221">
        <f t="shared" si="40"/>
        <v>218</v>
      </c>
      <c r="C221">
        <f t="shared" si="34"/>
        <v>30</v>
      </c>
      <c r="D221">
        <v>214</v>
      </c>
      <c r="E221">
        <v>244</v>
      </c>
      <c r="F221">
        <f>TnSPLINE!F$11</f>
        <v>16.553333333333331</v>
      </c>
      <c r="G221">
        <f>TnSPLINE!F$12</f>
        <v>18.506451612903223</v>
      </c>
      <c r="H221" s="5">
        <f>TnSPLINE!K$11</f>
        <v>-5.6246576833602737E-3</v>
      </c>
      <c r="I221" s="5">
        <f>TnSPLINE!K$12</f>
        <v>6.6856587083987079E-4</v>
      </c>
      <c r="J221">
        <f t="shared" si="35"/>
        <v>0.8666666666666667</v>
      </c>
      <c r="K221">
        <f t="shared" si="36"/>
        <v>0.13333333333333333</v>
      </c>
      <c r="L221">
        <f t="shared" si="37"/>
        <v>172</v>
      </c>
      <c r="M221" s="6">
        <f t="shared" si="38"/>
        <v>16.813749103942651</v>
      </c>
      <c r="N221" s="13">
        <f t="shared" si="33"/>
        <v>16.98260442299043</v>
      </c>
      <c r="O221" s="6">
        <f t="shared" si="41"/>
        <v>847.61007168458798</v>
      </c>
      <c r="P221" s="6">
        <f t="shared" si="42"/>
        <v>837.17034739159431</v>
      </c>
      <c r="Q221" s="6">
        <f t="shared" si="39"/>
        <v>16.98260442299043</v>
      </c>
      <c r="T221" s="6">
        <f t="shared" si="32"/>
        <v>16.98260442299043</v>
      </c>
    </row>
    <row r="222" spans="1:20">
      <c r="B222">
        <f t="shared" si="40"/>
        <v>219</v>
      </c>
      <c r="C222">
        <f t="shared" si="34"/>
        <v>30</v>
      </c>
      <c r="D222">
        <v>214</v>
      </c>
      <c r="E222">
        <v>244</v>
      </c>
      <c r="F222">
        <f>TnSPLINE!F$11</f>
        <v>16.553333333333331</v>
      </c>
      <c r="G222">
        <f>TnSPLINE!F$12</f>
        <v>18.506451612903223</v>
      </c>
      <c r="H222" s="5">
        <f>TnSPLINE!K$11</f>
        <v>-5.6246576833602737E-3</v>
      </c>
      <c r="I222" s="5">
        <f>TnSPLINE!K$12</f>
        <v>6.6856587083987079E-4</v>
      </c>
      <c r="J222">
        <f t="shared" si="35"/>
        <v>0.83333333333333337</v>
      </c>
      <c r="K222">
        <f t="shared" si="36"/>
        <v>0.16666666666666666</v>
      </c>
      <c r="L222">
        <f t="shared" si="37"/>
        <v>173</v>
      </c>
      <c r="M222" s="6">
        <f t="shared" si="38"/>
        <v>16.87885304659498</v>
      </c>
      <c r="N222" s="13">
        <f t="shared" si="33"/>
        <v>17.077433857084856</v>
      </c>
      <c r="O222" s="6">
        <f t="shared" si="41"/>
        <v>864.48892473118292</v>
      </c>
      <c r="P222" s="6">
        <f t="shared" si="42"/>
        <v>854.24778124867919</v>
      </c>
      <c r="Q222" s="6">
        <f t="shared" si="39"/>
        <v>17.077433857084856</v>
      </c>
      <c r="T222" s="6">
        <f t="shared" si="32"/>
        <v>17.077433857084856</v>
      </c>
    </row>
    <row r="223" spans="1:20">
      <c r="B223">
        <f t="shared" si="40"/>
        <v>220</v>
      </c>
      <c r="C223">
        <f t="shared" si="34"/>
        <v>30</v>
      </c>
      <c r="D223">
        <v>214</v>
      </c>
      <c r="E223">
        <v>244</v>
      </c>
      <c r="F223">
        <f>TnSPLINE!F$11</f>
        <v>16.553333333333331</v>
      </c>
      <c r="G223">
        <f>TnSPLINE!F$12</f>
        <v>18.506451612903223</v>
      </c>
      <c r="H223" s="5">
        <f>TnSPLINE!K$11</f>
        <v>-5.6246576833602737E-3</v>
      </c>
      <c r="I223" s="5">
        <f>TnSPLINE!K$12</f>
        <v>6.6856587083987079E-4</v>
      </c>
      <c r="J223">
        <f t="shared" si="35"/>
        <v>0.8</v>
      </c>
      <c r="K223">
        <f t="shared" si="36"/>
        <v>0.2</v>
      </c>
      <c r="L223">
        <f t="shared" si="37"/>
        <v>174</v>
      </c>
      <c r="M223" s="6">
        <f t="shared" si="38"/>
        <v>16.943956989247312</v>
      </c>
      <c r="N223" s="13">
        <f t="shared" si="33"/>
        <v>17.167687504088288</v>
      </c>
      <c r="O223" s="6">
        <f t="shared" si="41"/>
        <v>881.43288172043026</v>
      </c>
      <c r="P223" s="6">
        <f t="shared" si="42"/>
        <v>871.41546875276742</v>
      </c>
      <c r="Q223" s="6">
        <f t="shared" si="39"/>
        <v>17.167687504088288</v>
      </c>
      <c r="T223" s="6">
        <f t="shared" si="32"/>
        <v>17.167687504088288</v>
      </c>
    </row>
    <row r="224" spans="1:20">
      <c r="B224">
        <f t="shared" si="40"/>
        <v>221</v>
      </c>
      <c r="C224">
        <f t="shared" si="34"/>
        <v>30</v>
      </c>
      <c r="D224">
        <v>214</v>
      </c>
      <c r="E224">
        <v>244</v>
      </c>
      <c r="F224">
        <f>TnSPLINE!F$11</f>
        <v>16.553333333333331</v>
      </c>
      <c r="G224">
        <f>TnSPLINE!F$12</f>
        <v>18.506451612903223</v>
      </c>
      <c r="H224" s="5">
        <f>TnSPLINE!K$11</f>
        <v>-5.6246576833602737E-3</v>
      </c>
      <c r="I224" s="5">
        <f>TnSPLINE!K$12</f>
        <v>6.6856587083987079E-4</v>
      </c>
      <c r="J224">
        <f t="shared" si="35"/>
        <v>0.76666666666666672</v>
      </c>
      <c r="K224">
        <f t="shared" si="36"/>
        <v>0.23333333333333334</v>
      </c>
      <c r="L224">
        <f t="shared" si="37"/>
        <v>175</v>
      </c>
      <c r="M224" s="6">
        <f t="shared" si="38"/>
        <v>17.00906093189964</v>
      </c>
      <c r="N224" s="13">
        <f t="shared" si="33"/>
        <v>17.253575138119196</v>
      </c>
      <c r="O224" s="6">
        <f t="shared" si="41"/>
        <v>898.44194265232989</v>
      </c>
      <c r="P224" s="6">
        <f t="shared" si="42"/>
        <v>888.66904389088666</v>
      </c>
      <c r="Q224" s="6">
        <f t="shared" si="39"/>
        <v>17.253575138119196</v>
      </c>
      <c r="T224" s="6">
        <f t="shared" si="32"/>
        <v>17.253575138119196</v>
      </c>
    </row>
    <row r="225" spans="2:20">
      <c r="B225">
        <f t="shared" si="40"/>
        <v>222</v>
      </c>
      <c r="C225">
        <f t="shared" si="34"/>
        <v>30</v>
      </c>
      <c r="D225">
        <v>214</v>
      </c>
      <c r="E225">
        <v>244</v>
      </c>
      <c r="F225">
        <f>TnSPLINE!F$11</f>
        <v>16.553333333333331</v>
      </c>
      <c r="G225">
        <f>TnSPLINE!F$12</f>
        <v>18.506451612903223</v>
      </c>
      <c r="H225" s="5">
        <f>TnSPLINE!K$11</f>
        <v>-5.6246576833602737E-3</v>
      </c>
      <c r="I225" s="5">
        <f>TnSPLINE!K$12</f>
        <v>6.6856587083987079E-4</v>
      </c>
      <c r="J225">
        <f t="shared" si="35"/>
        <v>0.73333333333333328</v>
      </c>
      <c r="K225">
        <f t="shared" si="36"/>
        <v>0.26666666666666666</v>
      </c>
      <c r="L225">
        <f t="shared" si="37"/>
        <v>176</v>
      </c>
      <c r="M225" s="6">
        <f t="shared" si="38"/>
        <v>17.074164874551968</v>
      </c>
      <c r="N225" s="13">
        <f t="shared" si="33"/>
        <v>17.335306533296059</v>
      </c>
      <c r="O225" s="6">
        <f t="shared" si="41"/>
        <v>915.5161075268818</v>
      </c>
      <c r="P225" s="6">
        <f t="shared" si="42"/>
        <v>906.00435042418269</v>
      </c>
      <c r="Q225" s="6">
        <f t="shared" si="39"/>
        <v>17.335306533296059</v>
      </c>
      <c r="T225" s="6">
        <f t="shared" si="32"/>
        <v>17.335306533296059</v>
      </c>
    </row>
    <row r="226" spans="2:20">
      <c r="B226">
        <f t="shared" si="40"/>
        <v>223</v>
      </c>
      <c r="C226">
        <f t="shared" si="34"/>
        <v>30</v>
      </c>
      <c r="D226">
        <v>214</v>
      </c>
      <c r="E226">
        <v>244</v>
      </c>
      <c r="F226">
        <f>TnSPLINE!F$11</f>
        <v>16.553333333333331</v>
      </c>
      <c r="G226">
        <f>TnSPLINE!F$12</f>
        <v>18.506451612903223</v>
      </c>
      <c r="H226" s="5">
        <f>TnSPLINE!K$11</f>
        <v>-5.6246576833602737E-3</v>
      </c>
      <c r="I226" s="5">
        <f>TnSPLINE!K$12</f>
        <v>6.6856587083987079E-4</v>
      </c>
      <c r="J226">
        <f t="shared" si="35"/>
        <v>0.7</v>
      </c>
      <c r="K226">
        <f t="shared" si="36"/>
        <v>0.3</v>
      </c>
      <c r="L226">
        <f t="shared" si="37"/>
        <v>177</v>
      </c>
      <c r="M226" s="6">
        <f t="shared" si="38"/>
        <v>17.139268817204297</v>
      </c>
      <c r="N226" s="13">
        <f t="shared" si="33"/>
        <v>17.413091463737345</v>
      </c>
      <c r="O226" s="6">
        <f t="shared" si="41"/>
        <v>932.65537634408611</v>
      </c>
      <c r="P226" s="6">
        <f t="shared" si="42"/>
        <v>923.41744188792006</v>
      </c>
      <c r="Q226" s="6">
        <f t="shared" si="39"/>
        <v>17.413091463737345</v>
      </c>
      <c r="T226" s="6">
        <f t="shared" si="32"/>
        <v>17.413091463737345</v>
      </c>
    </row>
    <row r="227" spans="2:20">
      <c r="B227">
        <f t="shared" si="40"/>
        <v>224</v>
      </c>
      <c r="C227">
        <f t="shared" si="34"/>
        <v>30</v>
      </c>
      <c r="D227">
        <v>214</v>
      </c>
      <c r="E227">
        <v>244</v>
      </c>
      <c r="F227">
        <f>TnSPLINE!F$11</f>
        <v>16.553333333333331</v>
      </c>
      <c r="G227">
        <f>TnSPLINE!F$12</f>
        <v>18.506451612903223</v>
      </c>
      <c r="H227" s="5">
        <f>TnSPLINE!K$11</f>
        <v>-5.6246576833602737E-3</v>
      </c>
      <c r="I227" s="5">
        <f>TnSPLINE!K$12</f>
        <v>6.6856587083987079E-4</v>
      </c>
      <c r="J227">
        <f t="shared" si="35"/>
        <v>0.66666666666666663</v>
      </c>
      <c r="K227">
        <f t="shared" si="36"/>
        <v>0.33333333333333331</v>
      </c>
      <c r="L227">
        <f t="shared" si="37"/>
        <v>178</v>
      </c>
      <c r="M227" s="6">
        <f t="shared" si="38"/>
        <v>17.204372759856629</v>
      </c>
      <c r="N227" s="13">
        <f t="shared" si="33"/>
        <v>17.487139703561539</v>
      </c>
      <c r="O227" s="6">
        <f t="shared" si="41"/>
        <v>949.8597491039427</v>
      </c>
      <c r="P227" s="6">
        <f t="shared" si="42"/>
        <v>940.90458159148159</v>
      </c>
      <c r="Q227" s="6">
        <f t="shared" si="39"/>
        <v>17.487139703561539</v>
      </c>
      <c r="T227" s="6">
        <f t="shared" si="32"/>
        <v>17.487139703561539</v>
      </c>
    </row>
    <row r="228" spans="2:20">
      <c r="B228">
        <f t="shared" si="40"/>
        <v>225</v>
      </c>
      <c r="C228">
        <f t="shared" si="34"/>
        <v>30</v>
      </c>
      <c r="D228">
        <v>214</v>
      </c>
      <c r="E228">
        <v>244</v>
      </c>
      <c r="F228">
        <f>TnSPLINE!F$11</f>
        <v>16.553333333333331</v>
      </c>
      <c r="G228">
        <f>TnSPLINE!F$12</f>
        <v>18.506451612903223</v>
      </c>
      <c r="H228" s="5">
        <f>TnSPLINE!K$11</f>
        <v>-5.6246576833602737E-3</v>
      </c>
      <c r="I228" s="5">
        <f>TnSPLINE!K$12</f>
        <v>6.6856587083987079E-4</v>
      </c>
      <c r="J228">
        <f t="shared" si="35"/>
        <v>0.6333333333333333</v>
      </c>
      <c r="K228">
        <f t="shared" si="36"/>
        <v>0.36666666666666664</v>
      </c>
      <c r="L228">
        <f t="shared" si="37"/>
        <v>179</v>
      </c>
      <c r="M228" s="6">
        <f t="shared" si="38"/>
        <v>17.269476702508957</v>
      </c>
      <c r="N228" s="13">
        <f t="shared" si="33"/>
        <v>17.5576610268871</v>
      </c>
      <c r="O228" s="6">
        <f t="shared" si="41"/>
        <v>967.1292258064517</v>
      </c>
      <c r="P228" s="6">
        <f t="shared" si="42"/>
        <v>958.46224261836869</v>
      </c>
      <c r="Q228" s="6">
        <f t="shared" si="39"/>
        <v>17.5576610268871</v>
      </c>
      <c r="T228" s="6">
        <f t="shared" si="32"/>
        <v>17.5576610268871</v>
      </c>
    </row>
    <row r="229" spans="2:20">
      <c r="B229">
        <f t="shared" si="40"/>
        <v>226</v>
      </c>
      <c r="C229">
        <f t="shared" si="34"/>
        <v>30</v>
      </c>
      <c r="D229">
        <v>214</v>
      </c>
      <c r="E229">
        <v>244</v>
      </c>
      <c r="F229">
        <f>TnSPLINE!F$11</f>
        <v>16.553333333333331</v>
      </c>
      <c r="G229">
        <f>TnSPLINE!F$12</f>
        <v>18.506451612903223</v>
      </c>
      <c r="H229" s="5">
        <f>TnSPLINE!K$11</f>
        <v>-5.6246576833602737E-3</v>
      </c>
      <c r="I229" s="5">
        <f>TnSPLINE!K$12</f>
        <v>6.6856587083987079E-4</v>
      </c>
      <c r="J229">
        <f t="shared" si="35"/>
        <v>0.6</v>
      </c>
      <c r="K229">
        <f t="shared" si="36"/>
        <v>0.4</v>
      </c>
      <c r="L229">
        <f t="shared" si="37"/>
        <v>180</v>
      </c>
      <c r="M229" s="6">
        <f t="shared" si="38"/>
        <v>17.334580645161289</v>
      </c>
      <c r="N229" s="13">
        <f t="shared" si="33"/>
        <v>17.62486520783251</v>
      </c>
      <c r="O229" s="6">
        <f t="shared" si="41"/>
        <v>984.46380645161298</v>
      </c>
      <c r="P229" s="6">
        <f t="shared" si="42"/>
        <v>976.08710782620119</v>
      </c>
      <c r="Q229" s="6">
        <f t="shared" si="39"/>
        <v>17.62486520783251</v>
      </c>
      <c r="T229" s="6">
        <f t="shared" si="32"/>
        <v>17.62486520783251</v>
      </c>
    </row>
    <row r="230" spans="2:20">
      <c r="B230">
        <f t="shared" si="40"/>
        <v>227</v>
      </c>
      <c r="C230">
        <f t="shared" si="34"/>
        <v>30</v>
      </c>
      <c r="D230">
        <v>214</v>
      </c>
      <c r="E230">
        <v>244</v>
      </c>
      <c r="F230">
        <f>TnSPLINE!F$11</f>
        <v>16.553333333333331</v>
      </c>
      <c r="G230">
        <f>TnSPLINE!F$12</f>
        <v>18.506451612903223</v>
      </c>
      <c r="H230" s="5">
        <f>TnSPLINE!K$11</f>
        <v>-5.6246576833602737E-3</v>
      </c>
      <c r="I230" s="5">
        <f>TnSPLINE!K$12</f>
        <v>6.6856587083987079E-4</v>
      </c>
      <c r="J230">
        <f t="shared" si="35"/>
        <v>0.56666666666666665</v>
      </c>
      <c r="K230">
        <f t="shared" si="36"/>
        <v>0.43333333333333335</v>
      </c>
      <c r="L230">
        <f t="shared" si="37"/>
        <v>181</v>
      </c>
      <c r="M230" s="6">
        <f t="shared" si="38"/>
        <v>17.399684587813617</v>
      </c>
      <c r="N230" s="13">
        <f t="shared" si="33"/>
        <v>17.688962020516239</v>
      </c>
      <c r="O230" s="6">
        <f t="shared" si="41"/>
        <v>1001.8634910394265</v>
      </c>
      <c r="P230" s="6">
        <f t="shared" si="42"/>
        <v>993.77606984671741</v>
      </c>
      <c r="Q230" s="6">
        <f t="shared" si="39"/>
        <v>17.688962020516239</v>
      </c>
      <c r="T230" s="6">
        <f t="shared" si="32"/>
        <v>17.688962020516239</v>
      </c>
    </row>
    <row r="231" spans="2:20">
      <c r="B231">
        <f t="shared" si="40"/>
        <v>228</v>
      </c>
      <c r="C231">
        <f t="shared" si="34"/>
        <v>30</v>
      </c>
      <c r="D231">
        <v>214</v>
      </c>
      <c r="E231">
        <v>244</v>
      </c>
      <c r="F231">
        <f>TnSPLINE!F$11</f>
        <v>16.553333333333331</v>
      </c>
      <c r="G231">
        <f>TnSPLINE!F$12</f>
        <v>18.506451612903223</v>
      </c>
      <c r="H231" s="5">
        <f>TnSPLINE!K$11</f>
        <v>-5.6246576833602737E-3</v>
      </c>
      <c r="I231" s="5">
        <f>TnSPLINE!K$12</f>
        <v>6.6856587083987079E-4</v>
      </c>
      <c r="J231">
        <f t="shared" si="35"/>
        <v>0.53333333333333333</v>
      </c>
      <c r="K231">
        <f t="shared" si="36"/>
        <v>0.46666666666666667</v>
      </c>
      <c r="L231">
        <f t="shared" si="37"/>
        <v>182</v>
      </c>
      <c r="M231" s="6">
        <f t="shared" si="38"/>
        <v>17.464788530465945</v>
      </c>
      <c r="N231" s="13">
        <f t="shared" si="33"/>
        <v>17.750161239056759</v>
      </c>
      <c r="O231" s="6">
        <f t="shared" si="41"/>
        <v>1019.3282795698925</v>
      </c>
      <c r="P231" s="6">
        <f t="shared" si="42"/>
        <v>1011.5262310857742</v>
      </c>
      <c r="Q231" s="6">
        <f t="shared" si="39"/>
        <v>17.750161239056759</v>
      </c>
      <c r="T231" s="6">
        <f t="shared" si="32"/>
        <v>17.750161239056759</v>
      </c>
    </row>
    <row r="232" spans="2:20">
      <c r="B232">
        <f t="shared" si="40"/>
        <v>229</v>
      </c>
      <c r="C232">
        <f t="shared" si="34"/>
        <v>30</v>
      </c>
      <c r="D232">
        <v>214</v>
      </c>
      <c r="E232">
        <v>244</v>
      </c>
      <c r="F232">
        <f>TnSPLINE!F$11</f>
        <v>16.553333333333331</v>
      </c>
      <c r="G232">
        <f>TnSPLINE!F$12</f>
        <v>18.506451612903223</v>
      </c>
      <c r="H232" s="5">
        <f>TnSPLINE!K$11</f>
        <v>-5.6246576833602737E-3</v>
      </c>
      <c r="I232" s="5">
        <f>TnSPLINE!K$12</f>
        <v>6.6856587083987079E-4</v>
      </c>
      <c r="J232">
        <f t="shared" si="35"/>
        <v>0.5</v>
      </c>
      <c r="K232">
        <f t="shared" si="36"/>
        <v>0.5</v>
      </c>
      <c r="L232">
        <f t="shared" si="37"/>
        <v>183</v>
      </c>
      <c r="M232" s="6">
        <f t="shared" si="38"/>
        <v>17.529892473118277</v>
      </c>
      <c r="N232" s="13">
        <f t="shared" si="33"/>
        <v>17.808672637572549</v>
      </c>
      <c r="O232" s="6">
        <f t="shared" si="41"/>
        <v>1036.8581720430109</v>
      </c>
      <c r="P232" s="6">
        <f t="shared" si="42"/>
        <v>1029.3349037233468</v>
      </c>
      <c r="Q232" s="6">
        <f t="shared" si="39"/>
        <v>17.808672637572549</v>
      </c>
      <c r="T232" s="6">
        <f t="shared" si="32"/>
        <v>17.808672637572549</v>
      </c>
    </row>
    <row r="233" spans="2:20">
      <c r="B233">
        <f t="shared" si="40"/>
        <v>230</v>
      </c>
      <c r="C233">
        <f t="shared" si="34"/>
        <v>30</v>
      </c>
      <c r="D233">
        <v>214</v>
      </c>
      <c r="E233">
        <v>244</v>
      </c>
      <c r="F233">
        <f>TnSPLINE!F$11</f>
        <v>16.553333333333331</v>
      </c>
      <c r="G233">
        <f>TnSPLINE!F$12</f>
        <v>18.506451612903223</v>
      </c>
      <c r="H233" s="5">
        <f>TnSPLINE!K$11</f>
        <v>-5.6246576833602737E-3</v>
      </c>
      <c r="I233" s="5">
        <f>TnSPLINE!K$12</f>
        <v>6.6856587083987079E-4</v>
      </c>
      <c r="J233">
        <f t="shared" si="35"/>
        <v>0.46666666666666667</v>
      </c>
      <c r="K233">
        <f t="shared" si="36"/>
        <v>0.53333333333333333</v>
      </c>
      <c r="L233">
        <f t="shared" si="37"/>
        <v>184</v>
      </c>
      <c r="M233" s="6">
        <f t="shared" si="38"/>
        <v>17.594996415770609</v>
      </c>
      <c r="N233" s="13">
        <f t="shared" si="33"/>
        <v>17.864705990182081</v>
      </c>
      <c r="O233" s="6">
        <f t="shared" si="41"/>
        <v>1054.4531684587814</v>
      </c>
      <c r="P233" s="6">
        <f t="shared" si="42"/>
        <v>1047.1996097135288</v>
      </c>
      <c r="Q233" s="6">
        <f t="shared" si="39"/>
        <v>17.864705990182081</v>
      </c>
      <c r="T233" s="6">
        <f t="shared" si="32"/>
        <v>17.864705990182081</v>
      </c>
    </row>
    <row r="234" spans="2:20">
      <c r="B234">
        <f t="shared" si="40"/>
        <v>231</v>
      </c>
      <c r="C234">
        <f t="shared" si="34"/>
        <v>30</v>
      </c>
      <c r="D234">
        <v>214</v>
      </c>
      <c r="E234">
        <v>244</v>
      </c>
      <c r="F234">
        <f>TnSPLINE!F$11</f>
        <v>16.553333333333331</v>
      </c>
      <c r="G234">
        <f>TnSPLINE!F$12</f>
        <v>18.506451612903223</v>
      </c>
      <c r="H234" s="5">
        <f>TnSPLINE!K$11</f>
        <v>-5.6246576833602737E-3</v>
      </c>
      <c r="I234" s="5">
        <f>TnSPLINE!K$12</f>
        <v>6.6856587083987079E-4</v>
      </c>
      <c r="J234">
        <f t="shared" si="35"/>
        <v>0.43333333333333335</v>
      </c>
      <c r="K234">
        <f t="shared" si="36"/>
        <v>0.56666666666666665</v>
      </c>
      <c r="L234">
        <f t="shared" si="37"/>
        <v>185</v>
      </c>
      <c r="M234" s="6">
        <f t="shared" si="38"/>
        <v>17.660100358422937</v>
      </c>
      <c r="N234" s="13">
        <f t="shared" si="33"/>
        <v>17.918471071003822</v>
      </c>
      <c r="O234" s="6">
        <f t="shared" si="41"/>
        <v>1072.1132688172042</v>
      </c>
      <c r="P234" s="6">
        <f t="shared" si="42"/>
        <v>1065.1180807845326</v>
      </c>
      <c r="Q234" s="6">
        <f t="shared" si="39"/>
        <v>17.918471071003822</v>
      </c>
      <c r="T234" s="6">
        <f t="shared" si="32"/>
        <v>17.918471071003822</v>
      </c>
    </row>
    <row r="235" spans="2:20">
      <c r="B235">
        <f t="shared" si="40"/>
        <v>232</v>
      </c>
      <c r="C235">
        <f t="shared" si="34"/>
        <v>30</v>
      </c>
      <c r="D235">
        <v>214</v>
      </c>
      <c r="E235">
        <v>244</v>
      </c>
      <c r="F235">
        <f>TnSPLINE!F$11</f>
        <v>16.553333333333331</v>
      </c>
      <c r="G235">
        <f>TnSPLINE!F$12</f>
        <v>18.506451612903223</v>
      </c>
      <c r="H235" s="5">
        <f>TnSPLINE!K$11</f>
        <v>-5.6246576833602737E-3</v>
      </c>
      <c r="I235" s="5">
        <f>TnSPLINE!K$12</f>
        <v>6.6856587083987079E-4</v>
      </c>
      <c r="J235">
        <f t="shared" si="35"/>
        <v>0.4</v>
      </c>
      <c r="K235">
        <f t="shared" si="36"/>
        <v>0.6</v>
      </c>
      <c r="L235">
        <f t="shared" si="37"/>
        <v>186</v>
      </c>
      <c r="M235" s="6">
        <f t="shared" si="38"/>
        <v>17.725204301075266</v>
      </c>
      <c r="N235" s="13">
        <f t="shared" si="33"/>
        <v>17.970177654156249</v>
      </c>
      <c r="O235" s="6">
        <f t="shared" si="41"/>
        <v>1089.8384731182796</v>
      </c>
      <c r="P235" s="6">
        <f t="shared" si="42"/>
        <v>1083.0882584386889</v>
      </c>
      <c r="Q235" s="6">
        <f t="shared" si="39"/>
        <v>17.970177654156249</v>
      </c>
      <c r="T235" s="6">
        <f t="shared" si="32"/>
        <v>17.970177654156249</v>
      </c>
    </row>
    <row r="236" spans="2:20">
      <c r="B236">
        <f t="shared" si="40"/>
        <v>233</v>
      </c>
      <c r="C236">
        <f t="shared" si="34"/>
        <v>30</v>
      </c>
      <c r="D236">
        <v>214</v>
      </c>
      <c r="E236">
        <v>244</v>
      </c>
      <c r="F236">
        <f>TnSPLINE!F$11</f>
        <v>16.553333333333331</v>
      </c>
      <c r="G236">
        <f>TnSPLINE!F$12</f>
        <v>18.506451612903223</v>
      </c>
      <c r="H236" s="5">
        <f>TnSPLINE!K$11</f>
        <v>-5.6246576833602737E-3</v>
      </c>
      <c r="I236" s="5">
        <f>TnSPLINE!K$12</f>
        <v>6.6856587083987079E-4</v>
      </c>
      <c r="J236">
        <f t="shared" si="35"/>
        <v>0.36666666666666664</v>
      </c>
      <c r="K236">
        <f t="shared" si="36"/>
        <v>0.6333333333333333</v>
      </c>
      <c r="L236">
        <f t="shared" si="37"/>
        <v>187</v>
      </c>
      <c r="M236" s="6">
        <f t="shared" si="38"/>
        <v>17.790308243727594</v>
      </c>
      <c r="N236" s="13">
        <f t="shared" si="33"/>
        <v>18.020035513757833</v>
      </c>
      <c r="O236" s="6">
        <f t="shared" si="41"/>
        <v>1107.6287813620072</v>
      </c>
      <c r="P236" s="6">
        <f t="shared" si="42"/>
        <v>1101.1082939524467</v>
      </c>
      <c r="Q236" s="6">
        <f t="shared" si="39"/>
        <v>18.020035513757833</v>
      </c>
      <c r="T236" s="6">
        <f t="shared" si="32"/>
        <v>18.020035513757833</v>
      </c>
    </row>
    <row r="237" spans="2:20">
      <c r="B237">
        <f t="shared" si="40"/>
        <v>234</v>
      </c>
      <c r="C237">
        <f t="shared" si="34"/>
        <v>30</v>
      </c>
      <c r="D237">
        <v>214</v>
      </c>
      <c r="E237">
        <v>244</v>
      </c>
      <c r="F237">
        <f>TnSPLINE!F$11</f>
        <v>16.553333333333331</v>
      </c>
      <c r="G237">
        <f>TnSPLINE!F$12</f>
        <v>18.506451612903223</v>
      </c>
      <c r="H237" s="5">
        <f>TnSPLINE!K$11</f>
        <v>-5.6246576833602737E-3</v>
      </c>
      <c r="I237" s="5">
        <f>TnSPLINE!K$12</f>
        <v>6.6856587083987079E-4</v>
      </c>
      <c r="J237">
        <f t="shared" si="35"/>
        <v>0.33333333333333331</v>
      </c>
      <c r="K237">
        <f t="shared" si="36"/>
        <v>0.66666666666666663</v>
      </c>
      <c r="L237">
        <f t="shared" si="37"/>
        <v>188</v>
      </c>
      <c r="M237" s="6">
        <f t="shared" si="38"/>
        <v>17.855412186379926</v>
      </c>
      <c r="N237" s="13">
        <f t="shared" si="33"/>
        <v>18.068254423927055</v>
      </c>
      <c r="O237" s="6">
        <f t="shared" si="41"/>
        <v>1125.4841935483871</v>
      </c>
      <c r="P237" s="6">
        <f t="shared" si="42"/>
        <v>1119.1765483763738</v>
      </c>
      <c r="Q237" s="6">
        <f t="shared" si="39"/>
        <v>18.068254423927055</v>
      </c>
      <c r="T237" s="6">
        <f t="shared" si="32"/>
        <v>18.068254423927055</v>
      </c>
    </row>
    <row r="238" spans="2:20">
      <c r="B238">
        <f t="shared" si="40"/>
        <v>235</v>
      </c>
      <c r="C238">
        <f t="shared" si="34"/>
        <v>30</v>
      </c>
      <c r="D238">
        <v>214</v>
      </c>
      <c r="E238">
        <v>244</v>
      </c>
      <c r="F238">
        <f>TnSPLINE!F$11</f>
        <v>16.553333333333331</v>
      </c>
      <c r="G238">
        <f>TnSPLINE!F$12</f>
        <v>18.506451612903223</v>
      </c>
      <c r="H238" s="5">
        <f>TnSPLINE!K$11</f>
        <v>-5.6246576833602737E-3</v>
      </c>
      <c r="I238" s="5">
        <f>TnSPLINE!K$12</f>
        <v>6.6856587083987079E-4</v>
      </c>
      <c r="J238">
        <f t="shared" si="35"/>
        <v>0.3</v>
      </c>
      <c r="K238">
        <f t="shared" si="36"/>
        <v>0.7</v>
      </c>
      <c r="L238">
        <f t="shared" si="37"/>
        <v>189</v>
      </c>
      <c r="M238" s="6">
        <f t="shared" si="38"/>
        <v>17.920516129032254</v>
      </c>
      <c r="N238" s="13">
        <f t="shared" si="33"/>
        <v>18.115044158782382</v>
      </c>
      <c r="O238" s="6">
        <f t="shared" si="41"/>
        <v>1143.4047096774193</v>
      </c>
      <c r="P238" s="6">
        <f t="shared" si="42"/>
        <v>1137.2915925351563</v>
      </c>
      <c r="Q238" s="6">
        <f t="shared" si="39"/>
        <v>18.115044158782382</v>
      </c>
      <c r="T238" s="6">
        <f t="shared" si="32"/>
        <v>18.115044158782382</v>
      </c>
    </row>
    <row r="239" spans="2:20">
      <c r="B239">
        <f t="shared" si="40"/>
        <v>236</v>
      </c>
      <c r="C239">
        <f t="shared" si="34"/>
        <v>30</v>
      </c>
      <c r="D239">
        <v>214</v>
      </c>
      <c r="E239">
        <v>244</v>
      </c>
      <c r="F239">
        <f>TnSPLINE!F$11</f>
        <v>16.553333333333331</v>
      </c>
      <c r="G239">
        <f>TnSPLINE!F$12</f>
        <v>18.506451612903223</v>
      </c>
      <c r="H239" s="5">
        <f>TnSPLINE!K$11</f>
        <v>-5.6246576833602737E-3</v>
      </c>
      <c r="I239" s="5">
        <f>TnSPLINE!K$12</f>
        <v>6.6856587083987079E-4</v>
      </c>
      <c r="J239">
        <f t="shared" si="35"/>
        <v>0.26666666666666666</v>
      </c>
      <c r="K239">
        <f t="shared" si="36"/>
        <v>0.73333333333333328</v>
      </c>
      <c r="L239">
        <f t="shared" si="37"/>
        <v>190</v>
      </c>
      <c r="M239" s="6">
        <f t="shared" si="38"/>
        <v>17.985620071684586</v>
      </c>
      <c r="N239" s="13">
        <f t="shared" si="33"/>
        <v>18.160614492442292</v>
      </c>
      <c r="O239" s="6">
        <f t="shared" si="41"/>
        <v>1161.3903297491038</v>
      </c>
      <c r="P239" s="6">
        <f t="shared" si="42"/>
        <v>1155.4522070275987</v>
      </c>
      <c r="Q239" s="6">
        <f t="shared" si="39"/>
        <v>18.160614492442292</v>
      </c>
      <c r="T239" s="6">
        <f t="shared" si="32"/>
        <v>18.160614492442292</v>
      </c>
    </row>
    <row r="240" spans="2:20">
      <c r="B240">
        <f t="shared" si="40"/>
        <v>237</v>
      </c>
      <c r="C240">
        <f t="shared" si="34"/>
        <v>30</v>
      </c>
      <c r="D240">
        <v>214</v>
      </c>
      <c r="E240">
        <v>244</v>
      </c>
      <c r="F240">
        <f>TnSPLINE!F$11</f>
        <v>16.553333333333331</v>
      </c>
      <c r="G240">
        <f>TnSPLINE!F$12</f>
        <v>18.506451612903223</v>
      </c>
      <c r="H240" s="5">
        <f>TnSPLINE!K$11</f>
        <v>-5.6246576833602737E-3</v>
      </c>
      <c r="I240" s="5">
        <f>TnSPLINE!K$12</f>
        <v>6.6856587083987079E-4</v>
      </c>
      <c r="J240">
        <f t="shared" si="35"/>
        <v>0.23333333333333334</v>
      </c>
      <c r="K240">
        <f t="shared" si="36"/>
        <v>0.76666666666666672</v>
      </c>
      <c r="L240">
        <f t="shared" si="37"/>
        <v>191</v>
      </c>
      <c r="M240" s="6">
        <f t="shared" si="38"/>
        <v>18.050724014336915</v>
      </c>
      <c r="N240" s="13">
        <f t="shared" si="33"/>
        <v>18.205175199025252</v>
      </c>
      <c r="O240" s="6">
        <f t="shared" si="41"/>
        <v>1179.4410537634408</v>
      </c>
      <c r="P240" s="6">
        <f t="shared" si="42"/>
        <v>1173.6573822266239</v>
      </c>
      <c r="Q240" s="6">
        <f t="shared" si="39"/>
        <v>18.205175199025252</v>
      </c>
      <c r="T240" s="6">
        <f t="shared" si="32"/>
        <v>18.205175199025252</v>
      </c>
    </row>
    <row r="241" spans="1:20">
      <c r="B241">
        <f t="shared" si="40"/>
        <v>238</v>
      </c>
      <c r="C241">
        <f t="shared" si="34"/>
        <v>30</v>
      </c>
      <c r="D241">
        <v>214</v>
      </c>
      <c r="E241">
        <v>244</v>
      </c>
      <c r="F241">
        <f>TnSPLINE!F$11</f>
        <v>16.553333333333331</v>
      </c>
      <c r="G241">
        <f>TnSPLINE!F$12</f>
        <v>18.506451612903223</v>
      </c>
      <c r="H241" s="5">
        <f>TnSPLINE!K$11</f>
        <v>-5.6246576833602737E-3</v>
      </c>
      <c r="I241" s="5">
        <f>TnSPLINE!K$12</f>
        <v>6.6856587083987079E-4</v>
      </c>
      <c r="J241">
        <f t="shared" si="35"/>
        <v>0.2</v>
      </c>
      <c r="K241">
        <f t="shared" si="36"/>
        <v>0.8</v>
      </c>
      <c r="L241">
        <f t="shared" si="37"/>
        <v>192</v>
      </c>
      <c r="M241" s="6">
        <f t="shared" si="38"/>
        <v>18.115827956989246</v>
      </c>
      <c r="N241" s="13">
        <f t="shared" si="33"/>
        <v>18.248936052649739</v>
      </c>
      <c r="O241" s="6">
        <f t="shared" si="41"/>
        <v>1197.5568817204301</v>
      </c>
      <c r="P241" s="6">
        <f t="shared" si="42"/>
        <v>1191.9063182792736</v>
      </c>
      <c r="Q241" s="6">
        <f t="shared" si="39"/>
        <v>18.248936052649739</v>
      </c>
      <c r="T241" s="6">
        <f t="shared" si="32"/>
        <v>18.248936052649739</v>
      </c>
    </row>
    <row r="242" spans="1:20">
      <c r="B242">
        <f t="shared" si="40"/>
        <v>239</v>
      </c>
      <c r="C242">
        <f t="shared" si="34"/>
        <v>30</v>
      </c>
      <c r="D242">
        <v>214</v>
      </c>
      <c r="E242">
        <v>244</v>
      </c>
      <c r="F242">
        <f>TnSPLINE!F$11</f>
        <v>16.553333333333331</v>
      </c>
      <c r="G242">
        <f>TnSPLINE!F$12</f>
        <v>18.506451612903223</v>
      </c>
      <c r="H242" s="5">
        <f>TnSPLINE!K$11</f>
        <v>-5.6246576833602737E-3</v>
      </c>
      <c r="I242" s="5">
        <f>TnSPLINE!K$12</f>
        <v>6.6856587083987079E-4</v>
      </c>
      <c r="J242">
        <f t="shared" si="35"/>
        <v>0.16666666666666666</v>
      </c>
      <c r="K242">
        <f t="shared" si="36"/>
        <v>0.83333333333333337</v>
      </c>
      <c r="L242">
        <f t="shared" si="37"/>
        <v>193</v>
      </c>
      <c r="M242" s="6">
        <f t="shared" si="38"/>
        <v>18.180931899641575</v>
      </c>
      <c r="N242" s="13">
        <f t="shared" si="33"/>
        <v>18.292106827434225</v>
      </c>
      <c r="O242" s="6">
        <f t="shared" si="41"/>
        <v>1215.7378136200716</v>
      </c>
      <c r="P242" s="6">
        <f t="shared" si="42"/>
        <v>1210.1984251067079</v>
      </c>
      <c r="Q242" s="6">
        <f t="shared" si="39"/>
        <v>18.292106827434225</v>
      </c>
      <c r="T242" s="6">
        <f t="shared" ref="T242:T305" si="43">N242</f>
        <v>18.292106827434225</v>
      </c>
    </row>
    <row r="243" spans="1:20">
      <c r="B243">
        <f t="shared" si="40"/>
        <v>240</v>
      </c>
      <c r="C243">
        <f t="shared" si="34"/>
        <v>30</v>
      </c>
      <c r="D243">
        <v>214</v>
      </c>
      <c r="E243">
        <v>244</v>
      </c>
      <c r="F243">
        <f>TnSPLINE!F$11</f>
        <v>16.553333333333331</v>
      </c>
      <c r="G243">
        <f>TnSPLINE!F$12</f>
        <v>18.506451612903223</v>
      </c>
      <c r="H243" s="5">
        <f>TnSPLINE!K$11</f>
        <v>-5.6246576833602737E-3</v>
      </c>
      <c r="I243" s="5">
        <f>TnSPLINE!K$12</f>
        <v>6.6856587083987079E-4</v>
      </c>
      <c r="J243">
        <f t="shared" si="35"/>
        <v>0.13333333333333333</v>
      </c>
      <c r="K243">
        <f t="shared" si="36"/>
        <v>0.8666666666666667</v>
      </c>
      <c r="L243">
        <f t="shared" si="37"/>
        <v>194</v>
      </c>
      <c r="M243" s="6">
        <f t="shared" si="38"/>
        <v>18.246035842293907</v>
      </c>
      <c r="N243" s="13">
        <f t="shared" si="33"/>
        <v>18.334897297497186</v>
      </c>
      <c r="O243" s="6">
        <f t="shared" si="41"/>
        <v>1233.9838494623655</v>
      </c>
      <c r="P243" s="6">
        <f t="shared" si="42"/>
        <v>1228.5333224042051</v>
      </c>
      <c r="Q243" s="6">
        <f t="shared" si="39"/>
        <v>18.334897297497186</v>
      </c>
      <c r="T243" s="6">
        <f t="shared" si="43"/>
        <v>18.334897297497186</v>
      </c>
    </row>
    <row r="244" spans="1:20">
      <c r="B244">
        <f t="shared" si="40"/>
        <v>241</v>
      </c>
      <c r="C244">
        <f t="shared" si="34"/>
        <v>30</v>
      </c>
      <c r="D244">
        <v>214</v>
      </c>
      <c r="E244">
        <v>244</v>
      </c>
      <c r="F244">
        <f>TnSPLINE!F$11</f>
        <v>16.553333333333331</v>
      </c>
      <c r="G244">
        <f>TnSPLINE!F$12</f>
        <v>18.506451612903223</v>
      </c>
      <c r="H244" s="5">
        <f>TnSPLINE!K$11</f>
        <v>-5.6246576833602737E-3</v>
      </c>
      <c r="I244" s="5">
        <f>TnSPLINE!K$12</f>
        <v>6.6856587083987079E-4</v>
      </c>
      <c r="J244">
        <f t="shared" si="35"/>
        <v>0.1</v>
      </c>
      <c r="K244">
        <f t="shared" si="36"/>
        <v>0.9</v>
      </c>
      <c r="L244">
        <f t="shared" si="37"/>
        <v>195</v>
      </c>
      <c r="M244" s="6">
        <f t="shared" si="38"/>
        <v>18.311139784946235</v>
      </c>
      <c r="N244" s="13">
        <f t="shared" si="33"/>
        <v>18.377517236957093</v>
      </c>
      <c r="O244" s="6">
        <f t="shared" si="41"/>
        <v>1252.2949892473116</v>
      </c>
      <c r="P244" s="6">
        <f t="shared" si="42"/>
        <v>1246.9108396411623</v>
      </c>
      <c r="Q244" s="6">
        <f t="shared" si="39"/>
        <v>18.377517236957093</v>
      </c>
      <c r="T244" s="6">
        <f t="shared" si="43"/>
        <v>18.377517236957093</v>
      </c>
    </row>
    <row r="245" spans="1:20">
      <c r="B245">
        <f t="shared" si="40"/>
        <v>242</v>
      </c>
      <c r="C245">
        <f t="shared" si="34"/>
        <v>30</v>
      </c>
      <c r="D245">
        <v>214</v>
      </c>
      <c r="E245">
        <v>244</v>
      </c>
      <c r="F245">
        <f>TnSPLINE!F$11</f>
        <v>16.553333333333331</v>
      </c>
      <c r="G245">
        <f>TnSPLINE!F$12</f>
        <v>18.506451612903223</v>
      </c>
      <c r="H245" s="5">
        <f>TnSPLINE!K$11</f>
        <v>-5.6246576833602737E-3</v>
      </c>
      <c r="I245" s="5">
        <f>TnSPLINE!K$12</f>
        <v>6.6856587083987079E-4</v>
      </c>
      <c r="J245">
        <f t="shared" si="35"/>
        <v>6.6666666666666666E-2</v>
      </c>
      <c r="K245">
        <f t="shared" si="36"/>
        <v>0.93333333333333335</v>
      </c>
      <c r="L245">
        <f t="shared" si="37"/>
        <v>196</v>
      </c>
      <c r="M245" s="6">
        <f t="shared" si="38"/>
        <v>18.376243727598563</v>
      </c>
      <c r="N245" s="13">
        <f t="shared" si="33"/>
        <v>18.420176419932417</v>
      </c>
      <c r="O245" s="6">
        <f t="shared" si="41"/>
        <v>1270.6712329749103</v>
      </c>
      <c r="P245" s="6">
        <f t="shared" si="42"/>
        <v>1265.3310160610947</v>
      </c>
      <c r="Q245" s="6">
        <f t="shared" si="39"/>
        <v>18.420176419932417</v>
      </c>
      <c r="T245" s="6">
        <f t="shared" si="43"/>
        <v>18.420176419932417</v>
      </c>
    </row>
    <row r="246" spans="1:20">
      <c r="B246">
        <f t="shared" si="40"/>
        <v>243</v>
      </c>
      <c r="C246">
        <f t="shared" si="34"/>
        <v>30</v>
      </c>
      <c r="D246">
        <v>214</v>
      </c>
      <c r="E246">
        <v>244</v>
      </c>
      <c r="F246">
        <f>TnSPLINE!F$11</f>
        <v>16.553333333333331</v>
      </c>
      <c r="G246">
        <f>TnSPLINE!F$12</f>
        <v>18.506451612903223</v>
      </c>
      <c r="H246" s="5">
        <f>TnSPLINE!K$11</f>
        <v>-5.6246576833602737E-3</v>
      </c>
      <c r="I246" s="5">
        <f>TnSPLINE!K$12</f>
        <v>6.6856587083987079E-4</v>
      </c>
      <c r="J246">
        <f t="shared" si="35"/>
        <v>3.3333333333333333E-2</v>
      </c>
      <c r="K246">
        <f t="shared" si="36"/>
        <v>0.96666666666666667</v>
      </c>
      <c r="L246">
        <f t="shared" si="37"/>
        <v>197</v>
      </c>
      <c r="M246" s="6">
        <f t="shared" si="38"/>
        <v>18.441347670250892</v>
      </c>
      <c r="N246" s="13">
        <f t="shared" si="33"/>
        <v>18.463084620541636</v>
      </c>
      <c r="O246" s="6">
        <f t="shared" si="41"/>
        <v>1289.1125806451612</v>
      </c>
      <c r="P246" s="6">
        <f t="shared" si="42"/>
        <v>1283.7941006816363</v>
      </c>
      <c r="Q246" s="6">
        <f t="shared" si="39"/>
        <v>18.463084620541636</v>
      </c>
      <c r="T246" s="6">
        <f t="shared" si="43"/>
        <v>18.463084620541636</v>
      </c>
    </row>
    <row r="247" spans="1:20">
      <c r="A247">
        <v>244</v>
      </c>
      <c r="B247">
        <f t="shared" si="40"/>
        <v>244</v>
      </c>
      <c r="C247">
        <f t="shared" si="34"/>
        <v>30</v>
      </c>
      <c r="D247">
        <v>214</v>
      </c>
      <c r="E247">
        <v>244</v>
      </c>
      <c r="F247">
        <f>TnSPLINE!F$11</f>
        <v>16.553333333333331</v>
      </c>
      <c r="G247">
        <f>TnSPLINE!F$12</f>
        <v>18.506451612903223</v>
      </c>
      <c r="H247" s="5">
        <f>TnSPLINE!K$11</f>
        <v>-5.6246576833602737E-3</v>
      </c>
      <c r="I247" s="5">
        <f>TnSPLINE!K$12</f>
        <v>6.6856587083987079E-4</v>
      </c>
      <c r="J247">
        <f t="shared" si="35"/>
        <v>0</v>
      </c>
      <c r="K247">
        <f t="shared" si="36"/>
        <v>1</v>
      </c>
      <c r="L247">
        <f t="shared" si="37"/>
        <v>198</v>
      </c>
      <c r="M247" s="6">
        <f t="shared" si="38"/>
        <v>18.506451612903223</v>
      </c>
      <c r="N247" s="13">
        <f t="shared" ref="N247:N310" si="44">Q247</f>
        <v>18.506451612903223</v>
      </c>
      <c r="O247" s="6">
        <f t="shared" si="41"/>
        <v>1307.6190322580644</v>
      </c>
      <c r="P247" s="6">
        <f t="shared" si="42"/>
        <v>1302.3005522945396</v>
      </c>
      <c r="Q247" s="6">
        <f t="shared" si="39"/>
        <v>18.506451612903223</v>
      </c>
      <c r="T247" s="6">
        <f t="shared" si="43"/>
        <v>18.506451612903223</v>
      </c>
    </row>
    <row r="248" spans="1:20">
      <c r="B248">
        <f t="shared" si="40"/>
        <v>245</v>
      </c>
      <c r="C248">
        <f t="shared" si="34"/>
        <v>31</v>
      </c>
      <c r="D248">
        <v>244</v>
      </c>
      <c r="E248">
        <v>275</v>
      </c>
      <c r="F248">
        <f>TnSPLINE!F$12</f>
        <v>18.506451612903223</v>
      </c>
      <c r="G248">
        <f>TnSPLINE!F$13</f>
        <v>18.783870967741933</v>
      </c>
      <c r="H248" s="5">
        <f>TnSPLINE!K$12</f>
        <v>6.6856587083987079E-4</v>
      </c>
      <c r="I248" s="5">
        <f>TnSPLINE!K$13</f>
        <v>-8.0566094508765992E-3</v>
      </c>
      <c r="J248">
        <f t="shared" si="35"/>
        <v>0.967741935483871</v>
      </c>
      <c r="K248">
        <f t="shared" si="36"/>
        <v>3.2258064516129031E-2</v>
      </c>
      <c r="L248">
        <f t="shared" si="37"/>
        <v>199</v>
      </c>
      <c r="M248" s="6">
        <f t="shared" si="38"/>
        <v>18.515400624349635</v>
      </c>
      <c r="N248" s="13">
        <f t="shared" si="44"/>
        <v>18.550405299237831</v>
      </c>
      <c r="O248" s="6">
        <f t="shared" si="41"/>
        <v>1326.1344328824141</v>
      </c>
      <c r="P248" s="6">
        <f t="shared" si="42"/>
        <v>1320.8509575937774</v>
      </c>
      <c r="Q248" s="6">
        <f t="shared" si="39"/>
        <v>18.550405299237831</v>
      </c>
      <c r="T248" s="6">
        <f t="shared" si="43"/>
        <v>18.550405299237831</v>
      </c>
    </row>
    <row r="249" spans="1:20">
      <c r="B249">
        <f t="shared" si="40"/>
        <v>246</v>
      </c>
      <c r="C249">
        <f t="shared" si="34"/>
        <v>31</v>
      </c>
      <c r="D249">
        <v>244</v>
      </c>
      <c r="E249">
        <v>275</v>
      </c>
      <c r="F249">
        <f>TnSPLINE!F$12</f>
        <v>18.506451612903223</v>
      </c>
      <c r="G249">
        <f>TnSPLINE!F$13</f>
        <v>18.783870967741933</v>
      </c>
      <c r="H249" s="5">
        <f>TnSPLINE!K$12</f>
        <v>6.6856587083987079E-4</v>
      </c>
      <c r="I249" s="5">
        <f>TnSPLINE!K$13</f>
        <v>-8.0566094508765992E-3</v>
      </c>
      <c r="J249">
        <f t="shared" si="35"/>
        <v>0.93548387096774188</v>
      </c>
      <c r="K249">
        <f t="shared" si="36"/>
        <v>6.4516129032258063E-2</v>
      </c>
      <c r="L249">
        <f t="shared" si="37"/>
        <v>200</v>
      </c>
      <c r="M249" s="6">
        <f t="shared" si="38"/>
        <v>18.524349635796042</v>
      </c>
      <c r="N249" s="13">
        <f t="shared" si="44"/>
        <v>18.594746094174834</v>
      </c>
      <c r="O249" s="6">
        <f t="shared" si="41"/>
        <v>1344.65878251821</v>
      </c>
      <c r="P249" s="6">
        <f t="shared" si="42"/>
        <v>1339.4457036879521</v>
      </c>
      <c r="Q249" s="6">
        <f t="shared" si="39"/>
        <v>18.594746094174834</v>
      </c>
      <c r="T249" s="6">
        <f t="shared" si="43"/>
        <v>18.594746094174834</v>
      </c>
    </row>
    <row r="250" spans="1:20">
      <c r="B250">
        <f t="shared" si="40"/>
        <v>247</v>
      </c>
      <c r="C250">
        <f t="shared" si="34"/>
        <v>31</v>
      </c>
      <c r="D250">
        <v>244</v>
      </c>
      <c r="E250">
        <v>275</v>
      </c>
      <c r="F250">
        <f>TnSPLINE!F$12</f>
        <v>18.506451612903223</v>
      </c>
      <c r="G250">
        <f>TnSPLINE!F$13</f>
        <v>18.783870967741933</v>
      </c>
      <c r="H250" s="5">
        <f>TnSPLINE!K$12</f>
        <v>6.6856587083987079E-4</v>
      </c>
      <c r="I250" s="5">
        <f>TnSPLINE!K$13</f>
        <v>-8.0566094508765992E-3</v>
      </c>
      <c r="J250">
        <f t="shared" si="35"/>
        <v>0.90322580645161288</v>
      </c>
      <c r="K250">
        <f t="shared" si="36"/>
        <v>9.6774193548387094E-2</v>
      </c>
      <c r="L250">
        <f t="shared" si="37"/>
        <v>201</v>
      </c>
      <c r="M250" s="6">
        <f t="shared" si="38"/>
        <v>18.533298647242454</v>
      </c>
      <c r="N250" s="13">
        <f t="shared" si="44"/>
        <v>18.639192540445794</v>
      </c>
      <c r="O250" s="6">
        <f t="shared" si="41"/>
        <v>1363.1920811654525</v>
      </c>
      <c r="P250" s="6">
        <f t="shared" si="42"/>
        <v>1358.0848962283978</v>
      </c>
      <c r="Q250" s="6">
        <f t="shared" si="39"/>
        <v>18.639192540445794</v>
      </c>
      <c r="T250" s="6">
        <f t="shared" si="43"/>
        <v>18.639192540445794</v>
      </c>
    </row>
    <row r="251" spans="1:20">
      <c r="B251">
        <f t="shared" si="40"/>
        <v>248</v>
      </c>
      <c r="C251">
        <f t="shared" si="34"/>
        <v>31</v>
      </c>
      <c r="D251">
        <v>244</v>
      </c>
      <c r="E251">
        <v>275</v>
      </c>
      <c r="F251">
        <f>TnSPLINE!F$12</f>
        <v>18.506451612903223</v>
      </c>
      <c r="G251">
        <f>TnSPLINE!F$13</f>
        <v>18.783870967741933</v>
      </c>
      <c r="H251" s="5">
        <f>TnSPLINE!K$12</f>
        <v>6.6856587083987079E-4</v>
      </c>
      <c r="I251" s="5">
        <f>TnSPLINE!K$13</f>
        <v>-8.0566094508765992E-3</v>
      </c>
      <c r="J251">
        <f t="shared" si="35"/>
        <v>0.87096774193548387</v>
      </c>
      <c r="K251">
        <f t="shared" si="36"/>
        <v>0.12903225806451613</v>
      </c>
      <c r="L251">
        <f t="shared" si="37"/>
        <v>202</v>
      </c>
      <c r="M251" s="6">
        <f t="shared" si="38"/>
        <v>18.542247658688861</v>
      </c>
      <c r="N251" s="13">
        <f t="shared" si="44"/>
        <v>18.683463180782262</v>
      </c>
      <c r="O251" s="6">
        <f t="shared" si="41"/>
        <v>1381.7343288241414</v>
      </c>
      <c r="P251" s="6">
        <f t="shared" si="42"/>
        <v>1376.76835940918</v>
      </c>
      <c r="Q251" s="6">
        <f t="shared" si="39"/>
        <v>18.683463180782262</v>
      </c>
      <c r="T251" s="6">
        <f t="shared" si="43"/>
        <v>18.683463180782262</v>
      </c>
    </row>
    <row r="252" spans="1:20">
      <c r="B252">
        <f t="shared" si="40"/>
        <v>249</v>
      </c>
      <c r="C252">
        <f t="shared" si="34"/>
        <v>31</v>
      </c>
      <c r="D252">
        <v>244</v>
      </c>
      <c r="E252">
        <v>275</v>
      </c>
      <c r="F252">
        <f>TnSPLINE!F$12</f>
        <v>18.506451612903223</v>
      </c>
      <c r="G252">
        <f>TnSPLINE!F$13</f>
        <v>18.783870967741933</v>
      </c>
      <c r="H252" s="5">
        <f>TnSPLINE!K$12</f>
        <v>6.6856587083987079E-4</v>
      </c>
      <c r="I252" s="5">
        <f>TnSPLINE!K$13</f>
        <v>-8.0566094508765992E-3</v>
      </c>
      <c r="J252">
        <f t="shared" si="35"/>
        <v>0.83870967741935487</v>
      </c>
      <c r="K252">
        <f t="shared" si="36"/>
        <v>0.16129032258064516</v>
      </c>
      <c r="L252">
        <f t="shared" si="37"/>
        <v>203</v>
      </c>
      <c r="M252" s="6">
        <f t="shared" si="38"/>
        <v>18.551196670135273</v>
      </c>
      <c r="N252" s="13">
        <f t="shared" si="44"/>
        <v>18.727276557915804</v>
      </c>
      <c r="O252" s="6">
        <f t="shared" si="41"/>
        <v>1400.2855254942767</v>
      </c>
      <c r="P252" s="6">
        <f t="shared" si="42"/>
        <v>1395.4956359670957</v>
      </c>
      <c r="Q252" s="6">
        <f t="shared" si="39"/>
        <v>18.727276557915804</v>
      </c>
      <c r="T252" s="6">
        <f t="shared" si="43"/>
        <v>18.727276557915804</v>
      </c>
    </row>
    <row r="253" spans="1:20">
      <c r="B253">
        <f t="shared" si="40"/>
        <v>250</v>
      </c>
      <c r="C253">
        <f t="shared" si="34"/>
        <v>31</v>
      </c>
      <c r="D253">
        <v>244</v>
      </c>
      <c r="E253">
        <v>275</v>
      </c>
      <c r="F253">
        <f>TnSPLINE!F$12</f>
        <v>18.506451612903223</v>
      </c>
      <c r="G253">
        <f>TnSPLINE!F$13</f>
        <v>18.783870967741933</v>
      </c>
      <c r="H253" s="5">
        <f>TnSPLINE!K$12</f>
        <v>6.6856587083987079E-4</v>
      </c>
      <c r="I253" s="5">
        <f>TnSPLINE!K$13</f>
        <v>-8.0566094508765992E-3</v>
      </c>
      <c r="J253">
        <f t="shared" si="35"/>
        <v>0.80645161290322576</v>
      </c>
      <c r="K253">
        <f t="shared" si="36"/>
        <v>0.19354838709677419</v>
      </c>
      <c r="L253">
        <f t="shared" si="37"/>
        <v>204</v>
      </c>
      <c r="M253" s="6">
        <f t="shared" si="38"/>
        <v>18.56014568158168</v>
      </c>
      <c r="N253" s="13">
        <f t="shared" si="44"/>
        <v>18.770351214577971</v>
      </c>
      <c r="O253" s="6">
        <f t="shared" si="41"/>
        <v>1418.8456711758583</v>
      </c>
      <c r="P253" s="6">
        <f t="shared" si="42"/>
        <v>1414.2659871816736</v>
      </c>
      <c r="Q253" s="6">
        <f t="shared" si="39"/>
        <v>18.770351214577971</v>
      </c>
      <c r="T253" s="6">
        <f t="shared" si="43"/>
        <v>18.770351214577971</v>
      </c>
    </row>
    <row r="254" spans="1:20">
      <c r="B254">
        <f t="shared" si="40"/>
        <v>251</v>
      </c>
      <c r="C254">
        <f t="shared" si="34"/>
        <v>31</v>
      </c>
      <c r="D254">
        <v>244</v>
      </c>
      <c r="E254">
        <v>275</v>
      </c>
      <c r="F254">
        <f>TnSPLINE!F$12</f>
        <v>18.506451612903223</v>
      </c>
      <c r="G254">
        <f>TnSPLINE!F$13</f>
        <v>18.783870967741933</v>
      </c>
      <c r="H254" s="5">
        <f>TnSPLINE!K$12</f>
        <v>6.6856587083987079E-4</v>
      </c>
      <c r="I254" s="5">
        <f>TnSPLINE!K$13</f>
        <v>-8.0566094508765992E-3</v>
      </c>
      <c r="J254">
        <f t="shared" si="35"/>
        <v>0.77419354838709675</v>
      </c>
      <c r="K254">
        <f t="shared" si="36"/>
        <v>0.22580645161290322</v>
      </c>
      <c r="L254">
        <f t="shared" si="37"/>
        <v>205</v>
      </c>
      <c r="M254" s="6">
        <f t="shared" si="38"/>
        <v>18.569094693028092</v>
      </c>
      <c r="N254" s="13">
        <f t="shared" si="44"/>
        <v>18.812405693500327</v>
      </c>
      <c r="O254" s="6">
        <f t="shared" si="41"/>
        <v>1437.4147658688864</v>
      </c>
      <c r="P254" s="6">
        <f t="shared" si="42"/>
        <v>1433.0783928751739</v>
      </c>
      <c r="Q254" s="6">
        <f t="shared" si="39"/>
        <v>18.812405693500327</v>
      </c>
      <c r="T254" s="6">
        <f t="shared" si="43"/>
        <v>18.812405693500327</v>
      </c>
    </row>
    <row r="255" spans="1:20">
      <c r="B255">
        <f t="shared" si="40"/>
        <v>252</v>
      </c>
      <c r="C255">
        <f t="shared" si="34"/>
        <v>31</v>
      </c>
      <c r="D255">
        <v>244</v>
      </c>
      <c r="E255">
        <v>275</v>
      </c>
      <c r="F255">
        <f>TnSPLINE!F$12</f>
        <v>18.506451612903223</v>
      </c>
      <c r="G255">
        <f>TnSPLINE!F$13</f>
        <v>18.783870967741933</v>
      </c>
      <c r="H255" s="5">
        <f>TnSPLINE!K$12</f>
        <v>6.6856587083987079E-4</v>
      </c>
      <c r="I255" s="5">
        <f>TnSPLINE!K$13</f>
        <v>-8.0566094508765992E-3</v>
      </c>
      <c r="J255">
        <f t="shared" si="35"/>
        <v>0.74193548387096775</v>
      </c>
      <c r="K255">
        <f t="shared" si="36"/>
        <v>0.25806451612903225</v>
      </c>
      <c r="L255">
        <f t="shared" si="37"/>
        <v>206</v>
      </c>
      <c r="M255" s="6">
        <f t="shared" si="38"/>
        <v>18.578043704474503</v>
      </c>
      <c r="N255" s="13">
        <f t="shared" si="44"/>
        <v>18.853158537414426</v>
      </c>
      <c r="O255" s="6">
        <f t="shared" si="41"/>
        <v>1455.992809573361</v>
      </c>
      <c r="P255" s="6">
        <f t="shared" si="42"/>
        <v>1451.9315514125883</v>
      </c>
      <c r="Q255" s="6">
        <f t="shared" si="39"/>
        <v>18.853158537414426</v>
      </c>
      <c r="T255" s="6">
        <f t="shared" si="43"/>
        <v>18.853158537414426</v>
      </c>
    </row>
    <row r="256" spans="1:20">
      <c r="B256">
        <f t="shared" si="40"/>
        <v>253</v>
      </c>
      <c r="C256">
        <f t="shared" si="34"/>
        <v>31</v>
      </c>
      <c r="D256">
        <v>244</v>
      </c>
      <c r="E256">
        <v>275</v>
      </c>
      <c r="F256">
        <f>TnSPLINE!F$12</f>
        <v>18.506451612903223</v>
      </c>
      <c r="G256">
        <f>TnSPLINE!F$13</f>
        <v>18.783870967741933</v>
      </c>
      <c r="H256" s="5">
        <f>TnSPLINE!K$12</f>
        <v>6.6856587083987079E-4</v>
      </c>
      <c r="I256" s="5">
        <f>TnSPLINE!K$13</f>
        <v>-8.0566094508765992E-3</v>
      </c>
      <c r="J256">
        <f t="shared" si="35"/>
        <v>0.70967741935483875</v>
      </c>
      <c r="K256">
        <f t="shared" si="36"/>
        <v>0.29032258064516131</v>
      </c>
      <c r="L256">
        <f t="shared" si="37"/>
        <v>207</v>
      </c>
      <c r="M256" s="6">
        <f t="shared" si="38"/>
        <v>18.586992715920914</v>
      </c>
      <c r="N256" s="13">
        <f t="shared" si="44"/>
        <v>18.892328289051822</v>
      </c>
      <c r="O256" s="6">
        <f t="shared" si="41"/>
        <v>1474.5798022892818</v>
      </c>
      <c r="P256" s="6">
        <f t="shared" si="42"/>
        <v>1470.8238797016402</v>
      </c>
      <c r="Q256" s="6">
        <f t="shared" si="39"/>
        <v>18.892328289051822</v>
      </c>
      <c r="T256" s="6">
        <f t="shared" si="43"/>
        <v>18.892328289051822</v>
      </c>
    </row>
    <row r="257" spans="2:20">
      <c r="B257">
        <f t="shared" si="40"/>
        <v>254</v>
      </c>
      <c r="C257">
        <f t="shared" si="34"/>
        <v>31</v>
      </c>
      <c r="D257">
        <v>244</v>
      </c>
      <c r="E257">
        <v>275</v>
      </c>
      <c r="F257">
        <f>TnSPLINE!F$12</f>
        <v>18.506451612903223</v>
      </c>
      <c r="G257">
        <f>TnSPLINE!F$13</f>
        <v>18.783870967741933</v>
      </c>
      <c r="H257" s="5">
        <f>TnSPLINE!K$12</f>
        <v>6.6856587083987079E-4</v>
      </c>
      <c r="I257" s="5">
        <f>TnSPLINE!K$13</f>
        <v>-8.0566094508765992E-3</v>
      </c>
      <c r="J257">
        <f t="shared" si="35"/>
        <v>0.67741935483870963</v>
      </c>
      <c r="K257">
        <f t="shared" si="36"/>
        <v>0.32258064516129031</v>
      </c>
      <c r="L257">
        <f t="shared" si="37"/>
        <v>208</v>
      </c>
      <c r="M257" s="6">
        <f t="shared" si="38"/>
        <v>18.595941727367322</v>
      </c>
      <c r="N257" s="13">
        <f t="shared" si="44"/>
        <v>18.929633491144074</v>
      </c>
      <c r="O257" s="6">
        <f t="shared" si="41"/>
        <v>1493.1757440166491</v>
      </c>
      <c r="P257" s="6">
        <f t="shared" si="42"/>
        <v>1489.7535131927843</v>
      </c>
      <c r="Q257" s="6">
        <f t="shared" si="39"/>
        <v>18.929633491144074</v>
      </c>
      <c r="T257" s="6">
        <f t="shared" si="43"/>
        <v>18.929633491144074</v>
      </c>
    </row>
    <row r="258" spans="2:20">
      <c r="B258">
        <f t="shared" si="40"/>
        <v>255</v>
      </c>
      <c r="C258">
        <f t="shared" si="34"/>
        <v>31</v>
      </c>
      <c r="D258">
        <v>244</v>
      </c>
      <c r="E258">
        <v>275</v>
      </c>
      <c r="F258">
        <f>TnSPLINE!F$12</f>
        <v>18.506451612903223</v>
      </c>
      <c r="G258">
        <f>TnSPLINE!F$13</f>
        <v>18.783870967741933</v>
      </c>
      <c r="H258" s="5">
        <f>TnSPLINE!K$12</f>
        <v>6.6856587083987079E-4</v>
      </c>
      <c r="I258" s="5">
        <f>TnSPLINE!K$13</f>
        <v>-8.0566094508765992E-3</v>
      </c>
      <c r="J258">
        <f t="shared" si="35"/>
        <v>0.64516129032258063</v>
      </c>
      <c r="K258">
        <f t="shared" si="36"/>
        <v>0.35483870967741937</v>
      </c>
      <c r="L258">
        <f t="shared" si="37"/>
        <v>209</v>
      </c>
      <c r="M258" s="6">
        <f t="shared" si="38"/>
        <v>18.604890738813733</v>
      </c>
      <c r="N258" s="13">
        <f t="shared" si="44"/>
        <v>18.964792686422747</v>
      </c>
      <c r="O258" s="6">
        <f t="shared" si="41"/>
        <v>1511.7806347554629</v>
      </c>
      <c r="P258" s="6">
        <f t="shared" si="42"/>
        <v>1508.718305879207</v>
      </c>
      <c r="Q258" s="6">
        <f t="shared" si="39"/>
        <v>18.964792686422747</v>
      </c>
      <c r="T258" s="6">
        <f t="shared" si="43"/>
        <v>18.964792686422747</v>
      </c>
    </row>
    <row r="259" spans="2:20">
      <c r="B259">
        <f t="shared" si="40"/>
        <v>256</v>
      </c>
      <c r="C259">
        <f t="shared" si="34"/>
        <v>31</v>
      </c>
      <c r="D259">
        <v>244</v>
      </c>
      <c r="E259">
        <v>275</v>
      </c>
      <c r="F259">
        <f>TnSPLINE!F$12</f>
        <v>18.506451612903223</v>
      </c>
      <c r="G259">
        <f>TnSPLINE!F$13</f>
        <v>18.783870967741933</v>
      </c>
      <c r="H259" s="5">
        <f>TnSPLINE!K$12</f>
        <v>6.6856587083987079E-4</v>
      </c>
      <c r="I259" s="5">
        <f>TnSPLINE!K$13</f>
        <v>-8.0566094508765992E-3</v>
      </c>
      <c r="J259">
        <f t="shared" si="35"/>
        <v>0.61290322580645162</v>
      </c>
      <c r="K259">
        <f t="shared" si="36"/>
        <v>0.38709677419354838</v>
      </c>
      <c r="L259">
        <f t="shared" si="37"/>
        <v>210</v>
      </c>
      <c r="M259" s="6">
        <f t="shared" si="38"/>
        <v>18.613839750260144</v>
      </c>
      <c r="N259" s="13">
        <f t="shared" si="44"/>
        <v>18.997524417619388</v>
      </c>
      <c r="O259" s="6">
        <f t="shared" si="41"/>
        <v>1530.3944745057231</v>
      </c>
      <c r="P259" s="6">
        <f t="shared" si="42"/>
        <v>1527.7158302968264</v>
      </c>
      <c r="Q259" s="6">
        <f t="shared" si="39"/>
        <v>18.997524417619388</v>
      </c>
      <c r="T259" s="6">
        <f t="shared" si="43"/>
        <v>18.997524417619388</v>
      </c>
    </row>
    <row r="260" spans="2:20">
      <c r="B260">
        <f t="shared" si="40"/>
        <v>257</v>
      </c>
      <c r="C260">
        <f t="shared" ref="C260:C323" si="45">E260-D260</f>
        <v>31</v>
      </c>
      <c r="D260">
        <v>244</v>
      </c>
      <c r="E260">
        <v>275</v>
      </c>
      <c r="F260">
        <f>TnSPLINE!F$12</f>
        <v>18.506451612903223</v>
      </c>
      <c r="G260">
        <f>TnSPLINE!F$13</f>
        <v>18.783870967741933</v>
      </c>
      <c r="H260" s="5">
        <f>TnSPLINE!K$12</f>
        <v>6.6856587083987079E-4</v>
      </c>
      <c r="I260" s="5">
        <f>TnSPLINE!K$13</f>
        <v>-8.0566094508765992E-3</v>
      </c>
      <c r="J260">
        <f t="shared" ref="J260:J323" si="46">(E260-B260)/C260</f>
        <v>0.58064516129032262</v>
      </c>
      <c r="K260">
        <f t="shared" ref="K260:K323" si="47">(B260-D260)/C260</f>
        <v>0.41935483870967744</v>
      </c>
      <c r="L260">
        <f t="shared" ref="L260:L323" si="48">B260-46</f>
        <v>211</v>
      </c>
      <c r="M260" s="6">
        <f t="shared" ref="M260:M323" si="49">J260*F260+K260*G260</f>
        <v>18.622788761706556</v>
      </c>
      <c r="N260" s="13">
        <f t="shared" si="44"/>
        <v>19.027547227465565</v>
      </c>
      <c r="O260" s="6">
        <f t="shared" si="41"/>
        <v>1549.0172632674296</v>
      </c>
      <c r="P260" s="6">
        <f t="shared" si="42"/>
        <v>1546.7433775242921</v>
      </c>
      <c r="Q260" s="6">
        <f t="shared" ref="Q260:Q323" si="50">M260+(((J260^3-J260)*H260+(K260^3-K260)*I260))*(C260^2)/6</f>
        <v>19.027547227465565</v>
      </c>
      <c r="T260" s="6">
        <f t="shared" si="43"/>
        <v>19.027547227465565</v>
      </c>
    </row>
    <row r="261" spans="2:20">
      <c r="B261">
        <f t="shared" ref="B261:B324" si="51">B260+1</f>
        <v>258</v>
      </c>
      <c r="C261">
        <f t="shared" si="45"/>
        <v>31</v>
      </c>
      <c r="D261">
        <v>244</v>
      </c>
      <c r="E261">
        <v>275</v>
      </c>
      <c r="F261">
        <f>TnSPLINE!F$12</f>
        <v>18.506451612903223</v>
      </c>
      <c r="G261">
        <f>TnSPLINE!F$13</f>
        <v>18.783870967741933</v>
      </c>
      <c r="H261" s="5">
        <f>TnSPLINE!K$12</f>
        <v>6.6856587083987079E-4</v>
      </c>
      <c r="I261" s="5">
        <f>TnSPLINE!K$13</f>
        <v>-8.0566094508765992E-3</v>
      </c>
      <c r="J261">
        <f t="shared" si="46"/>
        <v>0.54838709677419351</v>
      </c>
      <c r="K261">
        <f t="shared" si="47"/>
        <v>0.45161290322580644</v>
      </c>
      <c r="L261">
        <f t="shared" si="48"/>
        <v>212</v>
      </c>
      <c r="M261" s="6">
        <f t="shared" si="49"/>
        <v>18.631737773152963</v>
      </c>
      <c r="N261" s="13">
        <f t="shared" si="44"/>
        <v>19.054579658692823</v>
      </c>
      <c r="O261" s="6">
        <f t="shared" ref="O261:O324" si="52">O260+M261</f>
        <v>1567.6490010405826</v>
      </c>
      <c r="P261" s="6">
        <f t="shared" ref="P261:P324" si="53">P260+N261</f>
        <v>1565.7979571829849</v>
      </c>
      <c r="Q261" s="6">
        <f t="shared" si="50"/>
        <v>19.054579658692823</v>
      </c>
      <c r="T261" s="6">
        <f t="shared" si="43"/>
        <v>19.054579658692823</v>
      </c>
    </row>
    <row r="262" spans="2:20">
      <c r="B262">
        <f t="shared" si="51"/>
        <v>259</v>
      </c>
      <c r="C262">
        <f t="shared" si="45"/>
        <v>31</v>
      </c>
      <c r="D262">
        <v>244</v>
      </c>
      <c r="E262">
        <v>275</v>
      </c>
      <c r="F262">
        <f>TnSPLINE!F$12</f>
        <v>18.506451612903223</v>
      </c>
      <c r="G262">
        <f>TnSPLINE!F$13</f>
        <v>18.783870967741933</v>
      </c>
      <c r="H262" s="5">
        <f>TnSPLINE!K$12</f>
        <v>6.6856587083987079E-4</v>
      </c>
      <c r="I262" s="5">
        <f>TnSPLINE!K$13</f>
        <v>-8.0566094508765992E-3</v>
      </c>
      <c r="J262">
        <f t="shared" si="46"/>
        <v>0.5161290322580645</v>
      </c>
      <c r="K262">
        <f t="shared" si="47"/>
        <v>0.4838709677419355</v>
      </c>
      <c r="L262">
        <f t="shared" si="48"/>
        <v>213</v>
      </c>
      <c r="M262" s="6">
        <f t="shared" si="49"/>
        <v>18.640686784599374</v>
      </c>
      <c r="N262" s="13">
        <f t="shared" si="44"/>
        <v>19.078340254032728</v>
      </c>
      <c r="O262" s="6">
        <f t="shared" si="52"/>
        <v>1586.289687825182</v>
      </c>
      <c r="P262" s="6">
        <f t="shared" si="53"/>
        <v>1584.8762974370177</v>
      </c>
      <c r="Q262" s="6">
        <f t="shared" si="50"/>
        <v>19.078340254032728</v>
      </c>
      <c r="T262" s="6">
        <f t="shared" si="43"/>
        <v>19.078340254032728</v>
      </c>
    </row>
    <row r="263" spans="2:20">
      <c r="B263">
        <f t="shared" si="51"/>
        <v>260</v>
      </c>
      <c r="C263">
        <f t="shared" si="45"/>
        <v>31</v>
      </c>
      <c r="D263">
        <v>244</v>
      </c>
      <c r="E263">
        <v>275</v>
      </c>
      <c r="F263">
        <f>TnSPLINE!F$12</f>
        <v>18.506451612903223</v>
      </c>
      <c r="G263">
        <f>TnSPLINE!F$13</f>
        <v>18.783870967741933</v>
      </c>
      <c r="H263" s="5">
        <f>TnSPLINE!K$12</f>
        <v>6.6856587083987079E-4</v>
      </c>
      <c r="I263" s="5">
        <f>TnSPLINE!K$13</f>
        <v>-8.0566094508765992E-3</v>
      </c>
      <c r="J263">
        <f t="shared" si="46"/>
        <v>0.4838709677419355</v>
      </c>
      <c r="K263">
        <f t="shared" si="47"/>
        <v>0.5161290322580645</v>
      </c>
      <c r="L263">
        <f t="shared" si="48"/>
        <v>214</v>
      </c>
      <c r="M263" s="6">
        <f t="shared" si="49"/>
        <v>18.649635796045786</v>
      </c>
      <c r="N263" s="13">
        <f t="shared" si="44"/>
        <v>19.09854755621684</v>
      </c>
      <c r="O263" s="6">
        <f t="shared" si="52"/>
        <v>1604.9393236212277</v>
      </c>
      <c r="P263" s="6">
        <f t="shared" si="53"/>
        <v>1603.9748449932345</v>
      </c>
      <c r="Q263" s="6">
        <f t="shared" si="50"/>
        <v>19.09854755621684</v>
      </c>
      <c r="T263" s="6">
        <f t="shared" si="43"/>
        <v>19.09854755621684</v>
      </c>
    </row>
    <row r="264" spans="2:20">
      <c r="B264">
        <f t="shared" si="51"/>
        <v>261</v>
      </c>
      <c r="C264">
        <f t="shared" si="45"/>
        <v>31</v>
      </c>
      <c r="D264">
        <v>244</v>
      </c>
      <c r="E264">
        <v>275</v>
      </c>
      <c r="F264">
        <f>TnSPLINE!F$12</f>
        <v>18.506451612903223</v>
      </c>
      <c r="G264">
        <f>TnSPLINE!F$13</f>
        <v>18.783870967741933</v>
      </c>
      <c r="H264" s="5">
        <f>TnSPLINE!K$12</f>
        <v>6.6856587083987079E-4</v>
      </c>
      <c r="I264" s="5">
        <f>TnSPLINE!K$13</f>
        <v>-8.0566094508765992E-3</v>
      </c>
      <c r="J264">
        <f t="shared" si="46"/>
        <v>0.45161290322580644</v>
      </c>
      <c r="K264">
        <f t="shared" si="47"/>
        <v>0.54838709677419351</v>
      </c>
      <c r="L264">
        <f t="shared" si="48"/>
        <v>215</v>
      </c>
      <c r="M264" s="6">
        <f t="shared" si="49"/>
        <v>18.658584807492193</v>
      </c>
      <c r="N264" s="13">
        <f t="shared" si="44"/>
        <v>19.114920107976705</v>
      </c>
      <c r="O264" s="6">
        <f t="shared" si="52"/>
        <v>1623.5979084287198</v>
      </c>
      <c r="P264" s="6">
        <f t="shared" si="53"/>
        <v>1623.0897651012112</v>
      </c>
      <c r="Q264" s="6">
        <f t="shared" si="50"/>
        <v>19.114920107976705</v>
      </c>
      <c r="T264" s="6">
        <f t="shared" si="43"/>
        <v>19.114920107976705</v>
      </c>
    </row>
    <row r="265" spans="2:20">
      <c r="B265">
        <f t="shared" si="51"/>
        <v>262</v>
      </c>
      <c r="C265">
        <f t="shared" si="45"/>
        <v>31</v>
      </c>
      <c r="D265">
        <v>244</v>
      </c>
      <c r="E265">
        <v>275</v>
      </c>
      <c r="F265">
        <f>TnSPLINE!F$12</f>
        <v>18.506451612903223</v>
      </c>
      <c r="G265">
        <f>TnSPLINE!F$13</f>
        <v>18.783870967741933</v>
      </c>
      <c r="H265" s="5">
        <f>TnSPLINE!K$12</f>
        <v>6.6856587083987079E-4</v>
      </c>
      <c r="I265" s="5">
        <f>TnSPLINE!K$13</f>
        <v>-8.0566094508765992E-3</v>
      </c>
      <c r="J265">
        <f t="shared" si="46"/>
        <v>0.41935483870967744</v>
      </c>
      <c r="K265">
        <f t="shared" si="47"/>
        <v>0.58064516129032262</v>
      </c>
      <c r="L265">
        <f t="shared" si="48"/>
        <v>216</v>
      </c>
      <c r="M265" s="6">
        <f t="shared" si="49"/>
        <v>18.667533818938605</v>
      </c>
      <c r="N265" s="13">
        <f t="shared" si="44"/>
        <v>19.127176452043894</v>
      </c>
      <c r="O265" s="6">
        <f t="shared" si="52"/>
        <v>1642.2654422476585</v>
      </c>
      <c r="P265" s="6">
        <f t="shared" si="53"/>
        <v>1642.2169415532551</v>
      </c>
      <c r="Q265" s="6">
        <f t="shared" si="50"/>
        <v>19.127176452043894</v>
      </c>
      <c r="T265" s="6">
        <f t="shared" si="43"/>
        <v>19.127176452043894</v>
      </c>
    </row>
    <row r="266" spans="2:20">
      <c r="B266">
        <f t="shared" si="51"/>
        <v>263</v>
      </c>
      <c r="C266">
        <f t="shared" si="45"/>
        <v>31</v>
      </c>
      <c r="D266">
        <v>244</v>
      </c>
      <c r="E266">
        <v>275</v>
      </c>
      <c r="F266">
        <f>TnSPLINE!F$12</f>
        <v>18.506451612903223</v>
      </c>
      <c r="G266">
        <f>TnSPLINE!F$13</f>
        <v>18.783870967741933</v>
      </c>
      <c r="H266" s="5">
        <f>TnSPLINE!K$12</f>
        <v>6.6856587083987079E-4</v>
      </c>
      <c r="I266" s="5">
        <f>TnSPLINE!K$13</f>
        <v>-8.0566094508765992E-3</v>
      </c>
      <c r="J266">
        <f t="shared" si="46"/>
        <v>0.38709677419354838</v>
      </c>
      <c r="K266">
        <f t="shared" si="47"/>
        <v>0.61290322580645162</v>
      </c>
      <c r="L266">
        <f t="shared" si="48"/>
        <v>217</v>
      </c>
      <c r="M266" s="6">
        <f t="shared" si="49"/>
        <v>18.676482830385012</v>
      </c>
      <c r="N266" s="13">
        <f t="shared" si="44"/>
        <v>19.135035131149955</v>
      </c>
      <c r="O266" s="6">
        <f t="shared" si="52"/>
        <v>1660.9419250780436</v>
      </c>
      <c r="P266" s="6">
        <f t="shared" si="53"/>
        <v>1661.3519766844051</v>
      </c>
      <c r="Q266" s="6">
        <f t="shared" si="50"/>
        <v>19.135035131149955</v>
      </c>
      <c r="T266" s="6">
        <f t="shared" si="43"/>
        <v>19.135035131149955</v>
      </c>
    </row>
    <row r="267" spans="2:20">
      <c r="B267">
        <f t="shared" si="51"/>
        <v>264</v>
      </c>
      <c r="C267">
        <f t="shared" si="45"/>
        <v>31</v>
      </c>
      <c r="D267">
        <v>244</v>
      </c>
      <c r="E267">
        <v>275</v>
      </c>
      <c r="F267">
        <f>TnSPLINE!F$12</f>
        <v>18.506451612903223</v>
      </c>
      <c r="G267">
        <f>TnSPLINE!F$13</f>
        <v>18.783870967741933</v>
      </c>
      <c r="H267" s="5">
        <f>TnSPLINE!K$12</f>
        <v>6.6856587083987079E-4</v>
      </c>
      <c r="I267" s="5">
        <f>TnSPLINE!K$13</f>
        <v>-8.0566094508765992E-3</v>
      </c>
      <c r="J267">
        <f t="shared" si="46"/>
        <v>0.35483870967741937</v>
      </c>
      <c r="K267">
        <f t="shared" si="47"/>
        <v>0.64516129032258063</v>
      </c>
      <c r="L267">
        <f t="shared" si="48"/>
        <v>218</v>
      </c>
      <c r="M267" s="6">
        <f t="shared" si="49"/>
        <v>18.685431841831424</v>
      </c>
      <c r="N267" s="13">
        <f t="shared" si="44"/>
        <v>19.138214688026451</v>
      </c>
      <c r="O267" s="6">
        <f t="shared" si="52"/>
        <v>1679.627356919875</v>
      </c>
      <c r="P267" s="6">
        <f t="shared" si="53"/>
        <v>1680.4901913724316</v>
      </c>
      <c r="Q267" s="6">
        <f t="shared" si="50"/>
        <v>19.138214688026451</v>
      </c>
      <c r="T267" s="6">
        <f t="shared" si="43"/>
        <v>19.138214688026451</v>
      </c>
    </row>
    <row r="268" spans="2:20">
      <c r="B268">
        <f t="shared" si="51"/>
        <v>265</v>
      </c>
      <c r="C268">
        <f t="shared" si="45"/>
        <v>31</v>
      </c>
      <c r="D268">
        <v>244</v>
      </c>
      <c r="E268">
        <v>275</v>
      </c>
      <c r="F268">
        <f>TnSPLINE!F$12</f>
        <v>18.506451612903223</v>
      </c>
      <c r="G268">
        <f>TnSPLINE!F$13</f>
        <v>18.783870967741933</v>
      </c>
      <c r="H268" s="5">
        <f>TnSPLINE!K$12</f>
        <v>6.6856587083987079E-4</v>
      </c>
      <c r="I268" s="5">
        <f>TnSPLINE!K$13</f>
        <v>-8.0566094508765992E-3</v>
      </c>
      <c r="J268">
        <f t="shared" si="46"/>
        <v>0.32258064516129031</v>
      </c>
      <c r="K268">
        <f t="shared" si="47"/>
        <v>0.67741935483870963</v>
      </c>
      <c r="L268">
        <f t="shared" si="48"/>
        <v>219</v>
      </c>
      <c r="M268" s="6">
        <f t="shared" si="49"/>
        <v>18.694380853277831</v>
      </c>
      <c r="N268" s="13">
        <f t="shared" si="44"/>
        <v>19.136433665404933</v>
      </c>
      <c r="O268" s="6">
        <f t="shared" si="52"/>
        <v>1698.3217377731528</v>
      </c>
      <c r="P268" s="6">
        <f t="shared" si="53"/>
        <v>1699.6266250378364</v>
      </c>
      <c r="Q268" s="6">
        <f t="shared" si="50"/>
        <v>19.136433665404933</v>
      </c>
      <c r="T268" s="6">
        <f t="shared" si="43"/>
        <v>19.136433665404933</v>
      </c>
    </row>
    <row r="269" spans="2:20">
      <c r="B269">
        <f t="shared" si="51"/>
        <v>266</v>
      </c>
      <c r="C269">
        <f t="shared" si="45"/>
        <v>31</v>
      </c>
      <c r="D269">
        <v>244</v>
      </c>
      <c r="E269">
        <v>275</v>
      </c>
      <c r="F269">
        <f>TnSPLINE!F$12</f>
        <v>18.506451612903223</v>
      </c>
      <c r="G269">
        <f>TnSPLINE!F$13</f>
        <v>18.783870967741933</v>
      </c>
      <c r="H269" s="5">
        <f>TnSPLINE!K$12</f>
        <v>6.6856587083987079E-4</v>
      </c>
      <c r="I269" s="5">
        <f>TnSPLINE!K$13</f>
        <v>-8.0566094508765992E-3</v>
      </c>
      <c r="J269">
        <f t="shared" si="46"/>
        <v>0.29032258064516131</v>
      </c>
      <c r="K269">
        <f t="shared" si="47"/>
        <v>0.70967741935483875</v>
      </c>
      <c r="L269">
        <f t="shared" si="48"/>
        <v>220</v>
      </c>
      <c r="M269" s="6">
        <f t="shared" si="49"/>
        <v>18.703329864724246</v>
      </c>
      <c r="N269" s="13">
        <f t="shared" si="44"/>
        <v>19.129410606016972</v>
      </c>
      <c r="O269" s="6">
        <f t="shared" si="52"/>
        <v>1717.0250676378771</v>
      </c>
      <c r="P269" s="6">
        <f t="shared" si="53"/>
        <v>1718.7560356438535</v>
      </c>
      <c r="Q269" s="6">
        <f t="shared" si="50"/>
        <v>19.129410606016972</v>
      </c>
      <c r="T269" s="6">
        <f t="shared" si="43"/>
        <v>19.129410606016972</v>
      </c>
    </row>
    <row r="270" spans="2:20">
      <c r="B270">
        <f t="shared" si="51"/>
        <v>267</v>
      </c>
      <c r="C270">
        <f t="shared" si="45"/>
        <v>31</v>
      </c>
      <c r="D270">
        <v>244</v>
      </c>
      <c r="E270">
        <v>275</v>
      </c>
      <c r="F270">
        <f>TnSPLINE!F$12</f>
        <v>18.506451612903223</v>
      </c>
      <c r="G270">
        <f>TnSPLINE!F$13</f>
        <v>18.783870967741933</v>
      </c>
      <c r="H270" s="5">
        <f>TnSPLINE!K$12</f>
        <v>6.6856587083987079E-4</v>
      </c>
      <c r="I270" s="5">
        <f>TnSPLINE!K$13</f>
        <v>-8.0566094508765992E-3</v>
      </c>
      <c r="J270">
        <f t="shared" si="46"/>
        <v>0.25806451612903225</v>
      </c>
      <c r="K270">
        <f t="shared" si="47"/>
        <v>0.74193548387096775</v>
      </c>
      <c r="L270">
        <f t="shared" si="48"/>
        <v>221</v>
      </c>
      <c r="M270" s="6">
        <f t="shared" si="49"/>
        <v>18.712278876170654</v>
      </c>
      <c r="N270" s="13">
        <f t="shared" si="44"/>
        <v>19.11686405259411</v>
      </c>
      <c r="O270" s="6">
        <f t="shared" si="52"/>
        <v>1735.7373465140477</v>
      </c>
      <c r="P270" s="6">
        <f t="shared" si="53"/>
        <v>1737.8728996964476</v>
      </c>
      <c r="Q270" s="6">
        <f t="shared" si="50"/>
        <v>19.11686405259411</v>
      </c>
      <c r="T270" s="6">
        <f t="shared" si="43"/>
        <v>19.11686405259411</v>
      </c>
    </row>
    <row r="271" spans="2:20">
      <c r="B271">
        <f t="shared" si="51"/>
        <v>268</v>
      </c>
      <c r="C271">
        <f t="shared" si="45"/>
        <v>31</v>
      </c>
      <c r="D271">
        <v>244</v>
      </c>
      <c r="E271">
        <v>275</v>
      </c>
      <c r="F271">
        <f>TnSPLINE!F$12</f>
        <v>18.506451612903223</v>
      </c>
      <c r="G271">
        <f>TnSPLINE!F$13</f>
        <v>18.783870967741933</v>
      </c>
      <c r="H271" s="5">
        <f>TnSPLINE!K$12</f>
        <v>6.6856587083987079E-4</v>
      </c>
      <c r="I271" s="5">
        <f>TnSPLINE!K$13</f>
        <v>-8.0566094508765992E-3</v>
      </c>
      <c r="J271">
        <f t="shared" si="46"/>
        <v>0.22580645161290322</v>
      </c>
      <c r="K271">
        <f t="shared" si="47"/>
        <v>0.77419354838709675</v>
      </c>
      <c r="L271">
        <f t="shared" si="48"/>
        <v>222</v>
      </c>
      <c r="M271" s="6">
        <f t="shared" si="49"/>
        <v>18.721227887617061</v>
      </c>
      <c r="N271" s="13">
        <f t="shared" si="44"/>
        <v>19.098512547867912</v>
      </c>
      <c r="O271" s="6">
        <f t="shared" si="52"/>
        <v>1754.4585744016647</v>
      </c>
      <c r="P271" s="6">
        <f t="shared" si="53"/>
        <v>1756.9714122443154</v>
      </c>
      <c r="Q271" s="6">
        <f t="shared" si="50"/>
        <v>19.098512547867912</v>
      </c>
      <c r="T271" s="6">
        <f t="shared" si="43"/>
        <v>19.098512547867912</v>
      </c>
    </row>
    <row r="272" spans="2:20">
      <c r="B272">
        <f t="shared" si="51"/>
        <v>269</v>
      </c>
      <c r="C272">
        <f t="shared" si="45"/>
        <v>31</v>
      </c>
      <c r="D272">
        <v>244</v>
      </c>
      <c r="E272">
        <v>275</v>
      </c>
      <c r="F272">
        <f>TnSPLINE!F$12</f>
        <v>18.506451612903223</v>
      </c>
      <c r="G272">
        <f>TnSPLINE!F$13</f>
        <v>18.783870967741933</v>
      </c>
      <c r="H272" s="5">
        <f>TnSPLINE!K$12</f>
        <v>6.6856587083987079E-4</v>
      </c>
      <c r="I272" s="5">
        <f>TnSPLINE!K$13</f>
        <v>-8.0566094508765992E-3</v>
      </c>
      <c r="J272">
        <f t="shared" si="46"/>
        <v>0.19354838709677419</v>
      </c>
      <c r="K272">
        <f t="shared" si="47"/>
        <v>0.80645161290322576</v>
      </c>
      <c r="L272">
        <f t="shared" si="48"/>
        <v>223</v>
      </c>
      <c r="M272" s="6">
        <f t="shared" si="49"/>
        <v>18.730176899063473</v>
      </c>
      <c r="N272" s="13">
        <f t="shared" si="44"/>
        <v>19.074074634569936</v>
      </c>
      <c r="O272" s="6">
        <f t="shared" si="52"/>
        <v>1773.1887513007282</v>
      </c>
      <c r="P272" s="6">
        <f t="shared" si="53"/>
        <v>1776.0454868788854</v>
      </c>
      <c r="Q272" s="6">
        <f t="shared" si="50"/>
        <v>19.074074634569936</v>
      </c>
      <c r="T272" s="6">
        <f t="shared" si="43"/>
        <v>19.074074634569936</v>
      </c>
    </row>
    <row r="273" spans="1:20">
      <c r="B273">
        <f t="shared" si="51"/>
        <v>270</v>
      </c>
      <c r="C273">
        <f t="shared" si="45"/>
        <v>31</v>
      </c>
      <c r="D273">
        <v>244</v>
      </c>
      <c r="E273">
        <v>275</v>
      </c>
      <c r="F273">
        <f>TnSPLINE!F$12</f>
        <v>18.506451612903223</v>
      </c>
      <c r="G273">
        <f>TnSPLINE!F$13</f>
        <v>18.783870967741933</v>
      </c>
      <c r="H273" s="5">
        <f>TnSPLINE!K$12</f>
        <v>6.6856587083987079E-4</v>
      </c>
      <c r="I273" s="5">
        <f>TnSPLINE!K$13</f>
        <v>-8.0566094508765992E-3</v>
      </c>
      <c r="J273">
        <f t="shared" si="46"/>
        <v>0.16129032258064516</v>
      </c>
      <c r="K273">
        <f t="shared" si="47"/>
        <v>0.83870967741935487</v>
      </c>
      <c r="L273">
        <f t="shared" si="48"/>
        <v>224</v>
      </c>
      <c r="M273" s="6">
        <f t="shared" si="49"/>
        <v>18.739125910509884</v>
      </c>
      <c r="N273" s="13">
        <f t="shared" si="44"/>
        <v>19.043268855431737</v>
      </c>
      <c r="O273" s="6">
        <f t="shared" si="52"/>
        <v>1791.9278772112382</v>
      </c>
      <c r="P273" s="6">
        <f t="shared" si="53"/>
        <v>1795.0887557343171</v>
      </c>
      <c r="Q273" s="6">
        <f t="shared" si="50"/>
        <v>19.043268855431737</v>
      </c>
      <c r="T273" s="6">
        <f t="shared" si="43"/>
        <v>19.043268855431737</v>
      </c>
    </row>
    <row r="274" spans="1:20">
      <c r="B274">
        <f t="shared" si="51"/>
        <v>271</v>
      </c>
      <c r="C274">
        <f t="shared" si="45"/>
        <v>31</v>
      </c>
      <c r="D274">
        <v>244</v>
      </c>
      <c r="E274">
        <v>275</v>
      </c>
      <c r="F274">
        <f>TnSPLINE!F$12</f>
        <v>18.506451612903223</v>
      </c>
      <c r="G274">
        <f>TnSPLINE!F$13</f>
        <v>18.783870967741933</v>
      </c>
      <c r="H274" s="5">
        <f>TnSPLINE!K$12</f>
        <v>6.6856587083987079E-4</v>
      </c>
      <c r="I274" s="5">
        <f>TnSPLINE!K$13</f>
        <v>-8.0566094508765992E-3</v>
      </c>
      <c r="J274">
        <f t="shared" si="46"/>
        <v>0.12903225806451613</v>
      </c>
      <c r="K274">
        <f t="shared" si="47"/>
        <v>0.87096774193548387</v>
      </c>
      <c r="L274">
        <f t="shared" si="48"/>
        <v>225</v>
      </c>
      <c r="M274" s="6">
        <f t="shared" si="49"/>
        <v>18.748074921956295</v>
      </c>
      <c r="N274" s="13">
        <f t="shared" si="44"/>
        <v>19.005813753184878</v>
      </c>
      <c r="O274" s="6">
        <f t="shared" si="52"/>
        <v>1810.6759521331944</v>
      </c>
      <c r="P274" s="6">
        <f t="shared" si="53"/>
        <v>1814.094569487502</v>
      </c>
      <c r="Q274" s="6">
        <f t="shared" si="50"/>
        <v>19.005813753184878</v>
      </c>
      <c r="T274" s="6">
        <f t="shared" si="43"/>
        <v>19.005813753184878</v>
      </c>
    </row>
    <row r="275" spans="1:20">
      <c r="B275">
        <f t="shared" si="51"/>
        <v>272</v>
      </c>
      <c r="C275">
        <f t="shared" si="45"/>
        <v>31</v>
      </c>
      <c r="D275">
        <v>244</v>
      </c>
      <c r="E275">
        <v>275</v>
      </c>
      <c r="F275">
        <f>TnSPLINE!F$12</f>
        <v>18.506451612903223</v>
      </c>
      <c r="G275">
        <f>TnSPLINE!F$13</f>
        <v>18.783870967741933</v>
      </c>
      <c r="H275" s="5">
        <f>TnSPLINE!K$12</f>
        <v>6.6856587083987079E-4</v>
      </c>
      <c r="I275" s="5">
        <f>TnSPLINE!K$13</f>
        <v>-8.0566094508765992E-3</v>
      </c>
      <c r="J275">
        <f t="shared" si="46"/>
        <v>9.6774193548387094E-2</v>
      </c>
      <c r="K275">
        <f t="shared" si="47"/>
        <v>0.90322580645161288</v>
      </c>
      <c r="L275">
        <f t="shared" si="48"/>
        <v>226</v>
      </c>
      <c r="M275" s="6">
        <f t="shared" si="49"/>
        <v>18.757023933402703</v>
      </c>
      <c r="N275" s="13">
        <f t="shared" si="44"/>
        <v>18.961427870560907</v>
      </c>
      <c r="O275" s="6">
        <f t="shared" si="52"/>
        <v>1829.4329760665971</v>
      </c>
      <c r="P275" s="6">
        <f t="shared" si="53"/>
        <v>1833.055997358063</v>
      </c>
      <c r="Q275" s="6">
        <f t="shared" si="50"/>
        <v>18.961427870560907</v>
      </c>
      <c r="T275" s="6">
        <f t="shared" si="43"/>
        <v>18.961427870560907</v>
      </c>
    </row>
    <row r="276" spans="1:20">
      <c r="B276">
        <f t="shared" si="51"/>
        <v>273</v>
      </c>
      <c r="C276">
        <f t="shared" si="45"/>
        <v>31</v>
      </c>
      <c r="D276">
        <v>244</v>
      </c>
      <c r="E276">
        <v>275</v>
      </c>
      <c r="F276">
        <f>TnSPLINE!F$12</f>
        <v>18.506451612903223</v>
      </c>
      <c r="G276">
        <f>TnSPLINE!F$13</f>
        <v>18.783870967741933</v>
      </c>
      <c r="H276" s="5">
        <f>TnSPLINE!K$12</f>
        <v>6.6856587083987079E-4</v>
      </c>
      <c r="I276" s="5">
        <f>TnSPLINE!K$13</f>
        <v>-8.0566094508765992E-3</v>
      </c>
      <c r="J276">
        <f t="shared" si="46"/>
        <v>6.4516129032258063E-2</v>
      </c>
      <c r="K276">
        <f t="shared" si="47"/>
        <v>0.93548387096774188</v>
      </c>
      <c r="L276">
        <f t="shared" si="48"/>
        <v>227</v>
      </c>
      <c r="M276" s="6">
        <f t="shared" si="49"/>
        <v>18.765972944849114</v>
      </c>
      <c r="N276" s="13">
        <f t="shared" si="44"/>
        <v>18.90982975029139</v>
      </c>
      <c r="O276" s="6">
        <f t="shared" si="52"/>
        <v>1848.1989490114463</v>
      </c>
      <c r="P276" s="6">
        <f t="shared" si="53"/>
        <v>1851.9658271083545</v>
      </c>
      <c r="Q276" s="6">
        <f t="shared" si="50"/>
        <v>18.90982975029139</v>
      </c>
      <c r="T276" s="6">
        <f t="shared" si="43"/>
        <v>18.90982975029139</v>
      </c>
    </row>
    <row r="277" spans="1:20">
      <c r="B277">
        <f t="shared" si="51"/>
        <v>274</v>
      </c>
      <c r="C277">
        <f t="shared" si="45"/>
        <v>31</v>
      </c>
      <c r="D277">
        <v>244</v>
      </c>
      <c r="E277">
        <v>275</v>
      </c>
      <c r="F277">
        <f>TnSPLINE!F$12</f>
        <v>18.506451612903223</v>
      </c>
      <c r="G277">
        <f>TnSPLINE!F$13</f>
        <v>18.783870967741933</v>
      </c>
      <c r="H277" s="5">
        <f>TnSPLINE!K$12</f>
        <v>6.6856587083987079E-4</v>
      </c>
      <c r="I277" s="5">
        <f>TnSPLINE!K$13</f>
        <v>-8.0566094508765992E-3</v>
      </c>
      <c r="J277">
        <f t="shared" si="46"/>
        <v>3.2258064516129031E-2</v>
      </c>
      <c r="K277">
        <f t="shared" si="47"/>
        <v>0.967741935483871</v>
      </c>
      <c r="L277">
        <f t="shared" si="48"/>
        <v>228</v>
      </c>
      <c r="M277" s="6">
        <f t="shared" si="49"/>
        <v>18.774921956295522</v>
      </c>
      <c r="N277" s="13">
        <f t="shared" si="44"/>
        <v>18.850737935107876</v>
      </c>
      <c r="O277" s="6">
        <f t="shared" si="52"/>
        <v>1866.9738709677417</v>
      </c>
      <c r="P277" s="6">
        <f t="shared" si="53"/>
        <v>1870.8165650434623</v>
      </c>
      <c r="Q277" s="6">
        <f t="shared" si="50"/>
        <v>18.850737935107876</v>
      </c>
      <c r="T277" s="6">
        <f t="shared" si="43"/>
        <v>18.850737935107876</v>
      </c>
    </row>
    <row r="278" spans="1:20">
      <c r="A278">
        <v>275</v>
      </c>
      <c r="B278">
        <f t="shared" si="51"/>
        <v>275</v>
      </c>
      <c r="C278">
        <f t="shared" si="45"/>
        <v>31</v>
      </c>
      <c r="D278">
        <v>244</v>
      </c>
      <c r="E278">
        <v>275</v>
      </c>
      <c r="F278">
        <f>TnSPLINE!F$12</f>
        <v>18.506451612903223</v>
      </c>
      <c r="G278">
        <f>TnSPLINE!F$13</f>
        <v>18.783870967741933</v>
      </c>
      <c r="H278" s="5">
        <f>TnSPLINE!K$12</f>
        <v>6.6856587083987079E-4</v>
      </c>
      <c r="I278" s="5">
        <f>TnSPLINE!K$13</f>
        <v>-8.0566094508765992E-3</v>
      </c>
      <c r="J278">
        <f t="shared" si="46"/>
        <v>0</v>
      </c>
      <c r="K278">
        <f t="shared" si="47"/>
        <v>1</v>
      </c>
      <c r="L278">
        <f t="shared" si="48"/>
        <v>229</v>
      </c>
      <c r="M278" s="6">
        <f t="shared" si="49"/>
        <v>18.783870967741933</v>
      </c>
      <c r="N278" s="13">
        <f t="shared" si="44"/>
        <v>18.783870967741933</v>
      </c>
      <c r="O278" s="6">
        <f t="shared" si="52"/>
        <v>1885.7577419354836</v>
      </c>
      <c r="P278" s="6">
        <f t="shared" si="53"/>
        <v>1889.6004360112042</v>
      </c>
      <c r="Q278" s="6">
        <f t="shared" si="50"/>
        <v>18.783870967741933</v>
      </c>
      <c r="T278" s="6">
        <f t="shared" si="43"/>
        <v>18.783870967741933</v>
      </c>
    </row>
    <row r="279" spans="1:20">
      <c r="B279">
        <f t="shared" si="51"/>
        <v>276</v>
      </c>
      <c r="C279">
        <f t="shared" si="45"/>
        <v>30</v>
      </c>
      <c r="D279">
        <v>275</v>
      </c>
      <c r="E279">
        <v>305</v>
      </c>
      <c r="F279">
        <f>TnSPLINE!F$13</f>
        <v>18.783870967741933</v>
      </c>
      <c r="G279">
        <f>TnSPLINE!F$14</f>
        <v>14.526666666666667</v>
      </c>
      <c r="H279" s="5">
        <f>TnSPLINE!K$13</f>
        <v>-8.0566094508765992E-3</v>
      </c>
      <c r="I279" s="5">
        <f>TnSPLINE!K$14</f>
        <v>1.9015294039131992E-3</v>
      </c>
      <c r="J279">
        <f t="shared" si="46"/>
        <v>0.96666666666666667</v>
      </c>
      <c r="K279">
        <f t="shared" si="47"/>
        <v>3.3333333333333333E-2</v>
      </c>
      <c r="L279">
        <f t="shared" si="48"/>
        <v>230</v>
      </c>
      <c r="M279" s="6">
        <f t="shared" si="49"/>
        <v>18.641964157706091</v>
      </c>
      <c r="N279" s="13">
        <f t="shared" si="44"/>
        <v>18.709049623463493</v>
      </c>
      <c r="O279" s="6">
        <f t="shared" si="52"/>
        <v>1904.3997060931897</v>
      </c>
      <c r="P279" s="6">
        <f t="shared" si="53"/>
        <v>1908.3094856346677</v>
      </c>
      <c r="Q279" s="6">
        <f t="shared" si="50"/>
        <v>18.709049623463493</v>
      </c>
      <c r="T279" s="6">
        <f t="shared" si="43"/>
        <v>18.709049623463493</v>
      </c>
    </row>
    <row r="280" spans="1:20">
      <c r="B280">
        <f t="shared" si="51"/>
        <v>277</v>
      </c>
      <c r="C280">
        <f t="shared" si="45"/>
        <v>30</v>
      </c>
      <c r="D280">
        <v>275</v>
      </c>
      <c r="E280">
        <v>305</v>
      </c>
      <c r="F280">
        <f>TnSPLINE!F$13</f>
        <v>18.783870967741933</v>
      </c>
      <c r="G280">
        <f>TnSPLINE!F$14</f>
        <v>14.526666666666667</v>
      </c>
      <c r="H280" s="5">
        <f>TnSPLINE!K$13</f>
        <v>-8.0566094508765992E-3</v>
      </c>
      <c r="I280" s="5">
        <f>TnSPLINE!K$14</f>
        <v>1.9015294039131992E-3</v>
      </c>
      <c r="J280">
        <f t="shared" si="46"/>
        <v>0.93333333333333335</v>
      </c>
      <c r="K280">
        <f t="shared" si="47"/>
        <v>6.6666666666666666E-2</v>
      </c>
      <c r="L280">
        <f t="shared" si="48"/>
        <v>231</v>
      </c>
      <c r="M280" s="6">
        <f t="shared" si="49"/>
        <v>18.50005734767025</v>
      </c>
      <c r="N280" s="13">
        <f t="shared" si="44"/>
        <v>18.626503607695998</v>
      </c>
      <c r="O280" s="6">
        <f t="shared" si="52"/>
        <v>1922.8997634408599</v>
      </c>
      <c r="P280" s="6">
        <f t="shared" si="53"/>
        <v>1926.9359892423636</v>
      </c>
      <c r="Q280" s="6">
        <f t="shared" si="50"/>
        <v>18.626503607695998</v>
      </c>
      <c r="T280" s="6">
        <f t="shared" si="43"/>
        <v>18.626503607695998</v>
      </c>
    </row>
    <row r="281" spans="1:20">
      <c r="B281">
        <f t="shared" si="51"/>
        <v>278</v>
      </c>
      <c r="C281">
        <f t="shared" si="45"/>
        <v>30</v>
      </c>
      <c r="D281">
        <v>275</v>
      </c>
      <c r="E281">
        <v>305</v>
      </c>
      <c r="F281">
        <f>TnSPLINE!F$13</f>
        <v>18.783870967741933</v>
      </c>
      <c r="G281">
        <f>TnSPLINE!F$14</f>
        <v>14.526666666666667</v>
      </c>
      <c r="H281" s="5">
        <f>TnSPLINE!K$13</f>
        <v>-8.0566094508765992E-3</v>
      </c>
      <c r="I281" s="5">
        <f>TnSPLINE!K$14</f>
        <v>1.9015294039131992E-3</v>
      </c>
      <c r="J281">
        <f t="shared" si="46"/>
        <v>0.9</v>
      </c>
      <c r="K281">
        <f t="shared" si="47"/>
        <v>0.1</v>
      </c>
      <c r="L281">
        <f t="shared" si="48"/>
        <v>232</v>
      </c>
      <c r="M281" s="6">
        <f t="shared" si="49"/>
        <v>18.358150537634405</v>
      </c>
      <c r="N281" s="13">
        <f t="shared" si="44"/>
        <v>18.536564858401277</v>
      </c>
      <c r="O281" s="6">
        <f t="shared" si="52"/>
        <v>1941.2579139784943</v>
      </c>
      <c r="P281" s="6">
        <f t="shared" si="53"/>
        <v>1945.4725541007649</v>
      </c>
      <c r="Q281" s="6">
        <f t="shared" si="50"/>
        <v>18.536564858401277</v>
      </c>
      <c r="T281" s="6">
        <f t="shared" si="43"/>
        <v>18.536564858401277</v>
      </c>
    </row>
    <row r="282" spans="1:20">
      <c r="B282">
        <f t="shared" si="51"/>
        <v>279</v>
      </c>
      <c r="C282">
        <f t="shared" si="45"/>
        <v>30</v>
      </c>
      <c r="D282">
        <v>275</v>
      </c>
      <c r="E282">
        <v>305</v>
      </c>
      <c r="F282">
        <f>TnSPLINE!F$13</f>
        <v>18.783870967741933</v>
      </c>
      <c r="G282">
        <f>TnSPLINE!F$14</f>
        <v>14.526666666666667</v>
      </c>
      <c r="H282" s="5">
        <f>TnSPLINE!K$13</f>
        <v>-8.0566094508765992E-3</v>
      </c>
      <c r="I282" s="5">
        <f>TnSPLINE!K$14</f>
        <v>1.9015294039131992E-3</v>
      </c>
      <c r="J282">
        <f t="shared" si="46"/>
        <v>0.8666666666666667</v>
      </c>
      <c r="K282">
        <f t="shared" si="47"/>
        <v>0.13333333333333333</v>
      </c>
      <c r="L282">
        <f t="shared" si="48"/>
        <v>233</v>
      </c>
      <c r="M282" s="6">
        <f t="shared" si="49"/>
        <v>18.216243727598563</v>
      </c>
      <c r="N282" s="13">
        <f t="shared" si="44"/>
        <v>18.439565313541163</v>
      </c>
      <c r="O282" s="6">
        <f t="shared" si="52"/>
        <v>1959.4741577060929</v>
      </c>
      <c r="P282" s="6">
        <f t="shared" si="53"/>
        <v>1963.9121194143061</v>
      </c>
      <c r="Q282" s="6">
        <f t="shared" si="50"/>
        <v>18.439565313541163</v>
      </c>
      <c r="T282" s="6">
        <f t="shared" si="43"/>
        <v>18.439565313541163</v>
      </c>
    </row>
    <row r="283" spans="1:20">
      <c r="B283">
        <f t="shared" si="51"/>
        <v>280</v>
      </c>
      <c r="C283">
        <f t="shared" si="45"/>
        <v>30</v>
      </c>
      <c r="D283">
        <v>275</v>
      </c>
      <c r="E283">
        <v>305</v>
      </c>
      <c r="F283">
        <f>TnSPLINE!F$13</f>
        <v>18.783870967741933</v>
      </c>
      <c r="G283">
        <f>TnSPLINE!F$14</f>
        <v>14.526666666666667</v>
      </c>
      <c r="H283" s="5">
        <f>TnSPLINE!K$13</f>
        <v>-8.0566094508765992E-3</v>
      </c>
      <c r="I283" s="5">
        <f>TnSPLINE!K$14</f>
        <v>1.9015294039131992E-3</v>
      </c>
      <c r="J283">
        <f t="shared" si="46"/>
        <v>0.83333333333333337</v>
      </c>
      <c r="K283">
        <f t="shared" si="47"/>
        <v>0.16666666666666666</v>
      </c>
      <c r="L283">
        <f t="shared" si="48"/>
        <v>234</v>
      </c>
      <c r="M283" s="6">
        <f t="shared" si="49"/>
        <v>18.074336917562725</v>
      </c>
      <c r="N283" s="13">
        <f t="shared" si="44"/>
        <v>18.335836911077482</v>
      </c>
      <c r="O283" s="6">
        <f t="shared" si="52"/>
        <v>1977.5484946236556</v>
      </c>
      <c r="P283" s="6">
        <f t="shared" si="53"/>
        <v>1982.2479563253835</v>
      </c>
      <c r="Q283" s="6">
        <f t="shared" si="50"/>
        <v>18.335836911077482</v>
      </c>
      <c r="T283" s="6">
        <f t="shared" si="43"/>
        <v>18.335836911077482</v>
      </c>
    </row>
    <row r="284" spans="1:20">
      <c r="B284">
        <f t="shared" si="51"/>
        <v>281</v>
      </c>
      <c r="C284">
        <f t="shared" si="45"/>
        <v>30</v>
      </c>
      <c r="D284">
        <v>275</v>
      </c>
      <c r="E284">
        <v>305</v>
      </c>
      <c r="F284">
        <f>TnSPLINE!F$13</f>
        <v>18.783870967741933</v>
      </c>
      <c r="G284">
        <f>TnSPLINE!F$14</f>
        <v>14.526666666666667</v>
      </c>
      <c r="H284" s="5">
        <f>TnSPLINE!K$13</f>
        <v>-8.0566094508765992E-3</v>
      </c>
      <c r="I284" s="5">
        <f>TnSPLINE!K$14</f>
        <v>1.9015294039131992E-3</v>
      </c>
      <c r="J284">
        <f t="shared" si="46"/>
        <v>0.8</v>
      </c>
      <c r="K284">
        <f t="shared" si="47"/>
        <v>0.2</v>
      </c>
      <c r="L284">
        <f t="shared" si="48"/>
        <v>235</v>
      </c>
      <c r="M284" s="6">
        <f t="shared" si="49"/>
        <v>17.93243010752688</v>
      </c>
      <c r="N284" s="13">
        <f t="shared" si="44"/>
        <v>18.22571158897205</v>
      </c>
      <c r="O284" s="6">
        <f t="shared" si="52"/>
        <v>1995.4809247311825</v>
      </c>
      <c r="P284" s="6">
        <f t="shared" si="53"/>
        <v>2000.4736679143555</v>
      </c>
      <c r="Q284" s="6">
        <f t="shared" si="50"/>
        <v>18.22571158897205</v>
      </c>
      <c r="T284" s="6">
        <f t="shared" si="43"/>
        <v>18.22571158897205</v>
      </c>
    </row>
    <row r="285" spans="1:20">
      <c r="B285">
        <f t="shared" si="51"/>
        <v>282</v>
      </c>
      <c r="C285">
        <f t="shared" si="45"/>
        <v>30</v>
      </c>
      <c r="D285">
        <v>275</v>
      </c>
      <c r="E285">
        <v>305</v>
      </c>
      <c r="F285">
        <f>TnSPLINE!F$13</f>
        <v>18.783870967741933</v>
      </c>
      <c r="G285">
        <f>TnSPLINE!F$14</f>
        <v>14.526666666666667</v>
      </c>
      <c r="H285" s="5">
        <f>TnSPLINE!K$13</f>
        <v>-8.0566094508765992E-3</v>
      </c>
      <c r="I285" s="5">
        <f>TnSPLINE!K$14</f>
        <v>1.9015294039131992E-3</v>
      </c>
      <c r="J285">
        <f t="shared" si="46"/>
        <v>0.76666666666666672</v>
      </c>
      <c r="K285">
        <f t="shared" si="47"/>
        <v>0.23333333333333334</v>
      </c>
      <c r="L285">
        <f t="shared" si="48"/>
        <v>236</v>
      </c>
      <c r="M285" s="6">
        <f t="shared" si="49"/>
        <v>17.790523297491038</v>
      </c>
      <c r="N285" s="13">
        <f t="shared" si="44"/>
        <v>18.109521285186698</v>
      </c>
      <c r="O285" s="6">
        <f t="shared" si="52"/>
        <v>2013.2714480286736</v>
      </c>
      <c r="P285" s="6">
        <f t="shared" si="53"/>
        <v>2018.5831891995422</v>
      </c>
      <c r="Q285" s="6">
        <f t="shared" si="50"/>
        <v>18.109521285186698</v>
      </c>
      <c r="T285" s="6">
        <f t="shared" si="43"/>
        <v>18.109521285186698</v>
      </c>
    </row>
    <row r="286" spans="1:20">
      <c r="B286">
        <f t="shared" si="51"/>
        <v>283</v>
      </c>
      <c r="C286">
        <f t="shared" si="45"/>
        <v>30</v>
      </c>
      <c r="D286">
        <v>275</v>
      </c>
      <c r="E286">
        <v>305</v>
      </c>
      <c r="F286">
        <f>TnSPLINE!F$13</f>
        <v>18.783870967741933</v>
      </c>
      <c r="G286">
        <f>TnSPLINE!F$14</f>
        <v>14.526666666666667</v>
      </c>
      <c r="H286" s="5">
        <f>TnSPLINE!K$13</f>
        <v>-8.0566094508765992E-3</v>
      </c>
      <c r="I286" s="5">
        <f>TnSPLINE!K$14</f>
        <v>1.9015294039131992E-3</v>
      </c>
      <c r="J286">
        <f t="shared" si="46"/>
        <v>0.73333333333333328</v>
      </c>
      <c r="K286">
        <f t="shared" si="47"/>
        <v>0.26666666666666666</v>
      </c>
      <c r="L286">
        <f t="shared" si="48"/>
        <v>237</v>
      </c>
      <c r="M286" s="6">
        <f t="shared" si="49"/>
        <v>17.648616487455193</v>
      </c>
      <c r="N286" s="13">
        <f t="shared" si="44"/>
        <v>17.987597937683255</v>
      </c>
      <c r="O286" s="6">
        <f t="shared" si="52"/>
        <v>2030.9200645161288</v>
      </c>
      <c r="P286" s="6">
        <f t="shared" si="53"/>
        <v>2036.5707871372254</v>
      </c>
      <c r="Q286" s="6">
        <f t="shared" si="50"/>
        <v>17.987597937683255</v>
      </c>
      <c r="T286" s="6">
        <f t="shared" si="43"/>
        <v>17.987597937683255</v>
      </c>
    </row>
    <row r="287" spans="1:20">
      <c r="B287">
        <f t="shared" si="51"/>
        <v>284</v>
      </c>
      <c r="C287">
        <f t="shared" si="45"/>
        <v>30</v>
      </c>
      <c r="D287">
        <v>275</v>
      </c>
      <c r="E287">
        <v>305</v>
      </c>
      <c r="F287">
        <f>TnSPLINE!F$13</f>
        <v>18.783870967741933</v>
      </c>
      <c r="G287">
        <f>TnSPLINE!F$14</f>
        <v>14.526666666666667</v>
      </c>
      <c r="H287" s="5">
        <f>TnSPLINE!K$13</f>
        <v>-8.0566094508765992E-3</v>
      </c>
      <c r="I287" s="5">
        <f>TnSPLINE!K$14</f>
        <v>1.9015294039131992E-3</v>
      </c>
      <c r="J287">
        <f t="shared" si="46"/>
        <v>0.7</v>
      </c>
      <c r="K287">
        <f t="shared" si="47"/>
        <v>0.3</v>
      </c>
      <c r="L287">
        <f t="shared" si="48"/>
        <v>238</v>
      </c>
      <c r="M287" s="6">
        <f t="shared" si="49"/>
        <v>17.506709677419352</v>
      </c>
      <c r="N287" s="13">
        <f t="shared" si="44"/>
        <v>17.860273484423548</v>
      </c>
      <c r="O287" s="6">
        <f t="shared" si="52"/>
        <v>2048.4267741935482</v>
      </c>
      <c r="P287" s="6">
        <f t="shared" si="53"/>
        <v>2054.4310606216491</v>
      </c>
      <c r="Q287" s="6">
        <f t="shared" si="50"/>
        <v>17.860273484423548</v>
      </c>
      <c r="T287" s="6">
        <f t="shared" si="43"/>
        <v>17.860273484423548</v>
      </c>
    </row>
    <row r="288" spans="1:20">
      <c r="B288">
        <f t="shared" si="51"/>
        <v>285</v>
      </c>
      <c r="C288">
        <f t="shared" si="45"/>
        <v>30</v>
      </c>
      <c r="D288">
        <v>275</v>
      </c>
      <c r="E288">
        <v>305</v>
      </c>
      <c r="F288">
        <f>TnSPLINE!F$13</f>
        <v>18.783870967741933</v>
      </c>
      <c r="G288">
        <f>TnSPLINE!F$14</f>
        <v>14.526666666666667</v>
      </c>
      <c r="H288" s="5">
        <f>TnSPLINE!K$13</f>
        <v>-8.0566094508765992E-3</v>
      </c>
      <c r="I288" s="5">
        <f>TnSPLINE!K$14</f>
        <v>1.9015294039131992E-3</v>
      </c>
      <c r="J288">
        <f t="shared" si="46"/>
        <v>0.66666666666666663</v>
      </c>
      <c r="K288">
        <f t="shared" si="47"/>
        <v>0.33333333333333331</v>
      </c>
      <c r="L288">
        <f t="shared" si="48"/>
        <v>239</v>
      </c>
      <c r="M288" s="6">
        <f t="shared" si="49"/>
        <v>17.36480286738351</v>
      </c>
      <c r="N288" s="13">
        <f t="shared" si="44"/>
        <v>17.727879863369402</v>
      </c>
      <c r="O288" s="6">
        <f t="shared" si="52"/>
        <v>2065.7915770609316</v>
      </c>
      <c r="P288" s="6">
        <f t="shared" si="53"/>
        <v>2072.1589404850183</v>
      </c>
      <c r="Q288" s="6">
        <f t="shared" si="50"/>
        <v>17.727879863369402</v>
      </c>
      <c r="T288" s="6">
        <f t="shared" si="43"/>
        <v>17.727879863369402</v>
      </c>
    </row>
    <row r="289" spans="2:20">
      <c r="B289">
        <f t="shared" si="51"/>
        <v>286</v>
      </c>
      <c r="C289">
        <f t="shared" si="45"/>
        <v>30</v>
      </c>
      <c r="D289">
        <v>275</v>
      </c>
      <c r="E289">
        <v>305</v>
      </c>
      <c r="F289">
        <f>TnSPLINE!F$13</f>
        <v>18.783870967741933</v>
      </c>
      <c r="G289">
        <f>TnSPLINE!F$14</f>
        <v>14.526666666666667</v>
      </c>
      <c r="H289" s="5">
        <f>TnSPLINE!K$13</f>
        <v>-8.0566094508765992E-3</v>
      </c>
      <c r="I289" s="5">
        <f>TnSPLINE!K$14</f>
        <v>1.9015294039131992E-3</v>
      </c>
      <c r="J289">
        <f t="shared" si="46"/>
        <v>0.6333333333333333</v>
      </c>
      <c r="K289">
        <f t="shared" si="47"/>
        <v>0.36666666666666664</v>
      </c>
      <c r="L289">
        <f t="shared" si="48"/>
        <v>240</v>
      </c>
      <c r="M289" s="6">
        <f t="shared" si="49"/>
        <v>17.222896057347668</v>
      </c>
      <c r="N289" s="13">
        <f t="shared" si="44"/>
        <v>17.59074901248264</v>
      </c>
      <c r="O289" s="6">
        <f t="shared" si="52"/>
        <v>2083.0144731182791</v>
      </c>
      <c r="P289" s="6">
        <f t="shared" si="53"/>
        <v>2089.7496894975011</v>
      </c>
      <c r="Q289" s="6">
        <f t="shared" si="50"/>
        <v>17.59074901248264</v>
      </c>
      <c r="T289" s="6">
        <f t="shared" si="43"/>
        <v>17.59074901248264</v>
      </c>
    </row>
    <row r="290" spans="2:20">
      <c r="B290">
        <f t="shared" si="51"/>
        <v>287</v>
      </c>
      <c r="C290">
        <f t="shared" si="45"/>
        <v>30</v>
      </c>
      <c r="D290">
        <v>275</v>
      </c>
      <c r="E290">
        <v>305</v>
      </c>
      <c r="F290">
        <f>TnSPLINE!F$13</f>
        <v>18.783870967741933</v>
      </c>
      <c r="G290">
        <f>TnSPLINE!F$14</f>
        <v>14.526666666666667</v>
      </c>
      <c r="H290" s="5">
        <f>TnSPLINE!K$13</f>
        <v>-8.0566094508765992E-3</v>
      </c>
      <c r="I290" s="5">
        <f>TnSPLINE!K$14</f>
        <v>1.9015294039131992E-3</v>
      </c>
      <c r="J290">
        <f t="shared" si="46"/>
        <v>0.6</v>
      </c>
      <c r="K290">
        <f t="shared" si="47"/>
        <v>0.4</v>
      </c>
      <c r="L290">
        <f t="shared" si="48"/>
        <v>241</v>
      </c>
      <c r="M290" s="6">
        <f t="shared" si="49"/>
        <v>17.080989247311827</v>
      </c>
      <c r="N290" s="13">
        <f t="shared" si="44"/>
        <v>17.449212869725095</v>
      </c>
      <c r="O290" s="6">
        <f t="shared" si="52"/>
        <v>2100.0954623655907</v>
      </c>
      <c r="P290" s="6">
        <f t="shared" si="53"/>
        <v>2107.1989023672263</v>
      </c>
      <c r="Q290" s="6">
        <f t="shared" si="50"/>
        <v>17.449212869725095</v>
      </c>
      <c r="T290" s="6">
        <f t="shared" si="43"/>
        <v>17.449212869725095</v>
      </c>
    </row>
    <row r="291" spans="2:20">
      <c r="B291">
        <f t="shared" si="51"/>
        <v>288</v>
      </c>
      <c r="C291">
        <f t="shared" si="45"/>
        <v>30</v>
      </c>
      <c r="D291">
        <v>275</v>
      </c>
      <c r="E291">
        <v>305</v>
      </c>
      <c r="F291">
        <f>TnSPLINE!F$13</f>
        <v>18.783870967741933</v>
      </c>
      <c r="G291">
        <f>TnSPLINE!F$14</f>
        <v>14.526666666666667</v>
      </c>
      <c r="H291" s="5">
        <f>TnSPLINE!K$13</f>
        <v>-8.0566094508765992E-3</v>
      </c>
      <c r="I291" s="5">
        <f>TnSPLINE!K$14</f>
        <v>1.9015294039131992E-3</v>
      </c>
      <c r="J291">
        <f t="shared" si="46"/>
        <v>0.56666666666666665</v>
      </c>
      <c r="K291">
        <f t="shared" si="47"/>
        <v>0.43333333333333335</v>
      </c>
      <c r="L291">
        <f t="shared" si="48"/>
        <v>242</v>
      </c>
      <c r="M291" s="6">
        <f t="shared" si="49"/>
        <v>16.939082437275985</v>
      </c>
      <c r="N291" s="13">
        <f t="shared" si="44"/>
        <v>17.303603373058586</v>
      </c>
      <c r="O291" s="6">
        <f t="shared" si="52"/>
        <v>2117.0345448028665</v>
      </c>
      <c r="P291" s="6">
        <f t="shared" si="53"/>
        <v>2124.502505740285</v>
      </c>
      <c r="Q291" s="6">
        <f t="shared" si="50"/>
        <v>17.303603373058586</v>
      </c>
      <c r="T291" s="6">
        <f t="shared" si="43"/>
        <v>17.303603373058586</v>
      </c>
    </row>
    <row r="292" spans="2:20">
      <c r="B292">
        <f t="shared" si="51"/>
        <v>289</v>
      </c>
      <c r="C292">
        <f t="shared" si="45"/>
        <v>30</v>
      </c>
      <c r="D292">
        <v>275</v>
      </c>
      <c r="E292">
        <v>305</v>
      </c>
      <c r="F292">
        <f>TnSPLINE!F$13</f>
        <v>18.783870967741933</v>
      </c>
      <c r="G292">
        <f>TnSPLINE!F$14</f>
        <v>14.526666666666667</v>
      </c>
      <c r="H292" s="5">
        <f>TnSPLINE!K$13</f>
        <v>-8.0566094508765992E-3</v>
      </c>
      <c r="I292" s="5">
        <f>TnSPLINE!K$14</f>
        <v>1.9015294039131992E-3</v>
      </c>
      <c r="J292">
        <f t="shared" si="46"/>
        <v>0.53333333333333333</v>
      </c>
      <c r="K292">
        <f t="shared" si="47"/>
        <v>0.46666666666666667</v>
      </c>
      <c r="L292">
        <f t="shared" si="48"/>
        <v>243</v>
      </c>
      <c r="M292" s="6">
        <f t="shared" si="49"/>
        <v>16.797175627240144</v>
      </c>
      <c r="N292" s="13">
        <f t="shared" si="44"/>
        <v>17.154252460444944</v>
      </c>
      <c r="O292" s="6">
        <f t="shared" si="52"/>
        <v>2133.8317204301065</v>
      </c>
      <c r="P292" s="6">
        <f t="shared" si="53"/>
        <v>2141.6567582007301</v>
      </c>
      <c r="Q292" s="6">
        <f t="shared" si="50"/>
        <v>17.154252460444944</v>
      </c>
      <c r="T292" s="6">
        <f t="shared" si="43"/>
        <v>17.154252460444944</v>
      </c>
    </row>
    <row r="293" spans="2:20">
      <c r="B293">
        <f t="shared" si="51"/>
        <v>290</v>
      </c>
      <c r="C293">
        <f t="shared" si="45"/>
        <v>30</v>
      </c>
      <c r="D293">
        <v>275</v>
      </c>
      <c r="E293">
        <v>305</v>
      </c>
      <c r="F293">
        <f>TnSPLINE!F$13</f>
        <v>18.783870967741933</v>
      </c>
      <c r="G293">
        <f>TnSPLINE!F$14</f>
        <v>14.526666666666667</v>
      </c>
      <c r="H293" s="5">
        <f>TnSPLINE!K$13</f>
        <v>-8.0566094508765992E-3</v>
      </c>
      <c r="I293" s="5">
        <f>TnSPLINE!K$14</f>
        <v>1.9015294039131992E-3</v>
      </c>
      <c r="J293">
        <f t="shared" si="46"/>
        <v>0.5</v>
      </c>
      <c r="K293">
        <f t="shared" si="47"/>
        <v>0.5</v>
      </c>
      <c r="L293">
        <f t="shared" si="48"/>
        <v>244</v>
      </c>
      <c r="M293" s="6">
        <f t="shared" si="49"/>
        <v>16.655268817204302</v>
      </c>
      <c r="N293" s="13">
        <f t="shared" si="44"/>
        <v>17.001492069845995</v>
      </c>
      <c r="O293" s="6">
        <f t="shared" si="52"/>
        <v>2150.4869892473107</v>
      </c>
      <c r="P293" s="6">
        <f t="shared" si="53"/>
        <v>2158.658250270576</v>
      </c>
      <c r="Q293" s="6">
        <f t="shared" si="50"/>
        <v>17.001492069845995</v>
      </c>
      <c r="T293" s="6">
        <f t="shared" si="43"/>
        <v>17.001492069845995</v>
      </c>
    </row>
    <row r="294" spans="2:20">
      <c r="B294">
        <f t="shared" si="51"/>
        <v>291</v>
      </c>
      <c r="C294">
        <f t="shared" si="45"/>
        <v>30</v>
      </c>
      <c r="D294">
        <v>275</v>
      </c>
      <c r="E294">
        <v>305</v>
      </c>
      <c r="F294">
        <f>TnSPLINE!F$13</f>
        <v>18.783870967741933</v>
      </c>
      <c r="G294">
        <f>TnSPLINE!F$14</f>
        <v>14.526666666666667</v>
      </c>
      <c r="H294" s="5">
        <f>TnSPLINE!K$13</f>
        <v>-8.0566094508765992E-3</v>
      </c>
      <c r="I294" s="5">
        <f>TnSPLINE!K$14</f>
        <v>1.9015294039131992E-3</v>
      </c>
      <c r="J294">
        <f t="shared" si="46"/>
        <v>0.46666666666666667</v>
      </c>
      <c r="K294">
        <f t="shared" si="47"/>
        <v>0.53333333333333333</v>
      </c>
      <c r="L294">
        <f t="shared" si="48"/>
        <v>245</v>
      </c>
      <c r="M294" s="6">
        <f t="shared" si="49"/>
        <v>16.51336200716846</v>
      </c>
      <c r="N294" s="13">
        <f t="shared" si="44"/>
        <v>16.845654139223562</v>
      </c>
      <c r="O294" s="6">
        <f t="shared" si="52"/>
        <v>2167.000351254479</v>
      </c>
      <c r="P294" s="6">
        <f t="shared" si="53"/>
        <v>2175.5039044097994</v>
      </c>
      <c r="Q294" s="6">
        <f t="shared" si="50"/>
        <v>16.845654139223562</v>
      </c>
      <c r="T294" s="6">
        <f t="shared" si="43"/>
        <v>16.845654139223562</v>
      </c>
    </row>
    <row r="295" spans="2:20">
      <c r="B295">
        <f t="shared" si="51"/>
        <v>292</v>
      </c>
      <c r="C295">
        <f t="shared" si="45"/>
        <v>30</v>
      </c>
      <c r="D295">
        <v>275</v>
      </c>
      <c r="E295">
        <v>305</v>
      </c>
      <c r="F295">
        <f>TnSPLINE!F$13</f>
        <v>18.783870967741933</v>
      </c>
      <c r="G295">
        <f>TnSPLINE!F$14</f>
        <v>14.526666666666667</v>
      </c>
      <c r="H295" s="5">
        <f>TnSPLINE!K$13</f>
        <v>-8.0566094508765992E-3</v>
      </c>
      <c r="I295" s="5">
        <f>TnSPLINE!K$14</f>
        <v>1.9015294039131992E-3</v>
      </c>
      <c r="J295">
        <f t="shared" si="46"/>
        <v>0.43333333333333335</v>
      </c>
      <c r="K295">
        <f t="shared" si="47"/>
        <v>0.56666666666666665</v>
      </c>
      <c r="L295">
        <f t="shared" si="48"/>
        <v>246</v>
      </c>
      <c r="M295" s="6">
        <f t="shared" si="49"/>
        <v>16.371455197132615</v>
      </c>
      <c r="N295" s="13">
        <f t="shared" si="44"/>
        <v>16.687070606539471</v>
      </c>
      <c r="O295" s="6">
        <f t="shared" si="52"/>
        <v>2183.3718064516115</v>
      </c>
      <c r="P295" s="6">
        <f t="shared" si="53"/>
        <v>2192.1909750163391</v>
      </c>
      <c r="Q295" s="6">
        <f t="shared" si="50"/>
        <v>16.687070606539471</v>
      </c>
      <c r="T295" s="6">
        <f t="shared" si="43"/>
        <v>16.687070606539471</v>
      </c>
    </row>
    <row r="296" spans="2:20">
      <c r="B296">
        <f t="shared" si="51"/>
        <v>293</v>
      </c>
      <c r="C296">
        <f t="shared" si="45"/>
        <v>30</v>
      </c>
      <c r="D296">
        <v>275</v>
      </c>
      <c r="E296">
        <v>305</v>
      </c>
      <c r="F296">
        <f>TnSPLINE!F$13</f>
        <v>18.783870967741933</v>
      </c>
      <c r="G296">
        <f>TnSPLINE!F$14</f>
        <v>14.526666666666667</v>
      </c>
      <c r="H296" s="5">
        <f>TnSPLINE!K$13</f>
        <v>-8.0566094508765992E-3</v>
      </c>
      <c r="I296" s="5">
        <f>TnSPLINE!K$14</f>
        <v>1.9015294039131992E-3</v>
      </c>
      <c r="J296">
        <f t="shared" si="46"/>
        <v>0.4</v>
      </c>
      <c r="K296">
        <f t="shared" si="47"/>
        <v>0.6</v>
      </c>
      <c r="L296">
        <f t="shared" si="48"/>
        <v>247</v>
      </c>
      <c r="M296" s="6">
        <f t="shared" si="49"/>
        <v>16.229548387096774</v>
      </c>
      <c r="N296" s="13">
        <f t="shared" si="44"/>
        <v>16.526073409755554</v>
      </c>
      <c r="O296" s="6">
        <f t="shared" si="52"/>
        <v>2199.6013548387082</v>
      </c>
      <c r="P296" s="6">
        <f t="shared" si="53"/>
        <v>2208.7170484260946</v>
      </c>
      <c r="Q296" s="6">
        <f t="shared" si="50"/>
        <v>16.526073409755554</v>
      </c>
      <c r="T296" s="6">
        <f t="shared" si="43"/>
        <v>16.526073409755554</v>
      </c>
    </row>
    <row r="297" spans="2:20">
      <c r="B297">
        <f t="shared" si="51"/>
        <v>294</v>
      </c>
      <c r="C297">
        <f t="shared" si="45"/>
        <v>30</v>
      </c>
      <c r="D297">
        <v>275</v>
      </c>
      <c r="E297">
        <v>305</v>
      </c>
      <c r="F297">
        <f>TnSPLINE!F$13</f>
        <v>18.783870967741933</v>
      </c>
      <c r="G297">
        <f>TnSPLINE!F$14</f>
        <v>14.526666666666667</v>
      </c>
      <c r="H297" s="5">
        <f>TnSPLINE!K$13</f>
        <v>-8.0566094508765992E-3</v>
      </c>
      <c r="I297" s="5">
        <f>TnSPLINE!K$14</f>
        <v>1.9015294039131992E-3</v>
      </c>
      <c r="J297">
        <f t="shared" si="46"/>
        <v>0.36666666666666664</v>
      </c>
      <c r="K297">
        <f t="shared" si="47"/>
        <v>0.6333333333333333</v>
      </c>
      <c r="L297">
        <f t="shared" si="48"/>
        <v>248</v>
      </c>
      <c r="M297" s="6">
        <f t="shared" si="49"/>
        <v>16.087641577060932</v>
      </c>
      <c r="N297" s="13">
        <f t="shared" si="44"/>
        <v>16.362994486833635</v>
      </c>
      <c r="O297" s="6">
        <f t="shared" si="52"/>
        <v>2215.688996415769</v>
      </c>
      <c r="P297" s="6">
        <f t="shared" si="53"/>
        <v>2225.0800429129281</v>
      </c>
      <c r="Q297" s="6">
        <f t="shared" si="50"/>
        <v>16.362994486833635</v>
      </c>
      <c r="T297" s="6">
        <f t="shared" si="43"/>
        <v>16.362994486833635</v>
      </c>
    </row>
    <row r="298" spans="2:20">
      <c r="B298">
        <f t="shared" si="51"/>
        <v>295</v>
      </c>
      <c r="C298">
        <f t="shared" si="45"/>
        <v>30</v>
      </c>
      <c r="D298">
        <v>275</v>
      </c>
      <c r="E298">
        <v>305</v>
      </c>
      <c r="F298">
        <f>TnSPLINE!F$13</f>
        <v>18.783870967741933</v>
      </c>
      <c r="G298">
        <f>TnSPLINE!F$14</f>
        <v>14.526666666666667</v>
      </c>
      <c r="H298" s="5">
        <f>TnSPLINE!K$13</f>
        <v>-8.0566094508765992E-3</v>
      </c>
      <c r="I298" s="5">
        <f>TnSPLINE!K$14</f>
        <v>1.9015294039131992E-3</v>
      </c>
      <c r="J298">
        <f t="shared" si="46"/>
        <v>0.33333333333333331</v>
      </c>
      <c r="K298">
        <f t="shared" si="47"/>
        <v>0.66666666666666663</v>
      </c>
      <c r="L298">
        <f t="shared" si="48"/>
        <v>249</v>
      </c>
      <c r="M298" s="6">
        <f t="shared" si="49"/>
        <v>15.945734767025089</v>
      </c>
      <c r="N298" s="13">
        <f t="shared" si="44"/>
        <v>16.198165775735539</v>
      </c>
      <c r="O298" s="6">
        <f t="shared" si="52"/>
        <v>2231.634731182794</v>
      </c>
      <c r="P298" s="6">
        <f t="shared" si="53"/>
        <v>2241.2782086886637</v>
      </c>
      <c r="Q298" s="6">
        <f t="shared" si="50"/>
        <v>16.198165775735539</v>
      </c>
      <c r="T298" s="6">
        <f t="shared" si="43"/>
        <v>16.198165775735539</v>
      </c>
    </row>
    <row r="299" spans="2:20">
      <c r="B299">
        <f t="shared" si="51"/>
        <v>296</v>
      </c>
      <c r="C299">
        <f t="shared" si="45"/>
        <v>30</v>
      </c>
      <c r="D299">
        <v>275</v>
      </c>
      <c r="E299">
        <v>305</v>
      </c>
      <c r="F299">
        <f>TnSPLINE!F$13</f>
        <v>18.783870967741933</v>
      </c>
      <c r="G299">
        <f>TnSPLINE!F$14</f>
        <v>14.526666666666667</v>
      </c>
      <c r="H299" s="5">
        <f>TnSPLINE!K$13</f>
        <v>-8.0566094508765992E-3</v>
      </c>
      <c r="I299" s="5">
        <f>TnSPLINE!K$14</f>
        <v>1.9015294039131992E-3</v>
      </c>
      <c r="J299">
        <f t="shared" si="46"/>
        <v>0.3</v>
      </c>
      <c r="K299">
        <f t="shared" si="47"/>
        <v>0.7</v>
      </c>
      <c r="L299">
        <f t="shared" si="48"/>
        <v>250</v>
      </c>
      <c r="M299" s="6">
        <f t="shared" si="49"/>
        <v>15.803827956989245</v>
      </c>
      <c r="N299" s="13">
        <f t="shared" si="44"/>
        <v>16.031919214423091</v>
      </c>
      <c r="O299" s="6">
        <f t="shared" si="52"/>
        <v>2247.4385591397831</v>
      </c>
      <c r="P299" s="6">
        <f t="shared" si="53"/>
        <v>2257.3101279030866</v>
      </c>
      <c r="Q299" s="6">
        <f t="shared" si="50"/>
        <v>16.031919214423091</v>
      </c>
      <c r="T299" s="6">
        <f t="shared" si="43"/>
        <v>16.031919214423091</v>
      </c>
    </row>
    <row r="300" spans="2:20">
      <c r="B300">
        <f t="shared" si="51"/>
        <v>297</v>
      </c>
      <c r="C300">
        <f t="shared" si="45"/>
        <v>30</v>
      </c>
      <c r="D300">
        <v>275</v>
      </c>
      <c r="E300">
        <v>305</v>
      </c>
      <c r="F300">
        <f>TnSPLINE!F$13</f>
        <v>18.783870967741933</v>
      </c>
      <c r="G300">
        <f>TnSPLINE!F$14</f>
        <v>14.526666666666667</v>
      </c>
      <c r="H300" s="5">
        <f>TnSPLINE!K$13</f>
        <v>-8.0566094508765992E-3</v>
      </c>
      <c r="I300" s="5">
        <f>TnSPLINE!K$14</f>
        <v>1.9015294039131992E-3</v>
      </c>
      <c r="J300">
        <f t="shared" si="46"/>
        <v>0.26666666666666666</v>
      </c>
      <c r="K300">
        <f t="shared" si="47"/>
        <v>0.73333333333333328</v>
      </c>
      <c r="L300">
        <f t="shared" si="48"/>
        <v>251</v>
      </c>
      <c r="M300" s="6">
        <f t="shared" si="49"/>
        <v>15.661921146953404</v>
      </c>
      <c r="N300" s="13">
        <f t="shared" si="44"/>
        <v>15.864586740858121</v>
      </c>
      <c r="O300" s="6">
        <f t="shared" si="52"/>
        <v>2263.1004802867365</v>
      </c>
      <c r="P300" s="6">
        <f t="shared" si="53"/>
        <v>2273.1747146439448</v>
      </c>
      <c r="Q300" s="6">
        <f t="shared" si="50"/>
        <v>15.864586740858121</v>
      </c>
      <c r="T300" s="6">
        <f t="shared" si="43"/>
        <v>15.864586740858121</v>
      </c>
    </row>
    <row r="301" spans="2:20">
      <c r="B301">
        <f t="shared" si="51"/>
        <v>298</v>
      </c>
      <c r="C301">
        <f t="shared" si="45"/>
        <v>30</v>
      </c>
      <c r="D301">
        <v>275</v>
      </c>
      <c r="E301">
        <v>305</v>
      </c>
      <c r="F301">
        <f>TnSPLINE!F$13</f>
        <v>18.783870967741933</v>
      </c>
      <c r="G301">
        <f>TnSPLINE!F$14</f>
        <v>14.526666666666667</v>
      </c>
      <c r="H301" s="5">
        <f>TnSPLINE!K$13</f>
        <v>-8.0566094508765992E-3</v>
      </c>
      <c r="I301" s="5">
        <f>TnSPLINE!K$14</f>
        <v>1.9015294039131992E-3</v>
      </c>
      <c r="J301">
        <f t="shared" si="46"/>
        <v>0.23333333333333334</v>
      </c>
      <c r="K301">
        <f t="shared" si="47"/>
        <v>0.76666666666666672</v>
      </c>
      <c r="L301">
        <f t="shared" si="48"/>
        <v>252</v>
      </c>
      <c r="M301" s="6">
        <f t="shared" si="49"/>
        <v>15.520014336917564</v>
      </c>
      <c r="N301" s="13">
        <f t="shared" si="44"/>
        <v>15.696500293002456</v>
      </c>
      <c r="O301" s="6">
        <f t="shared" si="52"/>
        <v>2278.6204946236539</v>
      </c>
      <c r="P301" s="6">
        <f t="shared" si="53"/>
        <v>2288.8712149369471</v>
      </c>
      <c r="Q301" s="6">
        <f t="shared" si="50"/>
        <v>15.696500293002456</v>
      </c>
      <c r="T301" s="6">
        <f t="shared" si="43"/>
        <v>15.696500293002456</v>
      </c>
    </row>
    <row r="302" spans="2:20">
      <c r="B302">
        <f t="shared" si="51"/>
        <v>299</v>
      </c>
      <c r="C302">
        <f t="shared" si="45"/>
        <v>30</v>
      </c>
      <c r="D302">
        <v>275</v>
      </c>
      <c r="E302">
        <v>305</v>
      </c>
      <c r="F302">
        <f>TnSPLINE!F$13</f>
        <v>18.783870967741933</v>
      </c>
      <c r="G302">
        <f>TnSPLINE!F$14</f>
        <v>14.526666666666667</v>
      </c>
      <c r="H302" s="5">
        <f>TnSPLINE!K$13</f>
        <v>-8.0566094508765992E-3</v>
      </c>
      <c r="I302" s="5">
        <f>TnSPLINE!K$14</f>
        <v>1.9015294039131992E-3</v>
      </c>
      <c r="J302">
        <f t="shared" si="46"/>
        <v>0.2</v>
      </c>
      <c r="K302">
        <f t="shared" si="47"/>
        <v>0.8</v>
      </c>
      <c r="L302">
        <f t="shared" si="48"/>
        <v>253</v>
      </c>
      <c r="M302" s="6">
        <f t="shared" si="49"/>
        <v>15.37810752688172</v>
      </c>
      <c r="N302" s="13">
        <f t="shared" si="44"/>
        <v>15.527991808817916</v>
      </c>
      <c r="O302" s="6">
        <f t="shared" si="52"/>
        <v>2293.9986021505356</v>
      </c>
      <c r="P302" s="6">
        <f t="shared" si="53"/>
        <v>2304.3992067457652</v>
      </c>
      <c r="Q302" s="6">
        <f t="shared" si="50"/>
        <v>15.527991808817916</v>
      </c>
      <c r="T302" s="6">
        <f t="shared" si="43"/>
        <v>15.527991808817916</v>
      </c>
    </row>
    <row r="303" spans="2:20">
      <c r="B303">
        <f t="shared" si="51"/>
        <v>300</v>
      </c>
      <c r="C303">
        <f t="shared" si="45"/>
        <v>30</v>
      </c>
      <c r="D303">
        <v>275</v>
      </c>
      <c r="E303">
        <v>305</v>
      </c>
      <c r="F303">
        <f>TnSPLINE!F$13</f>
        <v>18.783870967741933</v>
      </c>
      <c r="G303">
        <f>TnSPLINE!F$14</f>
        <v>14.526666666666667</v>
      </c>
      <c r="H303" s="5">
        <f>TnSPLINE!K$13</f>
        <v>-8.0566094508765992E-3</v>
      </c>
      <c r="I303" s="5">
        <f>TnSPLINE!K$14</f>
        <v>1.9015294039131992E-3</v>
      </c>
      <c r="J303">
        <f t="shared" si="46"/>
        <v>0.16666666666666666</v>
      </c>
      <c r="K303">
        <f t="shared" si="47"/>
        <v>0.83333333333333337</v>
      </c>
      <c r="L303">
        <f t="shared" si="48"/>
        <v>254</v>
      </c>
      <c r="M303" s="6">
        <f t="shared" si="49"/>
        <v>15.236200716845879</v>
      </c>
      <c r="N303" s="13">
        <f t="shared" si="44"/>
        <v>15.359393226266334</v>
      </c>
      <c r="O303" s="6">
        <f t="shared" si="52"/>
        <v>2309.2348028673814</v>
      </c>
      <c r="P303" s="6">
        <f t="shared" si="53"/>
        <v>2319.7585999720318</v>
      </c>
      <c r="Q303" s="6">
        <f t="shared" si="50"/>
        <v>15.359393226266334</v>
      </c>
      <c r="T303" s="6">
        <f t="shared" si="43"/>
        <v>15.359393226266334</v>
      </c>
    </row>
    <row r="304" spans="2:20">
      <c r="B304">
        <f t="shared" si="51"/>
        <v>301</v>
      </c>
      <c r="C304">
        <f t="shared" si="45"/>
        <v>30</v>
      </c>
      <c r="D304">
        <v>275</v>
      </c>
      <c r="E304">
        <v>305</v>
      </c>
      <c r="F304">
        <f>TnSPLINE!F$13</f>
        <v>18.783870967741933</v>
      </c>
      <c r="G304">
        <f>TnSPLINE!F$14</f>
        <v>14.526666666666667</v>
      </c>
      <c r="H304" s="5">
        <f>TnSPLINE!K$13</f>
        <v>-8.0566094508765992E-3</v>
      </c>
      <c r="I304" s="5">
        <f>TnSPLINE!K$14</f>
        <v>1.9015294039131992E-3</v>
      </c>
      <c r="J304">
        <f t="shared" si="46"/>
        <v>0.13333333333333333</v>
      </c>
      <c r="K304">
        <f t="shared" si="47"/>
        <v>0.8666666666666667</v>
      </c>
      <c r="L304">
        <f t="shared" si="48"/>
        <v>255</v>
      </c>
      <c r="M304" s="6">
        <f t="shared" si="49"/>
        <v>15.094293906810035</v>
      </c>
      <c r="N304" s="13">
        <f t="shared" si="44"/>
        <v>15.191036483309531</v>
      </c>
      <c r="O304" s="6">
        <f t="shared" si="52"/>
        <v>2324.3290967741914</v>
      </c>
      <c r="P304" s="6">
        <f t="shared" si="53"/>
        <v>2334.9496364553415</v>
      </c>
      <c r="Q304" s="6">
        <f t="shared" si="50"/>
        <v>15.191036483309531</v>
      </c>
      <c r="T304" s="6">
        <f t="shared" si="43"/>
        <v>15.191036483309531</v>
      </c>
    </row>
    <row r="305" spans="1:20">
      <c r="B305">
        <f t="shared" si="51"/>
        <v>302</v>
      </c>
      <c r="C305">
        <f t="shared" si="45"/>
        <v>30</v>
      </c>
      <c r="D305">
        <v>275</v>
      </c>
      <c r="E305">
        <v>305</v>
      </c>
      <c r="F305">
        <f>TnSPLINE!F$13</f>
        <v>18.783870967741933</v>
      </c>
      <c r="G305">
        <f>TnSPLINE!F$14</f>
        <v>14.526666666666667</v>
      </c>
      <c r="H305" s="5">
        <f>TnSPLINE!K$13</f>
        <v>-8.0566094508765992E-3</v>
      </c>
      <c r="I305" s="5">
        <f>TnSPLINE!K$14</f>
        <v>1.9015294039131992E-3</v>
      </c>
      <c r="J305">
        <f t="shared" si="46"/>
        <v>0.1</v>
      </c>
      <c r="K305">
        <f t="shared" si="47"/>
        <v>0.9</v>
      </c>
      <c r="L305">
        <f t="shared" si="48"/>
        <v>256</v>
      </c>
      <c r="M305" s="6">
        <f t="shared" si="49"/>
        <v>14.952387096774196</v>
      </c>
      <c r="N305" s="13">
        <f t="shared" si="44"/>
        <v>15.023253517909339</v>
      </c>
      <c r="O305" s="6">
        <f t="shared" si="52"/>
        <v>2339.2814838709655</v>
      </c>
      <c r="P305" s="6">
        <f t="shared" si="53"/>
        <v>2349.9728899732509</v>
      </c>
      <c r="Q305" s="6">
        <f t="shared" si="50"/>
        <v>15.023253517909339</v>
      </c>
      <c r="T305" s="6">
        <f t="shared" si="43"/>
        <v>15.023253517909339</v>
      </c>
    </row>
    <row r="306" spans="1:20">
      <c r="B306">
        <f t="shared" si="51"/>
        <v>303</v>
      </c>
      <c r="C306">
        <f t="shared" si="45"/>
        <v>30</v>
      </c>
      <c r="D306">
        <v>275</v>
      </c>
      <c r="E306">
        <v>305</v>
      </c>
      <c r="F306">
        <f>TnSPLINE!F$13</f>
        <v>18.783870967741933</v>
      </c>
      <c r="G306">
        <f>TnSPLINE!F$14</f>
        <v>14.526666666666667</v>
      </c>
      <c r="H306" s="5">
        <f>TnSPLINE!K$13</f>
        <v>-8.0566094508765992E-3</v>
      </c>
      <c r="I306" s="5">
        <f>TnSPLINE!K$14</f>
        <v>1.9015294039131992E-3</v>
      </c>
      <c r="J306">
        <f t="shared" si="46"/>
        <v>6.6666666666666666E-2</v>
      </c>
      <c r="K306">
        <f t="shared" si="47"/>
        <v>0.93333333333333335</v>
      </c>
      <c r="L306">
        <f t="shared" si="48"/>
        <v>257</v>
      </c>
      <c r="M306" s="6">
        <f t="shared" si="49"/>
        <v>14.810480286738352</v>
      </c>
      <c r="N306" s="13">
        <f t="shared" si="44"/>
        <v>14.85637626802758</v>
      </c>
      <c r="O306" s="6">
        <f t="shared" si="52"/>
        <v>2354.0919641577038</v>
      </c>
      <c r="P306" s="6">
        <f t="shared" si="53"/>
        <v>2364.8292662412782</v>
      </c>
      <c r="Q306" s="6">
        <f t="shared" si="50"/>
        <v>14.85637626802758</v>
      </c>
      <c r="T306" s="6">
        <f t="shared" ref="T306:T369" si="54">N306</f>
        <v>14.85637626802758</v>
      </c>
    </row>
    <row r="307" spans="1:20">
      <c r="B307">
        <f t="shared" si="51"/>
        <v>304</v>
      </c>
      <c r="C307">
        <f t="shared" si="45"/>
        <v>30</v>
      </c>
      <c r="D307">
        <v>275</v>
      </c>
      <c r="E307">
        <v>305</v>
      </c>
      <c r="F307">
        <f>TnSPLINE!F$13</f>
        <v>18.783870967741933</v>
      </c>
      <c r="G307">
        <f>TnSPLINE!F$14</f>
        <v>14.526666666666667</v>
      </c>
      <c r="H307" s="5">
        <f>TnSPLINE!K$13</f>
        <v>-8.0566094508765992E-3</v>
      </c>
      <c r="I307" s="5">
        <f>TnSPLINE!K$14</f>
        <v>1.9015294039131992E-3</v>
      </c>
      <c r="J307">
        <f t="shared" si="46"/>
        <v>3.3333333333333333E-2</v>
      </c>
      <c r="K307">
        <f t="shared" si="47"/>
        <v>0.96666666666666667</v>
      </c>
      <c r="L307">
        <f t="shared" si="48"/>
        <v>258</v>
      </c>
      <c r="M307" s="6">
        <f t="shared" si="49"/>
        <v>14.668573476702509</v>
      </c>
      <c r="N307" s="13">
        <f t="shared" si="44"/>
        <v>14.690736671626079</v>
      </c>
      <c r="O307" s="6">
        <f t="shared" si="52"/>
        <v>2368.7605376344063</v>
      </c>
      <c r="P307" s="6">
        <f t="shared" si="53"/>
        <v>2379.5200029129041</v>
      </c>
      <c r="Q307" s="6">
        <f t="shared" si="50"/>
        <v>14.690736671626079</v>
      </c>
      <c r="T307" s="6">
        <f t="shared" si="54"/>
        <v>14.690736671626079</v>
      </c>
    </row>
    <row r="308" spans="1:20">
      <c r="A308">
        <v>305</v>
      </c>
      <c r="B308">
        <f t="shared" si="51"/>
        <v>305</v>
      </c>
      <c r="C308">
        <f t="shared" si="45"/>
        <v>30</v>
      </c>
      <c r="D308">
        <v>275</v>
      </c>
      <c r="E308">
        <v>305</v>
      </c>
      <c r="F308">
        <f>TnSPLINE!F$13</f>
        <v>18.783870967741933</v>
      </c>
      <c r="G308">
        <f>TnSPLINE!F$14</f>
        <v>14.526666666666667</v>
      </c>
      <c r="H308" s="5">
        <f>TnSPLINE!K$13</f>
        <v>-8.0566094508765992E-3</v>
      </c>
      <c r="I308" s="5">
        <f>TnSPLINE!K$14</f>
        <v>1.9015294039131992E-3</v>
      </c>
      <c r="J308">
        <f t="shared" si="46"/>
        <v>0</v>
      </c>
      <c r="K308">
        <f t="shared" si="47"/>
        <v>1</v>
      </c>
      <c r="L308">
        <f t="shared" si="48"/>
        <v>259</v>
      </c>
      <c r="M308" s="6">
        <f t="shared" si="49"/>
        <v>14.526666666666667</v>
      </c>
      <c r="N308" s="13">
        <f t="shared" si="44"/>
        <v>14.526666666666667</v>
      </c>
      <c r="O308" s="6">
        <f t="shared" si="52"/>
        <v>2383.287204301073</v>
      </c>
      <c r="P308" s="6">
        <f t="shared" si="53"/>
        <v>2394.0466695795708</v>
      </c>
      <c r="Q308" s="6">
        <f t="shared" si="50"/>
        <v>14.526666666666667</v>
      </c>
      <c r="T308" s="6">
        <f t="shared" si="54"/>
        <v>14.526666666666667</v>
      </c>
    </row>
    <row r="309" spans="1:20">
      <c r="B309">
        <f t="shared" si="51"/>
        <v>306</v>
      </c>
      <c r="C309">
        <f t="shared" si="45"/>
        <v>31</v>
      </c>
      <c r="D309">
        <v>305</v>
      </c>
      <c r="E309">
        <v>336</v>
      </c>
      <c r="F309">
        <f>TnSPLINE!F$14</f>
        <v>14.526666666666667</v>
      </c>
      <c r="G309">
        <f>TnSPLINE!F$15</f>
        <v>10.43225806451613</v>
      </c>
      <c r="H309" s="5">
        <f>TnSPLINE!K$14</f>
        <v>1.9015294039131992E-3</v>
      </c>
      <c r="I309" s="5">
        <f>TnSPLINE!K$15</f>
        <v>2.2156895291144028E-3</v>
      </c>
      <c r="J309">
        <f t="shared" si="46"/>
        <v>0.967741935483871</v>
      </c>
      <c r="K309">
        <f t="shared" si="47"/>
        <v>3.2258064516129031E-2</v>
      </c>
      <c r="L309">
        <f t="shared" si="48"/>
        <v>260</v>
      </c>
      <c r="M309" s="6">
        <f t="shared" si="49"/>
        <v>14.394588969823101</v>
      </c>
      <c r="N309" s="13">
        <f t="shared" si="44"/>
        <v>14.364444557150462</v>
      </c>
      <c r="O309" s="6">
        <f t="shared" si="52"/>
        <v>2397.6817932708959</v>
      </c>
      <c r="P309" s="6">
        <f t="shared" si="53"/>
        <v>2408.4111141367212</v>
      </c>
      <c r="Q309" s="6">
        <f t="shared" si="50"/>
        <v>14.364444557150462</v>
      </c>
      <c r="T309" s="6">
        <f t="shared" si="54"/>
        <v>14.364444557150462</v>
      </c>
    </row>
    <row r="310" spans="1:20">
      <c r="B310">
        <f t="shared" si="51"/>
        <v>307</v>
      </c>
      <c r="C310">
        <f t="shared" si="45"/>
        <v>31</v>
      </c>
      <c r="D310">
        <v>305</v>
      </c>
      <c r="E310">
        <v>336</v>
      </c>
      <c r="F310">
        <f>TnSPLINE!F$14</f>
        <v>14.526666666666667</v>
      </c>
      <c r="G310">
        <f>TnSPLINE!F$15</f>
        <v>10.43225806451613</v>
      </c>
      <c r="H310" s="5">
        <f>TnSPLINE!K$14</f>
        <v>1.9015294039131992E-3</v>
      </c>
      <c r="I310" s="5">
        <f>TnSPLINE!K$15</f>
        <v>2.2156895291144028E-3</v>
      </c>
      <c r="J310">
        <f t="shared" si="46"/>
        <v>0.93548387096774188</v>
      </c>
      <c r="K310">
        <f t="shared" si="47"/>
        <v>6.4516129032258063E-2</v>
      </c>
      <c r="L310">
        <f t="shared" si="48"/>
        <v>261</v>
      </c>
      <c r="M310" s="6">
        <f t="shared" si="49"/>
        <v>14.262511272979536</v>
      </c>
      <c r="N310" s="13">
        <f t="shared" si="44"/>
        <v>14.204134111235756</v>
      </c>
      <c r="O310" s="6">
        <f t="shared" si="52"/>
        <v>2411.9443045438757</v>
      </c>
      <c r="P310" s="6">
        <f t="shared" si="53"/>
        <v>2422.615248247957</v>
      </c>
      <c r="Q310" s="6">
        <f t="shared" si="50"/>
        <v>14.204134111235756</v>
      </c>
      <c r="T310" s="6">
        <f t="shared" si="54"/>
        <v>14.204134111235756</v>
      </c>
    </row>
    <row r="311" spans="1:20">
      <c r="B311">
        <f t="shared" si="51"/>
        <v>308</v>
      </c>
      <c r="C311">
        <f t="shared" si="45"/>
        <v>31</v>
      </c>
      <c r="D311">
        <v>305</v>
      </c>
      <c r="E311">
        <v>336</v>
      </c>
      <c r="F311">
        <f>TnSPLINE!F$14</f>
        <v>14.526666666666667</v>
      </c>
      <c r="G311">
        <f>TnSPLINE!F$15</f>
        <v>10.43225806451613</v>
      </c>
      <c r="H311" s="5">
        <f>TnSPLINE!K$14</f>
        <v>1.9015294039131992E-3</v>
      </c>
      <c r="I311" s="5">
        <f>TnSPLINE!K$15</f>
        <v>2.2156895291144028E-3</v>
      </c>
      <c r="J311">
        <f t="shared" si="46"/>
        <v>0.90322580645161288</v>
      </c>
      <c r="K311">
        <f t="shared" si="47"/>
        <v>9.6774193548387094E-2</v>
      </c>
      <c r="L311">
        <f t="shared" si="48"/>
        <v>262</v>
      </c>
      <c r="M311" s="6">
        <f t="shared" si="49"/>
        <v>14.130433576135969</v>
      </c>
      <c r="N311" s="13">
        <f t="shared" ref="N311:N374" si="55">Q311</f>
        <v>14.045745463120138</v>
      </c>
      <c r="O311" s="6">
        <f t="shared" si="52"/>
        <v>2426.0747381200117</v>
      </c>
      <c r="P311" s="6">
        <f t="shared" si="53"/>
        <v>2436.660993711077</v>
      </c>
      <c r="Q311" s="6">
        <f t="shared" si="50"/>
        <v>14.045745463120138</v>
      </c>
      <c r="T311" s="6">
        <f t="shared" si="54"/>
        <v>14.045745463120138</v>
      </c>
    </row>
    <row r="312" spans="1:20">
      <c r="B312">
        <f t="shared" si="51"/>
        <v>309</v>
      </c>
      <c r="C312">
        <f t="shared" si="45"/>
        <v>31</v>
      </c>
      <c r="D312">
        <v>305</v>
      </c>
      <c r="E312">
        <v>336</v>
      </c>
      <c r="F312">
        <f>TnSPLINE!F$14</f>
        <v>14.526666666666667</v>
      </c>
      <c r="G312">
        <f>TnSPLINE!F$15</f>
        <v>10.43225806451613</v>
      </c>
      <c r="H312" s="5">
        <f>TnSPLINE!K$14</f>
        <v>1.9015294039131992E-3</v>
      </c>
      <c r="I312" s="5">
        <f>TnSPLINE!K$15</f>
        <v>2.2156895291144028E-3</v>
      </c>
      <c r="J312">
        <f t="shared" si="46"/>
        <v>0.87096774193548387</v>
      </c>
      <c r="K312">
        <f t="shared" si="47"/>
        <v>0.12903225806451613</v>
      </c>
      <c r="L312">
        <f t="shared" si="48"/>
        <v>263</v>
      </c>
      <c r="M312" s="6">
        <f t="shared" si="49"/>
        <v>13.998355879292404</v>
      </c>
      <c r="N312" s="13">
        <f t="shared" si="55"/>
        <v>13.889288747001196</v>
      </c>
      <c r="O312" s="6">
        <f t="shared" si="52"/>
        <v>2440.0730939993041</v>
      </c>
      <c r="P312" s="6">
        <f t="shared" si="53"/>
        <v>2450.5502824580781</v>
      </c>
      <c r="Q312" s="6">
        <f t="shared" si="50"/>
        <v>13.889288747001196</v>
      </c>
      <c r="T312" s="6">
        <f t="shared" si="54"/>
        <v>13.889288747001196</v>
      </c>
    </row>
    <row r="313" spans="1:20">
      <c r="B313">
        <f t="shared" si="51"/>
        <v>310</v>
      </c>
      <c r="C313">
        <f t="shared" si="45"/>
        <v>31</v>
      </c>
      <c r="D313">
        <v>305</v>
      </c>
      <c r="E313">
        <v>336</v>
      </c>
      <c r="F313">
        <f>TnSPLINE!F$14</f>
        <v>14.526666666666667</v>
      </c>
      <c r="G313">
        <f>TnSPLINE!F$15</f>
        <v>10.43225806451613</v>
      </c>
      <c r="H313" s="5">
        <f>TnSPLINE!K$14</f>
        <v>1.9015294039131992E-3</v>
      </c>
      <c r="I313" s="5">
        <f>TnSPLINE!K$15</f>
        <v>2.2156895291144028E-3</v>
      </c>
      <c r="J313">
        <f t="shared" si="46"/>
        <v>0.83870967741935487</v>
      </c>
      <c r="K313">
        <f t="shared" si="47"/>
        <v>0.16129032258064516</v>
      </c>
      <c r="L313">
        <f t="shared" si="48"/>
        <v>264</v>
      </c>
      <c r="M313" s="6">
        <f t="shared" si="49"/>
        <v>13.866278182448839</v>
      </c>
      <c r="N313" s="13">
        <f t="shared" si="55"/>
        <v>13.734774097076516</v>
      </c>
      <c r="O313" s="6">
        <f t="shared" si="52"/>
        <v>2453.9393721817528</v>
      </c>
      <c r="P313" s="6">
        <f t="shared" si="53"/>
        <v>2464.2850565551544</v>
      </c>
      <c r="Q313" s="6">
        <f t="shared" si="50"/>
        <v>13.734774097076516</v>
      </c>
      <c r="T313" s="6">
        <f t="shared" si="54"/>
        <v>13.734774097076516</v>
      </c>
    </row>
    <row r="314" spans="1:20">
      <c r="B314">
        <f t="shared" si="51"/>
        <v>311</v>
      </c>
      <c r="C314">
        <f t="shared" si="45"/>
        <v>31</v>
      </c>
      <c r="D314">
        <v>305</v>
      </c>
      <c r="E314">
        <v>336</v>
      </c>
      <c r="F314">
        <f>TnSPLINE!F$14</f>
        <v>14.526666666666667</v>
      </c>
      <c r="G314">
        <f>TnSPLINE!F$15</f>
        <v>10.43225806451613</v>
      </c>
      <c r="H314" s="5">
        <f>TnSPLINE!K$14</f>
        <v>1.9015294039131992E-3</v>
      </c>
      <c r="I314" s="5">
        <f>TnSPLINE!K$15</f>
        <v>2.2156895291144028E-3</v>
      </c>
      <c r="J314">
        <f t="shared" si="46"/>
        <v>0.80645161290322576</v>
      </c>
      <c r="K314">
        <f t="shared" si="47"/>
        <v>0.19354838709677419</v>
      </c>
      <c r="L314">
        <f t="shared" si="48"/>
        <v>265</v>
      </c>
      <c r="M314" s="6">
        <f t="shared" si="49"/>
        <v>13.734200485605273</v>
      </c>
      <c r="N314" s="13">
        <f t="shared" si="55"/>
        <v>13.582211647543682</v>
      </c>
      <c r="O314" s="6">
        <f t="shared" si="52"/>
        <v>2467.6735726673583</v>
      </c>
      <c r="P314" s="6">
        <f t="shared" si="53"/>
        <v>2477.8672682026981</v>
      </c>
      <c r="Q314" s="6">
        <f t="shared" si="50"/>
        <v>13.582211647543682</v>
      </c>
      <c r="T314" s="6">
        <f t="shared" si="54"/>
        <v>13.582211647543682</v>
      </c>
    </row>
    <row r="315" spans="1:20">
      <c r="B315">
        <f t="shared" si="51"/>
        <v>312</v>
      </c>
      <c r="C315">
        <f t="shared" si="45"/>
        <v>31</v>
      </c>
      <c r="D315">
        <v>305</v>
      </c>
      <c r="E315">
        <v>336</v>
      </c>
      <c r="F315">
        <f>TnSPLINE!F$14</f>
        <v>14.526666666666667</v>
      </c>
      <c r="G315">
        <f>TnSPLINE!F$15</f>
        <v>10.43225806451613</v>
      </c>
      <c r="H315" s="5">
        <f>TnSPLINE!K$14</f>
        <v>1.9015294039131992E-3</v>
      </c>
      <c r="I315" s="5">
        <f>TnSPLINE!K$15</f>
        <v>2.2156895291144028E-3</v>
      </c>
      <c r="J315">
        <f t="shared" si="46"/>
        <v>0.77419354838709675</v>
      </c>
      <c r="K315">
        <f t="shared" si="47"/>
        <v>0.22580645161290322</v>
      </c>
      <c r="L315">
        <f t="shared" si="48"/>
        <v>266</v>
      </c>
      <c r="M315" s="6">
        <f t="shared" si="49"/>
        <v>13.602122788761706</v>
      </c>
      <c r="N315" s="13">
        <f t="shared" si="55"/>
        <v>13.431611532600286</v>
      </c>
      <c r="O315" s="6">
        <f t="shared" si="52"/>
        <v>2481.27569545612</v>
      </c>
      <c r="P315" s="6">
        <f t="shared" si="53"/>
        <v>2491.2988797352982</v>
      </c>
      <c r="Q315" s="6">
        <f t="shared" si="50"/>
        <v>13.431611532600286</v>
      </c>
      <c r="T315" s="6">
        <f t="shared" si="54"/>
        <v>13.431611532600286</v>
      </c>
    </row>
    <row r="316" spans="1:20">
      <c r="B316">
        <f t="shared" si="51"/>
        <v>313</v>
      </c>
      <c r="C316">
        <f t="shared" si="45"/>
        <v>31</v>
      </c>
      <c r="D316">
        <v>305</v>
      </c>
      <c r="E316">
        <v>336</v>
      </c>
      <c r="F316">
        <f>TnSPLINE!F$14</f>
        <v>14.526666666666667</v>
      </c>
      <c r="G316">
        <f>TnSPLINE!F$15</f>
        <v>10.43225806451613</v>
      </c>
      <c r="H316" s="5">
        <f>TnSPLINE!K$14</f>
        <v>1.9015294039131992E-3</v>
      </c>
      <c r="I316" s="5">
        <f>TnSPLINE!K$15</f>
        <v>2.2156895291144028E-3</v>
      </c>
      <c r="J316">
        <f t="shared" si="46"/>
        <v>0.74193548387096775</v>
      </c>
      <c r="K316">
        <f t="shared" si="47"/>
        <v>0.25806451612903225</v>
      </c>
      <c r="L316">
        <f t="shared" si="48"/>
        <v>267</v>
      </c>
      <c r="M316" s="6">
        <f t="shared" si="49"/>
        <v>13.470045091918141</v>
      </c>
      <c r="N316" s="13">
        <f t="shared" si="55"/>
        <v>13.282983886443914</v>
      </c>
      <c r="O316" s="6">
        <f t="shared" si="52"/>
        <v>2494.7457405480382</v>
      </c>
      <c r="P316" s="6">
        <f t="shared" si="53"/>
        <v>2504.5818636217423</v>
      </c>
      <c r="Q316" s="6">
        <f t="shared" si="50"/>
        <v>13.282983886443914</v>
      </c>
      <c r="T316" s="6">
        <f t="shared" si="54"/>
        <v>13.282983886443914</v>
      </c>
    </row>
    <row r="317" spans="1:20">
      <c r="B317">
        <f t="shared" si="51"/>
        <v>314</v>
      </c>
      <c r="C317">
        <f t="shared" si="45"/>
        <v>31</v>
      </c>
      <c r="D317">
        <v>305</v>
      </c>
      <c r="E317">
        <v>336</v>
      </c>
      <c r="F317">
        <f>TnSPLINE!F$14</f>
        <v>14.526666666666667</v>
      </c>
      <c r="G317">
        <f>TnSPLINE!F$15</f>
        <v>10.43225806451613</v>
      </c>
      <c r="H317" s="5">
        <f>TnSPLINE!K$14</f>
        <v>1.9015294039131992E-3</v>
      </c>
      <c r="I317" s="5">
        <f>TnSPLINE!K$15</f>
        <v>2.2156895291144028E-3</v>
      </c>
      <c r="J317">
        <f t="shared" si="46"/>
        <v>0.70967741935483875</v>
      </c>
      <c r="K317">
        <f t="shared" si="47"/>
        <v>0.29032258064516131</v>
      </c>
      <c r="L317">
        <f t="shared" si="48"/>
        <v>268</v>
      </c>
      <c r="M317" s="6">
        <f t="shared" si="49"/>
        <v>13.337967395074577</v>
      </c>
      <c r="N317" s="13">
        <f t="shared" si="55"/>
        <v>13.136338843272151</v>
      </c>
      <c r="O317" s="6">
        <f t="shared" si="52"/>
        <v>2508.0837079431126</v>
      </c>
      <c r="P317" s="6">
        <f t="shared" si="53"/>
        <v>2517.7182024650147</v>
      </c>
      <c r="Q317" s="6">
        <f t="shared" si="50"/>
        <v>13.136338843272151</v>
      </c>
      <c r="T317" s="6">
        <f t="shared" si="54"/>
        <v>13.136338843272151</v>
      </c>
    </row>
    <row r="318" spans="1:20">
      <c r="B318">
        <f t="shared" si="51"/>
        <v>315</v>
      </c>
      <c r="C318">
        <f t="shared" si="45"/>
        <v>31</v>
      </c>
      <c r="D318">
        <v>305</v>
      </c>
      <c r="E318">
        <v>336</v>
      </c>
      <c r="F318">
        <f>TnSPLINE!F$14</f>
        <v>14.526666666666667</v>
      </c>
      <c r="G318">
        <f>TnSPLINE!F$15</f>
        <v>10.43225806451613</v>
      </c>
      <c r="H318" s="5">
        <f>TnSPLINE!K$14</f>
        <v>1.9015294039131992E-3</v>
      </c>
      <c r="I318" s="5">
        <f>TnSPLINE!K$15</f>
        <v>2.2156895291144028E-3</v>
      </c>
      <c r="J318">
        <f t="shared" si="46"/>
        <v>0.67741935483870963</v>
      </c>
      <c r="K318">
        <f t="shared" si="47"/>
        <v>0.32258064516129031</v>
      </c>
      <c r="L318">
        <f t="shared" si="48"/>
        <v>269</v>
      </c>
      <c r="M318" s="6">
        <f t="shared" si="49"/>
        <v>13.205889698231008</v>
      </c>
      <c r="N318" s="13">
        <f t="shared" si="55"/>
        <v>12.991686537282582</v>
      </c>
      <c r="O318" s="6">
        <f t="shared" si="52"/>
        <v>2521.2895976413438</v>
      </c>
      <c r="P318" s="6">
        <f t="shared" si="53"/>
        <v>2530.7098890022971</v>
      </c>
      <c r="Q318" s="6">
        <f t="shared" si="50"/>
        <v>12.991686537282582</v>
      </c>
      <c r="T318" s="6">
        <f t="shared" si="54"/>
        <v>12.991686537282582</v>
      </c>
    </row>
    <row r="319" spans="1:20">
      <c r="B319">
        <f t="shared" si="51"/>
        <v>316</v>
      </c>
      <c r="C319">
        <f t="shared" si="45"/>
        <v>31</v>
      </c>
      <c r="D319">
        <v>305</v>
      </c>
      <c r="E319">
        <v>336</v>
      </c>
      <c r="F319">
        <f>TnSPLINE!F$14</f>
        <v>14.526666666666667</v>
      </c>
      <c r="G319">
        <f>TnSPLINE!F$15</f>
        <v>10.43225806451613</v>
      </c>
      <c r="H319" s="5">
        <f>TnSPLINE!K$14</f>
        <v>1.9015294039131992E-3</v>
      </c>
      <c r="I319" s="5">
        <f>TnSPLINE!K$15</f>
        <v>2.2156895291144028E-3</v>
      </c>
      <c r="J319">
        <f t="shared" si="46"/>
        <v>0.64516129032258063</v>
      </c>
      <c r="K319">
        <f t="shared" si="47"/>
        <v>0.35483870967741937</v>
      </c>
      <c r="L319">
        <f t="shared" si="48"/>
        <v>270</v>
      </c>
      <c r="M319" s="6">
        <f t="shared" si="49"/>
        <v>13.073812001387445</v>
      </c>
      <c r="N319" s="13">
        <f t="shared" si="55"/>
        <v>12.849037102672805</v>
      </c>
      <c r="O319" s="6">
        <f t="shared" si="52"/>
        <v>2534.3634096427313</v>
      </c>
      <c r="P319" s="6">
        <f t="shared" si="53"/>
        <v>2543.5589261049699</v>
      </c>
      <c r="Q319" s="6">
        <f t="shared" si="50"/>
        <v>12.849037102672805</v>
      </c>
      <c r="T319" s="6">
        <f t="shared" si="54"/>
        <v>12.849037102672805</v>
      </c>
    </row>
    <row r="320" spans="1:20">
      <c r="B320">
        <f t="shared" si="51"/>
        <v>317</v>
      </c>
      <c r="C320">
        <f t="shared" si="45"/>
        <v>31</v>
      </c>
      <c r="D320">
        <v>305</v>
      </c>
      <c r="E320">
        <v>336</v>
      </c>
      <c r="F320">
        <f>TnSPLINE!F$14</f>
        <v>14.526666666666667</v>
      </c>
      <c r="G320">
        <f>TnSPLINE!F$15</f>
        <v>10.43225806451613</v>
      </c>
      <c r="H320" s="5">
        <f>TnSPLINE!K$14</f>
        <v>1.9015294039131992E-3</v>
      </c>
      <c r="I320" s="5">
        <f>TnSPLINE!K$15</f>
        <v>2.2156895291144028E-3</v>
      </c>
      <c r="J320">
        <f t="shared" si="46"/>
        <v>0.61290322580645162</v>
      </c>
      <c r="K320">
        <f t="shared" si="47"/>
        <v>0.38709677419354838</v>
      </c>
      <c r="L320">
        <f t="shared" si="48"/>
        <v>271</v>
      </c>
      <c r="M320" s="6">
        <f t="shared" si="49"/>
        <v>12.941734304543878</v>
      </c>
      <c r="N320" s="13">
        <f t="shared" si="55"/>
        <v>12.708400673640394</v>
      </c>
      <c r="O320" s="6">
        <f t="shared" si="52"/>
        <v>2547.3051439472752</v>
      </c>
      <c r="P320" s="6">
        <f t="shared" si="53"/>
        <v>2556.2673267786104</v>
      </c>
      <c r="Q320" s="6">
        <f t="shared" si="50"/>
        <v>12.708400673640394</v>
      </c>
      <c r="T320" s="6">
        <f t="shared" si="54"/>
        <v>12.708400673640394</v>
      </c>
    </row>
    <row r="321" spans="2:20">
      <c r="B321">
        <f t="shared" si="51"/>
        <v>318</v>
      </c>
      <c r="C321">
        <f t="shared" si="45"/>
        <v>31</v>
      </c>
      <c r="D321">
        <v>305</v>
      </c>
      <c r="E321">
        <v>336</v>
      </c>
      <c r="F321">
        <f>TnSPLINE!F$14</f>
        <v>14.526666666666667</v>
      </c>
      <c r="G321">
        <f>TnSPLINE!F$15</f>
        <v>10.43225806451613</v>
      </c>
      <c r="H321" s="5">
        <f>TnSPLINE!K$14</f>
        <v>1.9015294039131992E-3</v>
      </c>
      <c r="I321" s="5">
        <f>TnSPLINE!K$15</f>
        <v>2.2156895291144028E-3</v>
      </c>
      <c r="J321">
        <f t="shared" si="46"/>
        <v>0.58064516129032262</v>
      </c>
      <c r="K321">
        <f t="shared" si="47"/>
        <v>0.41935483870967744</v>
      </c>
      <c r="L321">
        <f t="shared" si="48"/>
        <v>272</v>
      </c>
      <c r="M321" s="6">
        <f t="shared" si="49"/>
        <v>12.809656607700314</v>
      </c>
      <c r="N321" s="13">
        <f t="shared" si="55"/>
        <v>12.569787384382945</v>
      </c>
      <c r="O321" s="6">
        <f t="shared" si="52"/>
        <v>2560.1148005549753</v>
      </c>
      <c r="P321" s="6">
        <f t="shared" si="53"/>
        <v>2568.8371141629932</v>
      </c>
      <c r="Q321" s="6">
        <f t="shared" si="50"/>
        <v>12.569787384382945</v>
      </c>
      <c r="T321" s="6">
        <f t="shared" si="54"/>
        <v>12.569787384382945</v>
      </c>
    </row>
    <row r="322" spans="2:20">
      <c r="B322">
        <f t="shared" si="51"/>
        <v>319</v>
      </c>
      <c r="C322">
        <f t="shared" si="45"/>
        <v>31</v>
      </c>
      <c r="D322">
        <v>305</v>
      </c>
      <c r="E322">
        <v>336</v>
      </c>
      <c r="F322">
        <f>TnSPLINE!F$14</f>
        <v>14.526666666666667</v>
      </c>
      <c r="G322">
        <f>TnSPLINE!F$15</f>
        <v>10.43225806451613</v>
      </c>
      <c r="H322" s="5">
        <f>TnSPLINE!K$14</f>
        <v>1.9015294039131992E-3</v>
      </c>
      <c r="I322" s="5">
        <f>TnSPLINE!K$15</f>
        <v>2.2156895291144028E-3</v>
      </c>
      <c r="J322">
        <f t="shared" si="46"/>
        <v>0.54838709677419351</v>
      </c>
      <c r="K322">
        <f t="shared" si="47"/>
        <v>0.45161290322580644</v>
      </c>
      <c r="L322">
        <f t="shared" si="48"/>
        <v>273</v>
      </c>
      <c r="M322" s="6">
        <f t="shared" si="49"/>
        <v>12.677578910856745</v>
      </c>
      <c r="N322" s="13">
        <f t="shared" si="55"/>
        <v>12.433207369098037</v>
      </c>
      <c r="O322" s="6">
        <f t="shared" si="52"/>
        <v>2572.7923794658323</v>
      </c>
      <c r="P322" s="6">
        <f t="shared" si="53"/>
        <v>2581.2703215320912</v>
      </c>
      <c r="Q322" s="6">
        <f t="shared" si="50"/>
        <v>12.433207369098037</v>
      </c>
      <c r="T322" s="6">
        <f t="shared" si="54"/>
        <v>12.433207369098037</v>
      </c>
    </row>
    <row r="323" spans="2:20">
      <c r="B323">
        <f t="shared" si="51"/>
        <v>320</v>
      </c>
      <c r="C323">
        <f t="shared" si="45"/>
        <v>31</v>
      </c>
      <c r="D323">
        <v>305</v>
      </c>
      <c r="E323">
        <v>336</v>
      </c>
      <c r="F323">
        <f>TnSPLINE!F$14</f>
        <v>14.526666666666667</v>
      </c>
      <c r="G323">
        <f>TnSPLINE!F$15</f>
        <v>10.43225806451613</v>
      </c>
      <c r="H323" s="5">
        <f>TnSPLINE!K$14</f>
        <v>1.9015294039131992E-3</v>
      </c>
      <c r="I323" s="5">
        <f>TnSPLINE!K$15</f>
        <v>2.2156895291144028E-3</v>
      </c>
      <c r="J323">
        <f t="shared" si="46"/>
        <v>0.5161290322580645</v>
      </c>
      <c r="K323">
        <f t="shared" si="47"/>
        <v>0.4838709677419355</v>
      </c>
      <c r="L323">
        <f t="shared" si="48"/>
        <v>274</v>
      </c>
      <c r="M323" s="6">
        <f t="shared" si="49"/>
        <v>12.545501214013182</v>
      </c>
      <c r="N323" s="13">
        <f t="shared" si="55"/>
        <v>12.298670761983269</v>
      </c>
      <c r="O323" s="6">
        <f t="shared" si="52"/>
        <v>2585.3378806798455</v>
      </c>
      <c r="P323" s="6">
        <f t="shared" si="53"/>
        <v>2593.5689922940746</v>
      </c>
      <c r="Q323" s="6">
        <f t="shared" si="50"/>
        <v>12.298670761983269</v>
      </c>
      <c r="T323" s="6">
        <f t="shared" si="54"/>
        <v>12.298670761983269</v>
      </c>
    </row>
    <row r="324" spans="2:20">
      <c r="B324">
        <f t="shared" si="51"/>
        <v>321</v>
      </c>
      <c r="C324">
        <f t="shared" ref="C324:C387" si="56">E324-D324</f>
        <v>31</v>
      </c>
      <c r="D324">
        <v>305</v>
      </c>
      <c r="E324">
        <v>336</v>
      </c>
      <c r="F324">
        <f>TnSPLINE!F$14</f>
        <v>14.526666666666667</v>
      </c>
      <c r="G324">
        <f>TnSPLINE!F$15</f>
        <v>10.43225806451613</v>
      </c>
      <c r="H324" s="5">
        <f>TnSPLINE!K$14</f>
        <v>1.9015294039131992E-3</v>
      </c>
      <c r="I324" s="5">
        <f>TnSPLINE!K$15</f>
        <v>2.2156895291144028E-3</v>
      </c>
      <c r="J324">
        <f t="shared" ref="J324:J387" si="57">(E324-B324)/C324</f>
        <v>0.4838709677419355</v>
      </c>
      <c r="K324">
        <f t="shared" ref="K324:K387" si="58">(B324-D324)/C324</f>
        <v>0.5161290322580645</v>
      </c>
      <c r="L324">
        <f t="shared" ref="L324:L387" si="59">B324-46</f>
        <v>275</v>
      </c>
      <c r="M324" s="6">
        <f t="shared" ref="M324:M387" si="60">J324*F324+K324*G324</f>
        <v>12.413423517169615</v>
      </c>
      <c r="N324" s="13">
        <f t="shared" si="55"/>
        <v>12.166187697236216</v>
      </c>
      <c r="O324" s="6">
        <f t="shared" si="52"/>
        <v>2597.7513041970151</v>
      </c>
      <c r="P324" s="6">
        <f t="shared" si="53"/>
        <v>2605.7351799913108</v>
      </c>
      <c r="Q324" s="6">
        <f t="shared" ref="Q324:Q387" si="61">M324+(((J324^3-J324)*H324+(K324^3-K324)*I324))*(C324^2)/6</f>
        <v>12.166187697236216</v>
      </c>
      <c r="T324" s="6">
        <f t="shared" si="54"/>
        <v>12.166187697236216</v>
      </c>
    </row>
    <row r="325" spans="2:20">
      <c r="B325">
        <f t="shared" ref="B325:B388" si="62">B324+1</f>
        <v>322</v>
      </c>
      <c r="C325">
        <f t="shared" si="56"/>
        <v>31</v>
      </c>
      <c r="D325">
        <v>305</v>
      </c>
      <c r="E325">
        <v>336</v>
      </c>
      <c r="F325">
        <f>TnSPLINE!F$14</f>
        <v>14.526666666666667</v>
      </c>
      <c r="G325">
        <f>TnSPLINE!F$15</f>
        <v>10.43225806451613</v>
      </c>
      <c r="H325" s="5">
        <f>TnSPLINE!K$14</f>
        <v>1.9015294039131992E-3</v>
      </c>
      <c r="I325" s="5">
        <f>TnSPLINE!K$15</f>
        <v>2.2156895291144028E-3</v>
      </c>
      <c r="J325">
        <f t="shared" si="57"/>
        <v>0.45161290322580644</v>
      </c>
      <c r="K325">
        <f t="shared" si="58"/>
        <v>0.54838709677419351</v>
      </c>
      <c r="L325">
        <f t="shared" si="59"/>
        <v>276</v>
      </c>
      <c r="M325" s="6">
        <f t="shared" si="60"/>
        <v>12.281345820326049</v>
      </c>
      <c r="N325" s="13">
        <f t="shared" si="55"/>
        <v>12.035768309054472</v>
      </c>
      <c r="O325" s="6">
        <f t="shared" ref="O325:O388" si="63">O324+M325</f>
        <v>2610.032650017341</v>
      </c>
      <c r="P325" s="6">
        <f t="shared" ref="P325:P388" si="64">P324+N325</f>
        <v>2617.7709483003655</v>
      </c>
      <c r="Q325" s="6">
        <f t="shared" si="61"/>
        <v>12.035768309054472</v>
      </c>
      <c r="T325" s="6">
        <f t="shared" si="54"/>
        <v>12.035768309054472</v>
      </c>
    </row>
    <row r="326" spans="2:20">
      <c r="B326">
        <f t="shared" si="62"/>
        <v>323</v>
      </c>
      <c r="C326">
        <f t="shared" si="56"/>
        <v>31</v>
      </c>
      <c r="D326">
        <v>305</v>
      </c>
      <c r="E326">
        <v>336</v>
      </c>
      <c r="F326">
        <f>TnSPLINE!F$14</f>
        <v>14.526666666666667</v>
      </c>
      <c r="G326">
        <f>TnSPLINE!F$15</f>
        <v>10.43225806451613</v>
      </c>
      <c r="H326" s="5">
        <f>TnSPLINE!K$14</f>
        <v>1.9015294039131992E-3</v>
      </c>
      <c r="I326" s="5">
        <f>TnSPLINE!K$15</f>
        <v>2.2156895291144028E-3</v>
      </c>
      <c r="J326">
        <f t="shared" si="57"/>
        <v>0.41935483870967744</v>
      </c>
      <c r="K326">
        <f t="shared" si="58"/>
        <v>0.58064516129032262</v>
      </c>
      <c r="L326">
        <f t="shared" si="59"/>
        <v>277</v>
      </c>
      <c r="M326" s="6">
        <f t="shared" si="60"/>
        <v>12.149268123482486</v>
      </c>
      <c r="N326" s="13">
        <f t="shared" si="55"/>
        <v>11.907422731635625</v>
      </c>
      <c r="O326" s="6">
        <f t="shared" si="63"/>
        <v>2622.1819181408237</v>
      </c>
      <c r="P326" s="6">
        <f t="shared" si="64"/>
        <v>2629.678371032001</v>
      </c>
      <c r="Q326" s="6">
        <f t="shared" si="61"/>
        <v>11.907422731635625</v>
      </c>
      <c r="T326" s="6">
        <f t="shared" si="54"/>
        <v>11.907422731635625</v>
      </c>
    </row>
    <row r="327" spans="2:20">
      <c r="B327">
        <f t="shared" si="62"/>
        <v>324</v>
      </c>
      <c r="C327">
        <f t="shared" si="56"/>
        <v>31</v>
      </c>
      <c r="D327">
        <v>305</v>
      </c>
      <c r="E327">
        <v>336</v>
      </c>
      <c r="F327">
        <f>TnSPLINE!F$14</f>
        <v>14.526666666666667</v>
      </c>
      <c r="G327">
        <f>TnSPLINE!F$15</f>
        <v>10.43225806451613</v>
      </c>
      <c r="H327" s="5">
        <f>TnSPLINE!K$14</f>
        <v>1.9015294039131992E-3</v>
      </c>
      <c r="I327" s="5">
        <f>TnSPLINE!K$15</f>
        <v>2.2156895291144028E-3</v>
      </c>
      <c r="J327">
        <f t="shared" si="57"/>
        <v>0.38709677419354838</v>
      </c>
      <c r="K327">
        <f t="shared" si="58"/>
        <v>0.61290322580645162</v>
      </c>
      <c r="L327">
        <f t="shared" si="59"/>
        <v>278</v>
      </c>
      <c r="M327" s="6">
        <f t="shared" si="60"/>
        <v>12.017190426638919</v>
      </c>
      <c r="N327" s="13">
        <f t="shared" si="55"/>
        <v>11.781161099177258</v>
      </c>
      <c r="O327" s="6">
        <f t="shared" si="63"/>
        <v>2634.1991085674626</v>
      </c>
      <c r="P327" s="6">
        <f t="shared" si="64"/>
        <v>2641.4595321311781</v>
      </c>
      <c r="Q327" s="6">
        <f t="shared" si="61"/>
        <v>11.781161099177258</v>
      </c>
      <c r="T327" s="6">
        <f t="shared" si="54"/>
        <v>11.781161099177258</v>
      </c>
    </row>
    <row r="328" spans="2:20">
      <c r="B328">
        <f t="shared" si="62"/>
        <v>325</v>
      </c>
      <c r="C328">
        <f t="shared" si="56"/>
        <v>31</v>
      </c>
      <c r="D328">
        <v>305</v>
      </c>
      <c r="E328">
        <v>336</v>
      </c>
      <c r="F328">
        <f>TnSPLINE!F$14</f>
        <v>14.526666666666667</v>
      </c>
      <c r="G328">
        <f>TnSPLINE!F$15</f>
        <v>10.43225806451613</v>
      </c>
      <c r="H328" s="5">
        <f>TnSPLINE!K$14</f>
        <v>1.9015294039131992E-3</v>
      </c>
      <c r="I328" s="5">
        <f>TnSPLINE!K$15</f>
        <v>2.2156895291144028E-3</v>
      </c>
      <c r="J328">
        <f t="shared" si="57"/>
        <v>0.35483870967741937</v>
      </c>
      <c r="K328">
        <f t="shared" si="58"/>
        <v>0.64516129032258063</v>
      </c>
      <c r="L328">
        <f t="shared" si="59"/>
        <v>279</v>
      </c>
      <c r="M328" s="6">
        <f t="shared" si="60"/>
        <v>11.885112729795352</v>
      </c>
      <c r="N328" s="13">
        <f t="shared" si="55"/>
        <v>11.656993545876958</v>
      </c>
      <c r="O328" s="6">
        <f t="shared" si="63"/>
        <v>2646.084221297258</v>
      </c>
      <c r="P328" s="6">
        <f t="shared" si="64"/>
        <v>2653.1165256770551</v>
      </c>
      <c r="Q328" s="6">
        <f t="shared" si="61"/>
        <v>11.656993545876958</v>
      </c>
      <c r="T328" s="6">
        <f t="shared" si="54"/>
        <v>11.656993545876958</v>
      </c>
    </row>
    <row r="329" spans="2:20">
      <c r="B329">
        <f t="shared" si="62"/>
        <v>326</v>
      </c>
      <c r="C329">
        <f t="shared" si="56"/>
        <v>31</v>
      </c>
      <c r="D329">
        <v>305</v>
      </c>
      <c r="E329">
        <v>336</v>
      </c>
      <c r="F329">
        <f>TnSPLINE!F$14</f>
        <v>14.526666666666667</v>
      </c>
      <c r="G329">
        <f>TnSPLINE!F$15</f>
        <v>10.43225806451613</v>
      </c>
      <c r="H329" s="5">
        <f>TnSPLINE!K$14</f>
        <v>1.9015294039131992E-3</v>
      </c>
      <c r="I329" s="5">
        <f>TnSPLINE!K$15</f>
        <v>2.2156895291144028E-3</v>
      </c>
      <c r="J329">
        <f t="shared" si="57"/>
        <v>0.32258064516129031</v>
      </c>
      <c r="K329">
        <f t="shared" si="58"/>
        <v>0.67741935483870963</v>
      </c>
      <c r="L329">
        <f t="shared" si="59"/>
        <v>280</v>
      </c>
      <c r="M329" s="6">
        <f t="shared" si="60"/>
        <v>11.753035032951786</v>
      </c>
      <c r="N329" s="13">
        <f t="shared" si="55"/>
        <v>11.534930205932314</v>
      </c>
      <c r="O329" s="6">
        <f t="shared" si="63"/>
        <v>2657.8372563302096</v>
      </c>
      <c r="P329" s="6">
        <f t="shared" si="64"/>
        <v>2664.6514558829872</v>
      </c>
      <c r="Q329" s="6">
        <f t="shared" si="61"/>
        <v>11.534930205932314</v>
      </c>
      <c r="T329" s="6">
        <f t="shared" si="54"/>
        <v>11.534930205932314</v>
      </c>
    </row>
    <row r="330" spans="2:20">
      <c r="B330">
        <f t="shared" si="62"/>
        <v>327</v>
      </c>
      <c r="C330">
        <f t="shared" si="56"/>
        <v>31</v>
      </c>
      <c r="D330">
        <v>305</v>
      </c>
      <c r="E330">
        <v>336</v>
      </c>
      <c r="F330">
        <f>TnSPLINE!F$14</f>
        <v>14.526666666666667</v>
      </c>
      <c r="G330">
        <f>TnSPLINE!F$15</f>
        <v>10.43225806451613</v>
      </c>
      <c r="H330" s="5">
        <f>TnSPLINE!K$14</f>
        <v>1.9015294039131992E-3</v>
      </c>
      <c r="I330" s="5">
        <f>TnSPLINE!K$15</f>
        <v>2.2156895291144028E-3</v>
      </c>
      <c r="J330">
        <f t="shared" si="57"/>
        <v>0.29032258064516131</v>
      </c>
      <c r="K330">
        <f t="shared" si="58"/>
        <v>0.70967741935483875</v>
      </c>
      <c r="L330">
        <f t="shared" si="59"/>
        <v>281</v>
      </c>
      <c r="M330" s="6">
        <f t="shared" si="60"/>
        <v>11.620957336108223</v>
      </c>
      <c r="N330" s="13">
        <f t="shared" si="55"/>
        <v>11.414981213540916</v>
      </c>
      <c r="O330" s="6">
        <f t="shared" si="63"/>
        <v>2669.458213666318</v>
      </c>
      <c r="P330" s="6">
        <f t="shared" si="64"/>
        <v>2676.0664370965283</v>
      </c>
      <c r="Q330" s="6">
        <f t="shared" si="61"/>
        <v>11.414981213540916</v>
      </c>
      <c r="T330" s="6">
        <f t="shared" si="54"/>
        <v>11.414981213540916</v>
      </c>
    </row>
    <row r="331" spans="2:20">
      <c r="B331">
        <f t="shared" si="62"/>
        <v>328</v>
      </c>
      <c r="C331">
        <f t="shared" si="56"/>
        <v>31</v>
      </c>
      <c r="D331">
        <v>305</v>
      </c>
      <c r="E331">
        <v>336</v>
      </c>
      <c r="F331">
        <f>TnSPLINE!F$14</f>
        <v>14.526666666666667</v>
      </c>
      <c r="G331">
        <f>TnSPLINE!F$15</f>
        <v>10.43225806451613</v>
      </c>
      <c r="H331" s="5">
        <f>TnSPLINE!K$14</f>
        <v>1.9015294039131992E-3</v>
      </c>
      <c r="I331" s="5">
        <f>TnSPLINE!K$15</f>
        <v>2.2156895291144028E-3</v>
      </c>
      <c r="J331">
        <f t="shared" si="57"/>
        <v>0.25806451612903225</v>
      </c>
      <c r="K331">
        <f t="shared" si="58"/>
        <v>0.74193548387096775</v>
      </c>
      <c r="L331">
        <f t="shared" si="59"/>
        <v>282</v>
      </c>
      <c r="M331" s="6">
        <f t="shared" si="60"/>
        <v>11.488879639264656</v>
      </c>
      <c r="N331" s="13">
        <f t="shared" si="55"/>
        <v>11.297156702900345</v>
      </c>
      <c r="O331" s="6">
        <f t="shared" si="63"/>
        <v>2680.9470933055827</v>
      </c>
      <c r="P331" s="6">
        <f t="shared" si="64"/>
        <v>2687.3635937994286</v>
      </c>
      <c r="Q331" s="6">
        <f t="shared" si="61"/>
        <v>11.297156702900345</v>
      </c>
      <c r="T331" s="6">
        <f t="shared" si="54"/>
        <v>11.297156702900345</v>
      </c>
    </row>
    <row r="332" spans="2:20">
      <c r="B332">
        <f t="shared" si="62"/>
        <v>329</v>
      </c>
      <c r="C332">
        <f t="shared" si="56"/>
        <v>31</v>
      </c>
      <c r="D332">
        <v>305</v>
      </c>
      <c r="E332">
        <v>336</v>
      </c>
      <c r="F332">
        <f>TnSPLINE!F$14</f>
        <v>14.526666666666667</v>
      </c>
      <c r="G332">
        <f>TnSPLINE!F$15</f>
        <v>10.43225806451613</v>
      </c>
      <c r="H332" s="5">
        <f>TnSPLINE!K$14</f>
        <v>1.9015294039131992E-3</v>
      </c>
      <c r="I332" s="5">
        <f>TnSPLINE!K$15</f>
        <v>2.2156895291144028E-3</v>
      </c>
      <c r="J332">
        <f t="shared" si="57"/>
        <v>0.22580645161290322</v>
      </c>
      <c r="K332">
        <f t="shared" si="58"/>
        <v>0.77419354838709675</v>
      </c>
      <c r="L332">
        <f t="shared" si="59"/>
        <v>283</v>
      </c>
      <c r="M332" s="6">
        <f t="shared" si="60"/>
        <v>11.35680194242109</v>
      </c>
      <c r="N332" s="13">
        <f t="shared" si="55"/>
        <v>11.181466808208192</v>
      </c>
      <c r="O332" s="6">
        <f t="shared" si="63"/>
        <v>2692.3038952480038</v>
      </c>
      <c r="P332" s="6">
        <f t="shared" si="64"/>
        <v>2698.545060607637</v>
      </c>
      <c r="Q332" s="6">
        <f t="shared" si="61"/>
        <v>11.181466808208192</v>
      </c>
      <c r="T332" s="6">
        <f t="shared" si="54"/>
        <v>11.181466808208192</v>
      </c>
    </row>
    <row r="333" spans="2:20">
      <c r="B333">
        <f t="shared" si="62"/>
        <v>330</v>
      </c>
      <c r="C333">
        <f t="shared" si="56"/>
        <v>31</v>
      </c>
      <c r="D333">
        <v>305</v>
      </c>
      <c r="E333">
        <v>336</v>
      </c>
      <c r="F333">
        <f>TnSPLINE!F$14</f>
        <v>14.526666666666667</v>
      </c>
      <c r="G333">
        <f>TnSPLINE!F$15</f>
        <v>10.43225806451613</v>
      </c>
      <c r="H333" s="5">
        <f>TnSPLINE!K$14</f>
        <v>1.9015294039131992E-3</v>
      </c>
      <c r="I333" s="5">
        <f>TnSPLINE!K$15</f>
        <v>2.2156895291144028E-3</v>
      </c>
      <c r="J333">
        <f t="shared" si="57"/>
        <v>0.19354838709677419</v>
      </c>
      <c r="K333">
        <f t="shared" si="58"/>
        <v>0.80645161290322576</v>
      </c>
      <c r="L333">
        <f t="shared" si="59"/>
        <v>284</v>
      </c>
      <c r="M333" s="6">
        <f t="shared" si="60"/>
        <v>11.224724245577523</v>
      </c>
      <c r="N333" s="13">
        <f t="shared" si="55"/>
        <v>11.067921663662043</v>
      </c>
      <c r="O333" s="6">
        <f t="shared" si="63"/>
        <v>2703.5286194935811</v>
      </c>
      <c r="P333" s="6">
        <f t="shared" si="64"/>
        <v>2709.6129822712992</v>
      </c>
      <c r="Q333" s="6">
        <f t="shared" si="61"/>
        <v>11.067921663662043</v>
      </c>
      <c r="T333" s="6">
        <f t="shared" si="54"/>
        <v>11.067921663662043</v>
      </c>
    </row>
    <row r="334" spans="2:20">
      <c r="B334">
        <f t="shared" si="62"/>
        <v>331</v>
      </c>
      <c r="C334">
        <f t="shared" si="56"/>
        <v>31</v>
      </c>
      <c r="D334">
        <v>305</v>
      </c>
      <c r="E334">
        <v>336</v>
      </c>
      <c r="F334">
        <f>TnSPLINE!F$14</f>
        <v>14.526666666666667</v>
      </c>
      <c r="G334">
        <f>TnSPLINE!F$15</f>
        <v>10.43225806451613</v>
      </c>
      <c r="H334" s="5">
        <f>TnSPLINE!K$14</f>
        <v>1.9015294039131992E-3</v>
      </c>
      <c r="I334" s="5">
        <f>TnSPLINE!K$15</f>
        <v>2.2156895291144028E-3</v>
      </c>
      <c r="J334">
        <f t="shared" si="57"/>
        <v>0.16129032258064516</v>
      </c>
      <c r="K334">
        <f t="shared" si="58"/>
        <v>0.83870967741935487</v>
      </c>
      <c r="L334">
        <f t="shared" si="59"/>
        <v>285</v>
      </c>
      <c r="M334" s="6">
        <f t="shared" si="60"/>
        <v>11.09264654873396</v>
      </c>
      <c r="N334" s="13">
        <f t="shared" si="55"/>
        <v>10.95653140345949</v>
      </c>
      <c r="O334" s="6">
        <f t="shared" si="63"/>
        <v>2714.6212660423153</v>
      </c>
      <c r="P334" s="6">
        <f t="shared" si="64"/>
        <v>2720.5695136747586</v>
      </c>
      <c r="Q334" s="6">
        <f t="shared" si="61"/>
        <v>10.95653140345949</v>
      </c>
      <c r="T334" s="6">
        <f t="shared" si="54"/>
        <v>10.95653140345949</v>
      </c>
    </row>
    <row r="335" spans="2:20">
      <c r="B335">
        <f t="shared" si="62"/>
        <v>332</v>
      </c>
      <c r="C335">
        <f t="shared" si="56"/>
        <v>31</v>
      </c>
      <c r="D335">
        <v>305</v>
      </c>
      <c r="E335">
        <v>336</v>
      </c>
      <c r="F335">
        <f>TnSPLINE!F$14</f>
        <v>14.526666666666667</v>
      </c>
      <c r="G335">
        <f>TnSPLINE!F$15</f>
        <v>10.43225806451613</v>
      </c>
      <c r="H335" s="5">
        <f>TnSPLINE!K$14</f>
        <v>1.9015294039131992E-3</v>
      </c>
      <c r="I335" s="5">
        <f>TnSPLINE!K$15</f>
        <v>2.2156895291144028E-3</v>
      </c>
      <c r="J335">
        <f t="shared" si="57"/>
        <v>0.12903225806451613</v>
      </c>
      <c r="K335">
        <f t="shared" si="58"/>
        <v>0.87096774193548387</v>
      </c>
      <c r="L335">
        <f t="shared" si="59"/>
        <v>286</v>
      </c>
      <c r="M335" s="6">
        <f t="shared" si="60"/>
        <v>10.960568851890393</v>
      </c>
      <c r="N335" s="13">
        <f t="shared" si="55"/>
        <v>10.847306161798111</v>
      </c>
      <c r="O335" s="6">
        <f t="shared" si="63"/>
        <v>2725.5818348942057</v>
      </c>
      <c r="P335" s="6">
        <f t="shared" si="64"/>
        <v>2731.4168198365569</v>
      </c>
      <c r="Q335" s="6">
        <f t="shared" si="61"/>
        <v>10.847306161798111</v>
      </c>
      <c r="T335" s="6">
        <f t="shared" si="54"/>
        <v>10.847306161798111</v>
      </c>
    </row>
    <row r="336" spans="2:20">
      <c r="B336">
        <f t="shared" si="62"/>
        <v>333</v>
      </c>
      <c r="C336">
        <f t="shared" si="56"/>
        <v>31</v>
      </c>
      <c r="D336">
        <v>305</v>
      </c>
      <c r="E336">
        <v>336</v>
      </c>
      <c r="F336">
        <f>TnSPLINE!F$14</f>
        <v>14.526666666666667</v>
      </c>
      <c r="G336">
        <f>TnSPLINE!F$15</f>
        <v>10.43225806451613</v>
      </c>
      <c r="H336" s="5">
        <f>TnSPLINE!K$14</f>
        <v>1.9015294039131992E-3</v>
      </c>
      <c r="I336" s="5">
        <f>TnSPLINE!K$15</f>
        <v>2.2156895291144028E-3</v>
      </c>
      <c r="J336">
        <f t="shared" si="57"/>
        <v>9.6774193548387094E-2</v>
      </c>
      <c r="K336">
        <f t="shared" si="58"/>
        <v>0.90322580645161288</v>
      </c>
      <c r="L336">
        <f t="shared" si="59"/>
        <v>287</v>
      </c>
      <c r="M336" s="6">
        <f t="shared" si="60"/>
        <v>10.828491155046827</v>
      </c>
      <c r="N336" s="13">
        <f t="shared" si="55"/>
        <v>10.740256072875498</v>
      </c>
      <c r="O336" s="6">
        <f t="shared" si="63"/>
        <v>2736.4103260492525</v>
      </c>
      <c r="P336" s="6">
        <f t="shared" si="64"/>
        <v>2742.1570759094325</v>
      </c>
      <c r="Q336" s="6">
        <f t="shared" si="61"/>
        <v>10.740256072875498</v>
      </c>
      <c r="T336" s="6">
        <f t="shared" si="54"/>
        <v>10.740256072875498</v>
      </c>
    </row>
    <row r="337" spans="1:20">
      <c r="B337">
        <f t="shared" si="62"/>
        <v>334</v>
      </c>
      <c r="C337">
        <f t="shared" si="56"/>
        <v>31</v>
      </c>
      <c r="D337">
        <v>305</v>
      </c>
      <c r="E337">
        <v>336</v>
      </c>
      <c r="F337">
        <f>TnSPLINE!F$14</f>
        <v>14.526666666666667</v>
      </c>
      <c r="G337">
        <f>TnSPLINE!F$15</f>
        <v>10.43225806451613</v>
      </c>
      <c r="H337" s="5">
        <f>TnSPLINE!K$14</f>
        <v>1.9015294039131992E-3</v>
      </c>
      <c r="I337" s="5">
        <f>TnSPLINE!K$15</f>
        <v>2.2156895291144028E-3</v>
      </c>
      <c r="J337">
        <f t="shared" si="57"/>
        <v>6.4516129032258063E-2</v>
      </c>
      <c r="K337">
        <f t="shared" si="58"/>
        <v>0.93548387096774188</v>
      </c>
      <c r="L337">
        <f t="shared" si="59"/>
        <v>288</v>
      </c>
      <c r="M337" s="6">
        <f t="shared" si="60"/>
        <v>10.696413458203262</v>
      </c>
      <c r="N337" s="13">
        <f t="shared" si="55"/>
        <v>10.63539127088924</v>
      </c>
      <c r="O337" s="6">
        <f t="shared" si="63"/>
        <v>2747.1067395074556</v>
      </c>
      <c r="P337" s="6">
        <f t="shared" si="64"/>
        <v>2752.7924671803216</v>
      </c>
      <c r="Q337" s="6">
        <f t="shared" si="61"/>
        <v>10.63539127088924</v>
      </c>
      <c r="T337" s="6">
        <f t="shared" si="54"/>
        <v>10.63539127088924</v>
      </c>
    </row>
    <row r="338" spans="1:20">
      <c r="B338">
        <f t="shared" si="62"/>
        <v>335</v>
      </c>
      <c r="C338">
        <f t="shared" si="56"/>
        <v>31</v>
      </c>
      <c r="D338">
        <v>305</v>
      </c>
      <c r="E338">
        <v>336</v>
      </c>
      <c r="F338">
        <f>TnSPLINE!F$14</f>
        <v>14.526666666666667</v>
      </c>
      <c r="G338">
        <f>TnSPLINE!F$15</f>
        <v>10.43225806451613</v>
      </c>
      <c r="H338" s="5">
        <f>TnSPLINE!K$14</f>
        <v>1.9015294039131992E-3</v>
      </c>
      <c r="I338" s="5">
        <f>TnSPLINE!K$15</f>
        <v>2.2156895291144028E-3</v>
      </c>
      <c r="J338">
        <f t="shared" si="57"/>
        <v>3.2258064516129031E-2</v>
      </c>
      <c r="K338">
        <f t="shared" si="58"/>
        <v>0.967741935483871</v>
      </c>
      <c r="L338">
        <f t="shared" si="59"/>
        <v>289</v>
      </c>
      <c r="M338" s="6">
        <f t="shared" si="60"/>
        <v>10.564335761359697</v>
      </c>
      <c r="N338" s="13">
        <f t="shared" si="55"/>
        <v>10.532721890036923</v>
      </c>
      <c r="O338" s="6">
        <f t="shared" si="63"/>
        <v>2757.6710752688155</v>
      </c>
      <c r="P338" s="6">
        <f t="shared" si="64"/>
        <v>2763.3251890703586</v>
      </c>
      <c r="Q338" s="6">
        <f t="shared" si="61"/>
        <v>10.532721890036923</v>
      </c>
      <c r="T338" s="6">
        <f t="shared" si="54"/>
        <v>10.532721890036923</v>
      </c>
    </row>
    <row r="339" spans="1:20">
      <c r="A339">
        <v>336</v>
      </c>
      <c r="B339">
        <f t="shared" si="62"/>
        <v>336</v>
      </c>
      <c r="C339">
        <f t="shared" si="56"/>
        <v>31</v>
      </c>
      <c r="D339">
        <v>305</v>
      </c>
      <c r="E339">
        <v>336</v>
      </c>
      <c r="F339">
        <f>TnSPLINE!F$14</f>
        <v>14.526666666666667</v>
      </c>
      <c r="G339">
        <f>TnSPLINE!F$15</f>
        <v>10.43225806451613</v>
      </c>
      <c r="H339" s="5">
        <f>TnSPLINE!K$14</f>
        <v>1.9015294039131992E-3</v>
      </c>
      <c r="I339" s="5">
        <f>TnSPLINE!K$15</f>
        <v>2.2156895291144028E-3</v>
      </c>
      <c r="J339">
        <f t="shared" si="57"/>
        <v>0</v>
      </c>
      <c r="K339">
        <f t="shared" si="58"/>
        <v>1</v>
      </c>
      <c r="L339">
        <f t="shared" si="59"/>
        <v>290</v>
      </c>
      <c r="M339" s="6">
        <f t="shared" si="60"/>
        <v>10.43225806451613</v>
      </c>
      <c r="N339" s="13">
        <f t="shared" si="55"/>
        <v>10.43225806451613</v>
      </c>
      <c r="O339" s="6">
        <f t="shared" si="63"/>
        <v>2768.1033333333316</v>
      </c>
      <c r="P339" s="6">
        <f t="shared" si="64"/>
        <v>2773.7574471348748</v>
      </c>
      <c r="Q339" s="6">
        <f t="shared" si="61"/>
        <v>10.43225806451613</v>
      </c>
      <c r="T339" s="6">
        <f t="shared" si="54"/>
        <v>10.43225806451613</v>
      </c>
    </row>
    <row r="340" spans="1:20">
      <c r="B340">
        <f t="shared" si="62"/>
        <v>337</v>
      </c>
      <c r="C340">
        <f t="shared" si="56"/>
        <v>30</v>
      </c>
      <c r="D340">
        <v>336</v>
      </c>
      <c r="E340">
        <v>366</v>
      </c>
      <c r="F340">
        <f>TnSPLINE!F$15</f>
        <v>10.43225806451613</v>
      </c>
      <c r="G340">
        <f>TnSPLINE!F$16</f>
        <v>6.6500000000000012</v>
      </c>
      <c r="H340" s="5">
        <f>TnSPLINE!K$15</f>
        <v>2.2156895291144028E-3</v>
      </c>
      <c r="I340" s="5">
        <f>TnSPLINE!K$16</f>
        <v>-9.7748988638365949E-3</v>
      </c>
      <c r="J340">
        <f t="shared" si="57"/>
        <v>0.96666666666666667</v>
      </c>
      <c r="K340">
        <f t="shared" si="58"/>
        <v>3.3333333333333333E-2</v>
      </c>
      <c r="L340">
        <f t="shared" si="59"/>
        <v>291</v>
      </c>
      <c r="M340" s="6">
        <f t="shared" si="60"/>
        <v>10.306182795698927</v>
      </c>
      <c r="N340" s="13">
        <f t="shared" si="55"/>
        <v>10.333941625111562</v>
      </c>
      <c r="O340" s="6">
        <f t="shared" si="63"/>
        <v>2778.4095161290306</v>
      </c>
      <c r="P340" s="6">
        <f t="shared" si="64"/>
        <v>2784.0913887599863</v>
      </c>
      <c r="Q340" s="6">
        <f t="shared" si="61"/>
        <v>10.333941625111562</v>
      </c>
      <c r="T340" s="6">
        <f t="shared" si="54"/>
        <v>10.333941625111562</v>
      </c>
    </row>
    <row r="341" spans="1:20">
      <c r="B341">
        <f t="shared" si="62"/>
        <v>338</v>
      </c>
      <c r="C341">
        <f t="shared" si="56"/>
        <v>30</v>
      </c>
      <c r="D341">
        <v>336</v>
      </c>
      <c r="E341">
        <v>366</v>
      </c>
      <c r="F341">
        <f>TnSPLINE!F$15</f>
        <v>10.43225806451613</v>
      </c>
      <c r="G341">
        <f>TnSPLINE!F$16</f>
        <v>6.6500000000000012</v>
      </c>
      <c r="H341" s="5">
        <f>TnSPLINE!K$15</f>
        <v>2.2156895291144028E-3</v>
      </c>
      <c r="I341" s="5">
        <f>TnSPLINE!K$16</f>
        <v>-9.7748988638365949E-3</v>
      </c>
      <c r="J341">
        <f t="shared" si="57"/>
        <v>0.93333333333333335</v>
      </c>
      <c r="K341">
        <f t="shared" si="58"/>
        <v>6.6666666666666666E-2</v>
      </c>
      <c r="L341">
        <f t="shared" si="59"/>
        <v>292</v>
      </c>
      <c r="M341" s="6">
        <f t="shared" si="60"/>
        <v>10.180107526881722</v>
      </c>
      <c r="N341" s="13">
        <f t="shared" si="55"/>
        <v>10.237441188956343</v>
      </c>
      <c r="O341" s="6">
        <f t="shared" si="63"/>
        <v>2788.5896236559124</v>
      </c>
      <c r="P341" s="6">
        <f t="shared" si="64"/>
        <v>2794.3288299489427</v>
      </c>
      <c r="Q341" s="6">
        <f t="shared" si="61"/>
        <v>10.237441188956343</v>
      </c>
      <c r="T341" s="6">
        <f t="shared" si="54"/>
        <v>10.237441188956343</v>
      </c>
    </row>
    <row r="342" spans="1:20">
      <c r="B342">
        <f t="shared" si="62"/>
        <v>339</v>
      </c>
      <c r="C342">
        <f t="shared" si="56"/>
        <v>30</v>
      </c>
      <c r="D342">
        <v>336</v>
      </c>
      <c r="E342">
        <v>366</v>
      </c>
      <c r="F342">
        <f>TnSPLINE!F$15</f>
        <v>10.43225806451613</v>
      </c>
      <c r="G342">
        <f>TnSPLINE!F$16</f>
        <v>6.6500000000000012</v>
      </c>
      <c r="H342" s="5">
        <f>TnSPLINE!K$15</f>
        <v>2.2156895291144028E-3</v>
      </c>
      <c r="I342" s="5">
        <f>TnSPLINE!K$16</f>
        <v>-9.7748988638365949E-3</v>
      </c>
      <c r="J342">
        <f t="shared" si="57"/>
        <v>0.9</v>
      </c>
      <c r="K342">
        <f t="shared" si="58"/>
        <v>0.1</v>
      </c>
      <c r="L342">
        <f t="shared" si="59"/>
        <v>293</v>
      </c>
      <c r="M342" s="6">
        <f t="shared" si="60"/>
        <v>10.054032258064519</v>
      </c>
      <c r="N342" s="13">
        <f t="shared" si="55"/>
        <v>10.142357069770707</v>
      </c>
      <c r="O342" s="6">
        <f t="shared" si="63"/>
        <v>2798.643655913977</v>
      </c>
      <c r="P342" s="6">
        <f t="shared" si="64"/>
        <v>2804.4711870187134</v>
      </c>
      <c r="Q342" s="6">
        <f t="shared" si="61"/>
        <v>10.142357069770707</v>
      </c>
      <c r="T342" s="6">
        <f t="shared" si="54"/>
        <v>10.142357069770707</v>
      </c>
    </row>
    <row r="343" spans="1:20">
      <c r="B343">
        <f t="shared" si="62"/>
        <v>340</v>
      </c>
      <c r="C343">
        <f t="shared" si="56"/>
        <v>30</v>
      </c>
      <c r="D343">
        <v>336</v>
      </c>
      <c r="E343">
        <v>366</v>
      </c>
      <c r="F343">
        <f>TnSPLINE!F$15</f>
        <v>10.43225806451613</v>
      </c>
      <c r="G343">
        <f>TnSPLINE!F$16</f>
        <v>6.6500000000000012</v>
      </c>
      <c r="H343" s="5">
        <f>TnSPLINE!K$15</f>
        <v>2.2156895291144028E-3</v>
      </c>
      <c r="I343" s="5">
        <f>TnSPLINE!K$16</f>
        <v>-9.7748988638365949E-3</v>
      </c>
      <c r="J343">
        <f t="shared" si="57"/>
        <v>0.8666666666666667</v>
      </c>
      <c r="K343">
        <f t="shared" si="58"/>
        <v>0.13333333333333333</v>
      </c>
      <c r="L343">
        <f t="shared" si="59"/>
        <v>294</v>
      </c>
      <c r="M343" s="6">
        <f t="shared" si="60"/>
        <v>9.9279569892473134</v>
      </c>
      <c r="N343" s="13">
        <f t="shared" si="55"/>
        <v>10.04828958127489</v>
      </c>
      <c r="O343" s="6">
        <f t="shared" si="63"/>
        <v>2808.5716129032244</v>
      </c>
      <c r="P343" s="6">
        <f t="shared" si="64"/>
        <v>2814.5194765999881</v>
      </c>
      <c r="Q343" s="6">
        <f t="shared" si="61"/>
        <v>10.04828958127489</v>
      </c>
      <c r="T343" s="6">
        <f t="shared" si="54"/>
        <v>10.04828958127489</v>
      </c>
    </row>
    <row r="344" spans="1:20">
      <c r="B344">
        <f t="shared" si="62"/>
        <v>341</v>
      </c>
      <c r="C344">
        <f t="shared" si="56"/>
        <v>30</v>
      </c>
      <c r="D344">
        <v>336</v>
      </c>
      <c r="E344">
        <v>366</v>
      </c>
      <c r="F344">
        <f>TnSPLINE!F$15</f>
        <v>10.43225806451613</v>
      </c>
      <c r="G344">
        <f>TnSPLINE!F$16</f>
        <v>6.6500000000000012</v>
      </c>
      <c r="H344" s="5">
        <f>TnSPLINE!K$15</f>
        <v>2.2156895291144028E-3</v>
      </c>
      <c r="I344" s="5">
        <f>TnSPLINE!K$16</f>
        <v>-9.7748988638365949E-3</v>
      </c>
      <c r="J344">
        <f t="shared" si="57"/>
        <v>0.83333333333333337</v>
      </c>
      <c r="K344">
        <f t="shared" si="58"/>
        <v>0.16666666666666666</v>
      </c>
      <c r="L344">
        <f t="shared" si="59"/>
        <v>295</v>
      </c>
      <c r="M344" s="6">
        <f t="shared" si="60"/>
        <v>9.8018817204301101</v>
      </c>
      <c r="N344" s="13">
        <f t="shared" si="55"/>
        <v>9.9548390371891298</v>
      </c>
      <c r="O344" s="6">
        <f t="shared" si="63"/>
        <v>2818.3734946236546</v>
      </c>
      <c r="P344" s="6">
        <f t="shared" si="64"/>
        <v>2824.4743156371774</v>
      </c>
      <c r="Q344" s="6">
        <f t="shared" si="61"/>
        <v>9.9548390371891298</v>
      </c>
      <c r="T344" s="6">
        <f t="shared" si="54"/>
        <v>9.9548390371891298</v>
      </c>
    </row>
    <row r="345" spans="1:20">
      <c r="B345">
        <f t="shared" si="62"/>
        <v>342</v>
      </c>
      <c r="C345">
        <f t="shared" si="56"/>
        <v>30</v>
      </c>
      <c r="D345">
        <v>336</v>
      </c>
      <c r="E345">
        <v>366</v>
      </c>
      <c r="F345">
        <f>TnSPLINE!F$15</f>
        <v>10.43225806451613</v>
      </c>
      <c r="G345">
        <f>TnSPLINE!F$16</f>
        <v>6.6500000000000012</v>
      </c>
      <c r="H345" s="5">
        <f>TnSPLINE!K$15</f>
        <v>2.2156895291144028E-3</v>
      </c>
      <c r="I345" s="5">
        <f>TnSPLINE!K$16</f>
        <v>-9.7748988638365949E-3</v>
      </c>
      <c r="J345">
        <f t="shared" si="57"/>
        <v>0.8</v>
      </c>
      <c r="K345">
        <f t="shared" si="58"/>
        <v>0.2</v>
      </c>
      <c r="L345">
        <f t="shared" si="59"/>
        <v>296</v>
      </c>
      <c r="M345" s="6">
        <f t="shared" si="60"/>
        <v>9.675806451612905</v>
      </c>
      <c r="N345" s="13">
        <f t="shared" si="55"/>
        <v>9.8616057512336575</v>
      </c>
      <c r="O345" s="6">
        <f t="shared" si="63"/>
        <v>2828.0493010752675</v>
      </c>
      <c r="P345" s="6">
        <f t="shared" si="64"/>
        <v>2834.335921388411</v>
      </c>
      <c r="Q345" s="6">
        <f t="shared" si="61"/>
        <v>9.8616057512336575</v>
      </c>
      <c r="T345" s="6">
        <f t="shared" si="54"/>
        <v>9.8616057512336575</v>
      </c>
    </row>
    <row r="346" spans="1:20">
      <c r="B346">
        <f t="shared" si="62"/>
        <v>343</v>
      </c>
      <c r="C346">
        <f t="shared" si="56"/>
        <v>30</v>
      </c>
      <c r="D346">
        <v>336</v>
      </c>
      <c r="E346">
        <v>366</v>
      </c>
      <c r="F346">
        <f>TnSPLINE!F$15</f>
        <v>10.43225806451613</v>
      </c>
      <c r="G346">
        <f>TnSPLINE!F$16</f>
        <v>6.6500000000000012</v>
      </c>
      <c r="H346" s="5">
        <f>TnSPLINE!K$15</f>
        <v>2.2156895291144028E-3</v>
      </c>
      <c r="I346" s="5">
        <f>TnSPLINE!K$16</f>
        <v>-9.7748988638365949E-3</v>
      </c>
      <c r="J346">
        <f t="shared" si="57"/>
        <v>0.76666666666666672</v>
      </c>
      <c r="K346">
        <f t="shared" si="58"/>
        <v>0.23333333333333334</v>
      </c>
      <c r="L346">
        <f t="shared" si="59"/>
        <v>297</v>
      </c>
      <c r="M346" s="6">
        <f t="shared" si="60"/>
        <v>9.5497311827957017</v>
      </c>
      <c r="N346" s="13">
        <f t="shared" si="55"/>
        <v>9.7681900371287096</v>
      </c>
      <c r="O346" s="6">
        <f t="shared" si="63"/>
        <v>2837.5990322580633</v>
      </c>
      <c r="P346" s="6">
        <f t="shared" si="64"/>
        <v>2844.1041114255395</v>
      </c>
      <c r="Q346" s="6">
        <f t="shared" si="61"/>
        <v>9.7681900371287096</v>
      </c>
      <c r="T346" s="6">
        <f t="shared" si="54"/>
        <v>9.7681900371287096</v>
      </c>
    </row>
    <row r="347" spans="1:20">
      <c r="B347">
        <f t="shared" si="62"/>
        <v>344</v>
      </c>
      <c r="C347">
        <f t="shared" si="56"/>
        <v>30</v>
      </c>
      <c r="D347">
        <v>336</v>
      </c>
      <c r="E347">
        <v>366</v>
      </c>
      <c r="F347">
        <f>TnSPLINE!F$15</f>
        <v>10.43225806451613</v>
      </c>
      <c r="G347">
        <f>TnSPLINE!F$16</f>
        <v>6.6500000000000012</v>
      </c>
      <c r="H347" s="5">
        <f>TnSPLINE!K$15</f>
        <v>2.2156895291144028E-3</v>
      </c>
      <c r="I347" s="5">
        <f>TnSPLINE!K$16</f>
        <v>-9.7748988638365949E-3</v>
      </c>
      <c r="J347">
        <f t="shared" si="57"/>
        <v>0.73333333333333328</v>
      </c>
      <c r="K347">
        <f t="shared" si="58"/>
        <v>0.26666666666666666</v>
      </c>
      <c r="L347">
        <f t="shared" si="59"/>
        <v>298</v>
      </c>
      <c r="M347" s="6">
        <f t="shared" si="60"/>
        <v>9.4236559139784948</v>
      </c>
      <c r="N347" s="13">
        <f t="shared" si="55"/>
        <v>9.6741922085945173</v>
      </c>
      <c r="O347" s="6">
        <f t="shared" si="63"/>
        <v>2847.0226881720419</v>
      </c>
      <c r="P347" s="6">
        <f t="shared" si="64"/>
        <v>2853.7783036341339</v>
      </c>
      <c r="Q347" s="6">
        <f t="shared" si="61"/>
        <v>9.6741922085945173</v>
      </c>
      <c r="T347" s="6">
        <f t="shared" si="54"/>
        <v>9.6741922085945173</v>
      </c>
    </row>
    <row r="348" spans="1:20">
      <c r="B348">
        <f t="shared" si="62"/>
        <v>345</v>
      </c>
      <c r="C348">
        <f t="shared" si="56"/>
        <v>30</v>
      </c>
      <c r="D348">
        <v>336</v>
      </c>
      <c r="E348">
        <v>366</v>
      </c>
      <c r="F348">
        <f>TnSPLINE!F$15</f>
        <v>10.43225806451613</v>
      </c>
      <c r="G348">
        <f>TnSPLINE!F$16</f>
        <v>6.6500000000000012</v>
      </c>
      <c r="H348" s="5">
        <f>TnSPLINE!K$15</f>
        <v>2.2156895291144028E-3</v>
      </c>
      <c r="I348" s="5">
        <f>TnSPLINE!K$16</f>
        <v>-9.7748988638365949E-3</v>
      </c>
      <c r="J348">
        <f t="shared" si="57"/>
        <v>0.7</v>
      </c>
      <c r="K348">
        <f t="shared" si="58"/>
        <v>0.3</v>
      </c>
      <c r="L348">
        <f t="shared" si="59"/>
        <v>299</v>
      </c>
      <c r="M348" s="6">
        <f t="shared" si="60"/>
        <v>9.2975806451612915</v>
      </c>
      <c r="N348" s="13">
        <f t="shared" si="55"/>
        <v>9.5792125793513243</v>
      </c>
      <c r="O348" s="6">
        <f t="shared" si="63"/>
        <v>2856.3202688172032</v>
      </c>
      <c r="P348" s="6">
        <f t="shared" si="64"/>
        <v>2863.3575162134853</v>
      </c>
      <c r="Q348" s="6">
        <f t="shared" si="61"/>
        <v>9.5792125793513243</v>
      </c>
      <c r="T348" s="6">
        <f t="shared" si="54"/>
        <v>9.5792125793513243</v>
      </c>
    </row>
    <row r="349" spans="1:20">
      <c r="B349">
        <f t="shared" si="62"/>
        <v>346</v>
      </c>
      <c r="C349">
        <f t="shared" si="56"/>
        <v>30</v>
      </c>
      <c r="D349">
        <v>336</v>
      </c>
      <c r="E349">
        <v>366</v>
      </c>
      <c r="F349">
        <f>TnSPLINE!F$15</f>
        <v>10.43225806451613</v>
      </c>
      <c r="G349">
        <f>TnSPLINE!F$16</f>
        <v>6.6500000000000012</v>
      </c>
      <c r="H349" s="5">
        <f>TnSPLINE!K$15</f>
        <v>2.2156895291144028E-3</v>
      </c>
      <c r="I349" s="5">
        <f>TnSPLINE!K$16</f>
        <v>-9.7748988638365949E-3</v>
      </c>
      <c r="J349">
        <f t="shared" si="57"/>
        <v>0.66666666666666663</v>
      </c>
      <c r="K349">
        <f t="shared" si="58"/>
        <v>0.33333333333333331</v>
      </c>
      <c r="L349">
        <f t="shared" si="59"/>
        <v>300</v>
      </c>
      <c r="M349" s="6">
        <f t="shared" si="60"/>
        <v>9.1715053763440864</v>
      </c>
      <c r="N349" s="13">
        <f t="shared" si="55"/>
        <v>9.4828514631193563</v>
      </c>
      <c r="O349" s="6">
        <f t="shared" si="63"/>
        <v>2865.4917741935474</v>
      </c>
      <c r="P349" s="6">
        <f t="shared" si="64"/>
        <v>2872.8403676766047</v>
      </c>
      <c r="Q349" s="6">
        <f t="shared" si="61"/>
        <v>9.4828514631193563</v>
      </c>
      <c r="T349" s="6">
        <f t="shared" si="54"/>
        <v>9.4828514631193563</v>
      </c>
    </row>
    <row r="350" spans="1:20">
      <c r="B350">
        <f t="shared" si="62"/>
        <v>347</v>
      </c>
      <c r="C350">
        <f t="shared" si="56"/>
        <v>30</v>
      </c>
      <c r="D350">
        <v>336</v>
      </c>
      <c r="E350">
        <v>366</v>
      </c>
      <c r="F350">
        <f>TnSPLINE!F$15</f>
        <v>10.43225806451613</v>
      </c>
      <c r="G350">
        <f>TnSPLINE!F$16</f>
        <v>6.6500000000000012</v>
      </c>
      <c r="H350" s="5">
        <f>TnSPLINE!K$15</f>
        <v>2.2156895291144028E-3</v>
      </c>
      <c r="I350" s="5">
        <f>TnSPLINE!K$16</f>
        <v>-9.7748988638365949E-3</v>
      </c>
      <c r="J350">
        <f t="shared" si="57"/>
        <v>0.6333333333333333</v>
      </c>
      <c r="K350">
        <f t="shared" si="58"/>
        <v>0.36666666666666664</v>
      </c>
      <c r="L350">
        <f t="shared" si="59"/>
        <v>301</v>
      </c>
      <c r="M350" s="6">
        <f t="shared" si="60"/>
        <v>9.045430107526883</v>
      </c>
      <c r="N350" s="13">
        <f t="shared" si="55"/>
        <v>9.384709173618857</v>
      </c>
      <c r="O350" s="6">
        <f t="shared" si="63"/>
        <v>2874.5372043010743</v>
      </c>
      <c r="P350" s="6">
        <f t="shared" si="64"/>
        <v>2882.2250768502236</v>
      </c>
      <c r="Q350" s="6">
        <f t="shared" si="61"/>
        <v>9.384709173618857</v>
      </c>
      <c r="T350" s="6">
        <f t="shared" si="54"/>
        <v>9.384709173618857</v>
      </c>
    </row>
    <row r="351" spans="1:20">
      <c r="B351">
        <f t="shared" si="62"/>
        <v>348</v>
      </c>
      <c r="C351">
        <f t="shared" si="56"/>
        <v>30</v>
      </c>
      <c r="D351">
        <v>336</v>
      </c>
      <c r="E351">
        <v>366</v>
      </c>
      <c r="F351">
        <f>TnSPLINE!F$15</f>
        <v>10.43225806451613</v>
      </c>
      <c r="G351">
        <f>TnSPLINE!F$16</f>
        <v>6.6500000000000012</v>
      </c>
      <c r="H351" s="5">
        <f>TnSPLINE!K$15</f>
        <v>2.2156895291144028E-3</v>
      </c>
      <c r="I351" s="5">
        <f>TnSPLINE!K$16</f>
        <v>-9.7748988638365949E-3</v>
      </c>
      <c r="J351">
        <f t="shared" si="57"/>
        <v>0.6</v>
      </c>
      <c r="K351">
        <f t="shared" si="58"/>
        <v>0.4</v>
      </c>
      <c r="L351">
        <f t="shared" si="59"/>
        <v>302</v>
      </c>
      <c r="M351" s="6">
        <f t="shared" si="60"/>
        <v>8.9193548387096779</v>
      </c>
      <c r="N351" s="13">
        <f t="shared" si="55"/>
        <v>9.2843860245700522</v>
      </c>
      <c r="O351" s="6">
        <f t="shared" si="63"/>
        <v>2883.4565591397841</v>
      </c>
      <c r="P351" s="6">
        <f t="shared" si="64"/>
        <v>2891.5094628747938</v>
      </c>
      <c r="Q351" s="6">
        <f t="shared" si="61"/>
        <v>9.2843860245700522</v>
      </c>
      <c r="T351" s="6">
        <f t="shared" si="54"/>
        <v>9.2843860245700522</v>
      </c>
    </row>
    <row r="352" spans="1:20">
      <c r="B352">
        <f t="shared" si="62"/>
        <v>349</v>
      </c>
      <c r="C352">
        <f t="shared" si="56"/>
        <v>30</v>
      </c>
      <c r="D352">
        <v>336</v>
      </c>
      <c r="E352">
        <v>366</v>
      </c>
      <c r="F352">
        <f>TnSPLINE!F$15</f>
        <v>10.43225806451613</v>
      </c>
      <c r="G352">
        <f>TnSPLINE!F$16</f>
        <v>6.6500000000000012</v>
      </c>
      <c r="H352" s="5">
        <f>TnSPLINE!K$15</f>
        <v>2.2156895291144028E-3</v>
      </c>
      <c r="I352" s="5">
        <f>TnSPLINE!K$16</f>
        <v>-9.7748988638365949E-3</v>
      </c>
      <c r="J352">
        <f t="shared" si="57"/>
        <v>0.56666666666666665</v>
      </c>
      <c r="K352">
        <f t="shared" si="58"/>
        <v>0.43333333333333335</v>
      </c>
      <c r="L352">
        <f t="shared" si="59"/>
        <v>303</v>
      </c>
      <c r="M352" s="6">
        <f t="shared" si="60"/>
        <v>8.7932795698924746</v>
      </c>
      <c r="N352" s="13">
        <f t="shared" si="55"/>
        <v>9.1814823296931856</v>
      </c>
      <c r="O352" s="6">
        <f t="shared" si="63"/>
        <v>2892.2498387096766</v>
      </c>
      <c r="P352" s="6">
        <f t="shared" si="64"/>
        <v>2900.690945204487</v>
      </c>
      <c r="Q352" s="6">
        <f t="shared" si="61"/>
        <v>9.1814823296931856</v>
      </c>
      <c r="T352" s="6">
        <f t="shared" si="54"/>
        <v>9.1814823296931856</v>
      </c>
    </row>
    <row r="353" spans="2:20">
      <c r="B353">
        <f t="shared" si="62"/>
        <v>350</v>
      </c>
      <c r="C353">
        <f t="shared" si="56"/>
        <v>30</v>
      </c>
      <c r="D353">
        <v>336</v>
      </c>
      <c r="E353">
        <v>366</v>
      </c>
      <c r="F353">
        <f>TnSPLINE!F$15</f>
        <v>10.43225806451613</v>
      </c>
      <c r="G353">
        <f>TnSPLINE!F$16</f>
        <v>6.6500000000000012</v>
      </c>
      <c r="H353" s="5">
        <f>TnSPLINE!K$15</f>
        <v>2.2156895291144028E-3</v>
      </c>
      <c r="I353" s="5">
        <f>TnSPLINE!K$16</f>
        <v>-9.7748988638365949E-3</v>
      </c>
      <c r="J353">
        <f t="shared" si="57"/>
        <v>0.53333333333333333</v>
      </c>
      <c r="K353">
        <f t="shared" si="58"/>
        <v>0.46666666666666667</v>
      </c>
      <c r="L353">
        <f t="shared" si="59"/>
        <v>304</v>
      </c>
      <c r="M353" s="6">
        <f t="shared" si="60"/>
        <v>8.6672043010752695</v>
      </c>
      <c r="N353" s="13">
        <f t="shared" si="55"/>
        <v>9.0755984027084846</v>
      </c>
      <c r="O353" s="6">
        <f t="shared" si="63"/>
        <v>2900.917043010752</v>
      </c>
      <c r="P353" s="6">
        <f t="shared" si="64"/>
        <v>2909.7665436071957</v>
      </c>
      <c r="Q353" s="6">
        <f t="shared" si="61"/>
        <v>9.0755984027084846</v>
      </c>
      <c r="T353" s="6">
        <f t="shared" si="54"/>
        <v>9.0755984027084846</v>
      </c>
    </row>
    <row r="354" spans="2:20">
      <c r="B354">
        <f t="shared" si="62"/>
        <v>351</v>
      </c>
      <c r="C354">
        <f t="shared" si="56"/>
        <v>30</v>
      </c>
      <c r="D354">
        <v>336</v>
      </c>
      <c r="E354">
        <v>366</v>
      </c>
      <c r="F354">
        <f>TnSPLINE!F$15</f>
        <v>10.43225806451613</v>
      </c>
      <c r="G354">
        <f>TnSPLINE!F$16</f>
        <v>6.6500000000000012</v>
      </c>
      <c r="H354" s="5">
        <f>TnSPLINE!K$15</f>
        <v>2.2156895291144028E-3</v>
      </c>
      <c r="I354" s="5">
        <f>TnSPLINE!K$16</f>
        <v>-9.7748988638365949E-3</v>
      </c>
      <c r="J354">
        <f t="shared" si="57"/>
        <v>0.5</v>
      </c>
      <c r="K354">
        <f t="shared" si="58"/>
        <v>0.5</v>
      </c>
      <c r="L354">
        <f t="shared" si="59"/>
        <v>305</v>
      </c>
      <c r="M354" s="6">
        <f t="shared" si="60"/>
        <v>8.5411290322580662</v>
      </c>
      <c r="N354" s="13">
        <f t="shared" si="55"/>
        <v>8.9663345573361894</v>
      </c>
      <c r="O354" s="6">
        <f t="shared" si="63"/>
        <v>2909.4581720430101</v>
      </c>
      <c r="P354" s="6">
        <f t="shared" si="64"/>
        <v>2918.7328781645319</v>
      </c>
      <c r="Q354" s="6">
        <f t="shared" si="61"/>
        <v>8.9663345573361894</v>
      </c>
      <c r="T354" s="6">
        <f t="shared" si="54"/>
        <v>8.9663345573361894</v>
      </c>
    </row>
    <row r="355" spans="2:20">
      <c r="B355">
        <f t="shared" si="62"/>
        <v>352</v>
      </c>
      <c r="C355">
        <f t="shared" si="56"/>
        <v>30</v>
      </c>
      <c r="D355">
        <v>336</v>
      </c>
      <c r="E355">
        <v>366</v>
      </c>
      <c r="F355">
        <f>TnSPLINE!F$15</f>
        <v>10.43225806451613</v>
      </c>
      <c r="G355">
        <f>TnSPLINE!F$16</f>
        <v>6.6500000000000012</v>
      </c>
      <c r="H355" s="5">
        <f>TnSPLINE!K$15</f>
        <v>2.2156895291144028E-3</v>
      </c>
      <c r="I355" s="5">
        <f>TnSPLINE!K$16</f>
        <v>-9.7748988638365949E-3</v>
      </c>
      <c r="J355">
        <f t="shared" si="57"/>
        <v>0.46666666666666667</v>
      </c>
      <c r="K355">
        <f t="shared" si="58"/>
        <v>0.53333333333333333</v>
      </c>
      <c r="L355">
        <f t="shared" si="59"/>
        <v>306</v>
      </c>
      <c r="M355" s="6">
        <f t="shared" si="60"/>
        <v>8.4150537634408611</v>
      </c>
      <c r="N355" s="13">
        <f t="shared" si="55"/>
        <v>8.8532911072965312</v>
      </c>
      <c r="O355" s="6">
        <f t="shared" si="63"/>
        <v>2917.873225806451</v>
      </c>
      <c r="P355" s="6">
        <f t="shared" si="64"/>
        <v>2927.5861692718286</v>
      </c>
      <c r="Q355" s="6">
        <f t="shared" si="61"/>
        <v>8.8532911072965312</v>
      </c>
      <c r="T355" s="6">
        <f t="shared" si="54"/>
        <v>8.8532911072965312</v>
      </c>
    </row>
    <row r="356" spans="2:20">
      <c r="B356">
        <f t="shared" si="62"/>
        <v>353</v>
      </c>
      <c r="C356">
        <f t="shared" si="56"/>
        <v>30</v>
      </c>
      <c r="D356">
        <v>336</v>
      </c>
      <c r="E356">
        <v>366</v>
      </c>
      <c r="F356">
        <f>TnSPLINE!F$15</f>
        <v>10.43225806451613</v>
      </c>
      <c r="G356">
        <f>TnSPLINE!F$16</f>
        <v>6.6500000000000012</v>
      </c>
      <c r="H356" s="5">
        <f>TnSPLINE!K$15</f>
        <v>2.2156895291144028E-3</v>
      </c>
      <c r="I356" s="5">
        <f>TnSPLINE!K$16</f>
        <v>-9.7748988638365949E-3</v>
      </c>
      <c r="J356">
        <f t="shared" si="57"/>
        <v>0.43333333333333335</v>
      </c>
      <c r="K356">
        <f t="shared" si="58"/>
        <v>0.56666666666666665</v>
      </c>
      <c r="L356">
        <f t="shared" si="59"/>
        <v>307</v>
      </c>
      <c r="M356" s="6">
        <f t="shared" si="60"/>
        <v>8.2889784946236578</v>
      </c>
      <c r="N356" s="13">
        <f t="shared" si="55"/>
        <v>8.73606836630975</v>
      </c>
      <c r="O356" s="6">
        <f t="shared" si="63"/>
        <v>2926.1622043010748</v>
      </c>
      <c r="P356" s="6">
        <f t="shared" si="64"/>
        <v>2936.3222376381382</v>
      </c>
      <c r="Q356" s="6">
        <f t="shared" si="61"/>
        <v>8.73606836630975</v>
      </c>
      <c r="T356" s="6">
        <f t="shared" si="54"/>
        <v>8.73606836630975</v>
      </c>
    </row>
    <row r="357" spans="2:20">
      <c r="B357">
        <f t="shared" si="62"/>
        <v>354</v>
      </c>
      <c r="C357">
        <f t="shared" si="56"/>
        <v>30</v>
      </c>
      <c r="D357">
        <v>336</v>
      </c>
      <c r="E357">
        <v>366</v>
      </c>
      <c r="F357">
        <f>TnSPLINE!F$15</f>
        <v>10.43225806451613</v>
      </c>
      <c r="G357">
        <f>TnSPLINE!F$16</f>
        <v>6.6500000000000012</v>
      </c>
      <c r="H357" s="5">
        <f>TnSPLINE!K$15</f>
        <v>2.2156895291144028E-3</v>
      </c>
      <c r="I357" s="5">
        <f>TnSPLINE!K$16</f>
        <v>-9.7748988638365949E-3</v>
      </c>
      <c r="J357">
        <f t="shared" si="57"/>
        <v>0.4</v>
      </c>
      <c r="K357">
        <f t="shared" si="58"/>
        <v>0.6</v>
      </c>
      <c r="L357">
        <f t="shared" si="59"/>
        <v>308</v>
      </c>
      <c r="M357" s="6">
        <f t="shared" si="60"/>
        <v>8.1629032258064527</v>
      </c>
      <c r="N357" s="13">
        <f t="shared" si="55"/>
        <v>8.6142666480960752</v>
      </c>
      <c r="O357" s="6">
        <f t="shared" si="63"/>
        <v>2934.3251075268813</v>
      </c>
      <c r="P357" s="6">
        <f t="shared" si="64"/>
        <v>2944.9365042862341</v>
      </c>
      <c r="Q357" s="6">
        <f t="shared" si="61"/>
        <v>8.6142666480960752</v>
      </c>
      <c r="T357" s="6">
        <f t="shared" si="54"/>
        <v>8.6142666480960752</v>
      </c>
    </row>
    <row r="358" spans="2:20">
      <c r="B358">
        <f t="shared" si="62"/>
        <v>355</v>
      </c>
      <c r="C358">
        <f t="shared" si="56"/>
        <v>30</v>
      </c>
      <c r="D358">
        <v>336</v>
      </c>
      <c r="E358">
        <v>366</v>
      </c>
      <c r="F358">
        <f>TnSPLINE!F$15</f>
        <v>10.43225806451613</v>
      </c>
      <c r="G358">
        <f>TnSPLINE!F$16</f>
        <v>6.6500000000000012</v>
      </c>
      <c r="H358" s="5">
        <f>TnSPLINE!K$15</f>
        <v>2.2156895291144028E-3</v>
      </c>
      <c r="I358" s="5">
        <f>TnSPLINE!K$16</f>
        <v>-9.7748988638365949E-3</v>
      </c>
      <c r="J358">
        <f t="shared" si="57"/>
        <v>0.36666666666666664</v>
      </c>
      <c r="K358">
        <f t="shared" si="58"/>
        <v>0.6333333333333333</v>
      </c>
      <c r="L358">
        <f t="shared" si="59"/>
        <v>309</v>
      </c>
      <c r="M358" s="6">
        <f t="shared" si="60"/>
        <v>8.0368279569892476</v>
      </c>
      <c r="N358" s="13">
        <f t="shared" si="55"/>
        <v>8.4874862663757433</v>
      </c>
      <c r="O358" s="6">
        <f t="shared" si="63"/>
        <v>2942.3619354838706</v>
      </c>
      <c r="P358" s="6">
        <f t="shared" si="64"/>
        <v>2953.4239905526097</v>
      </c>
      <c r="Q358" s="6">
        <f t="shared" si="61"/>
        <v>8.4874862663757433</v>
      </c>
      <c r="T358" s="6">
        <f t="shared" si="54"/>
        <v>8.4874862663757433</v>
      </c>
    </row>
    <row r="359" spans="2:20">
      <c r="B359">
        <f t="shared" si="62"/>
        <v>356</v>
      </c>
      <c r="C359">
        <f t="shared" si="56"/>
        <v>30</v>
      </c>
      <c r="D359">
        <v>336</v>
      </c>
      <c r="E359">
        <v>366</v>
      </c>
      <c r="F359">
        <f>TnSPLINE!F$15</f>
        <v>10.43225806451613</v>
      </c>
      <c r="G359">
        <f>TnSPLINE!F$16</f>
        <v>6.6500000000000012</v>
      </c>
      <c r="H359" s="5">
        <f>TnSPLINE!K$15</f>
        <v>2.2156895291144028E-3</v>
      </c>
      <c r="I359" s="5">
        <f>TnSPLINE!K$16</f>
        <v>-9.7748988638365949E-3</v>
      </c>
      <c r="J359">
        <f t="shared" si="57"/>
        <v>0.33333333333333331</v>
      </c>
      <c r="K359">
        <f t="shared" si="58"/>
        <v>0.66666666666666663</v>
      </c>
      <c r="L359">
        <f t="shared" si="59"/>
        <v>310</v>
      </c>
      <c r="M359" s="6">
        <f t="shared" si="60"/>
        <v>7.9107526881720434</v>
      </c>
      <c r="N359" s="13">
        <f t="shared" si="55"/>
        <v>8.3553275348689926</v>
      </c>
      <c r="O359" s="6">
        <f t="shared" si="63"/>
        <v>2950.2726881720428</v>
      </c>
      <c r="P359" s="6">
        <f t="shared" si="64"/>
        <v>2961.7793180874787</v>
      </c>
      <c r="Q359" s="6">
        <f t="shared" si="61"/>
        <v>8.3553275348689926</v>
      </c>
      <c r="T359" s="6">
        <f t="shared" si="54"/>
        <v>8.3553275348689926</v>
      </c>
    </row>
    <row r="360" spans="2:20">
      <c r="B360">
        <f t="shared" si="62"/>
        <v>357</v>
      </c>
      <c r="C360">
        <f t="shared" si="56"/>
        <v>30</v>
      </c>
      <c r="D360">
        <v>336</v>
      </c>
      <c r="E360">
        <v>366</v>
      </c>
      <c r="F360">
        <f>TnSPLINE!F$15</f>
        <v>10.43225806451613</v>
      </c>
      <c r="G360">
        <f>TnSPLINE!F$16</f>
        <v>6.6500000000000012</v>
      </c>
      <c r="H360" s="5">
        <f>TnSPLINE!K$15</f>
        <v>2.2156895291144028E-3</v>
      </c>
      <c r="I360" s="5">
        <f>TnSPLINE!K$16</f>
        <v>-9.7748988638365949E-3</v>
      </c>
      <c r="J360">
        <f t="shared" si="57"/>
        <v>0.3</v>
      </c>
      <c r="K360">
        <f t="shared" si="58"/>
        <v>0.7</v>
      </c>
      <c r="L360">
        <f t="shared" si="59"/>
        <v>311</v>
      </c>
      <c r="M360" s="6">
        <f t="shared" si="60"/>
        <v>7.7846774193548391</v>
      </c>
      <c r="N360" s="13">
        <f t="shared" si="55"/>
        <v>8.2173907672960542</v>
      </c>
      <c r="O360" s="6">
        <f t="shared" si="63"/>
        <v>2958.0573655913977</v>
      </c>
      <c r="P360" s="6">
        <f t="shared" si="64"/>
        <v>2969.9967088547746</v>
      </c>
      <c r="Q360" s="6">
        <f t="shared" si="61"/>
        <v>8.2173907672960542</v>
      </c>
      <c r="T360" s="6">
        <f t="shared" si="54"/>
        <v>8.2173907672960542</v>
      </c>
    </row>
    <row r="361" spans="2:20">
      <c r="B361">
        <f t="shared" si="62"/>
        <v>358</v>
      </c>
      <c r="C361">
        <f t="shared" si="56"/>
        <v>30</v>
      </c>
      <c r="D361">
        <v>336</v>
      </c>
      <c r="E361">
        <v>366</v>
      </c>
      <c r="F361">
        <f>TnSPLINE!F$15</f>
        <v>10.43225806451613</v>
      </c>
      <c r="G361">
        <f>TnSPLINE!F$16</f>
        <v>6.6500000000000012</v>
      </c>
      <c r="H361" s="5">
        <f>TnSPLINE!K$15</f>
        <v>2.2156895291144028E-3</v>
      </c>
      <c r="I361" s="5">
        <f>TnSPLINE!K$16</f>
        <v>-9.7748988638365949E-3</v>
      </c>
      <c r="J361">
        <f t="shared" si="57"/>
        <v>0.26666666666666666</v>
      </c>
      <c r="K361">
        <f t="shared" si="58"/>
        <v>0.73333333333333328</v>
      </c>
      <c r="L361">
        <f t="shared" si="59"/>
        <v>312</v>
      </c>
      <c r="M361" s="6">
        <f t="shared" si="60"/>
        <v>7.6586021505376349</v>
      </c>
      <c r="N361" s="13">
        <f t="shared" si="55"/>
        <v>8.0732762773771647</v>
      </c>
      <c r="O361" s="6">
        <f t="shared" si="63"/>
        <v>2965.7159677419354</v>
      </c>
      <c r="P361" s="6">
        <f t="shared" si="64"/>
        <v>2978.0699851321519</v>
      </c>
      <c r="Q361" s="6">
        <f t="shared" si="61"/>
        <v>8.0732762773771647</v>
      </c>
      <c r="T361" s="6">
        <f t="shared" si="54"/>
        <v>8.0732762773771647</v>
      </c>
    </row>
    <row r="362" spans="2:20">
      <c r="B362">
        <f t="shared" si="62"/>
        <v>359</v>
      </c>
      <c r="C362">
        <f t="shared" si="56"/>
        <v>30</v>
      </c>
      <c r="D362">
        <v>336</v>
      </c>
      <c r="E362">
        <v>366</v>
      </c>
      <c r="F362">
        <f>TnSPLINE!F$15</f>
        <v>10.43225806451613</v>
      </c>
      <c r="G362">
        <f>TnSPLINE!F$16</f>
        <v>6.6500000000000012</v>
      </c>
      <c r="H362" s="5">
        <f>TnSPLINE!K$15</f>
        <v>2.2156895291144028E-3</v>
      </c>
      <c r="I362" s="5">
        <f>TnSPLINE!K$16</f>
        <v>-9.7748988638365949E-3</v>
      </c>
      <c r="J362">
        <f t="shared" si="57"/>
        <v>0.23333333333333334</v>
      </c>
      <c r="K362">
        <f t="shared" si="58"/>
        <v>0.76666666666666672</v>
      </c>
      <c r="L362">
        <f t="shared" si="59"/>
        <v>313</v>
      </c>
      <c r="M362" s="6">
        <f t="shared" si="60"/>
        <v>7.5325268817204316</v>
      </c>
      <c r="N362" s="13">
        <f t="shared" si="55"/>
        <v>7.9225843788325605</v>
      </c>
      <c r="O362" s="6">
        <f t="shared" si="63"/>
        <v>2973.2484946236559</v>
      </c>
      <c r="P362" s="6">
        <f t="shared" si="64"/>
        <v>2985.9925695109846</v>
      </c>
      <c r="Q362" s="6">
        <f t="shared" si="61"/>
        <v>7.9225843788325605</v>
      </c>
      <c r="T362" s="6">
        <f t="shared" si="54"/>
        <v>7.9225843788325605</v>
      </c>
    </row>
    <row r="363" spans="2:20">
      <c r="B363">
        <f t="shared" si="62"/>
        <v>360</v>
      </c>
      <c r="C363">
        <f t="shared" si="56"/>
        <v>30</v>
      </c>
      <c r="D363">
        <v>336</v>
      </c>
      <c r="E363">
        <v>366</v>
      </c>
      <c r="F363">
        <f>TnSPLINE!F$15</f>
        <v>10.43225806451613</v>
      </c>
      <c r="G363">
        <f>TnSPLINE!F$16</f>
        <v>6.6500000000000012</v>
      </c>
      <c r="H363" s="5">
        <f>TnSPLINE!K$15</f>
        <v>2.2156895291144028E-3</v>
      </c>
      <c r="I363" s="5">
        <f>TnSPLINE!K$16</f>
        <v>-9.7748988638365949E-3</v>
      </c>
      <c r="J363">
        <f t="shared" si="57"/>
        <v>0.2</v>
      </c>
      <c r="K363">
        <f t="shared" si="58"/>
        <v>0.8</v>
      </c>
      <c r="L363">
        <f t="shared" si="59"/>
        <v>314</v>
      </c>
      <c r="M363" s="6">
        <f t="shared" si="60"/>
        <v>7.4064516129032274</v>
      </c>
      <c r="N363" s="13">
        <f t="shared" si="55"/>
        <v>7.7649153853824737</v>
      </c>
      <c r="O363" s="6">
        <f t="shared" si="63"/>
        <v>2980.6549462365592</v>
      </c>
      <c r="P363" s="6">
        <f t="shared" si="64"/>
        <v>2993.7574848963673</v>
      </c>
      <c r="Q363" s="6">
        <f t="shared" si="61"/>
        <v>7.7649153853824737</v>
      </c>
      <c r="T363" s="6">
        <f t="shared" si="54"/>
        <v>7.7649153853824737</v>
      </c>
    </row>
    <row r="364" spans="2:20">
      <c r="B364">
        <f t="shared" si="62"/>
        <v>361</v>
      </c>
      <c r="C364">
        <f t="shared" si="56"/>
        <v>30</v>
      </c>
      <c r="D364">
        <v>336</v>
      </c>
      <c r="E364">
        <v>366</v>
      </c>
      <c r="F364">
        <f>TnSPLINE!F$15</f>
        <v>10.43225806451613</v>
      </c>
      <c r="G364">
        <f>TnSPLINE!F$16</f>
        <v>6.6500000000000012</v>
      </c>
      <c r="H364" s="5">
        <f>TnSPLINE!K$15</f>
        <v>2.2156895291144028E-3</v>
      </c>
      <c r="I364" s="5">
        <f>TnSPLINE!K$16</f>
        <v>-9.7748988638365949E-3</v>
      </c>
      <c r="J364">
        <f t="shared" si="57"/>
        <v>0.16666666666666666</v>
      </c>
      <c r="K364">
        <f t="shared" si="58"/>
        <v>0.83333333333333337</v>
      </c>
      <c r="L364">
        <f t="shared" si="59"/>
        <v>315</v>
      </c>
      <c r="M364" s="6">
        <f t="shared" si="60"/>
        <v>7.2803763440860223</v>
      </c>
      <c r="N364" s="13">
        <f t="shared" si="55"/>
        <v>7.5998696107471391</v>
      </c>
      <c r="O364" s="6">
        <f t="shared" si="63"/>
        <v>2987.9353225806453</v>
      </c>
      <c r="P364" s="6">
        <f t="shared" si="64"/>
        <v>3001.3573545071145</v>
      </c>
      <c r="Q364" s="6">
        <f t="shared" si="61"/>
        <v>7.5998696107471391</v>
      </c>
      <c r="T364" s="6">
        <f t="shared" si="54"/>
        <v>7.5998696107471391</v>
      </c>
    </row>
    <row r="365" spans="2:20">
      <c r="B365">
        <f t="shared" si="62"/>
        <v>362</v>
      </c>
      <c r="C365">
        <f t="shared" si="56"/>
        <v>30</v>
      </c>
      <c r="D365">
        <v>336</v>
      </c>
      <c r="E365">
        <v>366</v>
      </c>
      <c r="F365">
        <f>TnSPLINE!F$15</f>
        <v>10.43225806451613</v>
      </c>
      <c r="G365">
        <f>TnSPLINE!F$16</f>
        <v>6.6500000000000012</v>
      </c>
      <c r="H365" s="5">
        <f>TnSPLINE!K$15</f>
        <v>2.2156895291144028E-3</v>
      </c>
      <c r="I365" s="5">
        <f>TnSPLINE!K$16</f>
        <v>-9.7748988638365949E-3</v>
      </c>
      <c r="J365">
        <f t="shared" si="57"/>
        <v>0.13333333333333333</v>
      </c>
      <c r="K365">
        <f t="shared" si="58"/>
        <v>0.8666666666666667</v>
      </c>
      <c r="L365">
        <f t="shared" si="59"/>
        <v>316</v>
      </c>
      <c r="M365" s="6">
        <f t="shared" si="60"/>
        <v>7.154301075268819</v>
      </c>
      <c r="N365" s="13">
        <f t="shared" si="55"/>
        <v>7.4270473686467957</v>
      </c>
      <c r="O365" s="6">
        <f t="shared" si="63"/>
        <v>2995.0896236559142</v>
      </c>
      <c r="P365" s="6">
        <f t="shared" si="64"/>
        <v>3008.7844018757614</v>
      </c>
      <c r="Q365" s="6">
        <f t="shared" si="61"/>
        <v>7.4270473686467957</v>
      </c>
      <c r="T365" s="6">
        <f t="shared" si="54"/>
        <v>7.4270473686467957</v>
      </c>
    </row>
    <row r="366" spans="2:20">
      <c r="B366">
        <f t="shared" si="62"/>
        <v>363</v>
      </c>
      <c r="C366">
        <f t="shared" si="56"/>
        <v>30</v>
      </c>
      <c r="D366">
        <v>336</v>
      </c>
      <c r="E366">
        <v>366</v>
      </c>
      <c r="F366">
        <f>TnSPLINE!F$15</f>
        <v>10.43225806451613</v>
      </c>
      <c r="G366">
        <f>TnSPLINE!F$16</f>
        <v>6.6500000000000012</v>
      </c>
      <c r="H366" s="5">
        <f>TnSPLINE!K$15</f>
        <v>2.2156895291144028E-3</v>
      </c>
      <c r="I366" s="5">
        <f>TnSPLINE!K$16</f>
        <v>-9.7748988638365949E-3</v>
      </c>
      <c r="J366">
        <f t="shared" si="57"/>
        <v>0.1</v>
      </c>
      <c r="K366">
        <f t="shared" si="58"/>
        <v>0.9</v>
      </c>
      <c r="L366">
        <f t="shared" si="59"/>
        <v>317</v>
      </c>
      <c r="M366" s="6">
        <f t="shared" si="60"/>
        <v>7.0282258064516139</v>
      </c>
      <c r="N366" s="13">
        <f t="shared" si="55"/>
        <v>7.2460489728016739</v>
      </c>
      <c r="O366" s="6">
        <f t="shared" si="63"/>
        <v>3002.1178494623659</v>
      </c>
      <c r="P366" s="6">
        <f t="shared" si="64"/>
        <v>3016.0304508485633</v>
      </c>
      <c r="Q366" s="6">
        <f t="shared" si="61"/>
        <v>7.2460489728016739</v>
      </c>
      <c r="T366" s="6">
        <f t="shared" si="54"/>
        <v>7.2460489728016739</v>
      </c>
    </row>
    <row r="367" spans="2:20">
      <c r="B367">
        <f t="shared" si="62"/>
        <v>364</v>
      </c>
      <c r="C367">
        <f t="shared" si="56"/>
        <v>30</v>
      </c>
      <c r="D367">
        <v>336</v>
      </c>
      <c r="E367">
        <v>366</v>
      </c>
      <c r="F367">
        <f>TnSPLINE!F$15</f>
        <v>10.43225806451613</v>
      </c>
      <c r="G367">
        <f>TnSPLINE!F$16</f>
        <v>6.6500000000000012</v>
      </c>
      <c r="H367" s="5">
        <f>TnSPLINE!K$15</f>
        <v>2.2156895291144028E-3</v>
      </c>
      <c r="I367" s="5">
        <f>TnSPLINE!K$16</f>
        <v>-9.7748988638365949E-3</v>
      </c>
      <c r="J367">
        <f t="shared" si="57"/>
        <v>6.6666666666666666E-2</v>
      </c>
      <c r="K367">
        <f t="shared" si="58"/>
        <v>0.93333333333333335</v>
      </c>
      <c r="L367">
        <f t="shared" si="59"/>
        <v>318</v>
      </c>
      <c r="M367" s="6">
        <f t="shared" si="60"/>
        <v>6.9021505376344097</v>
      </c>
      <c r="N367" s="13">
        <f t="shared" si="55"/>
        <v>7.0564747369320111</v>
      </c>
      <c r="O367" s="6">
        <f t="shared" si="63"/>
        <v>3009.0200000000004</v>
      </c>
      <c r="P367" s="6">
        <f t="shared" si="64"/>
        <v>3023.0869255854955</v>
      </c>
      <c r="Q367" s="6">
        <f t="shared" si="61"/>
        <v>7.0564747369320111</v>
      </c>
      <c r="T367" s="6">
        <f t="shared" si="54"/>
        <v>7.0564747369320111</v>
      </c>
    </row>
    <row r="368" spans="2:20">
      <c r="B368">
        <f t="shared" si="62"/>
        <v>365</v>
      </c>
      <c r="C368">
        <f t="shared" si="56"/>
        <v>30</v>
      </c>
      <c r="D368">
        <v>336</v>
      </c>
      <c r="E368">
        <v>366</v>
      </c>
      <c r="F368">
        <f>TnSPLINE!F$15</f>
        <v>10.43225806451613</v>
      </c>
      <c r="G368">
        <f>TnSPLINE!F$16</f>
        <v>6.6500000000000012</v>
      </c>
      <c r="H368" s="5">
        <f>TnSPLINE!K$15</f>
        <v>2.2156895291144028E-3</v>
      </c>
      <c r="I368" s="5">
        <f>TnSPLINE!K$16</f>
        <v>-9.7748988638365949E-3</v>
      </c>
      <c r="J368">
        <f t="shared" si="57"/>
        <v>3.3333333333333333E-2</v>
      </c>
      <c r="K368">
        <f t="shared" si="58"/>
        <v>0.96666666666666667</v>
      </c>
      <c r="L368">
        <f t="shared" si="59"/>
        <v>319</v>
      </c>
      <c r="M368" s="6">
        <f t="shared" si="60"/>
        <v>6.7760752688172055</v>
      </c>
      <c r="N368" s="13">
        <f t="shared" si="55"/>
        <v>6.857924974758042</v>
      </c>
      <c r="O368" s="6">
        <f t="shared" si="63"/>
        <v>3015.7960752688177</v>
      </c>
      <c r="P368" s="6">
        <f t="shared" si="64"/>
        <v>3029.9448505602536</v>
      </c>
      <c r="Q368" s="6">
        <f t="shared" si="61"/>
        <v>6.857924974758042</v>
      </c>
      <c r="T368" s="6">
        <f t="shared" si="54"/>
        <v>6.857924974758042</v>
      </c>
    </row>
    <row r="369" spans="1:20">
      <c r="A369">
        <v>366</v>
      </c>
      <c r="B369">
        <f t="shared" si="62"/>
        <v>366</v>
      </c>
      <c r="C369">
        <f t="shared" si="56"/>
        <v>30</v>
      </c>
      <c r="D369">
        <v>336</v>
      </c>
      <c r="E369">
        <v>366</v>
      </c>
      <c r="F369">
        <f>TnSPLINE!F$15</f>
        <v>10.43225806451613</v>
      </c>
      <c r="G369">
        <f>TnSPLINE!F$16</f>
        <v>6.6500000000000012</v>
      </c>
      <c r="H369" s="5">
        <f>TnSPLINE!K$15</f>
        <v>2.2156895291144028E-3</v>
      </c>
      <c r="I369" s="5">
        <f>TnSPLINE!K$16</f>
        <v>-9.7748988638365949E-3</v>
      </c>
      <c r="J369">
        <f t="shared" si="57"/>
        <v>0</v>
      </c>
      <c r="K369">
        <f t="shared" si="58"/>
        <v>1</v>
      </c>
      <c r="L369">
        <f t="shared" si="59"/>
        <v>320</v>
      </c>
      <c r="M369" s="6">
        <f t="shared" si="60"/>
        <v>6.6500000000000012</v>
      </c>
      <c r="N369" s="13">
        <f t="shared" si="55"/>
        <v>6.6500000000000012</v>
      </c>
      <c r="O369" s="6">
        <f t="shared" si="63"/>
        <v>3022.4460752688178</v>
      </c>
      <c r="P369" s="6">
        <f t="shared" si="64"/>
        <v>3036.5948505602537</v>
      </c>
      <c r="Q369" s="6">
        <f t="shared" si="61"/>
        <v>6.6500000000000012</v>
      </c>
      <c r="T369" s="6">
        <f t="shared" si="54"/>
        <v>6.6500000000000012</v>
      </c>
    </row>
    <row r="370" spans="1:20">
      <c r="B370">
        <f t="shared" si="62"/>
        <v>367</v>
      </c>
      <c r="C370">
        <f t="shared" si="56"/>
        <v>31</v>
      </c>
      <c r="D370">
        <v>366</v>
      </c>
      <c r="E370">
        <v>397</v>
      </c>
      <c r="F370">
        <f>TnSPLINE!F$16</f>
        <v>6.6500000000000012</v>
      </c>
      <c r="G370">
        <f>TnSPLINE!F$17</f>
        <v>-1.0322580645161292</v>
      </c>
      <c r="H370" s="5">
        <f>TnSPLINE!K$16</f>
        <v>-9.7748988638365949E-3</v>
      </c>
      <c r="I370" s="5">
        <f>TnSPLINE!K$17</f>
        <v>1.2762255831276614E-2</v>
      </c>
      <c r="J370">
        <f t="shared" si="57"/>
        <v>0.967741935483871</v>
      </c>
      <c r="K370">
        <f t="shared" si="58"/>
        <v>3.2258064516129031E-2</v>
      </c>
      <c r="L370">
        <f t="shared" si="59"/>
        <v>321</v>
      </c>
      <c r="M370" s="6">
        <f t="shared" si="60"/>
        <v>6.4021852237252883</v>
      </c>
      <c r="N370" s="13">
        <f t="shared" si="55"/>
        <v>6.4324879082564461</v>
      </c>
      <c r="O370" s="6">
        <f t="shared" si="63"/>
        <v>3028.848260492543</v>
      </c>
      <c r="P370" s="6">
        <f t="shared" si="64"/>
        <v>3043.0273384685102</v>
      </c>
      <c r="Q370" s="6">
        <f t="shared" si="61"/>
        <v>6.4324879082564461</v>
      </c>
      <c r="T370" s="6">
        <f t="shared" ref="T370:T414" si="65">N370</f>
        <v>6.4324879082564461</v>
      </c>
    </row>
    <row r="371" spans="1:20">
      <c r="B371">
        <f t="shared" si="62"/>
        <v>368</v>
      </c>
      <c r="C371">
        <f t="shared" si="56"/>
        <v>31</v>
      </c>
      <c r="D371">
        <v>366</v>
      </c>
      <c r="E371">
        <v>397</v>
      </c>
      <c r="F371">
        <f>TnSPLINE!F$16</f>
        <v>6.6500000000000012</v>
      </c>
      <c r="G371">
        <f>TnSPLINE!F$17</f>
        <v>-1.0322580645161292</v>
      </c>
      <c r="H371" s="5">
        <f>TnSPLINE!K$16</f>
        <v>-9.7748988638365949E-3</v>
      </c>
      <c r="I371" s="5">
        <f>TnSPLINE!K$17</f>
        <v>1.2762255831276614E-2</v>
      </c>
      <c r="J371">
        <f t="shared" si="57"/>
        <v>0.93548387096774188</v>
      </c>
      <c r="K371">
        <f t="shared" si="58"/>
        <v>6.4516129032258063E-2</v>
      </c>
      <c r="L371">
        <f t="shared" si="59"/>
        <v>322</v>
      </c>
      <c r="M371" s="6">
        <f t="shared" si="60"/>
        <v>6.1543704474505727</v>
      </c>
      <c r="N371" s="13">
        <f t="shared" si="55"/>
        <v>6.2059279226392174</v>
      </c>
      <c r="O371" s="6">
        <f t="shared" si="63"/>
        <v>3035.0026309399937</v>
      </c>
      <c r="P371" s="6">
        <f t="shared" si="64"/>
        <v>3049.2332663911493</v>
      </c>
      <c r="Q371" s="6">
        <f t="shared" si="61"/>
        <v>6.2059279226392174</v>
      </c>
      <c r="T371" s="6">
        <f t="shared" si="65"/>
        <v>6.2059279226392174</v>
      </c>
    </row>
    <row r="372" spans="1:20">
      <c r="B372">
        <f t="shared" si="62"/>
        <v>369</v>
      </c>
      <c r="C372">
        <f t="shared" si="56"/>
        <v>31</v>
      </c>
      <c r="D372">
        <v>366</v>
      </c>
      <c r="E372">
        <v>397</v>
      </c>
      <c r="F372">
        <f>TnSPLINE!F$16</f>
        <v>6.6500000000000012</v>
      </c>
      <c r="G372">
        <f>TnSPLINE!F$17</f>
        <v>-1.0322580645161292</v>
      </c>
      <c r="H372" s="5">
        <f>TnSPLINE!K$16</f>
        <v>-9.7748988638365949E-3</v>
      </c>
      <c r="I372" s="5">
        <f>TnSPLINE!K$17</f>
        <v>1.2762255831276614E-2</v>
      </c>
      <c r="J372">
        <f t="shared" si="57"/>
        <v>0.90322580645161288</v>
      </c>
      <c r="K372">
        <f t="shared" si="58"/>
        <v>9.6774193548387094E-2</v>
      </c>
      <c r="L372">
        <f t="shared" si="59"/>
        <v>323</v>
      </c>
      <c r="M372" s="6">
        <f t="shared" si="60"/>
        <v>5.9065556711758598</v>
      </c>
      <c r="N372" s="13">
        <f t="shared" si="55"/>
        <v>5.9710470481384847</v>
      </c>
      <c r="O372" s="6">
        <f t="shared" si="63"/>
        <v>3040.9091866111694</v>
      </c>
      <c r="P372" s="6">
        <f t="shared" si="64"/>
        <v>3055.2043134392879</v>
      </c>
      <c r="Q372" s="6">
        <f t="shared" si="61"/>
        <v>5.9710470481384847</v>
      </c>
      <c r="T372" s="6">
        <f t="shared" si="65"/>
        <v>5.9710470481384847</v>
      </c>
    </row>
    <row r="373" spans="1:20">
      <c r="B373">
        <f t="shared" si="62"/>
        <v>370</v>
      </c>
      <c r="C373">
        <f t="shared" si="56"/>
        <v>31</v>
      </c>
      <c r="D373">
        <v>366</v>
      </c>
      <c r="E373">
        <v>397</v>
      </c>
      <c r="F373">
        <f>TnSPLINE!F$16</f>
        <v>6.6500000000000012</v>
      </c>
      <c r="G373">
        <f>TnSPLINE!F$17</f>
        <v>-1.0322580645161292</v>
      </c>
      <c r="H373" s="5">
        <f>TnSPLINE!K$16</f>
        <v>-9.7748988638365949E-3</v>
      </c>
      <c r="I373" s="5">
        <f>TnSPLINE!K$17</f>
        <v>1.2762255831276614E-2</v>
      </c>
      <c r="J373">
        <f t="shared" si="57"/>
        <v>0.87096774193548387</v>
      </c>
      <c r="K373">
        <f t="shared" si="58"/>
        <v>0.12903225806451613</v>
      </c>
      <c r="L373">
        <f t="shared" si="59"/>
        <v>324</v>
      </c>
      <c r="M373" s="6">
        <f t="shared" si="60"/>
        <v>5.658740894901146</v>
      </c>
      <c r="N373" s="13">
        <f t="shared" si="55"/>
        <v>5.7285722897444087</v>
      </c>
      <c r="O373" s="6">
        <f t="shared" si="63"/>
        <v>3046.5679275060706</v>
      </c>
      <c r="P373" s="6">
        <f t="shared" si="64"/>
        <v>3060.9328857290325</v>
      </c>
      <c r="Q373" s="6">
        <f t="shared" si="61"/>
        <v>5.7285722897444087</v>
      </c>
      <c r="T373" s="6">
        <f t="shared" si="65"/>
        <v>5.7285722897444087</v>
      </c>
    </row>
    <row r="374" spans="1:20">
      <c r="B374">
        <f t="shared" si="62"/>
        <v>371</v>
      </c>
      <c r="C374">
        <f t="shared" si="56"/>
        <v>31</v>
      </c>
      <c r="D374">
        <v>366</v>
      </c>
      <c r="E374">
        <v>397</v>
      </c>
      <c r="F374">
        <f>TnSPLINE!F$16</f>
        <v>6.6500000000000012</v>
      </c>
      <c r="G374">
        <f>TnSPLINE!F$17</f>
        <v>-1.0322580645161292</v>
      </c>
      <c r="H374" s="5">
        <f>TnSPLINE!K$16</f>
        <v>-9.7748988638365949E-3</v>
      </c>
      <c r="I374" s="5">
        <f>TnSPLINE!K$17</f>
        <v>1.2762255831276614E-2</v>
      </c>
      <c r="J374">
        <f t="shared" si="57"/>
        <v>0.83870967741935487</v>
      </c>
      <c r="K374">
        <f t="shared" si="58"/>
        <v>0.16129032258064516</v>
      </c>
      <c r="L374">
        <f t="shared" si="59"/>
        <v>325</v>
      </c>
      <c r="M374" s="6">
        <f t="shared" si="60"/>
        <v>5.4109261186264321</v>
      </c>
      <c r="N374" s="13">
        <f t="shared" si="55"/>
        <v>5.4792306524471561</v>
      </c>
      <c r="O374" s="6">
        <f t="shared" si="63"/>
        <v>3051.978853624697</v>
      </c>
      <c r="P374" s="6">
        <f t="shared" si="64"/>
        <v>3066.4121163814798</v>
      </c>
      <c r="Q374" s="6">
        <f t="shared" si="61"/>
        <v>5.4792306524471561</v>
      </c>
      <c r="T374" s="6">
        <f t="shared" si="65"/>
        <v>5.4792306524471561</v>
      </c>
    </row>
    <row r="375" spans="1:20">
      <c r="B375">
        <f t="shared" si="62"/>
        <v>372</v>
      </c>
      <c r="C375">
        <f t="shared" si="56"/>
        <v>31</v>
      </c>
      <c r="D375">
        <v>366</v>
      </c>
      <c r="E375">
        <v>397</v>
      </c>
      <c r="F375">
        <f>TnSPLINE!F$16</f>
        <v>6.6500000000000012</v>
      </c>
      <c r="G375">
        <f>TnSPLINE!F$17</f>
        <v>-1.0322580645161292</v>
      </c>
      <c r="H375" s="5">
        <f>TnSPLINE!K$16</f>
        <v>-9.7748988638365949E-3</v>
      </c>
      <c r="I375" s="5">
        <f>TnSPLINE!K$17</f>
        <v>1.2762255831276614E-2</v>
      </c>
      <c r="J375">
        <f t="shared" si="57"/>
        <v>0.80645161290322576</v>
      </c>
      <c r="K375">
        <f t="shared" si="58"/>
        <v>0.19354838709677419</v>
      </c>
      <c r="L375">
        <f t="shared" si="59"/>
        <v>326</v>
      </c>
      <c r="M375" s="6">
        <f t="shared" si="60"/>
        <v>5.1631113423517174</v>
      </c>
      <c r="N375" s="13">
        <f t="shared" ref="N375:N408" si="66">Q375</f>
        <v>5.2237491412368904</v>
      </c>
      <c r="O375" s="6">
        <f t="shared" si="63"/>
        <v>3057.1419649670488</v>
      </c>
      <c r="P375" s="6">
        <f t="shared" si="64"/>
        <v>3071.6358655227168</v>
      </c>
      <c r="Q375" s="6">
        <f t="shared" si="61"/>
        <v>5.2237491412368904</v>
      </c>
      <c r="T375" s="6">
        <f t="shared" si="65"/>
        <v>5.2237491412368904</v>
      </c>
    </row>
    <row r="376" spans="1:20">
      <c r="B376">
        <f t="shared" si="62"/>
        <v>373</v>
      </c>
      <c r="C376">
        <f t="shared" si="56"/>
        <v>31</v>
      </c>
      <c r="D376">
        <v>366</v>
      </c>
      <c r="E376">
        <v>397</v>
      </c>
      <c r="F376">
        <f>TnSPLINE!F$16</f>
        <v>6.6500000000000012</v>
      </c>
      <c r="G376">
        <f>TnSPLINE!F$17</f>
        <v>-1.0322580645161292</v>
      </c>
      <c r="H376" s="5">
        <f>TnSPLINE!K$16</f>
        <v>-9.7748988638365949E-3</v>
      </c>
      <c r="I376" s="5">
        <f>TnSPLINE!K$17</f>
        <v>1.2762255831276614E-2</v>
      </c>
      <c r="J376">
        <f t="shared" si="57"/>
        <v>0.77419354838709675</v>
      </c>
      <c r="K376">
        <f t="shared" si="58"/>
        <v>0.22580645161290322</v>
      </c>
      <c r="L376">
        <f t="shared" si="59"/>
        <v>327</v>
      </c>
      <c r="M376" s="6">
        <f t="shared" si="60"/>
        <v>4.9152965660770036</v>
      </c>
      <c r="N376" s="13">
        <f t="shared" si="66"/>
        <v>4.9628547611037792</v>
      </c>
      <c r="O376" s="6">
        <f t="shared" si="63"/>
        <v>3062.0572615331257</v>
      </c>
      <c r="P376" s="6">
        <f t="shared" si="64"/>
        <v>3076.5987202838205</v>
      </c>
      <c r="Q376" s="6">
        <f t="shared" si="61"/>
        <v>4.9628547611037792</v>
      </c>
      <c r="T376" s="6">
        <f t="shared" si="65"/>
        <v>4.9628547611037792</v>
      </c>
    </row>
    <row r="377" spans="1:20">
      <c r="B377">
        <f t="shared" si="62"/>
        <v>374</v>
      </c>
      <c r="C377">
        <f t="shared" si="56"/>
        <v>31</v>
      </c>
      <c r="D377">
        <v>366</v>
      </c>
      <c r="E377">
        <v>397</v>
      </c>
      <c r="F377">
        <f>TnSPLINE!F$16</f>
        <v>6.6500000000000012</v>
      </c>
      <c r="G377">
        <f>TnSPLINE!F$17</f>
        <v>-1.0322580645161292</v>
      </c>
      <c r="H377" s="5">
        <f>TnSPLINE!K$16</f>
        <v>-9.7748988638365949E-3</v>
      </c>
      <c r="I377" s="5">
        <f>TnSPLINE!K$17</f>
        <v>1.2762255831276614E-2</v>
      </c>
      <c r="J377">
        <f t="shared" si="57"/>
        <v>0.74193548387096775</v>
      </c>
      <c r="K377">
        <f t="shared" si="58"/>
        <v>0.25806451612903225</v>
      </c>
      <c r="L377">
        <f t="shared" si="59"/>
        <v>328</v>
      </c>
      <c r="M377" s="6">
        <f t="shared" si="60"/>
        <v>4.6674817898022898</v>
      </c>
      <c r="N377" s="13">
        <f t="shared" si="66"/>
        <v>4.6972745170379859</v>
      </c>
      <c r="O377" s="6">
        <f t="shared" si="63"/>
        <v>3066.7247433229281</v>
      </c>
      <c r="P377" s="6">
        <f t="shared" si="64"/>
        <v>3081.2959948008584</v>
      </c>
      <c r="Q377" s="6">
        <f t="shared" si="61"/>
        <v>4.6972745170379859</v>
      </c>
      <c r="T377" s="6">
        <f t="shared" si="65"/>
        <v>4.6972745170379859</v>
      </c>
    </row>
    <row r="378" spans="1:20">
      <c r="B378">
        <f t="shared" si="62"/>
        <v>375</v>
      </c>
      <c r="C378">
        <f t="shared" si="56"/>
        <v>31</v>
      </c>
      <c r="D378">
        <v>366</v>
      </c>
      <c r="E378">
        <v>397</v>
      </c>
      <c r="F378">
        <f>TnSPLINE!F$16</f>
        <v>6.6500000000000012</v>
      </c>
      <c r="G378">
        <f>TnSPLINE!F$17</f>
        <v>-1.0322580645161292</v>
      </c>
      <c r="H378" s="5">
        <f>TnSPLINE!K$16</f>
        <v>-9.7748988638365949E-3</v>
      </c>
      <c r="I378" s="5">
        <f>TnSPLINE!K$17</f>
        <v>1.2762255831276614E-2</v>
      </c>
      <c r="J378">
        <f t="shared" si="57"/>
        <v>0.70967741935483875</v>
      </c>
      <c r="K378">
        <f t="shared" si="58"/>
        <v>0.29032258064516131</v>
      </c>
      <c r="L378">
        <f t="shared" si="59"/>
        <v>329</v>
      </c>
      <c r="M378" s="6">
        <f t="shared" si="60"/>
        <v>4.4196670135275768</v>
      </c>
      <c r="N378" s="13">
        <f t="shared" si="66"/>
        <v>4.4277354140296756</v>
      </c>
      <c r="O378" s="6">
        <f t="shared" si="63"/>
        <v>3071.1444103364556</v>
      </c>
      <c r="P378" s="6">
        <f t="shared" si="64"/>
        <v>3085.7237302148878</v>
      </c>
      <c r="Q378" s="6">
        <f t="shared" si="61"/>
        <v>4.4277354140296756</v>
      </c>
      <c r="T378" s="6">
        <f t="shared" si="65"/>
        <v>4.4277354140296756</v>
      </c>
    </row>
    <row r="379" spans="1:20">
      <c r="B379">
        <f t="shared" si="62"/>
        <v>376</v>
      </c>
      <c r="C379">
        <f t="shared" si="56"/>
        <v>31</v>
      </c>
      <c r="D379">
        <v>366</v>
      </c>
      <c r="E379">
        <v>397</v>
      </c>
      <c r="F379">
        <f>TnSPLINE!F$16</f>
        <v>6.6500000000000012</v>
      </c>
      <c r="G379">
        <f>TnSPLINE!F$17</f>
        <v>-1.0322580645161292</v>
      </c>
      <c r="H379" s="5">
        <f>TnSPLINE!K$16</f>
        <v>-9.7748988638365949E-3</v>
      </c>
      <c r="I379" s="5">
        <f>TnSPLINE!K$17</f>
        <v>1.2762255831276614E-2</v>
      </c>
      <c r="J379">
        <f t="shared" si="57"/>
        <v>0.67741935483870963</v>
      </c>
      <c r="K379">
        <f t="shared" si="58"/>
        <v>0.32258064516129031</v>
      </c>
      <c r="L379">
        <f t="shared" si="59"/>
        <v>330</v>
      </c>
      <c r="M379" s="6">
        <f t="shared" si="60"/>
        <v>4.1718522372528621</v>
      </c>
      <c r="N379" s="13">
        <f t="shared" si="66"/>
        <v>4.1549644570690125</v>
      </c>
      <c r="O379" s="6">
        <f t="shared" si="63"/>
        <v>3075.3162625737086</v>
      </c>
      <c r="P379" s="6">
        <f t="shared" si="64"/>
        <v>3089.878694671957</v>
      </c>
      <c r="Q379" s="6">
        <f t="shared" si="61"/>
        <v>4.1549644570690125</v>
      </c>
      <c r="T379" s="6">
        <f t="shared" si="65"/>
        <v>4.1549644570690125</v>
      </c>
    </row>
    <row r="380" spans="1:20">
      <c r="B380">
        <f t="shared" si="62"/>
        <v>377</v>
      </c>
      <c r="C380">
        <f t="shared" si="56"/>
        <v>31</v>
      </c>
      <c r="D380">
        <v>366</v>
      </c>
      <c r="E380">
        <v>397</v>
      </c>
      <c r="F380">
        <f>TnSPLINE!F$16</f>
        <v>6.6500000000000012</v>
      </c>
      <c r="G380">
        <f>TnSPLINE!F$17</f>
        <v>-1.0322580645161292</v>
      </c>
      <c r="H380" s="5">
        <f>TnSPLINE!K$16</f>
        <v>-9.7748988638365949E-3</v>
      </c>
      <c r="I380" s="5">
        <f>TnSPLINE!K$17</f>
        <v>1.2762255831276614E-2</v>
      </c>
      <c r="J380">
        <f t="shared" si="57"/>
        <v>0.64516129032258063</v>
      </c>
      <c r="K380">
        <f t="shared" si="58"/>
        <v>0.35483870967741937</v>
      </c>
      <c r="L380">
        <f t="shared" si="59"/>
        <v>331</v>
      </c>
      <c r="M380" s="6">
        <f t="shared" si="60"/>
        <v>3.9240374609781483</v>
      </c>
      <c r="N380" s="13">
        <f t="shared" si="66"/>
        <v>3.879688651146163</v>
      </c>
      <c r="O380" s="6">
        <f t="shared" si="63"/>
        <v>3079.2403000346867</v>
      </c>
      <c r="P380" s="6">
        <f t="shared" si="64"/>
        <v>3093.7583833231033</v>
      </c>
      <c r="Q380" s="6">
        <f t="shared" si="61"/>
        <v>3.879688651146163</v>
      </c>
      <c r="T380" s="6">
        <f t="shared" si="65"/>
        <v>3.879688651146163</v>
      </c>
    </row>
    <row r="381" spans="1:20">
      <c r="B381">
        <f t="shared" si="62"/>
        <v>378</v>
      </c>
      <c r="C381">
        <f t="shared" si="56"/>
        <v>31</v>
      </c>
      <c r="D381">
        <v>366</v>
      </c>
      <c r="E381">
        <v>397</v>
      </c>
      <c r="F381">
        <f>TnSPLINE!F$16</f>
        <v>6.6500000000000012</v>
      </c>
      <c r="G381">
        <f>TnSPLINE!F$17</f>
        <v>-1.0322580645161292</v>
      </c>
      <c r="H381" s="5">
        <f>TnSPLINE!K$16</f>
        <v>-9.7748988638365949E-3</v>
      </c>
      <c r="I381" s="5">
        <f>TnSPLINE!K$17</f>
        <v>1.2762255831276614E-2</v>
      </c>
      <c r="J381">
        <f t="shared" si="57"/>
        <v>0.61290322580645162</v>
      </c>
      <c r="K381">
        <f t="shared" si="58"/>
        <v>0.38709677419354838</v>
      </c>
      <c r="L381">
        <f t="shared" si="59"/>
        <v>332</v>
      </c>
      <c r="M381" s="6">
        <f t="shared" si="60"/>
        <v>3.6762226847034349</v>
      </c>
      <c r="N381" s="13">
        <f t="shared" si="66"/>
        <v>3.6026350012512913</v>
      </c>
      <c r="O381" s="6">
        <f t="shared" si="63"/>
        <v>3082.9165227193903</v>
      </c>
      <c r="P381" s="6">
        <f t="shared" si="64"/>
        <v>3097.3610183243545</v>
      </c>
      <c r="Q381" s="6">
        <f t="shared" si="61"/>
        <v>3.6026350012512913</v>
      </c>
      <c r="T381" s="6">
        <f t="shared" si="65"/>
        <v>3.6026350012512913</v>
      </c>
    </row>
    <row r="382" spans="1:20">
      <c r="B382">
        <f t="shared" si="62"/>
        <v>379</v>
      </c>
      <c r="C382">
        <f t="shared" si="56"/>
        <v>31</v>
      </c>
      <c r="D382">
        <v>366</v>
      </c>
      <c r="E382">
        <v>397</v>
      </c>
      <c r="F382">
        <f>TnSPLINE!F$16</f>
        <v>6.6500000000000012</v>
      </c>
      <c r="G382">
        <f>TnSPLINE!F$17</f>
        <v>-1.0322580645161292</v>
      </c>
      <c r="H382" s="5">
        <f>TnSPLINE!K$16</f>
        <v>-9.7748988638365949E-3</v>
      </c>
      <c r="I382" s="5">
        <f>TnSPLINE!K$17</f>
        <v>1.2762255831276614E-2</v>
      </c>
      <c r="J382">
        <f t="shared" si="57"/>
        <v>0.58064516129032262</v>
      </c>
      <c r="K382">
        <f t="shared" si="58"/>
        <v>0.41935483870967744</v>
      </c>
      <c r="L382">
        <f t="shared" si="59"/>
        <v>333</v>
      </c>
      <c r="M382" s="6">
        <f t="shared" si="60"/>
        <v>3.4284079084287207</v>
      </c>
      <c r="N382" s="13">
        <f t="shared" si="66"/>
        <v>3.3245305123745612</v>
      </c>
      <c r="O382" s="6">
        <f t="shared" si="63"/>
        <v>3086.3449306278189</v>
      </c>
      <c r="P382" s="6">
        <f t="shared" si="64"/>
        <v>3100.6855488367291</v>
      </c>
      <c r="Q382" s="6">
        <f t="shared" si="61"/>
        <v>3.3245305123745612</v>
      </c>
      <c r="T382" s="6">
        <f t="shared" si="65"/>
        <v>3.3245305123745612</v>
      </c>
    </row>
    <row r="383" spans="1:20">
      <c r="B383">
        <f t="shared" si="62"/>
        <v>380</v>
      </c>
      <c r="C383">
        <f t="shared" si="56"/>
        <v>31</v>
      </c>
      <c r="D383">
        <v>366</v>
      </c>
      <c r="E383">
        <v>397</v>
      </c>
      <c r="F383">
        <f>TnSPLINE!F$16</f>
        <v>6.6500000000000012</v>
      </c>
      <c r="G383">
        <f>TnSPLINE!F$17</f>
        <v>-1.0322580645161292</v>
      </c>
      <c r="H383" s="5">
        <f>TnSPLINE!K$16</f>
        <v>-9.7748988638365949E-3</v>
      </c>
      <c r="I383" s="5">
        <f>TnSPLINE!K$17</f>
        <v>1.2762255831276614E-2</v>
      </c>
      <c r="J383">
        <f t="shared" si="57"/>
        <v>0.54838709677419351</v>
      </c>
      <c r="K383">
        <f t="shared" si="58"/>
        <v>0.45161290322580644</v>
      </c>
      <c r="L383">
        <f t="shared" si="59"/>
        <v>334</v>
      </c>
      <c r="M383" s="6">
        <f t="shared" si="60"/>
        <v>3.1805931321540064</v>
      </c>
      <c r="N383" s="13">
        <f t="shared" si="66"/>
        <v>3.0461021895061395</v>
      </c>
      <c r="O383" s="6">
        <f t="shared" si="63"/>
        <v>3089.5255237599731</v>
      </c>
      <c r="P383" s="6">
        <f t="shared" si="64"/>
        <v>3103.7316510262353</v>
      </c>
      <c r="Q383" s="6">
        <f t="shared" si="61"/>
        <v>3.0461021895061395</v>
      </c>
      <c r="T383" s="6">
        <f t="shared" si="65"/>
        <v>3.0461021895061395</v>
      </c>
    </row>
    <row r="384" spans="1:20">
      <c r="B384">
        <f t="shared" si="62"/>
        <v>381</v>
      </c>
      <c r="C384">
        <f t="shared" si="56"/>
        <v>31</v>
      </c>
      <c r="D384">
        <v>366</v>
      </c>
      <c r="E384">
        <v>397</v>
      </c>
      <c r="F384">
        <f>TnSPLINE!F$16</f>
        <v>6.6500000000000012</v>
      </c>
      <c r="G384">
        <f>TnSPLINE!F$17</f>
        <v>-1.0322580645161292</v>
      </c>
      <c r="H384" s="5">
        <f>TnSPLINE!K$16</f>
        <v>-9.7748988638365949E-3</v>
      </c>
      <c r="I384" s="5">
        <f>TnSPLINE!K$17</f>
        <v>1.2762255831276614E-2</v>
      </c>
      <c r="J384">
        <f t="shared" si="57"/>
        <v>0.5161290322580645</v>
      </c>
      <c r="K384">
        <f t="shared" si="58"/>
        <v>0.4838709677419355</v>
      </c>
      <c r="L384">
        <f t="shared" si="59"/>
        <v>335</v>
      </c>
      <c r="M384" s="6">
        <f t="shared" si="60"/>
        <v>2.9327783558792926</v>
      </c>
      <c r="N384" s="13">
        <f t="shared" si="66"/>
        <v>2.7680770376361905</v>
      </c>
      <c r="O384" s="6">
        <f t="shared" si="63"/>
        <v>3092.4583021158523</v>
      </c>
      <c r="P384" s="6">
        <f t="shared" si="64"/>
        <v>3106.4997280638713</v>
      </c>
      <c r="Q384" s="6">
        <f t="shared" si="61"/>
        <v>2.7680770376361905</v>
      </c>
      <c r="T384" s="6">
        <f t="shared" si="65"/>
        <v>2.7680770376361905</v>
      </c>
    </row>
    <row r="385" spans="1:20">
      <c r="B385">
        <f t="shared" si="62"/>
        <v>382</v>
      </c>
      <c r="C385">
        <f t="shared" si="56"/>
        <v>31</v>
      </c>
      <c r="D385">
        <v>366</v>
      </c>
      <c r="E385">
        <v>397</v>
      </c>
      <c r="F385">
        <f>TnSPLINE!F$16</f>
        <v>6.6500000000000012</v>
      </c>
      <c r="G385">
        <f>TnSPLINE!F$17</f>
        <v>-1.0322580645161292</v>
      </c>
      <c r="H385" s="5">
        <f>TnSPLINE!K$16</f>
        <v>-9.7748988638365949E-3</v>
      </c>
      <c r="I385" s="5">
        <f>TnSPLINE!K$17</f>
        <v>1.2762255831276614E-2</v>
      </c>
      <c r="J385">
        <f t="shared" si="57"/>
        <v>0.4838709677419355</v>
      </c>
      <c r="K385">
        <f t="shared" si="58"/>
        <v>0.5161290322580645</v>
      </c>
      <c r="L385">
        <f t="shared" si="59"/>
        <v>336</v>
      </c>
      <c r="M385" s="6">
        <f t="shared" si="60"/>
        <v>2.6849635796045792</v>
      </c>
      <c r="N385" s="13">
        <f t="shared" si="66"/>
        <v>2.4911820617548792</v>
      </c>
      <c r="O385" s="6">
        <f t="shared" si="63"/>
        <v>3095.1432656954571</v>
      </c>
      <c r="P385" s="6">
        <f t="shared" si="64"/>
        <v>3108.9909101256262</v>
      </c>
      <c r="Q385" s="6">
        <f t="shared" si="61"/>
        <v>2.4911820617548792</v>
      </c>
      <c r="T385" s="6">
        <f t="shared" si="65"/>
        <v>2.4911820617548792</v>
      </c>
    </row>
    <row r="386" spans="1:20">
      <c r="B386">
        <f t="shared" si="62"/>
        <v>383</v>
      </c>
      <c r="C386">
        <f t="shared" si="56"/>
        <v>31</v>
      </c>
      <c r="D386">
        <v>366</v>
      </c>
      <c r="E386">
        <v>397</v>
      </c>
      <c r="F386">
        <f>TnSPLINE!F$16</f>
        <v>6.6500000000000012</v>
      </c>
      <c r="G386">
        <f>TnSPLINE!F$17</f>
        <v>-1.0322580645161292</v>
      </c>
      <c r="H386" s="5">
        <f>TnSPLINE!K$16</f>
        <v>-9.7748988638365949E-3</v>
      </c>
      <c r="I386" s="5">
        <f>TnSPLINE!K$17</f>
        <v>1.2762255831276614E-2</v>
      </c>
      <c r="J386">
        <f t="shared" si="57"/>
        <v>0.45161290322580644</v>
      </c>
      <c r="K386">
        <f t="shared" si="58"/>
        <v>0.54838709677419351</v>
      </c>
      <c r="L386">
        <f t="shared" si="59"/>
        <v>337</v>
      </c>
      <c r="M386" s="6">
        <f t="shared" si="60"/>
        <v>2.4371488033298654</v>
      </c>
      <c r="N386" s="13">
        <f t="shared" si="66"/>
        <v>2.2161442668523703</v>
      </c>
      <c r="O386" s="6">
        <f t="shared" si="63"/>
        <v>3097.5804144987869</v>
      </c>
      <c r="P386" s="6">
        <f t="shared" si="64"/>
        <v>3111.2070543924788</v>
      </c>
      <c r="Q386" s="6">
        <f t="shared" si="61"/>
        <v>2.2161442668523703</v>
      </c>
      <c r="T386" s="6">
        <f t="shared" si="65"/>
        <v>2.2161442668523703</v>
      </c>
    </row>
    <row r="387" spans="1:20">
      <c r="B387">
        <f t="shared" si="62"/>
        <v>384</v>
      </c>
      <c r="C387">
        <f t="shared" si="56"/>
        <v>31</v>
      </c>
      <c r="D387">
        <v>366</v>
      </c>
      <c r="E387">
        <v>397</v>
      </c>
      <c r="F387">
        <f>TnSPLINE!F$16</f>
        <v>6.6500000000000012</v>
      </c>
      <c r="G387">
        <f>TnSPLINE!F$17</f>
        <v>-1.0322580645161292</v>
      </c>
      <c r="H387" s="5">
        <f>TnSPLINE!K$16</f>
        <v>-9.7748988638365949E-3</v>
      </c>
      <c r="I387" s="5">
        <f>TnSPLINE!K$17</f>
        <v>1.2762255831276614E-2</v>
      </c>
      <c r="J387">
        <f t="shared" si="57"/>
        <v>0.41935483870967744</v>
      </c>
      <c r="K387">
        <f t="shared" si="58"/>
        <v>0.58064516129032262</v>
      </c>
      <c r="L387">
        <f t="shared" si="59"/>
        <v>338</v>
      </c>
      <c r="M387" s="6">
        <f t="shared" si="60"/>
        <v>2.1893340270551516</v>
      </c>
      <c r="N387" s="13">
        <f t="shared" si="66"/>
        <v>1.9436906579188287</v>
      </c>
      <c r="O387" s="6">
        <f t="shared" si="63"/>
        <v>3099.7697485258423</v>
      </c>
      <c r="P387" s="6">
        <f t="shared" si="64"/>
        <v>3113.1507450503977</v>
      </c>
      <c r="Q387" s="6">
        <f t="shared" si="61"/>
        <v>1.9436906579188287</v>
      </c>
      <c r="T387" s="6">
        <f t="shared" si="65"/>
        <v>1.9436906579188287</v>
      </c>
    </row>
    <row r="388" spans="1:20">
      <c r="B388">
        <f t="shared" si="62"/>
        <v>385</v>
      </c>
      <c r="C388">
        <f t="shared" ref="C388:C451" si="67">E388-D388</f>
        <v>31</v>
      </c>
      <c r="D388">
        <v>366</v>
      </c>
      <c r="E388">
        <v>397</v>
      </c>
      <c r="F388">
        <f>TnSPLINE!F$16</f>
        <v>6.6500000000000012</v>
      </c>
      <c r="G388">
        <f>TnSPLINE!F$17</f>
        <v>-1.0322580645161292</v>
      </c>
      <c r="H388" s="5">
        <f>TnSPLINE!K$16</f>
        <v>-9.7748988638365949E-3</v>
      </c>
      <c r="I388" s="5">
        <f>TnSPLINE!K$17</f>
        <v>1.2762255831276614E-2</v>
      </c>
      <c r="J388">
        <f t="shared" ref="J388:J451" si="68">(E388-B388)/C388</f>
        <v>0.38709677419354838</v>
      </c>
      <c r="K388">
        <f t="shared" ref="K388:K451" si="69">(B388-D388)/C388</f>
        <v>0.61290322580645162</v>
      </c>
      <c r="L388">
        <f t="shared" ref="L388:L414" si="70">B388-46</f>
        <v>339</v>
      </c>
      <c r="M388" s="6">
        <f t="shared" ref="M388:M451" si="71">J388*F388+K388*G388</f>
        <v>1.9415192507804373</v>
      </c>
      <c r="N388" s="13">
        <f t="shared" si="66"/>
        <v>1.6745482399444189</v>
      </c>
      <c r="O388" s="6">
        <f t="shared" si="63"/>
        <v>3101.7112677766227</v>
      </c>
      <c r="P388" s="6">
        <f t="shared" si="64"/>
        <v>3114.825293290342</v>
      </c>
      <c r="Q388" s="6">
        <f t="shared" ref="Q388:Q451" si="72">M388+(((J388^3-J388)*H388+(K388^3-K388)*I388))*(C388^2)/6</f>
        <v>1.6745482399444189</v>
      </c>
      <c r="T388" s="6">
        <f t="shared" si="65"/>
        <v>1.6745482399444189</v>
      </c>
    </row>
    <row r="389" spans="1:20">
      <c r="B389">
        <f t="shared" ref="B389:B452" si="73">B388+1</f>
        <v>386</v>
      </c>
      <c r="C389">
        <f t="shared" si="67"/>
        <v>31</v>
      </c>
      <c r="D389">
        <v>366</v>
      </c>
      <c r="E389">
        <v>397</v>
      </c>
      <c r="F389">
        <f>TnSPLINE!F$16</f>
        <v>6.6500000000000012</v>
      </c>
      <c r="G389">
        <f>TnSPLINE!F$17</f>
        <v>-1.0322580645161292</v>
      </c>
      <c r="H389" s="5">
        <f>TnSPLINE!K$16</f>
        <v>-9.7748988638365949E-3</v>
      </c>
      <c r="I389" s="5">
        <f>TnSPLINE!K$17</f>
        <v>1.2762255831276614E-2</v>
      </c>
      <c r="J389">
        <f t="shared" si="68"/>
        <v>0.35483870967741937</v>
      </c>
      <c r="K389">
        <f t="shared" si="69"/>
        <v>0.64516129032258063</v>
      </c>
      <c r="L389">
        <f t="shared" si="70"/>
        <v>340</v>
      </c>
      <c r="M389" s="6">
        <f t="shared" si="71"/>
        <v>1.6937044745057237</v>
      </c>
      <c r="N389" s="13">
        <f t="shared" si="66"/>
        <v>1.4094440179193071</v>
      </c>
      <c r="O389" s="6">
        <f t="shared" ref="O389:O452" si="74">O388+M389</f>
        <v>3103.4049722511286</v>
      </c>
      <c r="P389" s="6">
        <f t="shared" ref="P389:P452" si="75">P388+N389</f>
        <v>3116.2347373082612</v>
      </c>
      <c r="Q389" s="6">
        <f t="shared" si="72"/>
        <v>1.4094440179193071</v>
      </c>
      <c r="T389" s="6">
        <f t="shared" si="65"/>
        <v>1.4094440179193071</v>
      </c>
    </row>
    <row r="390" spans="1:20">
      <c r="B390">
        <f t="shared" si="73"/>
        <v>387</v>
      </c>
      <c r="C390">
        <f t="shared" si="67"/>
        <v>31</v>
      </c>
      <c r="D390">
        <v>366</v>
      </c>
      <c r="E390">
        <v>397</v>
      </c>
      <c r="F390">
        <f>TnSPLINE!F$16</f>
        <v>6.6500000000000012</v>
      </c>
      <c r="G390">
        <f>TnSPLINE!F$17</f>
        <v>-1.0322580645161292</v>
      </c>
      <c r="H390" s="5">
        <f>TnSPLINE!K$16</f>
        <v>-9.7748988638365949E-3</v>
      </c>
      <c r="I390" s="5">
        <f>TnSPLINE!K$17</f>
        <v>1.2762255831276614E-2</v>
      </c>
      <c r="J390">
        <f t="shared" si="68"/>
        <v>0.32258064516129031</v>
      </c>
      <c r="K390">
        <f t="shared" si="69"/>
        <v>0.67741935483870963</v>
      </c>
      <c r="L390">
        <f t="shared" si="70"/>
        <v>341</v>
      </c>
      <c r="M390" s="6">
        <f t="shared" si="71"/>
        <v>1.4458896982310097</v>
      </c>
      <c r="N390" s="13">
        <f t="shared" si="66"/>
        <v>1.1491049968336573</v>
      </c>
      <c r="O390" s="6">
        <f t="shared" si="74"/>
        <v>3104.8508619493596</v>
      </c>
      <c r="P390" s="6">
        <f t="shared" si="75"/>
        <v>3117.3838423050947</v>
      </c>
      <c r="Q390" s="6">
        <f t="shared" si="72"/>
        <v>1.1491049968336573</v>
      </c>
      <c r="T390" s="6">
        <f t="shared" si="65"/>
        <v>1.1491049968336573</v>
      </c>
    </row>
    <row r="391" spans="1:20">
      <c r="B391">
        <f t="shared" si="73"/>
        <v>388</v>
      </c>
      <c r="C391">
        <f t="shared" si="67"/>
        <v>31</v>
      </c>
      <c r="D391">
        <v>366</v>
      </c>
      <c r="E391">
        <v>397</v>
      </c>
      <c r="F391">
        <f>TnSPLINE!F$16</f>
        <v>6.6500000000000012</v>
      </c>
      <c r="G391">
        <f>TnSPLINE!F$17</f>
        <v>-1.0322580645161292</v>
      </c>
      <c r="H391" s="5">
        <f>TnSPLINE!K$16</f>
        <v>-9.7748988638365949E-3</v>
      </c>
      <c r="I391" s="5">
        <f>TnSPLINE!K$17</f>
        <v>1.2762255831276614E-2</v>
      </c>
      <c r="J391">
        <f t="shared" si="68"/>
        <v>0.29032258064516131</v>
      </c>
      <c r="K391">
        <f t="shared" si="69"/>
        <v>0.70967741935483875</v>
      </c>
      <c r="L391">
        <f t="shared" si="70"/>
        <v>342</v>
      </c>
      <c r="M391" s="6">
        <f t="shared" si="71"/>
        <v>1.1980749219562958</v>
      </c>
      <c r="N391" s="13">
        <f t="shared" si="66"/>
        <v>0.89425818167763493</v>
      </c>
      <c r="O391" s="6">
        <f t="shared" si="74"/>
        <v>3106.0489368713161</v>
      </c>
      <c r="P391" s="6">
        <f t="shared" si="75"/>
        <v>3118.2781004867725</v>
      </c>
      <c r="Q391" s="6">
        <f t="shared" si="72"/>
        <v>0.89425818167763493</v>
      </c>
      <c r="T391" s="6">
        <f t="shared" si="65"/>
        <v>0.89425818167763493</v>
      </c>
    </row>
    <row r="392" spans="1:20">
      <c r="B392">
        <f t="shared" si="73"/>
        <v>389</v>
      </c>
      <c r="C392">
        <f t="shared" si="67"/>
        <v>31</v>
      </c>
      <c r="D392">
        <v>366</v>
      </c>
      <c r="E392">
        <v>397</v>
      </c>
      <c r="F392">
        <f>TnSPLINE!F$16</f>
        <v>6.6500000000000012</v>
      </c>
      <c r="G392">
        <f>TnSPLINE!F$17</f>
        <v>-1.0322580645161292</v>
      </c>
      <c r="H392" s="5">
        <f>TnSPLINE!K$16</f>
        <v>-9.7748988638365949E-3</v>
      </c>
      <c r="I392" s="5">
        <f>TnSPLINE!K$17</f>
        <v>1.2762255831276614E-2</v>
      </c>
      <c r="J392">
        <f t="shared" si="68"/>
        <v>0.25806451612903225</v>
      </c>
      <c r="K392">
        <f t="shared" si="69"/>
        <v>0.74193548387096775</v>
      </c>
      <c r="L392">
        <f t="shared" si="70"/>
        <v>343</v>
      </c>
      <c r="M392" s="6">
        <f t="shared" si="71"/>
        <v>0.95026014568158168</v>
      </c>
      <c r="N392" s="13">
        <f t="shared" si="66"/>
        <v>0.64563057744140417</v>
      </c>
      <c r="O392" s="6">
        <f t="shared" si="74"/>
        <v>3106.9991970169976</v>
      </c>
      <c r="P392" s="6">
        <f t="shared" si="75"/>
        <v>3118.9237310642138</v>
      </c>
      <c r="Q392" s="6">
        <f t="shared" si="72"/>
        <v>0.64563057744140417</v>
      </c>
      <c r="T392" s="6">
        <f t="shared" si="65"/>
        <v>0.64563057744140417</v>
      </c>
    </row>
    <row r="393" spans="1:20">
      <c r="B393">
        <f t="shared" si="73"/>
        <v>390</v>
      </c>
      <c r="C393">
        <f t="shared" si="67"/>
        <v>31</v>
      </c>
      <c r="D393">
        <v>366</v>
      </c>
      <c r="E393">
        <v>397</v>
      </c>
      <c r="F393">
        <f>TnSPLINE!F$16</f>
        <v>6.6500000000000012</v>
      </c>
      <c r="G393">
        <f>TnSPLINE!F$17</f>
        <v>-1.0322580645161292</v>
      </c>
      <c r="H393" s="5">
        <f>TnSPLINE!K$16</f>
        <v>-9.7748988638365949E-3</v>
      </c>
      <c r="I393" s="5">
        <f>TnSPLINE!K$17</f>
        <v>1.2762255831276614E-2</v>
      </c>
      <c r="J393">
        <f t="shared" si="68"/>
        <v>0.22580645161290322</v>
      </c>
      <c r="K393">
        <f t="shared" si="69"/>
        <v>0.77419354838709675</v>
      </c>
      <c r="L393">
        <f t="shared" si="70"/>
        <v>344</v>
      </c>
      <c r="M393" s="6">
        <f t="shared" si="71"/>
        <v>0.70244536940686808</v>
      </c>
      <c r="N393" s="13">
        <f t="shared" si="66"/>
        <v>0.40394918911513111</v>
      </c>
      <c r="O393" s="6">
        <f t="shared" si="74"/>
        <v>3107.7016423864047</v>
      </c>
      <c r="P393" s="6">
        <f t="shared" si="75"/>
        <v>3119.3276802533292</v>
      </c>
      <c r="Q393" s="6">
        <f t="shared" si="72"/>
        <v>0.40394918911513111</v>
      </c>
      <c r="T393" s="6">
        <f t="shared" si="65"/>
        <v>0.40394918911513111</v>
      </c>
    </row>
    <row r="394" spans="1:20">
      <c r="B394">
        <f t="shared" si="73"/>
        <v>391</v>
      </c>
      <c r="C394">
        <f t="shared" si="67"/>
        <v>31</v>
      </c>
      <c r="D394">
        <v>366</v>
      </c>
      <c r="E394">
        <v>397</v>
      </c>
      <c r="F394">
        <f>TnSPLINE!F$16</f>
        <v>6.6500000000000012</v>
      </c>
      <c r="G394">
        <f>TnSPLINE!F$17</f>
        <v>-1.0322580645161292</v>
      </c>
      <c r="H394" s="5">
        <f>TnSPLINE!K$16</f>
        <v>-9.7748988638365949E-3</v>
      </c>
      <c r="I394" s="5">
        <f>TnSPLINE!K$17</f>
        <v>1.2762255831276614E-2</v>
      </c>
      <c r="J394">
        <f t="shared" si="68"/>
        <v>0.19354838709677419</v>
      </c>
      <c r="K394">
        <f t="shared" si="69"/>
        <v>0.80645161290322576</v>
      </c>
      <c r="L394">
        <f t="shared" si="70"/>
        <v>345</v>
      </c>
      <c r="M394" s="6">
        <f t="shared" si="71"/>
        <v>0.45463059313215415</v>
      </c>
      <c r="N394" s="13">
        <f t="shared" si="66"/>
        <v>0.1699410216889794</v>
      </c>
      <c r="O394" s="6">
        <f t="shared" si="74"/>
        <v>3108.1562729795369</v>
      </c>
      <c r="P394" s="6">
        <f t="shared" si="75"/>
        <v>3119.497621275018</v>
      </c>
      <c r="Q394" s="6">
        <f t="shared" si="72"/>
        <v>0.1699410216889794</v>
      </c>
      <c r="T394" s="6">
        <f t="shared" si="65"/>
        <v>0.1699410216889794</v>
      </c>
    </row>
    <row r="395" spans="1:20">
      <c r="B395">
        <f t="shared" si="73"/>
        <v>392</v>
      </c>
      <c r="C395">
        <f t="shared" si="67"/>
        <v>31</v>
      </c>
      <c r="D395">
        <v>366</v>
      </c>
      <c r="E395">
        <v>397</v>
      </c>
      <c r="F395">
        <f>TnSPLINE!F$16</f>
        <v>6.6500000000000012</v>
      </c>
      <c r="G395">
        <f>TnSPLINE!F$17</f>
        <v>-1.0322580645161292</v>
      </c>
      <c r="H395" s="5">
        <f>TnSPLINE!K$16</f>
        <v>-9.7748988638365949E-3</v>
      </c>
      <c r="I395" s="5">
        <f>TnSPLINE!K$17</f>
        <v>1.2762255831276614E-2</v>
      </c>
      <c r="J395">
        <f t="shared" si="68"/>
        <v>0.16129032258064516</v>
      </c>
      <c r="K395">
        <f t="shared" si="69"/>
        <v>0.83870967741935487</v>
      </c>
      <c r="L395">
        <f t="shared" si="70"/>
        <v>346</v>
      </c>
      <c r="M395" s="6">
        <f t="shared" si="71"/>
        <v>0.2068158168574401</v>
      </c>
      <c r="N395" s="13">
        <f t="shared" si="66"/>
        <v>-5.5666919846884766E-2</v>
      </c>
      <c r="O395" s="6">
        <f t="shared" si="74"/>
        <v>3108.3630887963941</v>
      </c>
      <c r="P395" s="6">
        <f t="shared" si="75"/>
        <v>3119.4419543551712</v>
      </c>
      <c r="Q395" s="6">
        <f t="shared" si="72"/>
        <v>-5.5666919846884766E-2</v>
      </c>
      <c r="T395" s="6">
        <f t="shared" si="65"/>
        <v>-5.5666919846884766E-2</v>
      </c>
    </row>
    <row r="396" spans="1:20">
      <c r="B396">
        <f t="shared" si="73"/>
        <v>393</v>
      </c>
      <c r="C396">
        <f t="shared" si="67"/>
        <v>31</v>
      </c>
      <c r="D396">
        <v>366</v>
      </c>
      <c r="E396">
        <v>397</v>
      </c>
      <c r="F396">
        <f>TnSPLINE!F$16</f>
        <v>6.6500000000000012</v>
      </c>
      <c r="G396">
        <f>TnSPLINE!F$17</f>
        <v>-1.0322580645161292</v>
      </c>
      <c r="H396" s="5">
        <f>TnSPLINE!K$16</f>
        <v>-9.7748988638365949E-3</v>
      </c>
      <c r="I396" s="5">
        <f>TnSPLINE!K$17</f>
        <v>1.2762255831276614E-2</v>
      </c>
      <c r="J396">
        <f t="shared" si="68"/>
        <v>0.12903225806451613</v>
      </c>
      <c r="K396">
        <f t="shared" si="69"/>
        <v>0.87096774193548387</v>
      </c>
      <c r="L396">
        <f t="shared" si="70"/>
        <v>347</v>
      </c>
      <c r="M396" s="6">
        <f t="shared" si="71"/>
        <v>-4.0998959417273717E-2</v>
      </c>
      <c r="N396" s="13">
        <f t="shared" si="66"/>
        <v>-0.2721476305022974</v>
      </c>
      <c r="O396" s="6">
        <f t="shared" si="74"/>
        <v>3108.3220898369768</v>
      </c>
      <c r="P396" s="6">
        <f t="shared" si="75"/>
        <v>3119.1698067246689</v>
      </c>
      <c r="Q396" s="6">
        <f t="shared" si="72"/>
        <v>-0.2721476305022974</v>
      </c>
      <c r="T396" s="6">
        <f t="shared" si="65"/>
        <v>-0.2721476305022974</v>
      </c>
    </row>
    <row r="397" spans="1:20">
      <c r="B397">
        <f t="shared" si="73"/>
        <v>394</v>
      </c>
      <c r="C397">
        <f t="shared" si="67"/>
        <v>31</v>
      </c>
      <c r="D397">
        <v>366</v>
      </c>
      <c r="E397">
        <v>397</v>
      </c>
      <c r="F397">
        <f>TnSPLINE!F$16</f>
        <v>6.6500000000000012</v>
      </c>
      <c r="G397">
        <f>TnSPLINE!F$17</f>
        <v>-1.0322580645161292</v>
      </c>
      <c r="H397" s="5">
        <f>TnSPLINE!K$16</f>
        <v>-9.7748988638365949E-3</v>
      </c>
      <c r="I397" s="5">
        <f>TnSPLINE!K$17</f>
        <v>1.2762255831276614E-2</v>
      </c>
      <c r="J397">
        <f t="shared" si="68"/>
        <v>9.6774193548387094E-2</v>
      </c>
      <c r="K397">
        <f t="shared" si="69"/>
        <v>0.90322580645161288</v>
      </c>
      <c r="L397">
        <f t="shared" si="70"/>
        <v>348</v>
      </c>
      <c r="M397" s="6">
        <f t="shared" si="71"/>
        <v>-0.28881373569198754</v>
      </c>
      <c r="N397" s="13">
        <f t="shared" si="66"/>
        <v>-0.47877410528709297</v>
      </c>
      <c r="O397" s="6">
        <f t="shared" si="74"/>
        <v>3108.0332761012846</v>
      </c>
      <c r="P397" s="6">
        <f t="shared" si="75"/>
        <v>3118.691032619382</v>
      </c>
      <c r="Q397" s="6">
        <f t="shared" si="72"/>
        <v>-0.47877410528709297</v>
      </c>
      <c r="T397" s="6">
        <f t="shared" si="65"/>
        <v>-0.47877410528709297</v>
      </c>
    </row>
    <row r="398" spans="1:20">
      <c r="B398">
        <f t="shared" si="73"/>
        <v>395</v>
      </c>
      <c r="C398">
        <f t="shared" si="67"/>
        <v>31</v>
      </c>
      <c r="D398">
        <v>366</v>
      </c>
      <c r="E398">
        <v>397</v>
      </c>
      <c r="F398">
        <f>TnSPLINE!F$16</f>
        <v>6.6500000000000012</v>
      </c>
      <c r="G398">
        <f>TnSPLINE!F$17</f>
        <v>-1.0322580645161292</v>
      </c>
      <c r="H398" s="5">
        <f>TnSPLINE!K$16</f>
        <v>-9.7748988638365949E-3</v>
      </c>
      <c r="I398" s="5">
        <f>TnSPLINE!K$17</f>
        <v>1.2762255831276614E-2</v>
      </c>
      <c r="J398">
        <f t="shared" si="68"/>
        <v>6.4516129032258063E-2</v>
      </c>
      <c r="K398">
        <f t="shared" si="69"/>
        <v>0.93548387096774188</v>
      </c>
      <c r="L398">
        <f t="shared" si="70"/>
        <v>349</v>
      </c>
      <c r="M398" s="6">
        <f t="shared" si="71"/>
        <v>-0.53662851196670147</v>
      </c>
      <c r="N398" s="13">
        <f t="shared" si="66"/>
        <v>-0.67481933921110704</v>
      </c>
      <c r="O398" s="6">
        <f t="shared" si="74"/>
        <v>3107.4966475893179</v>
      </c>
      <c r="P398" s="6">
        <f t="shared" si="75"/>
        <v>3118.0162132801711</v>
      </c>
      <c r="Q398" s="6">
        <f t="shared" si="72"/>
        <v>-0.67481933921110704</v>
      </c>
      <c r="T398" s="6">
        <f t="shared" si="65"/>
        <v>-0.67481933921110704</v>
      </c>
    </row>
    <row r="399" spans="1:20">
      <c r="B399">
        <f t="shared" si="73"/>
        <v>396</v>
      </c>
      <c r="C399">
        <f t="shared" si="67"/>
        <v>31</v>
      </c>
      <c r="D399">
        <v>366</v>
      </c>
      <c r="E399">
        <v>397</v>
      </c>
      <c r="F399">
        <f>TnSPLINE!F$16</f>
        <v>6.6500000000000012</v>
      </c>
      <c r="G399">
        <f>TnSPLINE!F$17</f>
        <v>-1.0322580645161292</v>
      </c>
      <c r="H399" s="5">
        <f>TnSPLINE!K$16</f>
        <v>-9.7748988638365949E-3</v>
      </c>
      <c r="I399" s="5">
        <f>TnSPLINE!K$17</f>
        <v>1.2762255831276614E-2</v>
      </c>
      <c r="J399">
        <f t="shared" si="68"/>
        <v>3.2258064516129031E-2</v>
      </c>
      <c r="K399">
        <f t="shared" si="69"/>
        <v>0.967741935483871</v>
      </c>
      <c r="L399">
        <f t="shared" si="70"/>
        <v>350</v>
      </c>
      <c r="M399" s="6">
        <f t="shared" si="71"/>
        <v>-0.7844432882414154</v>
      </c>
      <c r="N399" s="13">
        <f t="shared" si="66"/>
        <v>-0.85955632728417375</v>
      </c>
      <c r="O399" s="6">
        <f t="shared" si="74"/>
        <v>3106.7122043010763</v>
      </c>
      <c r="P399" s="6">
        <f t="shared" si="75"/>
        <v>3117.1566569528868</v>
      </c>
      <c r="Q399" s="6">
        <f t="shared" si="72"/>
        <v>-0.85955632728417375</v>
      </c>
      <c r="T399" s="6">
        <f t="shared" si="65"/>
        <v>-0.85955632728417375</v>
      </c>
    </row>
    <row r="400" spans="1:20">
      <c r="A400">
        <v>397</v>
      </c>
      <c r="B400">
        <f t="shared" si="73"/>
        <v>397</v>
      </c>
      <c r="C400">
        <f t="shared" si="67"/>
        <v>31</v>
      </c>
      <c r="D400">
        <v>366</v>
      </c>
      <c r="E400">
        <v>397</v>
      </c>
      <c r="F400">
        <f>TnSPLINE!F$16</f>
        <v>6.6500000000000012</v>
      </c>
      <c r="G400">
        <f>TnSPLINE!F$17</f>
        <v>-1.0322580645161292</v>
      </c>
      <c r="H400" s="5">
        <f>TnSPLINE!K$16</f>
        <v>-9.7748988638365949E-3</v>
      </c>
      <c r="I400" s="5">
        <f>TnSPLINE!K$17</f>
        <v>1.2762255831276614E-2</v>
      </c>
      <c r="J400">
        <f t="shared" si="68"/>
        <v>0</v>
      </c>
      <c r="K400">
        <f t="shared" si="69"/>
        <v>1</v>
      </c>
      <c r="L400">
        <f t="shared" si="70"/>
        <v>351</v>
      </c>
      <c r="M400" s="6">
        <f t="shared" si="71"/>
        <v>-1.0322580645161292</v>
      </c>
      <c r="N400" s="13">
        <f t="shared" si="66"/>
        <v>-1.0322580645161292</v>
      </c>
      <c r="O400" s="6">
        <f t="shared" si="74"/>
        <v>3105.6799462365602</v>
      </c>
      <c r="P400" s="6">
        <f t="shared" si="75"/>
        <v>3116.1243988883707</v>
      </c>
      <c r="Q400" s="6">
        <f t="shared" si="72"/>
        <v>-1.0322580645161292</v>
      </c>
      <c r="T400" s="6">
        <f t="shared" si="65"/>
        <v>-1.0322580645161292</v>
      </c>
    </row>
    <row r="401" spans="1:20">
      <c r="B401">
        <f t="shared" si="73"/>
        <v>398</v>
      </c>
      <c r="C401">
        <f t="shared" si="67"/>
        <v>29</v>
      </c>
      <c r="D401">
        <v>397</v>
      </c>
      <c r="E401">
        <v>426</v>
      </c>
      <c r="F401">
        <f>TnSPLINE!F$17</f>
        <v>-1.0322580645161292</v>
      </c>
      <c r="G401">
        <f>TnSPLINE!F$18</f>
        <v>-2.8612903225806448</v>
      </c>
      <c r="H401" s="5">
        <f>TnSPLINE!K$17</f>
        <v>1.2762255831276614E-2</v>
      </c>
      <c r="I401" s="5">
        <f>TnSPLINE!K$18</f>
        <v>-4.1372636038530253E-3</v>
      </c>
      <c r="J401">
        <f t="shared" si="68"/>
        <v>0.96551724137931039</v>
      </c>
      <c r="K401">
        <f t="shared" si="69"/>
        <v>3.4482758620689655E-2</v>
      </c>
      <c r="L401">
        <f t="shared" si="70"/>
        <v>352</v>
      </c>
      <c r="M401" s="6">
        <f t="shared" si="71"/>
        <v>-1.0953281423804229</v>
      </c>
      <c r="N401" s="13">
        <f t="shared" si="66"/>
        <v>-1.192415837090083</v>
      </c>
      <c r="O401" s="6">
        <f t="shared" si="74"/>
        <v>3104.5846180941799</v>
      </c>
      <c r="P401" s="6">
        <f t="shared" si="75"/>
        <v>3114.9319830512804</v>
      </c>
      <c r="Q401" s="6">
        <f t="shared" si="72"/>
        <v>-1.192415837090083</v>
      </c>
      <c r="T401" s="6">
        <f t="shared" si="65"/>
        <v>-1.192415837090083</v>
      </c>
    </row>
    <row r="402" spans="1:20">
      <c r="B402">
        <f t="shared" si="73"/>
        <v>399</v>
      </c>
      <c r="C402">
        <f t="shared" si="67"/>
        <v>29</v>
      </c>
      <c r="D402">
        <v>397</v>
      </c>
      <c r="E402">
        <v>426</v>
      </c>
      <c r="F402">
        <f>TnSPLINE!F$17</f>
        <v>-1.0322580645161292</v>
      </c>
      <c r="G402">
        <f>TnSPLINE!F$18</f>
        <v>-2.8612903225806448</v>
      </c>
      <c r="H402" s="5">
        <f>TnSPLINE!K$17</f>
        <v>1.2762255831276614E-2</v>
      </c>
      <c r="I402" s="5">
        <f>TnSPLINE!K$18</f>
        <v>-4.1372636038530253E-3</v>
      </c>
      <c r="J402">
        <f t="shared" si="68"/>
        <v>0.93103448275862066</v>
      </c>
      <c r="K402">
        <f t="shared" si="69"/>
        <v>6.8965517241379309E-2</v>
      </c>
      <c r="L402">
        <f t="shared" si="70"/>
        <v>353</v>
      </c>
      <c r="M402" s="6">
        <f t="shared" si="71"/>
        <v>-1.1583982202447165</v>
      </c>
      <c r="N402" s="13">
        <f t="shared" si="66"/>
        <v>-1.3403940958822482</v>
      </c>
      <c r="O402" s="6">
        <f t="shared" si="74"/>
        <v>3103.4262198739352</v>
      </c>
      <c r="P402" s="6">
        <f t="shared" si="75"/>
        <v>3113.591588955398</v>
      </c>
      <c r="Q402" s="6">
        <f t="shared" si="72"/>
        <v>-1.3403940958822482</v>
      </c>
      <c r="T402" s="6">
        <f t="shared" si="65"/>
        <v>-1.3403940958822482</v>
      </c>
    </row>
    <row r="403" spans="1:20">
      <c r="B403">
        <f t="shared" si="73"/>
        <v>400</v>
      </c>
      <c r="C403">
        <f t="shared" si="67"/>
        <v>29</v>
      </c>
      <c r="D403">
        <v>397</v>
      </c>
      <c r="E403">
        <v>426</v>
      </c>
      <c r="F403">
        <f>TnSPLINE!F$17</f>
        <v>-1.0322580645161292</v>
      </c>
      <c r="G403">
        <f>TnSPLINE!F$18</f>
        <v>-2.8612903225806448</v>
      </c>
      <c r="H403" s="5">
        <f>TnSPLINE!K$17</f>
        <v>1.2762255831276614E-2</v>
      </c>
      <c r="I403" s="5">
        <f>TnSPLINE!K$18</f>
        <v>-4.1372636038530253E-3</v>
      </c>
      <c r="J403">
        <f t="shared" si="68"/>
        <v>0.89655172413793105</v>
      </c>
      <c r="K403">
        <f t="shared" si="69"/>
        <v>0.10344827586206896</v>
      </c>
      <c r="L403">
        <f t="shared" si="70"/>
        <v>354</v>
      </c>
      <c r="M403" s="6">
        <f t="shared" si="71"/>
        <v>-1.2214682981090101</v>
      </c>
      <c r="N403" s="13">
        <f t="shared" si="66"/>
        <v>-1.4767755829421108</v>
      </c>
      <c r="O403" s="6">
        <f t="shared" si="74"/>
        <v>3102.2047515758263</v>
      </c>
      <c r="P403" s="6">
        <f t="shared" si="75"/>
        <v>3112.114813372456</v>
      </c>
      <c r="Q403" s="6">
        <f t="shared" si="72"/>
        <v>-1.4767755829421108</v>
      </c>
      <c r="T403" s="6">
        <f t="shared" si="65"/>
        <v>-1.4767755829421108</v>
      </c>
    </row>
    <row r="404" spans="1:20">
      <c r="B404">
        <f t="shared" si="73"/>
        <v>401</v>
      </c>
      <c r="C404">
        <f t="shared" si="67"/>
        <v>29</v>
      </c>
      <c r="D404">
        <v>397</v>
      </c>
      <c r="E404">
        <v>426</v>
      </c>
      <c r="F404">
        <f>TnSPLINE!F$17</f>
        <v>-1.0322580645161292</v>
      </c>
      <c r="G404">
        <f>TnSPLINE!F$18</f>
        <v>-2.8612903225806448</v>
      </c>
      <c r="H404" s="5">
        <f>TnSPLINE!K$17</f>
        <v>1.2762255831276614E-2</v>
      </c>
      <c r="I404" s="5">
        <f>TnSPLINE!K$18</f>
        <v>-4.1372636038530253E-3</v>
      </c>
      <c r="J404">
        <f t="shared" si="68"/>
        <v>0.86206896551724133</v>
      </c>
      <c r="K404">
        <f t="shared" si="69"/>
        <v>0.13793103448275862</v>
      </c>
      <c r="L404">
        <f t="shared" si="70"/>
        <v>355</v>
      </c>
      <c r="M404" s="6">
        <f t="shared" si="71"/>
        <v>-1.2845383759733038</v>
      </c>
      <c r="N404" s="13">
        <f t="shared" si="66"/>
        <v>-1.6021430403191586</v>
      </c>
      <c r="O404" s="6">
        <f t="shared" si="74"/>
        <v>3100.9202131998532</v>
      </c>
      <c r="P404" s="6">
        <f t="shared" si="75"/>
        <v>3110.5126703321366</v>
      </c>
      <c r="Q404" s="6">
        <f t="shared" si="72"/>
        <v>-1.6021430403191586</v>
      </c>
      <c r="T404" s="6">
        <f t="shared" si="65"/>
        <v>-1.6021430403191586</v>
      </c>
    </row>
    <row r="405" spans="1:20">
      <c r="B405">
        <f t="shared" si="73"/>
        <v>402</v>
      </c>
      <c r="C405">
        <f t="shared" si="67"/>
        <v>29</v>
      </c>
      <c r="D405">
        <v>397</v>
      </c>
      <c r="E405">
        <v>426</v>
      </c>
      <c r="F405">
        <f>TnSPLINE!F$17</f>
        <v>-1.0322580645161292</v>
      </c>
      <c r="G405">
        <f>TnSPLINE!F$18</f>
        <v>-2.8612903225806448</v>
      </c>
      <c r="H405" s="5">
        <f>TnSPLINE!K$17</f>
        <v>1.2762255831276614E-2</v>
      </c>
      <c r="I405" s="5">
        <f>TnSPLINE!K$18</f>
        <v>-4.1372636038530253E-3</v>
      </c>
      <c r="J405">
        <f t="shared" si="68"/>
        <v>0.82758620689655171</v>
      </c>
      <c r="K405">
        <f t="shared" si="69"/>
        <v>0.17241379310344829</v>
      </c>
      <c r="L405">
        <f t="shared" si="70"/>
        <v>356</v>
      </c>
      <c r="M405" s="6">
        <f t="shared" si="71"/>
        <v>-1.3476084538375974</v>
      </c>
      <c r="N405" s="13">
        <f t="shared" si="66"/>
        <v>-1.7170792100628784</v>
      </c>
      <c r="O405" s="6">
        <f t="shared" si="74"/>
        <v>3099.5726047460157</v>
      </c>
      <c r="P405" s="6">
        <f t="shared" si="75"/>
        <v>3108.7955911220738</v>
      </c>
      <c r="Q405" s="6">
        <f t="shared" si="72"/>
        <v>-1.7170792100628784</v>
      </c>
      <c r="T405" s="6">
        <f t="shared" si="65"/>
        <v>-1.7170792100628784</v>
      </c>
    </row>
    <row r="406" spans="1:20">
      <c r="B406">
        <f t="shared" si="73"/>
        <v>403</v>
      </c>
      <c r="C406">
        <f t="shared" si="67"/>
        <v>29</v>
      </c>
      <c r="D406">
        <v>397</v>
      </c>
      <c r="E406">
        <v>426</v>
      </c>
      <c r="F406">
        <f>TnSPLINE!F$17</f>
        <v>-1.0322580645161292</v>
      </c>
      <c r="G406">
        <f>TnSPLINE!F$18</f>
        <v>-2.8612903225806448</v>
      </c>
      <c r="H406" s="5">
        <f>TnSPLINE!K$17</f>
        <v>1.2762255831276614E-2</v>
      </c>
      <c r="I406" s="5">
        <f>TnSPLINE!K$18</f>
        <v>-4.1372636038530253E-3</v>
      </c>
      <c r="J406">
        <f t="shared" si="68"/>
        <v>0.7931034482758621</v>
      </c>
      <c r="K406">
        <f t="shared" si="69"/>
        <v>0.20689655172413793</v>
      </c>
      <c r="L406">
        <f t="shared" si="70"/>
        <v>357</v>
      </c>
      <c r="M406" s="6">
        <f t="shared" si="71"/>
        <v>-1.4106785317018911</v>
      </c>
      <c r="N406" s="13">
        <f t="shared" si="66"/>
        <v>-1.8221668342227579</v>
      </c>
      <c r="O406" s="6">
        <f t="shared" si="74"/>
        <v>3098.161926214314</v>
      </c>
      <c r="P406" s="6">
        <f t="shared" si="75"/>
        <v>3106.9734242878512</v>
      </c>
      <c r="Q406" s="6">
        <f t="shared" si="72"/>
        <v>-1.8221668342227579</v>
      </c>
      <c r="T406" s="6">
        <f t="shared" si="65"/>
        <v>-1.8221668342227579</v>
      </c>
    </row>
    <row r="407" spans="1:20">
      <c r="B407">
        <f t="shared" si="73"/>
        <v>404</v>
      </c>
      <c r="C407">
        <f t="shared" si="67"/>
        <v>29</v>
      </c>
      <c r="D407">
        <v>397</v>
      </c>
      <c r="E407">
        <v>426</v>
      </c>
      <c r="F407">
        <f>TnSPLINE!F$17</f>
        <v>-1.0322580645161292</v>
      </c>
      <c r="G407">
        <f>TnSPLINE!F$18</f>
        <v>-2.8612903225806448</v>
      </c>
      <c r="H407" s="5">
        <f>TnSPLINE!K$17</f>
        <v>1.2762255831276614E-2</v>
      </c>
      <c r="I407" s="5">
        <f>TnSPLINE!K$18</f>
        <v>-4.1372636038530253E-3</v>
      </c>
      <c r="J407">
        <f t="shared" si="68"/>
        <v>0.75862068965517238</v>
      </c>
      <c r="K407">
        <f t="shared" si="69"/>
        <v>0.2413793103448276</v>
      </c>
      <c r="L407">
        <f t="shared" si="70"/>
        <v>358</v>
      </c>
      <c r="M407" s="6">
        <f t="shared" si="71"/>
        <v>-1.4737486095661847</v>
      </c>
      <c r="N407" s="13">
        <f t="shared" si="66"/>
        <v>-1.9179886548482845</v>
      </c>
      <c r="O407" s="6">
        <f t="shared" si="74"/>
        <v>3096.688177604748</v>
      </c>
      <c r="P407" s="6">
        <f t="shared" si="75"/>
        <v>3105.0554356330031</v>
      </c>
      <c r="Q407" s="6">
        <f t="shared" si="72"/>
        <v>-1.9179886548482845</v>
      </c>
      <c r="T407" s="6">
        <f t="shared" si="65"/>
        <v>-1.9179886548482845</v>
      </c>
    </row>
    <row r="408" spans="1:20">
      <c r="B408">
        <f t="shared" si="73"/>
        <v>405</v>
      </c>
      <c r="C408">
        <f t="shared" si="67"/>
        <v>29</v>
      </c>
      <c r="D408">
        <v>397</v>
      </c>
      <c r="E408">
        <v>426</v>
      </c>
      <c r="F408">
        <f>TnSPLINE!F$17</f>
        <v>-1.0322580645161292</v>
      </c>
      <c r="G408">
        <f>TnSPLINE!F$18</f>
        <v>-2.8612903225806448</v>
      </c>
      <c r="H408" s="5">
        <f>TnSPLINE!K$17</f>
        <v>1.2762255831276614E-2</v>
      </c>
      <c r="I408" s="5">
        <f>TnSPLINE!K$18</f>
        <v>-4.1372636038530253E-3</v>
      </c>
      <c r="J408">
        <f t="shared" si="68"/>
        <v>0.72413793103448276</v>
      </c>
      <c r="K408">
        <f t="shared" si="69"/>
        <v>0.27586206896551724</v>
      </c>
      <c r="L408">
        <f t="shared" si="70"/>
        <v>359</v>
      </c>
      <c r="M408" s="6">
        <f t="shared" si="71"/>
        <v>-1.5368186874304783</v>
      </c>
      <c r="N408" s="13">
        <f t="shared" si="66"/>
        <v>-2.0051274139889448</v>
      </c>
      <c r="O408" s="6">
        <f t="shared" si="74"/>
        <v>3095.1513589173173</v>
      </c>
      <c r="P408" s="6">
        <f t="shared" si="75"/>
        <v>3103.0503082190139</v>
      </c>
      <c r="Q408" s="6">
        <f t="shared" si="72"/>
        <v>-2.0051274139889448</v>
      </c>
      <c r="T408" s="6">
        <f t="shared" si="65"/>
        <v>-2.0051274139889448</v>
      </c>
    </row>
    <row r="409" spans="1:20">
      <c r="B409">
        <f t="shared" si="73"/>
        <v>406</v>
      </c>
      <c r="C409">
        <f t="shared" si="67"/>
        <v>29</v>
      </c>
      <c r="D409">
        <v>397</v>
      </c>
      <c r="E409">
        <v>426</v>
      </c>
      <c r="F409">
        <f>TnSPLINE!F$17</f>
        <v>-1.0322580645161292</v>
      </c>
      <c r="G409">
        <f>TnSPLINE!F$18</f>
        <v>-2.8612903225806448</v>
      </c>
      <c r="H409" s="5">
        <f>TnSPLINE!K$17</f>
        <v>1.2762255831276614E-2</v>
      </c>
      <c r="I409" s="5">
        <f>TnSPLINE!K$18</f>
        <v>-4.1372636038530253E-3</v>
      </c>
      <c r="J409">
        <f t="shared" si="68"/>
        <v>0.68965517241379315</v>
      </c>
      <c r="K409">
        <f t="shared" si="69"/>
        <v>0.31034482758620691</v>
      </c>
      <c r="L409">
        <f t="shared" si="70"/>
        <v>360</v>
      </c>
      <c r="M409" s="6">
        <f t="shared" si="71"/>
        <v>-1.599888765294772</v>
      </c>
      <c r="N409" s="14">
        <f>N408+R$414</f>
        <v>-2.0858230408121692</v>
      </c>
      <c r="O409" s="6">
        <f t="shared" si="74"/>
        <v>3093.5514701520224</v>
      </c>
      <c r="P409" s="6">
        <f t="shared" si="75"/>
        <v>3100.9644851782018</v>
      </c>
      <c r="Q409" s="6">
        <f t="shared" si="72"/>
        <v>-2.084165853694226</v>
      </c>
      <c r="T409" s="6">
        <f t="shared" si="65"/>
        <v>-2.0858230408121692</v>
      </c>
    </row>
    <row r="410" spans="1:20">
      <c r="B410">
        <f t="shared" si="73"/>
        <v>407</v>
      </c>
      <c r="C410">
        <f t="shared" si="67"/>
        <v>29</v>
      </c>
      <c r="D410">
        <v>397</v>
      </c>
      <c r="E410">
        <v>426</v>
      </c>
      <c r="F410">
        <f>TnSPLINE!F$17</f>
        <v>-1.0322580645161292</v>
      </c>
      <c r="G410">
        <f>TnSPLINE!F$18</f>
        <v>-2.8612903225806448</v>
      </c>
      <c r="H410" s="5">
        <f>TnSPLINE!K$17</f>
        <v>1.2762255831276614E-2</v>
      </c>
      <c r="I410" s="5">
        <f>TnSPLINE!K$18</f>
        <v>-4.1372636038530253E-3</v>
      </c>
      <c r="J410">
        <f t="shared" si="68"/>
        <v>0.65517241379310343</v>
      </c>
      <c r="K410">
        <f t="shared" si="69"/>
        <v>0.34482758620689657</v>
      </c>
      <c r="L410">
        <f t="shared" si="70"/>
        <v>361</v>
      </c>
      <c r="M410" s="6">
        <f t="shared" si="71"/>
        <v>-1.6629588431590658</v>
      </c>
      <c r="N410" s="14">
        <f>N409+R$414</f>
        <v>-2.1665186676353936</v>
      </c>
      <c r="O410" s="6">
        <f t="shared" si="74"/>
        <v>3091.8885113088631</v>
      </c>
      <c r="P410" s="6">
        <f t="shared" si="75"/>
        <v>3098.7979665105663</v>
      </c>
      <c r="Q410" s="6">
        <f t="shared" si="72"/>
        <v>-2.1556867160136166</v>
      </c>
      <c r="T410" s="6">
        <f t="shared" si="65"/>
        <v>-2.1665186676353936</v>
      </c>
    </row>
    <row r="411" spans="1:20">
      <c r="B411">
        <f t="shared" si="73"/>
        <v>408</v>
      </c>
      <c r="C411">
        <f t="shared" si="67"/>
        <v>29</v>
      </c>
      <c r="D411">
        <v>397</v>
      </c>
      <c r="E411">
        <v>426</v>
      </c>
      <c r="F411">
        <f>TnSPLINE!F$17</f>
        <v>-1.0322580645161292</v>
      </c>
      <c r="G411">
        <f>TnSPLINE!F$18</f>
        <v>-2.8612903225806448</v>
      </c>
      <c r="H411" s="5">
        <f>TnSPLINE!K$17</f>
        <v>1.2762255831276614E-2</v>
      </c>
      <c r="I411" s="5">
        <f>TnSPLINE!K$18</f>
        <v>-4.1372636038530253E-3</v>
      </c>
      <c r="J411">
        <f t="shared" si="68"/>
        <v>0.62068965517241381</v>
      </c>
      <c r="K411">
        <f t="shared" si="69"/>
        <v>0.37931034482758619</v>
      </c>
      <c r="L411">
        <f t="shared" si="70"/>
        <v>362</v>
      </c>
      <c r="M411" s="6">
        <f t="shared" si="71"/>
        <v>-1.7260289210233593</v>
      </c>
      <c r="N411" s="14">
        <f>N410+R$414</f>
        <v>-2.247214294458618</v>
      </c>
      <c r="O411" s="6">
        <f t="shared" si="74"/>
        <v>3090.1624823878396</v>
      </c>
      <c r="P411" s="6">
        <f t="shared" si="75"/>
        <v>3096.5507522161079</v>
      </c>
      <c r="Q411" s="6">
        <f t="shared" si="72"/>
        <v>-2.2202727429966016</v>
      </c>
      <c r="T411" s="6">
        <f t="shared" si="65"/>
        <v>-2.247214294458618</v>
      </c>
    </row>
    <row r="412" spans="1:20">
      <c r="B412">
        <f t="shared" si="73"/>
        <v>409</v>
      </c>
      <c r="C412">
        <f t="shared" si="67"/>
        <v>29</v>
      </c>
      <c r="D412">
        <v>397</v>
      </c>
      <c r="E412">
        <v>426</v>
      </c>
      <c r="F412">
        <f>TnSPLINE!F$17</f>
        <v>-1.0322580645161292</v>
      </c>
      <c r="G412">
        <f>TnSPLINE!F$18</f>
        <v>-2.8612903225806448</v>
      </c>
      <c r="H412" s="5">
        <f>TnSPLINE!K$17</f>
        <v>1.2762255831276614E-2</v>
      </c>
      <c r="I412" s="5">
        <f>TnSPLINE!K$18</f>
        <v>-4.1372636038530253E-3</v>
      </c>
      <c r="J412">
        <f t="shared" si="68"/>
        <v>0.58620689655172409</v>
      </c>
      <c r="K412">
        <f t="shared" si="69"/>
        <v>0.41379310344827586</v>
      </c>
      <c r="L412">
        <f t="shared" si="70"/>
        <v>363</v>
      </c>
      <c r="M412" s="6">
        <f t="shared" si="71"/>
        <v>-1.7890989988876529</v>
      </c>
      <c r="N412" s="14">
        <f>N411+R$414</f>
        <v>-2.3279099212818424</v>
      </c>
      <c r="O412" s="6">
        <f t="shared" si="74"/>
        <v>3088.3733833889519</v>
      </c>
      <c r="P412" s="6">
        <f t="shared" si="75"/>
        <v>3094.222842294826</v>
      </c>
      <c r="Q412" s="6">
        <f t="shared" si="72"/>
        <v>-2.2785066766926705</v>
      </c>
      <c r="T412" s="6">
        <f t="shared" si="65"/>
        <v>-2.3279099212818424</v>
      </c>
    </row>
    <row r="413" spans="1:20">
      <c r="B413">
        <f t="shared" si="73"/>
        <v>410</v>
      </c>
      <c r="C413">
        <f t="shared" si="67"/>
        <v>29</v>
      </c>
      <c r="D413">
        <v>397</v>
      </c>
      <c r="E413">
        <v>426</v>
      </c>
      <c r="F413">
        <f>TnSPLINE!F$17</f>
        <v>-1.0322580645161292</v>
      </c>
      <c r="G413">
        <f>TnSPLINE!F$18</f>
        <v>-2.8612903225806448</v>
      </c>
      <c r="H413" s="5">
        <f>TnSPLINE!K$17</f>
        <v>1.2762255831276614E-2</v>
      </c>
      <c r="I413" s="5">
        <f>TnSPLINE!K$18</f>
        <v>-4.1372636038530253E-3</v>
      </c>
      <c r="J413">
        <f t="shared" si="68"/>
        <v>0.55172413793103448</v>
      </c>
      <c r="K413">
        <f t="shared" si="69"/>
        <v>0.44827586206896552</v>
      </c>
      <c r="L413">
        <f t="shared" si="70"/>
        <v>364</v>
      </c>
      <c r="M413" s="6">
        <f t="shared" si="71"/>
        <v>-1.8521690767519465</v>
      </c>
      <c r="N413" s="14">
        <f>N412+R$414</f>
        <v>-2.4086055481050668</v>
      </c>
      <c r="O413" s="6">
        <f t="shared" si="74"/>
        <v>3086.5212143121998</v>
      </c>
      <c r="P413" s="6">
        <f t="shared" si="75"/>
        <v>3091.8142367467208</v>
      </c>
      <c r="Q413" s="6">
        <f t="shared" si="72"/>
        <v>-2.3309712591513092</v>
      </c>
      <c r="T413" s="6">
        <f t="shared" si="65"/>
        <v>-2.4086055481050668</v>
      </c>
    </row>
    <row r="414" spans="1:20">
      <c r="A414" s="10"/>
      <c r="B414" s="10">
        <f t="shared" si="73"/>
        <v>411</v>
      </c>
      <c r="C414" s="10">
        <f t="shared" si="67"/>
        <v>29</v>
      </c>
      <c r="D414" s="10">
        <v>397</v>
      </c>
      <c r="E414" s="10">
        <v>426</v>
      </c>
      <c r="F414" s="10">
        <f>TnSPLINE!F$17</f>
        <v>-1.0322580645161292</v>
      </c>
      <c r="G414" s="10">
        <f>TnSPLINE!F$18</f>
        <v>-2.8612903225806448</v>
      </c>
      <c r="H414" s="15">
        <f>TnSPLINE!K$17</f>
        <v>1.2762255831276614E-2</v>
      </c>
      <c r="I414" s="15">
        <f>TnSPLINE!K$18</f>
        <v>-4.1372636038530253E-3</v>
      </c>
      <c r="J414" s="10">
        <f t="shared" si="68"/>
        <v>0.51724137931034486</v>
      </c>
      <c r="K414" s="10">
        <f t="shared" si="69"/>
        <v>0.48275862068965519</v>
      </c>
      <c r="L414" s="10">
        <f t="shared" si="70"/>
        <v>365</v>
      </c>
      <c r="M414" s="11">
        <f t="shared" si="71"/>
        <v>-1.9152391546162402</v>
      </c>
      <c r="N414" s="11">
        <f>(Q50+Q414)/2</f>
        <v>-2.4086055481050677</v>
      </c>
      <c r="O414" s="11">
        <f t="shared" si="74"/>
        <v>3084.6059751575835</v>
      </c>
      <c r="P414" s="11">
        <f t="shared" si="75"/>
        <v>3089.4056311986155</v>
      </c>
      <c r="Q414" s="11">
        <f t="shared" si="72"/>
        <v>-2.378249232422005</v>
      </c>
      <c r="R414" s="12">
        <f>(N414-Q408)/5</f>
        <v>-8.0695626823224578E-2</v>
      </c>
      <c r="T414" s="6">
        <f t="shared" si="65"/>
        <v>-2.4086055481050677</v>
      </c>
    </row>
    <row r="415" spans="1:20">
      <c r="B415">
        <f t="shared" si="73"/>
        <v>412</v>
      </c>
      <c r="C415">
        <f t="shared" si="67"/>
        <v>29</v>
      </c>
      <c r="D415">
        <v>397</v>
      </c>
      <c r="E415">
        <v>426</v>
      </c>
      <c r="F415">
        <f>TnSPLINE!F$17</f>
        <v>-1.0322580645161292</v>
      </c>
      <c r="G415">
        <f>TnSPLINE!F$18</f>
        <v>-2.8612903225806448</v>
      </c>
      <c r="H415" s="5">
        <f>TnSPLINE!K$17</f>
        <v>1.2762255831276614E-2</v>
      </c>
      <c r="I415" s="5">
        <f>TnSPLINE!K$18</f>
        <v>-4.1372636038530253E-3</v>
      </c>
      <c r="J415">
        <f t="shared" si="68"/>
        <v>0.48275862068965519</v>
      </c>
      <c r="K415">
        <f t="shared" si="69"/>
        <v>0.51724137931034486</v>
      </c>
      <c r="M415" s="6">
        <f t="shared" si="71"/>
        <v>-1.9783092324805338</v>
      </c>
      <c r="N415" s="11">
        <f>(Q51+Q415)/2</f>
        <v>-2.4419287737365574</v>
      </c>
      <c r="O415" s="6">
        <f t="shared" si="74"/>
        <v>3082.627665925103</v>
      </c>
      <c r="P415" s="6">
        <f t="shared" si="75"/>
        <v>3086.9637024248791</v>
      </c>
      <c r="Q415" s="6">
        <f t="shared" si="72"/>
        <v>-2.4209233385542457</v>
      </c>
      <c r="T415" s="16">
        <f>N414</f>
        <v>-2.4086055481050677</v>
      </c>
    </row>
    <row r="416" spans="1:20">
      <c r="B416">
        <f t="shared" si="73"/>
        <v>413</v>
      </c>
      <c r="C416">
        <f t="shared" si="67"/>
        <v>29</v>
      </c>
      <c r="D416">
        <v>397</v>
      </c>
      <c r="E416">
        <v>426</v>
      </c>
      <c r="F416">
        <f>TnSPLINE!F$17</f>
        <v>-1.0322580645161292</v>
      </c>
      <c r="G416">
        <f>TnSPLINE!F$18</f>
        <v>-2.8612903225806448</v>
      </c>
      <c r="H416" s="5">
        <f>TnSPLINE!K$17</f>
        <v>1.2762255831276614E-2</v>
      </c>
      <c r="I416" s="5">
        <f>TnSPLINE!K$18</f>
        <v>-4.1372636038530253E-3</v>
      </c>
      <c r="J416">
        <f t="shared" si="68"/>
        <v>0.44827586206896552</v>
      </c>
      <c r="K416">
        <f t="shared" si="69"/>
        <v>0.55172413793103448</v>
      </c>
      <c r="M416" s="6">
        <f t="shared" si="71"/>
        <v>-2.0413793103448272</v>
      </c>
      <c r="N416" s="6">
        <f t="shared" ref="N416:N460" si="76">M416+(((J416^3-J416)*H416+(K416^3-K416)*I416))*(C416^2)/6</f>
        <v>-2.459576319597518</v>
      </c>
      <c r="O416" s="6">
        <f t="shared" si="74"/>
        <v>3080.5862866147581</v>
      </c>
      <c r="P416" s="6">
        <f t="shared" si="75"/>
        <v>3084.5041261052816</v>
      </c>
      <c r="Q416" s="6">
        <f t="shared" si="72"/>
        <v>-2.459576319597518</v>
      </c>
    </row>
    <row r="417" spans="1:17">
      <c r="A417" s="8"/>
      <c r="B417" s="8">
        <f t="shared" si="73"/>
        <v>414</v>
      </c>
      <c r="C417" s="8">
        <f t="shared" si="67"/>
        <v>29</v>
      </c>
      <c r="D417" s="8">
        <v>397</v>
      </c>
      <c r="E417" s="8">
        <v>426</v>
      </c>
      <c r="F417" s="8">
        <f>TnSPLINE!F$17</f>
        <v>-1.0322580645161292</v>
      </c>
      <c r="G417" s="8">
        <f>TnSPLINE!F$18</f>
        <v>-2.8612903225806448</v>
      </c>
      <c r="H417" s="3">
        <f>TnSPLINE!K$17</f>
        <v>1.2762255831276614E-2</v>
      </c>
      <c r="I417" s="3">
        <f>TnSPLINE!K$18</f>
        <v>-4.1372636038530253E-3</v>
      </c>
      <c r="J417" s="8">
        <f t="shared" si="68"/>
        <v>0.41379310344827586</v>
      </c>
      <c r="K417" s="8">
        <f t="shared" si="69"/>
        <v>0.58620689655172409</v>
      </c>
      <c r="L417" s="8"/>
      <c r="M417" s="13">
        <f t="shared" si="71"/>
        <v>-2.1044493882091206</v>
      </c>
      <c r="N417" s="13">
        <f t="shared" si="76"/>
        <v>-2.4947909176013092</v>
      </c>
      <c r="O417" s="13">
        <f t="shared" si="74"/>
        <v>3078.481837226549</v>
      </c>
      <c r="P417" s="13">
        <f t="shared" si="75"/>
        <v>3082.0093351876803</v>
      </c>
      <c r="Q417" s="13">
        <f t="shared" si="72"/>
        <v>-2.4947909176013092</v>
      </c>
    </row>
    <row r="418" spans="1:17">
      <c r="B418">
        <f t="shared" si="73"/>
        <v>415</v>
      </c>
      <c r="C418">
        <f t="shared" si="67"/>
        <v>29</v>
      </c>
      <c r="D418">
        <v>397</v>
      </c>
      <c r="E418">
        <v>426</v>
      </c>
      <c r="F418">
        <f>TnSPLINE!F$17</f>
        <v>-1.0322580645161292</v>
      </c>
      <c r="G418">
        <f>TnSPLINE!F$18</f>
        <v>-2.8612903225806448</v>
      </c>
      <c r="H418" s="5">
        <f>TnSPLINE!K$17</f>
        <v>1.2762255831276614E-2</v>
      </c>
      <c r="I418" s="5">
        <f>TnSPLINE!K$18</f>
        <v>-4.1372636038530253E-3</v>
      </c>
      <c r="J418">
        <f t="shared" si="68"/>
        <v>0.37931034482758619</v>
      </c>
      <c r="K418">
        <f t="shared" si="69"/>
        <v>0.62068965517241381</v>
      </c>
      <c r="M418" s="6">
        <f t="shared" si="71"/>
        <v>-2.1675194660734149</v>
      </c>
      <c r="N418" s="6">
        <f t="shared" si="76"/>
        <v>-2.5271498746151075</v>
      </c>
      <c r="O418" s="6">
        <f t="shared" si="74"/>
        <v>3076.3143177604757</v>
      </c>
      <c r="P418" s="6">
        <f t="shared" si="75"/>
        <v>3079.4821853130652</v>
      </c>
      <c r="Q418" s="6">
        <f t="shared" si="72"/>
        <v>-2.5271498746151075</v>
      </c>
    </row>
    <row r="419" spans="1:17">
      <c r="B419">
        <f t="shared" si="73"/>
        <v>416</v>
      </c>
      <c r="C419">
        <f t="shared" si="67"/>
        <v>29</v>
      </c>
      <c r="D419">
        <v>397</v>
      </c>
      <c r="E419">
        <v>426</v>
      </c>
      <c r="F419">
        <f>TnSPLINE!F$17</f>
        <v>-1.0322580645161292</v>
      </c>
      <c r="G419">
        <f>TnSPLINE!F$18</f>
        <v>-2.8612903225806448</v>
      </c>
      <c r="H419" s="5">
        <f>TnSPLINE!K$17</f>
        <v>1.2762255831276614E-2</v>
      </c>
      <c r="I419" s="5">
        <f>TnSPLINE!K$18</f>
        <v>-4.1372636038530253E-3</v>
      </c>
      <c r="J419">
        <f t="shared" si="68"/>
        <v>0.34482758620689657</v>
      </c>
      <c r="K419">
        <f t="shared" si="69"/>
        <v>0.65517241379310343</v>
      </c>
      <c r="M419" s="6">
        <f t="shared" si="71"/>
        <v>-2.2305895439377084</v>
      </c>
      <c r="N419" s="6">
        <f t="shared" si="76"/>
        <v>-2.5572359326883989</v>
      </c>
      <c r="O419" s="6">
        <f t="shared" si="74"/>
        <v>3074.083728216538</v>
      </c>
      <c r="P419" s="6">
        <f t="shared" si="75"/>
        <v>3076.9249493803768</v>
      </c>
      <c r="Q419" s="6">
        <f t="shared" si="72"/>
        <v>-2.5572359326883989</v>
      </c>
    </row>
    <row r="420" spans="1:17">
      <c r="B420">
        <f t="shared" si="73"/>
        <v>417</v>
      </c>
      <c r="C420">
        <f t="shared" si="67"/>
        <v>29</v>
      </c>
      <c r="D420">
        <v>397</v>
      </c>
      <c r="E420">
        <v>426</v>
      </c>
      <c r="F420">
        <f>TnSPLINE!F$17</f>
        <v>-1.0322580645161292</v>
      </c>
      <c r="G420">
        <f>TnSPLINE!F$18</f>
        <v>-2.8612903225806448</v>
      </c>
      <c r="H420" s="5">
        <f>TnSPLINE!K$17</f>
        <v>1.2762255831276614E-2</v>
      </c>
      <c r="I420" s="5">
        <f>TnSPLINE!K$18</f>
        <v>-4.1372636038530253E-3</v>
      </c>
      <c r="J420">
        <f t="shared" si="68"/>
        <v>0.31034482758620691</v>
      </c>
      <c r="K420">
        <f t="shared" si="69"/>
        <v>0.68965517241379315</v>
      </c>
      <c r="M420" s="6">
        <f t="shared" si="71"/>
        <v>-2.2936596218020022</v>
      </c>
      <c r="N420" s="6">
        <f t="shared" si="76"/>
        <v>-2.585631833870671</v>
      </c>
      <c r="O420" s="6">
        <f t="shared" si="74"/>
        <v>3071.7900685947361</v>
      </c>
      <c r="P420" s="6">
        <f t="shared" si="75"/>
        <v>3074.3393175465062</v>
      </c>
      <c r="Q420" s="6">
        <f t="shared" si="72"/>
        <v>-2.585631833870671</v>
      </c>
    </row>
    <row r="421" spans="1:17">
      <c r="B421">
        <f t="shared" si="73"/>
        <v>418</v>
      </c>
      <c r="C421">
        <f t="shared" si="67"/>
        <v>29</v>
      </c>
      <c r="D421">
        <v>397</v>
      </c>
      <c r="E421">
        <v>426</v>
      </c>
      <c r="F421">
        <f>TnSPLINE!F$17</f>
        <v>-1.0322580645161292</v>
      </c>
      <c r="G421">
        <f>TnSPLINE!F$18</f>
        <v>-2.8612903225806448</v>
      </c>
      <c r="H421" s="5">
        <f>TnSPLINE!K$17</f>
        <v>1.2762255831276614E-2</v>
      </c>
      <c r="I421" s="5">
        <f>TnSPLINE!K$18</f>
        <v>-4.1372636038530253E-3</v>
      </c>
      <c r="J421">
        <f t="shared" si="68"/>
        <v>0.27586206896551724</v>
      </c>
      <c r="K421">
        <f t="shared" si="69"/>
        <v>0.72413793103448276</v>
      </c>
      <c r="M421" s="6">
        <f t="shared" si="71"/>
        <v>-2.3567296996662956</v>
      </c>
      <c r="N421" s="6">
        <f t="shared" si="76"/>
        <v>-2.6129203202114106</v>
      </c>
      <c r="O421" s="6">
        <f t="shared" si="74"/>
        <v>3069.4333388950699</v>
      </c>
      <c r="P421" s="6">
        <f t="shared" si="75"/>
        <v>3071.7263972262949</v>
      </c>
      <c r="Q421" s="6">
        <f t="shared" si="72"/>
        <v>-2.6129203202114106</v>
      </c>
    </row>
    <row r="422" spans="1:17">
      <c r="B422">
        <f t="shared" si="73"/>
        <v>419</v>
      </c>
      <c r="C422">
        <f t="shared" si="67"/>
        <v>29</v>
      </c>
      <c r="D422">
        <v>397</v>
      </c>
      <c r="E422">
        <v>426</v>
      </c>
      <c r="F422">
        <f>TnSPLINE!F$17</f>
        <v>-1.0322580645161292</v>
      </c>
      <c r="G422">
        <f>TnSPLINE!F$18</f>
        <v>-2.8612903225806448</v>
      </c>
      <c r="H422" s="5">
        <f>TnSPLINE!K$17</f>
        <v>1.2762255831276614E-2</v>
      </c>
      <c r="I422" s="5">
        <f>TnSPLINE!K$18</f>
        <v>-4.1372636038530253E-3</v>
      </c>
      <c r="J422">
        <f t="shared" si="68"/>
        <v>0.2413793103448276</v>
      </c>
      <c r="K422">
        <f t="shared" si="69"/>
        <v>0.75862068965517238</v>
      </c>
      <c r="M422" s="6">
        <f t="shared" si="71"/>
        <v>-2.4197997775305895</v>
      </c>
      <c r="N422" s="6">
        <f t="shared" si="76"/>
        <v>-2.639684133760106</v>
      </c>
      <c r="O422" s="6">
        <f t="shared" si="74"/>
        <v>3067.0135391175395</v>
      </c>
      <c r="P422" s="6">
        <f t="shared" si="75"/>
        <v>3069.0867130925349</v>
      </c>
      <c r="Q422" s="6">
        <f t="shared" si="72"/>
        <v>-2.639684133760106</v>
      </c>
    </row>
    <row r="423" spans="1:17">
      <c r="B423">
        <f t="shared" si="73"/>
        <v>420</v>
      </c>
      <c r="C423">
        <f t="shared" si="67"/>
        <v>29</v>
      </c>
      <c r="D423">
        <v>397</v>
      </c>
      <c r="E423">
        <v>426</v>
      </c>
      <c r="F423">
        <f>TnSPLINE!F$17</f>
        <v>-1.0322580645161292</v>
      </c>
      <c r="G423">
        <f>TnSPLINE!F$18</f>
        <v>-2.8612903225806448</v>
      </c>
      <c r="H423" s="5">
        <f>TnSPLINE!K$17</f>
        <v>1.2762255831276614E-2</v>
      </c>
      <c r="I423" s="5">
        <f>TnSPLINE!K$18</f>
        <v>-4.1372636038530253E-3</v>
      </c>
      <c r="J423">
        <f t="shared" si="68"/>
        <v>0.20689655172413793</v>
      </c>
      <c r="K423">
        <f t="shared" si="69"/>
        <v>0.7931034482758621</v>
      </c>
      <c r="M423" s="6">
        <f t="shared" si="71"/>
        <v>-2.4828698553948829</v>
      </c>
      <c r="N423" s="6">
        <f t="shared" si="76"/>
        <v>-2.6665060165662435</v>
      </c>
      <c r="O423" s="6">
        <f t="shared" si="74"/>
        <v>3064.5306692621448</v>
      </c>
      <c r="P423" s="6">
        <f t="shared" si="75"/>
        <v>3066.4202070759688</v>
      </c>
      <c r="Q423" s="6">
        <f t="shared" si="72"/>
        <v>-2.6665060165662435</v>
      </c>
    </row>
    <row r="424" spans="1:17">
      <c r="B424">
        <f t="shared" si="73"/>
        <v>421</v>
      </c>
      <c r="C424">
        <f t="shared" si="67"/>
        <v>29</v>
      </c>
      <c r="D424">
        <v>397</v>
      </c>
      <c r="E424">
        <v>426</v>
      </c>
      <c r="F424">
        <f>TnSPLINE!F$17</f>
        <v>-1.0322580645161292</v>
      </c>
      <c r="G424">
        <f>TnSPLINE!F$18</f>
        <v>-2.8612903225806448</v>
      </c>
      <c r="H424" s="5">
        <f>TnSPLINE!K$17</f>
        <v>1.2762255831276614E-2</v>
      </c>
      <c r="I424" s="5">
        <f>TnSPLINE!K$18</f>
        <v>-4.1372636038530253E-3</v>
      </c>
      <c r="J424">
        <f t="shared" si="68"/>
        <v>0.17241379310344829</v>
      </c>
      <c r="K424">
        <f t="shared" si="69"/>
        <v>0.82758620689655171</v>
      </c>
      <c r="M424" s="6">
        <f t="shared" si="71"/>
        <v>-2.5459399332591763</v>
      </c>
      <c r="N424" s="6">
        <f t="shared" si="76"/>
        <v>-2.6939687106793104</v>
      </c>
      <c r="O424" s="6">
        <f t="shared" si="74"/>
        <v>3061.9847293288858</v>
      </c>
      <c r="P424" s="6">
        <f t="shared" si="75"/>
        <v>3063.7262383652896</v>
      </c>
      <c r="Q424" s="6">
        <f t="shared" si="72"/>
        <v>-2.6939687106793104</v>
      </c>
    </row>
    <row r="425" spans="1:17">
      <c r="B425">
        <f t="shared" si="73"/>
        <v>422</v>
      </c>
      <c r="C425">
        <f t="shared" si="67"/>
        <v>29</v>
      </c>
      <c r="D425">
        <v>397</v>
      </c>
      <c r="E425">
        <v>426</v>
      </c>
      <c r="F425">
        <f>TnSPLINE!F$17</f>
        <v>-1.0322580645161292</v>
      </c>
      <c r="G425">
        <f>TnSPLINE!F$18</f>
        <v>-2.8612903225806448</v>
      </c>
      <c r="H425" s="5">
        <f>TnSPLINE!K$17</f>
        <v>1.2762255831276614E-2</v>
      </c>
      <c r="I425" s="5">
        <f>TnSPLINE!K$18</f>
        <v>-4.1372636038530253E-3</v>
      </c>
      <c r="J425">
        <f t="shared" si="68"/>
        <v>0.13793103448275862</v>
      </c>
      <c r="K425">
        <f t="shared" si="69"/>
        <v>0.86206896551724133</v>
      </c>
      <c r="M425" s="6">
        <f t="shared" si="71"/>
        <v>-2.6090100111234702</v>
      </c>
      <c r="N425" s="6">
        <f t="shared" si="76"/>
        <v>-2.7226549581487949</v>
      </c>
      <c r="O425" s="6">
        <f t="shared" si="74"/>
        <v>3059.3757193177626</v>
      </c>
      <c r="P425" s="6">
        <f t="shared" si="75"/>
        <v>3061.0035834071409</v>
      </c>
      <c r="Q425" s="6">
        <f t="shared" si="72"/>
        <v>-2.7226549581487949</v>
      </c>
    </row>
    <row r="426" spans="1:17">
      <c r="B426">
        <f t="shared" si="73"/>
        <v>423</v>
      </c>
      <c r="C426">
        <f t="shared" si="67"/>
        <v>29</v>
      </c>
      <c r="D426">
        <v>397</v>
      </c>
      <c r="E426">
        <v>426</v>
      </c>
      <c r="F426">
        <f>TnSPLINE!F$17</f>
        <v>-1.0322580645161292</v>
      </c>
      <c r="G426">
        <f>TnSPLINE!F$18</f>
        <v>-2.8612903225806448</v>
      </c>
      <c r="H426" s="5">
        <f>TnSPLINE!K$17</f>
        <v>1.2762255831276614E-2</v>
      </c>
      <c r="I426" s="5">
        <f>TnSPLINE!K$18</f>
        <v>-4.1372636038530253E-3</v>
      </c>
      <c r="J426">
        <f t="shared" si="68"/>
        <v>0.10344827586206896</v>
      </c>
      <c r="K426">
        <f t="shared" si="69"/>
        <v>0.89655172413793105</v>
      </c>
      <c r="M426" s="6">
        <f t="shared" si="71"/>
        <v>-2.6720800889877641</v>
      </c>
      <c r="N426" s="6">
        <f t="shared" si="76"/>
        <v>-2.7531475010241833</v>
      </c>
      <c r="O426" s="6">
        <f t="shared" si="74"/>
        <v>3056.7036392287746</v>
      </c>
      <c r="P426" s="6">
        <f t="shared" si="75"/>
        <v>3058.2504359061168</v>
      </c>
      <c r="Q426" s="6">
        <f t="shared" si="72"/>
        <v>-2.7531475010241833</v>
      </c>
    </row>
    <row r="427" spans="1:17">
      <c r="B427">
        <f t="shared" si="73"/>
        <v>424</v>
      </c>
      <c r="C427">
        <f t="shared" si="67"/>
        <v>29</v>
      </c>
      <c r="D427">
        <v>397</v>
      </c>
      <c r="E427">
        <v>426</v>
      </c>
      <c r="F427">
        <f>TnSPLINE!F$17</f>
        <v>-1.0322580645161292</v>
      </c>
      <c r="G427">
        <f>TnSPLINE!F$18</f>
        <v>-2.8612903225806448</v>
      </c>
      <c r="H427" s="5">
        <f>TnSPLINE!K$17</f>
        <v>1.2762255831276614E-2</v>
      </c>
      <c r="I427" s="5">
        <f>TnSPLINE!K$18</f>
        <v>-4.1372636038530253E-3</v>
      </c>
      <c r="J427">
        <f t="shared" si="68"/>
        <v>6.8965517241379309E-2</v>
      </c>
      <c r="K427">
        <f t="shared" si="69"/>
        <v>0.93103448275862066</v>
      </c>
      <c r="M427" s="6">
        <f t="shared" si="71"/>
        <v>-2.7351501668520575</v>
      </c>
      <c r="N427" s="6">
        <f t="shared" si="76"/>
        <v>-2.7860290813549629</v>
      </c>
      <c r="O427" s="6">
        <f t="shared" si="74"/>
        <v>3053.9684890619224</v>
      </c>
      <c r="P427" s="6">
        <f t="shared" si="75"/>
        <v>3055.4644068247617</v>
      </c>
      <c r="Q427" s="6">
        <f t="shared" si="72"/>
        <v>-2.7860290813549629</v>
      </c>
    </row>
    <row r="428" spans="1:17">
      <c r="B428">
        <f t="shared" si="73"/>
        <v>425</v>
      </c>
      <c r="C428">
        <f t="shared" si="67"/>
        <v>29</v>
      </c>
      <c r="D428">
        <v>397</v>
      </c>
      <c r="E428">
        <v>426</v>
      </c>
      <c r="F428">
        <f>TnSPLINE!F$17</f>
        <v>-1.0322580645161292</v>
      </c>
      <c r="G428">
        <f>TnSPLINE!F$18</f>
        <v>-2.8612903225806448</v>
      </c>
      <c r="H428" s="5">
        <f>TnSPLINE!K$17</f>
        <v>1.2762255831276614E-2</v>
      </c>
      <c r="I428" s="5">
        <f>TnSPLINE!K$18</f>
        <v>-4.1372636038530253E-3</v>
      </c>
      <c r="J428">
        <f t="shared" si="68"/>
        <v>3.4482758620689655E-2</v>
      </c>
      <c r="K428">
        <f t="shared" si="69"/>
        <v>0.96551724137931039</v>
      </c>
      <c r="M428" s="6">
        <f t="shared" si="71"/>
        <v>-2.7982202447163509</v>
      </c>
      <c r="N428" s="6">
        <f t="shared" si="76"/>
        <v>-2.8218824411906205</v>
      </c>
      <c r="O428" s="6">
        <f t="shared" si="74"/>
        <v>3051.1702688172059</v>
      </c>
      <c r="P428" s="6">
        <f t="shared" si="75"/>
        <v>3052.6425243835711</v>
      </c>
      <c r="Q428" s="6">
        <f t="shared" si="72"/>
        <v>-2.8218824411906205</v>
      </c>
    </row>
    <row r="429" spans="1:17">
      <c r="A429">
        <v>426</v>
      </c>
      <c r="B429">
        <f t="shared" si="73"/>
        <v>426</v>
      </c>
      <c r="C429">
        <f t="shared" si="67"/>
        <v>29</v>
      </c>
      <c r="D429">
        <v>397</v>
      </c>
      <c r="E429">
        <v>426</v>
      </c>
      <c r="F429">
        <f>TnSPLINE!F$17</f>
        <v>-1.0322580645161292</v>
      </c>
      <c r="G429">
        <f>TnSPLINE!F$18</f>
        <v>-2.8612903225806448</v>
      </c>
      <c r="H429" s="5">
        <f>TnSPLINE!K$17</f>
        <v>1.2762255831276614E-2</v>
      </c>
      <c r="I429" s="5">
        <f>TnSPLINE!K$18</f>
        <v>-4.1372636038530253E-3</v>
      </c>
      <c r="J429">
        <f t="shared" si="68"/>
        <v>0</v>
      </c>
      <c r="K429">
        <f t="shared" si="69"/>
        <v>1</v>
      </c>
      <c r="M429" s="6">
        <f t="shared" si="71"/>
        <v>-2.8612903225806448</v>
      </c>
      <c r="N429" s="6">
        <f t="shared" si="76"/>
        <v>-2.8612903225806448</v>
      </c>
      <c r="O429" s="6">
        <f t="shared" si="74"/>
        <v>3048.3089784946251</v>
      </c>
      <c r="P429" s="6">
        <f t="shared" si="75"/>
        <v>3049.7812340609903</v>
      </c>
      <c r="Q429" s="6">
        <f t="shared" si="72"/>
        <v>-2.8612903225806448</v>
      </c>
    </row>
    <row r="430" spans="1:17">
      <c r="B430">
        <f t="shared" si="73"/>
        <v>427</v>
      </c>
      <c r="C430">
        <f t="shared" si="67"/>
        <v>31</v>
      </c>
      <c r="D430">
        <v>426</v>
      </c>
      <c r="E430">
        <v>457</v>
      </c>
      <c r="F430">
        <f>TnSPLINE!F$18</f>
        <v>-2.8612903225806448</v>
      </c>
      <c r="G430">
        <f>TnSPLINE!F$19</f>
        <v>-4.5999999999999996</v>
      </c>
      <c r="H430" s="5">
        <f>TnSPLINE!K$18</f>
        <v>-4.1372636038530253E-3</v>
      </c>
      <c r="I430" s="5">
        <f>TnSPLINE!K$19</f>
        <v>5.4278137692591721E-3</v>
      </c>
      <c r="J430">
        <f t="shared" si="68"/>
        <v>0.967741935483871</v>
      </c>
      <c r="K430">
        <f t="shared" si="69"/>
        <v>3.2258064516129031E-2</v>
      </c>
      <c r="M430" s="6">
        <f t="shared" si="71"/>
        <v>-2.9173777315296565</v>
      </c>
      <c r="N430" s="6">
        <f t="shared" si="76"/>
        <v>-2.9046869187524402</v>
      </c>
      <c r="O430" s="6">
        <f t="shared" si="74"/>
        <v>3045.3916007630955</v>
      </c>
      <c r="P430" s="6">
        <f t="shared" si="75"/>
        <v>3046.876547142238</v>
      </c>
      <c r="Q430" s="6">
        <f t="shared" si="72"/>
        <v>-2.9046869187524402</v>
      </c>
    </row>
    <row r="431" spans="1:17">
      <c r="B431">
        <f t="shared" si="73"/>
        <v>428</v>
      </c>
      <c r="C431">
        <f t="shared" si="67"/>
        <v>31</v>
      </c>
      <c r="D431">
        <v>426</v>
      </c>
      <c r="E431">
        <v>457</v>
      </c>
      <c r="F431">
        <f>TnSPLINE!F$18</f>
        <v>-2.8612903225806448</v>
      </c>
      <c r="G431">
        <f>TnSPLINE!F$19</f>
        <v>-4.5999999999999996</v>
      </c>
      <c r="H431" s="5">
        <f>TnSPLINE!K$18</f>
        <v>-4.1372636038530253E-3</v>
      </c>
      <c r="I431" s="5">
        <f>TnSPLINE!K$19</f>
        <v>5.4278137692591721E-3</v>
      </c>
      <c r="J431">
        <f t="shared" si="68"/>
        <v>0.93548387096774188</v>
      </c>
      <c r="K431">
        <f t="shared" si="69"/>
        <v>6.4516129032258063E-2</v>
      </c>
      <c r="M431" s="6">
        <f t="shared" si="71"/>
        <v>-2.9734651404786674</v>
      </c>
      <c r="N431" s="6">
        <f t="shared" si="76"/>
        <v>-2.9519122276450842</v>
      </c>
      <c r="O431" s="6">
        <f t="shared" si="74"/>
        <v>3042.4181356226168</v>
      </c>
      <c r="P431" s="6">
        <f t="shared" si="75"/>
        <v>3043.9246349145928</v>
      </c>
      <c r="Q431" s="6">
        <f t="shared" si="72"/>
        <v>-2.9519122276450842</v>
      </c>
    </row>
    <row r="432" spans="1:17">
      <c r="B432">
        <f t="shared" si="73"/>
        <v>429</v>
      </c>
      <c r="C432">
        <f t="shared" si="67"/>
        <v>31</v>
      </c>
      <c r="D432">
        <v>426</v>
      </c>
      <c r="E432">
        <v>457</v>
      </c>
      <c r="F432">
        <f>TnSPLINE!F$18</f>
        <v>-2.8612903225806448</v>
      </c>
      <c r="G432">
        <f>TnSPLINE!F$19</f>
        <v>-4.5999999999999996</v>
      </c>
      <c r="H432" s="5">
        <f>TnSPLINE!K$18</f>
        <v>-4.1372636038530253E-3</v>
      </c>
      <c r="I432" s="5">
        <f>TnSPLINE!K$19</f>
        <v>5.4278137692591721E-3</v>
      </c>
      <c r="J432">
        <f t="shared" si="68"/>
        <v>0.90322580645161288</v>
      </c>
      <c r="K432">
        <f t="shared" si="69"/>
        <v>9.6774193548387094E-2</v>
      </c>
      <c r="M432" s="6">
        <f t="shared" si="71"/>
        <v>-3.0295525494276792</v>
      </c>
      <c r="N432" s="6">
        <f t="shared" si="76"/>
        <v>-3.0026576983755748</v>
      </c>
      <c r="O432" s="6">
        <f t="shared" si="74"/>
        <v>3039.3885830731892</v>
      </c>
      <c r="P432" s="6">
        <f t="shared" si="75"/>
        <v>3040.9219772162173</v>
      </c>
      <c r="Q432" s="6">
        <f t="shared" si="72"/>
        <v>-3.0026576983755748</v>
      </c>
    </row>
    <row r="433" spans="2:17">
      <c r="B433">
        <f t="shared" si="73"/>
        <v>430</v>
      </c>
      <c r="C433">
        <f t="shared" si="67"/>
        <v>31</v>
      </c>
      <c r="D433">
        <v>426</v>
      </c>
      <c r="E433">
        <v>457</v>
      </c>
      <c r="F433">
        <f>TnSPLINE!F$18</f>
        <v>-2.8612903225806448</v>
      </c>
      <c r="G433">
        <f>TnSPLINE!F$19</f>
        <v>-4.5999999999999996</v>
      </c>
      <c r="H433" s="5">
        <f>TnSPLINE!K$18</f>
        <v>-4.1372636038530253E-3</v>
      </c>
      <c r="I433" s="5">
        <f>TnSPLINE!K$19</f>
        <v>5.4278137692591721E-3</v>
      </c>
      <c r="J433">
        <f t="shared" si="68"/>
        <v>0.87096774193548387</v>
      </c>
      <c r="K433">
        <f t="shared" si="69"/>
        <v>0.12903225806451613</v>
      </c>
      <c r="M433" s="6">
        <f t="shared" si="71"/>
        <v>-3.0856399583766905</v>
      </c>
      <c r="N433" s="6">
        <f t="shared" si="76"/>
        <v>-3.0566147800609071</v>
      </c>
      <c r="O433" s="6">
        <f t="shared" si="74"/>
        <v>3036.3029431148125</v>
      </c>
      <c r="P433" s="6">
        <f t="shared" si="75"/>
        <v>3037.8653624361564</v>
      </c>
      <c r="Q433" s="6">
        <f t="shared" si="72"/>
        <v>-3.0566147800609071</v>
      </c>
    </row>
    <row r="434" spans="2:17">
      <c r="B434">
        <f t="shared" si="73"/>
        <v>431</v>
      </c>
      <c r="C434">
        <f t="shared" si="67"/>
        <v>31</v>
      </c>
      <c r="D434">
        <v>426</v>
      </c>
      <c r="E434">
        <v>457</v>
      </c>
      <c r="F434">
        <f>TnSPLINE!F$18</f>
        <v>-2.8612903225806448</v>
      </c>
      <c r="G434">
        <f>TnSPLINE!F$19</f>
        <v>-4.5999999999999996</v>
      </c>
      <c r="H434" s="5">
        <f>TnSPLINE!K$18</f>
        <v>-4.1372636038530253E-3</v>
      </c>
      <c r="I434" s="5">
        <f>TnSPLINE!K$19</f>
        <v>5.4278137692591721E-3</v>
      </c>
      <c r="J434">
        <f t="shared" si="68"/>
        <v>0.83870967741935487</v>
      </c>
      <c r="K434">
        <f t="shared" si="69"/>
        <v>0.16129032258064516</v>
      </c>
      <c r="M434" s="6">
        <f t="shared" si="71"/>
        <v>-3.1417273673257018</v>
      </c>
      <c r="N434" s="6">
        <f t="shared" si="76"/>
        <v>-3.1134749218180784</v>
      </c>
      <c r="O434" s="6">
        <f t="shared" si="74"/>
        <v>3033.1612157474869</v>
      </c>
      <c r="P434" s="6">
        <f t="shared" si="75"/>
        <v>3034.7518875143383</v>
      </c>
      <c r="Q434" s="6">
        <f t="shared" si="72"/>
        <v>-3.1134749218180784</v>
      </c>
    </row>
    <row r="435" spans="2:17">
      <c r="B435">
        <f t="shared" si="73"/>
        <v>432</v>
      </c>
      <c r="C435">
        <f t="shared" si="67"/>
        <v>31</v>
      </c>
      <c r="D435">
        <v>426</v>
      </c>
      <c r="E435">
        <v>457</v>
      </c>
      <c r="F435">
        <f>TnSPLINE!F$18</f>
        <v>-2.8612903225806448</v>
      </c>
      <c r="G435">
        <f>TnSPLINE!F$19</f>
        <v>-4.5999999999999996</v>
      </c>
      <c r="H435" s="5">
        <f>TnSPLINE!K$18</f>
        <v>-4.1372636038530253E-3</v>
      </c>
      <c r="I435" s="5">
        <f>TnSPLINE!K$19</f>
        <v>5.4278137692591721E-3</v>
      </c>
      <c r="J435">
        <f t="shared" si="68"/>
        <v>0.80645161290322576</v>
      </c>
      <c r="K435">
        <f t="shared" si="69"/>
        <v>0.19354838709677419</v>
      </c>
      <c r="M435" s="6">
        <f t="shared" si="71"/>
        <v>-3.1978147762747131</v>
      </c>
      <c r="N435" s="6">
        <f t="shared" si="76"/>
        <v>-3.172929572764084</v>
      </c>
      <c r="O435" s="6">
        <f t="shared" si="74"/>
        <v>3029.9634009712122</v>
      </c>
      <c r="P435" s="6">
        <f t="shared" si="75"/>
        <v>3031.5789579415741</v>
      </c>
      <c r="Q435" s="6">
        <f t="shared" si="72"/>
        <v>-3.172929572764084</v>
      </c>
    </row>
    <row r="436" spans="2:17">
      <c r="B436">
        <f t="shared" si="73"/>
        <v>433</v>
      </c>
      <c r="C436">
        <f t="shared" si="67"/>
        <v>31</v>
      </c>
      <c r="D436">
        <v>426</v>
      </c>
      <c r="E436">
        <v>457</v>
      </c>
      <c r="F436">
        <f>TnSPLINE!F$18</f>
        <v>-2.8612903225806448</v>
      </c>
      <c r="G436">
        <f>TnSPLINE!F$19</f>
        <v>-4.5999999999999996</v>
      </c>
      <c r="H436" s="5">
        <f>TnSPLINE!K$18</f>
        <v>-4.1372636038530253E-3</v>
      </c>
      <c r="I436" s="5">
        <f>TnSPLINE!K$19</f>
        <v>5.4278137692591721E-3</v>
      </c>
      <c r="J436">
        <f t="shared" si="68"/>
        <v>0.77419354838709675</v>
      </c>
      <c r="K436">
        <f t="shared" si="69"/>
        <v>0.22580645161290322</v>
      </c>
      <c r="M436" s="6">
        <f t="shared" si="71"/>
        <v>-3.2539021852237249</v>
      </c>
      <c r="N436" s="6">
        <f t="shared" si="76"/>
        <v>-3.2346701820159218</v>
      </c>
      <c r="O436" s="6">
        <f t="shared" si="74"/>
        <v>3026.7094987859887</v>
      </c>
      <c r="P436" s="6">
        <f t="shared" si="75"/>
        <v>3028.344287759558</v>
      </c>
      <c r="Q436" s="6">
        <f t="shared" si="72"/>
        <v>-3.2346701820159218</v>
      </c>
    </row>
    <row r="437" spans="2:17">
      <c r="B437">
        <f t="shared" si="73"/>
        <v>434</v>
      </c>
      <c r="C437">
        <f t="shared" si="67"/>
        <v>31</v>
      </c>
      <c r="D437">
        <v>426</v>
      </c>
      <c r="E437">
        <v>457</v>
      </c>
      <c r="F437">
        <f>TnSPLINE!F$18</f>
        <v>-2.8612903225806448</v>
      </c>
      <c r="G437">
        <f>TnSPLINE!F$19</f>
        <v>-4.5999999999999996</v>
      </c>
      <c r="H437" s="5">
        <f>TnSPLINE!K$18</f>
        <v>-4.1372636038530253E-3</v>
      </c>
      <c r="I437" s="5">
        <f>TnSPLINE!K$19</f>
        <v>5.4278137692591721E-3</v>
      </c>
      <c r="J437">
        <f t="shared" si="68"/>
        <v>0.74193548387096775</v>
      </c>
      <c r="K437">
        <f t="shared" si="69"/>
        <v>0.25806451612903225</v>
      </c>
      <c r="M437" s="6">
        <f t="shared" si="71"/>
        <v>-3.3099895941727362</v>
      </c>
      <c r="N437" s="6">
        <f t="shared" si="76"/>
        <v>-3.2983881986905867</v>
      </c>
      <c r="O437" s="6">
        <f t="shared" si="74"/>
        <v>3023.3995091918159</v>
      </c>
      <c r="P437" s="6">
        <f t="shared" si="75"/>
        <v>3025.0458995608674</v>
      </c>
      <c r="Q437" s="6">
        <f t="shared" si="72"/>
        <v>-3.2983881986905867</v>
      </c>
    </row>
    <row r="438" spans="2:17">
      <c r="B438">
        <f t="shared" si="73"/>
        <v>435</v>
      </c>
      <c r="C438">
        <f t="shared" si="67"/>
        <v>31</v>
      </c>
      <c r="D438">
        <v>426</v>
      </c>
      <c r="E438">
        <v>457</v>
      </c>
      <c r="F438">
        <f>TnSPLINE!F$18</f>
        <v>-2.8612903225806448</v>
      </c>
      <c r="G438">
        <f>TnSPLINE!F$19</f>
        <v>-4.5999999999999996</v>
      </c>
      <c r="H438" s="5">
        <f>TnSPLINE!K$18</f>
        <v>-4.1372636038530253E-3</v>
      </c>
      <c r="I438" s="5">
        <f>TnSPLINE!K$19</f>
        <v>5.4278137692591721E-3</v>
      </c>
      <c r="J438">
        <f t="shared" si="68"/>
        <v>0.70967741935483875</v>
      </c>
      <c r="K438">
        <f t="shared" si="69"/>
        <v>0.29032258064516131</v>
      </c>
      <c r="M438" s="6">
        <f t="shared" si="71"/>
        <v>-3.366077003121748</v>
      </c>
      <c r="N438" s="6">
        <f t="shared" si="76"/>
        <v>-3.3637750719050761</v>
      </c>
      <c r="O438" s="6">
        <f t="shared" si="74"/>
        <v>3020.033432188694</v>
      </c>
      <c r="P438" s="6">
        <f t="shared" si="75"/>
        <v>3021.6821244889625</v>
      </c>
      <c r="Q438" s="6">
        <f t="shared" si="72"/>
        <v>-3.3637750719050761</v>
      </c>
    </row>
    <row r="439" spans="2:17">
      <c r="B439">
        <f t="shared" si="73"/>
        <v>436</v>
      </c>
      <c r="C439">
        <f t="shared" si="67"/>
        <v>31</v>
      </c>
      <c r="D439">
        <v>426</v>
      </c>
      <c r="E439">
        <v>457</v>
      </c>
      <c r="F439">
        <f>TnSPLINE!F$18</f>
        <v>-2.8612903225806448</v>
      </c>
      <c r="G439">
        <f>TnSPLINE!F$19</f>
        <v>-4.5999999999999996</v>
      </c>
      <c r="H439" s="5">
        <f>TnSPLINE!K$18</f>
        <v>-4.1372636038530253E-3</v>
      </c>
      <c r="I439" s="5">
        <f>TnSPLINE!K$19</f>
        <v>5.4278137692591721E-3</v>
      </c>
      <c r="J439">
        <f t="shared" si="68"/>
        <v>0.67741935483870963</v>
      </c>
      <c r="K439">
        <f t="shared" si="69"/>
        <v>0.32258064516129031</v>
      </c>
      <c r="M439" s="6">
        <f t="shared" si="71"/>
        <v>-3.4221644120707593</v>
      </c>
      <c r="N439" s="6">
        <f t="shared" si="76"/>
        <v>-3.4305222507763853</v>
      </c>
      <c r="O439" s="6">
        <f t="shared" si="74"/>
        <v>3016.6112677766232</v>
      </c>
      <c r="P439" s="6">
        <f t="shared" si="75"/>
        <v>3018.251602238186</v>
      </c>
      <c r="Q439" s="6">
        <f t="shared" si="72"/>
        <v>-3.4305222507763853</v>
      </c>
    </row>
    <row r="440" spans="2:17">
      <c r="B440">
        <f t="shared" si="73"/>
        <v>437</v>
      </c>
      <c r="C440">
        <f t="shared" si="67"/>
        <v>31</v>
      </c>
      <c r="D440">
        <v>426</v>
      </c>
      <c r="E440">
        <v>457</v>
      </c>
      <c r="F440">
        <f>TnSPLINE!F$18</f>
        <v>-2.8612903225806448</v>
      </c>
      <c r="G440">
        <f>TnSPLINE!F$19</f>
        <v>-4.5999999999999996</v>
      </c>
      <c r="H440" s="5">
        <f>TnSPLINE!K$18</f>
        <v>-4.1372636038530253E-3</v>
      </c>
      <c r="I440" s="5">
        <f>TnSPLINE!K$19</f>
        <v>5.4278137692591721E-3</v>
      </c>
      <c r="J440">
        <f t="shared" si="68"/>
        <v>0.64516129032258063</v>
      </c>
      <c r="K440">
        <f t="shared" si="69"/>
        <v>0.35483870967741937</v>
      </c>
      <c r="M440" s="6">
        <f t="shared" si="71"/>
        <v>-3.4782518210197706</v>
      </c>
      <c r="N440" s="6">
        <f t="shared" si="76"/>
        <v>-3.4983211844215116</v>
      </c>
      <c r="O440" s="6">
        <f t="shared" si="74"/>
        <v>3013.1330159556032</v>
      </c>
      <c r="P440" s="6">
        <f t="shared" si="75"/>
        <v>3014.7532810537646</v>
      </c>
      <c r="Q440" s="6">
        <f t="shared" si="72"/>
        <v>-3.4983211844215116</v>
      </c>
    </row>
    <row r="441" spans="2:17">
      <c r="B441">
        <f t="shared" si="73"/>
        <v>438</v>
      </c>
      <c r="C441">
        <f t="shared" si="67"/>
        <v>31</v>
      </c>
      <c r="D441">
        <v>426</v>
      </c>
      <c r="E441">
        <v>457</v>
      </c>
      <c r="F441">
        <f>TnSPLINE!F$18</f>
        <v>-2.8612903225806448</v>
      </c>
      <c r="G441">
        <f>TnSPLINE!F$19</f>
        <v>-4.5999999999999996</v>
      </c>
      <c r="H441" s="5">
        <f>TnSPLINE!K$18</f>
        <v>-4.1372636038530253E-3</v>
      </c>
      <c r="I441" s="5">
        <f>TnSPLINE!K$19</f>
        <v>5.4278137692591721E-3</v>
      </c>
      <c r="J441">
        <f t="shared" si="68"/>
        <v>0.61290322580645162</v>
      </c>
      <c r="K441">
        <f t="shared" si="69"/>
        <v>0.38709677419354838</v>
      </c>
      <c r="M441" s="6">
        <f t="shared" si="71"/>
        <v>-3.5343392299687819</v>
      </c>
      <c r="N441" s="6">
        <f t="shared" si="76"/>
        <v>-3.566863321957451</v>
      </c>
      <c r="O441" s="6">
        <f t="shared" si="74"/>
        <v>3009.5986767256345</v>
      </c>
      <c r="P441" s="6">
        <f t="shared" si="75"/>
        <v>3011.1864177318071</v>
      </c>
      <c r="Q441" s="6">
        <f t="shared" si="72"/>
        <v>-3.566863321957451</v>
      </c>
    </row>
    <row r="442" spans="2:17">
      <c r="B442">
        <f t="shared" si="73"/>
        <v>439</v>
      </c>
      <c r="C442">
        <f t="shared" si="67"/>
        <v>31</v>
      </c>
      <c r="D442">
        <v>426</v>
      </c>
      <c r="E442">
        <v>457</v>
      </c>
      <c r="F442">
        <f>TnSPLINE!F$18</f>
        <v>-2.8612903225806448</v>
      </c>
      <c r="G442">
        <f>TnSPLINE!F$19</f>
        <v>-4.5999999999999996</v>
      </c>
      <c r="H442" s="5">
        <f>TnSPLINE!K$18</f>
        <v>-4.1372636038530253E-3</v>
      </c>
      <c r="I442" s="5">
        <f>TnSPLINE!K$19</f>
        <v>5.4278137692591721E-3</v>
      </c>
      <c r="J442">
        <f t="shared" si="68"/>
        <v>0.58064516129032262</v>
      </c>
      <c r="K442">
        <f t="shared" si="69"/>
        <v>0.41935483870967744</v>
      </c>
      <c r="M442" s="6">
        <f t="shared" si="71"/>
        <v>-3.5904266389177937</v>
      </c>
      <c r="N442" s="6">
        <f t="shared" si="76"/>
        <v>-3.6358401125012003</v>
      </c>
      <c r="O442" s="6">
        <f t="shared" si="74"/>
        <v>3006.0082500867165</v>
      </c>
      <c r="P442" s="6">
        <f t="shared" si="75"/>
        <v>3007.5505776193058</v>
      </c>
      <c r="Q442" s="6">
        <f t="shared" si="72"/>
        <v>-3.6358401125012003</v>
      </c>
    </row>
    <row r="443" spans="2:17">
      <c r="B443">
        <f t="shared" si="73"/>
        <v>440</v>
      </c>
      <c r="C443">
        <f t="shared" si="67"/>
        <v>31</v>
      </c>
      <c r="D443">
        <v>426</v>
      </c>
      <c r="E443">
        <v>457</v>
      </c>
      <c r="F443">
        <f>TnSPLINE!F$18</f>
        <v>-2.8612903225806448</v>
      </c>
      <c r="G443">
        <f>TnSPLINE!F$19</f>
        <v>-4.5999999999999996</v>
      </c>
      <c r="H443" s="5">
        <f>TnSPLINE!K$18</f>
        <v>-4.1372636038530253E-3</v>
      </c>
      <c r="I443" s="5">
        <f>TnSPLINE!K$19</f>
        <v>5.4278137692591721E-3</v>
      </c>
      <c r="J443">
        <f t="shared" si="68"/>
        <v>0.54838709677419351</v>
      </c>
      <c r="K443">
        <f t="shared" si="69"/>
        <v>0.45161290322580644</v>
      </c>
      <c r="M443" s="6">
        <f t="shared" si="71"/>
        <v>-3.6465140478668046</v>
      </c>
      <c r="N443" s="6">
        <f t="shared" si="76"/>
        <v>-3.7049430051697549</v>
      </c>
      <c r="O443" s="6">
        <f t="shared" si="74"/>
        <v>3002.3617360388498</v>
      </c>
      <c r="P443" s="6">
        <f t="shared" si="75"/>
        <v>3003.8456346141361</v>
      </c>
      <c r="Q443" s="6">
        <f t="shared" si="72"/>
        <v>-3.7049430051697549</v>
      </c>
    </row>
    <row r="444" spans="2:17">
      <c r="B444">
        <f t="shared" si="73"/>
        <v>441</v>
      </c>
      <c r="C444">
        <f t="shared" si="67"/>
        <v>31</v>
      </c>
      <c r="D444">
        <v>426</v>
      </c>
      <c r="E444">
        <v>457</v>
      </c>
      <c r="F444">
        <f>TnSPLINE!F$18</f>
        <v>-2.8612903225806448</v>
      </c>
      <c r="G444">
        <f>TnSPLINE!F$19</f>
        <v>-4.5999999999999996</v>
      </c>
      <c r="H444" s="5">
        <f>TnSPLINE!K$18</f>
        <v>-4.1372636038530253E-3</v>
      </c>
      <c r="I444" s="5">
        <f>TnSPLINE!K$19</f>
        <v>5.4278137692591721E-3</v>
      </c>
      <c r="J444">
        <f t="shared" si="68"/>
        <v>0.5161290322580645</v>
      </c>
      <c r="K444">
        <f t="shared" si="69"/>
        <v>0.4838709677419355</v>
      </c>
      <c r="M444" s="6">
        <f t="shared" si="71"/>
        <v>-3.7026014568158163</v>
      </c>
      <c r="N444" s="6">
        <f t="shared" si="76"/>
        <v>-3.7738634490801126</v>
      </c>
      <c r="O444" s="6">
        <f t="shared" si="74"/>
        <v>2998.6591345820339</v>
      </c>
      <c r="P444" s="6">
        <f t="shared" si="75"/>
        <v>3000.0717711650559</v>
      </c>
      <c r="Q444" s="6">
        <f t="shared" si="72"/>
        <v>-3.7738634490801126</v>
      </c>
    </row>
    <row r="445" spans="2:17">
      <c r="B445">
        <f t="shared" si="73"/>
        <v>442</v>
      </c>
      <c r="C445">
        <f t="shared" si="67"/>
        <v>31</v>
      </c>
      <c r="D445">
        <v>426</v>
      </c>
      <c r="E445">
        <v>457</v>
      </c>
      <c r="F445">
        <f>TnSPLINE!F$18</f>
        <v>-2.8612903225806448</v>
      </c>
      <c r="G445">
        <f>TnSPLINE!F$19</f>
        <v>-4.5999999999999996</v>
      </c>
      <c r="H445" s="5">
        <f>TnSPLINE!K$18</f>
        <v>-4.1372636038530253E-3</v>
      </c>
      <c r="I445" s="5">
        <f>TnSPLINE!K$19</f>
        <v>5.4278137692591721E-3</v>
      </c>
      <c r="J445">
        <f t="shared" si="68"/>
        <v>0.4838709677419355</v>
      </c>
      <c r="K445">
        <f t="shared" si="69"/>
        <v>0.5161290322580645</v>
      </c>
      <c r="M445" s="6">
        <f t="shared" si="71"/>
        <v>-3.7586888657648281</v>
      </c>
      <c r="N445" s="6">
        <f t="shared" si="76"/>
        <v>-3.8422928933492693</v>
      </c>
      <c r="O445" s="6">
        <f t="shared" si="74"/>
        <v>2994.9004457162691</v>
      </c>
      <c r="P445" s="6">
        <f t="shared" si="75"/>
        <v>2996.2294782717067</v>
      </c>
      <c r="Q445" s="6">
        <f t="shared" si="72"/>
        <v>-3.8422928933492693</v>
      </c>
    </row>
    <row r="446" spans="2:17">
      <c r="B446">
        <f t="shared" si="73"/>
        <v>443</v>
      </c>
      <c r="C446">
        <f t="shared" si="67"/>
        <v>31</v>
      </c>
      <c r="D446">
        <v>426</v>
      </c>
      <c r="E446">
        <v>457</v>
      </c>
      <c r="F446">
        <f>TnSPLINE!F$18</f>
        <v>-2.8612903225806448</v>
      </c>
      <c r="G446">
        <f>TnSPLINE!F$19</f>
        <v>-4.5999999999999996</v>
      </c>
      <c r="H446" s="5">
        <f>TnSPLINE!K$18</f>
        <v>-4.1372636038530253E-3</v>
      </c>
      <c r="I446" s="5">
        <f>TnSPLINE!K$19</f>
        <v>5.4278137692591721E-3</v>
      </c>
      <c r="J446">
        <f t="shared" si="68"/>
        <v>0.45161290322580644</v>
      </c>
      <c r="K446">
        <f t="shared" si="69"/>
        <v>0.54838709677419351</v>
      </c>
      <c r="M446" s="6">
        <f t="shared" si="71"/>
        <v>-3.814776274713839</v>
      </c>
      <c r="N446" s="6">
        <f t="shared" si="76"/>
        <v>-3.9099227870942199</v>
      </c>
      <c r="O446" s="6">
        <f t="shared" si="74"/>
        <v>2991.0856694415552</v>
      </c>
      <c r="P446" s="6">
        <f t="shared" si="75"/>
        <v>2992.3195554846125</v>
      </c>
      <c r="Q446" s="6">
        <f t="shared" si="72"/>
        <v>-3.9099227870942199</v>
      </c>
    </row>
    <row r="447" spans="2:17">
      <c r="B447">
        <f t="shared" si="73"/>
        <v>444</v>
      </c>
      <c r="C447">
        <f t="shared" si="67"/>
        <v>31</v>
      </c>
      <c r="D447">
        <v>426</v>
      </c>
      <c r="E447">
        <v>457</v>
      </c>
      <c r="F447">
        <f>TnSPLINE!F$18</f>
        <v>-2.8612903225806448</v>
      </c>
      <c r="G447">
        <f>TnSPLINE!F$19</f>
        <v>-4.5999999999999996</v>
      </c>
      <c r="H447" s="5">
        <f>TnSPLINE!K$18</f>
        <v>-4.1372636038530253E-3</v>
      </c>
      <c r="I447" s="5">
        <f>TnSPLINE!K$19</f>
        <v>5.4278137692591721E-3</v>
      </c>
      <c r="J447">
        <f t="shared" si="68"/>
        <v>0.41935483870967744</v>
      </c>
      <c r="K447">
        <f t="shared" si="69"/>
        <v>0.58064516129032262</v>
      </c>
      <c r="M447" s="6">
        <f t="shared" si="71"/>
        <v>-3.8708636836628507</v>
      </c>
      <c r="N447" s="6">
        <f t="shared" si="76"/>
        <v>-3.9764445794319632</v>
      </c>
      <c r="O447" s="6">
        <f t="shared" si="74"/>
        <v>2987.2148057578925</v>
      </c>
      <c r="P447" s="6">
        <f t="shared" si="75"/>
        <v>2988.3431109051803</v>
      </c>
      <c r="Q447" s="6">
        <f t="shared" si="72"/>
        <v>-3.9764445794319632</v>
      </c>
    </row>
    <row r="448" spans="2:17">
      <c r="B448">
        <f t="shared" si="73"/>
        <v>445</v>
      </c>
      <c r="C448">
        <f t="shared" si="67"/>
        <v>31</v>
      </c>
      <c r="D448">
        <v>426</v>
      </c>
      <c r="E448">
        <v>457</v>
      </c>
      <c r="F448">
        <f>TnSPLINE!F$18</f>
        <v>-2.8612903225806448</v>
      </c>
      <c r="G448">
        <f>TnSPLINE!F$19</f>
        <v>-4.5999999999999996</v>
      </c>
      <c r="H448" s="5">
        <f>TnSPLINE!K$18</f>
        <v>-4.1372636038530253E-3</v>
      </c>
      <c r="I448" s="5">
        <f>TnSPLINE!K$19</f>
        <v>5.4278137692591721E-3</v>
      </c>
      <c r="J448">
        <f t="shared" si="68"/>
        <v>0.38709677419354838</v>
      </c>
      <c r="K448">
        <f t="shared" si="69"/>
        <v>0.61290322580645162</v>
      </c>
      <c r="M448" s="6">
        <f t="shared" si="71"/>
        <v>-3.9269510926118625</v>
      </c>
      <c r="N448" s="6">
        <f t="shared" si="76"/>
        <v>-4.0415497194794945</v>
      </c>
      <c r="O448" s="6">
        <f t="shared" si="74"/>
        <v>2983.2878546652805</v>
      </c>
      <c r="P448" s="6">
        <f t="shared" si="75"/>
        <v>2984.3015611857008</v>
      </c>
      <c r="Q448" s="6">
        <f t="shared" si="72"/>
        <v>-4.0415497194794945</v>
      </c>
    </row>
    <row r="449" spans="1:17">
      <c r="B449">
        <f t="shared" si="73"/>
        <v>446</v>
      </c>
      <c r="C449">
        <f t="shared" si="67"/>
        <v>31</v>
      </c>
      <c r="D449">
        <v>426</v>
      </c>
      <c r="E449">
        <v>457</v>
      </c>
      <c r="F449">
        <f>TnSPLINE!F$18</f>
        <v>-2.8612903225806448</v>
      </c>
      <c r="G449">
        <f>TnSPLINE!F$19</f>
        <v>-4.5999999999999996</v>
      </c>
      <c r="H449" s="5">
        <f>TnSPLINE!K$18</f>
        <v>-4.1372636038530253E-3</v>
      </c>
      <c r="I449" s="5">
        <f>TnSPLINE!K$19</f>
        <v>5.4278137692591721E-3</v>
      </c>
      <c r="J449">
        <f t="shared" si="68"/>
        <v>0.35483870967741937</v>
      </c>
      <c r="K449">
        <f t="shared" si="69"/>
        <v>0.64516129032258063</v>
      </c>
      <c r="M449" s="6">
        <f t="shared" si="71"/>
        <v>-3.9830385015608734</v>
      </c>
      <c r="N449" s="6">
        <f t="shared" si="76"/>
        <v>-4.1049296563538089</v>
      </c>
      <c r="O449" s="6">
        <f t="shared" si="74"/>
        <v>2979.3048161637198</v>
      </c>
      <c r="P449" s="6">
        <f t="shared" si="75"/>
        <v>2980.1966315293471</v>
      </c>
      <c r="Q449" s="6">
        <f t="shared" si="72"/>
        <v>-4.1049296563538089</v>
      </c>
    </row>
    <row r="450" spans="1:17">
      <c r="B450">
        <f t="shared" si="73"/>
        <v>447</v>
      </c>
      <c r="C450">
        <f t="shared" si="67"/>
        <v>31</v>
      </c>
      <c r="D450">
        <v>426</v>
      </c>
      <c r="E450">
        <v>457</v>
      </c>
      <c r="F450">
        <f>TnSPLINE!F$18</f>
        <v>-2.8612903225806448</v>
      </c>
      <c r="G450">
        <f>TnSPLINE!F$19</f>
        <v>-4.5999999999999996</v>
      </c>
      <c r="H450" s="5">
        <f>TnSPLINE!K$18</f>
        <v>-4.1372636038530253E-3</v>
      </c>
      <c r="I450" s="5">
        <f>TnSPLINE!K$19</f>
        <v>5.4278137692591721E-3</v>
      </c>
      <c r="J450">
        <f t="shared" si="68"/>
        <v>0.32258064516129031</v>
      </c>
      <c r="K450">
        <f t="shared" si="69"/>
        <v>0.67741935483870963</v>
      </c>
      <c r="M450" s="6">
        <f t="shared" si="71"/>
        <v>-4.0391259105098847</v>
      </c>
      <c r="N450" s="6">
        <f t="shared" si="76"/>
        <v>-4.1662758391719041</v>
      </c>
      <c r="O450" s="6">
        <f t="shared" si="74"/>
        <v>2975.2656902532099</v>
      </c>
      <c r="P450" s="6">
        <f t="shared" si="75"/>
        <v>2976.0303556901754</v>
      </c>
      <c r="Q450" s="6">
        <f t="shared" si="72"/>
        <v>-4.1662758391719041</v>
      </c>
    </row>
    <row r="451" spans="1:17">
      <c r="B451">
        <f t="shared" si="73"/>
        <v>448</v>
      </c>
      <c r="C451">
        <f t="shared" si="67"/>
        <v>31</v>
      </c>
      <c r="D451">
        <v>426</v>
      </c>
      <c r="E451">
        <v>457</v>
      </c>
      <c r="F451">
        <f>TnSPLINE!F$18</f>
        <v>-2.8612903225806448</v>
      </c>
      <c r="G451">
        <f>TnSPLINE!F$19</f>
        <v>-4.5999999999999996</v>
      </c>
      <c r="H451" s="5">
        <f>TnSPLINE!K$18</f>
        <v>-4.1372636038530253E-3</v>
      </c>
      <c r="I451" s="5">
        <f>TnSPLINE!K$19</f>
        <v>5.4278137692591721E-3</v>
      </c>
      <c r="J451">
        <f t="shared" si="68"/>
        <v>0.29032258064516131</v>
      </c>
      <c r="K451">
        <f t="shared" si="69"/>
        <v>0.70967741935483875</v>
      </c>
      <c r="M451" s="6">
        <f t="shared" si="71"/>
        <v>-4.0952133194588969</v>
      </c>
      <c r="N451" s="6">
        <f t="shared" si="76"/>
        <v>-4.2252797170507774</v>
      </c>
      <c r="O451" s="6">
        <f t="shared" si="74"/>
        <v>2971.1704769337512</v>
      </c>
      <c r="P451" s="6">
        <f t="shared" si="75"/>
        <v>2971.8050759731245</v>
      </c>
      <c r="Q451" s="6">
        <f t="shared" si="72"/>
        <v>-4.2252797170507774</v>
      </c>
    </row>
    <row r="452" spans="1:17">
      <c r="B452">
        <f t="shared" si="73"/>
        <v>449</v>
      </c>
      <c r="C452">
        <f t="shared" ref="C452:C460" si="77">E452-D452</f>
        <v>31</v>
      </c>
      <c r="D452">
        <v>426</v>
      </c>
      <c r="E452">
        <v>457</v>
      </c>
      <c r="F452">
        <f>TnSPLINE!F$18</f>
        <v>-2.8612903225806448</v>
      </c>
      <c r="G452">
        <f>TnSPLINE!F$19</f>
        <v>-4.5999999999999996</v>
      </c>
      <c r="H452" s="5">
        <f>TnSPLINE!K$18</f>
        <v>-4.1372636038530253E-3</v>
      </c>
      <c r="I452" s="5">
        <f>TnSPLINE!K$19</f>
        <v>5.4278137692591721E-3</v>
      </c>
      <c r="J452">
        <f t="shared" ref="J452:J460" si="78">(E452-B452)/C452</f>
        <v>0.25806451612903225</v>
      </c>
      <c r="K452">
        <f t="shared" ref="K452:K460" si="79">(B452-D452)/C452</f>
        <v>0.74193548387096775</v>
      </c>
      <c r="M452" s="6">
        <f t="shared" ref="M452:M460" si="80">J452*F452+K452*G452</f>
        <v>-4.1513007284079082</v>
      </c>
      <c r="N452" s="6">
        <f t="shared" si="76"/>
        <v>-4.2816327391074234</v>
      </c>
      <c r="O452" s="6">
        <f t="shared" si="74"/>
        <v>2967.0191762053432</v>
      </c>
      <c r="P452" s="6">
        <f t="shared" si="75"/>
        <v>2967.5234432340171</v>
      </c>
      <c r="Q452" s="6">
        <f t="shared" ref="Q452:Q460" si="81">M452+(((J452^3-J452)*H452+(K452^3-K452)*I452))*(C452^2)/6</f>
        <v>-4.2816327391074234</v>
      </c>
    </row>
    <row r="453" spans="1:17">
      <c r="B453">
        <f t="shared" ref="B453:B460" si="82">B452+1</f>
        <v>450</v>
      </c>
      <c r="C453">
        <f t="shared" si="77"/>
        <v>31</v>
      </c>
      <c r="D453">
        <v>426</v>
      </c>
      <c r="E453">
        <v>457</v>
      </c>
      <c r="F453">
        <f>TnSPLINE!F$18</f>
        <v>-2.8612903225806448</v>
      </c>
      <c r="G453">
        <f>TnSPLINE!F$19</f>
        <v>-4.5999999999999996</v>
      </c>
      <c r="H453" s="5">
        <f>TnSPLINE!K$18</f>
        <v>-4.1372636038530253E-3</v>
      </c>
      <c r="I453" s="5">
        <f>TnSPLINE!K$19</f>
        <v>5.4278137692591721E-3</v>
      </c>
      <c r="J453">
        <f t="shared" si="78"/>
        <v>0.22580645161290322</v>
      </c>
      <c r="K453">
        <f t="shared" si="79"/>
        <v>0.77419354838709675</v>
      </c>
      <c r="M453" s="6">
        <f t="shared" si="80"/>
        <v>-4.2073881373569195</v>
      </c>
      <c r="N453" s="6">
        <f t="shared" si="76"/>
        <v>-4.3350263544588392</v>
      </c>
      <c r="O453" s="6">
        <f t="shared" ref="O453:O460" si="83">O452+M453</f>
        <v>2962.8117880679865</v>
      </c>
      <c r="P453" s="6">
        <f t="shared" ref="P453:P460" si="84">P452+N453</f>
        <v>2963.1884168795582</v>
      </c>
      <c r="Q453" s="6">
        <f t="shared" si="81"/>
        <v>-4.3350263544588392</v>
      </c>
    </row>
    <row r="454" spans="1:17">
      <c r="B454">
        <f t="shared" si="82"/>
        <v>451</v>
      </c>
      <c r="C454">
        <f t="shared" si="77"/>
        <v>31</v>
      </c>
      <c r="D454">
        <v>426</v>
      </c>
      <c r="E454">
        <v>457</v>
      </c>
      <c r="F454">
        <f>TnSPLINE!F$18</f>
        <v>-2.8612903225806448</v>
      </c>
      <c r="G454">
        <f>TnSPLINE!F$19</f>
        <v>-4.5999999999999996</v>
      </c>
      <c r="H454" s="5">
        <f>TnSPLINE!K$18</f>
        <v>-4.1372636038530253E-3</v>
      </c>
      <c r="I454" s="5">
        <f>TnSPLINE!K$19</f>
        <v>5.4278137692591721E-3</v>
      </c>
      <c r="J454">
        <f t="shared" si="78"/>
        <v>0.19354838709677419</v>
      </c>
      <c r="K454">
        <f t="shared" si="79"/>
        <v>0.80645161290322576</v>
      </c>
      <c r="M454" s="6">
        <f t="shared" si="80"/>
        <v>-4.2634755463059308</v>
      </c>
      <c r="N454" s="6">
        <f t="shared" si="76"/>
        <v>-4.3851520122220213</v>
      </c>
      <c r="O454" s="6">
        <f t="shared" si="83"/>
        <v>2958.5483125216806</v>
      </c>
      <c r="P454" s="6">
        <f t="shared" si="84"/>
        <v>2958.8032648673361</v>
      </c>
      <c r="Q454" s="6">
        <f t="shared" si="81"/>
        <v>-4.3851520122220213</v>
      </c>
    </row>
    <row r="455" spans="1:17">
      <c r="B455">
        <f t="shared" si="82"/>
        <v>452</v>
      </c>
      <c r="C455">
        <f t="shared" si="77"/>
        <v>31</v>
      </c>
      <c r="D455">
        <v>426</v>
      </c>
      <c r="E455">
        <v>457</v>
      </c>
      <c r="F455">
        <f>TnSPLINE!F$18</f>
        <v>-2.8612903225806448</v>
      </c>
      <c r="G455">
        <f>TnSPLINE!F$19</f>
        <v>-4.5999999999999996</v>
      </c>
      <c r="H455" s="5">
        <f>TnSPLINE!K$18</f>
        <v>-4.1372636038530253E-3</v>
      </c>
      <c r="I455" s="5">
        <f>TnSPLINE!K$19</f>
        <v>5.4278137692591721E-3</v>
      </c>
      <c r="J455">
        <f t="shared" si="78"/>
        <v>0.16129032258064516</v>
      </c>
      <c r="K455">
        <f t="shared" si="79"/>
        <v>0.83870967741935487</v>
      </c>
      <c r="M455" s="6">
        <f t="shared" si="80"/>
        <v>-4.3195629552549422</v>
      </c>
      <c r="N455" s="6">
        <f t="shared" si="76"/>
        <v>-4.4317011615139652</v>
      </c>
      <c r="O455" s="6">
        <f t="shared" si="83"/>
        <v>2954.2287495664254</v>
      </c>
      <c r="P455" s="6">
        <f t="shared" si="84"/>
        <v>2954.3715637058222</v>
      </c>
      <c r="Q455" s="6">
        <f t="shared" si="81"/>
        <v>-4.4317011615139652</v>
      </c>
    </row>
    <row r="456" spans="1:17">
      <c r="B456">
        <f t="shared" si="82"/>
        <v>453</v>
      </c>
      <c r="C456">
        <f t="shared" si="77"/>
        <v>31</v>
      </c>
      <c r="D456">
        <v>426</v>
      </c>
      <c r="E456">
        <v>457</v>
      </c>
      <c r="F456">
        <f>TnSPLINE!F$18</f>
        <v>-2.8612903225806448</v>
      </c>
      <c r="G456">
        <f>TnSPLINE!F$19</f>
        <v>-4.5999999999999996</v>
      </c>
      <c r="H456" s="5">
        <f>TnSPLINE!K$18</f>
        <v>-4.1372636038530253E-3</v>
      </c>
      <c r="I456" s="5">
        <f>TnSPLINE!K$19</f>
        <v>5.4278137692591721E-3</v>
      </c>
      <c r="J456">
        <f t="shared" si="78"/>
        <v>0.12903225806451613</v>
      </c>
      <c r="K456">
        <f t="shared" si="79"/>
        <v>0.87096774193548387</v>
      </c>
      <c r="M456" s="6">
        <f t="shared" si="80"/>
        <v>-4.3756503642039535</v>
      </c>
      <c r="N456" s="6">
        <f t="shared" si="76"/>
        <v>-4.474365251451669</v>
      </c>
      <c r="O456" s="6">
        <f t="shared" si="83"/>
        <v>2949.8530992022215</v>
      </c>
      <c r="P456" s="6">
        <f t="shared" si="84"/>
        <v>2949.8971984543705</v>
      </c>
      <c r="Q456" s="6">
        <f t="shared" si="81"/>
        <v>-4.474365251451669</v>
      </c>
    </row>
    <row r="457" spans="1:17">
      <c r="B457">
        <f t="shared" si="82"/>
        <v>454</v>
      </c>
      <c r="C457">
        <f t="shared" si="77"/>
        <v>31</v>
      </c>
      <c r="D457">
        <v>426</v>
      </c>
      <c r="E457">
        <v>457</v>
      </c>
      <c r="F457">
        <f>TnSPLINE!F$18</f>
        <v>-2.8612903225806448</v>
      </c>
      <c r="G457">
        <f>TnSPLINE!F$19</f>
        <v>-4.5999999999999996</v>
      </c>
      <c r="H457" s="5">
        <f>TnSPLINE!K$18</f>
        <v>-4.1372636038530253E-3</v>
      </c>
      <c r="I457" s="5">
        <f>TnSPLINE!K$19</f>
        <v>5.4278137692591721E-3</v>
      </c>
      <c r="J457">
        <f t="shared" si="78"/>
        <v>9.6774193548387094E-2</v>
      </c>
      <c r="K457">
        <f t="shared" si="79"/>
        <v>0.90322580645161288</v>
      </c>
      <c r="M457" s="6">
        <f t="shared" si="80"/>
        <v>-4.4317377731529648</v>
      </c>
      <c r="N457" s="6">
        <f t="shared" si="76"/>
        <v>-4.5128357311521272</v>
      </c>
      <c r="O457" s="6">
        <f t="shared" si="83"/>
        <v>2945.4213614290684</v>
      </c>
      <c r="P457" s="6">
        <f t="shared" si="84"/>
        <v>2945.3843627232181</v>
      </c>
      <c r="Q457" s="6">
        <f t="shared" si="81"/>
        <v>-4.5128357311521272</v>
      </c>
    </row>
    <row r="458" spans="1:17">
      <c r="B458">
        <f t="shared" si="82"/>
        <v>455</v>
      </c>
      <c r="C458">
        <f t="shared" si="77"/>
        <v>31</v>
      </c>
      <c r="D458">
        <v>426</v>
      </c>
      <c r="E458">
        <v>457</v>
      </c>
      <c r="F458">
        <f>TnSPLINE!F$18</f>
        <v>-2.8612903225806448</v>
      </c>
      <c r="G458">
        <f>TnSPLINE!F$19</f>
        <v>-4.5999999999999996</v>
      </c>
      <c r="H458" s="5">
        <f>TnSPLINE!K$18</f>
        <v>-4.1372636038530253E-3</v>
      </c>
      <c r="I458" s="5">
        <f>TnSPLINE!K$19</f>
        <v>5.4278137692591721E-3</v>
      </c>
      <c r="J458">
        <f t="shared" si="78"/>
        <v>6.4516129032258063E-2</v>
      </c>
      <c r="K458">
        <f t="shared" si="79"/>
        <v>0.93548387096774188</v>
      </c>
      <c r="M458" s="6">
        <f t="shared" si="80"/>
        <v>-4.487825182101977</v>
      </c>
      <c r="N458" s="6">
        <f t="shared" si="76"/>
        <v>-4.546804049732339</v>
      </c>
      <c r="O458" s="6">
        <f t="shared" si="83"/>
        <v>2940.9335362469665</v>
      </c>
      <c r="P458" s="6">
        <f t="shared" si="84"/>
        <v>2940.837558673486</v>
      </c>
      <c r="Q458" s="6">
        <f t="shared" si="81"/>
        <v>-4.546804049732339</v>
      </c>
    </row>
    <row r="459" spans="1:17">
      <c r="B459">
        <f t="shared" si="82"/>
        <v>456</v>
      </c>
      <c r="C459">
        <f t="shared" si="77"/>
        <v>31</v>
      </c>
      <c r="D459">
        <v>426</v>
      </c>
      <c r="E459">
        <v>457</v>
      </c>
      <c r="F459">
        <f>TnSPLINE!F$18</f>
        <v>-2.8612903225806448</v>
      </c>
      <c r="G459">
        <f>TnSPLINE!F$19</f>
        <v>-4.5999999999999996</v>
      </c>
      <c r="H459" s="5">
        <f>TnSPLINE!K$18</f>
        <v>-4.1372636038530253E-3</v>
      </c>
      <c r="I459" s="5">
        <f>TnSPLINE!K$19</f>
        <v>5.4278137692591721E-3</v>
      </c>
      <c r="J459">
        <f t="shared" si="78"/>
        <v>3.2258064516129031E-2</v>
      </c>
      <c r="K459">
        <f t="shared" si="79"/>
        <v>0.967741935483871</v>
      </c>
      <c r="M459" s="6">
        <f t="shared" si="80"/>
        <v>-4.5439125910509883</v>
      </c>
      <c r="N459" s="6">
        <f t="shared" si="76"/>
        <v>-4.5759616563092971</v>
      </c>
      <c r="O459" s="6">
        <f t="shared" si="83"/>
        <v>2936.3896236559153</v>
      </c>
      <c r="P459" s="6">
        <f t="shared" si="84"/>
        <v>2936.2615970171769</v>
      </c>
      <c r="Q459" s="6">
        <f t="shared" si="81"/>
        <v>-4.5759616563092971</v>
      </c>
    </row>
    <row r="460" spans="1:17">
      <c r="A460">
        <v>457</v>
      </c>
      <c r="B460">
        <f t="shared" si="82"/>
        <v>457</v>
      </c>
      <c r="C460">
        <f t="shared" si="77"/>
        <v>31</v>
      </c>
      <c r="D460">
        <v>426</v>
      </c>
      <c r="E460">
        <v>457</v>
      </c>
      <c r="F460">
        <f>TnSPLINE!F$18</f>
        <v>-2.8612903225806448</v>
      </c>
      <c r="G460">
        <f>TnSPLINE!F$19</f>
        <v>-4.5999999999999996</v>
      </c>
      <c r="H460" s="5">
        <f>TnSPLINE!K$18</f>
        <v>-4.1372636038530253E-3</v>
      </c>
      <c r="I460" s="5">
        <f>TnSPLINE!K$19</f>
        <v>5.4278137692591721E-3</v>
      </c>
      <c r="J460">
        <f t="shared" si="78"/>
        <v>0</v>
      </c>
      <c r="K460">
        <f t="shared" si="79"/>
        <v>1</v>
      </c>
      <c r="M460" s="6">
        <f t="shared" si="80"/>
        <v>-4.5999999999999996</v>
      </c>
      <c r="N460" s="6">
        <f t="shared" si="76"/>
        <v>-4.5999999999999996</v>
      </c>
      <c r="O460" s="6">
        <f t="shared" si="83"/>
        <v>2931.7896236559154</v>
      </c>
      <c r="P460" s="6">
        <f t="shared" si="84"/>
        <v>2931.661597017177</v>
      </c>
      <c r="Q460" s="6">
        <f t="shared" si="81"/>
        <v>-4.5999999999999996</v>
      </c>
    </row>
    <row r="461" spans="1:17">
      <c r="H461" s="5"/>
      <c r="I461" s="5"/>
      <c r="M461" s="6"/>
      <c r="N461" s="6"/>
      <c r="O461" s="6"/>
      <c r="P461" s="6"/>
    </row>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A1:AY601"/>
  <sheetViews>
    <sheetView zoomScale="50" workbookViewId="0">
      <pane xSplit="1" ySplit="23" topLeftCell="B279" activePane="bottomRight" state="frozen"/>
      <selection pane="topRight" activeCell="B1" sqref="B1"/>
      <selection pane="bottomLeft" activeCell="A24" sqref="A24"/>
      <selection pane="bottomRight" activeCell="H230" sqref="H230"/>
    </sheetView>
  </sheetViews>
  <sheetFormatPr defaultColWidth="9.140625" defaultRowHeight="12.75"/>
  <cols>
    <col min="1" max="3" width="9.140625" style="141" customWidth="1"/>
    <col min="4" max="4" width="13" style="141" bestFit="1" customWidth="1"/>
    <col min="5" max="5" width="12.7109375" style="141" bestFit="1" customWidth="1"/>
    <col min="6" max="6" width="20.7109375" style="141" customWidth="1"/>
    <col min="7" max="7" width="12.85546875" style="141" customWidth="1"/>
    <col min="8" max="8" width="11.42578125" style="141" customWidth="1"/>
    <col min="9" max="9" width="12.7109375" style="141" bestFit="1" customWidth="1"/>
    <col min="10" max="11" width="9.140625" style="141" customWidth="1"/>
    <col min="12" max="12" width="9.85546875" style="141" bestFit="1" customWidth="1"/>
    <col min="13" max="14" width="9.140625" style="141" customWidth="1"/>
    <col min="15" max="15" width="63.85546875" style="141" bestFit="1" customWidth="1"/>
    <col min="16" max="16" width="11.7109375" style="141" bestFit="1" customWidth="1"/>
    <col min="17" max="17" width="12.140625" style="141" bestFit="1" customWidth="1"/>
    <col min="18" max="18" width="9.140625" style="141" customWidth="1"/>
    <col min="19" max="19" width="11.28515625" style="141" customWidth="1"/>
    <col min="20" max="16384" width="9.140625" style="141"/>
  </cols>
  <sheetData>
    <row r="1" spans="1:51" ht="18">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row>
    <row r="2" spans="1:51" ht="18">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row>
    <row r="3" spans="1:51" ht="18">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row>
    <row r="4" spans="1:51" ht="18">
      <c r="A4" s="385"/>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row>
    <row r="5" spans="1:51" ht="18">
      <c r="A5" s="385"/>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row>
    <row r="6" spans="1:51" ht="18">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row>
    <row r="7" spans="1:51" ht="18">
      <c r="A7" s="385"/>
      <c r="B7" s="385"/>
      <c r="C7" s="385"/>
      <c r="D7" s="385"/>
      <c r="E7" s="385"/>
      <c r="F7" s="385"/>
      <c r="G7" s="385"/>
      <c r="H7" s="385"/>
      <c r="I7" s="385"/>
      <c r="J7" s="385"/>
      <c r="K7" s="385"/>
      <c r="L7" s="385"/>
      <c r="M7" s="385"/>
      <c r="N7" s="385"/>
      <c r="O7" s="394" t="s">
        <v>479</v>
      </c>
      <c r="P7" s="395"/>
      <c r="Q7" s="395"/>
      <c r="R7" s="395"/>
      <c r="S7" s="39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row>
    <row r="8" spans="1:51" ht="18">
      <c r="A8" s="385"/>
      <c r="B8" s="385"/>
      <c r="C8" s="385"/>
      <c r="D8" s="385"/>
      <c r="E8" s="385"/>
      <c r="F8" s="385"/>
      <c r="G8" s="385"/>
      <c r="H8" s="385"/>
      <c r="I8" s="385"/>
      <c r="J8" s="385"/>
      <c r="K8" s="385"/>
      <c r="L8" s="385"/>
      <c r="M8" s="385"/>
      <c r="N8" s="385"/>
      <c r="O8" s="394" t="s">
        <v>480</v>
      </c>
      <c r="P8" s="395"/>
      <c r="Q8" s="395"/>
      <c r="R8" s="395"/>
      <c r="S8" s="39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row>
    <row r="9" spans="1:51" ht="18">
      <c r="A9" s="385"/>
      <c r="B9" s="385"/>
      <c r="C9" s="385"/>
      <c r="D9" s="385"/>
      <c r="E9" s="385"/>
      <c r="F9" s="385"/>
      <c r="G9" s="385"/>
      <c r="H9" s="385"/>
      <c r="I9" s="385"/>
      <c r="J9" s="385"/>
      <c r="K9" s="385"/>
      <c r="L9" s="385"/>
      <c r="M9" s="385"/>
      <c r="N9" s="385"/>
      <c r="O9" s="394" t="s">
        <v>481</v>
      </c>
      <c r="P9" s="395"/>
      <c r="Q9" s="395"/>
      <c r="R9" s="395"/>
      <c r="S9" s="39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row>
    <row r="10" spans="1:51" ht="18">
      <c r="A10" s="385"/>
      <c r="B10" s="385"/>
      <c r="C10" s="385"/>
      <c r="D10" s="385"/>
      <c r="E10" s="385"/>
      <c r="F10" s="385"/>
      <c r="G10" s="385"/>
      <c r="H10" s="385"/>
      <c r="I10" s="385"/>
      <c r="J10" s="385"/>
      <c r="K10" s="385"/>
      <c r="L10" s="385"/>
      <c r="M10" s="385"/>
      <c r="N10" s="385"/>
      <c r="O10" s="394" t="s">
        <v>482</v>
      </c>
      <c r="P10" s="395"/>
      <c r="Q10" s="395"/>
      <c r="R10" s="395"/>
      <c r="S10" s="39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385"/>
    </row>
    <row r="11" spans="1:51" ht="18">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row>
    <row r="12" spans="1:51" ht="18">
      <c r="A12" s="385"/>
      <c r="B12" s="385"/>
      <c r="C12" s="385"/>
      <c r="D12" s="385"/>
      <c r="E12" s="385"/>
      <c r="F12" s="385"/>
      <c r="G12" s="385"/>
      <c r="H12" s="385"/>
      <c r="I12" s="385"/>
      <c r="J12" s="385"/>
      <c r="K12" s="385"/>
      <c r="L12" s="385"/>
      <c r="M12" s="385"/>
      <c r="N12" s="385"/>
      <c r="O12" s="394" t="s">
        <v>475</v>
      </c>
      <c r="P12" s="395"/>
      <c r="Q12" s="395"/>
      <c r="R12" s="395"/>
      <c r="S12" s="39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row>
    <row r="13" spans="1:51" ht="18">
      <c r="A13" s="385"/>
      <c r="B13" s="385"/>
      <c r="C13" s="385"/>
      <c r="D13" s="385"/>
      <c r="E13" s="385"/>
      <c r="F13" s="385"/>
      <c r="G13" s="385"/>
      <c r="H13" s="385"/>
      <c r="I13" s="385"/>
      <c r="J13" s="385"/>
      <c r="K13" s="385"/>
      <c r="L13" s="385"/>
      <c r="M13" s="385"/>
      <c r="N13" s="385"/>
      <c r="O13" s="394" t="s">
        <v>476</v>
      </c>
      <c r="P13" s="395"/>
      <c r="Q13" s="395"/>
      <c r="R13" s="395"/>
      <c r="S13" s="39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row>
    <row r="14" spans="1:51" ht="18">
      <c r="A14" s="385"/>
      <c r="B14" s="385"/>
      <c r="C14" s="385"/>
      <c r="D14" s="385"/>
      <c r="E14" s="385"/>
      <c r="F14" s="385"/>
      <c r="G14" s="385"/>
      <c r="H14" s="385"/>
      <c r="I14" s="385"/>
      <c r="J14" s="385"/>
      <c r="K14" s="385"/>
      <c r="L14" s="385"/>
      <c r="M14" s="385"/>
      <c r="N14" s="385"/>
      <c r="O14" s="394" t="s">
        <v>477</v>
      </c>
      <c r="P14" s="395"/>
      <c r="Q14" s="395"/>
      <c r="R14" s="395"/>
      <c r="S14" s="39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row>
    <row r="15" spans="1:51" ht="18">
      <c r="A15" s="385"/>
      <c r="B15" s="385"/>
      <c r="C15" s="385"/>
      <c r="D15" s="385"/>
      <c r="E15" s="385"/>
      <c r="F15" s="385"/>
      <c r="G15" s="385"/>
      <c r="H15" s="385"/>
      <c r="I15" s="385"/>
      <c r="J15" s="385"/>
      <c r="K15" s="385"/>
      <c r="L15" s="385"/>
      <c r="M15" s="385"/>
      <c r="N15" s="385"/>
      <c r="O15" s="394" t="s">
        <v>478</v>
      </c>
      <c r="P15" s="395"/>
      <c r="Q15" s="395"/>
      <c r="R15" s="395"/>
      <c r="S15" s="39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row>
    <row r="16" spans="1:51" ht="18">
      <c r="A16" s="385"/>
      <c r="B16" s="38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row>
    <row r="17" spans="1:51" ht="18">
      <c r="A17" s="385"/>
      <c r="B17" s="385"/>
      <c r="C17" s="385"/>
      <c r="D17" s="385"/>
      <c r="E17" s="385"/>
      <c r="F17" s="385"/>
      <c r="G17" s="385"/>
      <c r="H17" s="385"/>
      <c r="I17" s="385"/>
      <c r="J17" s="385"/>
      <c r="K17" s="385"/>
      <c r="L17" s="385"/>
      <c r="M17" s="385"/>
      <c r="N17" s="385"/>
      <c r="O17" s="394" t="s">
        <v>465</v>
      </c>
      <c r="P17" s="395"/>
      <c r="Q17" s="395"/>
      <c r="R17" s="395"/>
      <c r="S17" s="39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row>
    <row r="18" spans="1:51" ht="18">
      <c r="A18" s="385"/>
      <c r="B18" s="385"/>
      <c r="C18" s="385"/>
      <c r="D18" s="385"/>
      <c r="E18" s="385"/>
      <c r="F18" s="385"/>
      <c r="G18" s="385"/>
      <c r="H18" s="385"/>
      <c r="I18" s="385"/>
      <c r="J18" s="385"/>
      <c r="K18" s="385"/>
      <c r="L18" s="385"/>
      <c r="M18" s="385"/>
      <c r="N18" s="385"/>
      <c r="O18" s="394" t="s">
        <v>466</v>
      </c>
      <c r="P18" s="395"/>
      <c r="Q18" s="395"/>
      <c r="R18" s="395"/>
      <c r="S18" s="39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row>
    <row r="19" spans="1:51" ht="18">
      <c r="A19" s="385"/>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row>
    <row r="20" spans="1:51" ht="18">
      <c r="A20" s="385"/>
      <c r="B20" s="385"/>
      <c r="C20" s="385"/>
      <c r="D20" s="385"/>
      <c r="E20" s="385"/>
      <c r="F20" s="385"/>
      <c r="G20" s="385"/>
      <c r="H20" s="385"/>
      <c r="I20" s="385"/>
      <c r="J20" s="385"/>
      <c r="K20" s="385"/>
      <c r="L20" s="385"/>
      <c r="M20" s="385"/>
      <c r="N20" s="385"/>
      <c r="O20" s="385"/>
      <c r="P20" s="385" t="s">
        <v>463</v>
      </c>
      <c r="Q20" s="385" t="s">
        <v>464</v>
      </c>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row>
    <row r="21" spans="1:51" ht="18">
      <c r="A21" s="385"/>
      <c r="B21" s="385" t="s">
        <v>201</v>
      </c>
      <c r="C21" s="385" t="s">
        <v>127</v>
      </c>
      <c r="D21" s="386" t="s">
        <v>202</v>
      </c>
      <c r="E21" s="386" t="s">
        <v>87</v>
      </c>
      <c r="F21" s="386" t="s">
        <v>198</v>
      </c>
      <c r="G21" s="386" t="s">
        <v>299</v>
      </c>
      <c r="H21" s="386" t="s">
        <v>292</v>
      </c>
      <c r="I21" s="386" t="s">
        <v>295</v>
      </c>
      <c r="J21" s="385"/>
      <c r="K21" s="385"/>
      <c r="L21" s="386" t="s">
        <v>411</v>
      </c>
      <c r="M21" s="387">
        <f>YTD!J105</f>
        <v>120</v>
      </c>
      <c r="N21" s="385"/>
      <c r="O21" s="388">
        <f>F24</f>
        <v>37987</v>
      </c>
      <c r="P21" s="389">
        <f>MAX(D24:D601)-M21</f>
        <v>410.03035205291292</v>
      </c>
      <c r="Q21" s="389">
        <f>MAX(D24:D601)-M22</f>
        <v>290.03035205291292</v>
      </c>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row>
    <row r="22" spans="1:51" ht="21">
      <c r="A22" s="385"/>
      <c r="B22" s="385" t="s">
        <v>426</v>
      </c>
      <c r="C22" s="385" t="s">
        <v>152</v>
      </c>
      <c r="D22" s="386" t="s">
        <v>294</v>
      </c>
      <c r="E22" s="386"/>
      <c r="F22" s="386"/>
      <c r="G22" s="386" t="s">
        <v>294</v>
      </c>
      <c r="H22" s="386" t="s">
        <v>294</v>
      </c>
      <c r="I22" s="386" t="s">
        <v>294</v>
      </c>
      <c r="J22" s="385"/>
      <c r="K22" s="385"/>
      <c r="L22" s="386" t="s">
        <v>412</v>
      </c>
      <c r="M22" s="387">
        <f>YTD!J106</f>
        <v>240</v>
      </c>
      <c r="N22" s="385"/>
      <c r="O22" s="388">
        <f>F600</f>
        <v>38563</v>
      </c>
      <c r="P22" s="389">
        <f>P21</f>
        <v>410.03035205291292</v>
      </c>
      <c r="Q22" s="389">
        <f>Q21</f>
        <v>290.03035205291292</v>
      </c>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row>
    <row r="23" spans="1:51" ht="5.25" customHeight="1">
      <c r="A23" s="385"/>
      <c r="B23" s="385"/>
      <c r="C23" s="385"/>
      <c r="D23" s="390">
        <v>0</v>
      </c>
      <c r="E23" s="385"/>
      <c r="F23" s="385"/>
      <c r="G23" s="390">
        <v>0</v>
      </c>
      <c r="H23" s="385"/>
      <c r="I23" s="390">
        <v>0</v>
      </c>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row>
    <row r="24" spans="1:51" ht="18">
      <c r="A24" s="385"/>
      <c r="B24" s="391" t="str">
        <f>Input!AR22</f>
        <v/>
      </c>
      <c r="C24" s="391">
        <f>DailyMet!N5</f>
        <v>0</v>
      </c>
      <c r="D24" s="392">
        <f>Input!AS22</f>
        <v>0</v>
      </c>
      <c r="E24" s="392">
        <f>Input!E22</f>
        <v>1</v>
      </c>
      <c r="F24" s="393">
        <f>Input!B22</f>
        <v>37987</v>
      </c>
      <c r="G24" s="503">
        <f t="shared" ref="G24:G87" si="0">IF(B24="",0,IF(H24&lt;&gt;"",IF(G23+B24-H24-C24&lt;0,0,G23+B24-H24-C24),IF(G23+B24-C24&lt;0,0,G23+B24-C24)))</f>
        <v>0</v>
      </c>
      <c r="H24" s="354"/>
      <c r="I24" s="392">
        <f t="shared" ref="I24:I87" si="1">IF(B24="",0,IF(D24-D23&lt;0,0,IF(I23+H24+C24&lt;0,0,I23+H24+C24)))</f>
        <v>0</v>
      </c>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row>
    <row r="25" spans="1:51" ht="18">
      <c r="A25" s="385"/>
      <c r="B25" s="391" t="str">
        <f>Input!AR23</f>
        <v/>
      </c>
      <c r="C25" s="391">
        <f>DailyMet!N6</f>
        <v>1.8</v>
      </c>
      <c r="D25" s="392">
        <f>Input!AS23</f>
        <v>0</v>
      </c>
      <c r="E25" s="392">
        <f>Input!E23</f>
        <v>2</v>
      </c>
      <c r="F25" s="393">
        <f>Input!B23</f>
        <v>37988</v>
      </c>
      <c r="G25" s="503">
        <f t="shared" si="0"/>
        <v>0</v>
      </c>
      <c r="H25" s="354"/>
      <c r="I25" s="392">
        <f t="shared" si="1"/>
        <v>0</v>
      </c>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row>
    <row r="26" spans="1:51" ht="18">
      <c r="A26" s="385"/>
      <c r="B26" s="391" t="str">
        <f>Input!AR24</f>
        <v/>
      </c>
      <c r="C26" s="391">
        <f>DailyMet!N7</f>
        <v>1.2</v>
      </c>
      <c r="D26" s="392">
        <f>Input!AS24</f>
        <v>0</v>
      </c>
      <c r="E26" s="392">
        <f>Input!E24</f>
        <v>3</v>
      </c>
      <c r="F26" s="393">
        <f>Input!B24</f>
        <v>37989</v>
      </c>
      <c r="G26" s="503">
        <f t="shared" si="0"/>
        <v>0</v>
      </c>
      <c r="H26" s="354"/>
      <c r="I26" s="392">
        <f t="shared" si="1"/>
        <v>0</v>
      </c>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row>
    <row r="27" spans="1:51" ht="18">
      <c r="A27" s="385"/>
      <c r="B27" s="391" t="str">
        <f>Input!AR25</f>
        <v/>
      </c>
      <c r="C27" s="391">
        <f>DailyMet!N8</f>
        <v>0.2</v>
      </c>
      <c r="D27" s="392">
        <f>Input!AS25</f>
        <v>0</v>
      </c>
      <c r="E27" s="392">
        <f>Input!E25</f>
        <v>4</v>
      </c>
      <c r="F27" s="393">
        <f>Input!B25</f>
        <v>37990</v>
      </c>
      <c r="G27" s="503">
        <f t="shared" si="0"/>
        <v>0</v>
      </c>
      <c r="H27" s="354"/>
      <c r="I27" s="392">
        <f t="shared" si="1"/>
        <v>0</v>
      </c>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row>
    <row r="28" spans="1:51" ht="18">
      <c r="A28" s="385"/>
      <c r="B28" s="391" t="str">
        <f>Input!AR26</f>
        <v/>
      </c>
      <c r="C28" s="391">
        <f>DailyMet!N9</f>
        <v>2</v>
      </c>
      <c r="D28" s="392">
        <f>Input!AS26</f>
        <v>0</v>
      </c>
      <c r="E28" s="392">
        <f>Input!E26</f>
        <v>5</v>
      </c>
      <c r="F28" s="393">
        <f>Input!B26</f>
        <v>37991</v>
      </c>
      <c r="G28" s="503">
        <f t="shared" si="0"/>
        <v>0</v>
      </c>
      <c r="H28" s="354"/>
      <c r="I28" s="392">
        <f t="shared" si="1"/>
        <v>0</v>
      </c>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row>
    <row r="29" spans="1:51" ht="18">
      <c r="A29" s="385"/>
      <c r="B29" s="391" t="str">
        <f>Input!AR27</f>
        <v/>
      </c>
      <c r="C29" s="391">
        <f>DailyMet!N10</f>
        <v>0.2</v>
      </c>
      <c r="D29" s="392">
        <f>Input!AS27</f>
        <v>0</v>
      </c>
      <c r="E29" s="392">
        <f>Input!E27</f>
        <v>6</v>
      </c>
      <c r="F29" s="393">
        <f>Input!B27</f>
        <v>37992</v>
      </c>
      <c r="G29" s="503">
        <f t="shared" si="0"/>
        <v>0</v>
      </c>
      <c r="H29" s="354"/>
      <c r="I29" s="392">
        <f t="shared" si="1"/>
        <v>0</v>
      </c>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row>
    <row r="30" spans="1:51" ht="18">
      <c r="A30" s="385"/>
      <c r="B30" s="391" t="str">
        <f>Input!AR28</f>
        <v/>
      </c>
      <c r="C30" s="391">
        <f>DailyMet!N11</f>
        <v>0</v>
      </c>
      <c r="D30" s="392">
        <f>Input!AS28</f>
        <v>0</v>
      </c>
      <c r="E30" s="392">
        <f>Input!E28</f>
        <v>7</v>
      </c>
      <c r="F30" s="393">
        <f>Input!B28</f>
        <v>37993</v>
      </c>
      <c r="G30" s="503">
        <f t="shared" si="0"/>
        <v>0</v>
      </c>
      <c r="H30" s="354"/>
      <c r="I30" s="392">
        <f t="shared" si="1"/>
        <v>0</v>
      </c>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row>
    <row r="31" spans="1:51" ht="18">
      <c r="A31" s="385"/>
      <c r="B31" s="391" t="str">
        <f>Input!AR29</f>
        <v/>
      </c>
      <c r="C31" s="391">
        <f>DailyMet!N12</f>
        <v>0</v>
      </c>
      <c r="D31" s="392">
        <f>Input!AS29</f>
        <v>0</v>
      </c>
      <c r="E31" s="392">
        <f>Input!E29</f>
        <v>8</v>
      </c>
      <c r="F31" s="393">
        <f>Input!B29</f>
        <v>37994</v>
      </c>
      <c r="G31" s="503">
        <f t="shared" si="0"/>
        <v>0</v>
      </c>
      <c r="H31" s="354"/>
      <c r="I31" s="392">
        <f t="shared" si="1"/>
        <v>0</v>
      </c>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row>
    <row r="32" spans="1:51" ht="18">
      <c r="A32" s="385"/>
      <c r="B32" s="391" t="str">
        <f>Input!AR30</f>
        <v/>
      </c>
      <c r="C32" s="391">
        <f>DailyMet!N13</f>
        <v>0</v>
      </c>
      <c r="D32" s="392">
        <f>Input!AS30</f>
        <v>0</v>
      </c>
      <c r="E32" s="392">
        <f>Input!E30</f>
        <v>9</v>
      </c>
      <c r="F32" s="393">
        <f>Input!B30</f>
        <v>37995</v>
      </c>
      <c r="G32" s="503">
        <f t="shared" si="0"/>
        <v>0</v>
      </c>
      <c r="H32" s="354"/>
      <c r="I32" s="392">
        <f t="shared" si="1"/>
        <v>0</v>
      </c>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row>
    <row r="33" spans="1:51" ht="18">
      <c r="A33" s="385"/>
      <c r="B33" s="391" t="str">
        <f>Input!AR31</f>
        <v/>
      </c>
      <c r="C33" s="391">
        <f>DailyMet!N14</f>
        <v>0</v>
      </c>
      <c r="D33" s="392">
        <f>Input!AS31</f>
        <v>0</v>
      </c>
      <c r="E33" s="392">
        <f>Input!E31</f>
        <v>10</v>
      </c>
      <c r="F33" s="393">
        <f>Input!B31</f>
        <v>37996</v>
      </c>
      <c r="G33" s="503">
        <f t="shared" si="0"/>
        <v>0</v>
      </c>
      <c r="H33" s="354"/>
      <c r="I33" s="392">
        <f t="shared" si="1"/>
        <v>0</v>
      </c>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row>
    <row r="34" spans="1:51" ht="18">
      <c r="A34" s="385"/>
      <c r="B34" s="391" t="str">
        <f>Input!AR32</f>
        <v/>
      </c>
      <c r="C34" s="391">
        <f>DailyMet!N15</f>
        <v>0</v>
      </c>
      <c r="D34" s="392">
        <f>Input!AS32</f>
        <v>0</v>
      </c>
      <c r="E34" s="392">
        <f>Input!E32</f>
        <v>11</v>
      </c>
      <c r="F34" s="393">
        <f>Input!B32</f>
        <v>37997</v>
      </c>
      <c r="G34" s="503">
        <f t="shared" si="0"/>
        <v>0</v>
      </c>
      <c r="H34" s="354"/>
      <c r="I34" s="392">
        <f t="shared" si="1"/>
        <v>0</v>
      </c>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row>
    <row r="35" spans="1:51" ht="18">
      <c r="A35" s="385"/>
      <c r="B35" s="391" t="str">
        <f>Input!AR33</f>
        <v/>
      </c>
      <c r="C35" s="391">
        <f>DailyMet!N16</f>
        <v>0</v>
      </c>
      <c r="D35" s="392">
        <f>Input!AS33</f>
        <v>0</v>
      </c>
      <c r="E35" s="392">
        <f>Input!E33</f>
        <v>12</v>
      </c>
      <c r="F35" s="393">
        <f>Input!B33</f>
        <v>37998</v>
      </c>
      <c r="G35" s="503">
        <f t="shared" si="0"/>
        <v>0</v>
      </c>
      <c r="H35" s="354"/>
      <c r="I35" s="392">
        <f t="shared" si="1"/>
        <v>0</v>
      </c>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row>
    <row r="36" spans="1:51" ht="18">
      <c r="A36" s="385"/>
      <c r="B36" s="391" t="str">
        <f>Input!AR34</f>
        <v/>
      </c>
      <c r="C36" s="391">
        <f>DailyMet!N17</f>
        <v>0.2</v>
      </c>
      <c r="D36" s="392">
        <f>Input!AS34</f>
        <v>0</v>
      </c>
      <c r="E36" s="392">
        <f>Input!E34</f>
        <v>13</v>
      </c>
      <c r="F36" s="393">
        <f>Input!B34</f>
        <v>37999</v>
      </c>
      <c r="G36" s="503">
        <f t="shared" si="0"/>
        <v>0</v>
      </c>
      <c r="H36" s="354"/>
      <c r="I36" s="392">
        <f t="shared" si="1"/>
        <v>0</v>
      </c>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row>
    <row r="37" spans="1:51" ht="18">
      <c r="A37" s="385"/>
      <c r="B37" s="391" t="str">
        <f>Input!AR35</f>
        <v/>
      </c>
      <c r="C37" s="391">
        <f>DailyMet!N18</f>
        <v>0.2</v>
      </c>
      <c r="D37" s="392">
        <f>Input!AS35</f>
        <v>0</v>
      </c>
      <c r="E37" s="392">
        <f>Input!E35</f>
        <v>14</v>
      </c>
      <c r="F37" s="393">
        <f>Input!B35</f>
        <v>38000</v>
      </c>
      <c r="G37" s="503">
        <f t="shared" si="0"/>
        <v>0</v>
      </c>
      <c r="H37" s="354"/>
      <c r="I37" s="392">
        <f t="shared" si="1"/>
        <v>0</v>
      </c>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row>
    <row r="38" spans="1:51" ht="18">
      <c r="A38" s="385"/>
      <c r="B38" s="391" t="str">
        <f>Input!AR36</f>
        <v/>
      </c>
      <c r="C38" s="391">
        <f>DailyMet!N19</f>
        <v>0.2</v>
      </c>
      <c r="D38" s="392">
        <f>Input!AS36</f>
        <v>0</v>
      </c>
      <c r="E38" s="392">
        <f>Input!E36</f>
        <v>15</v>
      </c>
      <c r="F38" s="393">
        <f>Input!B36</f>
        <v>38001</v>
      </c>
      <c r="G38" s="503">
        <f t="shared" si="0"/>
        <v>0</v>
      </c>
      <c r="H38" s="354"/>
      <c r="I38" s="392">
        <f t="shared" si="1"/>
        <v>0</v>
      </c>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row>
    <row r="39" spans="1:51" ht="18">
      <c r="A39" s="385"/>
      <c r="B39" s="391" t="str">
        <f>Input!AR37</f>
        <v/>
      </c>
      <c r="C39" s="391">
        <f>DailyMet!N20</f>
        <v>0</v>
      </c>
      <c r="D39" s="392">
        <f>Input!AS37</f>
        <v>0</v>
      </c>
      <c r="E39" s="392">
        <f>Input!E37</f>
        <v>16</v>
      </c>
      <c r="F39" s="393">
        <f>Input!B37</f>
        <v>38002</v>
      </c>
      <c r="G39" s="503">
        <f t="shared" si="0"/>
        <v>0</v>
      </c>
      <c r="H39" s="354"/>
      <c r="I39" s="392">
        <f t="shared" si="1"/>
        <v>0</v>
      </c>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row>
    <row r="40" spans="1:51" ht="18">
      <c r="A40" s="385"/>
      <c r="B40" s="391" t="str">
        <f>Input!AR38</f>
        <v/>
      </c>
      <c r="C40" s="391">
        <f>DailyMet!N21</f>
        <v>0</v>
      </c>
      <c r="D40" s="392">
        <f>Input!AS38</f>
        <v>0</v>
      </c>
      <c r="E40" s="392">
        <f>Input!E38</f>
        <v>17</v>
      </c>
      <c r="F40" s="393">
        <f>Input!B38</f>
        <v>38003</v>
      </c>
      <c r="G40" s="503">
        <f t="shared" si="0"/>
        <v>0</v>
      </c>
      <c r="H40" s="354"/>
      <c r="I40" s="392">
        <f t="shared" si="1"/>
        <v>0</v>
      </c>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row>
    <row r="41" spans="1:51" ht="18">
      <c r="A41" s="385"/>
      <c r="B41" s="391" t="str">
        <f>Input!AR39</f>
        <v/>
      </c>
      <c r="C41" s="391">
        <f>DailyMet!N22</f>
        <v>0</v>
      </c>
      <c r="D41" s="392">
        <f>Input!AS39</f>
        <v>0</v>
      </c>
      <c r="E41" s="392">
        <f>Input!E39</f>
        <v>18</v>
      </c>
      <c r="F41" s="393">
        <f>Input!B39</f>
        <v>38004</v>
      </c>
      <c r="G41" s="503">
        <f t="shared" si="0"/>
        <v>0</v>
      </c>
      <c r="H41" s="354"/>
      <c r="I41" s="392">
        <f t="shared" si="1"/>
        <v>0</v>
      </c>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row>
    <row r="42" spans="1:51" ht="18">
      <c r="A42" s="385"/>
      <c r="B42" s="391" t="str">
        <f>Input!AR40</f>
        <v/>
      </c>
      <c r="C42" s="391">
        <f>DailyMet!N23</f>
        <v>0</v>
      </c>
      <c r="D42" s="392">
        <f>Input!AS40</f>
        <v>0</v>
      </c>
      <c r="E42" s="392">
        <f>Input!E40</f>
        <v>19</v>
      </c>
      <c r="F42" s="393">
        <f>Input!B40</f>
        <v>38005</v>
      </c>
      <c r="G42" s="503">
        <f t="shared" si="0"/>
        <v>0</v>
      </c>
      <c r="H42" s="354"/>
      <c r="I42" s="392">
        <f t="shared" si="1"/>
        <v>0</v>
      </c>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row>
    <row r="43" spans="1:51" ht="18">
      <c r="A43" s="385"/>
      <c r="B43" s="391" t="str">
        <f>Input!AR41</f>
        <v/>
      </c>
      <c r="C43" s="391">
        <f>DailyMet!N24</f>
        <v>0.2</v>
      </c>
      <c r="D43" s="392">
        <f>Input!AS41</f>
        <v>0</v>
      </c>
      <c r="E43" s="392">
        <f>Input!E41</f>
        <v>20</v>
      </c>
      <c r="F43" s="393">
        <f>Input!B41</f>
        <v>38006</v>
      </c>
      <c r="G43" s="503">
        <f t="shared" si="0"/>
        <v>0</v>
      </c>
      <c r="H43" s="354"/>
      <c r="I43" s="392">
        <f t="shared" si="1"/>
        <v>0</v>
      </c>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row>
    <row r="44" spans="1:51" ht="18">
      <c r="A44" s="385"/>
      <c r="B44" s="391" t="str">
        <f>Input!AR42</f>
        <v/>
      </c>
      <c r="C44" s="391">
        <f>DailyMet!N25</f>
        <v>0.2</v>
      </c>
      <c r="D44" s="392">
        <f>Input!AS42</f>
        <v>0</v>
      </c>
      <c r="E44" s="392">
        <f>Input!E42</f>
        <v>21</v>
      </c>
      <c r="F44" s="393">
        <f>Input!B42</f>
        <v>38007</v>
      </c>
      <c r="G44" s="503">
        <f t="shared" si="0"/>
        <v>0</v>
      </c>
      <c r="H44" s="354"/>
      <c r="I44" s="392">
        <f t="shared" si="1"/>
        <v>0</v>
      </c>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row>
    <row r="45" spans="1:51" ht="18">
      <c r="A45" s="385"/>
      <c r="B45" s="391" t="str">
        <f>Input!AR43</f>
        <v/>
      </c>
      <c r="C45" s="391">
        <f>DailyMet!N26</f>
        <v>0.2</v>
      </c>
      <c r="D45" s="392">
        <f>Input!AS43</f>
        <v>0</v>
      </c>
      <c r="E45" s="392">
        <f>Input!E43</f>
        <v>22</v>
      </c>
      <c r="F45" s="393">
        <f>Input!B43</f>
        <v>38008</v>
      </c>
      <c r="G45" s="503">
        <f t="shared" si="0"/>
        <v>0</v>
      </c>
      <c r="H45" s="354"/>
      <c r="I45" s="392">
        <f t="shared" si="1"/>
        <v>0</v>
      </c>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row>
    <row r="46" spans="1:51" ht="18">
      <c r="A46" s="385"/>
      <c r="B46" s="391" t="str">
        <f>Input!AR44</f>
        <v/>
      </c>
      <c r="C46" s="391">
        <f>DailyMet!N27</f>
        <v>0</v>
      </c>
      <c r="D46" s="392">
        <f>Input!AS44</f>
        <v>0</v>
      </c>
      <c r="E46" s="392">
        <f>Input!E44</f>
        <v>23</v>
      </c>
      <c r="F46" s="393">
        <f>Input!B44</f>
        <v>38009</v>
      </c>
      <c r="G46" s="503">
        <f t="shared" si="0"/>
        <v>0</v>
      </c>
      <c r="H46" s="354"/>
      <c r="I46" s="392">
        <f t="shared" si="1"/>
        <v>0</v>
      </c>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row>
    <row r="47" spans="1:51" ht="18">
      <c r="A47" s="385"/>
      <c r="B47" s="391" t="str">
        <f>Input!AR45</f>
        <v/>
      </c>
      <c r="C47" s="391">
        <f>DailyMet!N28</f>
        <v>0.4</v>
      </c>
      <c r="D47" s="392">
        <f>Input!AS45</f>
        <v>0</v>
      </c>
      <c r="E47" s="392">
        <f>Input!E45</f>
        <v>24</v>
      </c>
      <c r="F47" s="393">
        <f>Input!B45</f>
        <v>38010</v>
      </c>
      <c r="G47" s="503">
        <f t="shared" si="0"/>
        <v>0</v>
      </c>
      <c r="H47" s="354"/>
      <c r="I47" s="392">
        <f t="shared" si="1"/>
        <v>0</v>
      </c>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row>
    <row r="48" spans="1:51" ht="18">
      <c r="A48" s="385"/>
      <c r="B48" s="391" t="str">
        <f>Input!AR46</f>
        <v/>
      </c>
      <c r="C48" s="391">
        <f>DailyMet!N29</f>
        <v>0</v>
      </c>
      <c r="D48" s="392">
        <f>Input!AS46</f>
        <v>0</v>
      </c>
      <c r="E48" s="392">
        <f>Input!E46</f>
        <v>25</v>
      </c>
      <c r="F48" s="393">
        <f>Input!B46</f>
        <v>38011</v>
      </c>
      <c r="G48" s="503">
        <f t="shared" si="0"/>
        <v>0</v>
      </c>
      <c r="H48" s="354"/>
      <c r="I48" s="392">
        <f t="shared" si="1"/>
        <v>0</v>
      </c>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row>
    <row r="49" spans="1:51" ht="18">
      <c r="A49" s="385"/>
      <c r="B49" s="391" t="str">
        <f>Input!AR47</f>
        <v/>
      </c>
      <c r="C49" s="391">
        <f>DailyMet!N30</f>
        <v>0</v>
      </c>
      <c r="D49" s="392">
        <f>Input!AS47</f>
        <v>0</v>
      </c>
      <c r="E49" s="392">
        <f>Input!E47</f>
        <v>26</v>
      </c>
      <c r="F49" s="393">
        <f>Input!B47</f>
        <v>38012</v>
      </c>
      <c r="G49" s="503">
        <f t="shared" si="0"/>
        <v>0</v>
      </c>
      <c r="H49" s="354"/>
      <c r="I49" s="392">
        <f t="shared" si="1"/>
        <v>0</v>
      </c>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row>
    <row r="50" spans="1:51" ht="18">
      <c r="A50" s="385"/>
      <c r="B50" s="391" t="str">
        <f>Input!AR48</f>
        <v/>
      </c>
      <c r="C50" s="391">
        <f>DailyMet!N31</f>
        <v>0</v>
      </c>
      <c r="D50" s="392">
        <f>Input!AS48</f>
        <v>0</v>
      </c>
      <c r="E50" s="392">
        <f>Input!E48</f>
        <v>27</v>
      </c>
      <c r="F50" s="393">
        <f>Input!B48</f>
        <v>38013</v>
      </c>
      <c r="G50" s="503">
        <f t="shared" si="0"/>
        <v>0</v>
      </c>
      <c r="H50" s="354"/>
      <c r="I50" s="392">
        <f t="shared" si="1"/>
        <v>0</v>
      </c>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row>
    <row r="51" spans="1:51" ht="18">
      <c r="A51" s="385"/>
      <c r="B51" s="391" t="str">
        <f>Input!AR49</f>
        <v/>
      </c>
      <c r="C51" s="391">
        <f>DailyMet!N32</f>
        <v>0</v>
      </c>
      <c r="D51" s="392">
        <f>Input!AS49</f>
        <v>0</v>
      </c>
      <c r="E51" s="392">
        <f>Input!E49</f>
        <v>28</v>
      </c>
      <c r="F51" s="393">
        <f>Input!B49</f>
        <v>38014</v>
      </c>
      <c r="G51" s="503">
        <f t="shared" si="0"/>
        <v>0</v>
      </c>
      <c r="H51" s="354"/>
      <c r="I51" s="392">
        <f t="shared" si="1"/>
        <v>0</v>
      </c>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row>
    <row r="52" spans="1:51" ht="18">
      <c r="A52" s="385"/>
      <c r="B52" s="391" t="str">
        <f>Input!AR50</f>
        <v/>
      </c>
      <c r="C52" s="391">
        <f>DailyMet!N33</f>
        <v>0</v>
      </c>
      <c r="D52" s="392">
        <f>Input!AS50</f>
        <v>0</v>
      </c>
      <c r="E52" s="392">
        <f>Input!E50</f>
        <v>29</v>
      </c>
      <c r="F52" s="393">
        <f>Input!B50</f>
        <v>38015</v>
      </c>
      <c r="G52" s="503">
        <f t="shared" si="0"/>
        <v>0</v>
      </c>
      <c r="H52" s="354"/>
      <c r="I52" s="392">
        <f t="shared" si="1"/>
        <v>0</v>
      </c>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row>
    <row r="53" spans="1:51" ht="18">
      <c r="A53" s="385"/>
      <c r="B53" s="391" t="str">
        <f>Input!AR51</f>
        <v/>
      </c>
      <c r="C53" s="391">
        <f>DailyMet!N34</f>
        <v>0</v>
      </c>
      <c r="D53" s="392">
        <f>Input!AS51</f>
        <v>0</v>
      </c>
      <c r="E53" s="392">
        <f>Input!E51</f>
        <v>30</v>
      </c>
      <c r="F53" s="393">
        <f>Input!B51</f>
        <v>38016</v>
      </c>
      <c r="G53" s="503">
        <f t="shared" si="0"/>
        <v>0</v>
      </c>
      <c r="H53" s="354"/>
      <c r="I53" s="392">
        <f t="shared" si="1"/>
        <v>0</v>
      </c>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row>
    <row r="54" spans="1:51" ht="18">
      <c r="A54" s="385"/>
      <c r="B54" s="391" t="str">
        <f>Input!AR52</f>
        <v/>
      </c>
      <c r="C54" s="391">
        <f>DailyMet!N35</f>
        <v>0</v>
      </c>
      <c r="D54" s="392">
        <f>Input!AS52</f>
        <v>0</v>
      </c>
      <c r="E54" s="392">
        <f>Input!E52</f>
        <v>31</v>
      </c>
      <c r="F54" s="393">
        <f>Input!B52</f>
        <v>38017</v>
      </c>
      <c r="G54" s="503">
        <f t="shared" si="0"/>
        <v>0</v>
      </c>
      <c r="H54" s="354"/>
      <c r="I54" s="392">
        <f t="shared" si="1"/>
        <v>0</v>
      </c>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row>
    <row r="55" spans="1:51" ht="18">
      <c r="A55" s="385"/>
      <c r="B55" s="391" t="str">
        <f>Input!AR53</f>
        <v/>
      </c>
      <c r="C55" s="391">
        <f>DailyMet!N36</f>
        <v>0</v>
      </c>
      <c r="D55" s="392">
        <f>Input!AS53</f>
        <v>0</v>
      </c>
      <c r="E55" s="392">
        <f>Input!E53</f>
        <v>32</v>
      </c>
      <c r="F55" s="393">
        <f>Input!B53</f>
        <v>38018</v>
      </c>
      <c r="G55" s="503">
        <f t="shared" si="0"/>
        <v>0</v>
      </c>
      <c r="H55" s="354"/>
      <c r="I55" s="392">
        <f t="shared" si="1"/>
        <v>0</v>
      </c>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row>
    <row r="56" spans="1:51" ht="18">
      <c r="A56" s="385"/>
      <c r="B56" s="391" t="str">
        <f>Input!AR54</f>
        <v/>
      </c>
      <c r="C56" s="391">
        <f>DailyMet!N37</f>
        <v>0.2</v>
      </c>
      <c r="D56" s="392">
        <f>Input!AS54</f>
        <v>0</v>
      </c>
      <c r="E56" s="392">
        <f>Input!E54</f>
        <v>33</v>
      </c>
      <c r="F56" s="393">
        <f>Input!B54</f>
        <v>38019</v>
      </c>
      <c r="G56" s="503">
        <f t="shared" si="0"/>
        <v>0</v>
      </c>
      <c r="H56" s="354"/>
      <c r="I56" s="392">
        <f t="shared" si="1"/>
        <v>0</v>
      </c>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row>
    <row r="57" spans="1:51" ht="18">
      <c r="A57" s="385"/>
      <c r="B57" s="391" t="str">
        <f>Input!AR55</f>
        <v/>
      </c>
      <c r="C57" s="391">
        <f>DailyMet!N38</f>
        <v>0.2</v>
      </c>
      <c r="D57" s="392">
        <f>Input!AS55</f>
        <v>0</v>
      </c>
      <c r="E57" s="392">
        <f>Input!E55</f>
        <v>34</v>
      </c>
      <c r="F57" s="393">
        <f>Input!B55</f>
        <v>38020</v>
      </c>
      <c r="G57" s="503">
        <f t="shared" si="0"/>
        <v>0</v>
      </c>
      <c r="H57" s="354"/>
      <c r="I57" s="392">
        <f t="shared" si="1"/>
        <v>0</v>
      </c>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row>
    <row r="58" spans="1:51" ht="18">
      <c r="A58" s="385"/>
      <c r="B58" s="391" t="str">
        <f>Input!AR56</f>
        <v/>
      </c>
      <c r="C58" s="391">
        <f>DailyMet!N39</f>
        <v>0.2</v>
      </c>
      <c r="D58" s="392">
        <f>Input!AS56</f>
        <v>0</v>
      </c>
      <c r="E58" s="392">
        <f>Input!E56</f>
        <v>35</v>
      </c>
      <c r="F58" s="393">
        <f>Input!B56</f>
        <v>38021</v>
      </c>
      <c r="G58" s="503">
        <f t="shared" si="0"/>
        <v>0</v>
      </c>
      <c r="H58" s="354"/>
      <c r="I58" s="392">
        <f t="shared" si="1"/>
        <v>0</v>
      </c>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row>
    <row r="59" spans="1:51" ht="18">
      <c r="A59" s="385"/>
      <c r="B59" s="391" t="str">
        <f>Input!AR57</f>
        <v/>
      </c>
      <c r="C59" s="391">
        <f>DailyMet!N40</f>
        <v>0</v>
      </c>
      <c r="D59" s="392">
        <f>Input!AS57</f>
        <v>0</v>
      </c>
      <c r="E59" s="392">
        <f>Input!E57</f>
        <v>36</v>
      </c>
      <c r="F59" s="393">
        <f>Input!B57</f>
        <v>38022</v>
      </c>
      <c r="G59" s="503">
        <f t="shared" si="0"/>
        <v>0</v>
      </c>
      <c r="H59" s="354"/>
      <c r="I59" s="392">
        <f t="shared" si="1"/>
        <v>0</v>
      </c>
      <c r="J59" s="385"/>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c r="AU59" s="385"/>
      <c r="AV59" s="385"/>
      <c r="AW59" s="385"/>
      <c r="AX59" s="385"/>
      <c r="AY59" s="385"/>
    </row>
    <row r="60" spans="1:51" ht="18">
      <c r="A60" s="385"/>
      <c r="B60" s="391" t="str">
        <f>Input!AR58</f>
        <v/>
      </c>
      <c r="C60" s="391">
        <f>DailyMet!N41</f>
        <v>0.4</v>
      </c>
      <c r="D60" s="392">
        <f>Input!AS58</f>
        <v>0</v>
      </c>
      <c r="E60" s="392">
        <f>Input!E58</f>
        <v>37</v>
      </c>
      <c r="F60" s="393">
        <f>Input!B58</f>
        <v>38023</v>
      </c>
      <c r="G60" s="503">
        <f t="shared" si="0"/>
        <v>0</v>
      </c>
      <c r="H60" s="354"/>
      <c r="I60" s="392">
        <f t="shared" si="1"/>
        <v>0</v>
      </c>
      <c r="J60" s="385"/>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row>
    <row r="61" spans="1:51" ht="18">
      <c r="A61" s="385"/>
      <c r="B61" s="391" t="str">
        <f>Input!AR59</f>
        <v/>
      </c>
      <c r="C61" s="391">
        <f>DailyMet!N42</f>
        <v>0</v>
      </c>
      <c r="D61" s="392">
        <f>Input!AS59</f>
        <v>0</v>
      </c>
      <c r="E61" s="392">
        <f>Input!E59</f>
        <v>38</v>
      </c>
      <c r="F61" s="393">
        <f>Input!B59</f>
        <v>38024</v>
      </c>
      <c r="G61" s="503">
        <f t="shared" si="0"/>
        <v>0</v>
      </c>
      <c r="H61" s="354"/>
      <c r="I61" s="392">
        <f t="shared" si="1"/>
        <v>0</v>
      </c>
      <c r="J61" s="385"/>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row>
    <row r="62" spans="1:51" ht="18">
      <c r="A62" s="385"/>
      <c r="B62" s="391" t="str">
        <f>Input!AR60</f>
        <v/>
      </c>
      <c r="C62" s="391">
        <f>DailyMet!N43</f>
        <v>0</v>
      </c>
      <c r="D62" s="392">
        <f>Input!AS60</f>
        <v>0</v>
      </c>
      <c r="E62" s="392">
        <f>Input!E60</f>
        <v>39</v>
      </c>
      <c r="F62" s="393">
        <f>Input!B60</f>
        <v>38025</v>
      </c>
      <c r="G62" s="503">
        <f t="shared" si="0"/>
        <v>0</v>
      </c>
      <c r="H62" s="354"/>
      <c r="I62" s="392">
        <f t="shared" si="1"/>
        <v>0</v>
      </c>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row>
    <row r="63" spans="1:51" ht="18">
      <c r="A63" s="385"/>
      <c r="B63" s="391" t="str">
        <f>Input!AR61</f>
        <v/>
      </c>
      <c r="C63" s="391">
        <f>DailyMet!N44</f>
        <v>0</v>
      </c>
      <c r="D63" s="392">
        <f>Input!AS61</f>
        <v>0</v>
      </c>
      <c r="E63" s="392">
        <f>Input!E61</f>
        <v>40</v>
      </c>
      <c r="F63" s="393">
        <f>Input!B61</f>
        <v>38026</v>
      </c>
      <c r="G63" s="503">
        <f t="shared" si="0"/>
        <v>0</v>
      </c>
      <c r="H63" s="354"/>
      <c r="I63" s="392">
        <f t="shared" si="1"/>
        <v>0</v>
      </c>
      <c r="J63" s="385"/>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row>
    <row r="64" spans="1:51" ht="18">
      <c r="A64" s="385"/>
      <c r="B64" s="391" t="str">
        <f>Input!AR62</f>
        <v/>
      </c>
      <c r="C64" s="391">
        <f>DailyMet!N45</f>
        <v>0</v>
      </c>
      <c r="D64" s="392">
        <f>Input!AS62</f>
        <v>0</v>
      </c>
      <c r="E64" s="392">
        <f>Input!E62</f>
        <v>41</v>
      </c>
      <c r="F64" s="393">
        <f>Input!B62</f>
        <v>38027</v>
      </c>
      <c r="G64" s="503">
        <f t="shared" si="0"/>
        <v>0</v>
      </c>
      <c r="H64" s="354"/>
      <c r="I64" s="392">
        <f t="shared" si="1"/>
        <v>0</v>
      </c>
      <c r="J64" s="385"/>
      <c r="K64" s="385"/>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5"/>
      <c r="AN64" s="385"/>
      <c r="AO64" s="385"/>
      <c r="AP64" s="385"/>
      <c r="AQ64" s="385"/>
      <c r="AR64" s="385"/>
      <c r="AS64" s="385"/>
      <c r="AT64" s="385"/>
      <c r="AU64" s="385"/>
      <c r="AV64" s="385"/>
      <c r="AW64" s="385"/>
      <c r="AX64" s="385"/>
      <c r="AY64" s="385"/>
    </row>
    <row r="65" spans="1:51" ht="18">
      <c r="A65" s="385"/>
      <c r="B65" s="391" t="str">
        <f>Input!AR63</f>
        <v/>
      </c>
      <c r="C65" s="391">
        <f>DailyMet!N46</f>
        <v>0</v>
      </c>
      <c r="D65" s="392">
        <f>Input!AS63</f>
        <v>0</v>
      </c>
      <c r="E65" s="392">
        <f>Input!E63</f>
        <v>42</v>
      </c>
      <c r="F65" s="393">
        <f>Input!B63</f>
        <v>38028</v>
      </c>
      <c r="G65" s="503">
        <f t="shared" si="0"/>
        <v>0</v>
      </c>
      <c r="H65" s="354"/>
      <c r="I65" s="392">
        <f t="shared" si="1"/>
        <v>0</v>
      </c>
      <c r="J65" s="385"/>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c r="AU65" s="385"/>
      <c r="AV65" s="385"/>
      <c r="AW65" s="385"/>
      <c r="AX65" s="385"/>
      <c r="AY65" s="385"/>
    </row>
    <row r="66" spans="1:51" ht="18">
      <c r="A66" s="385"/>
      <c r="B66" s="391" t="str">
        <f>Input!AR64</f>
        <v/>
      </c>
      <c r="C66" s="391">
        <f>DailyMet!N47</f>
        <v>0</v>
      </c>
      <c r="D66" s="392">
        <f>Input!AS64</f>
        <v>0</v>
      </c>
      <c r="E66" s="392">
        <f>Input!E64</f>
        <v>43</v>
      </c>
      <c r="F66" s="393">
        <f>Input!B64</f>
        <v>38029</v>
      </c>
      <c r="G66" s="503">
        <f t="shared" si="0"/>
        <v>0</v>
      </c>
      <c r="H66" s="354"/>
      <c r="I66" s="392">
        <f t="shared" si="1"/>
        <v>0</v>
      </c>
      <c r="J66" s="38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row>
    <row r="67" spans="1:51" ht="18">
      <c r="A67" s="385"/>
      <c r="B67" s="391" t="str">
        <f>Input!AR65</f>
        <v/>
      </c>
      <c r="C67" s="391">
        <f>DailyMet!N48</f>
        <v>0</v>
      </c>
      <c r="D67" s="392">
        <f>Input!AS65</f>
        <v>0</v>
      </c>
      <c r="E67" s="392">
        <f>Input!E65</f>
        <v>44</v>
      </c>
      <c r="F67" s="393">
        <f>Input!B65</f>
        <v>38030</v>
      </c>
      <c r="G67" s="503">
        <f t="shared" si="0"/>
        <v>0</v>
      </c>
      <c r="H67" s="354"/>
      <c r="I67" s="392">
        <f t="shared" si="1"/>
        <v>0</v>
      </c>
      <c r="J67" s="385"/>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c r="AU67" s="385"/>
      <c r="AV67" s="385"/>
      <c r="AW67" s="385"/>
      <c r="AX67" s="385"/>
      <c r="AY67" s="385"/>
    </row>
    <row r="68" spans="1:51" ht="18">
      <c r="A68" s="385"/>
      <c r="B68" s="391" t="str">
        <f>Input!AR66</f>
        <v/>
      </c>
      <c r="C68" s="391">
        <f>DailyMet!N49</f>
        <v>0.2</v>
      </c>
      <c r="D68" s="392">
        <f>Input!AS66</f>
        <v>0</v>
      </c>
      <c r="E68" s="392">
        <f>Input!E66</f>
        <v>45</v>
      </c>
      <c r="F68" s="393">
        <f>Input!B66</f>
        <v>38031</v>
      </c>
      <c r="G68" s="503">
        <f t="shared" si="0"/>
        <v>0</v>
      </c>
      <c r="H68" s="354"/>
      <c r="I68" s="392">
        <f t="shared" si="1"/>
        <v>0</v>
      </c>
      <c r="J68" s="385"/>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c r="AU68" s="385"/>
      <c r="AV68" s="385"/>
      <c r="AW68" s="385"/>
      <c r="AX68" s="385"/>
      <c r="AY68" s="385"/>
    </row>
    <row r="69" spans="1:51" ht="18">
      <c r="A69" s="385"/>
      <c r="B69" s="391" t="str">
        <f>Input!AR67</f>
        <v/>
      </c>
      <c r="C69" s="391">
        <f>DailyMet!N50</f>
        <v>0</v>
      </c>
      <c r="D69" s="392">
        <f>Input!AS67</f>
        <v>0</v>
      </c>
      <c r="E69" s="392">
        <f>Input!E67</f>
        <v>46</v>
      </c>
      <c r="F69" s="393">
        <f>Input!B67</f>
        <v>38032</v>
      </c>
      <c r="G69" s="503">
        <f t="shared" si="0"/>
        <v>0</v>
      </c>
      <c r="H69" s="354"/>
      <c r="I69" s="392">
        <f t="shared" si="1"/>
        <v>0</v>
      </c>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c r="AU69" s="385"/>
      <c r="AV69" s="385"/>
      <c r="AW69" s="385"/>
      <c r="AX69" s="385"/>
      <c r="AY69" s="385"/>
    </row>
    <row r="70" spans="1:51" ht="18">
      <c r="A70" s="385"/>
      <c r="B70" s="391" t="str">
        <f>Input!AR68</f>
        <v/>
      </c>
      <c r="C70" s="391">
        <f>DailyMet!N51</f>
        <v>0</v>
      </c>
      <c r="D70" s="392">
        <f>Input!AS68</f>
        <v>0</v>
      </c>
      <c r="E70" s="392">
        <f>Input!E68</f>
        <v>47</v>
      </c>
      <c r="F70" s="393">
        <f>Input!B68</f>
        <v>38033</v>
      </c>
      <c r="G70" s="503">
        <f t="shared" si="0"/>
        <v>0</v>
      </c>
      <c r="H70" s="354"/>
      <c r="I70" s="392">
        <f t="shared" si="1"/>
        <v>0</v>
      </c>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row>
    <row r="71" spans="1:51" ht="18">
      <c r="A71" s="385"/>
      <c r="B71" s="391" t="str">
        <f>Input!AR69</f>
        <v/>
      </c>
      <c r="C71" s="391">
        <f>DailyMet!N52</f>
        <v>0</v>
      </c>
      <c r="D71" s="392">
        <f>Input!AS69</f>
        <v>0</v>
      </c>
      <c r="E71" s="392">
        <f>Input!E69</f>
        <v>48</v>
      </c>
      <c r="F71" s="393">
        <f>Input!B69</f>
        <v>38034</v>
      </c>
      <c r="G71" s="503">
        <f t="shared" si="0"/>
        <v>0</v>
      </c>
      <c r="H71" s="354"/>
      <c r="I71" s="392">
        <f t="shared" si="1"/>
        <v>0</v>
      </c>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c r="AU71" s="385"/>
      <c r="AV71" s="385"/>
      <c r="AW71" s="385"/>
      <c r="AX71" s="385"/>
      <c r="AY71" s="385"/>
    </row>
    <row r="72" spans="1:51" ht="18">
      <c r="A72" s="385"/>
      <c r="B72" s="391" t="str">
        <f>Input!AR70</f>
        <v/>
      </c>
      <c r="C72" s="391">
        <f>DailyMet!N53</f>
        <v>0</v>
      </c>
      <c r="D72" s="392">
        <f>Input!AS70</f>
        <v>0</v>
      </c>
      <c r="E72" s="392">
        <f>Input!E70</f>
        <v>49</v>
      </c>
      <c r="F72" s="393">
        <f>Input!B70</f>
        <v>38035</v>
      </c>
      <c r="G72" s="503">
        <f t="shared" si="0"/>
        <v>0</v>
      </c>
      <c r="H72" s="354"/>
      <c r="I72" s="392">
        <f t="shared" si="1"/>
        <v>0</v>
      </c>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row>
    <row r="73" spans="1:51" ht="18">
      <c r="A73" s="385"/>
      <c r="B73" s="391" t="str">
        <f>Input!AR71</f>
        <v/>
      </c>
      <c r="C73" s="391">
        <f>DailyMet!N54</f>
        <v>0</v>
      </c>
      <c r="D73" s="392">
        <f>Input!AS71</f>
        <v>0</v>
      </c>
      <c r="E73" s="392">
        <f>Input!E71</f>
        <v>50</v>
      </c>
      <c r="F73" s="393">
        <f>Input!B71</f>
        <v>38036</v>
      </c>
      <c r="G73" s="503">
        <f t="shared" si="0"/>
        <v>0</v>
      </c>
      <c r="H73" s="354"/>
      <c r="I73" s="392">
        <f t="shared" si="1"/>
        <v>0</v>
      </c>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row>
    <row r="74" spans="1:51" ht="18">
      <c r="A74" s="385"/>
      <c r="B74" s="391" t="str">
        <f>Input!AR72</f>
        <v/>
      </c>
      <c r="C74" s="391">
        <f>DailyMet!N55</f>
        <v>0</v>
      </c>
      <c r="D74" s="392">
        <f>Input!AS72</f>
        <v>0</v>
      </c>
      <c r="E74" s="392">
        <f>Input!E72</f>
        <v>51</v>
      </c>
      <c r="F74" s="393">
        <f>Input!B72</f>
        <v>38037</v>
      </c>
      <c r="G74" s="503">
        <f t="shared" si="0"/>
        <v>0</v>
      </c>
      <c r="H74" s="354"/>
      <c r="I74" s="392">
        <f t="shared" si="1"/>
        <v>0</v>
      </c>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row>
    <row r="75" spans="1:51" ht="18">
      <c r="A75" s="385"/>
      <c r="B75" s="391" t="str">
        <f>Input!AR73</f>
        <v/>
      </c>
      <c r="C75" s="391">
        <f>DailyMet!N56</f>
        <v>0</v>
      </c>
      <c r="D75" s="392">
        <f>Input!AS73</f>
        <v>0</v>
      </c>
      <c r="E75" s="392">
        <f>Input!E73</f>
        <v>52</v>
      </c>
      <c r="F75" s="393">
        <f>Input!B73</f>
        <v>38038</v>
      </c>
      <c r="G75" s="503">
        <f t="shared" si="0"/>
        <v>0</v>
      </c>
      <c r="H75" s="354"/>
      <c r="I75" s="392">
        <f t="shared" si="1"/>
        <v>0</v>
      </c>
      <c r="J75" s="385"/>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5"/>
      <c r="AR75" s="385"/>
      <c r="AS75" s="385"/>
      <c r="AT75" s="385"/>
      <c r="AU75" s="385"/>
      <c r="AV75" s="385"/>
      <c r="AW75" s="385"/>
      <c r="AX75" s="385"/>
      <c r="AY75" s="385"/>
    </row>
    <row r="76" spans="1:51" ht="18">
      <c r="A76" s="385"/>
      <c r="B76" s="391" t="str">
        <f>Input!AR74</f>
        <v/>
      </c>
      <c r="C76" s="391">
        <f>DailyMet!N57</f>
        <v>0</v>
      </c>
      <c r="D76" s="392">
        <f>Input!AS74</f>
        <v>0</v>
      </c>
      <c r="E76" s="392">
        <f>Input!E74</f>
        <v>53</v>
      </c>
      <c r="F76" s="393">
        <f>Input!B74</f>
        <v>38039</v>
      </c>
      <c r="G76" s="503">
        <f t="shared" si="0"/>
        <v>0</v>
      </c>
      <c r="H76" s="354"/>
      <c r="I76" s="392">
        <f t="shared" si="1"/>
        <v>0</v>
      </c>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row>
    <row r="77" spans="1:51" ht="18">
      <c r="A77" s="385"/>
      <c r="B77" s="391" t="str">
        <f>Input!AR75</f>
        <v/>
      </c>
      <c r="C77" s="391">
        <f>DailyMet!N58</f>
        <v>0</v>
      </c>
      <c r="D77" s="392">
        <f>Input!AS75</f>
        <v>0</v>
      </c>
      <c r="E77" s="392">
        <f>Input!E75</f>
        <v>54</v>
      </c>
      <c r="F77" s="393">
        <f>Input!B75</f>
        <v>38040</v>
      </c>
      <c r="G77" s="503">
        <f t="shared" si="0"/>
        <v>0</v>
      </c>
      <c r="H77" s="354"/>
      <c r="I77" s="392">
        <f t="shared" si="1"/>
        <v>0</v>
      </c>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row>
    <row r="78" spans="1:51" ht="18">
      <c r="A78" s="385"/>
      <c r="B78" s="391" t="str">
        <f>Input!AR76</f>
        <v/>
      </c>
      <c r="C78" s="391">
        <f>DailyMet!N59</f>
        <v>0</v>
      </c>
      <c r="D78" s="392">
        <f>Input!AS76</f>
        <v>0</v>
      </c>
      <c r="E78" s="392">
        <f>Input!E76</f>
        <v>55</v>
      </c>
      <c r="F78" s="393">
        <f>Input!B76</f>
        <v>38041</v>
      </c>
      <c r="G78" s="503">
        <f t="shared" si="0"/>
        <v>0</v>
      </c>
      <c r="H78" s="354"/>
      <c r="I78" s="392">
        <f t="shared" si="1"/>
        <v>0</v>
      </c>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row>
    <row r="79" spans="1:51" ht="18">
      <c r="A79" s="385"/>
      <c r="B79" s="391" t="str">
        <f>Input!AR77</f>
        <v/>
      </c>
      <c r="C79" s="391">
        <f>DailyMet!N60</f>
        <v>0</v>
      </c>
      <c r="D79" s="392">
        <f>Input!AS77</f>
        <v>0</v>
      </c>
      <c r="E79" s="392">
        <f>Input!E77</f>
        <v>56</v>
      </c>
      <c r="F79" s="393">
        <f>Input!B77</f>
        <v>38042</v>
      </c>
      <c r="G79" s="503">
        <f t="shared" si="0"/>
        <v>0</v>
      </c>
      <c r="H79" s="354"/>
      <c r="I79" s="392">
        <f t="shared" si="1"/>
        <v>0</v>
      </c>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row>
    <row r="80" spans="1:51" ht="18">
      <c r="A80" s="385"/>
      <c r="B80" s="391" t="str">
        <f>Input!AR78</f>
        <v/>
      </c>
      <c r="C80" s="391">
        <f>DailyMet!N61</f>
        <v>0</v>
      </c>
      <c r="D80" s="392">
        <f>Input!AS78</f>
        <v>0</v>
      </c>
      <c r="E80" s="392">
        <f>Input!E78</f>
        <v>57</v>
      </c>
      <c r="F80" s="393">
        <f>Input!B78</f>
        <v>38043</v>
      </c>
      <c r="G80" s="503">
        <f t="shared" si="0"/>
        <v>0</v>
      </c>
      <c r="H80" s="354"/>
      <c r="I80" s="392">
        <f t="shared" si="1"/>
        <v>0</v>
      </c>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row>
    <row r="81" spans="1:51" ht="18">
      <c r="A81" s="385"/>
      <c r="B81" s="391" t="str">
        <f>Input!AR79</f>
        <v/>
      </c>
      <c r="C81" s="391">
        <f>DailyMet!N62</f>
        <v>0.2</v>
      </c>
      <c r="D81" s="392">
        <f>Input!AS79</f>
        <v>0</v>
      </c>
      <c r="E81" s="392">
        <f>Input!E79</f>
        <v>58</v>
      </c>
      <c r="F81" s="393">
        <f>Input!B79</f>
        <v>38044</v>
      </c>
      <c r="G81" s="503">
        <f t="shared" si="0"/>
        <v>0</v>
      </c>
      <c r="H81" s="354"/>
      <c r="I81" s="392">
        <f t="shared" si="1"/>
        <v>0</v>
      </c>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row>
    <row r="82" spans="1:51" ht="18">
      <c r="A82" s="385"/>
      <c r="B82" s="391" t="str">
        <f>Input!AR80</f>
        <v/>
      </c>
      <c r="C82" s="391">
        <f>DailyMet!N63</f>
        <v>0</v>
      </c>
      <c r="D82" s="392">
        <f>Input!AS80</f>
        <v>0</v>
      </c>
      <c r="E82" s="392">
        <f>Input!E80</f>
        <v>59</v>
      </c>
      <c r="F82" s="393">
        <f>Input!B80</f>
        <v>38045</v>
      </c>
      <c r="G82" s="503">
        <f t="shared" si="0"/>
        <v>0</v>
      </c>
      <c r="H82" s="354"/>
      <c r="I82" s="392">
        <f t="shared" si="1"/>
        <v>0</v>
      </c>
      <c r="J82" s="385"/>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row>
    <row r="83" spans="1:51" ht="18">
      <c r="A83" s="385"/>
      <c r="B83" s="391" t="str">
        <f>Input!AR81</f>
        <v/>
      </c>
      <c r="C83" s="391">
        <f>DailyMet!N64</f>
        <v>0</v>
      </c>
      <c r="D83" s="392">
        <f>Input!AS81</f>
        <v>0</v>
      </c>
      <c r="E83" s="392">
        <f>Input!E81</f>
        <v>60</v>
      </c>
      <c r="F83" s="393">
        <f>Input!B81</f>
        <v>38046</v>
      </c>
      <c r="G83" s="503">
        <f t="shared" si="0"/>
        <v>0</v>
      </c>
      <c r="H83" s="354"/>
      <c r="I83" s="392">
        <f t="shared" si="1"/>
        <v>0</v>
      </c>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row>
    <row r="84" spans="1:51" ht="18">
      <c r="A84" s="385"/>
      <c r="B84" s="391" t="str">
        <f>Input!AR82</f>
        <v/>
      </c>
      <c r="C84" s="391">
        <f>DailyMet!N65</f>
        <v>0</v>
      </c>
      <c r="D84" s="392">
        <f>Input!AS82</f>
        <v>0</v>
      </c>
      <c r="E84" s="392">
        <f>Input!E82</f>
        <v>61</v>
      </c>
      <c r="F84" s="393">
        <f>Input!B82</f>
        <v>38047</v>
      </c>
      <c r="G84" s="503">
        <f t="shared" si="0"/>
        <v>0</v>
      </c>
      <c r="H84" s="354"/>
      <c r="I84" s="392">
        <f t="shared" si="1"/>
        <v>0</v>
      </c>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row>
    <row r="85" spans="1:51" ht="18">
      <c r="A85" s="385"/>
      <c r="B85" s="391" t="str">
        <f>Input!AR83</f>
        <v/>
      </c>
      <c r="C85" s="391">
        <f>DailyMet!N66</f>
        <v>0</v>
      </c>
      <c r="D85" s="392">
        <f>Input!AS83</f>
        <v>0</v>
      </c>
      <c r="E85" s="392">
        <f>Input!E83</f>
        <v>62</v>
      </c>
      <c r="F85" s="393">
        <f>Input!B83</f>
        <v>38048</v>
      </c>
      <c r="G85" s="503">
        <f t="shared" si="0"/>
        <v>0</v>
      </c>
      <c r="H85" s="354"/>
      <c r="I85" s="392">
        <f t="shared" si="1"/>
        <v>0</v>
      </c>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row>
    <row r="86" spans="1:51" ht="18">
      <c r="A86" s="385"/>
      <c r="B86" s="391" t="str">
        <f>Input!AR84</f>
        <v/>
      </c>
      <c r="C86" s="391">
        <f>DailyMet!N67</f>
        <v>0</v>
      </c>
      <c r="D86" s="392">
        <f>Input!AS84</f>
        <v>0</v>
      </c>
      <c r="E86" s="392">
        <f>Input!E84</f>
        <v>63</v>
      </c>
      <c r="F86" s="393">
        <f>Input!B84</f>
        <v>38049</v>
      </c>
      <c r="G86" s="503">
        <f t="shared" si="0"/>
        <v>0</v>
      </c>
      <c r="H86" s="354"/>
      <c r="I86" s="392">
        <f t="shared" si="1"/>
        <v>0</v>
      </c>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row>
    <row r="87" spans="1:51" ht="18">
      <c r="A87" s="385"/>
      <c r="B87" s="391" t="str">
        <f>Input!AR85</f>
        <v/>
      </c>
      <c r="C87" s="391">
        <f>DailyMet!N68</f>
        <v>0</v>
      </c>
      <c r="D87" s="392">
        <f>Input!AS85</f>
        <v>0</v>
      </c>
      <c r="E87" s="392">
        <f>Input!E85</f>
        <v>64</v>
      </c>
      <c r="F87" s="393">
        <f>Input!B85</f>
        <v>38050</v>
      </c>
      <c r="G87" s="503">
        <f t="shared" si="0"/>
        <v>0</v>
      </c>
      <c r="H87" s="354"/>
      <c r="I87" s="392">
        <f t="shared" si="1"/>
        <v>0</v>
      </c>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row>
    <row r="88" spans="1:51" ht="18">
      <c r="A88" s="385"/>
      <c r="B88" s="391" t="str">
        <f>Input!AR86</f>
        <v/>
      </c>
      <c r="C88" s="391">
        <f>DailyMet!N69</f>
        <v>0</v>
      </c>
      <c r="D88" s="392">
        <f>Input!AS86</f>
        <v>0</v>
      </c>
      <c r="E88" s="392">
        <f>Input!E86</f>
        <v>65</v>
      </c>
      <c r="F88" s="393">
        <f>Input!B86</f>
        <v>38051</v>
      </c>
      <c r="G88" s="503">
        <f t="shared" ref="G88:G151" si="2">IF(B88="",0,IF(H88&lt;&gt;"",IF(G87+B88-H88-C88&lt;0,0,G87+B88-H88-C88),IF(G87+B88-C88&lt;0,0,G87+B88-C88)))</f>
        <v>0</v>
      </c>
      <c r="H88" s="354"/>
      <c r="I88" s="392">
        <f t="shared" ref="I88:I151" si="3">IF(B88="",0,IF(D88-D87&lt;0,0,IF(I87+H88+C88&lt;0,0,I87+H88+C88)))</f>
        <v>0</v>
      </c>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row>
    <row r="89" spans="1:51" ht="18">
      <c r="A89" s="385"/>
      <c r="B89" s="391" t="str">
        <f>Input!AR87</f>
        <v/>
      </c>
      <c r="C89" s="391">
        <f>DailyMet!N70</f>
        <v>0</v>
      </c>
      <c r="D89" s="392">
        <f>Input!AS87</f>
        <v>0</v>
      </c>
      <c r="E89" s="392">
        <f>Input!E87</f>
        <v>66</v>
      </c>
      <c r="F89" s="393">
        <f>Input!B87</f>
        <v>38052</v>
      </c>
      <c r="G89" s="503">
        <f t="shared" si="2"/>
        <v>0</v>
      </c>
      <c r="H89" s="354"/>
      <c r="I89" s="392">
        <f t="shared" si="3"/>
        <v>0</v>
      </c>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row>
    <row r="90" spans="1:51" ht="18">
      <c r="A90" s="385"/>
      <c r="B90" s="391" t="str">
        <f>Input!AR88</f>
        <v/>
      </c>
      <c r="C90" s="391">
        <f>DailyMet!N71</f>
        <v>0</v>
      </c>
      <c r="D90" s="392">
        <f>Input!AS88</f>
        <v>0</v>
      </c>
      <c r="E90" s="392">
        <f>Input!E88</f>
        <v>67</v>
      </c>
      <c r="F90" s="393">
        <f>Input!B88</f>
        <v>38053</v>
      </c>
      <c r="G90" s="503">
        <f t="shared" si="2"/>
        <v>0</v>
      </c>
      <c r="H90" s="354"/>
      <c r="I90" s="392">
        <f t="shared" si="3"/>
        <v>0</v>
      </c>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row>
    <row r="91" spans="1:51" ht="18">
      <c r="A91" s="385"/>
      <c r="B91" s="391" t="str">
        <f>Input!AR89</f>
        <v/>
      </c>
      <c r="C91" s="391">
        <f>DailyMet!N72</f>
        <v>0</v>
      </c>
      <c r="D91" s="392">
        <f>Input!AS89</f>
        <v>0</v>
      </c>
      <c r="E91" s="392">
        <f>Input!E89</f>
        <v>68</v>
      </c>
      <c r="F91" s="393">
        <f>Input!B89</f>
        <v>38054</v>
      </c>
      <c r="G91" s="503">
        <f t="shared" si="2"/>
        <v>0</v>
      </c>
      <c r="H91" s="354"/>
      <c r="I91" s="392">
        <f t="shared" si="3"/>
        <v>0</v>
      </c>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row>
    <row r="92" spans="1:51" ht="18">
      <c r="A92" s="385"/>
      <c r="B92" s="391" t="str">
        <f>Input!AR90</f>
        <v/>
      </c>
      <c r="C92" s="391">
        <f>DailyMet!N73</f>
        <v>0</v>
      </c>
      <c r="D92" s="392">
        <f>Input!AS90</f>
        <v>0</v>
      </c>
      <c r="E92" s="392">
        <f>Input!E90</f>
        <v>69</v>
      </c>
      <c r="F92" s="393">
        <f>Input!B90</f>
        <v>38055</v>
      </c>
      <c r="G92" s="503">
        <f t="shared" si="2"/>
        <v>0</v>
      </c>
      <c r="H92" s="354"/>
      <c r="I92" s="392">
        <f t="shared" si="3"/>
        <v>0</v>
      </c>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row>
    <row r="93" spans="1:51" ht="18">
      <c r="A93" s="385"/>
      <c r="B93" s="391" t="str">
        <f>Input!AR91</f>
        <v/>
      </c>
      <c r="C93" s="391">
        <f>DailyMet!N74</f>
        <v>0</v>
      </c>
      <c r="D93" s="392">
        <f>Input!AS91</f>
        <v>0</v>
      </c>
      <c r="E93" s="392">
        <f>Input!E91</f>
        <v>70</v>
      </c>
      <c r="F93" s="393">
        <f>Input!B91</f>
        <v>38056</v>
      </c>
      <c r="G93" s="503">
        <f t="shared" si="2"/>
        <v>0</v>
      </c>
      <c r="H93" s="354"/>
      <c r="I93" s="392">
        <f t="shared" si="3"/>
        <v>0</v>
      </c>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row>
    <row r="94" spans="1:51" ht="18">
      <c r="A94" s="385"/>
      <c r="B94" s="391" t="str">
        <f>Input!AR92</f>
        <v/>
      </c>
      <c r="C94" s="391">
        <f>DailyMet!N75</f>
        <v>0</v>
      </c>
      <c r="D94" s="392">
        <f>Input!AS92</f>
        <v>0</v>
      </c>
      <c r="E94" s="392">
        <f>Input!E92</f>
        <v>71</v>
      </c>
      <c r="F94" s="393">
        <f>Input!B92</f>
        <v>38057</v>
      </c>
      <c r="G94" s="503">
        <f t="shared" si="2"/>
        <v>0</v>
      </c>
      <c r="H94" s="354"/>
      <c r="I94" s="392">
        <f t="shared" si="3"/>
        <v>0</v>
      </c>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row>
    <row r="95" spans="1:51" ht="18">
      <c r="A95" s="385"/>
      <c r="B95" s="391" t="str">
        <f>Input!AR93</f>
        <v/>
      </c>
      <c r="C95" s="391">
        <f>DailyMet!N76</f>
        <v>0</v>
      </c>
      <c r="D95" s="392">
        <f>Input!AS93</f>
        <v>0</v>
      </c>
      <c r="E95" s="392">
        <f>Input!E93</f>
        <v>72</v>
      </c>
      <c r="F95" s="393">
        <f>Input!B93</f>
        <v>38058</v>
      </c>
      <c r="G95" s="503">
        <f t="shared" si="2"/>
        <v>0</v>
      </c>
      <c r="H95" s="354"/>
      <c r="I95" s="392">
        <f t="shared" si="3"/>
        <v>0</v>
      </c>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row>
    <row r="96" spans="1:51" ht="18">
      <c r="A96" s="385"/>
      <c r="B96" s="391" t="str">
        <f>Input!AR94</f>
        <v/>
      </c>
      <c r="C96" s="391">
        <f>DailyMet!N77</f>
        <v>0</v>
      </c>
      <c r="D96" s="392">
        <f>Input!AS94</f>
        <v>0</v>
      </c>
      <c r="E96" s="392">
        <f>Input!E94</f>
        <v>73</v>
      </c>
      <c r="F96" s="393">
        <f>Input!B94</f>
        <v>38059</v>
      </c>
      <c r="G96" s="503">
        <f t="shared" si="2"/>
        <v>0</v>
      </c>
      <c r="H96" s="354"/>
      <c r="I96" s="392">
        <f t="shared" si="3"/>
        <v>0</v>
      </c>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row>
    <row r="97" spans="1:51" ht="18">
      <c r="A97" s="385"/>
      <c r="B97" s="391" t="str">
        <f>Input!AR95</f>
        <v/>
      </c>
      <c r="C97" s="391">
        <f>DailyMet!N78</f>
        <v>0</v>
      </c>
      <c r="D97" s="392">
        <f>Input!AS95</f>
        <v>0</v>
      </c>
      <c r="E97" s="392">
        <f>Input!E95</f>
        <v>74</v>
      </c>
      <c r="F97" s="393">
        <f>Input!B95</f>
        <v>38060</v>
      </c>
      <c r="G97" s="503">
        <f t="shared" si="2"/>
        <v>0</v>
      </c>
      <c r="H97" s="354"/>
      <c r="I97" s="392">
        <f t="shared" si="3"/>
        <v>0</v>
      </c>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row>
    <row r="98" spans="1:51" ht="18">
      <c r="A98" s="385"/>
      <c r="B98" s="391" t="str">
        <f>Input!AR96</f>
        <v/>
      </c>
      <c r="C98" s="391">
        <f>DailyMet!N79</f>
        <v>0</v>
      </c>
      <c r="D98" s="392">
        <f>Input!AS96</f>
        <v>0</v>
      </c>
      <c r="E98" s="392">
        <f>Input!E96</f>
        <v>75</v>
      </c>
      <c r="F98" s="393">
        <f>Input!B96</f>
        <v>38061</v>
      </c>
      <c r="G98" s="503">
        <f t="shared" si="2"/>
        <v>0</v>
      </c>
      <c r="H98" s="354"/>
      <c r="I98" s="392">
        <f t="shared" si="3"/>
        <v>0</v>
      </c>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row>
    <row r="99" spans="1:51" ht="18">
      <c r="A99" s="385"/>
      <c r="B99" s="391" t="str">
        <f>Input!AR97</f>
        <v/>
      </c>
      <c r="C99" s="391">
        <f>DailyMet!N80</f>
        <v>0</v>
      </c>
      <c r="D99" s="392">
        <f>Input!AS97</f>
        <v>0</v>
      </c>
      <c r="E99" s="392">
        <f>Input!E97</f>
        <v>76</v>
      </c>
      <c r="F99" s="393">
        <f>Input!B97</f>
        <v>38062</v>
      </c>
      <c r="G99" s="503">
        <f t="shared" si="2"/>
        <v>0</v>
      </c>
      <c r="H99" s="354"/>
      <c r="I99" s="392">
        <f t="shared" si="3"/>
        <v>0</v>
      </c>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row>
    <row r="100" spans="1:51" ht="18">
      <c r="A100" s="385"/>
      <c r="B100" s="391" t="str">
        <f>Input!AR98</f>
        <v/>
      </c>
      <c r="C100" s="391">
        <f>DailyMet!N81</f>
        <v>0</v>
      </c>
      <c r="D100" s="392">
        <f>Input!AS98</f>
        <v>0</v>
      </c>
      <c r="E100" s="392">
        <f>Input!E98</f>
        <v>77</v>
      </c>
      <c r="F100" s="393">
        <f>Input!B98</f>
        <v>38063</v>
      </c>
      <c r="G100" s="503">
        <f t="shared" si="2"/>
        <v>0</v>
      </c>
      <c r="H100" s="354"/>
      <c r="I100" s="392">
        <f t="shared" si="3"/>
        <v>0</v>
      </c>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row>
    <row r="101" spans="1:51" ht="18">
      <c r="A101" s="385"/>
      <c r="B101" s="391" t="str">
        <f>Input!AR99</f>
        <v/>
      </c>
      <c r="C101" s="391">
        <f>DailyMet!N82</f>
        <v>0.2</v>
      </c>
      <c r="D101" s="392">
        <f>Input!AS99</f>
        <v>0</v>
      </c>
      <c r="E101" s="392">
        <f>Input!E99</f>
        <v>78</v>
      </c>
      <c r="F101" s="393">
        <f>Input!B99</f>
        <v>38064</v>
      </c>
      <c r="G101" s="503">
        <f t="shared" si="2"/>
        <v>0</v>
      </c>
      <c r="H101" s="354"/>
      <c r="I101" s="392">
        <f t="shared" si="3"/>
        <v>0</v>
      </c>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row>
    <row r="102" spans="1:51" ht="18">
      <c r="A102" s="385"/>
      <c r="B102" s="391" t="str">
        <f>Input!AR100</f>
        <v/>
      </c>
      <c r="C102" s="391">
        <f>DailyMet!N83</f>
        <v>1.2</v>
      </c>
      <c r="D102" s="392">
        <f>Input!AS100</f>
        <v>0</v>
      </c>
      <c r="E102" s="392">
        <f>Input!E100</f>
        <v>79</v>
      </c>
      <c r="F102" s="393">
        <f>Input!B100</f>
        <v>38065</v>
      </c>
      <c r="G102" s="503">
        <f t="shared" si="2"/>
        <v>0</v>
      </c>
      <c r="H102" s="354"/>
      <c r="I102" s="392">
        <f t="shared" si="3"/>
        <v>0</v>
      </c>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row>
    <row r="103" spans="1:51" ht="18">
      <c r="A103" s="385"/>
      <c r="B103" s="391" t="str">
        <f>Input!AR101</f>
        <v/>
      </c>
      <c r="C103" s="391">
        <f>DailyMet!N84</f>
        <v>0.2</v>
      </c>
      <c r="D103" s="392">
        <f>Input!AS101</f>
        <v>0</v>
      </c>
      <c r="E103" s="392">
        <f>Input!E101</f>
        <v>80</v>
      </c>
      <c r="F103" s="393">
        <f>Input!B101</f>
        <v>38066</v>
      </c>
      <c r="G103" s="503">
        <f t="shared" si="2"/>
        <v>0</v>
      </c>
      <c r="H103" s="354"/>
      <c r="I103" s="392">
        <f t="shared" si="3"/>
        <v>0</v>
      </c>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row>
    <row r="104" spans="1:51" ht="18">
      <c r="A104" s="385"/>
      <c r="B104" s="391" t="str">
        <f>Input!AR102</f>
        <v/>
      </c>
      <c r="C104" s="391">
        <f>DailyMet!N85</f>
        <v>0</v>
      </c>
      <c r="D104" s="392">
        <f>Input!AS102</f>
        <v>0</v>
      </c>
      <c r="E104" s="392">
        <f>Input!E102</f>
        <v>81</v>
      </c>
      <c r="F104" s="393">
        <f>Input!B102</f>
        <v>38067</v>
      </c>
      <c r="G104" s="503">
        <f t="shared" si="2"/>
        <v>0</v>
      </c>
      <c r="H104" s="354"/>
      <c r="I104" s="392">
        <f t="shared" si="3"/>
        <v>0</v>
      </c>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row>
    <row r="105" spans="1:51" ht="18">
      <c r="A105" s="385"/>
      <c r="B105" s="391" t="str">
        <f>Input!AR103</f>
        <v/>
      </c>
      <c r="C105" s="391">
        <f>DailyMet!N86</f>
        <v>0</v>
      </c>
      <c r="D105" s="392">
        <f>Input!AS103</f>
        <v>0</v>
      </c>
      <c r="E105" s="392">
        <f>Input!E103</f>
        <v>82</v>
      </c>
      <c r="F105" s="393">
        <f>Input!B103</f>
        <v>38068</v>
      </c>
      <c r="G105" s="503">
        <f t="shared" si="2"/>
        <v>0</v>
      </c>
      <c r="H105" s="354"/>
      <c r="I105" s="392">
        <f t="shared" si="3"/>
        <v>0</v>
      </c>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row>
    <row r="106" spans="1:51" ht="18">
      <c r="A106" s="385"/>
      <c r="B106" s="391" t="str">
        <f>Input!AR104</f>
        <v/>
      </c>
      <c r="C106" s="391">
        <f>DailyMet!N87</f>
        <v>0</v>
      </c>
      <c r="D106" s="392">
        <f>Input!AS104</f>
        <v>0</v>
      </c>
      <c r="E106" s="392">
        <f>Input!E104</f>
        <v>83</v>
      </c>
      <c r="F106" s="393">
        <f>Input!B104</f>
        <v>38069</v>
      </c>
      <c r="G106" s="503">
        <f t="shared" si="2"/>
        <v>0</v>
      </c>
      <c r="H106" s="354"/>
      <c r="I106" s="392">
        <f t="shared" si="3"/>
        <v>0</v>
      </c>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row>
    <row r="107" spans="1:51" ht="18">
      <c r="A107" s="385"/>
      <c r="B107" s="391" t="str">
        <f>Input!AR105</f>
        <v/>
      </c>
      <c r="C107" s="391">
        <f>DailyMet!N88</f>
        <v>0</v>
      </c>
      <c r="D107" s="392">
        <f>Input!AS105</f>
        <v>0</v>
      </c>
      <c r="E107" s="392">
        <f>Input!E105</f>
        <v>84</v>
      </c>
      <c r="F107" s="393">
        <f>Input!B105</f>
        <v>38070</v>
      </c>
      <c r="G107" s="503">
        <f t="shared" si="2"/>
        <v>0</v>
      </c>
      <c r="H107" s="354"/>
      <c r="I107" s="392">
        <f t="shared" si="3"/>
        <v>0</v>
      </c>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row>
    <row r="108" spans="1:51" ht="18">
      <c r="A108" s="385"/>
      <c r="B108" s="391" t="str">
        <f>Input!AR106</f>
        <v/>
      </c>
      <c r="C108" s="391">
        <f>DailyMet!N89</f>
        <v>0</v>
      </c>
      <c r="D108" s="392">
        <f>Input!AS106</f>
        <v>0</v>
      </c>
      <c r="E108" s="392">
        <f>Input!E106</f>
        <v>85</v>
      </c>
      <c r="F108" s="393">
        <f>Input!B106</f>
        <v>38071</v>
      </c>
      <c r="G108" s="503">
        <f t="shared" si="2"/>
        <v>0</v>
      </c>
      <c r="H108" s="354"/>
      <c r="I108" s="392">
        <f t="shared" si="3"/>
        <v>0</v>
      </c>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row>
    <row r="109" spans="1:51" ht="18">
      <c r="A109" s="385"/>
      <c r="B109" s="391" t="str">
        <f>Input!AR107</f>
        <v/>
      </c>
      <c r="C109" s="391">
        <f>DailyMet!N90</f>
        <v>0</v>
      </c>
      <c r="D109" s="392">
        <f>Input!AS107</f>
        <v>0</v>
      </c>
      <c r="E109" s="392">
        <f>Input!E107</f>
        <v>86</v>
      </c>
      <c r="F109" s="393">
        <f>Input!B107</f>
        <v>38072</v>
      </c>
      <c r="G109" s="503">
        <f t="shared" si="2"/>
        <v>0</v>
      </c>
      <c r="H109" s="354"/>
      <c r="I109" s="392">
        <f t="shared" si="3"/>
        <v>0</v>
      </c>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row>
    <row r="110" spans="1:51" ht="18">
      <c r="A110" s="385"/>
      <c r="B110" s="391" t="str">
        <f>Input!AR108</f>
        <v/>
      </c>
      <c r="C110" s="391">
        <f>DailyMet!N91</f>
        <v>0</v>
      </c>
      <c r="D110" s="392">
        <f>Input!AS108</f>
        <v>0</v>
      </c>
      <c r="E110" s="392">
        <f>Input!E108</f>
        <v>87</v>
      </c>
      <c r="F110" s="393">
        <f>Input!B108</f>
        <v>38073</v>
      </c>
      <c r="G110" s="503">
        <f t="shared" si="2"/>
        <v>0</v>
      </c>
      <c r="H110" s="354"/>
      <c r="I110" s="392">
        <f t="shared" si="3"/>
        <v>0</v>
      </c>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row>
    <row r="111" spans="1:51" ht="18">
      <c r="A111" s="385"/>
      <c r="B111" s="391" t="str">
        <f>Input!AR109</f>
        <v/>
      </c>
      <c r="C111" s="391">
        <f>DailyMet!N92</f>
        <v>0</v>
      </c>
      <c r="D111" s="392">
        <f>Input!AS109</f>
        <v>0</v>
      </c>
      <c r="E111" s="392">
        <f>Input!E109</f>
        <v>88</v>
      </c>
      <c r="F111" s="393">
        <f>Input!B109</f>
        <v>38074</v>
      </c>
      <c r="G111" s="503">
        <f t="shared" si="2"/>
        <v>0</v>
      </c>
      <c r="H111" s="354"/>
      <c r="I111" s="392">
        <f t="shared" si="3"/>
        <v>0</v>
      </c>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row>
    <row r="112" spans="1:51" ht="18">
      <c r="A112" s="385"/>
      <c r="B112" s="391" t="str">
        <f>Input!AR110</f>
        <v/>
      </c>
      <c r="C112" s="391">
        <f>DailyMet!N93</f>
        <v>0</v>
      </c>
      <c r="D112" s="392">
        <f>Input!AS110</f>
        <v>0</v>
      </c>
      <c r="E112" s="392">
        <f>Input!E110</f>
        <v>89</v>
      </c>
      <c r="F112" s="393">
        <f>Input!B110</f>
        <v>38075</v>
      </c>
      <c r="G112" s="503">
        <f t="shared" si="2"/>
        <v>0</v>
      </c>
      <c r="H112" s="354"/>
      <c r="I112" s="392">
        <f t="shared" si="3"/>
        <v>0</v>
      </c>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row>
    <row r="113" spans="1:51" ht="18">
      <c r="A113" s="385"/>
      <c r="B113" s="391" t="str">
        <f>Input!AR111</f>
        <v/>
      </c>
      <c r="C113" s="391">
        <f>DailyMet!N94</f>
        <v>0</v>
      </c>
      <c r="D113" s="392">
        <f>Input!AS111</f>
        <v>0</v>
      </c>
      <c r="E113" s="392">
        <f>Input!E111</f>
        <v>90</v>
      </c>
      <c r="F113" s="393">
        <f>Input!B111</f>
        <v>38076</v>
      </c>
      <c r="G113" s="503">
        <f t="shared" si="2"/>
        <v>0</v>
      </c>
      <c r="H113" s="354"/>
      <c r="I113" s="392">
        <f t="shared" si="3"/>
        <v>0</v>
      </c>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row>
    <row r="114" spans="1:51" ht="18">
      <c r="A114" s="385"/>
      <c r="B114" s="391" t="str">
        <f>Input!AR112</f>
        <v/>
      </c>
      <c r="C114" s="391">
        <f>DailyMet!N95</f>
        <v>0</v>
      </c>
      <c r="D114" s="392">
        <f>Input!AS112</f>
        <v>0</v>
      </c>
      <c r="E114" s="392">
        <f>Input!E112</f>
        <v>91</v>
      </c>
      <c r="F114" s="393">
        <f>Input!B112</f>
        <v>38077</v>
      </c>
      <c r="G114" s="503">
        <f t="shared" si="2"/>
        <v>0</v>
      </c>
      <c r="H114" s="354"/>
      <c r="I114" s="392">
        <f t="shared" si="3"/>
        <v>0</v>
      </c>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row>
    <row r="115" spans="1:51" ht="18">
      <c r="A115" s="385"/>
      <c r="B115" s="391" t="str">
        <f>Input!AR113</f>
        <v/>
      </c>
      <c r="C115" s="391">
        <f>DailyMet!N96</f>
        <v>0</v>
      </c>
      <c r="D115" s="392">
        <f>Input!AS113</f>
        <v>0</v>
      </c>
      <c r="E115" s="392">
        <f>Input!E113</f>
        <v>92</v>
      </c>
      <c r="F115" s="393">
        <f>Input!B113</f>
        <v>38078</v>
      </c>
      <c r="G115" s="503">
        <f t="shared" si="2"/>
        <v>0</v>
      </c>
      <c r="H115" s="354"/>
      <c r="I115" s="392">
        <f t="shared" si="3"/>
        <v>0</v>
      </c>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row>
    <row r="116" spans="1:51" ht="18">
      <c r="A116" s="385"/>
      <c r="B116" s="391" t="str">
        <f>Input!AR114</f>
        <v/>
      </c>
      <c r="C116" s="391">
        <f>DailyMet!N97</f>
        <v>0</v>
      </c>
      <c r="D116" s="392">
        <f>Input!AS114</f>
        <v>0</v>
      </c>
      <c r="E116" s="392">
        <f>Input!E114</f>
        <v>93</v>
      </c>
      <c r="F116" s="393">
        <f>Input!B114</f>
        <v>38079</v>
      </c>
      <c r="G116" s="503">
        <f t="shared" si="2"/>
        <v>0</v>
      </c>
      <c r="H116" s="354"/>
      <c r="I116" s="392">
        <f t="shared" si="3"/>
        <v>0</v>
      </c>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row>
    <row r="117" spans="1:51" ht="18">
      <c r="A117" s="385"/>
      <c r="B117" s="391" t="str">
        <f>Input!AR115</f>
        <v/>
      </c>
      <c r="C117" s="391">
        <f>DailyMet!N98</f>
        <v>2</v>
      </c>
      <c r="D117" s="392">
        <f>Input!AS115</f>
        <v>0</v>
      </c>
      <c r="E117" s="392">
        <f>Input!E115</f>
        <v>94</v>
      </c>
      <c r="F117" s="393">
        <f>Input!B115</f>
        <v>38080</v>
      </c>
      <c r="G117" s="503">
        <f t="shared" si="2"/>
        <v>0</v>
      </c>
      <c r="H117" s="354"/>
      <c r="I117" s="392">
        <f t="shared" si="3"/>
        <v>0</v>
      </c>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row>
    <row r="118" spans="1:51" ht="18">
      <c r="A118" s="385"/>
      <c r="B118" s="391" t="str">
        <f>Input!AR116</f>
        <v/>
      </c>
      <c r="C118" s="391">
        <f>DailyMet!N99</f>
        <v>2.4</v>
      </c>
      <c r="D118" s="392">
        <f>Input!AS116</f>
        <v>0</v>
      </c>
      <c r="E118" s="392">
        <f>Input!E116</f>
        <v>95</v>
      </c>
      <c r="F118" s="393">
        <f>Input!B116</f>
        <v>38081</v>
      </c>
      <c r="G118" s="503">
        <f t="shared" si="2"/>
        <v>0</v>
      </c>
      <c r="H118" s="354"/>
      <c r="I118" s="392">
        <f t="shared" si="3"/>
        <v>0</v>
      </c>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row>
    <row r="119" spans="1:51" ht="18">
      <c r="A119" s="385"/>
      <c r="B119" s="391" t="str">
        <f>Input!AR117</f>
        <v/>
      </c>
      <c r="C119" s="391">
        <f>DailyMet!N100</f>
        <v>4</v>
      </c>
      <c r="D119" s="392">
        <f>Input!AS117</f>
        <v>0</v>
      </c>
      <c r="E119" s="392">
        <f>Input!E117</f>
        <v>96</v>
      </c>
      <c r="F119" s="393">
        <f>Input!B117</f>
        <v>38082</v>
      </c>
      <c r="G119" s="503">
        <f t="shared" si="2"/>
        <v>0</v>
      </c>
      <c r="H119" s="354"/>
      <c r="I119" s="392">
        <f t="shared" si="3"/>
        <v>0</v>
      </c>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row>
    <row r="120" spans="1:51" ht="18">
      <c r="A120" s="385"/>
      <c r="B120" s="391" t="str">
        <f>Input!AR118</f>
        <v/>
      </c>
      <c r="C120" s="391">
        <f>DailyMet!N101</f>
        <v>0.8</v>
      </c>
      <c r="D120" s="392">
        <f>Input!AS118</f>
        <v>0</v>
      </c>
      <c r="E120" s="392">
        <f>Input!E118</f>
        <v>97</v>
      </c>
      <c r="F120" s="393">
        <f>Input!B118</f>
        <v>38083</v>
      </c>
      <c r="G120" s="503">
        <f t="shared" si="2"/>
        <v>0</v>
      </c>
      <c r="H120" s="354"/>
      <c r="I120" s="392">
        <f t="shared" si="3"/>
        <v>0</v>
      </c>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row>
    <row r="121" spans="1:51" ht="18">
      <c r="A121" s="385"/>
      <c r="B121" s="391" t="str">
        <f>Input!AR119</f>
        <v/>
      </c>
      <c r="C121" s="391">
        <f>DailyMet!N102</f>
        <v>0</v>
      </c>
      <c r="D121" s="392">
        <f>Input!AS119</f>
        <v>0</v>
      </c>
      <c r="E121" s="392">
        <f>Input!E119</f>
        <v>98</v>
      </c>
      <c r="F121" s="393">
        <f>Input!B119</f>
        <v>38084</v>
      </c>
      <c r="G121" s="503">
        <f t="shared" si="2"/>
        <v>0</v>
      </c>
      <c r="H121" s="354"/>
      <c r="I121" s="392">
        <f t="shared" si="3"/>
        <v>0</v>
      </c>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row>
    <row r="122" spans="1:51" ht="18">
      <c r="A122" s="385"/>
      <c r="B122" s="391" t="str">
        <f>Input!AR120</f>
        <v/>
      </c>
      <c r="C122" s="391">
        <f>DailyMet!N103</f>
        <v>8</v>
      </c>
      <c r="D122" s="392">
        <f>Input!AS120</f>
        <v>0</v>
      </c>
      <c r="E122" s="392">
        <f>Input!E120</f>
        <v>99</v>
      </c>
      <c r="F122" s="393">
        <f>Input!B120</f>
        <v>38085</v>
      </c>
      <c r="G122" s="503">
        <f t="shared" si="2"/>
        <v>0</v>
      </c>
      <c r="H122" s="354"/>
      <c r="I122" s="392">
        <f t="shared" si="3"/>
        <v>0</v>
      </c>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row>
    <row r="123" spans="1:51" ht="18">
      <c r="A123" s="385"/>
      <c r="B123" s="391" t="str">
        <f>Input!AR121</f>
        <v/>
      </c>
      <c r="C123" s="391">
        <f>DailyMet!N104</f>
        <v>0</v>
      </c>
      <c r="D123" s="392">
        <f>Input!AS121</f>
        <v>0</v>
      </c>
      <c r="E123" s="392">
        <f>Input!E121</f>
        <v>100</v>
      </c>
      <c r="F123" s="393">
        <f>Input!B121</f>
        <v>38086</v>
      </c>
      <c r="G123" s="503">
        <f t="shared" si="2"/>
        <v>0</v>
      </c>
      <c r="H123" s="354"/>
      <c r="I123" s="392">
        <f t="shared" si="3"/>
        <v>0</v>
      </c>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row>
    <row r="124" spans="1:51" ht="18">
      <c r="A124" s="385"/>
      <c r="B124" s="391" t="str">
        <f>Input!AR122</f>
        <v/>
      </c>
      <c r="C124" s="391">
        <f>DailyMet!N105</f>
        <v>0.6</v>
      </c>
      <c r="D124" s="392">
        <f>Input!AS122</f>
        <v>0</v>
      </c>
      <c r="E124" s="392">
        <f>Input!E122</f>
        <v>101</v>
      </c>
      <c r="F124" s="393">
        <f>Input!B122</f>
        <v>38087</v>
      </c>
      <c r="G124" s="503">
        <f t="shared" si="2"/>
        <v>0</v>
      </c>
      <c r="H124" s="354"/>
      <c r="I124" s="392">
        <f t="shared" si="3"/>
        <v>0</v>
      </c>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row>
    <row r="125" spans="1:51" ht="18">
      <c r="A125" s="385"/>
      <c r="B125" s="391" t="str">
        <f>Input!AR123</f>
        <v/>
      </c>
      <c r="C125" s="391">
        <f>DailyMet!N106</f>
        <v>15</v>
      </c>
      <c r="D125" s="392">
        <f>Input!AS123</f>
        <v>0</v>
      </c>
      <c r="E125" s="392">
        <f>Input!E123</f>
        <v>102</v>
      </c>
      <c r="F125" s="393">
        <f>Input!B123</f>
        <v>38088</v>
      </c>
      <c r="G125" s="503">
        <f t="shared" si="2"/>
        <v>0</v>
      </c>
      <c r="H125" s="354"/>
      <c r="I125" s="392">
        <f t="shared" si="3"/>
        <v>0</v>
      </c>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row>
    <row r="126" spans="1:51" ht="18">
      <c r="A126" s="385"/>
      <c r="B126" s="391" t="str">
        <f>Input!AR124</f>
        <v/>
      </c>
      <c r="C126" s="391">
        <f>DailyMet!N107</f>
        <v>0</v>
      </c>
      <c r="D126" s="392">
        <f>Input!AS124</f>
        <v>0</v>
      </c>
      <c r="E126" s="392">
        <f>Input!E124</f>
        <v>103</v>
      </c>
      <c r="F126" s="393">
        <f>Input!B124</f>
        <v>38089</v>
      </c>
      <c r="G126" s="503">
        <f t="shared" si="2"/>
        <v>0</v>
      </c>
      <c r="H126" s="354"/>
      <c r="I126" s="392">
        <f t="shared" si="3"/>
        <v>0</v>
      </c>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row>
    <row r="127" spans="1:51" ht="18">
      <c r="A127" s="385"/>
      <c r="B127" s="391" t="str">
        <f>Input!AR125</f>
        <v/>
      </c>
      <c r="C127" s="391">
        <f>DailyMet!N108</f>
        <v>8.4</v>
      </c>
      <c r="D127" s="392">
        <f>Input!AS125</f>
        <v>0</v>
      </c>
      <c r="E127" s="392">
        <f>Input!E125</f>
        <v>104</v>
      </c>
      <c r="F127" s="393">
        <f>Input!B125</f>
        <v>38090</v>
      </c>
      <c r="G127" s="503">
        <f t="shared" si="2"/>
        <v>0</v>
      </c>
      <c r="H127" s="354"/>
      <c r="I127" s="392">
        <f t="shared" si="3"/>
        <v>0</v>
      </c>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row>
    <row r="128" spans="1:51" ht="18">
      <c r="A128" s="385"/>
      <c r="B128" s="391" t="str">
        <f>Input!AR126</f>
        <v/>
      </c>
      <c r="C128" s="391">
        <f>DailyMet!N109</f>
        <v>2.4</v>
      </c>
      <c r="D128" s="392">
        <f>Input!AS126</f>
        <v>0</v>
      </c>
      <c r="E128" s="392">
        <f>Input!E126</f>
        <v>105</v>
      </c>
      <c r="F128" s="393">
        <f>Input!B126</f>
        <v>38091</v>
      </c>
      <c r="G128" s="503">
        <f t="shared" si="2"/>
        <v>0</v>
      </c>
      <c r="H128" s="354"/>
      <c r="I128" s="392">
        <f t="shared" si="3"/>
        <v>0</v>
      </c>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row>
    <row r="129" spans="1:51" ht="18">
      <c r="A129" s="385"/>
      <c r="B129" s="391">
        <f>Input!AR127</f>
        <v>1.3809350269609995</v>
      </c>
      <c r="C129" s="391">
        <f>DailyMet!N110</f>
        <v>6</v>
      </c>
      <c r="D129" s="392">
        <f>Input!AS127</f>
        <v>1.3809350269609995</v>
      </c>
      <c r="E129" s="392">
        <f>Input!E127</f>
        <v>106</v>
      </c>
      <c r="F129" s="393">
        <f>Input!B127</f>
        <v>38092</v>
      </c>
      <c r="G129" s="503">
        <f t="shared" si="2"/>
        <v>0</v>
      </c>
      <c r="H129" s="354"/>
      <c r="I129" s="392">
        <f t="shared" si="3"/>
        <v>6</v>
      </c>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row>
    <row r="130" spans="1:51" ht="18">
      <c r="A130" s="385"/>
      <c r="B130" s="391">
        <f>Input!AR128</f>
        <v>0.6114194960951278</v>
      </c>
      <c r="C130" s="391">
        <f>DailyMet!N111</f>
        <v>7.6</v>
      </c>
      <c r="D130" s="392">
        <f>Input!AS128</f>
        <v>1.9923545230561273</v>
      </c>
      <c r="E130" s="392">
        <f>Input!E128</f>
        <v>107</v>
      </c>
      <c r="F130" s="393">
        <f>Input!B128</f>
        <v>38093</v>
      </c>
      <c r="G130" s="503">
        <f t="shared" si="2"/>
        <v>0</v>
      </c>
      <c r="H130" s="354"/>
      <c r="I130" s="392">
        <f t="shared" si="3"/>
        <v>13.6</v>
      </c>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c r="AU130" s="385"/>
      <c r="AV130" s="385"/>
      <c r="AW130" s="385"/>
      <c r="AX130" s="385"/>
      <c r="AY130" s="385"/>
    </row>
    <row r="131" spans="1:51" ht="18">
      <c r="A131" s="385"/>
      <c r="B131" s="391">
        <f>Input!AR129</f>
        <v>1.3543828458777694</v>
      </c>
      <c r="C131" s="391">
        <f>DailyMet!N112</f>
        <v>0.2</v>
      </c>
      <c r="D131" s="392">
        <f>Input!AS129</f>
        <v>3.3467373689338968</v>
      </c>
      <c r="E131" s="392">
        <f>Input!E129</f>
        <v>108</v>
      </c>
      <c r="F131" s="393">
        <f>Input!B129</f>
        <v>38094</v>
      </c>
      <c r="G131" s="503">
        <f t="shared" si="2"/>
        <v>1.1543828458777694</v>
      </c>
      <c r="H131" s="354"/>
      <c r="I131" s="392">
        <f t="shared" si="3"/>
        <v>13.799999999999999</v>
      </c>
      <c r="J131" s="385"/>
      <c r="K131" s="385"/>
      <c r="L131" s="385"/>
      <c r="M131" s="385"/>
      <c r="N131" s="385"/>
      <c r="O131" s="385"/>
      <c r="P131" s="385"/>
      <c r="Q131" s="385"/>
      <c r="R131" s="385"/>
      <c r="S131" s="385"/>
      <c r="T131" s="385"/>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c r="AU131" s="385"/>
      <c r="AV131" s="385"/>
      <c r="AW131" s="385"/>
      <c r="AX131" s="385"/>
      <c r="AY131" s="385"/>
    </row>
    <row r="132" spans="1:51" ht="18">
      <c r="A132" s="385"/>
      <c r="B132" s="391">
        <f>Input!AR130</f>
        <v>1.9038885138318942</v>
      </c>
      <c r="C132" s="391">
        <f>DailyMet!N113</f>
        <v>0.6</v>
      </c>
      <c r="D132" s="392">
        <f>Input!AS130</f>
        <v>5.2506258827657906</v>
      </c>
      <c r="E132" s="392">
        <f>Input!E130</f>
        <v>109</v>
      </c>
      <c r="F132" s="393">
        <f>Input!B130</f>
        <v>38095</v>
      </c>
      <c r="G132" s="503">
        <f t="shared" si="2"/>
        <v>2.4582713597096633</v>
      </c>
      <c r="H132" s="354"/>
      <c r="I132" s="392">
        <f t="shared" si="3"/>
        <v>14.399999999999999</v>
      </c>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c r="AU132" s="385"/>
      <c r="AV132" s="385"/>
      <c r="AW132" s="385"/>
      <c r="AX132" s="385"/>
      <c r="AY132" s="385"/>
    </row>
    <row r="133" spans="1:51" ht="18">
      <c r="A133" s="385"/>
      <c r="B133" s="391">
        <f>Input!AR131</f>
        <v>1.7204584675249575</v>
      </c>
      <c r="C133" s="391">
        <f>DailyMet!N114</f>
        <v>1.4</v>
      </c>
      <c r="D133" s="392">
        <f>Input!AS131</f>
        <v>6.9710843502907478</v>
      </c>
      <c r="E133" s="392">
        <f>Input!E131</f>
        <v>110</v>
      </c>
      <c r="F133" s="393">
        <f>Input!B131</f>
        <v>38096</v>
      </c>
      <c r="G133" s="503">
        <f t="shared" si="2"/>
        <v>2.778729827234621</v>
      </c>
      <c r="H133" s="354"/>
      <c r="I133" s="392">
        <f t="shared" si="3"/>
        <v>15.799999999999999</v>
      </c>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row>
    <row r="134" spans="1:51" ht="18">
      <c r="A134" s="385"/>
      <c r="B134" s="391">
        <f>Input!AR132</f>
        <v>1.9330787500851034</v>
      </c>
      <c r="C134" s="391">
        <f>DailyMet!N115</f>
        <v>3.2</v>
      </c>
      <c r="D134" s="392">
        <f>Input!AS132</f>
        <v>8.9041631003758503</v>
      </c>
      <c r="E134" s="392">
        <f>Input!E132</f>
        <v>111</v>
      </c>
      <c r="F134" s="393">
        <f>Input!B132</f>
        <v>38097</v>
      </c>
      <c r="G134" s="503">
        <f t="shared" si="2"/>
        <v>1.5118085773197238</v>
      </c>
      <c r="H134" s="354"/>
      <c r="I134" s="392">
        <f t="shared" si="3"/>
        <v>19</v>
      </c>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row>
    <row r="135" spans="1:51" ht="18">
      <c r="A135" s="385"/>
      <c r="B135" s="391">
        <f>Input!AR133</f>
        <v>2.0809843690761509</v>
      </c>
      <c r="C135" s="391">
        <f>DailyMet!N116</f>
        <v>0</v>
      </c>
      <c r="D135" s="392">
        <f>Input!AS133</f>
        <v>10.985147469452002</v>
      </c>
      <c r="E135" s="392">
        <f>Input!E133</f>
        <v>112</v>
      </c>
      <c r="F135" s="393">
        <f>Input!B133</f>
        <v>38098</v>
      </c>
      <c r="G135" s="503">
        <f t="shared" si="2"/>
        <v>3.5927929463958748</v>
      </c>
      <c r="H135" s="354"/>
      <c r="I135" s="392">
        <f t="shared" si="3"/>
        <v>19</v>
      </c>
      <c r="J135" s="385"/>
      <c r="K135" s="385"/>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row>
    <row r="136" spans="1:51" ht="18">
      <c r="A136" s="385"/>
      <c r="B136" s="391">
        <f>Input!AR134</f>
        <v>2.160268242861568</v>
      </c>
      <c r="C136" s="391">
        <f>DailyMet!N117</f>
        <v>0</v>
      </c>
      <c r="D136" s="392">
        <f>Input!AS134</f>
        <v>13.14541571231357</v>
      </c>
      <c r="E136" s="392">
        <f>Input!E134</f>
        <v>113</v>
      </c>
      <c r="F136" s="393">
        <f>Input!B134</f>
        <v>38099</v>
      </c>
      <c r="G136" s="503">
        <f t="shared" si="2"/>
        <v>5.7530611892574424</v>
      </c>
      <c r="H136" s="354"/>
      <c r="I136" s="392">
        <f t="shared" si="3"/>
        <v>19</v>
      </c>
      <c r="J136" s="385"/>
      <c r="K136" s="385"/>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c r="AU136" s="385"/>
      <c r="AV136" s="385"/>
      <c r="AW136" s="385"/>
      <c r="AX136" s="385"/>
      <c r="AY136" s="385"/>
    </row>
    <row r="137" spans="1:51" ht="18">
      <c r="A137" s="385"/>
      <c r="B137" s="391">
        <f>Input!AR135</f>
        <v>1.8563815108922199</v>
      </c>
      <c r="C137" s="391">
        <f>DailyMet!N118</f>
        <v>0</v>
      </c>
      <c r="D137" s="392">
        <f>Input!AS135</f>
        <v>15.00179722320579</v>
      </c>
      <c r="E137" s="392">
        <f>Input!E135</f>
        <v>114</v>
      </c>
      <c r="F137" s="393">
        <f>Input!B135</f>
        <v>38100</v>
      </c>
      <c r="G137" s="503">
        <f t="shared" si="2"/>
        <v>7.6094427001496623</v>
      </c>
      <c r="H137" s="354"/>
      <c r="I137" s="392">
        <f t="shared" si="3"/>
        <v>19</v>
      </c>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row>
    <row r="138" spans="1:51" ht="18">
      <c r="A138" s="385"/>
      <c r="B138" s="391">
        <f>Input!AR136</f>
        <v>1.4118073012779389</v>
      </c>
      <c r="C138" s="391">
        <f>DailyMet!N119</f>
        <v>0.6</v>
      </c>
      <c r="D138" s="392">
        <f>Input!AS136</f>
        <v>16.413604524483727</v>
      </c>
      <c r="E138" s="392">
        <f>Input!E136</f>
        <v>115</v>
      </c>
      <c r="F138" s="393">
        <f>Input!B136</f>
        <v>38101</v>
      </c>
      <c r="G138" s="503">
        <f t="shared" si="2"/>
        <v>8.4212500014276017</v>
      </c>
      <c r="H138" s="354"/>
      <c r="I138" s="392">
        <f t="shared" si="3"/>
        <v>19.600000000000001</v>
      </c>
      <c r="J138" s="385"/>
      <c r="K138" s="385"/>
      <c r="L138" s="385"/>
      <c r="M138" s="385"/>
      <c r="N138" s="385"/>
      <c r="O138" s="385"/>
      <c r="P138" s="385"/>
      <c r="Q138" s="385"/>
      <c r="R138" s="385"/>
      <c r="S138" s="385"/>
      <c r="T138" s="385"/>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c r="AU138" s="385"/>
      <c r="AV138" s="385"/>
      <c r="AW138" s="385"/>
      <c r="AX138" s="385"/>
      <c r="AY138" s="385"/>
    </row>
    <row r="139" spans="1:51" ht="18">
      <c r="A139" s="385"/>
      <c r="B139" s="391">
        <f>Input!AR137</f>
        <v>0.24819954705791353</v>
      </c>
      <c r="C139" s="391">
        <f>DailyMet!N120</f>
        <v>0</v>
      </c>
      <c r="D139" s="392">
        <f>Input!AS137</f>
        <v>16.661804071541642</v>
      </c>
      <c r="E139" s="392">
        <f>Input!E137</f>
        <v>116</v>
      </c>
      <c r="F139" s="393">
        <f>Input!B137</f>
        <v>38102</v>
      </c>
      <c r="G139" s="503">
        <f t="shared" si="2"/>
        <v>8.669449548485515</v>
      </c>
      <c r="H139" s="354"/>
      <c r="I139" s="392">
        <f t="shared" si="3"/>
        <v>19.600000000000001</v>
      </c>
      <c r="J139" s="385"/>
      <c r="K139" s="385"/>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c r="AU139" s="385"/>
      <c r="AV139" s="385"/>
      <c r="AW139" s="385"/>
      <c r="AX139" s="385"/>
      <c r="AY139" s="385"/>
    </row>
    <row r="140" spans="1:51" ht="18">
      <c r="A140" s="385"/>
      <c r="B140" s="391">
        <f>Input!AR138</f>
        <v>0.17104005929133084</v>
      </c>
      <c r="C140" s="391">
        <f>DailyMet!N121</f>
        <v>0</v>
      </c>
      <c r="D140" s="392">
        <f>Input!AS138</f>
        <v>16.832844130832974</v>
      </c>
      <c r="E140" s="392">
        <f>Input!E138</f>
        <v>117</v>
      </c>
      <c r="F140" s="393">
        <f>Input!B138</f>
        <v>38103</v>
      </c>
      <c r="G140" s="503">
        <f t="shared" si="2"/>
        <v>8.8404896077768456</v>
      </c>
      <c r="H140" s="354"/>
      <c r="I140" s="392">
        <f t="shared" si="3"/>
        <v>19.600000000000001</v>
      </c>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row>
    <row r="141" spans="1:51" ht="18">
      <c r="A141" s="385"/>
      <c r="B141" s="391">
        <f>Input!AR139</f>
        <v>0.12610197414174013</v>
      </c>
      <c r="C141" s="391">
        <f>DailyMet!N122</f>
        <v>0</v>
      </c>
      <c r="D141" s="392">
        <f>Input!AS139</f>
        <v>16.958946104974714</v>
      </c>
      <c r="E141" s="392">
        <f>Input!E139</f>
        <v>118</v>
      </c>
      <c r="F141" s="393">
        <f>Input!B139</f>
        <v>38104</v>
      </c>
      <c r="G141" s="503">
        <f t="shared" si="2"/>
        <v>8.9665915819185855</v>
      </c>
      <c r="H141" s="354"/>
      <c r="I141" s="392">
        <f t="shared" si="3"/>
        <v>19.600000000000001</v>
      </c>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row>
    <row r="142" spans="1:51" ht="18">
      <c r="A142" s="385"/>
      <c r="B142" s="391">
        <f>Input!AR140</f>
        <v>0.16107370768181761</v>
      </c>
      <c r="C142" s="391">
        <f>DailyMet!N123</f>
        <v>0</v>
      </c>
      <c r="D142" s="392">
        <f>Input!AS140</f>
        <v>17.120019812656533</v>
      </c>
      <c r="E142" s="392">
        <f>Input!E140</f>
        <v>119</v>
      </c>
      <c r="F142" s="393">
        <f>Input!B140</f>
        <v>38105</v>
      </c>
      <c r="G142" s="503">
        <f t="shared" si="2"/>
        <v>9.1276652896004027</v>
      </c>
      <c r="H142" s="354"/>
      <c r="I142" s="392">
        <f t="shared" si="3"/>
        <v>19.600000000000001</v>
      </c>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row>
    <row r="143" spans="1:51" ht="18">
      <c r="A143" s="385"/>
      <c r="B143" s="391">
        <f>Input!AR141</f>
        <v>0.14916044551107829</v>
      </c>
      <c r="C143" s="391">
        <f>DailyMet!N124</f>
        <v>0.8</v>
      </c>
      <c r="D143" s="392">
        <f>Input!AS141</f>
        <v>17.269180258167612</v>
      </c>
      <c r="E143" s="392">
        <f>Input!E141</f>
        <v>120</v>
      </c>
      <c r="F143" s="393">
        <f>Input!B141</f>
        <v>38106</v>
      </c>
      <c r="G143" s="503">
        <f t="shared" si="2"/>
        <v>8.4768257351114809</v>
      </c>
      <c r="H143" s="354"/>
      <c r="I143" s="392">
        <f t="shared" si="3"/>
        <v>20.400000000000002</v>
      </c>
      <c r="J143" s="385"/>
      <c r="K143" s="385"/>
      <c r="L143" s="385"/>
      <c r="M143" s="385"/>
      <c r="N143" s="385"/>
      <c r="O143" s="385"/>
      <c r="P143" s="385"/>
      <c r="Q143" s="385"/>
      <c r="R143" s="385"/>
      <c r="S143" s="385"/>
      <c r="T143" s="385"/>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row>
    <row r="144" spans="1:51" ht="18">
      <c r="A144" s="385"/>
      <c r="B144" s="391">
        <f>Input!AR142</f>
        <v>0.10506051909554019</v>
      </c>
      <c r="C144" s="391">
        <f>DailyMet!N125</f>
        <v>11.4</v>
      </c>
      <c r="D144" s="392">
        <f>Input!AS142</f>
        <v>17.374240777263154</v>
      </c>
      <c r="E144" s="392">
        <f>Input!E142</f>
        <v>121</v>
      </c>
      <c r="F144" s="393">
        <f>Input!B142</f>
        <v>38107</v>
      </c>
      <c r="G144" s="503">
        <f t="shared" si="2"/>
        <v>0</v>
      </c>
      <c r="H144" s="354"/>
      <c r="I144" s="392">
        <f t="shared" si="3"/>
        <v>31.800000000000004</v>
      </c>
      <c r="J144" s="385"/>
      <c r="K144" s="385"/>
      <c r="L144" s="385"/>
      <c r="M144" s="385"/>
      <c r="N144" s="385"/>
      <c r="O144" s="385"/>
      <c r="P144" s="385"/>
      <c r="Q144" s="385"/>
      <c r="R144" s="385"/>
      <c r="S144" s="385"/>
      <c r="T144" s="385"/>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row>
    <row r="145" spans="1:51" ht="18">
      <c r="A145" s="385"/>
      <c r="B145" s="391">
        <f>Input!AR143</f>
        <v>0.11900907273388682</v>
      </c>
      <c r="C145" s="391">
        <f>DailyMet!N126</f>
        <v>16</v>
      </c>
      <c r="D145" s="392">
        <f>Input!AS143</f>
        <v>17.493249849997042</v>
      </c>
      <c r="E145" s="392">
        <f>Input!E143</f>
        <v>122</v>
      </c>
      <c r="F145" s="393">
        <f>Input!B143</f>
        <v>38108</v>
      </c>
      <c r="G145" s="503">
        <f t="shared" si="2"/>
        <v>0</v>
      </c>
      <c r="H145" s="354"/>
      <c r="I145" s="392">
        <f t="shared" si="3"/>
        <v>47.800000000000004</v>
      </c>
      <c r="J145" s="385"/>
      <c r="K145" s="385"/>
      <c r="L145" s="385"/>
      <c r="M145" s="385"/>
      <c r="N145" s="385"/>
      <c r="O145" s="385"/>
      <c r="P145" s="385"/>
      <c r="Q145" s="385"/>
      <c r="R145" s="385"/>
      <c r="S145" s="385"/>
      <c r="T145" s="385"/>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c r="AU145" s="385"/>
      <c r="AV145" s="385"/>
      <c r="AW145" s="385"/>
      <c r="AX145" s="385"/>
      <c r="AY145" s="385"/>
    </row>
    <row r="146" spans="1:51" ht="18">
      <c r="A146" s="385"/>
      <c r="B146" s="391">
        <f>Input!AR144</f>
        <v>2.2020442531540567</v>
      </c>
      <c r="C146" s="391">
        <f>DailyMet!N127</f>
        <v>0</v>
      </c>
      <c r="D146" s="392">
        <f>Input!AS144</f>
        <v>19.695294103151099</v>
      </c>
      <c r="E146" s="392">
        <f>Input!E144</f>
        <v>123</v>
      </c>
      <c r="F146" s="393">
        <f>Input!B144</f>
        <v>38109</v>
      </c>
      <c r="G146" s="503">
        <f t="shared" si="2"/>
        <v>2.2020442531540567</v>
      </c>
      <c r="H146" s="354"/>
      <c r="I146" s="392">
        <f t="shared" si="3"/>
        <v>47.800000000000004</v>
      </c>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c r="AU146" s="385"/>
      <c r="AV146" s="385"/>
      <c r="AW146" s="385"/>
      <c r="AX146" s="385"/>
      <c r="AY146" s="385"/>
    </row>
    <row r="147" spans="1:51" ht="18">
      <c r="A147" s="385"/>
      <c r="B147" s="391">
        <f>Input!AR145</f>
        <v>2.6665270899782674</v>
      </c>
      <c r="C147" s="391">
        <f>DailyMet!N128</f>
        <v>0</v>
      </c>
      <c r="D147" s="392">
        <f>Input!AS145</f>
        <v>22.361821193129366</v>
      </c>
      <c r="E147" s="392">
        <f>Input!E145</f>
        <v>124</v>
      </c>
      <c r="F147" s="393">
        <f>Input!B145</f>
        <v>38110</v>
      </c>
      <c r="G147" s="503">
        <f t="shared" si="2"/>
        <v>4.8685713431323236</v>
      </c>
      <c r="H147" s="354"/>
      <c r="I147" s="392">
        <f t="shared" si="3"/>
        <v>47.800000000000004</v>
      </c>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c r="AT147" s="385"/>
      <c r="AU147" s="385"/>
      <c r="AV147" s="385"/>
      <c r="AW147" s="385"/>
      <c r="AX147" s="385"/>
      <c r="AY147" s="385"/>
    </row>
    <row r="148" spans="1:51" ht="18">
      <c r="A148" s="385"/>
      <c r="B148" s="391">
        <f>Input!AR146</f>
        <v>1.6099176392954964</v>
      </c>
      <c r="C148" s="391">
        <f>DailyMet!N129</f>
        <v>0</v>
      </c>
      <c r="D148" s="392">
        <f>Input!AS146</f>
        <v>23.971738832424862</v>
      </c>
      <c r="E148" s="392">
        <f>Input!E146</f>
        <v>125</v>
      </c>
      <c r="F148" s="393">
        <f>Input!B146</f>
        <v>38111</v>
      </c>
      <c r="G148" s="503">
        <f t="shared" si="2"/>
        <v>6.4784889824278196</v>
      </c>
      <c r="H148" s="354"/>
      <c r="I148" s="392">
        <f t="shared" si="3"/>
        <v>47.800000000000004</v>
      </c>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c r="AU148" s="385"/>
      <c r="AV148" s="385"/>
      <c r="AW148" s="385"/>
      <c r="AX148" s="385"/>
      <c r="AY148" s="385"/>
    </row>
    <row r="149" spans="1:51" ht="18">
      <c r="A149" s="385"/>
      <c r="B149" s="391">
        <f>Input!AR147</f>
        <v>2.3850831472798619</v>
      </c>
      <c r="C149" s="391">
        <f>DailyMet!N130</f>
        <v>0</v>
      </c>
      <c r="D149" s="392">
        <f>Input!AS147</f>
        <v>26.356821979704723</v>
      </c>
      <c r="E149" s="392">
        <f>Input!E147</f>
        <v>126</v>
      </c>
      <c r="F149" s="393">
        <f>Input!B147</f>
        <v>38112</v>
      </c>
      <c r="G149" s="503">
        <f t="shared" si="2"/>
        <v>8.8635721297076806</v>
      </c>
      <c r="H149" s="354"/>
      <c r="I149" s="392">
        <f t="shared" si="3"/>
        <v>47.800000000000004</v>
      </c>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row>
    <row r="150" spans="1:51" ht="18">
      <c r="A150" s="385"/>
      <c r="B150" s="391">
        <f>Input!AR148</f>
        <v>2.7248004406369382</v>
      </c>
      <c r="C150" s="391">
        <f>DailyMet!N131</f>
        <v>2.2000000000000002</v>
      </c>
      <c r="D150" s="392">
        <f>Input!AS148</f>
        <v>29.08162242034166</v>
      </c>
      <c r="E150" s="392">
        <f>Input!E148</f>
        <v>127</v>
      </c>
      <c r="F150" s="393">
        <f>Input!B148</f>
        <v>38113</v>
      </c>
      <c r="G150" s="503">
        <f t="shared" si="2"/>
        <v>9.3883725703446181</v>
      </c>
      <c r="H150" s="354"/>
      <c r="I150" s="392">
        <f t="shared" si="3"/>
        <v>50.000000000000007</v>
      </c>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c r="AU150" s="385"/>
      <c r="AV150" s="385"/>
      <c r="AW150" s="385"/>
      <c r="AX150" s="385"/>
      <c r="AY150" s="385"/>
    </row>
    <row r="151" spans="1:51" ht="18">
      <c r="A151" s="385"/>
      <c r="B151" s="391">
        <f>Input!AR149</f>
        <v>1.4926889644224468</v>
      </c>
      <c r="C151" s="391">
        <f>DailyMet!N132</f>
        <v>0</v>
      </c>
      <c r="D151" s="392">
        <f>Input!AS149</f>
        <v>30.574311384764105</v>
      </c>
      <c r="E151" s="392">
        <f>Input!E149</f>
        <v>128</v>
      </c>
      <c r="F151" s="393">
        <f>Input!B149</f>
        <v>38114</v>
      </c>
      <c r="G151" s="503">
        <f t="shared" si="2"/>
        <v>10.881061534767065</v>
      </c>
      <c r="H151" s="354"/>
      <c r="I151" s="392">
        <f t="shared" si="3"/>
        <v>50.000000000000007</v>
      </c>
      <c r="J151" s="385"/>
      <c r="K151" s="385"/>
      <c r="L151" s="385"/>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row>
    <row r="152" spans="1:51" ht="18">
      <c r="A152" s="385"/>
      <c r="B152" s="391">
        <f>Input!AR150</f>
        <v>1.335994969455131</v>
      </c>
      <c r="C152" s="391">
        <f>DailyMet!N133</f>
        <v>0</v>
      </c>
      <c r="D152" s="392">
        <f>Input!AS150</f>
        <v>31.910306354219237</v>
      </c>
      <c r="E152" s="392">
        <f>Input!E150</f>
        <v>129</v>
      </c>
      <c r="F152" s="393">
        <f>Input!B150</f>
        <v>38115</v>
      </c>
      <c r="G152" s="503">
        <f t="shared" ref="G152:G177" si="4">IF(B152="",0,IF(H152&lt;&gt;"",IF(G151+B152-H152-C152&lt;0,0,G151+B152-H152-C152),IF(G151+B152-C152&lt;0,0,G151+B152-C152)))</f>
        <v>12.217056504222196</v>
      </c>
      <c r="H152" s="354"/>
      <c r="I152" s="392">
        <f t="shared" ref="I152:I157" si="5">IF(B152="",0,IF(D152-D151&lt;0,0,IF(I151+H152+C152&lt;0,0,I151+H152+C152)))</f>
        <v>50.000000000000007</v>
      </c>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c r="AU152" s="385"/>
      <c r="AV152" s="385"/>
      <c r="AW152" s="385"/>
      <c r="AX152" s="385"/>
      <c r="AY152" s="385"/>
    </row>
    <row r="153" spans="1:51" ht="18">
      <c r="A153" s="385"/>
      <c r="B153" s="391">
        <f>Input!AR151</f>
        <v>2.3902130914393749</v>
      </c>
      <c r="C153" s="391">
        <f>DailyMet!N134</f>
        <v>0</v>
      </c>
      <c r="D153" s="392">
        <f>Input!AS151</f>
        <v>34.300519445658615</v>
      </c>
      <c r="E153" s="392">
        <f>Input!E151</f>
        <v>130</v>
      </c>
      <c r="F153" s="393">
        <f>Input!B151</f>
        <v>38116</v>
      </c>
      <c r="G153" s="503">
        <f t="shared" si="4"/>
        <v>14.60726959566157</v>
      </c>
      <c r="H153" s="354"/>
      <c r="I153" s="392">
        <f t="shared" si="5"/>
        <v>50.000000000000007</v>
      </c>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85"/>
      <c r="AW153" s="385"/>
      <c r="AX153" s="385"/>
      <c r="AY153" s="385"/>
    </row>
    <row r="154" spans="1:51" ht="18">
      <c r="A154" s="385"/>
      <c r="B154" s="391">
        <f>Input!AR152</f>
        <v>3.1265481159707345</v>
      </c>
      <c r="C154" s="391">
        <f>DailyMet!N135</f>
        <v>0</v>
      </c>
      <c r="D154" s="392">
        <f>Input!AS152</f>
        <v>37.42706756162935</v>
      </c>
      <c r="E154" s="392">
        <f>Input!E152</f>
        <v>131</v>
      </c>
      <c r="F154" s="393">
        <f>Input!B152</f>
        <v>38117</v>
      </c>
      <c r="G154" s="503">
        <f t="shared" si="4"/>
        <v>17.733817711632305</v>
      </c>
      <c r="H154" s="354"/>
      <c r="I154" s="392">
        <f t="shared" si="5"/>
        <v>50.000000000000007</v>
      </c>
      <c r="J154" s="385"/>
      <c r="K154" s="385"/>
      <c r="L154" s="385"/>
      <c r="M154" s="385"/>
      <c r="N154" s="385"/>
      <c r="O154" s="385"/>
      <c r="P154" s="385"/>
      <c r="Q154" s="385"/>
      <c r="R154" s="385"/>
      <c r="S154" s="385"/>
      <c r="T154" s="385"/>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U154" s="385"/>
      <c r="AV154" s="385"/>
      <c r="AW154" s="385"/>
      <c r="AX154" s="385"/>
      <c r="AY154" s="385"/>
    </row>
    <row r="155" spans="1:51" ht="18">
      <c r="A155" s="385"/>
      <c r="B155" s="391">
        <f>Input!AR153</f>
        <v>2.9757165168869055</v>
      </c>
      <c r="C155" s="391">
        <f>DailyMet!N136</f>
        <v>0</v>
      </c>
      <c r="D155" s="392">
        <f>Input!AS153</f>
        <v>40.402784078516255</v>
      </c>
      <c r="E155" s="392">
        <f>Input!E153</f>
        <v>132</v>
      </c>
      <c r="F155" s="393">
        <f>Input!B153</f>
        <v>38118</v>
      </c>
      <c r="G155" s="503">
        <f t="shared" si="4"/>
        <v>20.70953422851921</v>
      </c>
      <c r="H155" s="354"/>
      <c r="I155" s="392">
        <f t="shared" si="5"/>
        <v>50.000000000000007</v>
      </c>
      <c r="J155" s="385"/>
      <c r="K155" s="385"/>
      <c r="L155" s="385"/>
      <c r="M155" s="385"/>
      <c r="N155" s="385"/>
      <c r="O155" s="385"/>
      <c r="P155" s="385"/>
      <c r="Q155" s="385"/>
      <c r="R155" s="385"/>
      <c r="S155" s="385"/>
      <c r="T155" s="385"/>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U155" s="385"/>
      <c r="AV155" s="385"/>
      <c r="AW155" s="385"/>
      <c r="AX155" s="385"/>
      <c r="AY155" s="385"/>
    </row>
    <row r="156" spans="1:51" ht="18">
      <c r="A156" s="385"/>
      <c r="B156" s="391">
        <f>Input!AR154</f>
        <v>3.2158861242979855</v>
      </c>
      <c r="C156" s="391">
        <f>DailyMet!N137</f>
        <v>0</v>
      </c>
      <c r="D156" s="392">
        <f>Input!AS154</f>
        <v>43.618670202814243</v>
      </c>
      <c r="E156" s="392">
        <f>Input!E154</f>
        <v>133</v>
      </c>
      <c r="F156" s="393">
        <f>Input!B154</f>
        <v>38119</v>
      </c>
      <c r="G156" s="503">
        <f t="shared" si="4"/>
        <v>23.925420352817195</v>
      </c>
      <c r="H156" s="354"/>
      <c r="I156" s="392">
        <f t="shared" si="5"/>
        <v>50.000000000000007</v>
      </c>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c r="AU156" s="385"/>
      <c r="AV156" s="385"/>
      <c r="AW156" s="385"/>
      <c r="AX156" s="385"/>
      <c r="AY156" s="385"/>
    </row>
    <row r="157" spans="1:51" ht="18">
      <c r="A157" s="385"/>
      <c r="B157" s="391">
        <f>Input!AR155</f>
        <v>2.2475489925620562</v>
      </c>
      <c r="C157" s="391">
        <f>DailyMet!N138</f>
        <v>9.8000000000000007</v>
      </c>
      <c r="D157" s="392">
        <f>Input!AS155</f>
        <v>45.866219195376303</v>
      </c>
      <c r="E157" s="392">
        <f>Input!E155</f>
        <v>134</v>
      </c>
      <c r="F157" s="393">
        <f>Input!B155</f>
        <v>38120</v>
      </c>
      <c r="G157" s="503">
        <f t="shared" si="4"/>
        <v>16.37296934537925</v>
      </c>
      <c r="H157" s="354"/>
      <c r="I157" s="392">
        <f t="shared" si="5"/>
        <v>59.800000000000011</v>
      </c>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row>
    <row r="158" spans="1:51" ht="18">
      <c r="A158" s="385"/>
      <c r="B158" s="391">
        <f>Input!AR156</f>
        <v>2.0356842975997695</v>
      </c>
      <c r="C158" s="391">
        <f>DailyMet!N139</f>
        <v>0</v>
      </c>
      <c r="D158" s="392">
        <f>Input!AS156</f>
        <v>47.901903492976075</v>
      </c>
      <c r="E158" s="392">
        <f>Input!E156</f>
        <v>135</v>
      </c>
      <c r="F158" s="393">
        <f>Input!B156</f>
        <v>38121</v>
      </c>
      <c r="G158" s="503">
        <f t="shared" si="4"/>
        <v>18.408653642979019</v>
      </c>
      <c r="H158" s="354"/>
      <c r="I158" s="392">
        <f>IF(B158="",0,IF(D158-D157&lt;0,0,IF(I157+H158+C158&lt;0,0,I157+H158+C158)))</f>
        <v>59.800000000000011</v>
      </c>
      <c r="J158" s="385"/>
      <c r="K158" s="385"/>
      <c r="L158" s="385"/>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c r="AU158" s="385"/>
      <c r="AV158" s="385"/>
      <c r="AW158" s="385"/>
      <c r="AX158" s="385"/>
      <c r="AY158" s="385"/>
    </row>
    <row r="159" spans="1:51" ht="18">
      <c r="A159" s="385"/>
      <c r="B159" s="391">
        <f>Input!AR157</f>
        <v>2.1774193371752197</v>
      </c>
      <c r="C159" s="391">
        <f>DailyMet!N140</f>
        <v>0</v>
      </c>
      <c r="D159" s="392">
        <f>Input!AS157</f>
        <v>50.079322830151298</v>
      </c>
      <c r="E159" s="392">
        <f>Input!E157</f>
        <v>136</v>
      </c>
      <c r="F159" s="393">
        <f>Input!B157</f>
        <v>38122</v>
      </c>
      <c r="G159" s="503">
        <f t="shared" si="4"/>
        <v>20.586072980154238</v>
      </c>
      <c r="H159" s="354"/>
      <c r="I159" s="392">
        <f t="shared" ref="I159:I222" si="6">IF(B159="",0,IF(D159-D158&lt;0,0,IF(I158+H159+C159&lt;0,0,I158+H159+C159)))</f>
        <v>59.800000000000011</v>
      </c>
      <c r="J159" s="385"/>
      <c r="K159" s="385"/>
      <c r="L159" s="385"/>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85"/>
      <c r="AW159" s="385"/>
      <c r="AX159" s="385"/>
      <c r="AY159" s="385"/>
    </row>
    <row r="160" spans="1:51" ht="18">
      <c r="A160" s="385"/>
      <c r="B160" s="391">
        <f>Input!AR158</f>
        <v>2.1539367121302959</v>
      </c>
      <c r="C160" s="391">
        <f>DailyMet!N141</f>
        <v>1</v>
      </c>
      <c r="D160" s="392">
        <f>Input!AS158</f>
        <v>52.233259542281594</v>
      </c>
      <c r="E160" s="392">
        <f>Input!E158</f>
        <v>137</v>
      </c>
      <c r="F160" s="393">
        <f>Input!B158</f>
        <v>38123</v>
      </c>
      <c r="G160" s="503">
        <f t="shared" si="4"/>
        <v>21.740009692284534</v>
      </c>
      <c r="H160" s="354"/>
      <c r="I160" s="392">
        <f t="shared" si="6"/>
        <v>60.800000000000011</v>
      </c>
      <c r="J160" s="385"/>
      <c r="K160" s="385"/>
      <c r="L160" s="385"/>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row>
    <row r="161" spans="1:51" ht="18">
      <c r="A161" s="385"/>
      <c r="B161" s="391">
        <f>Input!AR159</f>
        <v>1.7558511925512774</v>
      </c>
      <c r="C161" s="391">
        <f>DailyMet!N142</f>
        <v>0</v>
      </c>
      <c r="D161" s="392">
        <f>Input!AS159</f>
        <v>53.98911073483287</v>
      </c>
      <c r="E161" s="392">
        <f>Input!E159</f>
        <v>138</v>
      </c>
      <c r="F161" s="393">
        <f>Input!B159</f>
        <v>38124</v>
      </c>
      <c r="G161" s="503">
        <f t="shared" si="4"/>
        <v>23.49586088483581</v>
      </c>
      <c r="H161" s="354"/>
      <c r="I161" s="392">
        <f t="shared" si="6"/>
        <v>60.800000000000011</v>
      </c>
      <c r="J161" s="385"/>
      <c r="K161" s="385"/>
      <c r="L161" s="385"/>
      <c r="M161" s="385"/>
      <c r="N161" s="385"/>
      <c r="O161" s="385"/>
      <c r="P161" s="385"/>
      <c r="Q161" s="385"/>
      <c r="R161" s="385"/>
      <c r="S161" s="385"/>
      <c r="T161" s="385"/>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c r="AU161" s="385"/>
      <c r="AV161" s="385"/>
      <c r="AW161" s="385"/>
      <c r="AX161" s="385"/>
      <c r="AY161" s="385"/>
    </row>
    <row r="162" spans="1:51" ht="18">
      <c r="A162" s="385"/>
      <c r="B162" s="391">
        <f>Input!AR160</f>
        <v>2.5575793681647356</v>
      </c>
      <c r="C162" s="391">
        <f>DailyMet!N143</f>
        <v>0</v>
      </c>
      <c r="D162" s="392">
        <f>Input!AS160</f>
        <v>56.546690102997609</v>
      </c>
      <c r="E162" s="392">
        <f>Input!E160</f>
        <v>139</v>
      </c>
      <c r="F162" s="393">
        <f>Input!B160</f>
        <v>38125</v>
      </c>
      <c r="G162" s="503">
        <f t="shared" si="4"/>
        <v>26.053440253000545</v>
      </c>
      <c r="H162" s="354"/>
      <c r="I162" s="392">
        <f t="shared" si="6"/>
        <v>60.800000000000011</v>
      </c>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row>
    <row r="163" spans="1:51" ht="18">
      <c r="A163" s="385"/>
      <c r="B163" s="391">
        <f>Input!AR161</f>
        <v>1.8538178814325716</v>
      </c>
      <c r="C163" s="391">
        <f>DailyMet!N144</f>
        <v>0.2</v>
      </c>
      <c r="D163" s="392">
        <f>Input!AS161</f>
        <v>58.400507984430178</v>
      </c>
      <c r="E163" s="392">
        <f>Input!E161</f>
        <v>140</v>
      </c>
      <c r="F163" s="393">
        <f>Input!B161</f>
        <v>38126</v>
      </c>
      <c r="G163" s="503">
        <f t="shared" si="4"/>
        <v>27.707258134433118</v>
      </c>
      <c r="H163" s="354"/>
      <c r="I163" s="392">
        <f t="shared" si="6"/>
        <v>61.000000000000014</v>
      </c>
      <c r="J163" s="385"/>
      <c r="K163" s="385"/>
      <c r="L163" s="385"/>
      <c r="M163" s="385"/>
      <c r="N163" s="385"/>
      <c r="O163" s="385"/>
      <c r="P163" s="385"/>
      <c r="Q163" s="385"/>
      <c r="R163" s="385"/>
      <c r="S163" s="385"/>
      <c r="T163" s="385"/>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c r="AU163" s="385"/>
      <c r="AV163" s="385"/>
      <c r="AW163" s="385"/>
      <c r="AX163" s="385"/>
      <c r="AY163" s="385"/>
    </row>
    <row r="164" spans="1:51" ht="18">
      <c r="A164" s="385"/>
      <c r="B164" s="391">
        <f>Input!AR162</f>
        <v>1.9027694774570425</v>
      </c>
      <c r="C164" s="391">
        <f>DailyMet!N145</f>
        <v>0</v>
      </c>
      <c r="D164" s="392">
        <f>Input!AS162</f>
        <v>60.30327746188722</v>
      </c>
      <c r="E164" s="392">
        <f>Input!E162</f>
        <v>141</v>
      </c>
      <c r="F164" s="393">
        <f>Input!B162</f>
        <v>38127</v>
      </c>
      <c r="G164" s="503">
        <f t="shared" si="4"/>
        <v>29.61002761189016</v>
      </c>
      <c r="H164" s="354"/>
      <c r="I164" s="392">
        <f t="shared" si="6"/>
        <v>61.000000000000014</v>
      </c>
      <c r="J164" s="385"/>
      <c r="K164" s="385"/>
      <c r="L164" s="385"/>
      <c r="M164" s="385"/>
      <c r="N164" s="385"/>
      <c r="O164" s="385"/>
      <c r="P164" s="385"/>
      <c r="Q164" s="385"/>
      <c r="R164" s="385"/>
      <c r="S164" s="385"/>
      <c r="T164" s="385"/>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c r="AU164" s="385"/>
      <c r="AV164" s="385"/>
      <c r="AW164" s="385"/>
      <c r="AX164" s="385"/>
      <c r="AY164" s="385"/>
    </row>
    <row r="165" spans="1:51" ht="18">
      <c r="A165" s="385"/>
      <c r="B165" s="391">
        <f>Input!AR163</f>
        <v>2.2071360117605878</v>
      </c>
      <c r="C165" s="391">
        <f>DailyMet!N146</f>
        <v>0</v>
      </c>
      <c r="D165" s="392">
        <f>Input!AS163</f>
        <v>62.510413473647809</v>
      </c>
      <c r="E165" s="392">
        <f>Input!E163</f>
        <v>142</v>
      </c>
      <c r="F165" s="393">
        <f>Input!B163</f>
        <v>38128</v>
      </c>
      <c r="G165" s="503">
        <f t="shared" si="4"/>
        <v>31.81716362365075</v>
      </c>
      <c r="H165" s="354"/>
      <c r="I165" s="392">
        <f t="shared" si="6"/>
        <v>61.000000000000014</v>
      </c>
      <c r="J165" s="385"/>
      <c r="K165" s="385"/>
      <c r="L165" s="385"/>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c r="AU165" s="385"/>
      <c r="AV165" s="385"/>
      <c r="AW165" s="385"/>
      <c r="AX165" s="385"/>
      <c r="AY165" s="385"/>
    </row>
    <row r="166" spans="1:51" ht="18">
      <c r="A166" s="385"/>
      <c r="B166" s="391">
        <f>Input!AR164</f>
        <v>1.673806154979562</v>
      </c>
      <c r="C166" s="391">
        <f>DailyMet!N147</f>
        <v>0.2</v>
      </c>
      <c r="D166" s="392">
        <f>Input!AS164</f>
        <v>64.184219628627375</v>
      </c>
      <c r="E166" s="392">
        <f>Input!E164</f>
        <v>143</v>
      </c>
      <c r="F166" s="393">
        <f>Input!B164</f>
        <v>38129</v>
      </c>
      <c r="G166" s="503">
        <f t="shared" si="4"/>
        <v>33.290969778630306</v>
      </c>
      <c r="H166" s="354"/>
      <c r="I166" s="392">
        <f t="shared" si="6"/>
        <v>61.200000000000017</v>
      </c>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c r="AU166" s="385"/>
      <c r="AV166" s="385"/>
      <c r="AW166" s="385"/>
      <c r="AX166" s="385"/>
      <c r="AY166" s="385"/>
    </row>
    <row r="167" spans="1:51" ht="18">
      <c r="A167" s="385"/>
      <c r="B167" s="391">
        <f>Input!AR165</f>
        <v>2.7998513967646406</v>
      </c>
      <c r="C167" s="391">
        <f>DailyMet!N148</f>
        <v>0.2</v>
      </c>
      <c r="D167" s="392">
        <f>Input!AS165</f>
        <v>66.984071025392012</v>
      </c>
      <c r="E167" s="392">
        <f>Input!E165</f>
        <v>144</v>
      </c>
      <c r="F167" s="393">
        <f>Input!B165</f>
        <v>38130</v>
      </c>
      <c r="G167" s="503">
        <f t="shared" si="4"/>
        <v>35.89082117539494</v>
      </c>
      <c r="H167" s="354"/>
      <c r="I167" s="392">
        <f t="shared" si="6"/>
        <v>61.40000000000002</v>
      </c>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c r="AU167" s="385"/>
      <c r="AV167" s="385"/>
      <c r="AW167" s="385"/>
      <c r="AX167" s="385"/>
      <c r="AY167" s="385"/>
    </row>
    <row r="168" spans="1:51" ht="18">
      <c r="A168" s="385"/>
      <c r="B168" s="391">
        <f>Input!AR166</f>
        <v>3.1156856358282368</v>
      </c>
      <c r="C168" s="391">
        <f>DailyMet!N149</f>
        <v>6.6</v>
      </c>
      <c r="D168" s="392">
        <f>Input!AS166</f>
        <v>70.099756661220255</v>
      </c>
      <c r="E168" s="392">
        <f>Input!E166</f>
        <v>145</v>
      </c>
      <c r="F168" s="393">
        <f>Input!B166</f>
        <v>38131</v>
      </c>
      <c r="G168" s="503">
        <f t="shared" si="4"/>
        <v>32.406506811223174</v>
      </c>
      <c r="H168" s="354"/>
      <c r="I168" s="392">
        <f t="shared" si="6"/>
        <v>68.000000000000014</v>
      </c>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row>
    <row r="169" spans="1:51" ht="18">
      <c r="A169" s="385"/>
      <c r="B169" s="391">
        <f>Input!AR167</f>
        <v>2.7993005708498315</v>
      </c>
      <c r="C169" s="391">
        <f>DailyMet!N150</f>
        <v>5.2</v>
      </c>
      <c r="D169" s="392">
        <f>Input!AS167</f>
        <v>72.899057232070092</v>
      </c>
      <c r="E169" s="392">
        <f>Input!E167</f>
        <v>146</v>
      </c>
      <c r="F169" s="393">
        <f>Input!B167</f>
        <v>38132</v>
      </c>
      <c r="G169" s="503">
        <f t="shared" si="4"/>
        <v>30.005807382073005</v>
      </c>
      <c r="H169" s="354"/>
      <c r="I169" s="392">
        <f t="shared" si="6"/>
        <v>73.200000000000017</v>
      </c>
      <c r="J169" s="385"/>
      <c r="K169" s="385"/>
      <c r="L169" s="385"/>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row>
    <row r="170" spans="1:51" ht="18">
      <c r="A170" s="385"/>
      <c r="B170" s="391">
        <f>Input!AR168</f>
        <v>2.7610095673955763</v>
      </c>
      <c r="C170" s="391">
        <f>DailyMet!N151</f>
        <v>0</v>
      </c>
      <c r="D170" s="392">
        <f>Input!AS168</f>
        <v>75.660066799465667</v>
      </c>
      <c r="E170" s="392">
        <f>Input!E168</f>
        <v>147</v>
      </c>
      <c r="F170" s="393">
        <f>Input!B168</f>
        <v>38133</v>
      </c>
      <c r="G170" s="503">
        <f t="shared" si="4"/>
        <v>32.766816949468584</v>
      </c>
      <c r="H170" s="354"/>
      <c r="I170" s="392">
        <f t="shared" si="6"/>
        <v>73.200000000000017</v>
      </c>
      <c r="J170" s="385"/>
      <c r="K170" s="385"/>
      <c r="L170" s="385"/>
      <c r="M170" s="385"/>
      <c r="N170" s="385"/>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row>
    <row r="171" spans="1:51" ht="18">
      <c r="A171" s="385"/>
      <c r="B171" s="391">
        <f>Input!AR169</f>
        <v>2.4540284610187517</v>
      </c>
      <c r="C171" s="391">
        <f>DailyMet!N152</f>
        <v>0</v>
      </c>
      <c r="D171" s="392">
        <f>Input!AS169</f>
        <v>78.114095260484419</v>
      </c>
      <c r="E171" s="392">
        <f>Input!E169</f>
        <v>148</v>
      </c>
      <c r="F171" s="393">
        <f>Input!B169</f>
        <v>38134</v>
      </c>
      <c r="G171" s="503">
        <f t="shared" si="4"/>
        <v>35.220845410487335</v>
      </c>
      <c r="H171" s="354"/>
      <c r="I171" s="392">
        <f t="shared" si="6"/>
        <v>73.200000000000017</v>
      </c>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row>
    <row r="172" spans="1:51" ht="18">
      <c r="A172" s="385"/>
      <c r="B172" s="391">
        <f>Input!AR170</f>
        <v>2.8714203378880958</v>
      </c>
      <c r="C172" s="391">
        <f>DailyMet!N153</f>
        <v>0</v>
      </c>
      <c r="D172" s="392">
        <f>Input!AS170</f>
        <v>80.985515598372515</v>
      </c>
      <c r="E172" s="392">
        <f>Input!E170</f>
        <v>149</v>
      </c>
      <c r="F172" s="393">
        <f>Input!B170</f>
        <v>38135</v>
      </c>
      <c r="G172" s="503">
        <f t="shared" si="4"/>
        <v>38.092265748375432</v>
      </c>
      <c r="H172" s="354"/>
      <c r="I172" s="392">
        <f t="shared" si="6"/>
        <v>73.200000000000017</v>
      </c>
      <c r="J172" s="385"/>
      <c r="K172" s="385"/>
      <c r="L172" s="385"/>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row>
    <row r="173" spans="1:51" ht="18">
      <c r="A173" s="385"/>
      <c r="B173" s="391">
        <f>Input!AR171</f>
        <v>3.5309719581410337</v>
      </c>
      <c r="C173" s="391">
        <f>DailyMet!N154</f>
        <v>0.2</v>
      </c>
      <c r="D173" s="392">
        <f>Input!AS171</f>
        <v>84.516487556513553</v>
      </c>
      <c r="E173" s="392">
        <f>Input!E171</f>
        <v>150</v>
      </c>
      <c r="F173" s="393">
        <f>Input!B171</f>
        <v>38136</v>
      </c>
      <c r="G173" s="503">
        <f t="shared" si="4"/>
        <v>41.42323770651646</v>
      </c>
      <c r="H173" s="354"/>
      <c r="I173" s="392">
        <f t="shared" si="6"/>
        <v>73.40000000000002</v>
      </c>
      <c r="J173" s="385"/>
      <c r="K173" s="385"/>
      <c r="L173" s="385"/>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s="385"/>
      <c r="AW173" s="385"/>
      <c r="AX173" s="385"/>
      <c r="AY173" s="385"/>
    </row>
    <row r="174" spans="1:51" ht="18">
      <c r="A174" s="385"/>
      <c r="B174" s="391">
        <f>Input!AR172</f>
        <v>3.1752049630147319</v>
      </c>
      <c r="C174" s="391">
        <f>DailyMet!N155</f>
        <v>0</v>
      </c>
      <c r="D174" s="392">
        <f>Input!AS172</f>
        <v>87.691692519528289</v>
      </c>
      <c r="E174" s="392">
        <f>Input!E172</f>
        <v>151</v>
      </c>
      <c r="F174" s="393">
        <f>Input!B172</f>
        <v>38137</v>
      </c>
      <c r="G174" s="503">
        <f t="shared" si="4"/>
        <v>44.598442669531195</v>
      </c>
      <c r="H174" s="354"/>
      <c r="I174" s="392">
        <f t="shared" si="6"/>
        <v>73.40000000000002</v>
      </c>
      <c r="J174" s="385"/>
      <c r="K174" s="385"/>
      <c r="L174" s="385"/>
      <c r="M174" s="385"/>
      <c r="N174" s="385"/>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c r="AU174" s="385"/>
      <c r="AV174" s="385"/>
      <c r="AW174" s="385"/>
      <c r="AX174" s="385"/>
      <c r="AY174" s="385"/>
    </row>
    <row r="175" spans="1:51" ht="18">
      <c r="A175" s="385"/>
      <c r="B175" s="391">
        <f>Input!AR173</f>
        <v>3.5124922720849283</v>
      </c>
      <c r="C175" s="391">
        <f>DailyMet!N156</f>
        <v>0</v>
      </c>
      <c r="D175" s="392">
        <f>Input!AS173</f>
        <v>91.204184791613216</v>
      </c>
      <c r="E175" s="392">
        <f>Input!E173</f>
        <v>152</v>
      </c>
      <c r="F175" s="393">
        <f>Input!B173</f>
        <v>38138</v>
      </c>
      <c r="G175" s="503">
        <f t="shared" si="4"/>
        <v>48.110934941616122</v>
      </c>
      <c r="H175" s="354"/>
      <c r="I175" s="392">
        <f t="shared" si="6"/>
        <v>73.40000000000002</v>
      </c>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c r="AU175" s="385"/>
      <c r="AV175" s="385"/>
      <c r="AW175" s="385"/>
      <c r="AX175" s="385"/>
      <c r="AY175" s="385"/>
    </row>
    <row r="176" spans="1:51" ht="18">
      <c r="A176" s="385"/>
      <c r="B176" s="391">
        <f>Input!AR174</f>
        <v>3.8728231069187253</v>
      </c>
      <c r="C176" s="391">
        <f>DailyMet!N157</f>
        <v>0</v>
      </c>
      <c r="D176" s="392">
        <f>Input!AS174</f>
        <v>95.077007898531946</v>
      </c>
      <c r="E176" s="392">
        <f>Input!E174</f>
        <v>153</v>
      </c>
      <c r="F176" s="393">
        <f>Input!B174</f>
        <v>38139</v>
      </c>
      <c r="G176" s="503">
        <f t="shared" si="4"/>
        <v>51.983758048534845</v>
      </c>
      <c r="H176" s="354"/>
      <c r="I176" s="392">
        <f t="shared" si="6"/>
        <v>73.40000000000002</v>
      </c>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row>
    <row r="177" spans="1:51" ht="18">
      <c r="A177" s="385"/>
      <c r="B177" s="391">
        <f>Input!AR175</f>
        <v>3.5656599519940846</v>
      </c>
      <c r="C177" s="391">
        <f>DailyMet!N158</f>
        <v>0</v>
      </c>
      <c r="D177" s="392">
        <f>Input!AS175</f>
        <v>98.642667850526024</v>
      </c>
      <c r="E177" s="392">
        <f>Input!E175</f>
        <v>154</v>
      </c>
      <c r="F177" s="393">
        <f>Input!B175</f>
        <v>38140</v>
      </c>
      <c r="G177" s="503">
        <f t="shared" si="4"/>
        <v>55.549418000528931</v>
      </c>
      <c r="H177" s="354"/>
      <c r="I177" s="392">
        <f t="shared" si="6"/>
        <v>73.40000000000002</v>
      </c>
      <c r="J177" s="385"/>
      <c r="K177" s="385"/>
      <c r="L177" s="385"/>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5"/>
      <c r="AU177" s="385"/>
      <c r="AV177" s="385"/>
      <c r="AW177" s="385"/>
      <c r="AX177" s="385"/>
      <c r="AY177" s="385"/>
    </row>
    <row r="178" spans="1:51" ht="18">
      <c r="A178" s="385"/>
      <c r="B178" s="391">
        <f>Input!AR176</f>
        <v>4.292652851598918</v>
      </c>
      <c r="C178" s="391">
        <f>DailyMet!N159</f>
        <v>0</v>
      </c>
      <c r="D178" s="392">
        <f>Input!AS176</f>
        <v>102.93532070212494</v>
      </c>
      <c r="E178" s="392">
        <f>Input!E176</f>
        <v>155</v>
      </c>
      <c r="F178" s="393">
        <f>Input!B176</f>
        <v>38141</v>
      </c>
      <c r="G178" s="503">
        <f>IF(B178="",0,IF(H178&lt;&gt;"",IF(G177+B178-H178-C178&lt;0,0,G177+B178-H178-C178),IF(G177+B178-C178&lt;0,0,G177+B178-C178)))</f>
        <v>59.842070852127847</v>
      </c>
      <c r="H178" s="354"/>
      <c r="I178" s="392">
        <f t="shared" si="6"/>
        <v>73.40000000000002</v>
      </c>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5"/>
      <c r="AQ178" s="385"/>
      <c r="AR178" s="385"/>
      <c r="AS178" s="385"/>
      <c r="AT178" s="385"/>
      <c r="AU178" s="385"/>
      <c r="AV178" s="385"/>
      <c r="AW178" s="385"/>
      <c r="AX178" s="385"/>
      <c r="AY178" s="385"/>
    </row>
    <row r="179" spans="1:51" ht="18">
      <c r="A179" s="385"/>
      <c r="B179" s="391">
        <f>Input!AR177</f>
        <v>3.5720533887821415</v>
      </c>
      <c r="C179" s="391">
        <f>DailyMet!N160</f>
        <v>7.2</v>
      </c>
      <c r="D179" s="392">
        <f>Input!AS177</f>
        <v>106.50737409090708</v>
      </c>
      <c r="E179" s="392">
        <f>Input!E177</f>
        <v>156</v>
      </c>
      <c r="F179" s="393">
        <f>Input!B177</f>
        <v>38142</v>
      </c>
      <c r="G179" s="503">
        <f t="shared" ref="G179:G242" si="7">IF(B179="",0,IF(H179&lt;&gt;"",IF(G178+B179-H179-C179&lt;0,0,G178+B179-H179-C179),IF(G178+B179-C179&lt;0,0,G178+B179-C179)))</f>
        <v>56.214124240909989</v>
      </c>
      <c r="H179" s="354"/>
      <c r="I179" s="392">
        <f t="shared" si="6"/>
        <v>80.600000000000023</v>
      </c>
      <c r="J179" s="385"/>
      <c r="K179" s="385"/>
      <c r="L179" s="385"/>
      <c r="M179" s="385"/>
      <c r="N179" s="385"/>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5"/>
      <c r="AU179" s="385"/>
      <c r="AV179" s="385"/>
      <c r="AW179" s="385"/>
      <c r="AX179" s="385"/>
      <c r="AY179" s="385"/>
    </row>
    <row r="180" spans="1:51" ht="18">
      <c r="A180" s="385"/>
      <c r="B180" s="391">
        <f>Input!AR178</f>
        <v>3.316582275047939</v>
      </c>
      <c r="C180" s="391">
        <f>DailyMet!N161</f>
        <v>0</v>
      </c>
      <c r="D180" s="392">
        <f>Input!AS178</f>
        <v>109.82395636595501</v>
      </c>
      <c r="E180" s="392">
        <f>Input!E178</f>
        <v>157</v>
      </c>
      <c r="F180" s="393">
        <f>Input!B178</f>
        <v>38143</v>
      </c>
      <c r="G180" s="503">
        <f t="shared" si="7"/>
        <v>59.530706515957931</v>
      </c>
      <c r="H180" s="354"/>
      <c r="I180" s="392">
        <f t="shared" si="6"/>
        <v>80.600000000000023</v>
      </c>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row>
    <row r="181" spans="1:51" ht="18">
      <c r="A181" s="385"/>
      <c r="B181" s="391">
        <f>Input!AR179</f>
        <v>3.8030760124397749</v>
      </c>
      <c r="C181" s="391">
        <f>DailyMet!N162</f>
        <v>0.4</v>
      </c>
      <c r="D181" s="392">
        <f>Input!AS179</f>
        <v>113.62703237839479</v>
      </c>
      <c r="E181" s="392">
        <f>Input!E179</f>
        <v>158</v>
      </c>
      <c r="F181" s="393">
        <f>Input!B179</f>
        <v>38144</v>
      </c>
      <c r="G181" s="503">
        <f t="shared" si="7"/>
        <v>62.933782528397707</v>
      </c>
      <c r="H181" s="354"/>
      <c r="I181" s="392">
        <f t="shared" si="6"/>
        <v>81.000000000000028</v>
      </c>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c r="AT181" s="385"/>
      <c r="AU181" s="385"/>
      <c r="AV181" s="385"/>
      <c r="AW181" s="385"/>
      <c r="AX181" s="385"/>
      <c r="AY181" s="385"/>
    </row>
    <row r="182" spans="1:51" ht="18">
      <c r="A182" s="385"/>
      <c r="B182" s="391">
        <f>Input!AR180</f>
        <v>4.1211061610828326</v>
      </c>
      <c r="C182" s="391">
        <f>DailyMet!N163</f>
        <v>0</v>
      </c>
      <c r="D182" s="392">
        <f>Input!AS180</f>
        <v>117.74813853947762</v>
      </c>
      <c r="E182" s="392">
        <f>Input!E180</f>
        <v>159</v>
      </c>
      <c r="F182" s="393">
        <f>Input!B180</f>
        <v>38145</v>
      </c>
      <c r="G182" s="503">
        <f t="shared" si="7"/>
        <v>67.054888689480535</v>
      </c>
      <c r="H182" s="354"/>
      <c r="I182" s="392">
        <f t="shared" si="6"/>
        <v>81.000000000000028</v>
      </c>
      <c r="J182" s="385"/>
      <c r="K182" s="385"/>
      <c r="L182" s="385"/>
      <c r="M182" s="385"/>
      <c r="N182" s="385"/>
      <c r="O182" s="385"/>
      <c r="P182" s="385"/>
      <c r="Q182" s="385"/>
      <c r="R182" s="385"/>
      <c r="S182" s="385"/>
      <c r="T182" s="385"/>
      <c r="U182" s="385"/>
      <c r="V182" s="385"/>
      <c r="W182" s="385"/>
      <c r="X182" s="385"/>
      <c r="Y182" s="385"/>
      <c r="Z182" s="385"/>
      <c r="AA182" s="385"/>
      <c r="AB182" s="385"/>
      <c r="AC182" s="385"/>
      <c r="AD182" s="385"/>
      <c r="AE182" s="385"/>
      <c r="AF182" s="385"/>
      <c r="AG182" s="385"/>
      <c r="AH182" s="385"/>
      <c r="AI182" s="385"/>
      <c r="AJ182" s="385"/>
      <c r="AK182" s="385"/>
      <c r="AL182" s="385"/>
      <c r="AM182" s="385"/>
      <c r="AN182" s="385"/>
      <c r="AO182" s="385"/>
      <c r="AP182" s="385"/>
      <c r="AQ182" s="385"/>
      <c r="AR182" s="385"/>
      <c r="AS182" s="385"/>
      <c r="AT182" s="385"/>
      <c r="AU182" s="385"/>
      <c r="AV182" s="385"/>
      <c r="AW182" s="385"/>
      <c r="AX182" s="385"/>
      <c r="AY182" s="385"/>
    </row>
    <row r="183" spans="1:51" ht="18">
      <c r="A183" s="385"/>
      <c r="B183" s="391">
        <f>Input!AR181</f>
        <v>4.0630879971987435</v>
      </c>
      <c r="C183" s="391">
        <f>DailyMet!N164</f>
        <v>0</v>
      </c>
      <c r="D183" s="392">
        <f>Input!AS181</f>
        <v>121.81122653667637</v>
      </c>
      <c r="E183" s="392">
        <f>Input!E181</f>
        <v>160</v>
      </c>
      <c r="F183" s="393">
        <f>Input!B181</f>
        <v>38146</v>
      </c>
      <c r="G183" s="503">
        <f t="shared" si="7"/>
        <v>71.117976686679285</v>
      </c>
      <c r="H183" s="354"/>
      <c r="I183" s="392">
        <f t="shared" si="6"/>
        <v>81.000000000000028</v>
      </c>
      <c r="J183" s="385"/>
      <c r="K183" s="385"/>
      <c r="L183" s="385"/>
      <c r="M183" s="385"/>
      <c r="N183" s="385"/>
      <c r="O183" s="385"/>
      <c r="P183" s="385"/>
      <c r="Q183" s="385"/>
      <c r="R183" s="385"/>
      <c r="S183" s="385"/>
      <c r="T183" s="385"/>
      <c r="U183" s="385"/>
      <c r="V183" s="385"/>
      <c r="W183" s="385"/>
      <c r="X183" s="385"/>
      <c r="Y183" s="385"/>
      <c r="Z183" s="385"/>
      <c r="AA183" s="385"/>
      <c r="AB183" s="385"/>
      <c r="AC183" s="385"/>
      <c r="AD183" s="385"/>
      <c r="AE183" s="385"/>
      <c r="AF183" s="385"/>
      <c r="AG183" s="385"/>
      <c r="AH183" s="385"/>
      <c r="AI183" s="385"/>
      <c r="AJ183" s="385"/>
      <c r="AK183" s="385"/>
      <c r="AL183" s="385"/>
      <c r="AM183" s="385"/>
      <c r="AN183" s="385"/>
      <c r="AO183" s="385"/>
      <c r="AP183" s="385"/>
      <c r="AQ183" s="385"/>
      <c r="AR183" s="385"/>
      <c r="AS183" s="385"/>
      <c r="AT183" s="385"/>
      <c r="AU183" s="385"/>
      <c r="AV183" s="385"/>
      <c r="AW183" s="385"/>
      <c r="AX183" s="385"/>
      <c r="AY183" s="385"/>
    </row>
    <row r="184" spans="1:51" ht="18">
      <c r="A184" s="385"/>
      <c r="B184" s="391">
        <f>Input!AR182</f>
        <v>3.8910891064380024</v>
      </c>
      <c r="C184" s="391">
        <f>DailyMet!N165</f>
        <v>0.2</v>
      </c>
      <c r="D184" s="392">
        <f>Input!AS182</f>
        <v>125.70231564311437</v>
      </c>
      <c r="E184" s="392">
        <f>Input!E182</f>
        <v>161</v>
      </c>
      <c r="F184" s="393">
        <f>Input!B182</f>
        <v>38147</v>
      </c>
      <c r="G184" s="503">
        <f t="shared" si="7"/>
        <v>74.809065793117284</v>
      </c>
      <c r="H184" s="354"/>
      <c r="I184" s="392">
        <f t="shared" si="6"/>
        <v>81.200000000000031</v>
      </c>
      <c r="J184" s="385"/>
      <c r="K184" s="385"/>
      <c r="L184" s="385"/>
      <c r="M184" s="385"/>
      <c r="N184" s="385"/>
      <c r="O184" s="385"/>
      <c r="P184" s="385"/>
      <c r="Q184" s="385"/>
      <c r="R184" s="385"/>
      <c r="S184" s="385"/>
      <c r="T184" s="385"/>
      <c r="U184" s="385"/>
      <c r="V184" s="385"/>
      <c r="W184" s="385"/>
      <c r="X184" s="385"/>
      <c r="Y184" s="385"/>
      <c r="Z184" s="385"/>
      <c r="AA184" s="385"/>
      <c r="AB184" s="385"/>
      <c r="AC184" s="385"/>
      <c r="AD184" s="385"/>
      <c r="AE184" s="385"/>
      <c r="AF184" s="385"/>
      <c r="AG184" s="385"/>
      <c r="AH184" s="385"/>
      <c r="AI184" s="385"/>
      <c r="AJ184" s="385"/>
      <c r="AK184" s="385"/>
      <c r="AL184" s="385"/>
      <c r="AM184" s="385"/>
      <c r="AN184" s="385"/>
      <c r="AO184" s="385"/>
      <c r="AP184" s="385"/>
      <c r="AQ184" s="385"/>
      <c r="AR184" s="385"/>
      <c r="AS184" s="385"/>
      <c r="AT184" s="385"/>
      <c r="AU184" s="385"/>
      <c r="AV184" s="385"/>
      <c r="AW184" s="385"/>
      <c r="AX184" s="385"/>
      <c r="AY184" s="385"/>
    </row>
    <row r="185" spans="1:51" ht="18">
      <c r="A185" s="385"/>
      <c r="B185" s="391">
        <f>Input!AR183</f>
        <v>4.1662239978076485</v>
      </c>
      <c r="C185" s="391">
        <f>DailyMet!N166</f>
        <v>0</v>
      </c>
      <c r="D185" s="392">
        <f>Input!AS183</f>
        <v>129.86853964092202</v>
      </c>
      <c r="E185" s="392">
        <f>Input!E183</f>
        <v>162</v>
      </c>
      <c r="F185" s="393">
        <f>Input!B183</f>
        <v>38148</v>
      </c>
      <c r="G185" s="503">
        <f t="shared" si="7"/>
        <v>78.975289790924933</v>
      </c>
      <c r="H185" s="354"/>
      <c r="I185" s="392">
        <f t="shared" si="6"/>
        <v>81.200000000000031</v>
      </c>
      <c r="J185" s="385"/>
      <c r="K185" s="385"/>
      <c r="L185" s="385"/>
      <c r="M185" s="385"/>
      <c r="N185" s="385"/>
      <c r="O185" s="385"/>
      <c r="P185" s="385"/>
      <c r="Q185" s="385"/>
      <c r="R185" s="385"/>
      <c r="S185" s="385"/>
      <c r="T185" s="385"/>
      <c r="U185" s="385"/>
      <c r="V185" s="385"/>
      <c r="W185" s="385"/>
      <c r="X185" s="385"/>
      <c r="Y185" s="385"/>
      <c r="Z185" s="385"/>
      <c r="AA185" s="385"/>
      <c r="AB185" s="385"/>
      <c r="AC185" s="385"/>
      <c r="AD185" s="385"/>
      <c r="AE185" s="385"/>
      <c r="AF185" s="385"/>
      <c r="AG185" s="385"/>
      <c r="AH185" s="385"/>
      <c r="AI185" s="385"/>
      <c r="AJ185" s="385"/>
      <c r="AK185" s="385"/>
      <c r="AL185" s="385"/>
      <c r="AM185" s="385"/>
      <c r="AN185" s="385"/>
      <c r="AO185" s="385"/>
      <c r="AP185" s="385"/>
      <c r="AQ185" s="385"/>
      <c r="AR185" s="385"/>
      <c r="AS185" s="385"/>
      <c r="AT185" s="385"/>
      <c r="AU185" s="385"/>
      <c r="AV185" s="385"/>
      <c r="AW185" s="385"/>
      <c r="AX185" s="385"/>
      <c r="AY185" s="385"/>
    </row>
    <row r="186" spans="1:51" ht="18">
      <c r="A186" s="385"/>
      <c r="B186" s="391">
        <f>Input!AR184</f>
        <v>4.1665742881814536</v>
      </c>
      <c r="C186" s="391">
        <f>DailyMet!N167</f>
        <v>0</v>
      </c>
      <c r="D186" s="392">
        <f>Input!AS184</f>
        <v>134.03511392910349</v>
      </c>
      <c r="E186" s="392">
        <f>Input!E184</f>
        <v>163</v>
      </c>
      <c r="F186" s="393">
        <f>Input!B184</f>
        <v>38149</v>
      </c>
      <c r="G186" s="503">
        <f t="shared" si="7"/>
        <v>83.141864079106384</v>
      </c>
      <c r="H186" s="354"/>
      <c r="I186" s="392">
        <f t="shared" si="6"/>
        <v>81.200000000000031</v>
      </c>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c r="AT186" s="385"/>
      <c r="AU186" s="385"/>
      <c r="AV186" s="385"/>
      <c r="AW186" s="385"/>
      <c r="AX186" s="385"/>
      <c r="AY186" s="385"/>
    </row>
    <row r="187" spans="1:51" ht="18">
      <c r="A187" s="385"/>
      <c r="B187" s="391">
        <f>Input!AR185</f>
        <v>3.6416720758517416</v>
      </c>
      <c r="C187" s="391">
        <f>DailyMet!N168</f>
        <v>0</v>
      </c>
      <c r="D187" s="392">
        <f>Input!AS185</f>
        <v>137.67678600495523</v>
      </c>
      <c r="E187" s="392">
        <f>Input!E185</f>
        <v>164</v>
      </c>
      <c r="F187" s="393">
        <f>Input!B185</f>
        <v>38150</v>
      </c>
      <c r="G187" s="503">
        <f t="shared" si="7"/>
        <v>86.783536154958128</v>
      </c>
      <c r="H187" s="354"/>
      <c r="I187" s="392">
        <f t="shared" si="6"/>
        <v>81.200000000000031</v>
      </c>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c r="AT187" s="385"/>
      <c r="AU187" s="385"/>
      <c r="AV187" s="385"/>
      <c r="AW187" s="385"/>
      <c r="AX187" s="385"/>
      <c r="AY187" s="385"/>
    </row>
    <row r="188" spans="1:51" ht="18">
      <c r="A188" s="385"/>
      <c r="B188" s="391">
        <f>Input!AR186</f>
        <v>3.942509337324414</v>
      </c>
      <c r="C188" s="391">
        <f>DailyMet!N169</f>
        <v>0</v>
      </c>
      <c r="D188" s="392">
        <f>Input!AS186</f>
        <v>141.61929534227966</v>
      </c>
      <c r="E188" s="392">
        <f>Input!E186</f>
        <v>165</v>
      </c>
      <c r="F188" s="393">
        <f>Input!B186</f>
        <v>38151</v>
      </c>
      <c r="G188" s="503">
        <f t="shared" si="7"/>
        <v>90.726045492282537</v>
      </c>
      <c r="H188" s="354"/>
      <c r="I188" s="392">
        <f t="shared" si="6"/>
        <v>81.200000000000031</v>
      </c>
      <c r="J188" s="385"/>
      <c r="K188" s="385"/>
      <c r="L188" s="385"/>
      <c r="M188" s="385"/>
      <c r="N188" s="385"/>
      <c r="O188" s="385"/>
      <c r="P188" s="385"/>
      <c r="Q188" s="385"/>
      <c r="R188" s="385"/>
      <c r="S188" s="385"/>
      <c r="T188" s="385"/>
      <c r="U188" s="385"/>
      <c r="V188" s="385"/>
      <c r="W188" s="385"/>
      <c r="X188" s="385"/>
      <c r="Y188" s="385"/>
      <c r="Z188" s="385"/>
      <c r="AA188" s="385"/>
      <c r="AB188" s="385"/>
      <c r="AC188" s="385"/>
      <c r="AD188" s="385"/>
      <c r="AE188" s="385"/>
      <c r="AF188" s="385"/>
      <c r="AG188" s="385"/>
      <c r="AH188" s="385"/>
      <c r="AI188" s="385"/>
      <c r="AJ188" s="385"/>
      <c r="AK188" s="385"/>
      <c r="AL188" s="385"/>
      <c r="AM188" s="385"/>
      <c r="AN188" s="385"/>
      <c r="AO188" s="385"/>
      <c r="AP188" s="385"/>
      <c r="AQ188" s="385"/>
      <c r="AR188" s="385"/>
      <c r="AS188" s="385"/>
      <c r="AT188" s="385"/>
      <c r="AU188" s="385"/>
      <c r="AV188" s="385"/>
      <c r="AW188" s="385"/>
      <c r="AX188" s="385"/>
      <c r="AY188" s="385"/>
    </row>
    <row r="189" spans="1:51" ht="18">
      <c r="A189" s="385"/>
      <c r="B189" s="391">
        <f>Input!AR187</f>
        <v>4.0445163142710499</v>
      </c>
      <c r="C189" s="391">
        <f>DailyMet!N170</f>
        <v>0</v>
      </c>
      <c r="D189" s="392">
        <f>Input!AS187</f>
        <v>145.66381165655071</v>
      </c>
      <c r="E189" s="392">
        <f>Input!E187</f>
        <v>166</v>
      </c>
      <c r="F189" s="393">
        <f>Input!B187</f>
        <v>38152</v>
      </c>
      <c r="G189" s="503">
        <f t="shared" si="7"/>
        <v>94.770561806553587</v>
      </c>
      <c r="H189" s="354"/>
      <c r="I189" s="392">
        <f t="shared" si="6"/>
        <v>81.200000000000031</v>
      </c>
      <c r="J189" s="385"/>
      <c r="K189" s="385"/>
      <c r="L189" s="385"/>
      <c r="M189" s="385"/>
      <c r="N189" s="385"/>
      <c r="O189" s="385"/>
      <c r="P189" s="385"/>
      <c r="Q189" s="385"/>
      <c r="R189" s="385"/>
      <c r="S189" s="385"/>
      <c r="T189" s="385"/>
      <c r="U189" s="385"/>
      <c r="V189" s="385"/>
      <c r="W189" s="385"/>
      <c r="X189" s="385"/>
      <c r="Y189" s="385"/>
      <c r="Z189" s="385"/>
      <c r="AA189" s="385"/>
      <c r="AB189" s="385"/>
      <c r="AC189" s="385"/>
      <c r="AD189" s="385"/>
      <c r="AE189" s="385"/>
      <c r="AF189" s="385"/>
      <c r="AG189" s="385"/>
      <c r="AH189" s="385"/>
      <c r="AI189" s="385"/>
      <c r="AJ189" s="385"/>
      <c r="AK189" s="385"/>
      <c r="AL189" s="385"/>
      <c r="AM189" s="385"/>
      <c r="AN189" s="385"/>
      <c r="AO189" s="385"/>
      <c r="AP189" s="385"/>
      <c r="AQ189" s="385"/>
      <c r="AR189" s="385"/>
      <c r="AS189" s="385"/>
      <c r="AT189" s="385"/>
      <c r="AU189" s="385"/>
      <c r="AV189" s="385"/>
      <c r="AW189" s="385"/>
      <c r="AX189" s="385"/>
      <c r="AY189" s="385"/>
    </row>
    <row r="190" spans="1:51" ht="18">
      <c r="A190" s="385"/>
      <c r="B190" s="391">
        <f>Input!AR188</f>
        <v>3.0073465965450774</v>
      </c>
      <c r="C190" s="391">
        <f>DailyMet!N171</f>
        <v>0</v>
      </c>
      <c r="D190" s="392">
        <f>Input!AS188</f>
        <v>148.6711582530958</v>
      </c>
      <c r="E190" s="392">
        <f>Input!E188</f>
        <v>167</v>
      </c>
      <c r="F190" s="393">
        <f>Input!B188</f>
        <v>38153</v>
      </c>
      <c r="G190" s="503">
        <f t="shared" si="7"/>
        <v>97.777908403098664</v>
      </c>
      <c r="H190" s="354"/>
      <c r="I190" s="392">
        <f t="shared" si="6"/>
        <v>81.200000000000031</v>
      </c>
      <c r="J190" s="385"/>
      <c r="K190" s="385"/>
      <c r="L190" s="385"/>
      <c r="M190" s="385"/>
      <c r="N190" s="385"/>
      <c r="O190" s="385"/>
      <c r="P190" s="385"/>
      <c r="Q190" s="385"/>
      <c r="R190" s="385"/>
      <c r="S190" s="385"/>
      <c r="T190" s="385"/>
      <c r="U190" s="385"/>
      <c r="V190" s="385"/>
      <c r="W190" s="385"/>
      <c r="X190" s="385"/>
      <c r="Y190" s="385"/>
      <c r="Z190" s="385"/>
      <c r="AA190" s="385"/>
      <c r="AB190" s="385"/>
      <c r="AC190" s="385"/>
      <c r="AD190" s="385"/>
      <c r="AE190" s="385"/>
      <c r="AF190" s="385"/>
      <c r="AG190" s="385"/>
      <c r="AH190" s="385"/>
      <c r="AI190" s="385"/>
      <c r="AJ190" s="385"/>
      <c r="AK190" s="385"/>
      <c r="AL190" s="385"/>
      <c r="AM190" s="385"/>
      <c r="AN190" s="385"/>
      <c r="AO190" s="385"/>
      <c r="AP190" s="385"/>
      <c r="AQ190" s="385"/>
      <c r="AR190" s="385"/>
      <c r="AS190" s="385"/>
      <c r="AT190" s="385"/>
      <c r="AU190" s="385"/>
      <c r="AV190" s="385"/>
      <c r="AW190" s="385"/>
      <c r="AX190" s="385"/>
      <c r="AY190" s="385"/>
    </row>
    <row r="191" spans="1:51" ht="18">
      <c r="A191" s="385"/>
      <c r="B191" s="391">
        <f>Input!AR189</f>
        <v>3.5311842960435422</v>
      </c>
      <c r="C191" s="391">
        <f>DailyMet!N172</f>
        <v>0</v>
      </c>
      <c r="D191" s="392">
        <f>Input!AS189</f>
        <v>152.20234254913933</v>
      </c>
      <c r="E191" s="392">
        <f>Input!E189</f>
        <v>168</v>
      </c>
      <c r="F191" s="393">
        <f>Input!B189</f>
        <v>38154</v>
      </c>
      <c r="G191" s="503">
        <f t="shared" si="7"/>
        <v>101.30909269914221</v>
      </c>
      <c r="H191" s="354"/>
      <c r="I191" s="392">
        <f t="shared" si="6"/>
        <v>81.200000000000031</v>
      </c>
      <c r="J191" s="385"/>
      <c r="K191" s="385"/>
      <c r="L191" s="385"/>
      <c r="M191" s="385"/>
      <c r="N191" s="385"/>
      <c r="O191" s="385"/>
      <c r="P191" s="385"/>
      <c r="Q191" s="385"/>
      <c r="R191" s="385"/>
      <c r="S191" s="385"/>
      <c r="T191" s="385"/>
      <c r="U191" s="385"/>
      <c r="V191" s="385"/>
      <c r="W191" s="385"/>
      <c r="X191" s="385"/>
      <c r="Y191" s="385"/>
      <c r="Z191" s="385"/>
      <c r="AA191" s="385"/>
      <c r="AB191" s="385"/>
      <c r="AC191" s="385"/>
      <c r="AD191" s="385"/>
      <c r="AE191" s="385"/>
      <c r="AF191" s="385"/>
      <c r="AG191" s="385"/>
      <c r="AH191" s="385"/>
      <c r="AI191" s="385"/>
      <c r="AJ191" s="385"/>
      <c r="AK191" s="385"/>
      <c r="AL191" s="385"/>
      <c r="AM191" s="385"/>
      <c r="AN191" s="385"/>
      <c r="AO191" s="385"/>
      <c r="AP191" s="385"/>
      <c r="AQ191" s="385"/>
      <c r="AR191" s="385"/>
      <c r="AS191" s="385"/>
      <c r="AT191" s="385"/>
      <c r="AU191" s="385"/>
      <c r="AV191" s="385"/>
      <c r="AW191" s="385"/>
      <c r="AX191" s="385"/>
      <c r="AY191" s="385"/>
    </row>
    <row r="192" spans="1:51" ht="18">
      <c r="A192" s="385"/>
      <c r="B192" s="391">
        <f>Input!AR190</f>
        <v>3.662331475874077</v>
      </c>
      <c r="C192" s="391">
        <f>DailyMet!N173</f>
        <v>0</v>
      </c>
      <c r="D192" s="392">
        <f>Input!AS190</f>
        <v>155.86467402501341</v>
      </c>
      <c r="E192" s="392">
        <f>Input!E190</f>
        <v>169</v>
      </c>
      <c r="F192" s="393">
        <f>Input!B190</f>
        <v>38155</v>
      </c>
      <c r="G192" s="503">
        <f t="shared" si="7"/>
        <v>104.9714241750163</v>
      </c>
      <c r="H192" s="354"/>
      <c r="I192" s="392">
        <f t="shared" si="6"/>
        <v>81.200000000000031</v>
      </c>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c r="AT192" s="385"/>
      <c r="AU192" s="385"/>
      <c r="AV192" s="385"/>
      <c r="AW192" s="385"/>
      <c r="AX192" s="385"/>
      <c r="AY192" s="385"/>
    </row>
    <row r="193" spans="1:51" ht="18">
      <c r="A193" s="385"/>
      <c r="B193" s="391">
        <f>Input!AR191</f>
        <v>4.2254552594806354</v>
      </c>
      <c r="C193" s="391">
        <f>DailyMet!N174</f>
        <v>0</v>
      </c>
      <c r="D193" s="392">
        <f>Input!AS191</f>
        <v>160.09012928449405</v>
      </c>
      <c r="E193" s="392">
        <f>Input!E191</f>
        <v>170</v>
      </c>
      <c r="F193" s="393">
        <f>Input!B191</f>
        <v>38156</v>
      </c>
      <c r="G193" s="503">
        <f t="shared" si="7"/>
        <v>109.19687943449694</v>
      </c>
      <c r="H193" s="354"/>
      <c r="I193" s="392">
        <f t="shared" si="6"/>
        <v>81.200000000000031</v>
      </c>
      <c r="J193" s="385"/>
      <c r="K193" s="385"/>
      <c r="L193" s="385"/>
      <c r="M193" s="385"/>
      <c r="N193" s="385"/>
      <c r="O193" s="385"/>
      <c r="P193" s="385"/>
      <c r="Q193" s="385"/>
      <c r="R193" s="385"/>
      <c r="S193" s="385"/>
      <c r="T193" s="385"/>
      <c r="U193" s="385"/>
      <c r="V193" s="385"/>
      <c r="W193" s="385"/>
      <c r="X193" s="385"/>
      <c r="Y193" s="385"/>
      <c r="Z193" s="385"/>
      <c r="AA193" s="385"/>
      <c r="AB193" s="385"/>
      <c r="AC193" s="385"/>
      <c r="AD193" s="385"/>
      <c r="AE193" s="385"/>
      <c r="AF193" s="385"/>
      <c r="AG193" s="385"/>
      <c r="AH193" s="385"/>
      <c r="AI193" s="385"/>
      <c r="AJ193" s="385"/>
      <c r="AK193" s="385"/>
      <c r="AL193" s="385"/>
      <c r="AM193" s="385"/>
      <c r="AN193" s="385"/>
      <c r="AO193" s="385"/>
      <c r="AP193" s="385"/>
      <c r="AQ193" s="385"/>
      <c r="AR193" s="385"/>
      <c r="AS193" s="385"/>
      <c r="AT193" s="385"/>
      <c r="AU193" s="385"/>
      <c r="AV193" s="385"/>
      <c r="AW193" s="385"/>
      <c r="AX193" s="385"/>
      <c r="AY193" s="385"/>
    </row>
    <row r="194" spans="1:51" ht="18">
      <c r="A194" s="385"/>
      <c r="B194" s="391">
        <f>Input!AR192</f>
        <v>4.3310824651117441</v>
      </c>
      <c r="C194" s="391">
        <f>DailyMet!N175</f>
        <v>0</v>
      </c>
      <c r="D194" s="392">
        <f>Input!AS192</f>
        <v>164.42121174960579</v>
      </c>
      <c r="E194" s="392">
        <f>Input!E192</f>
        <v>171</v>
      </c>
      <c r="F194" s="393">
        <f>Input!B192</f>
        <v>38157</v>
      </c>
      <c r="G194" s="503">
        <f t="shared" si="7"/>
        <v>113.52796189960868</v>
      </c>
      <c r="H194" s="354"/>
      <c r="I194" s="392">
        <f t="shared" si="6"/>
        <v>81.200000000000031</v>
      </c>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5"/>
      <c r="AL194" s="385"/>
      <c r="AM194" s="385"/>
      <c r="AN194" s="385"/>
      <c r="AO194" s="385"/>
      <c r="AP194" s="385"/>
      <c r="AQ194" s="385"/>
      <c r="AR194" s="385"/>
      <c r="AS194" s="385"/>
      <c r="AT194" s="385"/>
      <c r="AU194" s="385"/>
      <c r="AV194" s="385"/>
      <c r="AW194" s="385"/>
      <c r="AX194" s="385"/>
      <c r="AY194" s="385"/>
    </row>
    <row r="195" spans="1:51" ht="18">
      <c r="A195" s="385"/>
      <c r="B195" s="391">
        <f>Input!AR193</f>
        <v>4.230144031312097</v>
      </c>
      <c r="C195" s="391">
        <f>DailyMet!N176</f>
        <v>0</v>
      </c>
      <c r="D195" s="392">
        <f>Input!AS193</f>
        <v>168.6513557809179</v>
      </c>
      <c r="E195" s="392">
        <f>Input!E193</f>
        <v>172</v>
      </c>
      <c r="F195" s="393">
        <f>Input!B193</f>
        <v>38158</v>
      </c>
      <c r="G195" s="503">
        <f t="shared" si="7"/>
        <v>117.75810593092078</v>
      </c>
      <c r="H195" s="354"/>
      <c r="I195" s="392">
        <f t="shared" si="6"/>
        <v>81.200000000000031</v>
      </c>
      <c r="J195" s="385"/>
      <c r="K195" s="385"/>
      <c r="L195" s="385"/>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5"/>
      <c r="AN195" s="385"/>
      <c r="AO195" s="385"/>
      <c r="AP195" s="385"/>
      <c r="AQ195" s="385"/>
      <c r="AR195" s="385"/>
      <c r="AS195" s="385"/>
      <c r="AT195" s="385"/>
      <c r="AU195" s="385"/>
      <c r="AV195" s="385"/>
      <c r="AW195" s="385"/>
      <c r="AX195" s="385"/>
      <c r="AY195" s="385"/>
    </row>
    <row r="196" spans="1:51" ht="18">
      <c r="A196" s="385"/>
      <c r="B196" s="391">
        <f>Input!AR194</f>
        <v>4.8563337085771172</v>
      </c>
      <c r="C196" s="391">
        <f>DailyMet!N177</f>
        <v>0</v>
      </c>
      <c r="D196" s="392">
        <f>Input!AS194</f>
        <v>173.50768948949502</v>
      </c>
      <c r="E196" s="392">
        <f>Input!E194</f>
        <v>173</v>
      </c>
      <c r="F196" s="393">
        <f>Input!B194</f>
        <v>38159</v>
      </c>
      <c r="G196" s="503">
        <f t="shared" si="7"/>
        <v>2.6144396394978884</v>
      </c>
      <c r="H196" s="354">
        <v>120</v>
      </c>
      <c r="I196" s="392">
        <f t="shared" si="6"/>
        <v>201.20000000000005</v>
      </c>
      <c r="J196" s="385"/>
      <c r="K196" s="385"/>
      <c r="L196" s="385"/>
      <c r="M196" s="385"/>
      <c r="N196" s="385"/>
      <c r="O196" s="385"/>
      <c r="P196" s="385"/>
      <c r="Q196" s="385"/>
      <c r="R196" s="385"/>
      <c r="S196" s="385"/>
      <c r="T196" s="385"/>
      <c r="U196" s="385"/>
      <c r="V196" s="385"/>
      <c r="W196" s="385"/>
      <c r="X196" s="385"/>
      <c r="Y196" s="385"/>
      <c r="Z196" s="385"/>
      <c r="AA196" s="385"/>
      <c r="AB196" s="385"/>
      <c r="AC196" s="385"/>
      <c r="AD196" s="385"/>
      <c r="AE196" s="385"/>
      <c r="AF196" s="385"/>
      <c r="AG196" s="385"/>
      <c r="AH196" s="385"/>
      <c r="AI196" s="385"/>
      <c r="AJ196" s="385"/>
      <c r="AK196" s="385"/>
      <c r="AL196" s="385"/>
      <c r="AM196" s="385"/>
      <c r="AN196" s="385"/>
      <c r="AO196" s="385"/>
      <c r="AP196" s="385"/>
      <c r="AQ196" s="385"/>
      <c r="AR196" s="385"/>
      <c r="AS196" s="385"/>
      <c r="AT196" s="385"/>
      <c r="AU196" s="385"/>
      <c r="AV196" s="385"/>
      <c r="AW196" s="385"/>
      <c r="AX196" s="385"/>
      <c r="AY196" s="385"/>
    </row>
    <row r="197" spans="1:51" ht="18">
      <c r="A197" s="385"/>
      <c r="B197" s="391">
        <f>Input!AR195</f>
        <v>5.2836353636345184</v>
      </c>
      <c r="C197" s="391">
        <f>DailyMet!N178</f>
        <v>0</v>
      </c>
      <c r="D197" s="392">
        <f>Input!AS195</f>
        <v>178.79132485312954</v>
      </c>
      <c r="E197" s="392">
        <f>Input!E195</f>
        <v>174</v>
      </c>
      <c r="F197" s="393">
        <f>Input!B195</f>
        <v>38160</v>
      </c>
      <c r="G197" s="503">
        <f t="shared" si="7"/>
        <v>7.8980750031324067</v>
      </c>
      <c r="H197" s="354"/>
      <c r="I197" s="392">
        <f t="shared" si="6"/>
        <v>201.20000000000005</v>
      </c>
      <c r="J197" s="385"/>
      <c r="K197" s="385"/>
      <c r="L197" s="385"/>
      <c r="M197" s="385"/>
      <c r="N197" s="385"/>
      <c r="O197" s="385"/>
      <c r="P197" s="385"/>
      <c r="Q197" s="385"/>
      <c r="R197" s="385"/>
      <c r="S197" s="385"/>
      <c r="T197" s="385"/>
      <c r="U197" s="385"/>
      <c r="V197" s="385"/>
      <c r="W197" s="385"/>
      <c r="X197" s="385"/>
      <c r="Y197" s="385"/>
      <c r="Z197" s="385"/>
      <c r="AA197" s="385"/>
      <c r="AB197" s="385"/>
      <c r="AC197" s="385"/>
      <c r="AD197" s="385"/>
      <c r="AE197" s="385"/>
      <c r="AF197" s="385"/>
      <c r="AG197" s="385"/>
      <c r="AH197" s="385"/>
      <c r="AI197" s="385"/>
      <c r="AJ197" s="385"/>
      <c r="AK197" s="385"/>
      <c r="AL197" s="385"/>
      <c r="AM197" s="385"/>
      <c r="AN197" s="385"/>
      <c r="AO197" s="385"/>
      <c r="AP197" s="385"/>
      <c r="AQ197" s="385"/>
      <c r="AR197" s="385"/>
      <c r="AS197" s="385"/>
      <c r="AT197" s="385"/>
      <c r="AU197" s="385"/>
      <c r="AV197" s="385"/>
      <c r="AW197" s="385"/>
      <c r="AX197" s="385"/>
      <c r="AY197" s="385"/>
    </row>
    <row r="198" spans="1:51" ht="18">
      <c r="A198" s="385"/>
      <c r="B198" s="391">
        <f>Input!AR196</f>
        <v>4.3093172962026198</v>
      </c>
      <c r="C198" s="391">
        <f>DailyMet!N179</f>
        <v>0</v>
      </c>
      <c r="D198" s="392">
        <f>Input!AS196</f>
        <v>183.10064214933215</v>
      </c>
      <c r="E198" s="392">
        <f>Input!E196</f>
        <v>175</v>
      </c>
      <c r="F198" s="393">
        <f>Input!B196</f>
        <v>38161</v>
      </c>
      <c r="G198" s="503">
        <f t="shared" si="7"/>
        <v>12.207392299335027</v>
      </c>
      <c r="H198" s="354"/>
      <c r="I198" s="392">
        <f t="shared" si="6"/>
        <v>201.20000000000005</v>
      </c>
      <c r="J198" s="385"/>
      <c r="K198" s="385"/>
      <c r="L198" s="385"/>
      <c r="M198" s="385"/>
      <c r="N198" s="385"/>
      <c r="O198" s="385"/>
      <c r="P198" s="385"/>
      <c r="Q198" s="385"/>
      <c r="R198" s="385"/>
      <c r="S198" s="385"/>
      <c r="T198" s="385"/>
      <c r="U198" s="385"/>
      <c r="V198" s="385"/>
      <c r="W198" s="385"/>
      <c r="X198" s="385"/>
      <c r="Y198" s="385"/>
      <c r="Z198" s="385"/>
      <c r="AA198" s="385"/>
      <c r="AB198" s="385"/>
      <c r="AC198" s="385"/>
      <c r="AD198" s="385"/>
      <c r="AE198" s="385"/>
      <c r="AF198" s="385"/>
      <c r="AG198" s="385"/>
      <c r="AH198" s="385"/>
      <c r="AI198" s="385"/>
      <c r="AJ198" s="385"/>
      <c r="AK198" s="385"/>
      <c r="AL198" s="385"/>
      <c r="AM198" s="385"/>
      <c r="AN198" s="385"/>
      <c r="AO198" s="385"/>
      <c r="AP198" s="385"/>
      <c r="AQ198" s="385"/>
      <c r="AR198" s="385"/>
      <c r="AS198" s="385"/>
      <c r="AT198" s="385"/>
      <c r="AU198" s="385"/>
      <c r="AV198" s="385"/>
      <c r="AW198" s="385"/>
      <c r="AX198" s="385"/>
      <c r="AY198" s="385"/>
    </row>
    <row r="199" spans="1:51" ht="18">
      <c r="A199" s="385"/>
      <c r="B199" s="391">
        <f>Input!AR197</f>
        <v>3.7725019889368112</v>
      </c>
      <c r="C199" s="391">
        <f>DailyMet!N180</f>
        <v>0</v>
      </c>
      <c r="D199" s="392">
        <f>Input!AS197</f>
        <v>186.87314413826897</v>
      </c>
      <c r="E199" s="392">
        <f>Input!E197</f>
        <v>176</v>
      </c>
      <c r="F199" s="393">
        <f>Input!B197</f>
        <v>38162</v>
      </c>
      <c r="G199" s="503">
        <f t="shared" si="7"/>
        <v>15.979894288271838</v>
      </c>
      <c r="H199" s="354"/>
      <c r="I199" s="392">
        <f t="shared" si="6"/>
        <v>201.20000000000005</v>
      </c>
      <c r="J199" s="385"/>
      <c r="K199" s="385"/>
      <c r="L199" s="385"/>
      <c r="M199" s="385"/>
      <c r="N199" s="385"/>
      <c r="O199" s="385"/>
      <c r="P199" s="385"/>
      <c r="Q199" s="385"/>
      <c r="R199" s="385"/>
      <c r="S199" s="385"/>
      <c r="T199" s="385"/>
      <c r="U199" s="385"/>
      <c r="V199" s="385"/>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5"/>
      <c r="AY199" s="385"/>
    </row>
    <row r="200" spans="1:51" ht="18">
      <c r="A200" s="385"/>
      <c r="B200" s="391">
        <f>Input!AR198</f>
        <v>5.0875294046926323</v>
      </c>
      <c r="C200" s="391">
        <f>DailyMet!N181</f>
        <v>0</v>
      </c>
      <c r="D200" s="392">
        <f>Input!AS198</f>
        <v>191.96067354296162</v>
      </c>
      <c r="E200" s="392">
        <f>Input!E198</f>
        <v>177</v>
      </c>
      <c r="F200" s="393">
        <f>Input!B198</f>
        <v>38163</v>
      </c>
      <c r="G200" s="503">
        <f t="shared" si="7"/>
        <v>21.067423692964471</v>
      </c>
      <c r="H200" s="354"/>
      <c r="I200" s="392">
        <f t="shared" si="6"/>
        <v>201.20000000000005</v>
      </c>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row>
    <row r="201" spans="1:51" ht="18">
      <c r="A201" s="385"/>
      <c r="B201" s="391">
        <f>Input!AR199</f>
        <v>4.6090824803765251</v>
      </c>
      <c r="C201" s="391">
        <f>DailyMet!N182</f>
        <v>0</v>
      </c>
      <c r="D201" s="392">
        <f>Input!AS199</f>
        <v>196.56975602333813</v>
      </c>
      <c r="E201" s="392">
        <f>Input!E199</f>
        <v>178</v>
      </c>
      <c r="F201" s="393">
        <f>Input!B199</f>
        <v>38164</v>
      </c>
      <c r="G201" s="503">
        <f t="shared" si="7"/>
        <v>25.676506173340996</v>
      </c>
      <c r="H201" s="354"/>
      <c r="I201" s="392">
        <f t="shared" si="6"/>
        <v>201.20000000000005</v>
      </c>
      <c r="J201" s="385"/>
      <c r="K201" s="385"/>
      <c r="L201" s="385"/>
      <c r="M201" s="385"/>
      <c r="N201" s="385"/>
      <c r="O201" s="385"/>
      <c r="P201" s="385"/>
      <c r="Q201" s="385"/>
      <c r="R201" s="385"/>
      <c r="S201" s="385"/>
      <c r="T201" s="385"/>
      <c r="U201" s="385"/>
      <c r="V201" s="385"/>
      <c r="W201" s="385"/>
      <c r="X201" s="385"/>
      <c r="Y201" s="385"/>
      <c r="Z201" s="385"/>
      <c r="AA201" s="385"/>
      <c r="AB201" s="385"/>
      <c r="AC201" s="385"/>
      <c r="AD201" s="385"/>
      <c r="AE201" s="385"/>
      <c r="AF201" s="385"/>
      <c r="AG201" s="385"/>
      <c r="AH201" s="385"/>
      <c r="AI201" s="385"/>
      <c r="AJ201" s="385"/>
      <c r="AK201" s="385"/>
      <c r="AL201" s="385"/>
      <c r="AM201" s="385"/>
      <c r="AN201" s="385"/>
      <c r="AO201" s="385"/>
      <c r="AP201" s="385"/>
      <c r="AQ201" s="385"/>
      <c r="AR201" s="385"/>
      <c r="AS201" s="385"/>
      <c r="AT201" s="385"/>
      <c r="AU201" s="385"/>
      <c r="AV201" s="385"/>
      <c r="AW201" s="385"/>
      <c r="AX201" s="385"/>
      <c r="AY201" s="385"/>
    </row>
    <row r="202" spans="1:51" ht="18">
      <c r="A202" s="385"/>
      <c r="B202" s="391">
        <f>Input!AR200</f>
        <v>4.1706373927622238</v>
      </c>
      <c r="C202" s="391">
        <f>DailyMet!N183</f>
        <v>0</v>
      </c>
      <c r="D202" s="392">
        <f>Input!AS200</f>
        <v>200.74039341610035</v>
      </c>
      <c r="E202" s="392">
        <f>Input!E200</f>
        <v>179</v>
      </c>
      <c r="F202" s="393">
        <f>Input!B200</f>
        <v>38165</v>
      </c>
      <c r="G202" s="503">
        <f t="shared" si="7"/>
        <v>29.84714356610322</v>
      </c>
      <c r="H202" s="354"/>
      <c r="I202" s="392">
        <f t="shared" si="6"/>
        <v>201.20000000000005</v>
      </c>
      <c r="J202" s="385"/>
      <c r="K202" s="385"/>
      <c r="L202" s="385"/>
      <c r="M202" s="385"/>
      <c r="N202" s="385"/>
      <c r="O202" s="385"/>
      <c r="P202" s="385"/>
      <c r="Q202" s="385"/>
      <c r="R202" s="385"/>
      <c r="S202" s="385"/>
      <c r="T202" s="385"/>
      <c r="U202" s="385"/>
      <c r="V202" s="385"/>
      <c r="W202" s="385"/>
      <c r="X202" s="385"/>
      <c r="Y202" s="385"/>
      <c r="Z202" s="385"/>
      <c r="AA202" s="385"/>
      <c r="AB202" s="385"/>
      <c r="AC202" s="385"/>
      <c r="AD202" s="385"/>
      <c r="AE202" s="385"/>
      <c r="AF202" s="385"/>
      <c r="AG202" s="385"/>
      <c r="AH202" s="385"/>
      <c r="AI202" s="385"/>
      <c r="AJ202" s="385"/>
      <c r="AK202" s="385"/>
      <c r="AL202" s="385"/>
      <c r="AM202" s="385"/>
      <c r="AN202" s="385"/>
      <c r="AO202" s="385"/>
      <c r="AP202" s="385"/>
      <c r="AQ202" s="385"/>
      <c r="AR202" s="385"/>
      <c r="AS202" s="385"/>
      <c r="AT202" s="385"/>
      <c r="AU202" s="385"/>
      <c r="AV202" s="385"/>
      <c r="AW202" s="385"/>
      <c r="AX202" s="385"/>
      <c r="AY202" s="385"/>
    </row>
    <row r="203" spans="1:51" ht="18">
      <c r="A203" s="385"/>
      <c r="B203" s="391">
        <f>Input!AR201</f>
        <v>3.8307536576735348</v>
      </c>
      <c r="C203" s="391">
        <f>DailyMet!N184</f>
        <v>0</v>
      </c>
      <c r="D203" s="392">
        <f>Input!AS201</f>
        <v>204.57114707377389</v>
      </c>
      <c r="E203" s="392">
        <f>Input!E201</f>
        <v>180</v>
      </c>
      <c r="F203" s="393">
        <f>Input!B201</f>
        <v>38166</v>
      </c>
      <c r="G203" s="503">
        <f t="shared" si="7"/>
        <v>33.677897223776753</v>
      </c>
      <c r="H203" s="354"/>
      <c r="I203" s="392">
        <f t="shared" si="6"/>
        <v>201.20000000000005</v>
      </c>
      <c r="J203" s="385"/>
      <c r="K203" s="385"/>
      <c r="L203" s="385"/>
      <c r="M203" s="385"/>
      <c r="N203" s="385"/>
      <c r="O203" s="385"/>
      <c r="P203" s="385"/>
      <c r="Q203" s="385"/>
      <c r="R203" s="385"/>
      <c r="S203" s="385"/>
      <c r="T203" s="385"/>
      <c r="U203" s="385"/>
      <c r="V203" s="385"/>
      <c r="W203" s="385"/>
      <c r="X203" s="385"/>
      <c r="Y203" s="385"/>
      <c r="Z203" s="385"/>
      <c r="AA203" s="385"/>
      <c r="AB203" s="385"/>
      <c r="AC203" s="385"/>
      <c r="AD203" s="385"/>
      <c r="AE203" s="385"/>
      <c r="AF203" s="385"/>
      <c r="AG203" s="385"/>
      <c r="AH203" s="385"/>
      <c r="AI203" s="385"/>
      <c r="AJ203" s="385"/>
      <c r="AK203" s="385"/>
      <c r="AL203" s="385"/>
      <c r="AM203" s="385"/>
      <c r="AN203" s="385"/>
      <c r="AO203" s="385"/>
      <c r="AP203" s="385"/>
      <c r="AQ203" s="385"/>
      <c r="AR203" s="385"/>
      <c r="AS203" s="385"/>
      <c r="AT203" s="385"/>
      <c r="AU203" s="385"/>
      <c r="AV203" s="385"/>
      <c r="AW203" s="385"/>
      <c r="AX203" s="385"/>
      <c r="AY203" s="385"/>
    </row>
    <row r="204" spans="1:51" ht="18">
      <c r="A204" s="385"/>
      <c r="B204" s="391">
        <f>Input!AR202</f>
        <v>5.3583140185235596</v>
      </c>
      <c r="C204" s="391">
        <f>DailyMet!N185</f>
        <v>0</v>
      </c>
      <c r="D204" s="392">
        <f>Input!AS202</f>
        <v>209.92946109229746</v>
      </c>
      <c r="E204" s="392">
        <f>Input!E202</f>
        <v>181</v>
      </c>
      <c r="F204" s="393">
        <f>Input!B202</f>
        <v>38167</v>
      </c>
      <c r="G204" s="503">
        <f t="shared" si="7"/>
        <v>39.036211242300311</v>
      </c>
      <c r="H204" s="354"/>
      <c r="I204" s="392">
        <f t="shared" si="6"/>
        <v>201.20000000000005</v>
      </c>
      <c r="J204" s="385"/>
      <c r="K204" s="385"/>
      <c r="L204" s="385"/>
      <c r="M204" s="385"/>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5"/>
      <c r="AQ204" s="385"/>
      <c r="AR204" s="385"/>
      <c r="AS204" s="385"/>
      <c r="AT204" s="385"/>
      <c r="AU204" s="385"/>
      <c r="AV204" s="385"/>
      <c r="AW204" s="385"/>
      <c r="AX204" s="385"/>
      <c r="AY204" s="385"/>
    </row>
    <row r="205" spans="1:51" ht="18">
      <c r="A205" s="385"/>
      <c r="B205" s="391">
        <f>Input!AR203</f>
        <v>5.4447214329222833</v>
      </c>
      <c r="C205" s="391">
        <f>DailyMet!N186</f>
        <v>0</v>
      </c>
      <c r="D205" s="392">
        <f>Input!AS203</f>
        <v>215.37418252521974</v>
      </c>
      <c r="E205" s="392">
        <f>Input!E203</f>
        <v>182</v>
      </c>
      <c r="F205" s="393">
        <f>Input!B203</f>
        <v>38168</v>
      </c>
      <c r="G205" s="503">
        <f t="shared" si="7"/>
        <v>44.480932675222597</v>
      </c>
      <c r="H205" s="354"/>
      <c r="I205" s="392">
        <f t="shared" si="6"/>
        <v>201.20000000000005</v>
      </c>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c r="AT205" s="385"/>
      <c r="AU205" s="385"/>
      <c r="AV205" s="385"/>
      <c r="AW205" s="385"/>
      <c r="AX205" s="385"/>
      <c r="AY205" s="385"/>
    </row>
    <row r="206" spans="1:51" ht="18">
      <c r="A206" s="385"/>
      <c r="B206" s="391">
        <f>Input!AR204</f>
        <v>5.6588498961458553</v>
      </c>
      <c r="C206" s="391">
        <f>DailyMet!N187</f>
        <v>0</v>
      </c>
      <c r="D206" s="392">
        <f>Input!AS204</f>
        <v>221.03303242136559</v>
      </c>
      <c r="E206" s="392">
        <f>Input!E204</f>
        <v>183</v>
      </c>
      <c r="F206" s="393">
        <f>Input!B204</f>
        <v>38169</v>
      </c>
      <c r="G206" s="503">
        <f t="shared" si="7"/>
        <v>50.13978257136845</v>
      </c>
      <c r="H206" s="354"/>
      <c r="I206" s="392">
        <f t="shared" si="6"/>
        <v>201.20000000000005</v>
      </c>
      <c r="J206" s="385"/>
      <c r="K206" s="385"/>
      <c r="L206" s="385"/>
      <c r="M206" s="385"/>
      <c r="N206" s="385"/>
      <c r="O206" s="385"/>
      <c r="P206" s="385"/>
      <c r="Q206" s="385"/>
      <c r="R206" s="385"/>
      <c r="S206" s="385"/>
      <c r="T206" s="385"/>
      <c r="U206" s="385"/>
      <c r="V206" s="385"/>
      <c r="W206" s="385"/>
      <c r="X206" s="385"/>
      <c r="Y206" s="385"/>
      <c r="Z206" s="385"/>
      <c r="AA206" s="385"/>
      <c r="AB206" s="385"/>
      <c r="AC206" s="385"/>
      <c r="AD206" s="385"/>
      <c r="AE206" s="385"/>
      <c r="AF206" s="385"/>
      <c r="AG206" s="385"/>
      <c r="AH206" s="385"/>
      <c r="AI206" s="385"/>
      <c r="AJ206" s="385"/>
      <c r="AK206" s="385"/>
      <c r="AL206" s="385"/>
      <c r="AM206" s="385"/>
      <c r="AN206" s="385"/>
      <c r="AO206" s="385"/>
      <c r="AP206" s="385"/>
      <c r="AQ206" s="385"/>
      <c r="AR206" s="385"/>
      <c r="AS206" s="385"/>
      <c r="AT206" s="385"/>
      <c r="AU206" s="385"/>
      <c r="AV206" s="385"/>
      <c r="AW206" s="385"/>
      <c r="AX206" s="385"/>
      <c r="AY206" s="385"/>
    </row>
    <row r="207" spans="1:51" ht="18">
      <c r="A207" s="385"/>
      <c r="B207" s="391">
        <f>Input!AR205</f>
        <v>5.8441625088049189</v>
      </c>
      <c r="C207" s="391">
        <f>DailyMet!N188</f>
        <v>0</v>
      </c>
      <c r="D207" s="392">
        <f>Input!AS205</f>
        <v>226.8771949301705</v>
      </c>
      <c r="E207" s="392">
        <f>Input!E205</f>
        <v>184</v>
      </c>
      <c r="F207" s="393">
        <f>Input!B205</f>
        <v>38170</v>
      </c>
      <c r="G207" s="503">
        <f t="shared" si="7"/>
        <v>55.98394508017337</v>
      </c>
      <c r="H207" s="354"/>
      <c r="I207" s="392">
        <f t="shared" si="6"/>
        <v>201.20000000000005</v>
      </c>
      <c r="J207" s="385"/>
      <c r="K207" s="385"/>
      <c r="L207" s="385"/>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5"/>
      <c r="AQ207" s="385"/>
      <c r="AR207" s="385"/>
      <c r="AS207" s="385"/>
      <c r="AT207" s="385"/>
      <c r="AU207" s="385"/>
      <c r="AV207" s="385"/>
      <c r="AW207" s="385"/>
      <c r="AX207" s="385"/>
      <c r="AY207" s="385"/>
    </row>
    <row r="208" spans="1:51" ht="18">
      <c r="A208" s="385"/>
      <c r="B208" s="391">
        <f>Input!AR206</f>
        <v>5.3271727264251556</v>
      </c>
      <c r="C208" s="391">
        <f>DailyMet!N189</f>
        <v>0</v>
      </c>
      <c r="D208" s="392">
        <f>Input!AS206</f>
        <v>232.20436765659565</v>
      </c>
      <c r="E208" s="392">
        <f>Input!E206</f>
        <v>185</v>
      </c>
      <c r="F208" s="393">
        <f>Input!B206</f>
        <v>38171</v>
      </c>
      <c r="G208" s="503">
        <f t="shared" si="7"/>
        <v>61.311117806598524</v>
      </c>
      <c r="H208" s="354"/>
      <c r="I208" s="392">
        <f t="shared" si="6"/>
        <v>201.20000000000005</v>
      </c>
      <c r="J208" s="385"/>
      <c r="K208" s="385"/>
      <c r="L208" s="385"/>
      <c r="M208" s="385"/>
      <c r="N208" s="385"/>
      <c r="O208" s="385"/>
      <c r="P208" s="385"/>
      <c r="Q208" s="385"/>
      <c r="R208" s="385"/>
      <c r="S208" s="385"/>
      <c r="T208" s="385"/>
      <c r="U208" s="385"/>
      <c r="V208" s="385"/>
      <c r="W208" s="385"/>
      <c r="X208" s="385"/>
      <c r="Y208" s="385"/>
      <c r="Z208" s="385"/>
      <c r="AA208" s="385"/>
      <c r="AB208" s="385"/>
      <c r="AC208" s="385"/>
      <c r="AD208" s="385"/>
      <c r="AE208" s="385"/>
      <c r="AF208" s="385"/>
      <c r="AG208" s="385"/>
      <c r="AH208" s="385"/>
      <c r="AI208" s="385"/>
      <c r="AJ208" s="385"/>
      <c r="AK208" s="385"/>
      <c r="AL208" s="385"/>
      <c r="AM208" s="385"/>
      <c r="AN208" s="385"/>
      <c r="AO208" s="385"/>
      <c r="AP208" s="385"/>
      <c r="AQ208" s="385"/>
      <c r="AR208" s="385"/>
      <c r="AS208" s="385"/>
      <c r="AT208" s="385"/>
      <c r="AU208" s="385"/>
      <c r="AV208" s="385"/>
      <c r="AW208" s="385"/>
      <c r="AX208" s="385"/>
      <c r="AY208" s="385"/>
    </row>
    <row r="209" spans="1:51" ht="18">
      <c r="A209" s="385"/>
      <c r="B209" s="391">
        <f>Input!AR207</f>
        <v>5.467574950832617</v>
      </c>
      <c r="C209" s="391">
        <f>DailyMet!N190</f>
        <v>0</v>
      </c>
      <c r="D209" s="392">
        <f>Input!AS207</f>
        <v>237.67194260742826</v>
      </c>
      <c r="E209" s="392">
        <f>Input!E207</f>
        <v>186</v>
      </c>
      <c r="F209" s="393">
        <f>Input!B207</f>
        <v>38172</v>
      </c>
      <c r="G209" s="503">
        <f t="shared" si="7"/>
        <v>66.778692757431145</v>
      </c>
      <c r="H209" s="354"/>
      <c r="I209" s="392">
        <f t="shared" si="6"/>
        <v>201.20000000000005</v>
      </c>
      <c r="J209" s="385"/>
      <c r="K209" s="385"/>
      <c r="L209" s="385"/>
      <c r="M209" s="385"/>
      <c r="N209" s="385"/>
      <c r="O209" s="385"/>
      <c r="P209" s="385"/>
      <c r="Q209" s="385"/>
      <c r="R209" s="385"/>
      <c r="S209" s="385"/>
      <c r="T209" s="385"/>
      <c r="U209" s="385"/>
      <c r="V209" s="385"/>
      <c r="W209" s="385"/>
      <c r="X209" s="385"/>
      <c r="Y209" s="385"/>
      <c r="Z209" s="385"/>
      <c r="AA209" s="385"/>
      <c r="AB209" s="385"/>
      <c r="AC209" s="385"/>
      <c r="AD209" s="385"/>
      <c r="AE209" s="385"/>
      <c r="AF209" s="385"/>
      <c r="AG209" s="385"/>
      <c r="AH209" s="385"/>
      <c r="AI209" s="385"/>
      <c r="AJ209" s="385"/>
      <c r="AK209" s="385"/>
      <c r="AL209" s="385"/>
      <c r="AM209" s="385"/>
      <c r="AN209" s="385"/>
      <c r="AO209" s="385"/>
      <c r="AP209" s="385"/>
      <c r="AQ209" s="385"/>
      <c r="AR209" s="385"/>
      <c r="AS209" s="385"/>
      <c r="AT209" s="385"/>
      <c r="AU209" s="385"/>
      <c r="AV209" s="385"/>
      <c r="AW209" s="385"/>
      <c r="AX209" s="385"/>
      <c r="AY209" s="385"/>
    </row>
    <row r="210" spans="1:51" ht="18">
      <c r="A210" s="385"/>
      <c r="B210" s="391">
        <f>Input!AR208</f>
        <v>3.6685639583486149</v>
      </c>
      <c r="C210" s="391">
        <f>DailyMet!N191</f>
        <v>0</v>
      </c>
      <c r="D210" s="392">
        <f>Input!AS208</f>
        <v>241.34050656577688</v>
      </c>
      <c r="E210" s="392">
        <f>Input!E208</f>
        <v>187</v>
      </c>
      <c r="F210" s="393">
        <f>Input!B208</f>
        <v>38173</v>
      </c>
      <c r="G210" s="503">
        <f t="shared" si="7"/>
        <v>70.447256715779758</v>
      </c>
      <c r="H210" s="354"/>
      <c r="I210" s="392">
        <f t="shared" si="6"/>
        <v>201.20000000000005</v>
      </c>
      <c r="J210" s="385"/>
      <c r="K210" s="385"/>
      <c r="L210" s="385"/>
      <c r="M210" s="385"/>
      <c r="N210" s="385"/>
      <c r="O210" s="385"/>
      <c r="P210" s="385"/>
      <c r="Q210" s="385"/>
      <c r="R210" s="385"/>
      <c r="S210" s="385"/>
      <c r="T210" s="385"/>
      <c r="U210" s="385"/>
      <c r="V210" s="385"/>
      <c r="W210" s="385"/>
      <c r="X210" s="385"/>
      <c r="Y210" s="385"/>
      <c r="Z210" s="385"/>
      <c r="AA210" s="385"/>
      <c r="AB210" s="385"/>
      <c r="AC210" s="385"/>
      <c r="AD210" s="385"/>
      <c r="AE210" s="385"/>
      <c r="AF210" s="385"/>
      <c r="AG210" s="385"/>
      <c r="AH210" s="385"/>
      <c r="AI210" s="385"/>
      <c r="AJ210" s="385"/>
      <c r="AK210" s="385"/>
      <c r="AL210" s="385"/>
      <c r="AM210" s="385"/>
      <c r="AN210" s="385"/>
      <c r="AO210" s="385"/>
      <c r="AP210" s="385"/>
      <c r="AQ210" s="385"/>
      <c r="AR210" s="385"/>
      <c r="AS210" s="385"/>
      <c r="AT210" s="385"/>
      <c r="AU210" s="385"/>
      <c r="AV210" s="385"/>
      <c r="AW210" s="385"/>
      <c r="AX210" s="385"/>
      <c r="AY210" s="385"/>
    </row>
    <row r="211" spans="1:51" ht="18">
      <c r="A211" s="385"/>
      <c r="B211" s="391">
        <f>Input!AR209</f>
        <v>3.5231215397064357</v>
      </c>
      <c r="C211" s="391">
        <f>DailyMet!N192</f>
        <v>36.4</v>
      </c>
      <c r="D211" s="392">
        <f>Input!AS209</f>
        <v>244.86362810548331</v>
      </c>
      <c r="E211" s="392">
        <f>Input!E209</f>
        <v>188</v>
      </c>
      <c r="F211" s="393">
        <f>Input!B209</f>
        <v>38174</v>
      </c>
      <c r="G211" s="503">
        <f t="shared" si="7"/>
        <v>37.570378255486197</v>
      </c>
      <c r="H211" s="354"/>
      <c r="I211" s="392">
        <f t="shared" si="6"/>
        <v>237.60000000000005</v>
      </c>
      <c r="J211" s="385"/>
      <c r="K211" s="385"/>
      <c r="L211" s="385"/>
      <c r="M211" s="385"/>
      <c r="N211" s="385"/>
      <c r="O211" s="385"/>
      <c r="P211" s="385"/>
      <c r="Q211" s="385"/>
      <c r="R211" s="385"/>
      <c r="S211" s="385"/>
      <c r="T211" s="385"/>
      <c r="U211" s="385"/>
      <c r="V211" s="385"/>
      <c r="W211" s="385"/>
      <c r="X211" s="385"/>
      <c r="Y211" s="385"/>
      <c r="Z211" s="385"/>
      <c r="AA211" s="385"/>
      <c r="AB211" s="385"/>
      <c r="AC211" s="385"/>
      <c r="AD211" s="385"/>
      <c r="AE211" s="385"/>
      <c r="AF211" s="385"/>
      <c r="AG211" s="385"/>
      <c r="AH211" s="385"/>
      <c r="AI211" s="385"/>
      <c r="AJ211" s="385"/>
      <c r="AK211" s="385"/>
      <c r="AL211" s="385"/>
      <c r="AM211" s="385"/>
      <c r="AN211" s="385"/>
      <c r="AO211" s="385"/>
      <c r="AP211" s="385"/>
      <c r="AQ211" s="385"/>
      <c r="AR211" s="385"/>
      <c r="AS211" s="385"/>
      <c r="AT211" s="385"/>
      <c r="AU211" s="385"/>
      <c r="AV211" s="385"/>
      <c r="AW211" s="385"/>
      <c r="AX211" s="385"/>
      <c r="AY211" s="385"/>
    </row>
    <row r="212" spans="1:51" ht="18">
      <c r="A212" s="385"/>
      <c r="B212" s="391">
        <f>Input!AR210</f>
        <v>4.6962956889072212</v>
      </c>
      <c r="C212" s="391">
        <f>DailyMet!N193</f>
        <v>0</v>
      </c>
      <c r="D212" s="392">
        <f>Input!AS210</f>
        <v>249.55992379439053</v>
      </c>
      <c r="E212" s="392">
        <f>Input!E210</f>
        <v>189</v>
      </c>
      <c r="F212" s="393">
        <f>Input!B210</f>
        <v>38175</v>
      </c>
      <c r="G212" s="503">
        <f t="shared" si="7"/>
        <v>42.266673944393418</v>
      </c>
      <c r="H212" s="354"/>
      <c r="I212" s="392">
        <f t="shared" si="6"/>
        <v>237.60000000000005</v>
      </c>
      <c r="J212" s="385"/>
      <c r="K212" s="385"/>
      <c r="L212" s="385"/>
      <c r="M212" s="385"/>
      <c r="N212" s="385"/>
      <c r="O212" s="385"/>
      <c r="P212" s="385"/>
      <c r="Q212" s="385"/>
      <c r="R212" s="385"/>
      <c r="S212" s="385"/>
      <c r="T212" s="385"/>
      <c r="U212" s="385"/>
      <c r="V212" s="385"/>
      <c r="W212" s="385"/>
      <c r="X212" s="385"/>
      <c r="Y212" s="385"/>
      <c r="Z212" s="385"/>
      <c r="AA212" s="385"/>
      <c r="AB212" s="385"/>
      <c r="AC212" s="385"/>
      <c r="AD212" s="385"/>
      <c r="AE212" s="385"/>
      <c r="AF212" s="385"/>
      <c r="AG212" s="385"/>
      <c r="AH212" s="385"/>
      <c r="AI212" s="385"/>
      <c r="AJ212" s="385"/>
      <c r="AK212" s="385"/>
      <c r="AL212" s="385"/>
      <c r="AM212" s="385"/>
      <c r="AN212" s="385"/>
      <c r="AO212" s="385"/>
      <c r="AP212" s="385"/>
      <c r="AQ212" s="385"/>
      <c r="AR212" s="385"/>
      <c r="AS212" s="385"/>
      <c r="AT212" s="385"/>
      <c r="AU212" s="385"/>
      <c r="AV212" s="385"/>
      <c r="AW212" s="385"/>
      <c r="AX212" s="385"/>
      <c r="AY212" s="385"/>
    </row>
    <row r="213" spans="1:51" ht="18">
      <c r="A213" s="385"/>
      <c r="B213" s="391">
        <f>Input!AR211</f>
        <v>4.6610677261511846</v>
      </c>
      <c r="C213" s="391">
        <f>DailyMet!N194</f>
        <v>0</v>
      </c>
      <c r="D213" s="392">
        <f>Input!AS211</f>
        <v>254.2209915205417</v>
      </c>
      <c r="E213" s="392">
        <f>Input!E211</f>
        <v>190</v>
      </c>
      <c r="F213" s="393">
        <f>Input!B211</f>
        <v>38176</v>
      </c>
      <c r="G213" s="503">
        <f t="shared" si="7"/>
        <v>46.927741670544606</v>
      </c>
      <c r="H213" s="354"/>
      <c r="I213" s="392">
        <f t="shared" si="6"/>
        <v>237.60000000000005</v>
      </c>
      <c r="J213" s="385"/>
      <c r="K213" s="385"/>
      <c r="L213" s="385"/>
      <c r="M213" s="385"/>
      <c r="N213" s="385"/>
      <c r="O213" s="385"/>
      <c r="P213" s="385"/>
      <c r="Q213" s="385"/>
      <c r="R213" s="385"/>
      <c r="S213" s="385"/>
      <c r="T213" s="385"/>
      <c r="U213" s="385"/>
      <c r="V213" s="385"/>
      <c r="W213" s="385"/>
      <c r="X213" s="385"/>
      <c r="Y213" s="385"/>
      <c r="Z213" s="385"/>
      <c r="AA213" s="385"/>
      <c r="AB213" s="385"/>
      <c r="AC213" s="385"/>
      <c r="AD213" s="385"/>
      <c r="AE213" s="385"/>
      <c r="AF213" s="385"/>
      <c r="AG213" s="385"/>
      <c r="AH213" s="385"/>
      <c r="AI213" s="385"/>
      <c r="AJ213" s="385"/>
      <c r="AK213" s="385"/>
      <c r="AL213" s="385"/>
      <c r="AM213" s="385"/>
      <c r="AN213" s="385"/>
      <c r="AO213" s="385"/>
      <c r="AP213" s="385"/>
      <c r="AQ213" s="385"/>
      <c r="AR213" s="385"/>
      <c r="AS213" s="385"/>
      <c r="AT213" s="385"/>
      <c r="AU213" s="385"/>
      <c r="AV213" s="385"/>
      <c r="AW213" s="385"/>
      <c r="AX213" s="385"/>
      <c r="AY213" s="385"/>
    </row>
    <row r="214" spans="1:51" ht="18">
      <c r="A214" s="385"/>
      <c r="B214" s="391">
        <f>Input!AR212</f>
        <v>5.0245667445596611</v>
      </c>
      <c r="C214" s="391">
        <f>DailyMet!N195</f>
        <v>0</v>
      </c>
      <c r="D214" s="392">
        <f>Input!AS212</f>
        <v>259.24555826510135</v>
      </c>
      <c r="E214" s="392">
        <f>Input!E212</f>
        <v>191</v>
      </c>
      <c r="F214" s="393">
        <f>Input!B212</f>
        <v>38177</v>
      </c>
      <c r="G214" s="503">
        <f t="shared" si="7"/>
        <v>51.95230841510427</v>
      </c>
      <c r="H214" s="354"/>
      <c r="I214" s="392">
        <f t="shared" si="6"/>
        <v>237.60000000000005</v>
      </c>
      <c r="J214" s="385"/>
      <c r="K214" s="385"/>
      <c r="L214" s="385"/>
      <c r="M214" s="385"/>
      <c r="N214" s="385"/>
      <c r="O214" s="385"/>
      <c r="P214" s="385"/>
      <c r="Q214" s="385"/>
      <c r="R214" s="385"/>
      <c r="S214" s="385"/>
      <c r="T214" s="385"/>
      <c r="U214" s="385"/>
      <c r="V214" s="385"/>
      <c r="W214" s="385"/>
      <c r="X214" s="385"/>
      <c r="Y214" s="385"/>
      <c r="Z214" s="385"/>
      <c r="AA214" s="385"/>
      <c r="AB214" s="385"/>
      <c r="AC214" s="385"/>
      <c r="AD214" s="385"/>
      <c r="AE214" s="385"/>
      <c r="AF214" s="385"/>
      <c r="AG214" s="385"/>
      <c r="AH214" s="385"/>
      <c r="AI214" s="385"/>
      <c r="AJ214" s="385"/>
      <c r="AK214" s="385"/>
      <c r="AL214" s="385"/>
      <c r="AM214" s="385"/>
      <c r="AN214" s="385"/>
      <c r="AO214" s="385"/>
      <c r="AP214" s="385"/>
      <c r="AQ214" s="385"/>
      <c r="AR214" s="385"/>
      <c r="AS214" s="385"/>
      <c r="AT214" s="385"/>
      <c r="AU214" s="385"/>
      <c r="AV214" s="385"/>
      <c r="AW214" s="385"/>
      <c r="AX214" s="385"/>
      <c r="AY214" s="385"/>
    </row>
    <row r="215" spans="1:51" ht="18">
      <c r="A215" s="385"/>
      <c r="B215" s="391">
        <f>Input!AR213</f>
        <v>5.0995663275791001</v>
      </c>
      <c r="C215" s="391">
        <f>DailyMet!N196</f>
        <v>0</v>
      </c>
      <c r="D215" s="392">
        <f>Input!AS213</f>
        <v>264.34512459268046</v>
      </c>
      <c r="E215" s="392">
        <f>Input!E213</f>
        <v>192</v>
      </c>
      <c r="F215" s="393">
        <f>Input!B213</f>
        <v>38178</v>
      </c>
      <c r="G215" s="503">
        <f t="shared" si="7"/>
        <v>57.051874742683367</v>
      </c>
      <c r="H215" s="354"/>
      <c r="I215" s="392">
        <f t="shared" si="6"/>
        <v>237.60000000000005</v>
      </c>
      <c r="J215" s="385"/>
      <c r="K215" s="385"/>
      <c r="L215" s="385"/>
      <c r="M215" s="385"/>
      <c r="N215" s="385"/>
      <c r="O215" s="385"/>
      <c r="P215" s="385"/>
      <c r="Q215" s="385"/>
      <c r="R215" s="385"/>
      <c r="S215" s="385"/>
      <c r="T215" s="385"/>
      <c r="U215" s="385"/>
      <c r="V215" s="385"/>
      <c r="W215" s="385"/>
      <c r="X215" s="385"/>
      <c r="Y215" s="385"/>
      <c r="Z215" s="385"/>
      <c r="AA215" s="385"/>
      <c r="AB215" s="385"/>
      <c r="AC215" s="385"/>
      <c r="AD215" s="385"/>
      <c r="AE215" s="385"/>
      <c r="AF215" s="385"/>
      <c r="AG215" s="385"/>
      <c r="AH215" s="385"/>
      <c r="AI215" s="385"/>
      <c r="AJ215" s="385"/>
      <c r="AK215" s="385"/>
      <c r="AL215" s="385"/>
      <c r="AM215" s="385"/>
      <c r="AN215" s="385"/>
      <c r="AO215" s="385"/>
      <c r="AP215" s="385"/>
      <c r="AQ215" s="385"/>
      <c r="AR215" s="385"/>
      <c r="AS215" s="385"/>
      <c r="AT215" s="385"/>
      <c r="AU215" s="385"/>
      <c r="AV215" s="385"/>
      <c r="AW215" s="385"/>
      <c r="AX215" s="385"/>
      <c r="AY215" s="385"/>
    </row>
    <row r="216" spans="1:51" ht="18">
      <c r="A216" s="385"/>
      <c r="B216" s="391">
        <f>Input!AR214</f>
        <v>5.4311592480342545</v>
      </c>
      <c r="C216" s="391">
        <f>DailyMet!N197</f>
        <v>0</v>
      </c>
      <c r="D216" s="392">
        <f>Input!AS214</f>
        <v>269.77628384071471</v>
      </c>
      <c r="E216" s="392">
        <f>Input!E214</f>
        <v>193</v>
      </c>
      <c r="F216" s="393">
        <f>Input!B214</f>
        <v>38179</v>
      </c>
      <c r="G216" s="503">
        <f t="shared" si="7"/>
        <v>62.483033990717622</v>
      </c>
      <c r="H216" s="354"/>
      <c r="I216" s="392">
        <f t="shared" si="6"/>
        <v>237.60000000000005</v>
      </c>
      <c r="J216" s="385"/>
      <c r="K216" s="385"/>
      <c r="L216" s="385"/>
      <c r="M216" s="385"/>
      <c r="N216" s="385"/>
      <c r="O216" s="385"/>
      <c r="P216" s="385"/>
      <c r="Q216" s="385"/>
      <c r="R216" s="385"/>
      <c r="S216" s="385"/>
      <c r="T216" s="385"/>
      <c r="U216" s="385"/>
      <c r="V216" s="385"/>
      <c r="W216" s="385"/>
      <c r="X216" s="385"/>
      <c r="Y216" s="385"/>
      <c r="Z216" s="385"/>
      <c r="AA216" s="385"/>
      <c r="AB216" s="385"/>
      <c r="AC216" s="385"/>
      <c r="AD216" s="385"/>
      <c r="AE216" s="385"/>
      <c r="AF216" s="385"/>
      <c r="AG216" s="385"/>
      <c r="AH216" s="385"/>
      <c r="AI216" s="385"/>
      <c r="AJ216" s="385"/>
      <c r="AK216" s="385"/>
      <c r="AL216" s="385"/>
      <c r="AM216" s="385"/>
      <c r="AN216" s="385"/>
      <c r="AO216" s="385"/>
      <c r="AP216" s="385"/>
      <c r="AQ216" s="385"/>
      <c r="AR216" s="385"/>
      <c r="AS216" s="385"/>
      <c r="AT216" s="385"/>
      <c r="AU216" s="385"/>
      <c r="AV216" s="385"/>
      <c r="AW216" s="385"/>
      <c r="AX216" s="385"/>
      <c r="AY216" s="385"/>
    </row>
    <row r="217" spans="1:51" ht="18">
      <c r="A217" s="385"/>
      <c r="B217" s="391">
        <f>Input!AR215</f>
        <v>4.6893935767946857</v>
      </c>
      <c r="C217" s="391">
        <f>DailyMet!N198</f>
        <v>0</v>
      </c>
      <c r="D217" s="392">
        <f>Input!AS215</f>
        <v>274.46567741750937</v>
      </c>
      <c r="E217" s="392">
        <f>Input!E215</f>
        <v>194</v>
      </c>
      <c r="F217" s="393">
        <f>Input!B215</f>
        <v>38180</v>
      </c>
      <c r="G217" s="503">
        <f t="shared" si="7"/>
        <v>67.172427567512301</v>
      </c>
      <c r="H217" s="354"/>
      <c r="I217" s="392">
        <f t="shared" si="6"/>
        <v>237.60000000000005</v>
      </c>
      <c r="J217" s="385"/>
      <c r="K217" s="385"/>
      <c r="L217" s="385"/>
      <c r="M217" s="385"/>
      <c r="N217" s="385"/>
      <c r="O217" s="385"/>
      <c r="P217" s="385"/>
      <c r="Q217" s="385"/>
      <c r="R217" s="385"/>
      <c r="S217" s="385"/>
      <c r="T217" s="385"/>
      <c r="U217" s="385"/>
      <c r="V217" s="385"/>
      <c r="W217" s="385"/>
      <c r="X217" s="385"/>
      <c r="Y217" s="385"/>
      <c r="Z217" s="385"/>
      <c r="AA217" s="385"/>
      <c r="AB217" s="385"/>
      <c r="AC217" s="385"/>
      <c r="AD217" s="385"/>
      <c r="AE217" s="385"/>
      <c r="AF217" s="385"/>
      <c r="AG217" s="385"/>
      <c r="AH217" s="385"/>
      <c r="AI217" s="385"/>
      <c r="AJ217" s="385"/>
      <c r="AK217" s="385"/>
      <c r="AL217" s="385"/>
      <c r="AM217" s="385"/>
      <c r="AN217" s="385"/>
      <c r="AO217" s="385"/>
      <c r="AP217" s="385"/>
      <c r="AQ217" s="385"/>
      <c r="AR217" s="385"/>
      <c r="AS217" s="385"/>
      <c r="AT217" s="385"/>
      <c r="AU217" s="385"/>
      <c r="AV217" s="385"/>
      <c r="AW217" s="385"/>
      <c r="AX217" s="385"/>
      <c r="AY217" s="385"/>
    </row>
    <row r="218" spans="1:51" ht="18">
      <c r="A218" s="385"/>
      <c r="B218" s="391">
        <f>Input!AR216</f>
        <v>4.3833451048294183</v>
      </c>
      <c r="C218" s="391">
        <f>DailyMet!N199</f>
        <v>0</v>
      </c>
      <c r="D218" s="392">
        <f>Input!AS216</f>
        <v>278.84902252233877</v>
      </c>
      <c r="E218" s="392">
        <f>Input!E216</f>
        <v>195</v>
      </c>
      <c r="F218" s="393">
        <f>Input!B216</f>
        <v>38181</v>
      </c>
      <c r="G218" s="503">
        <f t="shared" si="7"/>
        <v>71.555772672341718</v>
      </c>
      <c r="H218" s="354"/>
      <c r="I218" s="392">
        <f t="shared" si="6"/>
        <v>237.60000000000005</v>
      </c>
      <c r="J218" s="385"/>
      <c r="K218" s="385"/>
      <c r="L218" s="385"/>
      <c r="M218" s="385"/>
      <c r="N218" s="385"/>
      <c r="O218" s="385"/>
      <c r="P218" s="385"/>
      <c r="Q218" s="385"/>
      <c r="R218" s="385"/>
      <c r="S218" s="385"/>
      <c r="T218" s="385"/>
      <c r="U218" s="385"/>
      <c r="V218" s="385"/>
      <c r="W218" s="385"/>
      <c r="X218" s="385"/>
      <c r="Y218" s="385"/>
      <c r="Z218" s="385"/>
      <c r="AA218" s="385"/>
      <c r="AB218" s="385"/>
      <c r="AC218" s="385"/>
      <c r="AD218" s="385"/>
      <c r="AE218" s="385"/>
      <c r="AF218" s="385"/>
      <c r="AG218" s="385"/>
      <c r="AH218" s="385"/>
      <c r="AI218" s="385"/>
      <c r="AJ218" s="385"/>
      <c r="AK218" s="385"/>
      <c r="AL218" s="385"/>
      <c r="AM218" s="385"/>
      <c r="AN218" s="385"/>
      <c r="AO218" s="385"/>
      <c r="AP218" s="385"/>
      <c r="AQ218" s="385"/>
      <c r="AR218" s="385"/>
      <c r="AS218" s="385"/>
      <c r="AT218" s="385"/>
      <c r="AU218" s="385"/>
      <c r="AV218" s="385"/>
      <c r="AW218" s="385"/>
      <c r="AX218" s="385"/>
      <c r="AY218" s="385"/>
    </row>
    <row r="219" spans="1:51" ht="18">
      <c r="A219" s="385"/>
      <c r="B219" s="391">
        <f>Input!AR217</f>
        <v>4.62738758449896</v>
      </c>
      <c r="C219" s="391">
        <f>DailyMet!N200</f>
        <v>0</v>
      </c>
      <c r="D219" s="392">
        <f>Input!AS217</f>
        <v>283.4764101068377</v>
      </c>
      <c r="E219" s="392">
        <f>Input!E217</f>
        <v>196</v>
      </c>
      <c r="F219" s="393">
        <f>Input!B217</f>
        <v>38182</v>
      </c>
      <c r="G219" s="503">
        <f t="shared" si="7"/>
        <v>76.183160256840679</v>
      </c>
      <c r="H219" s="354"/>
      <c r="I219" s="392">
        <f t="shared" si="6"/>
        <v>237.60000000000005</v>
      </c>
      <c r="J219" s="385"/>
      <c r="K219" s="385"/>
      <c r="L219" s="385"/>
      <c r="M219" s="385"/>
      <c r="N219" s="385"/>
      <c r="O219" s="385"/>
      <c r="P219" s="385"/>
      <c r="Q219" s="385"/>
      <c r="R219" s="385"/>
      <c r="S219" s="385"/>
      <c r="T219" s="385"/>
      <c r="U219" s="385"/>
      <c r="V219" s="385"/>
      <c r="W219" s="385"/>
      <c r="X219" s="385"/>
      <c r="Y219" s="385"/>
      <c r="Z219" s="385"/>
      <c r="AA219" s="385"/>
      <c r="AB219" s="385"/>
      <c r="AC219" s="385"/>
      <c r="AD219" s="385"/>
      <c r="AE219" s="385"/>
      <c r="AF219" s="385"/>
      <c r="AG219" s="385"/>
      <c r="AH219" s="385"/>
      <c r="AI219" s="385"/>
      <c r="AJ219" s="385"/>
      <c r="AK219" s="385"/>
      <c r="AL219" s="385"/>
      <c r="AM219" s="385"/>
      <c r="AN219" s="385"/>
      <c r="AO219" s="385"/>
      <c r="AP219" s="385"/>
      <c r="AQ219" s="385"/>
      <c r="AR219" s="385"/>
      <c r="AS219" s="385"/>
      <c r="AT219" s="385"/>
      <c r="AU219" s="385"/>
      <c r="AV219" s="385"/>
      <c r="AW219" s="385"/>
      <c r="AX219" s="385"/>
      <c r="AY219" s="385"/>
    </row>
    <row r="220" spans="1:51" ht="18">
      <c r="A220" s="385"/>
      <c r="B220" s="391">
        <f>Input!AR218</f>
        <v>4.6195491004158127</v>
      </c>
      <c r="C220" s="391">
        <f>DailyMet!N201</f>
        <v>0</v>
      </c>
      <c r="D220" s="392">
        <f>Input!AS218</f>
        <v>288.09595920725354</v>
      </c>
      <c r="E220" s="392">
        <f>Input!E218</f>
        <v>197</v>
      </c>
      <c r="F220" s="393">
        <f>Input!B218</f>
        <v>38183</v>
      </c>
      <c r="G220" s="503">
        <f t="shared" si="7"/>
        <v>80.802709357256489</v>
      </c>
      <c r="H220" s="354"/>
      <c r="I220" s="392">
        <f t="shared" si="6"/>
        <v>237.60000000000005</v>
      </c>
      <c r="J220" s="385"/>
      <c r="K220" s="385"/>
      <c r="L220" s="385"/>
      <c r="M220" s="385"/>
      <c r="N220" s="385"/>
      <c r="O220" s="385"/>
      <c r="P220" s="385"/>
      <c r="Q220" s="385"/>
      <c r="R220" s="385"/>
      <c r="S220" s="385"/>
      <c r="T220" s="385"/>
      <c r="U220" s="385"/>
      <c r="V220" s="385"/>
      <c r="W220" s="385"/>
      <c r="X220" s="385"/>
      <c r="Y220" s="385"/>
      <c r="Z220" s="385"/>
      <c r="AA220" s="385"/>
      <c r="AB220" s="385"/>
      <c r="AC220" s="385"/>
      <c r="AD220" s="385"/>
      <c r="AE220" s="385"/>
      <c r="AF220" s="385"/>
      <c r="AG220" s="385"/>
      <c r="AH220" s="385"/>
      <c r="AI220" s="385"/>
      <c r="AJ220" s="385"/>
      <c r="AK220" s="385"/>
      <c r="AL220" s="385"/>
      <c r="AM220" s="385"/>
      <c r="AN220" s="385"/>
      <c r="AO220" s="385"/>
      <c r="AP220" s="385"/>
      <c r="AQ220" s="385"/>
      <c r="AR220" s="385"/>
      <c r="AS220" s="385"/>
      <c r="AT220" s="385"/>
      <c r="AU220" s="385"/>
      <c r="AV220" s="385"/>
      <c r="AW220" s="385"/>
      <c r="AX220" s="385"/>
      <c r="AY220" s="385"/>
    </row>
    <row r="221" spans="1:51" ht="18">
      <c r="A221" s="385"/>
      <c r="B221" s="391">
        <f>Input!AR219</f>
        <v>4.8690027658939181</v>
      </c>
      <c r="C221" s="391">
        <f>DailyMet!N202</f>
        <v>0</v>
      </c>
      <c r="D221" s="392">
        <f>Input!AS219</f>
        <v>292.96496197314747</v>
      </c>
      <c r="E221" s="392">
        <f>Input!E219</f>
        <v>198</v>
      </c>
      <c r="F221" s="393">
        <f>Input!B219</f>
        <v>38184</v>
      </c>
      <c r="G221" s="503">
        <f t="shared" si="7"/>
        <v>85.671712123150414</v>
      </c>
      <c r="H221" s="354"/>
      <c r="I221" s="392">
        <f t="shared" si="6"/>
        <v>237.60000000000005</v>
      </c>
      <c r="J221" s="385"/>
      <c r="K221" s="385"/>
      <c r="L221" s="385"/>
      <c r="M221" s="385"/>
      <c r="N221" s="385"/>
      <c r="O221" s="385"/>
      <c r="P221" s="385"/>
      <c r="Q221" s="385"/>
      <c r="R221" s="385"/>
      <c r="S221" s="385"/>
      <c r="T221" s="385"/>
      <c r="U221" s="385"/>
      <c r="V221" s="385"/>
      <c r="W221" s="385"/>
      <c r="X221" s="385"/>
      <c r="Y221" s="385"/>
      <c r="Z221" s="385"/>
      <c r="AA221" s="385"/>
      <c r="AB221" s="385"/>
      <c r="AC221" s="385"/>
      <c r="AD221" s="385"/>
      <c r="AE221" s="385"/>
      <c r="AF221" s="385"/>
      <c r="AG221" s="385"/>
      <c r="AH221" s="385"/>
      <c r="AI221" s="385"/>
      <c r="AJ221" s="385"/>
      <c r="AK221" s="385"/>
      <c r="AL221" s="385"/>
      <c r="AM221" s="385"/>
      <c r="AN221" s="385"/>
      <c r="AO221" s="385"/>
      <c r="AP221" s="385"/>
      <c r="AQ221" s="385"/>
      <c r="AR221" s="385"/>
      <c r="AS221" s="385"/>
      <c r="AT221" s="385"/>
      <c r="AU221" s="385"/>
      <c r="AV221" s="385"/>
      <c r="AW221" s="385"/>
      <c r="AX221" s="385"/>
      <c r="AY221" s="385"/>
    </row>
    <row r="222" spans="1:51" ht="18">
      <c r="A222" s="385"/>
      <c r="B222" s="391">
        <f>Input!AR220</f>
        <v>4.7022175835519615</v>
      </c>
      <c r="C222" s="391">
        <f>DailyMet!N203</f>
        <v>0</v>
      </c>
      <c r="D222" s="392">
        <f>Input!AS220</f>
        <v>297.66717955669941</v>
      </c>
      <c r="E222" s="392">
        <f>Input!E220</f>
        <v>199</v>
      </c>
      <c r="F222" s="393">
        <f>Input!B220</f>
        <v>38185</v>
      </c>
      <c r="G222" s="503">
        <f t="shared" si="7"/>
        <v>90.37392970670237</v>
      </c>
      <c r="H222" s="354"/>
      <c r="I222" s="392">
        <f t="shared" si="6"/>
        <v>237.60000000000005</v>
      </c>
      <c r="J222" s="385"/>
      <c r="K222" s="385"/>
      <c r="L222" s="385"/>
      <c r="M222" s="385"/>
      <c r="N222" s="385"/>
      <c r="O222" s="385"/>
      <c r="P222" s="385"/>
      <c r="Q222" s="385"/>
      <c r="R222" s="385"/>
      <c r="S222" s="385"/>
      <c r="T222" s="385"/>
      <c r="U222" s="385"/>
      <c r="V222" s="385"/>
      <c r="W222" s="385"/>
      <c r="X222" s="385"/>
      <c r="Y222" s="385"/>
      <c r="Z222" s="385"/>
      <c r="AA222" s="385"/>
      <c r="AB222" s="385"/>
      <c r="AC222" s="385"/>
      <c r="AD222" s="385"/>
      <c r="AE222" s="385"/>
      <c r="AF222" s="385"/>
      <c r="AG222" s="385"/>
      <c r="AH222" s="385"/>
      <c r="AI222" s="385"/>
      <c r="AJ222" s="385"/>
      <c r="AK222" s="385"/>
      <c r="AL222" s="385"/>
      <c r="AM222" s="385"/>
      <c r="AN222" s="385"/>
      <c r="AO222" s="385"/>
      <c r="AP222" s="385"/>
      <c r="AQ222" s="385"/>
      <c r="AR222" s="385"/>
      <c r="AS222" s="385"/>
      <c r="AT222" s="385"/>
      <c r="AU222" s="385"/>
      <c r="AV222" s="385"/>
      <c r="AW222" s="385"/>
      <c r="AX222" s="385"/>
      <c r="AY222" s="385"/>
    </row>
    <row r="223" spans="1:51" ht="18">
      <c r="A223" s="385"/>
      <c r="B223" s="391">
        <f>Input!AR221</f>
        <v>4.6273840185192556</v>
      </c>
      <c r="C223" s="391">
        <f>DailyMet!N204</f>
        <v>0</v>
      </c>
      <c r="D223" s="392">
        <f>Input!AS221</f>
        <v>302.29456357521866</v>
      </c>
      <c r="E223" s="392">
        <f>Input!E221</f>
        <v>200</v>
      </c>
      <c r="F223" s="393">
        <f>Input!B221</f>
        <v>38186</v>
      </c>
      <c r="G223" s="503">
        <f t="shared" si="7"/>
        <v>95.001313725221621</v>
      </c>
      <c r="H223" s="354"/>
      <c r="I223" s="392">
        <f t="shared" ref="I223:I286" si="8">IF(B223="",0,IF(D223-D222&lt;0,0,IF(I222+H223+C223&lt;0,0,I222+H223+C223)))</f>
        <v>237.60000000000005</v>
      </c>
      <c r="J223" s="385"/>
      <c r="K223" s="385"/>
      <c r="L223" s="385"/>
      <c r="M223" s="385"/>
      <c r="N223" s="385"/>
      <c r="O223" s="385"/>
      <c r="P223" s="385"/>
      <c r="Q223" s="385"/>
      <c r="R223" s="385"/>
      <c r="S223" s="385"/>
      <c r="T223" s="385"/>
      <c r="U223" s="385"/>
      <c r="V223" s="385"/>
      <c r="W223" s="385"/>
      <c r="X223" s="385"/>
      <c r="Y223" s="385"/>
      <c r="Z223" s="385"/>
      <c r="AA223" s="385"/>
      <c r="AB223" s="385"/>
      <c r="AC223" s="385"/>
      <c r="AD223" s="385"/>
      <c r="AE223" s="385"/>
      <c r="AF223" s="385"/>
      <c r="AG223" s="385"/>
      <c r="AH223" s="385"/>
      <c r="AI223" s="385"/>
      <c r="AJ223" s="385"/>
      <c r="AK223" s="385"/>
      <c r="AL223" s="385"/>
      <c r="AM223" s="385"/>
      <c r="AN223" s="385"/>
      <c r="AO223" s="385"/>
      <c r="AP223" s="385"/>
      <c r="AQ223" s="385"/>
      <c r="AR223" s="385"/>
      <c r="AS223" s="385"/>
      <c r="AT223" s="385"/>
      <c r="AU223" s="385"/>
      <c r="AV223" s="385"/>
      <c r="AW223" s="385"/>
      <c r="AX223" s="385"/>
      <c r="AY223" s="385"/>
    </row>
    <row r="224" spans="1:51" ht="18">
      <c r="A224" s="385"/>
      <c r="B224" s="391">
        <f>Input!AR222</f>
        <v>4.8097527707438434</v>
      </c>
      <c r="C224" s="391">
        <f>DailyMet!N205</f>
        <v>0</v>
      </c>
      <c r="D224" s="392">
        <f>Input!AS222</f>
        <v>307.1043163459625</v>
      </c>
      <c r="E224" s="392">
        <f>Input!E222</f>
        <v>201</v>
      </c>
      <c r="F224" s="393">
        <f>Input!B222</f>
        <v>38187</v>
      </c>
      <c r="G224" s="503">
        <f t="shared" si="7"/>
        <v>99.811066495965463</v>
      </c>
      <c r="H224" s="354"/>
      <c r="I224" s="392">
        <f t="shared" si="8"/>
        <v>237.60000000000005</v>
      </c>
      <c r="J224" s="385"/>
      <c r="K224" s="385"/>
      <c r="L224" s="385"/>
      <c r="M224" s="385"/>
      <c r="N224" s="385"/>
      <c r="O224" s="385"/>
      <c r="P224" s="385"/>
      <c r="Q224" s="385"/>
      <c r="R224" s="385"/>
      <c r="S224" s="385"/>
      <c r="T224" s="385"/>
      <c r="U224" s="385"/>
      <c r="V224" s="385"/>
      <c r="W224" s="385"/>
      <c r="X224" s="385"/>
      <c r="Y224" s="385"/>
      <c r="Z224" s="385"/>
      <c r="AA224" s="385"/>
      <c r="AB224" s="385"/>
      <c r="AC224" s="385"/>
      <c r="AD224" s="385"/>
      <c r="AE224" s="385"/>
      <c r="AF224" s="385"/>
      <c r="AG224" s="385"/>
      <c r="AH224" s="385"/>
      <c r="AI224" s="385"/>
      <c r="AJ224" s="385"/>
      <c r="AK224" s="385"/>
      <c r="AL224" s="385"/>
      <c r="AM224" s="385"/>
      <c r="AN224" s="385"/>
      <c r="AO224" s="385"/>
      <c r="AP224" s="385"/>
      <c r="AQ224" s="385"/>
      <c r="AR224" s="385"/>
      <c r="AS224" s="385"/>
      <c r="AT224" s="385"/>
      <c r="AU224" s="385"/>
      <c r="AV224" s="385"/>
      <c r="AW224" s="385"/>
      <c r="AX224" s="385"/>
      <c r="AY224" s="385"/>
    </row>
    <row r="225" spans="1:51" ht="18">
      <c r="A225" s="385"/>
      <c r="B225" s="391">
        <f>Input!AR223</f>
        <v>5.2894318135381022</v>
      </c>
      <c r="C225" s="391">
        <f>DailyMet!N206</f>
        <v>0</v>
      </c>
      <c r="D225" s="392">
        <f>Input!AS223</f>
        <v>312.3937481595006</v>
      </c>
      <c r="E225" s="392">
        <f>Input!E223</f>
        <v>202</v>
      </c>
      <c r="F225" s="393">
        <f>Input!B223</f>
        <v>38188</v>
      </c>
      <c r="G225" s="503">
        <f t="shared" si="7"/>
        <v>105.10049830950356</v>
      </c>
      <c r="H225" s="354"/>
      <c r="I225" s="392">
        <f t="shared" si="8"/>
        <v>237.60000000000005</v>
      </c>
      <c r="J225" s="385"/>
      <c r="K225" s="385"/>
      <c r="L225" s="385"/>
      <c r="M225" s="385"/>
      <c r="N225" s="385"/>
      <c r="O225" s="385"/>
      <c r="P225" s="385"/>
      <c r="Q225" s="385"/>
      <c r="R225" s="385"/>
      <c r="S225" s="385"/>
      <c r="T225" s="385"/>
      <c r="U225" s="385"/>
      <c r="V225" s="385"/>
      <c r="W225" s="385"/>
      <c r="X225" s="385"/>
      <c r="Y225" s="385"/>
      <c r="Z225" s="385"/>
      <c r="AA225" s="385"/>
      <c r="AB225" s="385"/>
      <c r="AC225" s="385"/>
      <c r="AD225" s="385"/>
      <c r="AE225" s="385"/>
      <c r="AF225" s="385"/>
      <c r="AG225" s="385"/>
      <c r="AH225" s="385"/>
      <c r="AI225" s="385"/>
      <c r="AJ225" s="385"/>
      <c r="AK225" s="385"/>
      <c r="AL225" s="385"/>
      <c r="AM225" s="385"/>
      <c r="AN225" s="385"/>
      <c r="AO225" s="385"/>
      <c r="AP225" s="385"/>
      <c r="AQ225" s="385"/>
      <c r="AR225" s="385"/>
      <c r="AS225" s="385"/>
      <c r="AT225" s="385"/>
      <c r="AU225" s="385"/>
      <c r="AV225" s="385"/>
      <c r="AW225" s="385"/>
      <c r="AX225" s="385"/>
      <c r="AY225" s="385"/>
    </row>
    <row r="226" spans="1:51" ht="18">
      <c r="A226" s="385"/>
      <c r="B226" s="391">
        <f>Input!AR224</f>
        <v>4.5460951483257803</v>
      </c>
      <c r="C226" s="391">
        <f>DailyMet!N207</f>
        <v>0.4</v>
      </c>
      <c r="D226" s="392">
        <f>Input!AS224</f>
        <v>316.93984330782638</v>
      </c>
      <c r="E226" s="392">
        <f>Input!E224</f>
        <v>203</v>
      </c>
      <c r="F226" s="393">
        <f>Input!B224</f>
        <v>38189</v>
      </c>
      <c r="G226" s="503">
        <f t="shared" si="7"/>
        <v>109.24659345782933</v>
      </c>
      <c r="H226" s="354"/>
      <c r="I226" s="392">
        <f t="shared" si="8"/>
        <v>238.00000000000006</v>
      </c>
      <c r="J226" s="385"/>
      <c r="K226" s="385"/>
      <c r="L226" s="385"/>
      <c r="M226" s="385"/>
      <c r="N226" s="385"/>
      <c r="O226" s="385"/>
      <c r="P226" s="385"/>
      <c r="Q226" s="385"/>
      <c r="R226" s="385"/>
      <c r="S226" s="385"/>
      <c r="T226" s="385"/>
      <c r="U226" s="385"/>
      <c r="V226" s="385"/>
      <c r="W226" s="385"/>
      <c r="X226" s="385"/>
      <c r="Y226" s="385"/>
      <c r="Z226" s="385"/>
      <c r="AA226" s="385"/>
      <c r="AB226" s="385"/>
      <c r="AC226" s="385"/>
      <c r="AD226" s="385"/>
      <c r="AE226" s="385"/>
      <c r="AF226" s="385"/>
      <c r="AG226" s="385"/>
      <c r="AH226" s="385"/>
      <c r="AI226" s="385"/>
      <c r="AJ226" s="385"/>
      <c r="AK226" s="385"/>
      <c r="AL226" s="385"/>
      <c r="AM226" s="385"/>
      <c r="AN226" s="385"/>
      <c r="AO226" s="385"/>
      <c r="AP226" s="385"/>
      <c r="AQ226" s="385"/>
      <c r="AR226" s="385"/>
      <c r="AS226" s="385"/>
      <c r="AT226" s="385"/>
      <c r="AU226" s="385"/>
      <c r="AV226" s="385"/>
      <c r="AW226" s="385"/>
      <c r="AX226" s="385"/>
      <c r="AY226" s="385"/>
    </row>
    <row r="227" spans="1:51" ht="18">
      <c r="A227" s="385"/>
      <c r="B227" s="391">
        <f>Input!AR225</f>
        <v>4.1944882948174378</v>
      </c>
      <c r="C227" s="391">
        <f>DailyMet!N208</f>
        <v>0</v>
      </c>
      <c r="D227" s="392">
        <f>Input!AS225</f>
        <v>321.13433160264384</v>
      </c>
      <c r="E227" s="392">
        <f>Input!E225</f>
        <v>204</v>
      </c>
      <c r="F227" s="393">
        <f>Input!B225</f>
        <v>38190</v>
      </c>
      <c r="G227" s="503">
        <f t="shared" si="7"/>
        <v>113.44108175264677</v>
      </c>
      <c r="H227" s="354"/>
      <c r="I227" s="392">
        <f t="shared" si="8"/>
        <v>238.00000000000006</v>
      </c>
      <c r="J227" s="385"/>
      <c r="K227" s="385"/>
      <c r="L227" s="385"/>
      <c r="M227" s="385"/>
      <c r="N227" s="385"/>
      <c r="O227" s="385"/>
      <c r="P227" s="385"/>
      <c r="Q227" s="385"/>
      <c r="R227" s="385"/>
      <c r="S227" s="385"/>
      <c r="T227" s="385"/>
      <c r="U227" s="385"/>
      <c r="V227" s="385"/>
      <c r="W227" s="385"/>
      <c r="X227" s="385"/>
      <c r="Y227" s="385"/>
      <c r="Z227" s="385"/>
      <c r="AA227" s="385"/>
      <c r="AB227" s="385"/>
      <c r="AC227" s="385"/>
      <c r="AD227" s="385"/>
      <c r="AE227" s="385"/>
      <c r="AF227" s="385"/>
      <c r="AG227" s="385"/>
      <c r="AH227" s="385"/>
      <c r="AI227" s="385"/>
      <c r="AJ227" s="385"/>
      <c r="AK227" s="385"/>
      <c r="AL227" s="385"/>
      <c r="AM227" s="385"/>
      <c r="AN227" s="385"/>
      <c r="AO227" s="385"/>
      <c r="AP227" s="385"/>
      <c r="AQ227" s="385"/>
      <c r="AR227" s="385"/>
      <c r="AS227" s="385"/>
      <c r="AT227" s="385"/>
      <c r="AU227" s="385"/>
      <c r="AV227" s="385"/>
      <c r="AW227" s="385"/>
      <c r="AX227" s="385"/>
      <c r="AY227" s="385"/>
    </row>
    <row r="228" spans="1:51" ht="18">
      <c r="A228" s="385"/>
      <c r="B228" s="391">
        <f>Input!AR226</f>
        <v>4.26870477713463</v>
      </c>
      <c r="C228" s="391">
        <f>DailyMet!N209</f>
        <v>0.2</v>
      </c>
      <c r="D228" s="392">
        <f>Input!AS226</f>
        <v>325.40303637977848</v>
      </c>
      <c r="E228" s="392">
        <f>Input!E226</f>
        <v>205</v>
      </c>
      <c r="F228" s="393">
        <f>Input!B226</f>
        <v>38191</v>
      </c>
      <c r="G228" s="503">
        <f t="shared" si="7"/>
        <v>117.50978652978139</v>
      </c>
      <c r="H228" s="354"/>
      <c r="I228" s="392">
        <f t="shared" si="8"/>
        <v>238.20000000000005</v>
      </c>
      <c r="J228" s="385"/>
      <c r="K228" s="385"/>
      <c r="L228" s="385"/>
      <c r="M228" s="385"/>
      <c r="N228" s="385"/>
      <c r="O228" s="385"/>
      <c r="P228" s="385"/>
      <c r="Q228" s="385"/>
      <c r="R228" s="385"/>
      <c r="S228" s="385"/>
      <c r="T228" s="385"/>
      <c r="U228" s="385"/>
      <c r="V228" s="385"/>
      <c r="W228" s="385"/>
      <c r="X228" s="385"/>
      <c r="Y228" s="385"/>
      <c r="Z228" s="385"/>
      <c r="AA228" s="385"/>
      <c r="AB228" s="385"/>
      <c r="AC228" s="385"/>
      <c r="AD228" s="385"/>
      <c r="AE228" s="385"/>
      <c r="AF228" s="385"/>
      <c r="AG228" s="385"/>
      <c r="AH228" s="385"/>
      <c r="AI228" s="385"/>
      <c r="AJ228" s="385"/>
      <c r="AK228" s="385"/>
      <c r="AL228" s="385"/>
      <c r="AM228" s="385"/>
      <c r="AN228" s="385"/>
      <c r="AO228" s="385"/>
      <c r="AP228" s="385"/>
      <c r="AQ228" s="385"/>
      <c r="AR228" s="385"/>
      <c r="AS228" s="385"/>
      <c r="AT228" s="385"/>
      <c r="AU228" s="385"/>
      <c r="AV228" s="385"/>
      <c r="AW228" s="385"/>
      <c r="AX228" s="385"/>
      <c r="AY228" s="385"/>
    </row>
    <row r="229" spans="1:51" ht="18">
      <c r="A229" s="385"/>
      <c r="B229" s="391">
        <f>Input!AR227</f>
        <v>4.3129823028971801</v>
      </c>
      <c r="C229" s="391">
        <f>DailyMet!N210</f>
        <v>0</v>
      </c>
      <c r="D229" s="392">
        <f>Input!AS227</f>
        <v>329.71601868267567</v>
      </c>
      <c r="E229" s="392">
        <f>Input!E227</f>
        <v>206</v>
      </c>
      <c r="F229" s="393">
        <f>Input!B227</f>
        <v>38192</v>
      </c>
      <c r="G229" s="503">
        <f t="shared" si="7"/>
        <v>1.8227688326785767</v>
      </c>
      <c r="H229" s="354">
        <v>120</v>
      </c>
      <c r="I229" s="392">
        <f t="shared" si="8"/>
        <v>358.20000000000005</v>
      </c>
      <c r="J229" s="385"/>
      <c r="K229" s="385"/>
      <c r="L229" s="385"/>
      <c r="M229" s="385"/>
      <c r="N229" s="385"/>
      <c r="O229" s="385"/>
      <c r="P229" s="385"/>
      <c r="Q229" s="385"/>
      <c r="R229" s="385"/>
      <c r="S229" s="385"/>
      <c r="T229" s="385"/>
      <c r="U229" s="385"/>
      <c r="V229" s="385"/>
      <c r="W229" s="385"/>
      <c r="X229" s="385"/>
      <c r="Y229" s="385"/>
      <c r="Z229" s="385"/>
      <c r="AA229" s="385"/>
      <c r="AB229" s="385"/>
      <c r="AC229" s="385"/>
      <c r="AD229" s="385"/>
      <c r="AE229" s="385"/>
      <c r="AF229" s="385"/>
      <c r="AG229" s="385"/>
      <c r="AH229" s="385"/>
      <c r="AI229" s="385"/>
      <c r="AJ229" s="385"/>
      <c r="AK229" s="385"/>
      <c r="AL229" s="385"/>
      <c r="AM229" s="385"/>
      <c r="AN229" s="385"/>
      <c r="AO229" s="385"/>
      <c r="AP229" s="385"/>
      <c r="AQ229" s="385"/>
      <c r="AR229" s="385"/>
      <c r="AS229" s="385"/>
      <c r="AT229" s="385"/>
      <c r="AU229" s="385"/>
      <c r="AV229" s="385"/>
      <c r="AW229" s="385"/>
      <c r="AX229" s="385"/>
      <c r="AY229" s="385"/>
    </row>
    <row r="230" spans="1:51" ht="18">
      <c r="A230" s="385"/>
      <c r="B230" s="391">
        <f>Input!AR228</f>
        <v>3.9518707548774343</v>
      </c>
      <c r="C230" s="391">
        <f>DailyMet!N211</f>
        <v>0</v>
      </c>
      <c r="D230" s="392">
        <f>Input!AS228</f>
        <v>333.66788943755313</v>
      </c>
      <c r="E230" s="392">
        <f>Input!E228</f>
        <v>207</v>
      </c>
      <c r="F230" s="393">
        <f>Input!B228</f>
        <v>38193</v>
      </c>
      <c r="G230" s="503">
        <f t="shared" si="7"/>
        <v>5.7746395875560115</v>
      </c>
      <c r="H230" s="354"/>
      <c r="I230" s="392">
        <f t="shared" si="8"/>
        <v>358.20000000000005</v>
      </c>
      <c r="J230" s="385"/>
      <c r="K230" s="385"/>
      <c r="L230" s="385"/>
      <c r="M230" s="385"/>
      <c r="N230" s="385"/>
      <c r="O230" s="385"/>
      <c r="P230" s="385"/>
      <c r="Q230" s="385"/>
      <c r="R230" s="385"/>
      <c r="S230" s="385"/>
      <c r="T230" s="385"/>
      <c r="U230" s="385"/>
      <c r="V230" s="385"/>
      <c r="W230" s="385"/>
      <c r="X230" s="385"/>
      <c r="Y230" s="385"/>
      <c r="Z230" s="385"/>
      <c r="AA230" s="385"/>
      <c r="AB230" s="385"/>
      <c r="AC230" s="385"/>
      <c r="AD230" s="385"/>
      <c r="AE230" s="385"/>
      <c r="AF230" s="385"/>
      <c r="AG230" s="385"/>
      <c r="AH230" s="385"/>
      <c r="AI230" s="385"/>
      <c r="AJ230" s="385"/>
      <c r="AK230" s="385"/>
      <c r="AL230" s="385"/>
      <c r="AM230" s="385"/>
      <c r="AN230" s="385"/>
      <c r="AO230" s="385"/>
      <c r="AP230" s="385"/>
      <c r="AQ230" s="385"/>
      <c r="AR230" s="385"/>
      <c r="AS230" s="385"/>
      <c r="AT230" s="385"/>
      <c r="AU230" s="385"/>
      <c r="AV230" s="385"/>
      <c r="AW230" s="385"/>
      <c r="AX230" s="385"/>
      <c r="AY230" s="385"/>
    </row>
    <row r="231" spans="1:51" ht="18">
      <c r="A231" s="385"/>
      <c r="B231" s="391">
        <f>Input!AR229</f>
        <v>4.7337611271868942</v>
      </c>
      <c r="C231" s="391">
        <f>DailyMet!N212</f>
        <v>0</v>
      </c>
      <c r="D231" s="392">
        <f>Input!AS229</f>
        <v>338.40165056474001</v>
      </c>
      <c r="E231" s="392">
        <f>Input!E229</f>
        <v>208</v>
      </c>
      <c r="F231" s="393">
        <f>Input!B229</f>
        <v>38194</v>
      </c>
      <c r="G231" s="503">
        <f t="shared" si="7"/>
        <v>10.508400714742905</v>
      </c>
      <c r="H231" s="354"/>
      <c r="I231" s="392">
        <f t="shared" si="8"/>
        <v>358.20000000000005</v>
      </c>
      <c r="J231" s="385"/>
      <c r="K231" s="385"/>
      <c r="L231" s="385"/>
      <c r="M231" s="385"/>
      <c r="N231" s="385"/>
      <c r="O231" s="385"/>
      <c r="P231" s="385"/>
      <c r="Q231" s="385"/>
      <c r="R231" s="385"/>
      <c r="S231" s="385"/>
      <c r="T231" s="385"/>
      <c r="U231" s="385"/>
      <c r="V231" s="385"/>
      <c r="W231" s="385"/>
      <c r="X231" s="385"/>
      <c r="Y231" s="385"/>
      <c r="Z231" s="385"/>
      <c r="AA231" s="385"/>
      <c r="AB231" s="385"/>
      <c r="AC231" s="385"/>
      <c r="AD231" s="385"/>
      <c r="AE231" s="385"/>
      <c r="AF231" s="385"/>
      <c r="AG231" s="385"/>
      <c r="AH231" s="385"/>
      <c r="AI231" s="385"/>
      <c r="AJ231" s="385"/>
      <c r="AK231" s="385"/>
      <c r="AL231" s="385"/>
      <c r="AM231" s="385"/>
      <c r="AN231" s="385"/>
      <c r="AO231" s="385"/>
      <c r="AP231" s="385"/>
      <c r="AQ231" s="385"/>
      <c r="AR231" s="385"/>
      <c r="AS231" s="385"/>
      <c r="AT231" s="385"/>
      <c r="AU231" s="385"/>
      <c r="AV231" s="385"/>
      <c r="AW231" s="385"/>
      <c r="AX231" s="385"/>
      <c r="AY231" s="385"/>
    </row>
    <row r="232" spans="1:51" ht="18">
      <c r="A232" s="385"/>
      <c r="B232" s="391">
        <f>Input!AR230</f>
        <v>3.8856759304026154</v>
      </c>
      <c r="C232" s="391">
        <f>DailyMet!N213</f>
        <v>0</v>
      </c>
      <c r="D232" s="392">
        <f>Input!AS230</f>
        <v>342.28732649514262</v>
      </c>
      <c r="E232" s="392">
        <f>Input!E230</f>
        <v>209</v>
      </c>
      <c r="F232" s="393">
        <f>Input!B230</f>
        <v>38195</v>
      </c>
      <c r="G232" s="503">
        <f t="shared" si="7"/>
        <v>14.394076645145521</v>
      </c>
      <c r="H232" s="354"/>
      <c r="I232" s="392">
        <f t="shared" si="8"/>
        <v>358.20000000000005</v>
      </c>
      <c r="J232" s="385"/>
      <c r="K232" s="385"/>
      <c r="L232" s="385"/>
      <c r="M232" s="385"/>
      <c r="N232" s="385"/>
      <c r="O232" s="385"/>
      <c r="P232" s="385"/>
      <c r="Q232" s="385"/>
      <c r="R232" s="385"/>
      <c r="S232" s="385"/>
      <c r="T232" s="385"/>
      <c r="U232" s="385"/>
      <c r="V232" s="385"/>
      <c r="W232" s="385"/>
      <c r="X232" s="385"/>
      <c r="Y232" s="385"/>
      <c r="Z232" s="385"/>
      <c r="AA232" s="385"/>
      <c r="AB232" s="385"/>
      <c r="AC232" s="385"/>
      <c r="AD232" s="385"/>
      <c r="AE232" s="385"/>
      <c r="AF232" s="385"/>
      <c r="AG232" s="385"/>
      <c r="AH232" s="385"/>
      <c r="AI232" s="385"/>
      <c r="AJ232" s="385"/>
      <c r="AK232" s="385"/>
      <c r="AL232" s="385"/>
      <c r="AM232" s="385"/>
      <c r="AN232" s="385"/>
      <c r="AO232" s="385"/>
      <c r="AP232" s="385"/>
      <c r="AQ232" s="385"/>
      <c r="AR232" s="385"/>
      <c r="AS232" s="385"/>
      <c r="AT232" s="385"/>
      <c r="AU232" s="385"/>
      <c r="AV232" s="385"/>
      <c r="AW232" s="385"/>
      <c r="AX232" s="385"/>
      <c r="AY232" s="385"/>
    </row>
    <row r="233" spans="1:51" ht="18">
      <c r="A233" s="385"/>
      <c r="B233" s="391">
        <f>Input!AR231</f>
        <v>4.7975435445104155</v>
      </c>
      <c r="C233" s="391">
        <f>DailyMet!N214</f>
        <v>0</v>
      </c>
      <c r="D233" s="392">
        <f>Input!AS231</f>
        <v>347.08487003965303</v>
      </c>
      <c r="E233" s="392">
        <f>Input!E231</f>
        <v>210</v>
      </c>
      <c r="F233" s="393">
        <f>Input!B231</f>
        <v>38196</v>
      </c>
      <c r="G233" s="503">
        <f t="shared" si="7"/>
        <v>19.191620189655936</v>
      </c>
      <c r="H233" s="354"/>
      <c r="I233" s="392">
        <f t="shared" si="8"/>
        <v>358.20000000000005</v>
      </c>
      <c r="J233" s="385"/>
      <c r="K233" s="385"/>
      <c r="L233" s="385"/>
      <c r="M233" s="385"/>
      <c r="N233" s="385"/>
      <c r="O233" s="385"/>
      <c r="P233" s="385"/>
      <c r="Q233" s="385"/>
      <c r="R233" s="385"/>
      <c r="S233" s="385"/>
      <c r="T233" s="385"/>
      <c r="U233" s="385"/>
      <c r="V233" s="385"/>
      <c r="W233" s="385"/>
      <c r="X233" s="385"/>
      <c r="Y233" s="385"/>
      <c r="Z233" s="385"/>
      <c r="AA233" s="385"/>
      <c r="AB233" s="385"/>
      <c r="AC233" s="385"/>
      <c r="AD233" s="385"/>
      <c r="AE233" s="385"/>
      <c r="AF233" s="385"/>
      <c r="AG233" s="385"/>
      <c r="AH233" s="385"/>
      <c r="AI233" s="385"/>
      <c r="AJ233" s="385"/>
      <c r="AK233" s="385"/>
      <c r="AL233" s="385"/>
      <c r="AM233" s="385"/>
      <c r="AN233" s="385"/>
      <c r="AO233" s="385"/>
      <c r="AP233" s="385"/>
      <c r="AQ233" s="385"/>
      <c r="AR233" s="385"/>
      <c r="AS233" s="385"/>
      <c r="AT233" s="385"/>
      <c r="AU233" s="385"/>
      <c r="AV233" s="385"/>
      <c r="AW233" s="385"/>
      <c r="AX233" s="385"/>
      <c r="AY233" s="385"/>
    </row>
    <row r="234" spans="1:51" ht="18">
      <c r="A234" s="385"/>
      <c r="B234" s="391">
        <f>Input!AR232</f>
        <v>4.7009571262588947</v>
      </c>
      <c r="C234" s="391">
        <f>DailyMet!N215</f>
        <v>0</v>
      </c>
      <c r="D234" s="392">
        <f>Input!AS232</f>
        <v>351.78582716591194</v>
      </c>
      <c r="E234" s="392">
        <f>Input!E232</f>
        <v>211</v>
      </c>
      <c r="F234" s="393">
        <f>Input!B232</f>
        <v>38197</v>
      </c>
      <c r="G234" s="503">
        <f t="shared" si="7"/>
        <v>23.892577315914831</v>
      </c>
      <c r="H234" s="354"/>
      <c r="I234" s="392">
        <f t="shared" si="8"/>
        <v>358.20000000000005</v>
      </c>
      <c r="J234" s="385"/>
      <c r="K234" s="385"/>
      <c r="L234" s="385"/>
      <c r="M234" s="385"/>
      <c r="N234" s="385"/>
      <c r="O234" s="385"/>
      <c r="P234" s="385"/>
      <c r="Q234" s="385"/>
      <c r="R234" s="385"/>
      <c r="S234" s="385"/>
      <c r="T234" s="385"/>
      <c r="U234" s="385"/>
      <c r="V234" s="385"/>
      <c r="W234" s="385"/>
      <c r="X234" s="385"/>
      <c r="Y234" s="385"/>
      <c r="Z234" s="385"/>
      <c r="AA234" s="385"/>
      <c r="AB234" s="385"/>
      <c r="AC234" s="385"/>
      <c r="AD234" s="385"/>
      <c r="AE234" s="385"/>
      <c r="AF234" s="385"/>
      <c r="AG234" s="385"/>
      <c r="AH234" s="385"/>
      <c r="AI234" s="385"/>
      <c r="AJ234" s="385"/>
      <c r="AK234" s="385"/>
      <c r="AL234" s="385"/>
      <c r="AM234" s="385"/>
      <c r="AN234" s="385"/>
      <c r="AO234" s="385"/>
      <c r="AP234" s="385"/>
      <c r="AQ234" s="385"/>
      <c r="AR234" s="385"/>
      <c r="AS234" s="385"/>
      <c r="AT234" s="385"/>
      <c r="AU234" s="385"/>
      <c r="AV234" s="385"/>
      <c r="AW234" s="385"/>
      <c r="AX234" s="385"/>
      <c r="AY234" s="385"/>
    </row>
    <row r="235" spans="1:51" ht="18">
      <c r="A235" s="385"/>
      <c r="B235" s="391">
        <f>Input!AR233</f>
        <v>4.071127842039612</v>
      </c>
      <c r="C235" s="391">
        <f>DailyMet!N216</f>
        <v>0</v>
      </c>
      <c r="D235" s="392">
        <f>Input!AS233</f>
        <v>355.85695500795157</v>
      </c>
      <c r="E235" s="392">
        <f>Input!E233</f>
        <v>212</v>
      </c>
      <c r="F235" s="393">
        <f>Input!B233</f>
        <v>38198</v>
      </c>
      <c r="G235" s="503">
        <f t="shared" si="7"/>
        <v>27.963705157954443</v>
      </c>
      <c r="H235" s="354"/>
      <c r="I235" s="392">
        <f t="shared" si="8"/>
        <v>358.20000000000005</v>
      </c>
      <c r="J235" s="385"/>
      <c r="K235" s="385"/>
      <c r="L235" s="385"/>
      <c r="M235" s="385"/>
      <c r="N235" s="385"/>
      <c r="O235" s="385"/>
      <c r="P235" s="385"/>
      <c r="Q235" s="385"/>
      <c r="R235" s="385"/>
      <c r="S235" s="385"/>
      <c r="T235" s="385"/>
      <c r="U235" s="385"/>
      <c r="V235" s="385"/>
      <c r="W235" s="385"/>
      <c r="X235" s="385"/>
      <c r="Y235" s="385"/>
      <c r="Z235" s="385"/>
      <c r="AA235" s="385"/>
      <c r="AB235" s="385"/>
      <c r="AC235" s="385"/>
      <c r="AD235" s="385"/>
      <c r="AE235" s="385"/>
      <c r="AF235" s="385"/>
      <c r="AG235" s="385"/>
      <c r="AH235" s="385"/>
      <c r="AI235" s="385"/>
      <c r="AJ235" s="385"/>
      <c r="AK235" s="385"/>
      <c r="AL235" s="385"/>
      <c r="AM235" s="385"/>
      <c r="AN235" s="385"/>
      <c r="AO235" s="385"/>
      <c r="AP235" s="385"/>
      <c r="AQ235" s="385"/>
      <c r="AR235" s="385"/>
      <c r="AS235" s="385"/>
      <c r="AT235" s="385"/>
      <c r="AU235" s="385"/>
      <c r="AV235" s="385"/>
      <c r="AW235" s="385"/>
      <c r="AX235" s="385"/>
      <c r="AY235" s="385"/>
    </row>
    <row r="236" spans="1:51" ht="18">
      <c r="A236" s="385"/>
      <c r="B236" s="391">
        <f>Input!AR234</f>
        <v>3.8986158808670113</v>
      </c>
      <c r="C236" s="391">
        <f>DailyMet!N217</f>
        <v>0</v>
      </c>
      <c r="D236" s="392">
        <f>Input!AS234</f>
        <v>359.75557088881857</v>
      </c>
      <c r="E236" s="392">
        <f>Input!E234</f>
        <v>213</v>
      </c>
      <c r="F236" s="393">
        <f>Input!B234</f>
        <v>38199</v>
      </c>
      <c r="G236" s="503">
        <f t="shared" si="7"/>
        <v>31.862321038821456</v>
      </c>
      <c r="H236" s="354"/>
      <c r="I236" s="392">
        <f t="shared" si="8"/>
        <v>358.20000000000005</v>
      </c>
      <c r="J236" s="385"/>
      <c r="K236" s="385"/>
      <c r="L236" s="385"/>
      <c r="M236" s="385"/>
      <c r="N236" s="385"/>
      <c r="O236" s="385"/>
      <c r="P236" s="385"/>
      <c r="Q236" s="385"/>
      <c r="R236" s="385"/>
      <c r="S236" s="385"/>
      <c r="T236" s="385"/>
      <c r="U236" s="385"/>
      <c r="V236" s="385"/>
      <c r="W236" s="385"/>
      <c r="X236" s="385"/>
      <c r="Y236" s="385"/>
      <c r="Z236" s="385"/>
      <c r="AA236" s="385"/>
      <c r="AB236" s="385"/>
      <c r="AC236" s="385"/>
      <c r="AD236" s="385"/>
      <c r="AE236" s="385"/>
      <c r="AF236" s="385"/>
      <c r="AG236" s="385"/>
      <c r="AH236" s="385"/>
      <c r="AI236" s="385"/>
      <c r="AJ236" s="385"/>
      <c r="AK236" s="385"/>
      <c r="AL236" s="385"/>
      <c r="AM236" s="385"/>
      <c r="AN236" s="385"/>
      <c r="AO236" s="385"/>
      <c r="AP236" s="385"/>
      <c r="AQ236" s="385"/>
      <c r="AR236" s="385"/>
      <c r="AS236" s="385"/>
      <c r="AT236" s="385"/>
      <c r="AU236" s="385"/>
      <c r="AV236" s="385"/>
      <c r="AW236" s="385"/>
      <c r="AX236" s="385"/>
      <c r="AY236" s="385"/>
    </row>
    <row r="237" spans="1:51" ht="18">
      <c r="A237" s="385"/>
      <c r="B237" s="391">
        <f>Input!AR235</f>
        <v>4.6681134670180828</v>
      </c>
      <c r="C237" s="391">
        <f>DailyMet!N218</f>
        <v>0</v>
      </c>
      <c r="D237" s="392">
        <f>Input!AS235</f>
        <v>364.42368435583666</v>
      </c>
      <c r="E237" s="392">
        <f>Input!E235</f>
        <v>214</v>
      </c>
      <c r="F237" s="393">
        <f>Input!B235</f>
        <v>38200</v>
      </c>
      <c r="G237" s="503">
        <f t="shared" si="7"/>
        <v>36.530434505839537</v>
      </c>
      <c r="H237" s="354"/>
      <c r="I237" s="392">
        <f t="shared" si="8"/>
        <v>358.20000000000005</v>
      </c>
      <c r="J237" s="385"/>
      <c r="K237" s="385"/>
      <c r="L237" s="385"/>
      <c r="M237" s="385"/>
      <c r="N237" s="385"/>
      <c r="O237" s="385"/>
      <c r="P237" s="385"/>
      <c r="Q237" s="385"/>
      <c r="R237" s="385"/>
      <c r="S237" s="385"/>
      <c r="T237" s="385"/>
      <c r="U237" s="385"/>
      <c r="V237" s="385"/>
      <c r="W237" s="385"/>
      <c r="X237" s="385"/>
      <c r="Y237" s="385"/>
      <c r="Z237" s="385"/>
      <c r="AA237" s="385"/>
      <c r="AB237" s="385"/>
      <c r="AC237" s="385"/>
      <c r="AD237" s="385"/>
      <c r="AE237" s="385"/>
      <c r="AF237" s="385"/>
      <c r="AG237" s="385"/>
      <c r="AH237" s="385"/>
      <c r="AI237" s="385"/>
      <c r="AJ237" s="385"/>
      <c r="AK237" s="385"/>
      <c r="AL237" s="385"/>
      <c r="AM237" s="385"/>
      <c r="AN237" s="385"/>
      <c r="AO237" s="385"/>
      <c r="AP237" s="385"/>
      <c r="AQ237" s="385"/>
      <c r="AR237" s="385"/>
      <c r="AS237" s="385"/>
      <c r="AT237" s="385"/>
      <c r="AU237" s="385"/>
      <c r="AV237" s="385"/>
      <c r="AW237" s="385"/>
      <c r="AX237" s="385"/>
      <c r="AY237" s="385"/>
    </row>
    <row r="238" spans="1:51" ht="18">
      <c r="A238" s="385"/>
      <c r="B238" s="391">
        <f>Input!AR236</f>
        <v>3.2898756296285678</v>
      </c>
      <c r="C238" s="391">
        <f>DailyMet!N219</f>
        <v>0</v>
      </c>
      <c r="D238" s="392">
        <f>Input!AS236</f>
        <v>367.71355998546522</v>
      </c>
      <c r="E238" s="392">
        <f>Input!E236</f>
        <v>215</v>
      </c>
      <c r="F238" s="393">
        <f>Input!B236</f>
        <v>38201</v>
      </c>
      <c r="G238" s="503">
        <f t="shared" si="7"/>
        <v>39.820310135468105</v>
      </c>
      <c r="H238" s="354"/>
      <c r="I238" s="392">
        <f t="shared" si="8"/>
        <v>358.20000000000005</v>
      </c>
      <c r="J238" s="385"/>
      <c r="K238" s="385"/>
      <c r="L238" s="385"/>
      <c r="M238" s="385"/>
      <c r="N238" s="385"/>
      <c r="O238" s="385"/>
      <c r="P238" s="385"/>
      <c r="Q238" s="385"/>
      <c r="R238" s="385"/>
      <c r="S238" s="385"/>
      <c r="T238" s="385"/>
      <c r="U238" s="385"/>
      <c r="V238" s="385"/>
      <c r="W238" s="385"/>
      <c r="X238" s="385"/>
      <c r="Y238" s="385"/>
      <c r="Z238" s="385"/>
      <c r="AA238" s="385"/>
      <c r="AB238" s="385"/>
      <c r="AC238" s="385"/>
      <c r="AD238" s="385"/>
      <c r="AE238" s="385"/>
      <c r="AF238" s="385"/>
      <c r="AG238" s="385"/>
      <c r="AH238" s="385"/>
      <c r="AI238" s="385"/>
      <c r="AJ238" s="385"/>
      <c r="AK238" s="385"/>
      <c r="AL238" s="385"/>
      <c r="AM238" s="385"/>
      <c r="AN238" s="385"/>
      <c r="AO238" s="385"/>
      <c r="AP238" s="385"/>
      <c r="AQ238" s="385"/>
      <c r="AR238" s="385"/>
      <c r="AS238" s="385"/>
      <c r="AT238" s="385"/>
      <c r="AU238" s="385"/>
      <c r="AV238" s="385"/>
      <c r="AW238" s="385"/>
      <c r="AX238" s="385"/>
      <c r="AY238" s="385"/>
    </row>
    <row r="239" spans="1:51" ht="18">
      <c r="A239" s="385"/>
      <c r="B239" s="391">
        <f>Input!AR237</f>
        <v>4.7857379402067712</v>
      </c>
      <c r="C239" s="391">
        <f>DailyMet!N220</f>
        <v>0</v>
      </c>
      <c r="D239" s="392">
        <f>Input!AS237</f>
        <v>372.49929792567201</v>
      </c>
      <c r="E239" s="392">
        <f>Input!E237</f>
        <v>216</v>
      </c>
      <c r="F239" s="393">
        <f>Input!B237</f>
        <v>38202</v>
      </c>
      <c r="G239" s="503">
        <f t="shared" si="7"/>
        <v>44.606048075674877</v>
      </c>
      <c r="H239" s="354"/>
      <c r="I239" s="392">
        <f t="shared" si="8"/>
        <v>358.20000000000005</v>
      </c>
      <c r="J239" s="385"/>
      <c r="K239" s="385"/>
      <c r="L239" s="385"/>
      <c r="M239" s="385"/>
      <c r="N239" s="385"/>
      <c r="O239" s="385"/>
      <c r="P239" s="385"/>
      <c r="Q239" s="385"/>
      <c r="R239" s="385"/>
      <c r="S239" s="385"/>
      <c r="T239" s="385"/>
      <c r="U239" s="385"/>
      <c r="V239" s="385"/>
      <c r="W239" s="385"/>
      <c r="X239" s="385"/>
      <c r="Y239" s="385"/>
      <c r="Z239" s="385"/>
      <c r="AA239" s="385"/>
      <c r="AB239" s="385"/>
      <c r="AC239" s="385"/>
      <c r="AD239" s="385"/>
      <c r="AE239" s="385"/>
      <c r="AF239" s="385"/>
      <c r="AG239" s="385"/>
      <c r="AH239" s="385"/>
      <c r="AI239" s="385"/>
      <c r="AJ239" s="385"/>
      <c r="AK239" s="385"/>
      <c r="AL239" s="385"/>
      <c r="AM239" s="385"/>
      <c r="AN239" s="385"/>
      <c r="AO239" s="385"/>
      <c r="AP239" s="385"/>
      <c r="AQ239" s="385"/>
      <c r="AR239" s="385"/>
      <c r="AS239" s="385"/>
      <c r="AT239" s="385"/>
      <c r="AU239" s="385"/>
      <c r="AV239" s="385"/>
      <c r="AW239" s="385"/>
      <c r="AX239" s="385"/>
      <c r="AY239" s="385"/>
    </row>
    <row r="240" spans="1:51" ht="18">
      <c r="A240" s="385"/>
      <c r="B240" s="391">
        <f>Input!AR238</f>
        <v>4.4358828310201392</v>
      </c>
      <c r="C240" s="391">
        <f>DailyMet!N221</f>
        <v>0</v>
      </c>
      <c r="D240" s="392">
        <f>Input!AS238</f>
        <v>376.93518075669215</v>
      </c>
      <c r="E240" s="392">
        <f>Input!E238</f>
        <v>217</v>
      </c>
      <c r="F240" s="393">
        <f>Input!B238</f>
        <v>38203</v>
      </c>
      <c r="G240" s="503">
        <f t="shared" si="7"/>
        <v>49.041930906695015</v>
      </c>
      <c r="H240" s="354"/>
      <c r="I240" s="392">
        <f t="shared" si="8"/>
        <v>358.20000000000005</v>
      </c>
      <c r="J240" s="385"/>
      <c r="K240" s="385"/>
      <c r="L240" s="385"/>
      <c r="M240" s="385"/>
      <c r="N240" s="385"/>
      <c r="O240" s="385"/>
      <c r="P240" s="385"/>
      <c r="Q240" s="385"/>
      <c r="R240" s="385"/>
      <c r="S240" s="385"/>
      <c r="T240" s="385"/>
      <c r="U240" s="385"/>
      <c r="V240" s="385"/>
      <c r="W240" s="385"/>
      <c r="X240" s="385"/>
      <c r="Y240" s="385"/>
      <c r="Z240" s="385"/>
      <c r="AA240" s="385"/>
      <c r="AB240" s="385"/>
      <c r="AC240" s="385"/>
      <c r="AD240" s="385"/>
      <c r="AE240" s="385"/>
      <c r="AF240" s="385"/>
      <c r="AG240" s="385"/>
      <c r="AH240" s="385"/>
      <c r="AI240" s="385"/>
      <c r="AJ240" s="385"/>
      <c r="AK240" s="385"/>
      <c r="AL240" s="385"/>
      <c r="AM240" s="385"/>
      <c r="AN240" s="385"/>
      <c r="AO240" s="385"/>
      <c r="AP240" s="385"/>
      <c r="AQ240" s="385"/>
      <c r="AR240" s="385"/>
      <c r="AS240" s="385"/>
      <c r="AT240" s="385"/>
      <c r="AU240" s="385"/>
      <c r="AV240" s="385"/>
      <c r="AW240" s="385"/>
      <c r="AX240" s="385"/>
      <c r="AY240" s="385"/>
    </row>
    <row r="241" spans="1:51" ht="18">
      <c r="A241" s="385"/>
      <c r="B241" s="391">
        <f>Input!AR239</f>
        <v>4.2080521570432001</v>
      </c>
      <c r="C241" s="391">
        <f>DailyMet!N222</f>
        <v>0</v>
      </c>
      <c r="D241" s="392">
        <f>Input!AS239</f>
        <v>381.14323291373535</v>
      </c>
      <c r="E241" s="392">
        <f>Input!E239</f>
        <v>218</v>
      </c>
      <c r="F241" s="393">
        <f>Input!B239</f>
        <v>38204</v>
      </c>
      <c r="G241" s="503">
        <f t="shared" si="7"/>
        <v>53.249983063738213</v>
      </c>
      <c r="H241" s="354"/>
      <c r="I241" s="392">
        <f t="shared" si="8"/>
        <v>358.20000000000005</v>
      </c>
      <c r="J241" s="385"/>
      <c r="K241" s="385"/>
      <c r="L241" s="385"/>
      <c r="M241" s="385"/>
      <c r="N241" s="385"/>
      <c r="O241" s="385"/>
      <c r="P241" s="385"/>
      <c r="Q241" s="385"/>
      <c r="R241" s="385"/>
      <c r="S241" s="385"/>
      <c r="T241" s="385"/>
      <c r="U241" s="385"/>
      <c r="V241" s="385"/>
      <c r="W241" s="385"/>
      <c r="X241" s="385"/>
      <c r="Y241" s="385"/>
      <c r="Z241" s="385"/>
      <c r="AA241" s="385"/>
      <c r="AB241" s="385"/>
      <c r="AC241" s="385"/>
      <c r="AD241" s="385"/>
      <c r="AE241" s="385"/>
      <c r="AF241" s="385"/>
      <c r="AG241" s="385"/>
      <c r="AH241" s="385"/>
      <c r="AI241" s="385"/>
      <c r="AJ241" s="385"/>
      <c r="AK241" s="385"/>
      <c r="AL241" s="385"/>
      <c r="AM241" s="385"/>
      <c r="AN241" s="385"/>
      <c r="AO241" s="385"/>
      <c r="AP241" s="385"/>
      <c r="AQ241" s="385"/>
      <c r="AR241" s="385"/>
      <c r="AS241" s="385"/>
      <c r="AT241" s="385"/>
      <c r="AU241" s="385"/>
      <c r="AV241" s="385"/>
      <c r="AW241" s="385"/>
      <c r="AX241" s="385"/>
      <c r="AY241" s="385"/>
    </row>
    <row r="242" spans="1:51" ht="18">
      <c r="A242" s="385"/>
      <c r="B242" s="391">
        <f>Input!AR240</f>
        <v>4.7384947845209746</v>
      </c>
      <c r="C242" s="391">
        <f>DailyMet!N223</f>
        <v>0</v>
      </c>
      <c r="D242" s="392">
        <f>Input!AS240</f>
        <v>385.88172769825633</v>
      </c>
      <c r="E242" s="392">
        <f>Input!E240</f>
        <v>219</v>
      </c>
      <c r="F242" s="393">
        <f>Input!B240</f>
        <v>38205</v>
      </c>
      <c r="G242" s="503">
        <f t="shared" si="7"/>
        <v>57.988477848259187</v>
      </c>
      <c r="H242" s="354"/>
      <c r="I242" s="392">
        <f t="shared" si="8"/>
        <v>358.20000000000005</v>
      </c>
      <c r="J242" s="385"/>
      <c r="K242" s="385"/>
      <c r="L242" s="385"/>
      <c r="M242" s="385"/>
      <c r="N242" s="385"/>
      <c r="O242" s="385"/>
      <c r="P242" s="385"/>
      <c r="Q242" s="385"/>
      <c r="R242" s="385"/>
      <c r="S242" s="385"/>
      <c r="T242" s="385"/>
      <c r="U242" s="385"/>
      <c r="V242" s="385"/>
      <c r="W242" s="385"/>
      <c r="X242" s="385"/>
      <c r="Y242" s="385"/>
      <c r="Z242" s="385"/>
      <c r="AA242" s="385"/>
      <c r="AB242" s="385"/>
      <c r="AC242" s="385"/>
      <c r="AD242" s="385"/>
      <c r="AE242" s="385"/>
      <c r="AF242" s="385"/>
      <c r="AG242" s="385"/>
      <c r="AH242" s="385"/>
      <c r="AI242" s="385"/>
      <c r="AJ242" s="385"/>
      <c r="AK242" s="385"/>
      <c r="AL242" s="385"/>
      <c r="AM242" s="385"/>
      <c r="AN242" s="385"/>
      <c r="AO242" s="385"/>
      <c r="AP242" s="385"/>
      <c r="AQ242" s="385"/>
      <c r="AR242" s="385"/>
      <c r="AS242" s="385"/>
      <c r="AT242" s="385"/>
      <c r="AU242" s="385"/>
      <c r="AV242" s="385"/>
      <c r="AW242" s="385"/>
      <c r="AX242" s="385"/>
      <c r="AY242" s="385"/>
    </row>
    <row r="243" spans="1:51" ht="18">
      <c r="A243" s="385"/>
      <c r="B243" s="391">
        <f>Input!AR241</f>
        <v>5.0217795349308538</v>
      </c>
      <c r="C243" s="391">
        <f>DailyMet!N224</f>
        <v>0</v>
      </c>
      <c r="D243" s="392">
        <f>Input!AS241</f>
        <v>390.90350723318716</v>
      </c>
      <c r="E243" s="392">
        <f>Input!E241</f>
        <v>220</v>
      </c>
      <c r="F243" s="393">
        <f>Input!B241</f>
        <v>38206</v>
      </c>
      <c r="G243" s="503">
        <f t="shared" ref="G243:G306" si="9">IF(B243="",0,IF(H243&lt;&gt;"",IF(G242+B243-H243-C243&lt;0,0,G242+B243-H243-C243),IF(G242+B243-C243&lt;0,0,G242+B243-C243)))</f>
        <v>63.010257383190037</v>
      </c>
      <c r="H243" s="354"/>
      <c r="I243" s="392">
        <f t="shared" si="8"/>
        <v>358.20000000000005</v>
      </c>
      <c r="J243" s="385"/>
      <c r="K243" s="385"/>
      <c r="L243" s="385"/>
      <c r="M243" s="385"/>
      <c r="N243" s="385"/>
      <c r="O243" s="385"/>
      <c r="P243" s="385"/>
      <c r="Q243" s="385"/>
      <c r="R243" s="385"/>
      <c r="S243" s="385"/>
      <c r="T243" s="385"/>
      <c r="U243" s="385"/>
      <c r="V243" s="385"/>
      <c r="W243" s="385"/>
      <c r="X243" s="385"/>
      <c r="Y243" s="385"/>
      <c r="Z243" s="385"/>
      <c r="AA243" s="385"/>
      <c r="AB243" s="385"/>
      <c r="AC243" s="385"/>
      <c r="AD243" s="385"/>
      <c r="AE243" s="385"/>
      <c r="AF243" s="385"/>
      <c r="AG243" s="385"/>
      <c r="AH243" s="385"/>
      <c r="AI243" s="385"/>
      <c r="AJ243" s="385"/>
      <c r="AK243" s="385"/>
      <c r="AL243" s="385"/>
      <c r="AM243" s="385"/>
      <c r="AN243" s="385"/>
      <c r="AO243" s="385"/>
      <c r="AP243" s="385"/>
      <c r="AQ243" s="385"/>
      <c r="AR243" s="385"/>
      <c r="AS243" s="385"/>
      <c r="AT243" s="385"/>
      <c r="AU243" s="385"/>
      <c r="AV243" s="385"/>
      <c r="AW243" s="385"/>
      <c r="AX243" s="385"/>
      <c r="AY243" s="385"/>
    </row>
    <row r="244" spans="1:51" ht="18">
      <c r="A244" s="385"/>
      <c r="B244" s="391">
        <f>Input!AR242</f>
        <v>3.7836709058462525</v>
      </c>
      <c r="C244" s="391">
        <f>DailyMet!N225</f>
        <v>0</v>
      </c>
      <c r="D244" s="392">
        <f>Input!AS242</f>
        <v>394.68717813903339</v>
      </c>
      <c r="E244" s="392">
        <f>Input!E242</f>
        <v>221</v>
      </c>
      <c r="F244" s="393">
        <f>Input!B242</f>
        <v>38207</v>
      </c>
      <c r="G244" s="503">
        <f t="shared" si="9"/>
        <v>66.793928289036288</v>
      </c>
      <c r="H244" s="354"/>
      <c r="I244" s="392">
        <f t="shared" si="8"/>
        <v>358.20000000000005</v>
      </c>
      <c r="J244" s="385"/>
      <c r="K244" s="385"/>
      <c r="L244" s="385"/>
      <c r="M244" s="385"/>
      <c r="N244" s="385"/>
      <c r="O244" s="385"/>
      <c r="P244" s="385"/>
      <c r="Q244" s="385"/>
      <c r="R244" s="385"/>
      <c r="S244" s="385"/>
      <c r="T244" s="385"/>
      <c r="U244" s="385"/>
      <c r="V244" s="385"/>
      <c r="W244" s="385"/>
      <c r="X244" s="385"/>
      <c r="Y244" s="385"/>
      <c r="Z244" s="385"/>
      <c r="AA244" s="385"/>
      <c r="AB244" s="385"/>
      <c r="AC244" s="385"/>
      <c r="AD244" s="385"/>
      <c r="AE244" s="385"/>
      <c r="AF244" s="385"/>
      <c r="AG244" s="385"/>
      <c r="AH244" s="385"/>
      <c r="AI244" s="385"/>
      <c r="AJ244" s="385"/>
      <c r="AK244" s="385"/>
      <c r="AL244" s="385"/>
      <c r="AM244" s="385"/>
      <c r="AN244" s="385"/>
      <c r="AO244" s="385"/>
      <c r="AP244" s="385"/>
      <c r="AQ244" s="385"/>
      <c r="AR244" s="385"/>
      <c r="AS244" s="385"/>
      <c r="AT244" s="385"/>
      <c r="AU244" s="385"/>
      <c r="AV244" s="385"/>
      <c r="AW244" s="385"/>
      <c r="AX244" s="385"/>
      <c r="AY244" s="385"/>
    </row>
    <row r="245" spans="1:51" ht="18">
      <c r="A245" s="385"/>
      <c r="B245" s="391">
        <f>Input!AR243</f>
        <v>4.3639082278450898</v>
      </c>
      <c r="C245" s="391">
        <f>DailyMet!N226</f>
        <v>0</v>
      </c>
      <c r="D245" s="392">
        <f>Input!AS243</f>
        <v>399.05108636687851</v>
      </c>
      <c r="E245" s="392">
        <f>Input!E243</f>
        <v>222</v>
      </c>
      <c r="F245" s="393">
        <f>Input!B243</f>
        <v>38208</v>
      </c>
      <c r="G245" s="503">
        <f t="shared" si="9"/>
        <v>71.157836516881375</v>
      </c>
      <c r="H245" s="354"/>
      <c r="I245" s="392">
        <f t="shared" si="8"/>
        <v>358.20000000000005</v>
      </c>
      <c r="J245" s="385"/>
      <c r="K245" s="385"/>
      <c r="L245" s="385"/>
      <c r="M245" s="385"/>
      <c r="N245" s="385"/>
      <c r="O245" s="385"/>
      <c r="P245" s="385"/>
      <c r="Q245" s="385"/>
      <c r="R245" s="385"/>
      <c r="S245" s="385"/>
      <c r="T245" s="385"/>
      <c r="U245" s="385"/>
      <c r="V245" s="385"/>
      <c r="W245" s="385"/>
      <c r="X245" s="385"/>
      <c r="Y245" s="385"/>
      <c r="Z245" s="385"/>
      <c r="AA245" s="385"/>
      <c r="AB245" s="385"/>
      <c r="AC245" s="385"/>
      <c r="AD245" s="385"/>
      <c r="AE245" s="385"/>
      <c r="AF245" s="385"/>
      <c r="AG245" s="385"/>
      <c r="AH245" s="385"/>
      <c r="AI245" s="385"/>
      <c r="AJ245" s="385"/>
      <c r="AK245" s="385"/>
      <c r="AL245" s="385"/>
      <c r="AM245" s="385"/>
      <c r="AN245" s="385"/>
      <c r="AO245" s="385"/>
      <c r="AP245" s="385"/>
      <c r="AQ245" s="385"/>
      <c r="AR245" s="385"/>
      <c r="AS245" s="385"/>
      <c r="AT245" s="385"/>
      <c r="AU245" s="385"/>
      <c r="AV245" s="385"/>
      <c r="AW245" s="385"/>
      <c r="AX245" s="385"/>
      <c r="AY245" s="385"/>
    </row>
    <row r="246" spans="1:51" ht="18">
      <c r="A246" s="385"/>
      <c r="B246" s="391">
        <f>Input!AR244</f>
        <v>4.0914267515499025</v>
      </c>
      <c r="C246" s="391">
        <f>DailyMet!N227</f>
        <v>0</v>
      </c>
      <c r="D246" s="392">
        <f>Input!AS244</f>
        <v>403.14251311842838</v>
      </c>
      <c r="E246" s="392">
        <f>Input!E244</f>
        <v>223</v>
      </c>
      <c r="F246" s="393">
        <f>Input!B244</f>
        <v>38209</v>
      </c>
      <c r="G246" s="503">
        <f t="shared" si="9"/>
        <v>75.249263268431278</v>
      </c>
      <c r="H246" s="354"/>
      <c r="I246" s="392">
        <f t="shared" si="8"/>
        <v>358.20000000000005</v>
      </c>
      <c r="J246" s="385"/>
      <c r="K246" s="385"/>
      <c r="L246" s="385"/>
      <c r="M246" s="385"/>
      <c r="N246" s="385"/>
      <c r="O246" s="385"/>
      <c r="P246" s="385"/>
      <c r="Q246" s="385"/>
      <c r="R246" s="385"/>
      <c r="S246" s="385"/>
      <c r="T246" s="385"/>
      <c r="U246" s="385"/>
      <c r="V246" s="385"/>
      <c r="W246" s="385"/>
      <c r="X246" s="385"/>
      <c r="Y246" s="385"/>
      <c r="Z246" s="385"/>
      <c r="AA246" s="385"/>
      <c r="AB246" s="385"/>
      <c r="AC246" s="385"/>
      <c r="AD246" s="385"/>
      <c r="AE246" s="385"/>
      <c r="AF246" s="385"/>
      <c r="AG246" s="385"/>
      <c r="AH246" s="385"/>
      <c r="AI246" s="385"/>
      <c r="AJ246" s="385"/>
      <c r="AK246" s="385"/>
      <c r="AL246" s="385"/>
      <c r="AM246" s="385"/>
      <c r="AN246" s="385"/>
      <c r="AO246" s="385"/>
      <c r="AP246" s="385"/>
      <c r="AQ246" s="385"/>
      <c r="AR246" s="385"/>
      <c r="AS246" s="385"/>
      <c r="AT246" s="385"/>
      <c r="AU246" s="385"/>
      <c r="AV246" s="385"/>
      <c r="AW246" s="385"/>
      <c r="AX246" s="385"/>
      <c r="AY246" s="385"/>
    </row>
    <row r="247" spans="1:51" ht="18">
      <c r="A247" s="385"/>
      <c r="B247" s="391">
        <f>Input!AR245</f>
        <v>3.5600012675124924</v>
      </c>
      <c r="C247" s="391">
        <f>DailyMet!N228</f>
        <v>0</v>
      </c>
      <c r="D247" s="392">
        <f>Input!AS245</f>
        <v>406.7025143859409</v>
      </c>
      <c r="E247" s="392">
        <f>Input!E245</f>
        <v>224</v>
      </c>
      <c r="F247" s="393">
        <f>Input!B245</f>
        <v>38210</v>
      </c>
      <c r="G247" s="503">
        <f t="shared" si="9"/>
        <v>78.809264535943768</v>
      </c>
      <c r="H247" s="354"/>
      <c r="I247" s="392">
        <f t="shared" si="8"/>
        <v>358.20000000000005</v>
      </c>
      <c r="J247" s="385"/>
      <c r="K247" s="385"/>
      <c r="L247" s="385"/>
      <c r="M247" s="385"/>
      <c r="N247" s="385"/>
      <c r="O247" s="385"/>
      <c r="P247" s="385"/>
      <c r="Q247" s="385"/>
      <c r="R247" s="385"/>
      <c r="S247" s="385"/>
      <c r="T247" s="385"/>
      <c r="U247" s="385"/>
      <c r="V247" s="385"/>
      <c r="W247" s="385"/>
      <c r="X247" s="385"/>
      <c r="Y247" s="385"/>
      <c r="Z247" s="385"/>
      <c r="AA247" s="385"/>
      <c r="AB247" s="385"/>
      <c r="AC247" s="385"/>
      <c r="AD247" s="385"/>
      <c r="AE247" s="385"/>
      <c r="AF247" s="385"/>
      <c r="AG247" s="385"/>
      <c r="AH247" s="385"/>
      <c r="AI247" s="385"/>
      <c r="AJ247" s="385"/>
      <c r="AK247" s="385"/>
      <c r="AL247" s="385"/>
      <c r="AM247" s="385"/>
      <c r="AN247" s="385"/>
      <c r="AO247" s="385"/>
      <c r="AP247" s="385"/>
      <c r="AQ247" s="385"/>
      <c r="AR247" s="385"/>
      <c r="AS247" s="385"/>
      <c r="AT247" s="385"/>
      <c r="AU247" s="385"/>
      <c r="AV247" s="385"/>
      <c r="AW247" s="385"/>
      <c r="AX247" s="385"/>
      <c r="AY247" s="385"/>
    </row>
    <row r="248" spans="1:51" ht="18">
      <c r="A248" s="385"/>
      <c r="B248" s="391">
        <f>Input!AR246</f>
        <v>3.4987709451137587</v>
      </c>
      <c r="C248" s="391">
        <f>DailyMet!N229</f>
        <v>0</v>
      </c>
      <c r="D248" s="392">
        <f>Input!AS246</f>
        <v>410.20128533105463</v>
      </c>
      <c r="E248" s="392">
        <f>Input!E246</f>
        <v>225</v>
      </c>
      <c r="F248" s="393">
        <f>Input!B246</f>
        <v>38211</v>
      </c>
      <c r="G248" s="503">
        <f t="shared" si="9"/>
        <v>82.30803548105753</v>
      </c>
      <c r="H248" s="354"/>
      <c r="I248" s="392">
        <f t="shared" si="8"/>
        <v>358.20000000000005</v>
      </c>
      <c r="J248" s="385"/>
      <c r="K248" s="385"/>
      <c r="L248" s="385"/>
      <c r="M248" s="385"/>
      <c r="N248" s="385"/>
      <c r="O248" s="385"/>
      <c r="P248" s="385"/>
      <c r="Q248" s="385"/>
      <c r="R248" s="385"/>
      <c r="S248" s="385"/>
      <c r="T248" s="385"/>
      <c r="U248" s="385"/>
      <c r="V248" s="385"/>
      <c r="W248" s="385"/>
      <c r="X248" s="385"/>
      <c r="Y248" s="385"/>
      <c r="Z248" s="385"/>
      <c r="AA248" s="385"/>
      <c r="AB248" s="385"/>
      <c r="AC248" s="385"/>
      <c r="AD248" s="385"/>
      <c r="AE248" s="385"/>
      <c r="AF248" s="385"/>
      <c r="AG248" s="385"/>
      <c r="AH248" s="385"/>
      <c r="AI248" s="385"/>
      <c r="AJ248" s="385"/>
      <c r="AK248" s="385"/>
      <c r="AL248" s="385"/>
      <c r="AM248" s="385"/>
      <c r="AN248" s="385"/>
      <c r="AO248" s="385"/>
      <c r="AP248" s="385"/>
      <c r="AQ248" s="385"/>
      <c r="AR248" s="385"/>
      <c r="AS248" s="385"/>
      <c r="AT248" s="385"/>
      <c r="AU248" s="385"/>
      <c r="AV248" s="385"/>
      <c r="AW248" s="385"/>
      <c r="AX248" s="385"/>
      <c r="AY248" s="385"/>
    </row>
    <row r="249" spans="1:51" ht="18">
      <c r="A249" s="385"/>
      <c r="B249" s="391">
        <f>Input!AR247</f>
        <v>4.1946489807206664</v>
      </c>
      <c r="C249" s="391">
        <f>DailyMet!N230</f>
        <v>0</v>
      </c>
      <c r="D249" s="392">
        <f>Input!AS247</f>
        <v>414.39593431177531</v>
      </c>
      <c r="E249" s="392">
        <f>Input!E247</f>
        <v>226</v>
      </c>
      <c r="F249" s="393">
        <f>Input!B247</f>
        <v>38212</v>
      </c>
      <c r="G249" s="503">
        <f t="shared" si="9"/>
        <v>86.502684461778202</v>
      </c>
      <c r="H249" s="354"/>
      <c r="I249" s="392">
        <f t="shared" si="8"/>
        <v>358.20000000000005</v>
      </c>
      <c r="J249" s="385"/>
      <c r="K249" s="385"/>
      <c r="L249" s="385"/>
      <c r="M249" s="385"/>
      <c r="N249" s="385"/>
      <c r="O249" s="385"/>
      <c r="P249" s="385"/>
      <c r="Q249" s="385"/>
      <c r="R249" s="385"/>
      <c r="S249" s="385"/>
      <c r="T249" s="385"/>
      <c r="U249" s="385"/>
      <c r="V249" s="385"/>
      <c r="W249" s="385"/>
      <c r="X249" s="385"/>
      <c r="Y249" s="385"/>
      <c r="Z249" s="385"/>
      <c r="AA249" s="385"/>
      <c r="AB249" s="385"/>
      <c r="AC249" s="385"/>
      <c r="AD249" s="385"/>
      <c r="AE249" s="385"/>
      <c r="AF249" s="385"/>
      <c r="AG249" s="385"/>
      <c r="AH249" s="385"/>
      <c r="AI249" s="385"/>
      <c r="AJ249" s="385"/>
      <c r="AK249" s="385"/>
      <c r="AL249" s="385"/>
      <c r="AM249" s="385"/>
      <c r="AN249" s="385"/>
      <c r="AO249" s="385"/>
      <c r="AP249" s="385"/>
      <c r="AQ249" s="385"/>
      <c r="AR249" s="385"/>
      <c r="AS249" s="385"/>
      <c r="AT249" s="385"/>
      <c r="AU249" s="385"/>
      <c r="AV249" s="385"/>
      <c r="AW249" s="385"/>
      <c r="AX249" s="385"/>
      <c r="AY249" s="385"/>
    </row>
    <row r="250" spans="1:51" ht="18">
      <c r="A250" s="385"/>
      <c r="B250" s="391">
        <f>Input!AR248</f>
        <v>4.0091425168987671</v>
      </c>
      <c r="C250" s="391">
        <f>DailyMet!N231</f>
        <v>0</v>
      </c>
      <c r="D250" s="392">
        <f>Input!AS248</f>
        <v>418.40507682867405</v>
      </c>
      <c r="E250" s="392">
        <f>Input!E248</f>
        <v>227</v>
      </c>
      <c r="F250" s="393">
        <f>Input!B248</f>
        <v>38213</v>
      </c>
      <c r="G250" s="503">
        <f t="shared" si="9"/>
        <v>90.511826978676964</v>
      </c>
      <c r="H250" s="354"/>
      <c r="I250" s="392">
        <f t="shared" si="8"/>
        <v>358.20000000000005</v>
      </c>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F250" s="385"/>
      <c r="AG250" s="385"/>
      <c r="AH250" s="385"/>
      <c r="AI250" s="385"/>
      <c r="AJ250" s="385"/>
      <c r="AK250" s="385"/>
      <c r="AL250" s="385"/>
      <c r="AM250" s="385"/>
      <c r="AN250" s="385"/>
      <c r="AO250" s="385"/>
      <c r="AP250" s="385"/>
      <c r="AQ250" s="385"/>
      <c r="AR250" s="385"/>
      <c r="AS250" s="385"/>
      <c r="AT250" s="385"/>
      <c r="AU250" s="385"/>
      <c r="AV250" s="385"/>
      <c r="AW250" s="385"/>
      <c r="AX250" s="385"/>
      <c r="AY250" s="385"/>
    </row>
    <row r="251" spans="1:51" ht="18">
      <c r="A251" s="385"/>
      <c r="B251" s="391">
        <f>Input!AR249</f>
        <v>1.5620560525837244</v>
      </c>
      <c r="C251" s="391">
        <f>DailyMet!N232</f>
        <v>0</v>
      </c>
      <c r="D251" s="392">
        <f>Input!AS249</f>
        <v>419.96713288125778</v>
      </c>
      <c r="E251" s="392">
        <f>Input!E249</f>
        <v>228</v>
      </c>
      <c r="F251" s="393">
        <f>Input!B249</f>
        <v>38214</v>
      </c>
      <c r="G251" s="503">
        <f t="shared" si="9"/>
        <v>92.073883031260692</v>
      </c>
      <c r="H251" s="354"/>
      <c r="I251" s="392">
        <f t="shared" si="8"/>
        <v>358.20000000000005</v>
      </c>
      <c r="J251" s="385"/>
      <c r="K251" s="385"/>
      <c r="L251" s="385"/>
      <c r="M251" s="385"/>
      <c r="N251" s="385"/>
      <c r="O251" s="385"/>
      <c r="P251" s="385"/>
      <c r="Q251" s="385"/>
      <c r="R251" s="385"/>
      <c r="S251" s="385"/>
      <c r="T251" s="385"/>
      <c r="U251" s="385"/>
      <c r="V251" s="385"/>
      <c r="W251" s="385"/>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5"/>
      <c r="AU251" s="385"/>
      <c r="AV251" s="385"/>
      <c r="AW251" s="385"/>
      <c r="AX251" s="385"/>
      <c r="AY251" s="385"/>
    </row>
    <row r="252" spans="1:51" ht="18">
      <c r="A252" s="385"/>
      <c r="B252" s="391">
        <f>Input!AR250</f>
        <v>2.482290496400088</v>
      </c>
      <c r="C252" s="391">
        <f>DailyMet!N233</f>
        <v>0</v>
      </c>
      <c r="D252" s="392">
        <f>Input!AS250</f>
        <v>422.44942337765787</v>
      </c>
      <c r="E252" s="392">
        <f>Input!E250</f>
        <v>229</v>
      </c>
      <c r="F252" s="393">
        <f>Input!B250</f>
        <v>38215</v>
      </c>
      <c r="G252" s="503">
        <f t="shared" si="9"/>
        <v>94.556173527660775</v>
      </c>
      <c r="H252" s="354"/>
      <c r="I252" s="392">
        <f t="shared" si="8"/>
        <v>358.20000000000005</v>
      </c>
      <c r="J252" s="385"/>
      <c r="K252" s="385"/>
      <c r="L252" s="385"/>
      <c r="M252" s="385"/>
      <c r="N252" s="385"/>
      <c r="O252" s="385"/>
      <c r="P252" s="385"/>
      <c r="Q252" s="385"/>
      <c r="R252" s="385"/>
      <c r="S252" s="385"/>
      <c r="T252" s="385"/>
      <c r="U252" s="385"/>
      <c r="V252" s="385"/>
      <c r="W252" s="385"/>
      <c r="X252" s="385"/>
      <c r="Y252" s="385"/>
      <c r="Z252" s="385"/>
      <c r="AA252" s="385"/>
      <c r="AB252" s="385"/>
      <c r="AC252" s="385"/>
      <c r="AD252" s="385"/>
      <c r="AE252" s="385"/>
      <c r="AF252" s="385"/>
      <c r="AG252" s="385"/>
      <c r="AH252" s="385"/>
      <c r="AI252" s="385"/>
      <c r="AJ252" s="385"/>
      <c r="AK252" s="385"/>
      <c r="AL252" s="385"/>
      <c r="AM252" s="385"/>
      <c r="AN252" s="385"/>
      <c r="AO252" s="385"/>
      <c r="AP252" s="385"/>
      <c r="AQ252" s="385"/>
      <c r="AR252" s="385"/>
      <c r="AS252" s="385"/>
      <c r="AT252" s="385"/>
      <c r="AU252" s="385"/>
      <c r="AV252" s="385"/>
      <c r="AW252" s="385"/>
      <c r="AX252" s="385"/>
      <c r="AY252" s="385"/>
    </row>
    <row r="253" spans="1:51" ht="18">
      <c r="A253" s="385"/>
      <c r="B253" s="391">
        <f>Input!AR251</f>
        <v>4.4050305712083322</v>
      </c>
      <c r="C253" s="391">
        <f>DailyMet!N234</f>
        <v>0</v>
      </c>
      <c r="D253" s="392">
        <f>Input!AS251</f>
        <v>426.85445394886619</v>
      </c>
      <c r="E253" s="392">
        <f>Input!E251</f>
        <v>230</v>
      </c>
      <c r="F253" s="393">
        <f>Input!B251</f>
        <v>38216</v>
      </c>
      <c r="G253" s="503">
        <f t="shared" si="9"/>
        <v>98.961204098869104</v>
      </c>
      <c r="H253" s="354"/>
      <c r="I253" s="392">
        <f t="shared" si="8"/>
        <v>358.20000000000005</v>
      </c>
      <c r="J253" s="385"/>
      <c r="K253" s="385"/>
      <c r="L253" s="385"/>
      <c r="M253" s="385"/>
      <c r="N253" s="385"/>
      <c r="O253" s="385"/>
      <c r="P253" s="385"/>
      <c r="Q253" s="385"/>
      <c r="R253" s="385"/>
      <c r="S253" s="385"/>
      <c r="T253" s="385"/>
      <c r="U253" s="385"/>
      <c r="V253" s="385"/>
      <c r="W253" s="385"/>
      <c r="X253" s="385"/>
      <c r="Y253" s="385"/>
      <c r="Z253" s="385"/>
      <c r="AA253" s="385"/>
      <c r="AB253" s="385"/>
      <c r="AC253" s="385"/>
      <c r="AD253" s="385"/>
      <c r="AE253" s="385"/>
      <c r="AF253" s="385"/>
      <c r="AG253" s="385"/>
      <c r="AH253" s="385"/>
      <c r="AI253" s="385"/>
      <c r="AJ253" s="385"/>
      <c r="AK253" s="385"/>
      <c r="AL253" s="385"/>
      <c r="AM253" s="385"/>
      <c r="AN253" s="385"/>
      <c r="AO253" s="385"/>
      <c r="AP253" s="385"/>
      <c r="AQ253" s="385"/>
      <c r="AR253" s="385"/>
      <c r="AS253" s="385"/>
      <c r="AT253" s="385"/>
      <c r="AU253" s="385"/>
      <c r="AV253" s="385"/>
      <c r="AW253" s="385"/>
      <c r="AX253" s="385"/>
      <c r="AY253" s="385"/>
    </row>
    <row r="254" spans="1:51" ht="18">
      <c r="A254" s="385"/>
      <c r="B254" s="391">
        <f>Input!AR252</f>
        <v>3.1963897604788438</v>
      </c>
      <c r="C254" s="391">
        <f>DailyMet!N235</f>
        <v>0</v>
      </c>
      <c r="D254" s="392">
        <f>Input!AS252</f>
        <v>430.05084370934503</v>
      </c>
      <c r="E254" s="392">
        <f>Input!E252</f>
        <v>231</v>
      </c>
      <c r="F254" s="393">
        <f>Input!B252</f>
        <v>38217</v>
      </c>
      <c r="G254" s="503">
        <f t="shared" si="9"/>
        <v>102.15759385934794</v>
      </c>
      <c r="H254" s="354"/>
      <c r="I254" s="392">
        <f t="shared" si="8"/>
        <v>358.20000000000005</v>
      </c>
      <c r="J254" s="385"/>
      <c r="K254" s="385"/>
      <c r="L254" s="385"/>
      <c r="M254" s="385"/>
      <c r="N254" s="385"/>
      <c r="O254" s="385"/>
      <c r="P254" s="385"/>
      <c r="Q254" s="385"/>
      <c r="R254" s="385"/>
      <c r="S254" s="385"/>
      <c r="T254" s="385"/>
      <c r="U254" s="385"/>
      <c r="V254" s="385"/>
      <c r="W254" s="385"/>
      <c r="X254" s="385"/>
      <c r="Y254" s="385"/>
      <c r="Z254" s="385"/>
      <c r="AA254" s="385"/>
      <c r="AB254" s="385"/>
      <c r="AC254" s="385"/>
      <c r="AD254" s="385"/>
      <c r="AE254" s="385"/>
      <c r="AF254" s="385"/>
      <c r="AG254" s="385"/>
      <c r="AH254" s="385"/>
      <c r="AI254" s="385"/>
      <c r="AJ254" s="385"/>
      <c r="AK254" s="385"/>
      <c r="AL254" s="385"/>
      <c r="AM254" s="385"/>
      <c r="AN254" s="385"/>
      <c r="AO254" s="385"/>
      <c r="AP254" s="385"/>
      <c r="AQ254" s="385"/>
      <c r="AR254" s="385"/>
      <c r="AS254" s="385"/>
      <c r="AT254" s="385"/>
      <c r="AU254" s="385"/>
      <c r="AV254" s="385"/>
      <c r="AW254" s="385"/>
      <c r="AX254" s="385"/>
      <c r="AY254" s="385"/>
    </row>
    <row r="255" spans="1:51" ht="18">
      <c r="A255" s="385"/>
      <c r="B255" s="391">
        <f>Input!AR253</f>
        <v>4.2990659771524609</v>
      </c>
      <c r="C255" s="391">
        <f>DailyMet!N236</f>
        <v>0</v>
      </c>
      <c r="D255" s="392">
        <f>Input!AS253</f>
        <v>434.34990968649748</v>
      </c>
      <c r="E255" s="392">
        <f>Input!E253</f>
        <v>232</v>
      </c>
      <c r="F255" s="393">
        <f>Input!B253</f>
        <v>38218</v>
      </c>
      <c r="G255" s="503">
        <f t="shared" si="9"/>
        <v>106.45665983650041</v>
      </c>
      <c r="H255" s="354"/>
      <c r="I255" s="392">
        <f t="shared" si="8"/>
        <v>358.20000000000005</v>
      </c>
      <c r="J255" s="385"/>
      <c r="K255" s="385"/>
      <c r="L255" s="385"/>
      <c r="M255" s="385"/>
      <c r="N255" s="385"/>
      <c r="O255" s="385"/>
      <c r="P255" s="385"/>
      <c r="Q255" s="385"/>
      <c r="R255" s="385"/>
      <c r="S255" s="385"/>
      <c r="T255" s="385"/>
      <c r="U255" s="385"/>
      <c r="V255" s="385"/>
      <c r="W255" s="385"/>
      <c r="X255" s="385"/>
      <c r="Y255" s="385"/>
      <c r="Z255" s="385"/>
      <c r="AA255" s="385"/>
      <c r="AB255" s="385"/>
      <c r="AC255" s="385"/>
      <c r="AD255" s="385"/>
      <c r="AE255" s="385"/>
      <c r="AF255" s="385"/>
      <c r="AG255" s="385"/>
      <c r="AH255" s="385"/>
      <c r="AI255" s="385"/>
      <c r="AJ255" s="385"/>
      <c r="AK255" s="385"/>
      <c r="AL255" s="385"/>
      <c r="AM255" s="385"/>
      <c r="AN255" s="385"/>
      <c r="AO255" s="385"/>
      <c r="AP255" s="385"/>
      <c r="AQ255" s="385"/>
      <c r="AR255" s="385"/>
      <c r="AS255" s="385"/>
      <c r="AT255" s="385"/>
      <c r="AU255" s="385"/>
      <c r="AV255" s="385"/>
      <c r="AW255" s="385"/>
      <c r="AX255" s="385"/>
      <c r="AY255" s="385"/>
    </row>
    <row r="256" spans="1:51" ht="18">
      <c r="A256" s="385"/>
      <c r="B256" s="391">
        <f>Input!AR254</f>
        <v>4.4625184518229934</v>
      </c>
      <c r="C256" s="391">
        <f>DailyMet!N237</f>
        <v>0</v>
      </c>
      <c r="D256" s="392">
        <f>Input!AS254</f>
        <v>438.81242813832046</v>
      </c>
      <c r="E256" s="392">
        <f>Input!E254</f>
        <v>233</v>
      </c>
      <c r="F256" s="393">
        <f>Input!B254</f>
        <v>38219</v>
      </c>
      <c r="G256" s="503">
        <f t="shared" si="9"/>
        <v>110.91917828832339</v>
      </c>
      <c r="H256" s="354"/>
      <c r="I256" s="392">
        <f t="shared" si="8"/>
        <v>358.20000000000005</v>
      </c>
      <c r="J256" s="385"/>
      <c r="K256" s="385"/>
      <c r="L256" s="385"/>
      <c r="M256" s="385"/>
      <c r="N256" s="385"/>
      <c r="O256" s="385"/>
      <c r="P256" s="385"/>
      <c r="Q256" s="385"/>
      <c r="R256" s="385"/>
      <c r="S256" s="385"/>
      <c r="T256" s="385"/>
      <c r="U256" s="385"/>
      <c r="V256" s="385"/>
      <c r="W256" s="385"/>
      <c r="X256" s="385"/>
      <c r="Y256" s="385"/>
      <c r="Z256" s="385"/>
      <c r="AA256" s="385"/>
      <c r="AB256" s="385"/>
      <c r="AC256" s="385"/>
      <c r="AD256" s="385"/>
      <c r="AE256" s="385"/>
      <c r="AF256" s="385"/>
      <c r="AG256" s="385"/>
      <c r="AH256" s="385"/>
      <c r="AI256" s="385"/>
      <c r="AJ256" s="385"/>
      <c r="AK256" s="385"/>
      <c r="AL256" s="385"/>
      <c r="AM256" s="385"/>
      <c r="AN256" s="385"/>
      <c r="AO256" s="385"/>
      <c r="AP256" s="385"/>
      <c r="AQ256" s="385"/>
      <c r="AR256" s="385"/>
      <c r="AS256" s="385"/>
      <c r="AT256" s="385"/>
      <c r="AU256" s="385"/>
      <c r="AV256" s="385"/>
      <c r="AW256" s="385"/>
      <c r="AX256" s="385"/>
      <c r="AY256" s="385"/>
    </row>
    <row r="257" spans="1:51" ht="18">
      <c r="A257" s="385"/>
      <c r="B257" s="391">
        <f>Input!AR255</f>
        <v>4.4887056088257653</v>
      </c>
      <c r="C257" s="391">
        <f>DailyMet!N238</f>
        <v>0</v>
      </c>
      <c r="D257" s="392">
        <f>Input!AS255</f>
        <v>443.3011337471462</v>
      </c>
      <c r="E257" s="392">
        <f>Input!E255</f>
        <v>234</v>
      </c>
      <c r="F257" s="393">
        <f>Input!B255</f>
        <v>38220</v>
      </c>
      <c r="G257" s="503">
        <f t="shared" si="9"/>
        <v>115.40788389714916</v>
      </c>
      <c r="H257" s="354"/>
      <c r="I257" s="392">
        <f t="shared" si="8"/>
        <v>358.20000000000005</v>
      </c>
      <c r="J257" s="385"/>
      <c r="K257" s="385"/>
      <c r="L257" s="385"/>
      <c r="M257" s="385"/>
      <c r="N257" s="385"/>
      <c r="O257" s="385"/>
      <c r="P257" s="385"/>
      <c r="Q257" s="385"/>
      <c r="R257" s="385"/>
      <c r="S257" s="385"/>
      <c r="T257" s="385"/>
      <c r="U257" s="385"/>
      <c r="V257" s="385"/>
      <c r="W257" s="385"/>
      <c r="X257" s="385"/>
      <c r="Y257" s="385"/>
      <c r="Z257" s="385"/>
      <c r="AA257" s="385"/>
      <c r="AB257" s="385"/>
      <c r="AC257" s="385"/>
      <c r="AD257" s="385"/>
      <c r="AE257" s="385"/>
      <c r="AF257" s="385"/>
      <c r="AG257" s="385"/>
      <c r="AH257" s="385"/>
      <c r="AI257" s="385"/>
      <c r="AJ257" s="385"/>
      <c r="AK257" s="385"/>
      <c r="AL257" s="385"/>
      <c r="AM257" s="385"/>
      <c r="AN257" s="385"/>
      <c r="AO257" s="385"/>
      <c r="AP257" s="385"/>
      <c r="AQ257" s="385"/>
      <c r="AR257" s="385"/>
      <c r="AS257" s="385"/>
      <c r="AT257" s="385"/>
      <c r="AU257" s="385"/>
      <c r="AV257" s="385"/>
      <c r="AW257" s="385"/>
      <c r="AX257" s="385"/>
      <c r="AY257" s="385"/>
    </row>
    <row r="258" spans="1:51" ht="18">
      <c r="A258" s="385"/>
      <c r="B258" s="391">
        <f>Input!AR256</f>
        <v>4.0332512255356407</v>
      </c>
      <c r="C258" s="391">
        <f>DailyMet!N239</f>
        <v>0</v>
      </c>
      <c r="D258" s="392">
        <f>Input!AS256</f>
        <v>447.33438497268185</v>
      </c>
      <c r="E258" s="392">
        <f>Input!E256</f>
        <v>235</v>
      </c>
      <c r="F258" s="393">
        <f>Input!B256</f>
        <v>38221</v>
      </c>
      <c r="G258" s="503">
        <f t="shared" si="9"/>
        <v>119.4411351226848</v>
      </c>
      <c r="H258" s="354"/>
      <c r="I258" s="392">
        <f t="shared" si="8"/>
        <v>358.20000000000005</v>
      </c>
      <c r="J258" s="385"/>
      <c r="K258" s="385"/>
      <c r="L258" s="385"/>
      <c r="M258" s="385"/>
      <c r="N258" s="385"/>
      <c r="O258" s="385"/>
      <c r="P258" s="385"/>
      <c r="Q258" s="385"/>
      <c r="R258" s="385"/>
      <c r="S258" s="385"/>
      <c r="T258" s="385"/>
      <c r="U258" s="385"/>
      <c r="V258" s="385"/>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row>
    <row r="259" spans="1:51" ht="18">
      <c r="A259" s="385"/>
      <c r="B259" s="391">
        <f>Input!AR257</f>
        <v>3.2407315594365826</v>
      </c>
      <c r="C259" s="391">
        <f>DailyMet!N240</f>
        <v>0</v>
      </c>
      <c r="D259" s="392">
        <f>Input!AS257</f>
        <v>450.57511653211844</v>
      </c>
      <c r="E259" s="392">
        <f>Input!E257</f>
        <v>236</v>
      </c>
      <c r="F259" s="393">
        <f>Input!B257</f>
        <v>38222</v>
      </c>
      <c r="G259" s="503">
        <f t="shared" si="9"/>
        <v>122.68186668212138</v>
      </c>
      <c r="H259" s="354"/>
      <c r="I259" s="392">
        <f t="shared" si="8"/>
        <v>358.20000000000005</v>
      </c>
      <c r="J259" s="385"/>
      <c r="K259" s="385"/>
      <c r="L259" s="385"/>
      <c r="M259" s="385"/>
      <c r="N259" s="385"/>
      <c r="O259" s="385"/>
      <c r="P259" s="385"/>
      <c r="Q259" s="385"/>
      <c r="R259" s="385"/>
      <c r="S259" s="385"/>
      <c r="T259" s="385"/>
      <c r="U259" s="385"/>
      <c r="V259" s="385"/>
      <c r="W259" s="385"/>
      <c r="X259" s="385"/>
      <c r="Y259" s="385"/>
      <c r="Z259" s="385"/>
      <c r="AA259" s="385"/>
      <c r="AB259" s="385"/>
      <c r="AC259" s="385"/>
      <c r="AD259" s="385"/>
      <c r="AE259" s="385"/>
      <c r="AF259" s="385"/>
      <c r="AG259" s="385"/>
      <c r="AH259" s="385"/>
      <c r="AI259" s="385"/>
      <c r="AJ259" s="385"/>
      <c r="AK259" s="385"/>
      <c r="AL259" s="385"/>
      <c r="AM259" s="385"/>
      <c r="AN259" s="385"/>
      <c r="AO259" s="385"/>
      <c r="AP259" s="385"/>
      <c r="AQ259" s="385"/>
      <c r="AR259" s="385"/>
      <c r="AS259" s="385"/>
      <c r="AT259" s="385"/>
      <c r="AU259" s="385"/>
      <c r="AV259" s="385"/>
      <c r="AW259" s="385"/>
      <c r="AX259" s="385"/>
      <c r="AY259" s="385"/>
    </row>
    <row r="260" spans="1:51" ht="18">
      <c r="A260" s="385"/>
      <c r="B260" s="391">
        <f>Input!AR258</f>
        <v>3.8942045229836442</v>
      </c>
      <c r="C260" s="391">
        <f>DailyMet!N241</f>
        <v>0</v>
      </c>
      <c r="D260" s="392">
        <f>Input!AS258</f>
        <v>454.46932105510211</v>
      </c>
      <c r="E260" s="392">
        <f>Input!E258</f>
        <v>237</v>
      </c>
      <c r="F260" s="393">
        <f>Input!B258</f>
        <v>38223</v>
      </c>
      <c r="G260" s="503">
        <f t="shared" si="9"/>
        <v>126.57607120510502</v>
      </c>
      <c r="H260" s="354"/>
      <c r="I260" s="392">
        <f t="shared" si="8"/>
        <v>358.20000000000005</v>
      </c>
      <c r="J260" s="385"/>
      <c r="K260" s="385"/>
      <c r="L260" s="385"/>
      <c r="M260" s="385"/>
      <c r="N260" s="385"/>
      <c r="O260" s="385"/>
      <c r="P260" s="385"/>
      <c r="Q260" s="385"/>
      <c r="R260" s="385"/>
      <c r="S260" s="385"/>
      <c r="T260" s="385"/>
      <c r="U260" s="385"/>
      <c r="V260" s="385"/>
      <c r="W260" s="385"/>
      <c r="X260" s="385"/>
      <c r="Y260" s="385"/>
      <c r="Z260" s="385"/>
      <c r="AA260" s="385"/>
      <c r="AB260" s="385"/>
      <c r="AC260" s="385"/>
      <c r="AD260" s="385"/>
      <c r="AE260" s="385"/>
      <c r="AF260" s="385"/>
      <c r="AG260" s="385"/>
      <c r="AH260" s="385"/>
      <c r="AI260" s="385"/>
      <c r="AJ260" s="385"/>
      <c r="AK260" s="385"/>
      <c r="AL260" s="385"/>
      <c r="AM260" s="385"/>
      <c r="AN260" s="385"/>
      <c r="AO260" s="385"/>
      <c r="AP260" s="385"/>
      <c r="AQ260" s="385"/>
      <c r="AR260" s="385"/>
      <c r="AS260" s="385"/>
      <c r="AT260" s="385"/>
      <c r="AU260" s="385"/>
      <c r="AV260" s="385"/>
      <c r="AW260" s="385"/>
      <c r="AX260" s="385"/>
      <c r="AY260" s="385"/>
    </row>
    <row r="261" spans="1:51" ht="18">
      <c r="A261" s="385"/>
      <c r="B261" s="391">
        <f>Input!AR259</f>
        <v>3.8321881668248814</v>
      </c>
      <c r="C261" s="391">
        <f>DailyMet!N242</f>
        <v>0</v>
      </c>
      <c r="D261" s="392">
        <f>Input!AS259</f>
        <v>458.30150922192701</v>
      </c>
      <c r="E261" s="392">
        <f>Input!E259</f>
        <v>238</v>
      </c>
      <c r="F261" s="393">
        <f>Input!B259</f>
        <v>38224</v>
      </c>
      <c r="G261" s="503">
        <f t="shared" si="9"/>
        <v>130.40825937192992</v>
      </c>
      <c r="H261" s="354"/>
      <c r="I261" s="392">
        <f t="shared" si="8"/>
        <v>358.20000000000005</v>
      </c>
      <c r="J261" s="385"/>
      <c r="K261" s="385"/>
      <c r="L261" s="385"/>
      <c r="M261" s="385"/>
      <c r="N261" s="385"/>
      <c r="O261" s="385"/>
      <c r="P261" s="385"/>
      <c r="Q261" s="385"/>
      <c r="R261" s="385"/>
      <c r="S261" s="385"/>
      <c r="T261" s="385"/>
      <c r="U261" s="385"/>
      <c r="V261" s="385"/>
      <c r="W261" s="385"/>
      <c r="X261" s="385"/>
      <c r="Y261" s="385"/>
      <c r="Z261" s="385"/>
      <c r="AA261" s="385"/>
      <c r="AB261" s="385"/>
      <c r="AC261" s="385"/>
      <c r="AD261" s="385"/>
      <c r="AE261" s="385"/>
      <c r="AF261" s="385"/>
      <c r="AG261" s="385"/>
      <c r="AH261" s="385"/>
      <c r="AI261" s="385"/>
      <c r="AJ261" s="385"/>
      <c r="AK261" s="385"/>
      <c r="AL261" s="385"/>
      <c r="AM261" s="385"/>
      <c r="AN261" s="385"/>
      <c r="AO261" s="385"/>
      <c r="AP261" s="385"/>
      <c r="AQ261" s="385"/>
      <c r="AR261" s="385"/>
      <c r="AS261" s="385"/>
      <c r="AT261" s="385"/>
      <c r="AU261" s="385"/>
      <c r="AV261" s="385"/>
      <c r="AW261" s="385"/>
      <c r="AX261" s="385"/>
      <c r="AY261" s="385"/>
    </row>
    <row r="262" spans="1:51" ht="18">
      <c r="A262" s="385"/>
      <c r="B262" s="391">
        <f>Input!AR260</f>
        <v>3.2828997925924805</v>
      </c>
      <c r="C262" s="391">
        <f>DailyMet!N243</f>
        <v>0.2</v>
      </c>
      <c r="D262" s="392">
        <f>Input!AS260</f>
        <v>461.58440901451951</v>
      </c>
      <c r="E262" s="392">
        <f>Input!E260</f>
        <v>239</v>
      </c>
      <c r="F262" s="393">
        <f>Input!B260</f>
        <v>38225</v>
      </c>
      <c r="G262" s="503">
        <f t="shared" si="9"/>
        <v>133.4911591645224</v>
      </c>
      <c r="H262" s="354"/>
      <c r="I262" s="392">
        <f t="shared" si="8"/>
        <v>358.40000000000003</v>
      </c>
      <c r="J262" s="385"/>
      <c r="K262" s="385"/>
      <c r="L262" s="385"/>
      <c r="M262" s="385"/>
      <c r="N262" s="385"/>
      <c r="O262" s="385"/>
      <c r="P262" s="385"/>
      <c r="Q262" s="385"/>
      <c r="R262" s="385"/>
      <c r="S262" s="385"/>
      <c r="T262" s="385"/>
      <c r="U262" s="385"/>
      <c r="V262" s="385"/>
      <c r="W262" s="385"/>
      <c r="X262" s="385"/>
      <c r="Y262" s="385"/>
      <c r="Z262" s="385"/>
      <c r="AA262" s="385"/>
      <c r="AB262" s="385"/>
      <c r="AC262" s="385"/>
      <c r="AD262" s="385"/>
      <c r="AE262" s="385"/>
      <c r="AF262" s="385"/>
      <c r="AG262" s="385"/>
      <c r="AH262" s="385"/>
      <c r="AI262" s="385"/>
      <c r="AJ262" s="385"/>
      <c r="AK262" s="385"/>
      <c r="AL262" s="385"/>
      <c r="AM262" s="385"/>
      <c r="AN262" s="385"/>
      <c r="AO262" s="385"/>
      <c r="AP262" s="385"/>
      <c r="AQ262" s="385"/>
      <c r="AR262" s="385"/>
      <c r="AS262" s="385"/>
      <c r="AT262" s="385"/>
      <c r="AU262" s="385"/>
      <c r="AV262" s="385"/>
      <c r="AW262" s="385"/>
      <c r="AX262" s="385"/>
      <c r="AY262" s="385"/>
    </row>
    <row r="263" spans="1:51" ht="18">
      <c r="A263" s="385"/>
      <c r="B263" s="391">
        <f>Input!AR261</f>
        <v>2.3853824062807809</v>
      </c>
      <c r="C263" s="391">
        <f>DailyMet!N244</f>
        <v>0</v>
      </c>
      <c r="D263" s="392">
        <f>Input!AS261</f>
        <v>463.96979142080028</v>
      </c>
      <c r="E263" s="392">
        <f>Input!E261</f>
        <v>240</v>
      </c>
      <c r="F263" s="393">
        <f>Input!B261</f>
        <v>38226</v>
      </c>
      <c r="G263" s="503">
        <f t="shared" si="9"/>
        <v>135.87654157080317</v>
      </c>
      <c r="H263" s="354"/>
      <c r="I263" s="392">
        <f t="shared" si="8"/>
        <v>358.40000000000003</v>
      </c>
      <c r="J263" s="385"/>
      <c r="K263" s="385"/>
      <c r="L263" s="385"/>
      <c r="M263" s="385"/>
      <c r="N263" s="385"/>
      <c r="O263" s="385"/>
      <c r="P263" s="385"/>
      <c r="Q263" s="385"/>
      <c r="R263" s="385"/>
      <c r="S263" s="385"/>
      <c r="T263" s="385"/>
      <c r="U263" s="385"/>
      <c r="V263" s="385"/>
      <c r="W263" s="385"/>
      <c r="X263" s="385"/>
      <c r="Y263" s="385"/>
      <c r="Z263" s="385"/>
      <c r="AA263" s="385"/>
      <c r="AB263" s="385"/>
      <c r="AC263" s="385"/>
      <c r="AD263" s="385"/>
      <c r="AE263" s="385"/>
      <c r="AF263" s="385"/>
      <c r="AG263" s="385"/>
      <c r="AH263" s="385"/>
      <c r="AI263" s="385"/>
      <c r="AJ263" s="385"/>
      <c r="AK263" s="385"/>
      <c r="AL263" s="385"/>
      <c r="AM263" s="385"/>
      <c r="AN263" s="385"/>
      <c r="AO263" s="385"/>
      <c r="AP263" s="385"/>
      <c r="AQ263" s="385"/>
      <c r="AR263" s="385"/>
      <c r="AS263" s="385"/>
      <c r="AT263" s="385"/>
      <c r="AU263" s="385"/>
      <c r="AV263" s="385"/>
      <c r="AW263" s="385"/>
      <c r="AX263" s="385"/>
      <c r="AY263" s="385"/>
    </row>
    <row r="264" spans="1:51" ht="18">
      <c r="A264" s="385"/>
      <c r="B264" s="391">
        <f>Input!AR262</f>
        <v>3.2435889908566837</v>
      </c>
      <c r="C264" s="391">
        <f>DailyMet!N245</f>
        <v>0</v>
      </c>
      <c r="D264" s="392">
        <f>Input!AS262</f>
        <v>467.21338041165694</v>
      </c>
      <c r="E264" s="392">
        <f>Input!E262</f>
        <v>241</v>
      </c>
      <c r="F264" s="393">
        <f>Input!B262</f>
        <v>38227</v>
      </c>
      <c r="G264" s="503">
        <f t="shared" si="9"/>
        <v>139.12013056165986</v>
      </c>
      <c r="H264" s="354"/>
      <c r="I264" s="392">
        <f t="shared" si="8"/>
        <v>358.40000000000003</v>
      </c>
      <c r="J264" s="385"/>
      <c r="K264" s="385"/>
      <c r="L264" s="385"/>
      <c r="M264" s="385"/>
      <c r="N264" s="385"/>
      <c r="O264" s="385"/>
      <c r="P264" s="385"/>
      <c r="Q264" s="385"/>
      <c r="R264" s="385"/>
      <c r="S264" s="385"/>
      <c r="T264" s="385"/>
      <c r="U264" s="385"/>
      <c r="V264" s="385"/>
      <c r="W264" s="385"/>
      <c r="X264" s="385"/>
      <c r="Y264" s="385"/>
      <c r="Z264" s="385"/>
      <c r="AA264" s="385"/>
      <c r="AB264" s="385"/>
      <c r="AC264" s="385"/>
      <c r="AD264" s="385"/>
      <c r="AE264" s="385"/>
      <c r="AF264" s="385"/>
      <c r="AG264" s="385"/>
      <c r="AH264" s="385"/>
      <c r="AI264" s="385"/>
      <c r="AJ264" s="385"/>
      <c r="AK264" s="385"/>
      <c r="AL264" s="385"/>
      <c r="AM264" s="385"/>
      <c r="AN264" s="385"/>
      <c r="AO264" s="385"/>
      <c r="AP264" s="385"/>
      <c r="AQ264" s="385"/>
      <c r="AR264" s="385"/>
      <c r="AS264" s="385"/>
      <c r="AT264" s="385"/>
      <c r="AU264" s="385"/>
      <c r="AV264" s="385"/>
      <c r="AW264" s="385"/>
      <c r="AX264" s="385"/>
      <c r="AY264" s="385"/>
    </row>
    <row r="265" spans="1:51" ht="18">
      <c r="A265" s="385"/>
      <c r="B265" s="391">
        <f>Input!AR263</f>
        <v>3.5900710946163716</v>
      </c>
      <c r="C265" s="391">
        <f>DailyMet!N246</f>
        <v>0</v>
      </c>
      <c r="D265" s="392">
        <f>Input!AS263</f>
        <v>470.80345150627329</v>
      </c>
      <c r="E265" s="392">
        <f>Input!E263</f>
        <v>242</v>
      </c>
      <c r="F265" s="393">
        <f>Input!B263</f>
        <v>38228</v>
      </c>
      <c r="G265" s="503">
        <f t="shared" si="9"/>
        <v>142.71020165627624</v>
      </c>
      <c r="H265" s="354"/>
      <c r="I265" s="392">
        <f t="shared" si="8"/>
        <v>358.40000000000003</v>
      </c>
      <c r="J265" s="385"/>
      <c r="K265" s="385"/>
      <c r="L265" s="385"/>
      <c r="M265" s="385"/>
      <c r="N265" s="385"/>
      <c r="O265" s="385"/>
      <c r="P265" s="385"/>
      <c r="Q265" s="385"/>
      <c r="R265" s="385"/>
      <c r="S265" s="385"/>
      <c r="T265" s="385"/>
      <c r="U265" s="385"/>
      <c r="V265" s="385"/>
      <c r="W265" s="385"/>
      <c r="X265" s="385"/>
      <c r="Y265" s="385"/>
      <c r="Z265" s="385"/>
      <c r="AA265" s="385"/>
      <c r="AB265" s="385"/>
      <c r="AC265" s="385"/>
      <c r="AD265" s="385"/>
      <c r="AE265" s="385"/>
      <c r="AF265" s="385"/>
      <c r="AG265" s="385"/>
      <c r="AH265" s="385"/>
      <c r="AI265" s="385"/>
      <c r="AJ265" s="385"/>
      <c r="AK265" s="385"/>
      <c r="AL265" s="385"/>
      <c r="AM265" s="385"/>
      <c r="AN265" s="385"/>
      <c r="AO265" s="385"/>
      <c r="AP265" s="385"/>
      <c r="AQ265" s="385"/>
      <c r="AR265" s="385"/>
      <c r="AS265" s="385"/>
      <c r="AT265" s="385"/>
      <c r="AU265" s="385"/>
      <c r="AV265" s="385"/>
      <c r="AW265" s="385"/>
      <c r="AX265" s="385"/>
      <c r="AY265" s="385"/>
    </row>
    <row r="266" spans="1:51" ht="18">
      <c r="A266" s="385"/>
      <c r="B266" s="391">
        <f>Input!AR264</f>
        <v>3.6556827338636992</v>
      </c>
      <c r="C266" s="391">
        <f>DailyMet!N247</f>
        <v>0</v>
      </c>
      <c r="D266" s="392">
        <f>Input!AS264</f>
        <v>474.45913424013702</v>
      </c>
      <c r="E266" s="392">
        <f>Input!E264</f>
        <v>243</v>
      </c>
      <c r="F266" s="393">
        <f>Input!B264</f>
        <v>38229</v>
      </c>
      <c r="G266" s="503">
        <f t="shared" si="9"/>
        <v>146.36588439013994</v>
      </c>
      <c r="H266" s="354"/>
      <c r="I266" s="392">
        <f t="shared" si="8"/>
        <v>358.40000000000003</v>
      </c>
      <c r="J266" s="385"/>
      <c r="K266" s="385"/>
      <c r="L266" s="385"/>
      <c r="M266" s="385"/>
      <c r="N266" s="385"/>
      <c r="O266" s="385"/>
      <c r="P266" s="385"/>
      <c r="Q266" s="385"/>
      <c r="R266" s="385"/>
      <c r="S266" s="385"/>
      <c r="T266" s="385"/>
      <c r="U266" s="385"/>
      <c r="V266" s="385"/>
      <c r="W266" s="385"/>
      <c r="X266" s="385"/>
      <c r="Y266" s="385"/>
      <c r="Z266" s="385"/>
      <c r="AA266" s="385"/>
      <c r="AB266" s="385"/>
      <c r="AC266" s="385"/>
      <c r="AD266" s="385"/>
      <c r="AE266" s="385"/>
      <c r="AF266" s="385"/>
      <c r="AG266" s="385"/>
      <c r="AH266" s="385"/>
      <c r="AI266" s="385"/>
      <c r="AJ266" s="385"/>
      <c r="AK266" s="385"/>
      <c r="AL266" s="385"/>
      <c r="AM266" s="385"/>
      <c r="AN266" s="385"/>
      <c r="AO266" s="385"/>
      <c r="AP266" s="385"/>
      <c r="AQ266" s="385"/>
      <c r="AR266" s="385"/>
      <c r="AS266" s="385"/>
      <c r="AT266" s="385"/>
      <c r="AU266" s="385"/>
      <c r="AV266" s="385"/>
      <c r="AW266" s="385"/>
      <c r="AX266" s="385"/>
      <c r="AY266" s="385"/>
    </row>
    <row r="267" spans="1:51" ht="18">
      <c r="A267" s="385"/>
      <c r="B267" s="391">
        <f>Input!AR265</f>
        <v>3.0144023942162552</v>
      </c>
      <c r="C267" s="391">
        <f>DailyMet!N248</f>
        <v>0.2</v>
      </c>
      <c r="D267" s="392">
        <f>Input!AS265</f>
        <v>477.47353663435325</v>
      </c>
      <c r="E267" s="392">
        <f>Input!E265</f>
        <v>244</v>
      </c>
      <c r="F267" s="393">
        <f>Input!B265</f>
        <v>38230</v>
      </c>
      <c r="G267" s="503">
        <f t="shared" si="9"/>
        <v>149.18028678435621</v>
      </c>
      <c r="H267" s="354"/>
      <c r="I267" s="392">
        <f t="shared" si="8"/>
        <v>358.6</v>
      </c>
      <c r="J267" s="385"/>
      <c r="K267" s="385"/>
      <c r="L267" s="385"/>
      <c r="M267" s="385"/>
      <c r="N267" s="385"/>
      <c r="O267" s="385"/>
      <c r="P267" s="385"/>
      <c r="Q267" s="385"/>
      <c r="R267" s="385"/>
      <c r="S267" s="385"/>
      <c r="T267" s="385"/>
      <c r="U267" s="385"/>
      <c r="V267" s="385"/>
      <c r="W267" s="385"/>
      <c r="X267" s="385"/>
      <c r="Y267" s="385"/>
      <c r="Z267" s="385"/>
      <c r="AA267" s="385"/>
      <c r="AB267" s="385"/>
      <c r="AC267" s="385"/>
      <c r="AD267" s="385"/>
      <c r="AE267" s="385"/>
      <c r="AF267" s="385"/>
      <c r="AG267" s="385"/>
      <c r="AH267" s="385"/>
      <c r="AI267" s="385"/>
      <c r="AJ267" s="385"/>
      <c r="AK267" s="385"/>
      <c r="AL267" s="385"/>
      <c r="AM267" s="385"/>
      <c r="AN267" s="385"/>
      <c r="AO267" s="385"/>
      <c r="AP267" s="385"/>
      <c r="AQ267" s="385"/>
      <c r="AR267" s="385"/>
      <c r="AS267" s="385"/>
      <c r="AT267" s="385"/>
      <c r="AU267" s="385"/>
      <c r="AV267" s="385"/>
      <c r="AW267" s="385"/>
      <c r="AX267" s="385"/>
      <c r="AY267" s="385"/>
    </row>
    <row r="268" spans="1:51" ht="18">
      <c r="A268" s="385"/>
      <c r="B268" s="391">
        <f>Input!AR266</f>
        <v>2.4052377019610898</v>
      </c>
      <c r="C268" s="391">
        <f>DailyMet!N249</f>
        <v>50.8</v>
      </c>
      <c r="D268" s="392">
        <f>Input!AS266</f>
        <v>479.87877433631434</v>
      </c>
      <c r="E268" s="392">
        <f>Input!E266</f>
        <v>245</v>
      </c>
      <c r="F268" s="393">
        <f>Input!B266</f>
        <v>38231</v>
      </c>
      <c r="G268" s="503">
        <f t="shared" si="9"/>
        <v>100.7855244863173</v>
      </c>
      <c r="H268" s="354"/>
      <c r="I268" s="392">
        <f t="shared" si="8"/>
        <v>409.40000000000003</v>
      </c>
      <c r="J268" s="385"/>
      <c r="K268" s="385"/>
      <c r="L268" s="385"/>
      <c r="M268" s="385"/>
      <c r="N268" s="385"/>
      <c r="O268" s="385"/>
      <c r="P268" s="385"/>
      <c r="Q268" s="385"/>
      <c r="R268" s="385"/>
      <c r="S268" s="385"/>
      <c r="T268" s="385"/>
      <c r="U268" s="385"/>
      <c r="V268" s="385"/>
      <c r="W268" s="385"/>
      <c r="X268" s="385"/>
      <c r="Y268" s="385"/>
      <c r="Z268" s="385"/>
      <c r="AA268" s="385"/>
      <c r="AB268" s="385"/>
      <c r="AC268" s="385"/>
      <c r="AD268" s="385"/>
      <c r="AE268" s="385"/>
      <c r="AF268" s="385"/>
      <c r="AG268" s="385"/>
      <c r="AH268" s="385"/>
      <c r="AI268" s="385"/>
      <c r="AJ268" s="385"/>
      <c r="AK268" s="385"/>
      <c r="AL268" s="385"/>
      <c r="AM268" s="385"/>
      <c r="AN268" s="385"/>
      <c r="AO268" s="385"/>
      <c r="AP268" s="385"/>
      <c r="AQ268" s="385"/>
      <c r="AR268" s="385"/>
      <c r="AS268" s="385"/>
      <c r="AT268" s="385"/>
      <c r="AU268" s="385"/>
      <c r="AV268" s="385"/>
      <c r="AW268" s="385"/>
      <c r="AX268" s="385"/>
      <c r="AY268" s="385"/>
    </row>
    <row r="269" spans="1:51" ht="18">
      <c r="A269" s="385"/>
      <c r="B269" s="391">
        <f>Input!AR267</f>
        <v>2.5528967354882557</v>
      </c>
      <c r="C269" s="391">
        <f>DailyMet!N250</f>
        <v>0</v>
      </c>
      <c r="D269" s="392">
        <f>Input!AS267</f>
        <v>482.43167107180261</v>
      </c>
      <c r="E269" s="392">
        <f>Input!E267</f>
        <v>246</v>
      </c>
      <c r="F269" s="393">
        <f>Input!B267</f>
        <v>38232</v>
      </c>
      <c r="G269" s="503">
        <f t="shared" si="9"/>
        <v>103.33842122180556</v>
      </c>
      <c r="H269" s="354"/>
      <c r="I269" s="392">
        <f t="shared" si="8"/>
        <v>409.40000000000003</v>
      </c>
      <c r="J269" s="385"/>
      <c r="K269" s="385"/>
      <c r="L269" s="385"/>
      <c r="M269" s="385"/>
      <c r="N269" s="385"/>
      <c r="O269" s="385"/>
      <c r="P269" s="385"/>
      <c r="Q269" s="385"/>
      <c r="R269" s="385"/>
      <c r="S269" s="385"/>
      <c r="T269" s="385"/>
      <c r="U269" s="385"/>
      <c r="V269" s="385"/>
      <c r="W269" s="385"/>
      <c r="X269" s="385"/>
      <c r="Y269" s="385"/>
      <c r="Z269" s="385"/>
      <c r="AA269" s="385"/>
      <c r="AB269" s="385"/>
      <c r="AC269" s="385"/>
      <c r="AD269" s="385"/>
      <c r="AE269" s="385"/>
      <c r="AF269" s="385"/>
      <c r="AG269" s="385"/>
      <c r="AH269" s="385"/>
      <c r="AI269" s="385"/>
      <c r="AJ269" s="385"/>
      <c r="AK269" s="385"/>
      <c r="AL269" s="385"/>
      <c r="AM269" s="385"/>
      <c r="AN269" s="385"/>
      <c r="AO269" s="385"/>
      <c r="AP269" s="385"/>
      <c r="AQ269" s="385"/>
      <c r="AR269" s="385"/>
      <c r="AS269" s="385"/>
      <c r="AT269" s="385"/>
      <c r="AU269" s="385"/>
      <c r="AV269" s="385"/>
      <c r="AW269" s="385"/>
      <c r="AX269" s="385"/>
      <c r="AY269" s="385"/>
    </row>
    <row r="270" spans="1:51" ht="18">
      <c r="A270" s="385"/>
      <c r="B270" s="391">
        <f>Input!AR268</f>
        <v>2.6814339096737916</v>
      </c>
      <c r="C270" s="391">
        <f>DailyMet!N251</f>
        <v>36</v>
      </c>
      <c r="D270" s="392">
        <f>Input!AS268</f>
        <v>485.1131049814764</v>
      </c>
      <c r="E270" s="392">
        <f>Input!E268</f>
        <v>247</v>
      </c>
      <c r="F270" s="393">
        <f>Input!B268</f>
        <v>38233</v>
      </c>
      <c r="G270" s="503">
        <f t="shared" si="9"/>
        <v>70.019855131479346</v>
      </c>
      <c r="H270" s="354"/>
      <c r="I270" s="392">
        <f t="shared" si="8"/>
        <v>445.40000000000003</v>
      </c>
      <c r="J270" s="385"/>
      <c r="K270" s="385"/>
      <c r="L270" s="385"/>
      <c r="M270" s="385"/>
      <c r="N270" s="385"/>
      <c r="O270" s="385"/>
      <c r="P270" s="385"/>
      <c r="Q270" s="385"/>
      <c r="R270" s="385"/>
      <c r="S270" s="385"/>
      <c r="T270" s="385"/>
      <c r="U270" s="385"/>
      <c r="V270" s="385"/>
      <c r="W270" s="385"/>
      <c r="X270" s="385"/>
      <c r="Y270" s="385"/>
      <c r="Z270" s="385"/>
      <c r="AA270" s="385"/>
      <c r="AB270" s="385"/>
      <c r="AC270" s="385"/>
      <c r="AD270" s="385"/>
      <c r="AE270" s="385"/>
      <c r="AF270" s="385"/>
      <c r="AG270" s="385"/>
      <c r="AH270" s="385"/>
      <c r="AI270" s="385"/>
      <c r="AJ270" s="385"/>
      <c r="AK270" s="385"/>
      <c r="AL270" s="385"/>
      <c r="AM270" s="385"/>
      <c r="AN270" s="385"/>
      <c r="AO270" s="385"/>
      <c r="AP270" s="385"/>
      <c r="AQ270" s="385"/>
      <c r="AR270" s="385"/>
      <c r="AS270" s="385"/>
      <c r="AT270" s="385"/>
      <c r="AU270" s="385"/>
      <c r="AV270" s="385"/>
      <c r="AW270" s="385"/>
      <c r="AX270" s="385"/>
      <c r="AY270" s="385"/>
    </row>
    <row r="271" spans="1:51" ht="18">
      <c r="A271" s="385"/>
      <c r="B271" s="391">
        <f>Input!AR269</f>
        <v>2.6174283859547458</v>
      </c>
      <c r="C271" s="391">
        <f>DailyMet!N252</f>
        <v>11</v>
      </c>
      <c r="D271" s="392">
        <f>Input!AS269</f>
        <v>487.73053336743112</v>
      </c>
      <c r="E271" s="392">
        <f>Input!E269</f>
        <v>248</v>
      </c>
      <c r="F271" s="393">
        <f>Input!B269</f>
        <v>38234</v>
      </c>
      <c r="G271" s="503">
        <f t="shared" si="9"/>
        <v>61.637283517434099</v>
      </c>
      <c r="H271" s="354"/>
      <c r="I271" s="392">
        <f t="shared" si="8"/>
        <v>456.40000000000003</v>
      </c>
      <c r="J271" s="385"/>
      <c r="K271" s="385"/>
      <c r="L271" s="385"/>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85"/>
      <c r="AW271" s="385"/>
      <c r="AX271" s="385"/>
      <c r="AY271" s="385"/>
    </row>
    <row r="272" spans="1:51" ht="18">
      <c r="A272" s="385"/>
      <c r="B272" s="391">
        <f>Input!AR270</f>
        <v>2.4560795639437014</v>
      </c>
      <c r="C272" s="391">
        <f>DailyMet!N253</f>
        <v>2.2000000000000002</v>
      </c>
      <c r="D272" s="392">
        <f>Input!AS270</f>
        <v>490.18661293137484</v>
      </c>
      <c r="E272" s="392">
        <f>Input!E270</f>
        <v>249</v>
      </c>
      <c r="F272" s="393">
        <f>Input!B270</f>
        <v>38235</v>
      </c>
      <c r="G272" s="503">
        <f t="shared" si="9"/>
        <v>61.8933630813778</v>
      </c>
      <c r="H272" s="354"/>
      <c r="I272" s="392">
        <f t="shared" si="8"/>
        <v>458.6</v>
      </c>
      <c r="J272" s="385"/>
      <c r="K272" s="385"/>
      <c r="L272" s="385"/>
      <c r="M272" s="385"/>
      <c r="N272" s="385"/>
      <c r="O272" s="385"/>
      <c r="P272" s="385"/>
      <c r="Q272" s="385"/>
      <c r="R272" s="385"/>
      <c r="S272" s="385"/>
      <c r="T272" s="385"/>
      <c r="U272" s="385"/>
      <c r="V272" s="385"/>
      <c r="W272" s="385"/>
      <c r="X272" s="385"/>
      <c r="Y272" s="385"/>
      <c r="Z272" s="385"/>
      <c r="AA272" s="385"/>
      <c r="AB272" s="385"/>
      <c r="AC272" s="385"/>
      <c r="AD272" s="385"/>
      <c r="AE272" s="385"/>
      <c r="AF272" s="385"/>
      <c r="AG272" s="385"/>
      <c r="AH272" s="385"/>
      <c r="AI272" s="385"/>
      <c r="AJ272" s="385"/>
      <c r="AK272" s="385"/>
      <c r="AL272" s="385"/>
      <c r="AM272" s="385"/>
      <c r="AN272" s="385"/>
      <c r="AO272" s="385"/>
      <c r="AP272" s="385"/>
      <c r="AQ272" s="385"/>
      <c r="AR272" s="385"/>
      <c r="AS272" s="385"/>
      <c r="AT272" s="385"/>
      <c r="AU272" s="385"/>
      <c r="AV272" s="385"/>
      <c r="AW272" s="385"/>
      <c r="AX272" s="385"/>
      <c r="AY272" s="385"/>
    </row>
    <row r="273" spans="1:51" ht="18">
      <c r="A273" s="385"/>
      <c r="B273" s="391">
        <f>Input!AR271</f>
        <v>2.3772388468269159</v>
      </c>
      <c r="C273" s="391">
        <f>DailyMet!N254</f>
        <v>0</v>
      </c>
      <c r="D273" s="392">
        <f>Input!AS271</f>
        <v>492.56385177820175</v>
      </c>
      <c r="E273" s="392">
        <f>Input!E271</f>
        <v>250</v>
      </c>
      <c r="F273" s="393">
        <f>Input!B271</f>
        <v>38236</v>
      </c>
      <c r="G273" s="503">
        <f t="shared" si="9"/>
        <v>64.270601928204712</v>
      </c>
      <c r="H273" s="354"/>
      <c r="I273" s="392">
        <f t="shared" si="8"/>
        <v>458.6</v>
      </c>
      <c r="J273" s="385"/>
      <c r="K273" s="385"/>
      <c r="L273" s="385"/>
      <c r="M273" s="385"/>
      <c r="N273" s="385"/>
      <c r="O273" s="385"/>
      <c r="P273" s="385"/>
      <c r="Q273" s="385"/>
      <c r="R273" s="385"/>
      <c r="S273" s="385"/>
      <c r="T273" s="385"/>
      <c r="U273" s="385"/>
      <c r="V273" s="385"/>
      <c r="W273" s="385"/>
      <c r="X273" s="385"/>
      <c r="Y273" s="385"/>
      <c r="Z273" s="385"/>
      <c r="AA273" s="385"/>
      <c r="AB273" s="385"/>
      <c r="AC273" s="385"/>
      <c r="AD273" s="385"/>
      <c r="AE273" s="385"/>
      <c r="AF273" s="385"/>
      <c r="AG273" s="385"/>
      <c r="AH273" s="385"/>
      <c r="AI273" s="385"/>
      <c r="AJ273" s="385"/>
      <c r="AK273" s="385"/>
      <c r="AL273" s="385"/>
      <c r="AM273" s="385"/>
      <c r="AN273" s="385"/>
      <c r="AO273" s="385"/>
      <c r="AP273" s="385"/>
      <c r="AQ273" s="385"/>
      <c r="AR273" s="385"/>
      <c r="AS273" s="385"/>
      <c r="AT273" s="385"/>
      <c r="AU273" s="385"/>
      <c r="AV273" s="385"/>
      <c r="AW273" s="385"/>
      <c r="AX273" s="385"/>
      <c r="AY273" s="385"/>
    </row>
    <row r="274" spans="1:51" ht="18">
      <c r="A274" s="385"/>
      <c r="B274" s="391">
        <f>Input!AR272</f>
        <v>1.9083076870733948</v>
      </c>
      <c r="C274" s="391">
        <f>DailyMet!N255</f>
        <v>0</v>
      </c>
      <c r="D274" s="392">
        <f>Input!AS272</f>
        <v>494.47215946527513</v>
      </c>
      <c r="E274" s="392">
        <f>Input!E272</f>
        <v>251</v>
      </c>
      <c r="F274" s="393">
        <f>Input!B272</f>
        <v>38237</v>
      </c>
      <c r="G274" s="503">
        <f t="shared" si="9"/>
        <v>66.178909615278101</v>
      </c>
      <c r="H274" s="354"/>
      <c r="I274" s="392">
        <f t="shared" si="8"/>
        <v>458.6</v>
      </c>
      <c r="J274" s="385"/>
      <c r="K274" s="385"/>
      <c r="L274" s="385"/>
      <c r="M274" s="385"/>
      <c r="N274" s="385"/>
      <c r="O274" s="385"/>
      <c r="P274" s="385"/>
      <c r="Q274" s="385"/>
      <c r="R274" s="385"/>
      <c r="S274" s="385"/>
      <c r="T274" s="385"/>
      <c r="U274" s="385"/>
      <c r="V274" s="385"/>
      <c r="W274" s="385"/>
      <c r="X274" s="385"/>
      <c r="Y274" s="385"/>
      <c r="Z274" s="385"/>
      <c r="AA274" s="385"/>
      <c r="AB274" s="385"/>
      <c r="AC274" s="385"/>
      <c r="AD274" s="385"/>
      <c r="AE274" s="385"/>
      <c r="AF274" s="385"/>
      <c r="AG274" s="385"/>
      <c r="AH274" s="385"/>
      <c r="AI274" s="385"/>
      <c r="AJ274" s="385"/>
      <c r="AK274" s="385"/>
      <c r="AL274" s="385"/>
      <c r="AM274" s="385"/>
      <c r="AN274" s="385"/>
      <c r="AO274" s="385"/>
      <c r="AP274" s="385"/>
      <c r="AQ274" s="385"/>
      <c r="AR274" s="385"/>
      <c r="AS274" s="385"/>
      <c r="AT274" s="385"/>
      <c r="AU274" s="385"/>
      <c r="AV274" s="385"/>
      <c r="AW274" s="385"/>
      <c r="AX274" s="385"/>
      <c r="AY274" s="385"/>
    </row>
    <row r="275" spans="1:51" ht="18">
      <c r="A275" s="385"/>
      <c r="B275" s="391">
        <f>Input!AR273</f>
        <v>2.6437202322306543</v>
      </c>
      <c r="C275" s="391">
        <f>DailyMet!N256</f>
        <v>0</v>
      </c>
      <c r="D275" s="392">
        <f>Input!AS273</f>
        <v>497.11587969750576</v>
      </c>
      <c r="E275" s="392">
        <f>Input!E273</f>
        <v>252</v>
      </c>
      <c r="F275" s="393">
        <f>Input!B273</f>
        <v>38238</v>
      </c>
      <c r="G275" s="503">
        <f t="shared" si="9"/>
        <v>68.82262984750875</v>
      </c>
      <c r="H275" s="354"/>
      <c r="I275" s="392">
        <f t="shared" si="8"/>
        <v>458.6</v>
      </c>
      <c r="J275" s="385"/>
      <c r="K275" s="385"/>
      <c r="L275" s="385"/>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row>
    <row r="276" spans="1:51" ht="18">
      <c r="A276" s="385"/>
      <c r="B276" s="391">
        <f>Input!AR274</f>
        <v>2.6294936336624644</v>
      </c>
      <c r="C276" s="391">
        <f>DailyMet!N257</f>
        <v>0</v>
      </c>
      <c r="D276" s="392">
        <f>Input!AS274</f>
        <v>499.74537333116825</v>
      </c>
      <c r="E276" s="392">
        <f>Input!E274</f>
        <v>253</v>
      </c>
      <c r="F276" s="393">
        <f>Input!B274</f>
        <v>38239</v>
      </c>
      <c r="G276" s="503">
        <f t="shared" si="9"/>
        <v>71.452123481171213</v>
      </c>
      <c r="H276" s="354"/>
      <c r="I276" s="392">
        <f t="shared" si="8"/>
        <v>458.6</v>
      </c>
      <c r="J276" s="385"/>
      <c r="K276" s="385"/>
      <c r="L276" s="385"/>
      <c r="M276" s="385"/>
      <c r="N276" s="385"/>
      <c r="O276" s="385"/>
      <c r="P276" s="385"/>
      <c r="Q276" s="385"/>
      <c r="R276" s="385"/>
      <c r="S276" s="385"/>
      <c r="T276" s="385"/>
      <c r="U276" s="385"/>
      <c r="V276" s="385"/>
      <c r="W276" s="385"/>
      <c r="X276" s="385"/>
      <c r="Y276" s="385"/>
      <c r="Z276" s="385"/>
      <c r="AA276" s="385"/>
      <c r="AB276" s="385"/>
      <c r="AC276" s="385"/>
      <c r="AD276" s="385"/>
      <c r="AE276" s="385"/>
      <c r="AF276" s="385"/>
      <c r="AG276" s="385"/>
      <c r="AH276" s="385"/>
      <c r="AI276" s="385"/>
      <c r="AJ276" s="385"/>
      <c r="AK276" s="385"/>
      <c r="AL276" s="385"/>
      <c r="AM276" s="385"/>
      <c r="AN276" s="385"/>
      <c r="AO276" s="385"/>
      <c r="AP276" s="385"/>
      <c r="AQ276" s="385"/>
      <c r="AR276" s="385"/>
      <c r="AS276" s="385"/>
      <c r="AT276" s="385"/>
      <c r="AU276" s="385"/>
      <c r="AV276" s="385"/>
      <c r="AW276" s="385"/>
      <c r="AX276" s="385"/>
      <c r="AY276" s="385"/>
    </row>
    <row r="277" spans="1:51" ht="18">
      <c r="A277" s="385"/>
      <c r="B277" s="391">
        <f>Input!AR275</f>
        <v>2.3485574012344212</v>
      </c>
      <c r="C277" s="391">
        <f>DailyMet!N258</f>
        <v>0</v>
      </c>
      <c r="D277" s="392">
        <f>Input!AS275</f>
        <v>502.09393073240267</v>
      </c>
      <c r="E277" s="392">
        <f>Input!E275</f>
        <v>254</v>
      </c>
      <c r="F277" s="393">
        <f>Input!B275</f>
        <v>38240</v>
      </c>
      <c r="G277" s="503">
        <f t="shared" si="9"/>
        <v>73.800680882405629</v>
      </c>
      <c r="H277" s="354"/>
      <c r="I277" s="392">
        <f t="shared" si="8"/>
        <v>458.6</v>
      </c>
      <c r="J277" s="385"/>
      <c r="K277" s="385"/>
      <c r="L277" s="385"/>
      <c r="M277" s="385"/>
      <c r="N277" s="385"/>
      <c r="O277" s="385"/>
      <c r="P277" s="385"/>
      <c r="Q277" s="385"/>
      <c r="R277" s="385"/>
      <c r="S277" s="385"/>
      <c r="T277" s="385"/>
      <c r="U277" s="385"/>
      <c r="V277" s="385"/>
      <c r="W277" s="385"/>
      <c r="X277" s="385"/>
      <c r="Y277" s="385"/>
      <c r="Z277" s="385"/>
      <c r="AA277" s="385"/>
      <c r="AB277" s="385"/>
      <c r="AC277" s="385"/>
      <c r="AD277" s="385"/>
      <c r="AE277" s="385"/>
      <c r="AF277" s="385"/>
      <c r="AG277" s="385"/>
      <c r="AH277" s="385"/>
      <c r="AI277" s="385"/>
      <c r="AJ277" s="385"/>
      <c r="AK277" s="385"/>
      <c r="AL277" s="385"/>
      <c r="AM277" s="385"/>
      <c r="AN277" s="385"/>
      <c r="AO277" s="385"/>
      <c r="AP277" s="385"/>
      <c r="AQ277" s="385"/>
      <c r="AR277" s="385"/>
      <c r="AS277" s="385"/>
      <c r="AT277" s="385"/>
      <c r="AU277" s="385"/>
      <c r="AV277" s="385"/>
      <c r="AW277" s="385"/>
      <c r="AX277" s="385"/>
      <c r="AY277" s="385"/>
    </row>
    <row r="278" spans="1:51" ht="18">
      <c r="A278" s="385"/>
      <c r="B278" s="391">
        <f>Input!AR276</f>
        <v>2.6037607868666175</v>
      </c>
      <c r="C278" s="391">
        <f>DailyMet!N259</f>
        <v>0</v>
      </c>
      <c r="D278" s="392">
        <f>Input!AS276</f>
        <v>504.69769151926931</v>
      </c>
      <c r="E278" s="392">
        <f>Input!E276</f>
        <v>255</v>
      </c>
      <c r="F278" s="393">
        <f>Input!B276</f>
        <v>38241</v>
      </c>
      <c r="G278" s="503">
        <f t="shared" si="9"/>
        <v>76.404441669272245</v>
      </c>
      <c r="H278" s="354"/>
      <c r="I278" s="392">
        <f t="shared" si="8"/>
        <v>458.6</v>
      </c>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c r="AT278" s="385"/>
      <c r="AU278" s="385"/>
      <c r="AV278" s="385"/>
      <c r="AW278" s="385"/>
      <c r="AX278" s="385"/>
      <c r="AY278" s="385"/>
    </row>
    <row r="279" spans="1:51" ht="18">
      <c r="A279" s="385"/>
      <c r="B279" s="391">
        <f>Input!AR277</f>
        <v>2.158076789847061</v>
      </c>
      <c r="C279" s="391">
        <f>DailyMet!N260</f>
        <v>9.4</v>
      </c>
      <c r="D279" s="392">
        <f>Input!AS277</f>
        <v>506.8557683091164</v>
      </c>
      <c r="E279" s="392">
        <f>Input!E277</f>
        <v>256</v>
      </c>
      <c r="F279" s="393">
        <f>Input!B277</f>
        <v>38242</v>
      </c>
      <c r="G279" s="503">
        <f t="shared" si="9"/>
        <v>69.162518459119298</v>
      </c>
      <c r="H279" s="354"/>
      <c r="I279" s="392">
        <f t="shared" si="8"/>
        <v>468</v>
      </c>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c r="AT279" s="385"/>
      <c r="AU279" s="385"/>
      <c r="AV279" s="385"/>
      <c r="AW279" s="385"/>
      <c r="AX279" s="385"/>
      <c r="AY279" s="385"/>
    </row>
    <row r="280" spans="1:51" ht="18">
      <c r="A280" s="385"/>
      <c r="B280" s="391">
        <f>Input!AR278</f>
        <v>0.52893051415224679</v>
      </c>
      <c r="C280" s="391">
        <f>DailyMet!N261</f>
        <v>1.2</v>
      </c>
      <c r="D280" s="392">
        <f>Input!AS278</f>
        <v>507.38469882326865</v>
      </c>
      <c r="E280" s="392">
        <f>Input!E278</f>
        <v>257</v>
      </c>
      <c r="F280" s="393">
        <f>Input!B278</f>
        <v>38243</v>
      </c>
      <c r="G280" s="503">
        <f t="shared" si="9"/>
        <v>68.491448973271545</v>
      </c>
      <c r="H280" s="354"/>
      <c r="I280" s="392">
        <f t="shared" si="8"/>
        <v>469.2</v>
      </c>
      <c r="J280" s="385"/>
      <c r="K280" s="385"/>
      <c r="L280" s="385"/>
      <c r="M280" s="385"/>
      <c r="N280" s="385"/>
      <c r="O280" s="385"/>
      <c r="P280" s="385"/>
      <c r="Q280" s="385"/>
      <c r="R280" s="385"/>
      <c r="S280" s="385"/>
      <c r="T280" s="385"/>
      <c r="U280" s="385"/>
      <c r="V280" s="385"/>
      <c r="W280" s="385"/>
      <c r="X280" s="385"/>
      <c r="Y280" s="385"/>
      <c r="Z280" s="385"/>
      <c r="AA280" s="385"/>
      <c r="AB280" s="385"/>
      <c r="AC280" s="385"/>
      <c r="AD280" s="385"/>
      <c r="AE280" s="385"/>
      <c r="AF280" s="385"/>
      <c r="AG280" s="385"/>
      <c r="AH280" s="385"/>
      <c r="AI280" s="385"/>
      <c r="AJ280" s="385"/>
      <c r="AK280" s="385"/>
      <c r="AL280" s="385"/>
      <c r="AM280" s="385"/>
      <c r="AN280" s="385"/>
      <c r="AO280" s="385"/>
      <c r="AP280" s="385"/>
      <c r="AQ280" s="385"/>
      <c r="AR280" s="385"/>
      <c r="AS280" s="385"/>
      <c r="AT280" s="385"/>
      <c r="AU280" s="385"/>
      <c r="AV280" s="385"/>
      <c r="AW280" s="385"/>
      <c r="AX280" s="385"/>
      <c r="AY280" s="385"/>
    </row>
    <row r="281" spans="1:51" ht="18">
      <c r="A281" s="385"/>
      <c r="B281" s="391">
        <f>Input!AR279</f>
        <v>1.4203516679057213</v>
      </c>
      <c r="C281" s="391">
        <f>DailyMet!N262</f>
        <v>0</v>
      </c>
      <c r="D281" s="392">
        <f>Input!AS279</f>
        <v>508.80505049117437</v>
      </c>
      <c r="E281" s="392">
        <f>Input!E279</f>
        <v>258</v>
      </c>
      <c r="F281" s="393">
        <f>Input!B279</f>
        <v>38244</v>
      </c>
      <c r="G281" s="503">
        <f t="shared" si="9"/>
        <v>69.911800641177265</v>
      </c>
      <c r="H281" s="354"/>
      <c r="I281" s="392">
        <f t="shared" si="8"/>
        <v>469.2</v>
      </c>
      <c r="J281" s="385"/>
      <c r="K281" s="385"/>
      <c r="L281" s="385"/>
      <c r="M281" s="385"/>
      <c r="N281" s="385"/>
      <c r="O281" s="385"/>
      <c r="P281" s="385"/>
      <c r="Q281" s="385"/>
      <c r="R281" s="385"/>
      <c r="S281" s="385"/>
      <c r="T281" s="385"/>
      <c r="U281" s="385"/>
      <c r="V281" s="385"/>
      <c r="W281" s="385"/>
      <c r="X281" s="385"/>
      <c r="Y281" s="385"/>
      <c r="Z281" s="385"/>
      <c r="AA281" s="385"/>
      <c r="AB281" s="385"/>
      <c r="AC281" s="385"/>
      <c r="AD281" s="385"/>
      <c r="AE281" s="385"/>
      <c r="AF281" s="385"/>
      <c r="AG281" s="385"/>
      <c r="AH281" s="385"/>
      <c r="AI281" s="385"/>
      <c r="AJ281" s="385"/>
      <c r="AK281" s="385"/>
      <c r="AL281" s="385"/>
      <c r="AM281" s="385"/>
      <c r="AN281" s="385"/>
      <c r="AO281" s="385"/>
      <c r="AP281" s="385"/>
      <c r="AQ281" s="385"/>
      <c r="AR281" s="385"/>
      <c r="AS281" s="385"/>
      <c r="AT281" s="385"/>
      <c r="AU281" s="385"/>
      <c r="AV281" s="385"/>
      <c r="AW281" s="385"/>
      <c r="AX281" s="385"/>
      <c r="AY281" s="385"/>
    </row>
    <row r="282" spans="1:51" ht="18">
      <c r="A282" s="385"/>
      <c r="B282" s="391">
        <f>Input!AR280</f>
        <v>1.4941559204767851</v>
      </c>
      <c r="C282" s="391">
        <f>DailyMet!N263</f>
        <v>0</v>
      </c>
      <c r="D282" s="392">
        <f>Input!AS280</f>
        <v>510.29920641165114</v>
      </c>
      <c r="E282" s="392">
        <f>Input!E280</f>
        <v>259</v>
      </c>
      <c r="F282" s="393">
        <f>Input!B280</f>
        <v>38245</v>
      </c>
      <c r="G282" s="503">
        <f t="shared" si="9"/>
        <v>71.405956561654051</v>
      </c>
      <c r="H282" s="354"/>
      <c r="I282" s="392">
        <f t="shared" si="8"/>
        <v>469.2</v>
      </c>
      <c r="J282" s="385"/>
      <c r="K282" s="385"/>
      <c r="L282" s="385"/>
      <c r="M282" s="385"/>
      <c r="N282" s="385"/>
      <c r="O282" s="385"/>
      <c r="P282" s="385"/>
      <c r="Q282" s="385"/>
      <c r="R282" s="385"/>
      <c r="S282" s="385"/>
      <c r="T282" s="385"/>
      <c r="U282" s="385"/>
      <c r="V282" s="385"/>
      <c r="W282" s="385"/>
      <c r="X282" s="385"/>
      <c r="Y282" s="385"/>
      <c r="Z282" s="385"/>
      <c r="AA282" s="385"/>
      <c r="AB282" s="385"/>
      <c r="AC282" s="385"/>
      <c r="AD282" s="385"/>
      <c r="AE282" s="385"/>
      <c r="AF282" s="385"/>
      <c r="AG282" s="385"/>
      <c r="AH282" s="385"/>
      <c r="AI282" s="385"/>
      <c r="AJ282" s="385"/>
      <c r="AK282" s="385"/>
      <c r="AL282" s="385"/>
      <c r="AM282" s="385"/>
      <c r="AN282" s="385"/>
      <c r="AO282" s="385"/>
      <c r="AP282" s="385"/>
      <c r="AQ282" s="385"/>
      <c r="AR282" s="385"/>
      <c r="AS282" s="385"/>
      <c r="AT282" s="385"/>
      <c r="AU282" s="385"/>
      <c r="AV282" s="385"/>
      <c r="AW282" s="385"/>
      <c r="AX282" s="385"/>
      <c r="AY282" s="385"/>
    </row>
    <row r="283" spans="1:51" ht="18">
      <c r="A283" s="385"/>
      <c r="B283" s="391">
        <f>Input!AR281</f>
        <v>1.4774222607357468</v>
      </c>
      <c r="C283" s="391">
        <f>DailyMet!N264</f>
        <v>0</v>
      </c>
      <c r="D283" s="392">
        <f>Input!AS281</f>
        <v>511.77662867238689</v>
      </c>
      <c r="E283" s="392">
        <f>Input!E281</f>
        <v>260</v>
      </c>
      <c r="F283" s="393">
        <f>Input!B281</f>
        <v>38246</v>
      </c>
      <c r="G283" s="503">
        <f t="shared" si="9"/>
        <v>72.883378822389801</v>
      </c>
      <c r="H283" s="354"/>
      <c r="I283" s="392">
        <f t="shared" si="8"/>
        <v>469.2</v>
      </c>
      <c r="J283" s="385"/>
      <c r="K283" s="385"/>
      <c r="L283" s="385"/>
      <c r="M283" s="385"/>
      <c r="N283" s="385"/>
      <c r="O283" s="385"/>
      <c r="P283" s="385"/>
      <c r="Q283" s="385"/>
      <c r="R283" s="385"/>
      <c r="S283" s="385"/>
      <c r="T283" s="385"/>
      <c r="U283" s="385"/>
      <c r="V283" s="385"/>
      <c r="W283" s="385"/>
      <c r="X283" s="385"/>
      <c r="Y283" s="385"/>
      <c r="Z283" s="385"/>
      <c r="AA283" s="385"/>
      <c r="AB283" s="385"/>
      <c r="AC283" s="385"/>
      <c r="AD283" s="385"/>
      <c r="AE283" s="385"/>
      <c r="AF283" s="385"/>
      <c r="AG283" s="385"/>
      <c r="AH283" s="385"/>
      <c r="AI283" s="385"/>
      <c r="AJ283" s="385"/>
      <c r="AK283" s="385"/>
      <c r="AL283" s="385"/>
      <c r="AM283" s="385"/>
      <c r="AN283" s="385"/>
      <c r="AO283" s="385"/>
      <c r="AP283" s="385"/>
      <c r="AQ283" s="385"/>
      <c r="AR283" s="385"/>
      <c r="AS283" s="385"/>
      <c r="AT283" s="385"/>
      <c r="AU283" s="385"/>
      <c r="AV283" s="385"/>
      <c r="AW283" s="385"/>
      <c r="AX283" s="385"/>
      <c r="AY283" s="385"/>
    </row>
    <row r="284" spans="1:51" ht="18">
      <c r="A284" s="385"/>
      <c r="B284" s="391">
        <f>Input!AR282</f>
        <v>1.2700999402622681</v>
      </c>
      <c r="C284" s="391">
        <f>DailyMet!N265</f>
        <v>0</v>
      </c>
      <c r="D284" s="392">
        <f>Input!AS282</f>
        <v>513.04672861264919</v>
      </c>
      <c r="E284" s="392">
        <f>Input!E282</f>
        <v>261</v>
      </c>
      <c r="F284" s="393">
        <f>Input!B282</f>
        <v>38247</v>
      </c>
      <c r="G284" s="503">
        <f t="shared" si="9"/>
        <v>74.153478762652071</v>
      </c>
      <c r="H284" s="354"/>
      <c r="I284" s="392">
        <f t="shared" si="8"/>
        <v>469.2</v>
      </c>
      <c r="J284" s="385"/>
      <c r="K284" s="385"/>
      <c r="L284" s="385"/>
      <c r="M284" s="385"/>
      <c r="N284" s="385"/>
      <c r="O284" s="385"/>
      <c r="P284" s="385"/>
      <c r="Q284" s="385"/>
      <c r="R284" s="385"/>
      <c r="S284" s="385"/>
      <c r="T284" s="385"/>
      <c r="U284" s="385"/>
      <c r="V284" s="385"/>
      <c r="W284" s="385"/>
      <c r="X284" s="385"/>
      <c r="Y284" s="385"/>
      <c r="Z284" s="385"/>
      <c r="AA284" s="385"/>
      <c r="AB284" s="385"/>
      <c r="AC284" s="385"/>
      <c r="AD284" s="385"/>
      <c r="AE284" s="385"/>
      <c r="AF284" s="385"/>
      <c r="AG284" s="385"/>
      <c r="AH284" s="385"/>
      <c r="AI284" s="385"/>
      <c r="AJ284" s="385"/>
      <c r="AK284" s="385"/>
      <c r="AL284" s="385"/>
      <c r="AM284" s="385"/>
      <c r="AN284" s="385"/>
      <c r="AO284" s="385"/>
      <c r="AP284" s="385"/>
      <c r="AQ284" s="385"/>
      <c r="AR284" s="385"/>
      <c r="AS284" s="385"/>
      <c r="AT284" s="385"/>
      <c r="AU284" s="385"/>
      <c r="AV284" s="385"/>
      <c r="AW284" s="385"/>
      <c r="AX284" s="385"/>
      <c r="AY284" s="385"/>
    </row>
    <row r="285" spans="1:51" ht="18">
      <c r="A285" s="385"/>
      <c r="B285" s="391">
        <f>Input!AR283</f>
        <v>1.7450524297830377</v>
      </c>
      <c r="C285" s="391">
        <f>DailyMet!N266</f>
        <v>0</v>
      </c>
      <c r="D285" s="392">
        <f>Input!AS283</f>
        <v>514.79178104243226</v>
      </c>
      <c r="E285" s="392">
        <f>Input!E283</f>
        <v>262</v>
      </c>
      <c r="F285" s="393">
        <f>Input!B283</f>
        <v>38248</v>
      </c>
      <c r="G285" s="503">
        <f t="shared" si="9"/>
        <v>75.898531192435115</v>
      </c>
      <c r="H285" s="354"/>
      <c r="I285" s="392">
        <f t="shared" si="8"/>
        <v>469.2</v>
      </c>
      <c r="J285" s="385"/>
      <c r="K285" s="385"/>
      <c r="L285" s="385"/>
      <c r="M285" s="385"/>
      <c r="N285" s="385"/>
      <c r="O285" s="385"/>
      <c r="P285" s="385"/>
      <c r="Q285" s="385"/>
      <c r="R285" s="385"/>
      <c r="S285" s="385"/>
      <c r="T285" s="385"/>
      <c r="U285" s="385"/>
      <c r="V285" s="385"/>
      <c r="W285" s="385"/>
      <c r="X285" s="385"/>
      <c r="Y285" s="385"/>
      <c r="Z285" s="385"/>
      <c r="AA285" s="385"/>
      <c r="AB285" s="385"/>
      <c r="AC285" s="385"/>
      <c r="AD285" s="385"/>
      <c r="AE285" s="385"/>
      <c r="AF285" s="385"/>
      <c r="AG285" s="385"/>
      <c r="AH285" s="385"/>
      <c r="AI285" s="385"/>
      <c r="AJ285" s="385"/>
      <c r="AK285" s="385"/>
      <c r="AL285" s="385"/>
      <c r="AM285" s="385"/>
      <c r="AN285" s="385"/>
      <c r="AO285" s="385"/>
      <c r="AP285" s="385"/>
      <c r="AQ285" s="385"/>
      <c r="AR285" s="385"/>
      <c r="AS285" s="385"/>
      <c r="AT285" s="385"/>
      <c r="AU285" s="385"/>
      <c r="AV285" s="385"/>
      <c r="AW285" s="385"/>
      <c r="AX285" s="385"/>
      <c r="AY285" s="385"/>
    </row>
    <row r="286" spans="1:51" ht="18">
      <c r="A286" s="385"/>
      <c r="B286" s="391">
        <f>Input!AR284</f>
        <v>1.6980618506906395</v>
      </c>
      <c r="C286" s="391">
        <f>DailyMet!N267</f>
        <v>0.2</v>
      </c>
      <c r="D286" s="392">
        <f>Input!AS284</f>
        <v>516.48984289312295</v>
      </c>
      <c r="E286" s="392">
        <f>Input!E284</f>
        <v>263</v>
      </c>
      <c r="F286" s="393">
        <f>Input!B284</f>
        <v>38249</v>
      </c>
      <c r="G286" s="503">
        <f t="shared" si="9"/>
        <v>77.396593043125748</v>
      </c>
      <c r="H286" s="354"/>
      <c r="I286" s="392">
        <f t="shared" si="8"/>
        <v>469.4</v>
      </c>
      <c r="J286" s="385"/>
      <c r="K286" s="385"/>
      <c r="L286" s="385"/>
      <c r="M286" s="385"/>
      <c r="N286" s="385"/>
      <c r="O286" s="385"/>
      <c r="P286" s="385"/>
      <c r="Q286" s="385"/>
      <c r="R286" s="385"/>
      <c r="S286" s="385"/>
      <c r="T286" s="385"/>
      <c r="U286" s="385"/>
      <c r="V286" s="385"/>
      <c r="W286" s="385"/>
      <c r="X286" s="385"/>
      <c r="Y286" s="385"/>
      <c r="Z286" s="385"/>
      <c r="AA286" s="385"/>
      <c r="AB286" s="385"/>
      <c r="AC286" s="385"/>
      <c r="AD286" s="385"/>
      <c r="AE286" s="385"/>
      <c r="AF286" s="385"/>
      <c r="AG286" s="385"/>
      <c r="AH286" s="385"/>
      <c r="AI286" s="385"/>
      <c r="AJ286" s="385"/>
      <c r="AK286" s="385"/>
      <c r="AL286" s="385"/>
      <c r="AM286" s="385"/>
      <c r="AN286" s="385"/>
      <c r="AO286" s="385"/>
      <c r="AP286" s="385"/>
      <c r="AQ286" s="385"/>
      <c r="AR286" s="385"/>
      <c r="AS286" s="385"/>
      <c r="AT286" s="385"/>
      <c r="AU286" s="385"/>
      <c r="AV286" s="385"/>
      <c r="AW286" s="385"/>
      <c r="AX286" s="385"/>
      <c r="AY286" s="385"/>
    </row>
    <row r="287" spans="1:51" ht="18">
      <c r="A287" s="385"/>
      <c r="B287" s="391">
        <f>Input!AR285</f>
        <v>1.4478717838257564</v>
      </c>
      <c r="C287" s="391">
        <f>DailyMet!N268</f>
        <v>0</v>
      </c>
      <c r="D287" s="392">
        <f>Input!AS285</f>
        <v>517.93771467694876</v>
      </c>
      <c r="E287" s="392">
        <f>Input!E285</f>
        <v>264</v>
      </c>
      <c r="F287" s="393">
        <f>Input!B285</f>
        <v>38250</v>
      </c>
      <c r="G287" s="503">
        <f t="shared" si="9"/>
        <v>78.844464826951508</v>
      </c>
      <c r="H287" s="354"/>
      <c r="I287" s="392">
        <f t="shared" ref="I287:I350" si="10">IF(B287="",0,IF(D287-D286&lt;0,0,IF(I286+H287+C287&lt;0,0,I286+H287+C287)))</f>
        <v>469.4</v>
      </c>
      <c r="J287" s="385"/>
      <c r="K287" s="385"/>
      <c r="L287" s="385"/>
      <c r="M287" s="385"/>
      <c r="N287" s="385"/>
      <c r="O287" s="385"/>
      <c r="P287" s="385"/>
      <c r="Q287" s="385"/>
      <c r="R287" s="385"/>
      <c r="S287" s="385"/>
      <c r="T287" s="385"/>
      <c r="U287" s="385"/>
      <c r="V287" s="385"/>
      <c r="W287" s="385"/>
      <c r="X287" s="385"/>
      <c r="Y287" s="385"/>
      <c r="Z287" s="385"/>
      <c r="AA287" s="385"/>
      <c r="AB287" s="385"/>
      <c r="AC287" s="385"/>
      <c r="AD287" s="385"/>
      <c r="AE287" s="385"/>
      <c r="AF287" s="385"/>
      <c r="AG287" s="385"/>
      <c r="AH287" s="385"/>
      <c r="AI287" s="385"/>
      <c r="AJ287" s="385"/>
      <c r="AK287" s="385"/>
      <c r="AL287" s="385"/>
      <c r="AM287" s="385"/>
      <c r="AN287" s="385"/>
      <c r="AO287" s="385"/>
      <c r="AP287" s="385"/>
      <c r="AQ287" s="385"/>
      <c r="AR287" s="385"/>
      <c r="AS287" s="385"/>
      <c r="AT287" s="385"/>
      <c r="AU287" s="385"/>
      <c r="AV287" s="385"/>
      <c r="AW287" s="385"/>
      <c r="AX287" s="385"/>
      <c r="AY287" s="385"/>
    </row>
    <row r="288" spans="1:51" ht="18">
      <c r="A288" s="385"/>
      <c r="B288" s="391">
        <f>Input!AR286</f>
        <v>1.4242600530173191</v>
      </c>
      <c r="C288" s="391">
        <f>DailyMet!N269</f>
        <v>0</v>
      </c>
      <c r="D288" s="392">
        <f>Input!AS286</f>
        <v>519.36197472996605</v>
      </c>
      <c r="E288" s="392">
        <f>Input!E286</f>
        <v>265</v>
      </c>
      <c r="F288" s="393">
        <f>Input!B286</f>
        <v>38251</v>
      </c>
      <c r="G288" s="503">
        <f t="shared" si="9"/>
        <v>80.268724879968829</v>
      </c>
      <c r="H288" s="354"/>
      <c r="I288" s="392">
        <f t="shared" si="10"/>
        <v>469.4</v>
      </c>
      <c r="J288" s="385"/>
      <c r="K288" s="385"/>
      <c r="L288" s="385"/>
      <c r="M288" s="385"/>
      <c r="N288" s="385"/>
      <c r="O288" s="385"/>
      <c r="P288" s="385"/>
      <c r="Q288" s="385"/>
      <c r="R288" s="385"/>
      <c r="S288" s="385"/>
      <c r="T288" s="385"/>
      <c r="U288" s="385"/>
      <c r="V288" s="385"/>
      <c r="W288" s="385"/>
      <c r="X288" s="385"/>
      <c r="Y288" s="385"/>
      <c r="Z288" s="385"/>
      <c r="AA288" s="385"/>
      <c r="AB288" s="385"/>
      <c r="AC288" s="385"/>
      <c r="AD288" s="385"/>
      <c r="AE288" s="385"/>
      <c r="AF288" s="385"/>
      <c r="AG288" s="385"/>
      <c r="AH288" s="385"/>
      <c r="AI288" s="385"/>
      <c r="AJ288" s="385"/>
      <c r="AK288" s="385"/>
      <c r="AL288" s="385"/>
      <c r="AM288" s="385"/>
      <c r="AN288" s="385"/>
      <c r="AO288" s="385"/>
      <c r="AP288" s="385"/>
      <c r="AQ288" s="385"/>
      <c r="AR288" s="385"/>
      <c r="AS288" s="385"/>
      <c r="AT288" s="385"/>
      <c r="AU288" s="385"/>
      <c r="AV288" s="385"/>
      <c r="AW288" s="385"/>
      <c r="AX288" s="385"/>
      <c r="AY288" s="385"/>
    </row>
    <row r="289" spans="1:51" ht="18">
      <c r="A289" s="385"/>
      <c r="B289" s="391">
        <f>Input!AR287</f>
        <v>1.2193567206562272</v>
      </c>
      <c r="C289" s="391">
        <f>DailyMet!N270</f>
        <v>0</v>
      </c>
      <c r="D289" s="392">
        <f>Input!AS287</f>
        <v>520.58133145062232</v>
      </c>
      <c r="E289" s="392">
        <f>Input!E287</f>
        <v>266</v>
      </c>
      <c r="F289" s="393">
        <f>Input!B287</f>
        <v>38252</v>
      </c>
      <c r="G289" s="503">
        <f t="shared" si="9"/>
        <v>81.488081600625051</v>
      </c>
      <c r="H289" s="354"/>
      <c r="I289" s="392">
        <f t="shared" si="10"/>
        <v>469.4</v>
      </c>
      <c r="J289" s="385"/>
      <c r="K289" s="385"/>
      <c r="L289" s="385"/>
      <c r="M289" s="385"/>
      <c r="N289" s="385"/>
      <c r="O289" s="385"/>
      <c r="P289" s="385"/>
      <c r="Q289" s="385"/>
      <c r="R289" s="385"/>
      <c r="S289" s="385"/>
      <c r="T289" s="385"/>
      <c r="U289" s="385"/>
      <c r="V289" s="385"/>
      <c r="W289" s="385"/>
      <c r="X289" s="385"/>
      <c r="Y289" s="385"/>
      <c r="Z289" s="385"/>
      <c r="AA289" s="385"/>
      <c r="AB289" s="385"/>
      <c r="AC289" s="385"/>
      <c r="AD289" s="385"/>
      <c r="AE289" s="385"/>
      <c r="AF289" s="385"/>
      <c r="AG289" s="385"/>
      <c r="AH289" s="385"/>
      <c r="AI289" s="385"/>
      <c r="AJ289" s="385"/>
      <c r="AK289" s="385"/>
      <c r="AL289" s="385"/>
      <c r="AM289" s="385"/>
      <c r="AN289" s="385"/>
      <c r="AO289" s="385"/>
      <c r="AP289" s="385"/>
      <c r="AQ289" s="385"/>
      <c r="AR289" s="385"/>
      <c r="AS289" s="385"/>
      <c r="AT289" s="385"/>
      <c r="AU289" s="385"/>
      <c r="AV289" s="385"/>
      <c r="AW289" s="385"/>
      <c r="AX289" s="385"/>
      <c r="AY289" s="385"/>
    </row>
    <row r="290" spans="1:51" ht="18">
      <c r="A290" s="385"/>
      <c r="B290" s="391">
        <f>Input!AR288</f>
        <v>1.4993893272248509</v>
      </c>
      <c r="C290" s="391">
        <f>DailyMet!N271</f>
        <v>0</v>
      </c>
      <c r="D290" s="392">
        <f>Input!AS288</f>
        <v>522.0807207778472</v>
      </c>
      <c r="E290" s="392">
        <f>Input!E288</f>
        <v>267</v>
      </c>
      <c r="F290" s="393">
        <f>Input!B288</f>
        <v>38253</v>
      </c>
      <c r="G290" s="503">
        <f t="shared" si="9"/>
        <v>82.987470927849898</v>
      </c>
      <c r="H290" s="354"/>
      <c r="I290" s="392">
        <f t="shared" si="10"/>
        <v>469.4</v>
      </c>
      <c r="J290" s="385"/>
      <c r="K290" s="385"/>
      <c r="L290" s="385"/>
      <c r="M290" s="385"/>
      <c r="N290" s="385"/>
      <c r="O290" s="385"/>
      <c r="P290" s="385"/>
      <c r="Q290" s="385"/>
      <c r="R290" s="385"/>
      <c r="S290" s="385"/>
      <c r="T290" s="385"/>
      <c r="U290" s="385"/>
      <c r="V290" s="385"/>
      <c r="W290" s="385"/>
      <c r="X290" s="385"/>
      <c r="Y290" s="385"/>
      <c r="Z290" s="385"/>
      <c r="AA290" s="385"/>
      <c r="AB290" s="385"/>
      <c r="AC290" s="385"/>
      <c r="AD290" s="385"/>
      <c r="AE290" s="385"/>
      <c r="AF290" s="385"/>
      <c r="AG290" s="385"/>
      <c r="AH290" s="385"/>
      <c r="AI290" s="385"/>
      <c r="AJ290" s="385"/>
      <c r="AK290" s="385"/>
      <c r="AL290" s="385"/>
      <c r="AM290" s="385"/>
      <c r="AN290" s="385"/>
      <c r="AO290" s="385"/>
      <c r="AP290" s="385"/>
      <c r="AQ290" s="385"/>
      <c r="AR290" s="385"/>
      <c r="AS290" s="385"/>
      <c r="AT290" s="385"/>
      <c r="AU290" s="385"/>
      <c r="AV290" s="385"/>
      <c r="AW290" s="385"/>
      <c r="AX290" s="385"/>
      <c r="AY290" s="385"/>
    </row>
    <row r="291" spans="1:51" ht="18">
      <c r="A291" s="385"/>
      <c r="B291" s="391">
        <f>Input!AR289</f>
        <v>0.4118621588994747</v>
      </c>
      <c r="C291" s="391">
        <f>DailyMet!N272</f>
        <v>0</v>
      </c>
      <c r="D291" s="392">
        <f>Input!AS289</f>
        <v>522.49258293674666</v>
      </c>
      <c r="E291" s="392">
        <f>Input!E289</f>
        <v>268</v>
      </c>
      <c r="F291" s="393">
        <f>Input!B289</f>
        <v>38254</v>
      </c>
      <c r="G291" s="503">
        <f t="shared" si="9"/>
        <v>83.39933308674938</v>
      </c>
      <c r="H291" s="354"/>
      <c r="I291" s="392">
        <f t="shared" si="10"/>
        <v>469.4</v>
      </c>
      <c r="J291" s="385"/>
      <c r="K291" s="385"/>
      <c r="L291" s="385"/>
      <c r="M291" s="385"/>
      <c r="N291" s="385"/>
      <c r="O291" s="385"/>
      <c r="P291" s="385"/>
      <c r="Q291" s="385"/>
      <c r="R291" s="385"/>
      <c r="S291" s="385"/>
      <c r="T291" s="385"/>
      <c r="U291" s="385"/>
      <c r="V291" s="385"/>
      <c r="W291" s="385"/>
      <c r="X291" s="385"/>
      <c r="Y291" s="385"/>
      <c r="Z291" s="385"/>
      <c r="AA291" s="385"/>
      <c r="AB291" s="385"/>
      <c r="AC291" s="385"/>
      <c r="AD291" s="385"/>
      <c r="AE291" s="385"/>
      <c r="AF291" s="385"/>
      <c r="AG291" s="385"/>
      <c r="AH291" s="385"/>
      <c r="AI291" s="385"/>
      <c r="AJ291" s="385"/>
      <c r="AK291" s="385"/>
      <c r="AL291" s="385"/>
      <c r="AM291" s="385"/>
      <c r="AN291" s="385"/>
      <c r="AO291" s="385"/>
      <c r="AP291" s="385"/>
      <c r="AQ291" s="385"/>
      <c r="AR291" s="385"/>
      <c r="AS291" s="385"/>
      <c r="AT291" s="385"/>
      <c r="AU291" s="385"/>
      <c r="AV291" s="385"/>
      <c r="AW291" s="385"/>
      <c r="AX291" s="385"/>
      <c r="AY291" s="385"/>
    </row>
    <row r="292" spans="1:51" ht="18">
      <c r="A292" s="385"/>
      <c r="B292" s="391">
        <f>Input!AR290</f>
        <v>1.141459215525563</v>
      </c>
      <c r="C292" s="391">
        <f>DailyMet!N273</f>
        <v>2.2000000000000002</v>
      </c>
      <c r="D292" s="392">
        <f>Input!AS290</f>
        <v>523.63404215227217</v>
      </c>
      <c r="E292" s="392">
        <f>Input!E290</f>
        <v>269</v>
      </c>
      <c r="F292" s="393">
        <f>Input!B290</f>
        <v>38255</v>
      </c>
      <c r="G292" s="503">
        <f t="shared" si="9"/>
        <v>82.340792302274934</v>
      </c>
      <c r="H292" s="354"/>
      <c r="I292" s="392">
        <f t="shared" si="10"/>
        <v>471.59999999999997</v>
      </c>
      <c r="J292" s="385"/>
      <c r="K292" s="385"/>
      <c r="L292" s="385"/>
      <c r="M292" s="385"/>
      <c r="N292" s="385"/>
      <c r="O292" s="385"/>
      <c r="P292" s="385"/>
      <c r="Q292" s="385"/>
      <c r="R292" s="385"/>
      <c r="S292" s="385"/>
      <c r="T292" s="385"/>
      <c r="U292" s="385"/>
      <c r="V292" s="385"/>
      <c r="W292" s="385"/>
      <c r="X292" s="385"/>
      <c r="Y292" s="385"/>
      <c r="Z292" s="385"/>
      <c r="AA292" s="385"/>
      <c r="AB292" s="385"/>
      <c r="AC292" s="385"/>
      <c r="AD292" s="385"/>
      <c r="AE292" s="385"/>
      <c r="AF292" s="385"/>
      <c r="AG292" s="385"/>
      <c r="AH292" s="385"/>
      <c r="AI292" s="385"/>
      <c r="AJ292" s="385"/>
      <c r="AK292" s="385"/>
      <c r="AL292" s="385"/>
      <c r="AM292" s="385"/>
      <c r="AN292" s="385"/>
      <c r="AO292" s="385"/>
      <c r="AP292" s="385"/>
      <c r="AQ292" s="385"/>
      <c r="AR292" s="385"/>
      <c r="AS292" s="385"/>
      <c r="AT292" s="385"/>
      <c r="AU292" s="385"/>
      <c r="AV292" s="385"/>
      <c r="AW292" s="385"/>
      <c r="AX292" s="385"/>
      <c r="AY292" s="385"/>
    </row>
    <row r="293" spans="1:51" ht="18">
      <c r="A293" s="385"/>
      <c r="B293" s="391">
        <f>Input!AR291</f>
        <v>1.7298197329803691</v>
      </c>
      <c r="C293" s="391">
        <f>DailyMet!N274</f>
        <v>0.2</v>
      </c>
      <c r="D293" s="392">
        <f>Input!AS291</f>
        <v>525.3638618852525</v>
      </c>
      <c r="E293" s="392">
        <f>Input!E291</f>
        <v>270</v>
      </c>
      <c r="F293" s="393">
        <f>Input!B291</f>
        <v>38256</v>
      </c>
      <c r="G293" s="503">
        <f t="shared" si="9"/>
        <v>83.870612035255306</v>
      </c>
      <c r="H293" s="354"/>
      <c r="I293" s="392">
        <f t="shared" si="10"/>
        <v>471.79999999999995</v>
      </c>
      <c r="J293" s="385"/>
      <c r="K293" s="385"/>
      <c r="L293" s="385"/>
      <c r="M293" s="385"/>
      <c r="N293" s="385"/>
      <c r="O293" s="385"/>
      <c r="P293" s="385"/>
      <c r="Q293" s="385"/>
      <c r="R293" s="385"/>
      <c r="S293" s="385"/>
      <c r="T293" s="385"/>
      <c r="U293" s="385"/>
      <c r="V293" s="385"/>
      <c r="W293" s="385"/>
      <c r="X293" s="385"/>
      <c r="Y293" s="385"/>
      <c r="Z293" s="385"/>
      <c r="AA293" s="385"/>
      <c r="AB293" s="385"/>
      <c r="AC293" s="385"/>
      <c r="AD293" s="385"/>
      <c r="AE293" s="385"/>
      <c r="AF293" s="385"/>
      <c r="AG293" s="385"/>
      <c r="AH293" s="385"/>
      <c r="AI293" s="385"/>
      <c r="AJ293" s="385"/>
      <c r="AK293" s="385"/>
      <c r="AL293" s="385"/>
      <c r="AM293" s="385"/>
      <c r="AN293" s="385"/>
      <c r="AO293" s="385"/>
      <c r="AP293" s="385"/>
      <c r="AQ293" s="385"/>
      <c r="AR293" s="385"/>
      <c r="AS293" s="385"/>
      <c r="AT293" s="385"/>
      <c r="AU293" s="385"/>
      <c r="AV293" s="385"/>
      <c r="AW293" s="385"/>
      <c r="AX293" s="385"/>
      <c r="AY293" s="385"/>
    </row>
    <row r="294" spans="1:51" ht="18">
      <c r="A294" s="385"/>
      <c r="B294" s="391">
        <f>Input!AR292</f>
        <v>1.6029691190597686</v>
      </c>
      <c r="C294" s="391">
        <f>DailyMet!N275</f>
        <v>0</v>
      </c>
      <c r="D294" s="392">
        <f>Input!AS292</f>
        <v>526.96683100431233</v>
      </c>
      <c r="E294" s="392">
        <f>Input!E292</f>
        <v>271</v>
      </c>
      <c r="F294" s="393">
        <f>Input!B292</f>
        <v>38257</v>
      </c>
      <c r="G294" s="503">
        <f t="shared" si="9"/>
        <v>85.47358115431507</v>
      </c>
      <c r="H294" s="354"/>
      <c r="I294" s="392">
        <f t="shared" si="10"/>
        <v>471.79999999999995</v>
      </c>
      <c r="J294" s="385"/>
      <c r="K294" s="385"/>
      <c r="L294" s="385"/>
      <c r="M294" s="385"/>
      <c r="N294" s="385"/>
      <c r="O294" s="385"/>
      <c r="P294" s="385"/>
      <c r="Q294" s="385"/>
      <c r="R294" s="385"/>
      <c r="S294" s="385"/>
      <c r="T294" s="385"/>
      <c r="U294" s="385"/>
      <c r="V294" s="385"/>
      <c r="W294" s="385"/>
      <c r="X294" s="385"/>
      <c r="Y294" s="385"/>
      <c r="Z294" s="385"/>
      <c r="AA294" s="385"/>
      <c r="AB294" s="385"/>
      <c r="AC294" s="385"/>
      <c r="AD294" s="385"/>
      <c r="AE294" s="385"/>
      <c r="AF294" s="385"/>
      <c r="AG294" s="385"/>
      <c r="AH294" s="385"/>
      <c r="AI294" s="385"/>
      <c r="AJ294" s="385"/>
      <c r="AK294" s="385"/>
      <c r="AL294" s="385"/>
      <c r="AM294" s="385"/>
      <c r="AN294" s="385"/>
      <c r="AO294" s="385"/>
      <c r="AP294" s="385"/>
      <c r="AQ294" s="385"/>
      <c r="AR294" s="385"/>
      <c r="AS294" s="385"/>
      <c r="AT294" s="385"/>
      <c r="AU294" s="385"/>
      <c r="AV294" s="385"/>
      <c r="AW294" s="385"/>
      <c r="AX294" s="385"/>
      <c r="AY294" s="385"/>
    </row>
    <row r="295" spans="1:51" ht="18">
      <c r="A295" s="385"/>
      <c r="B295" s="391">
        <f>Input!AR293</f>
        <v>1.3393968567367289</v>
      </c>
      <c r="C295" s="391">
        <f>DailyMet!N276</f>
        <v>0.2</v>
      </c>
      <c r="D295" s="392">
        <f>Input!AS293</f>
        <v>528.30622786104902</v>
      </c>
      <c r="E295" s="392">
        <f>Input!E293</f>
        <v>272</v>
      </c>
      <c r="F295" s="393">
        <f>Input!B293</f>
        <v>38258</v>
      </c>
      <c r="G295" s="503">
        <f t="shared" si="9"/>
        <v>86.612978011051794</v>
      </c>
      <c r="H295" s="354"/>
      <c r="I295" s="392">
        <f t="shared" si="10"/>
        <v>471.99999999999994</v>
      </c>
      <c r="J295" s="385"/>
      <c r="K295" s="385"/>
      <c r="L295" s="385"/>
      <c r="M295" s="385"/>
      <c r="N295" s="385"/>
      <c r="O295" s="385"/>
      <c r="P295" s="385"/>
      <c r="Q295" s="385"/>
      <c r="R295" s="385"/>
      <c r="S295" s="385"/>
      <c r="T295" s="385"/>
      <c r="U295" s="385"/>
      <c r="V295" s="385"/>
      <c r="W295" s="385"/>
      <c r="X295" s="385"/>
      <c r="Y295" s="385"/>
      <c r="Z295" s="385"/>
      <c r="AA295" s="385"/>
      <c r="AB295" s="385"/>
      <c r="AC295" s="385"/>
      <c r="AD295" s="385"/>
      <c r="AE295" s="385"/>
      <c r="AF295" s="385"/>
      <c r="AG295" s="385"/>
      <c r="AH295" s="385"/>
      <c r="AI295" s="385"/>
      <c r="AJ295" s="385"/>
      <c r="AK295" s="385"/>
      <c r="AL295" s="385"/>
      <c r="AM295" s="385"/>
      <c r="AN295" s="385"/>
      <c r="AO295" s="385"/>
      <c r="AP295" s="385"/>
      <c r="AQ295" s="385"/>
      <c r="AR295" s="385"/>
      <c r="AS295" s="385"/>
      <c r="AT295" s="385"/>
      <c r="AU295" s="385"/>
      <c r="AV295" s="385"/>
      <c r="AW295" s="385"/>
      <c r="AX295" s="385"/>
      <c r="AY295" s="385"/>
    </row>
    <row r="296" spans="1:51" ht="18">
      <c r="A296" s="385"/>
      <c r="B296" s="391">
        <f>Input!AR294</f>
        <v>1.1548579939225143</v>
      </c>
      <c r="C296" s="391">
        <f>DailyMet!N277</f>
        <v>2.6</v>
      </c>
      <c r="D296" s="392">
        <f>Input!AS294</f>
        <v>529.46108585497154</v>
      </c>
      <c r="E296" s="392">
        <f>Input!E294</f>
        <v>273</v>
      </c>
      <c r="F296" s="393">
        <f>Input!B294</f>
        <v>38259</v>
      </c>
      <c r="G296" s="503">
        <f t="shared" si="9"/>
        <v>85.167836004974319</v>
      </c>
      <c r="H296" s="354"/>
      <c r="I296" s="392">
        <f t="shared" si="10"/>
        <v>474.59999999999997</v>
      </c>
      <c r="J296" s="385"/>
      <c r="K296" s="385"/>
      <c r="L296" s="385"/>
      <c r="M296" s="385"/>
      <c r="N296" s="385"/>
      <c r="O296" s="385"/>
      <c r="P296" s="385"/>
      <c r="Q296" s="385"/>
      <c r="R296" s="385"/>
      <c r="S296" s="385"/>
      <c r="T296" s="385"/>
      <c r="U296" s="385"/>
      <c r="V296" s="385"/>
      <c r="W296" s="385"/>
      <c r="X296" s="385"/>
      <c r="Y296" s="385"/>
      <c r="Z296" s="385"/>
      <c r="AA296" s="385"/>
      <c r="AB296" s="385"/>
      <c r="AC296" s="385"/>
      <c r="AD296" s="385"/>
      <c r="AE296" s="385"/>
      <c r="AF296" s="385"/>
      <c r="AG296" s="385"/>
      <c r="AH296" s="385"/>
      <c r="AI296" s="385"/>
      <c r="AJ296" s="385"/>
      <c r="AK296" s="385"/>
      <c r="AL296" s="385"/>
      <c r="AM296" s="385"/>
      <c r="AN296" s="385"/>
      <c r="AO296" s="385"/>
      <c r="AP296" s="385"/>
      <c r="AQ296" s="385"/>
      <c r="AR296" s="385"/>
      <c r="AS296" s="385"/>
      <c r="AT296" s="385"/>
      <c r="AU296" s="385"/>
      <c r="AV296" s="385"/>
      <c r="AW296" s="385"/>
      <c r="AX296" s="385"/>
      <c r="AY296" s="385"/>
    </row>
    <row r="297" spans="1:51" ht="18">
      <c r="A297" s="385"/>
      <c r="B297" s="391">
        <f>Input!AR295</f>
        <v>0.56926619794137501</v>
      </c>
      <c r="C297" s="391">
        <f>DailyMet!N278</f>
        <v>0</v>
      </c>
      <c r="D297" s="392">
        <f>Input!AS295</f>
        <v>530.03035205291292</v>
      </c>
      <c r="E297" s="392">
        <f>Input!E295</f>
        <v>274</v>
      </c>
      <c r="F297" s="393">
        <f>Input!B295</f>
        <v>38260</v>
      </c>
      <c r="G297" s="503">
        <f t="shared" si="9"/>
        <v>85.737102202915693</v>
      </c>
      <c r="H297" s="354"/>
      <c r="I297" s="392">
        <f t="shared" si="10"/>
        <v>474.59999999999997</v>
      </c>
      <c r="J297" s="385"/>
      <c r="K297" s="385"/>
      <c r="L297" s="385"/>
      <c r="M297" s="385"/>
      <c r="N297" s="385"/>
      <c r="O297" s="385"/>
      <c r="P297" s="385"/>
      <c r="Q297" s="385"/>
      <c r="R297" s="385"/>
      <c r="S297" s="385"/>
      <c r="T297" s="385"/>
      <c r="U297" s="385"/>
      <c r="V297" s="385"/>
      <c r="W297" s="385"/>
      <c r="X297" s="385"/>
      <c r="Y297" s="385"/>
      <c r="Z297" s="385"/>
      <c r="AA297" s="385"/>
      <c r="AB297" s="385"/>
      <c r="AC297" s="385"/>
      <c r="AD297" s="385"/>
      <c r="AE297" s="385"/>
      <c r="AF297" s="385"/>
      <c r="AG297" s="385"/>
      <c r="AH297" s="385"/>
      <c r="AI297" s="385"/>
      <c r="AJ297" s="385"/>
      <c r="AK297" s="385"/>
      <c r="AL297" s="385"/>
      <c r="AM297" s="385"/>
      <c r="AN297" s="385"/>
      <c r="AO297" s="385"/>
      <c r="AP297" s="385"/>
      <c r="AQ297" s="385"/>
      <c r="AR297" s="385"/>
      <c r="AS297" s="385"/>
      <c r="AT297" s="385"/>
      <c r="AU297" s="385"/>
      <c r="AV297" s="385"/>
      <c r="AW297" s="385"/>
      <c r="AX297" s="385"/>
      <c r="AY297" s="385"/>
    </row>
    <row r="298" spans="1:51" ht="18">
      <c r="A298" s="385"/>
      <c r="B298" s="391" t="str">
        <f>Input!AR296</f>
        <v/>
      </c>
      <c r="C298" s="391">
        <f>DailyMet!N279</f>
        <v>0</v>
      </c>
      <c r="D298" s="392">
        <f>Input!AS296</f>
        <v>0</v>
      </c>
      <c r="E298" s="392">
        <f>Input!E296</f>
        <v>275</v>
      </c>
      <c r="F298" s="393">
        <f>Input!B296</f>
        <v>38261</v>
      </c>
      <c r="G298" s="503">
        <f t="shared" si="9"/>
        <v>0</v>
      </c>
      <c r="H298" s="354"/>
      <c r="I298" s="392">
        <f t="shared" si="10"/>
        <v>0</v>
      </c>
      <c r="J298" s="385"/>
      <c r="K298" s="385"/>
      <c r="L298" s="385"/>
      <c r="M298" s="385"/>
      <c r="N298" s="385"/>
      <c r="O298" s="385"/>
      <c r="P298" s="385"/>
      <c r="Q298" s="385"/>
      <c r="R298" s="385"/>
      <c r="S298" s="385"/>
      <c r="T298" s="385"/>
      <c r="U298" s="385"/>
      <c r="V298" s="385"/>
      <c r="W298" s="385"/>
      <c r="X298" s="385"/>
      <c r="Y298" s="385"/>
      <c r="Z298" s="385"/>
      <c r="AA298" s="385"/>
      <c r="AB298" s="385"/>
      <c r="AC298" s="385"/>
      <c r="AD298" s="385"/>
      <c r="AE298" s="385"/>
      <c r="AF298" s="385"/>
      <c r="AG298" s="385"/>
      <c r="AH298" s="385"/>
      <c r="AI298" s="385"/>
      <c r="AJ298" s="385"/>
      <c r="AK298" s="385"/>
      <c r="AL298" s="385"/>
      <c r="AM298" s="385"/>
      <c r="AN298" s="385"/>
      <c r="AO298" s="385"/>
      <c r="AP298" s="385"/>
      <c r="AQ298" s="385"/>
      <c r="AR298" s="385"/>
      <c r="AS298" s="385"/>
      <c r="AT298" s="385"/>
      <c r="AU298" s="385"/>
      <c r="AV298" s="385"/>
      <c r="AW298" s="385"/>
      <c r="AX298" s="385"/>
      <c r="AY298" s="385"/>
    </row>
    <row r="299" spans="1:51" ht="18">
      <c r="A299" s="385"/>
      <c r="B299" s="391" t="str">
        <f>Input!AR297</f>
        <v/>
      </c>
      <c r="C299" s="391">
        <f>DailyMet!N280</f>
        <v>0.2</v>
      </c>
      <c r="D299" s="392">
        <f>Input!AS297</f>
        <v>0</v>
      </c>
      <c r="E299" s="392">
        <f>Input!E297</f>
        <v>276</v>
      </c>
      <c r="F299" s="393">
        <f>Input!B297</f>
        <v>38262</v>
      </c>
      <c r="G299" s="503">
        <f t="shared" si="9"/>
        <v>0</v>
      </c>
      <c r="H299" s="354"/>
      <c r="I299" s="392">
        <f t="shared" si="10"/>
        <v>0</v>
      </c>
      <c r="J299" s="385"/>
      <c r="K299" s="385"/>
      <c r="L299" s="385"/>
      <c r="M299" s="385"/>
      <c r="N299" s="385"/>
      <c r="O299" s="385"/>
      <c r="P299" s="385"/>
      <c r="Q299" s="385"/>
      <c r="R299" s="385"/>
      <c r="S299" s="385"/>
      <c r="T299" s="385"/>
      <c r="U299" s="385"/>
      <c r="V299" s="385"/>
      <c r="W299" s="385"/>
      <c r="X299" s="385"/>
      <c r="Y299" s="385"/>
      <c r="Z299" s="385"/>
      <c r="AA299" s="385"/>
      <c r="AB299" s="385"/>
      <c r="AC299" s="385"/>
      <c r="AD299" s="385"/>
      <c r="AE299" s="385"/>
      <c r="AF299" s="385"/>
      <c r="AG299" s="385"/>
      <c r="AH299" s="385"/>
      <c r="AI299" s="385"/>
      <c r="AJ299" s="385"/>
      <c r="AK299" s="385"/>
      <c r="AL299" s="385"/>
      <c r="AM299" s="385"/>
      <c r="AN299" s="385"/>
      <c r="AO299" s="385"/>
      <c r="AP299" s="385"/>
      <c r="AQ299" s="385"/>
      <c r="AR299" s="385"/>
      <c r="AS299" s="385"/>
      <c r="AT299" s="385"/>
      <c r="AU299" s="385"/>
      <c r="AV299" s="385"/>
      <c r="AW299" s="385"/>
      <c r="AX299" s="385"/>
      <c r="AY299" s="385"/>
    </row>
    <row r="300" spans="1:51" ht="18">
      <c r="A300" s="385"/>
      <c r="B300" s="391" t="str">
        <f>Input!AR298</f>
        <v/>
      </c>
      <c r="C300" s="391">
        <f>DailyMet!N281</f>
        <v>0</v>
      </c>
      <c r="D300" s="392">
        <f>Input!AS298</f>
        <v>0</v>
      </c>
      <c r="E300" s="392">
        <f>Input!E298</f>
        <v>277</v>
      </c>
      <c r="F300" s="393">
        <f>Input!B298</f>
        <v>38263</v>
      </c>
      <c r="G300" s="503">
        <f t="shared" si="9"/>
        <v>0</v>
      </c>
      <c r="H300" s="354"/>
      <c r="I300" s="392">
        <f t="shared" si="10"/>
        <v>0</v>
      </c>
      <c r="J300" s="385"/>
      <c r="K300" s="385"/>
      <c r="L300" s="385"/>
      <c r="M300" s="385"/>
      <c r="N300" s="385"/>
      <c r="O300" s="385"/>
      <c r="P300" s="385"/>
      <c r="Q300" s="385"/>
      <c r="R300" s="385"/>
      <c r="S300" s="385"/>
      <c r="T300" s="385"/>
      <c r="U300" s="385"/>
      <c r="V300" s="385"/>
      <c r="W300" s="385"/>
      <c r="X300" s="385"/>
      <c r="Y300" s="385"/>
      <c r="Z300" s="385"/>
      <c r="AA300" s="385"/>
      <c r="AB300" s="385"/>
      <c r="AC300" s="385"/>
      <c r="AD300" s="385"/>
      <c r="AE300" s="385"/>
      <c r="AF300" s="385"/>
      <c r="AG300" s="385"/>
      <c r="AH300" s="385"/>
      <c r="AI300" s="385"/>
      <c r="AJ300" s="385"/>
      <c r="AK300" s="385"/>
      <c r="AL300" s="385"/>
      <c r="AM300" s="385"/>
      <c r="AN300" s="385"/>
      <c r="AO300" s="385"/>
      <c r="AP300" s="385"/>
      <c r="AQ300" s="385"/>
      <c r="AR300" s="385"/>
      <c r="AS300" s="385"/>
      <c r="AT300" s="385"/>
      <c r="AU300" s="385"/>
      <c r="AV300" s="385"/>
      <c r="AW300" s="385"/>
      <c r="AX300" s="385"/>
      <c r="AY300" s="385"/>
    </row>
    <row r="301" spans="1:51" ht="18">
      <c r="A301" s="385"/>
      <c r="B301" s="391" t="str">
        <f>Input!AR299</f>
        <v/>
      </c>
      <c r="C301" s="391">
        <f>DailyMet!N282</f>
        <v>0</v>
      </c>
      <c r="D301" s="392">
        <f>Input!AS299</f>
        <v>0</v>
      </c>
      <c r="E301" s="392">
        <f>Input!E299</f>
        <v>278</v>
      </c>
      <c r="F301" s="393">
        <f>Input!B299</f>
        <v>38264</v>
      </c>
      <c r="G301" s="503">
        <f t="shared" si="9"/>
        <v>0</v>
      </c>
      <c r="H301" s="354"/>
      <c r="I301" s="392">
        <f t="shared" si="10"/>
        <v>0</v>
      </c>
      <c r="J301" s="385"/>
      <c r="K301" s="385"/>
      <c r="L301" s="385"/>
      <c r="M301" s="385"/>
      <c r="N301" s="385"/>
      <c r="O301" s="385"/>
      <c r="P301" s="385"/>
      <c r="Q301" s="385"/>
      <c r="R301" s="385"/>
      <c r="S301" s="385"/>
      <c r="T301" s="385"/>
      <c r="U301" s="385"/>
      <c r="V301" s="385"/>
      <c r="W301" s="385"/>
      <c r="X301" s="385"/>
      <c r="Y301" s="385"/>
      <c r="Z301" s="385"/>
      <c r="AA301" s="385"/>
      <c r="AB301" s="385"/>
      <c r="AC301" s="385"/>
      <c r="AD301" s="385"/>
      <c r="AE301" s="385"/>
      <c r="AF301" s="385"/>
      <c r="AG301" s="385"/>
      <c r="AH301" s="385"/>
      <c r="AI301" s="385"/>
      <c r="AJ301" s="385"/>
      <c r="AK301" s="385"/>
      <c r="AL301" s="385"/>
      <c r="AM301" s="385"/>
      <c r="AN301" s="385"/>
      <c r="AO301" s="385"/>
      <c r="AP301" s="385"/>
      <c r="AQ301" s="385"/>
      <c r="AR301" s="385"/>
      <c r="AS301" s="385"/>
      <c r="AT301" s="385"/>
      <c r="AU301" s="385"/>
      <c r="AV301" s="385"/>
      <c r="AW301" s="385"/>
      <c r="AX301" s="385"/>
      <c r="AY301" s="385"/>
    </row>
    <row r="302" spans="1:51" ht="18">
      <c r="A302" s="385"/>
      <c r="B302" s="391" t="str">
        <f>Input!AR300</f>
        <v/>
      </c>
      <c r="C302" s="391">
        <f>DailyMet!N283</f>
        <v>0</v>
      </c>
      <c r="D302" s="392">
        <f>Input!AS300</f>
        <v>0</v>
      </c>
      <c r="E302" s="392">
        <f>Input!E300</f>
        <v>279</v>
      </c>
      <c r="F302" s="393">
        <f>Input!B300</f>
        <v>38265</v>
      </c>
      <c r="G302" s="503">
        <f t="shared" si="9"/>
        <v>0</v>
      </c>
      <c r="H302" s="354"/>
      <c r="I302" s="392">
        <f t="shared" si="10"/>
        <v>0</v>
      </c>
      <c r="J302" s="385"/>
      <c r="K302" s="385"/>
      <c r="L302" s="385"/>
      <c r="M302" s="385"/>
      <c r="N302" s="385"/>
      <c r="O302" s="385"/>
      <c r="P302" s="385"/>
      <c r="Q302" s="385"/>
      <c r="R302" s="385"/>
      <c r="S302" s="385"/>
      <c r="T302" s="385"/>
      <c r="U302" s="385"/>
      <c r="V302" s="385"/>
      <c r="W302" s="385"/>
      <c r="X302" s="385"/>
      <c r="Y302" s="385"/>
      <c r="Z302" s="385"/>
      <c r="AA302" s="385"/>
      <c r="AB302" s="385"/>
      <c r="AC302" s="385"/>
      <c r="AD302" s="385"/>
      <c r="AE302" s="385"/>
      <c r="AF302" s="385"/>
      <c r="AG302" s="385"/>
      <c r="AH302" s="385"/>
      <c r="AI302" s="385"/>
      <c r="AJ302" s="385"/>
      <c r="AK302" s="385"/>
      <c r="AL302" s="385"/>
      <c r="AM302" s="385"/>
      <c r="AN302" s="385"/>
      <c r="AO302" s="385"/>
      <c r="AP302" s="385"/>
      <c r="AQ302" s="385"/>
      <c r="AR302" s="385"/>
      <c r="AS302" s="385"/>
      <c r="AT302" s="385"/>
      <c r="AU302" s="385"/>
      <c r="AV302" s="385"/>
      <c r="AW302" s="385"/>
      <c r="AX302" s="385"/>
      <c r="AY302" s="385"/>
    </row>
    <row r="303" spans="1:51" ht="18">
      <c r="A303" s="385"/>
      <c r="B303" s="391" t="str">
        <f>Input!AR301</f>
        <v/>
      </c>
      <c r="C303" s="391">
        <f>DailyMet!N284</f>
        <v>0</v>
      </c>
      <c r="D303" s="392">
        <f>Input!AS301</f>
        <v>0</v>
      </c>
      <c r="E303" s="392">
        <f>Input!E301</f>
        <v>280</v>
      </c>
      <c r="F303" s="393">
        <f>Input!B301</f>
        <v>38266</v>
      </c>
      <c r="G303" s="503">
        <f t="shared" si="9"/>
        <v>0</v>
      </c>
      <c r="H303" s="354"/>
      <c r="I303" s="392">
        <f t="shared" si="10"/>
        <v>0</v>
      </c>
      <c r="J303" s="385"/>
      <c r="K303" s="385"/>
      <c r="L303" s="385"/>
      <c r="M303" s="385"/>
      <c r="N303" s="385"/>
      <c r="O303" s="385"/>
      <c r="P303" s="385"/>
      <c r="Q303" s="385"/>
      <c r="R303" s="385"/>
      <c r="S303" s="385"/>
      <c r="T303" s="385"/>
      <c r="U303" s="385"/>
      <c r="V303" s="385"/>
      <c r="W303" s="385"/>
      <c r="X303" s="385"/>
      <c r="Y303" s="385"/>
      <c r="Z303" s="385"/>
      <c r="AA303" s="385"/>
      <c r="AB303" s="385"/>
      <c r="AC303" s="385"/>
      <c r="AD303" s="385"/>
      <c r="AE303" s="385"/>
      <c r="AF303" s="385"/>
      <c r="AG303" s="385"/>
      <c r="AH303" s="385"/>
      <c r="AI303" s="385"/>
      <c r="AJ303" s="385"/>
      <c r="AK303" s="385"/>
      <c r="AL303" s="385"/>
      <c r="AM303" s="385"/>
      <c r="AN303" s="385"/>
      <c r="AO303" s="385"/>
      <c r="AP303" s="385"/>
      <c r="AQ303" s="385"/>
      <c r="AR303" s="385"/>
      <c r="AS303" s="385"/>
      <c r="AT303" s="385"/>
      <c r="AU303" s="385"/>
      <c r="AV303" s="385"/>
      <c r="AW303" s="385"/>
      <c r="AX303" s="385"/>
      <c r="AY303" s="385"/>
    </row>
    <row r="304" spans="1:51" ht="18">
      <c r="A304" s="385"/>
      <c r="B304" s="391" t="str">
        <f>Input!AR302</f>
        <v/>
      </c>
      <c r="C304" s="391">
        <f>DailyMet!N285</f>
        <v>0</v>
      </c>
      <c r="D304" s="392">
        <f>Input!AS302</f>
        <v>0</v>
      </c>
      <c r="E304" s="392">
        <f>Input!E302</f>
        <v>281</v>
      </c>
      <c r="F304" s="393">
        <f>Input!B302</f>
        <v>38267</v>
      </c>
      <c r="G304" s="503">
        <f t="shared" si="9"/>
        <v>0</v>
      </c>
      <c r="H304" s="354"/>
      <c r="I304" s="392">
        <f t="shared" si="10"/>
        <v>0</v>
      </c>
      <c r="J304" s="385"/>
      <c r="K304" s="385"/>
      <c r="L304" s="385"/>
      <c r="M304" s="385"/>
      <c r="N304" s="385"/>
      <c r="O304" s="385"/>
      <c r="P304" s="385"/>
      <c r="Q304" s="385"/>
      <c r="R304" s="385"/>
      <c r="S304" s="385"/>
      <c r="T304" s="385"/>
      <c r="U304" s="385"/>
      <c r="V304" s="385"/>
      <c r="W304" s="385"/>
      <c r="X304" s="385"/>
      <c r="Y304" s="385"/>
      <c r="Z304" s="385"/>
      <c r="AA304" s="385"/>
      <c r="AB304" s="385"/>
      <c r="AC304" s="385"/>
      <c r="AD304" s="385"/>
      <c r="AE304" s="385"/>
      <c r="AF304" s="385"/>
      <c r="AG304" s="385"/>
      <c r="AH304" s="385"/>
      <c r="AI304" s="385"/>
      <c r="AJ304" s="385"/>
      <c r="AK304" s="385"/>
      <c r="AL304" s="385"/>
      <c r="AM304" s="385"/>
      <c r="AN304" s="385"/>
      <c r="AO304" s="385"/>
      <c r="AP304" s="385"/>
      <c r="AQ304" s="385"/>
      <c r="AR304" s="385"/>
      <c r="AS304" s="385"/>
      <c r="AT304" s="385"/>
      <c r="AU304" s="385"/>
      <c r="AV304" s="385"/>
      <c r="AW304" s="385"/>
      <c r="AX304" s="385"/>
      <c r="AY304" s="385"/>
    </row>
    <row r="305" spans="1:51" ht="18">
      <c r="A305" s="385"/>
      <c r="B305" s="391" t="str">
        <f>Input!AR303</f>
        <v/>
      </c>
      <c r="C305" s="391">
        <f>DailyMet!N286</f>
        <v>0</v>
      </c>
      <c r="D305" s="392">
        <f>Input!AS303</f>
        <v>0</v>
      </c>
      <c r="E305" s="392">
        <f>Input!E303</f>
        <v>282</v>
      </c>
      <c r="F305" s="393">
        <f>Input!B303</f>
        <v>38268</v>
      </c>
      <c r="G305" s="503">
        <f t="shared" si="9"/>
        <v>0</v>
      </c>
      <c r="H305" s="354"/>
      <c r="I305" s="392">
        <f t="shared" si="10"/>
        <v>0</v>
      </c>
      <c r="J305" s="385"/>
      <c r="K305" s="385"/>
      <c r="L305" s="385"/>
      <c r="M305" s="385"/>
      <c r="N305" s="385"/>
      <c r="O305" s="385"/>
      <c r="P305" s="385"/>
      <c r="Q305" s="385"/>
      <c r="R305" s="385"/>
      <c r="S305" s="385"/>
      <c r="T305" s="385"/>
      <c r="U305" s="385"/>
      <c r="V305" s="385"/>
      <c r="W305" s="385"/>
      <c r="X305" s="385"/>
      <c r="Y305" s="385"/>
      <c r="Z305" s="385"/>
      <c r="AA305" s="385"/>
      <c r="AB305" s="385"/>
      <c r="AC305" s="385"/>
      <c r="AD305" s="385"/>
      <c r="AE305" s="385"/>
      <c r="AF305" s="385"/>
      <c r="AG305" s="385"/>
      <c r="AH305" s="385"/>
      <c r="AI305" s="385"/>
      <c r="AJ305" s="385"/>
      <c r="AK305" s="385"/>
      <c r="AL305" s="385"/>
      <c r="AM305" s="385"/>
      <c r="AN305" s="385"/>
      <c r="AO305" s="385"/>
      <c r="AP305" s="385"/>
      <c r="AQ305" s="385"/>
      <c r="AR305" s="385"/>
      <c r="AS305" s="385"/>
      <c r="AT305" s="385"/>
      <c r="AU305" s="385"/>
      <c r="AV305" s="385"/>
      <c r="AW305" s="385"/>
      <c r="AX305" s="385"/>
      <c r="AY305" s="385"/>
    </row>
    <row r="306" spans="1:51" ht="18">
      <c r="A306" s="385"/>
      <c r="B306" s="391" t="str">
        <f>Input!AR304</f>
        <v/>
      </c>
      <c r="C306" s="391">
        <f>DailyMet!N287</f>
        <v>3.4</v>
      </c>
      <c r="D306" s="392">
        <f>Input!AS304</f>
        <v>0</v>
      </c>
      <c r="E306" s="392">
        <f>Input!E304</f>
        <v>283</v>
      </c>
      <c r="F306" s="393">
        <f>Input!B304</f>
        <v>38269</v>
      </c>
      <c r="G306" s="503">
        <f t="shared" si="9"/>
        <v>0</v>
      </c>
      <c r="H306" s="354"/>
      <c r="I306" s="392">
        <f t="shared" si="10"/>
        <v>0</v>
      </c>
      <c r="J306" s="385"/>
      <c r="K306" s="385"/>
      <c r="L306" s="385"/>
      <c r="M306" s="385"/>
      <c r="N306" s="385"/>
      <c r="O306" s="385"/>
      <c r="P306" s="385"/>
      <c r="Q306" s="385"/>
      <c r="R306" s="385"/>
      <c r="S306" s="385"/>
      <c r="T306" s="385"/>
      <c r="U306" s="385"/>
      <c r="V306" s="385"/>
      <c r="W306" s="385"/>
      <c r="X306" s="385"/>
      <c r="Y306" s="385"/>
      <c r="Z306" s="385"/>
      <c r="AA306" s="385"/>
      <c r="AB306" s="385"/>
      <c r="AC306" s="385"/>
      <c r="AD306" s="385"/>
      <c r="AE306" s="385"/>
      <c r="AF306" s="385"/>
      <c r="AG306" s="385"/>
      <c r="AH306" s="385"/>
      <c r="AI306" s="385"/>
      <c r="AJ306" s="385"/>
      <c r="AK306" s="385"/>
      <c r="AL306" s="385"/>
      <c r="AM306" s="385"/>
      <c r="AN306" s="385"/>
      <c r="AO306" s="385"/>
      <c r="AP306" s="385"/>
      <c r="AQ306" s="385"/>
      <c r="AR306" s="385"/>
      <c r="AS306" s="385"/>
      <c r="AT306" s="385"/>
      <c r="AU306" s="385"/>
      <c r="AV306" s="385"/>
      <c r="AW306" s="385"/>
      <c r="AX306" s="385"/>
      <c r="AY306" s="385"/>
    </row>
    <row r="307" spans="1:51" ht="18">
      <c r="A307" s="385"/>
      <c r="B307" s="391" t="str">
        <f>Input!AR305</f>
        <v/>
      </c>
      <c r="C307" s="391">
        <f>DailyMet!N288</f>
        <v>0</v>
      </c>
      <c r="D307" s="392">
        <f>Input!AS305</f>
        <v>0</v>
      </c>
      <c r="E307" s="392">
        <f>Input!E305</f>
        <v>284</v>
      </c>
      <c r="F307" s="393">
        <f>Input!B305</f>
        <v>38270</v>
      </c>
      <c r="G307" s="503">
        <f t="shared" ref="G307:G370" si="11">IF(B307="",0,IF(H307&lt;&gt;"",IF(G306+B307-H307-C307&lt;0,0,G306+B307-H307-C307),IF(G306+B307-C307&lt;0,0,G306+B307-C307)))</f>
        <v>0</v>
      </c>
      <c r="H307" s="354"/>
      <c r="I307" s="392">
        <f t="shared" si="10"/>
        <v>0</v>
      </c>
      <c r="J307" s="385"/>
      <c r="K307" s="385"/>
      <c r="L307" s="385"/>
      <c r="M307" s="385"/>
      <c r="N307" s="385"/>
      <c r="O307" s="385"/>
      <c r="P307" s="385"/>
      <c r="Q307" s="385"/>
      <c r="R307" s="385"/>
      <c r="S307" s="385"/>
      <c r="T307" s="385"/>
      <c r="U307" s="385"/>
      <c r="V307" s="385"/>
      <c r="W307" s="385"/>
      <c r="X307" s="385"/>
      <c r="Y307" s="385"/>
      <c r="Z307" s="385"/>
      <c r="AA307" s="385"/>
      <c r="AB307" s="385"/>
      <c r="AC307" s="385"/>
      <c r="AD307" s="385"/>
      <c r="AE307" s="385"/>
      <c r="AF307" s="385"/>
      <c r="AG307" s="385"/>
      <c r="AH307" s="385"/>
      <c r="AI307" s="385"/>
      <c r="AJ307" s="385"/>
      <c r="AK307" s="385"/>
      <c r="AL307" s="385"/>
      <c r="AM307" s="385"/>
      <c r="AN307" s="385"/>
      <c r="AO307" s="385"/>
      <c r="AP307" s="385"/>
      <c r="AQ307" s="385"/>
      <c r="AR307" s="385"/>
      <c r="AS307" s="385"/>
      <c r="AT307" s="385"/>
      <c r="AU307" s="385"/>
      <c r="AV307" s="385"/>
      <c r="AW307" s="385"/>
      <c r="AX307" s="385"/>
      <c r="AY307" s="385"/>
    </row>
    <row r="308" spans="1:51" ht="18">
      <c r="A308" s="385"/>
      <c r="B308" s="391" t="str">
        <f>Input!AR306</f>
        <v/>
      </c>
      <c r="C308" s="391">
        <f>DailyMet!N289</f>
        <v>2</v>
      </c>
      <c r="D308" s="392">
        <f>Input!AS306</f>
        <v>0</v>
      </c>
      <c r="E308" s="392">
        <f>Input!E306</f>
        <v>285</v>
      </c>
      <c r="F308" s="393">
        <f>Input!B306</f>
        <v>38271</v>
      </c>
      <c r="G308" s="503">
        <f t="shared" si="11"/>
        <v>0</v>
      </c>
      <c r="H308" s="354"/>
      <c r="I308" s="392">
        <f t="shared" si="10"/>
        <v>0</v>
      </c>
      <c r="J308" s="385"/>
      <c r="K308" s="385"/>
      <c r="L308" s="385"/>
      <c r="M308" s="385"/>
      <c r="N308" s="385"/>
      <c r="O308" s="385"/>
      <c r="P308" s="385"/>
      <c r="Q308" s="385"/>
      <c r="R308" s="385"/>
      <c r="S308" s="385"/>
      <c r="T308" s="385"/>
      <c r="U308" s="385"/>
      <c r="V308" s="385"/>
      <c r="W308" s="385"/>
      <c r="X308" s="385"/>
      <c r="Y308" s="385"/>
      <c r="Z308" s="385"/>
      <c r="AA308" s="385"/>
      <c r="AB308" s="385"/>
      <c r="AC308" s="385"/>
      <c r="AD308" s="385"/>
      <c r="AE308" s="385"/>
      <c r="AF308" s="385"/>
      <c r="AG308" s="385"/>
      <c r="AH308" s="385"/>
      <c r="AI308" s="385"/>
      <c r="AJ308" s="385"/>
      <c r="AK308" s="385"/>
      <c r="AL308" s="385"/>
      <c r="AM308" s="385"/>
      <c r="AN308" s="385"/>
      <c r="AO308" s="385"/>
      <c r="AP308" s="385"/>
      <c r="AQ308" s="385"/>
      <c r="AR308" s="385"/>
      <c r="AS308" s="385"/>
      <c r="AT308" s="385"/>
      <c r="AU308" s="385"/>
      <c r="AV308" s="385"/>
      <c r="AW308" s="385"/>
      <c r="AX308" s="385"/>
      <c r="AY308" s="385"/>
    </row>
    <row r="309" spans="1:51" ht="18">
      <c r="A309" s="385"/>
      <c r="B309" s="391" t="str">
        <f>Input!AR307</f>
        <v/>
      </c>
      <c r="C309" s="391">
        <f>DailyMet!N290</f>
        <v>5.8</v>
      </c>
      <c r="D309" s="392">
        <f>Input!AS307</f>
        <v>0</v>
      </c>
      <c r="E309" s="392">
        <f>Input!E307</f>
        <v>286</v>
      </c>
      <c r="F309" s="393">
        <f>Input!B307</f>
        <v>38272</v>
      </c>
      <c r="G309" s="503">
        <f t="shared" si="11"/>
        <v>0</v>
      </c>
      <c r="H309" s="354"/>
      <c r="I309" s="392">
        <f t="shared" si="10"/>
        <v>0</v>
      </c>
      <c r="J309" s="385"/>
      <c r="K309" s="385"/>
      <c r="L309" s="385"/>
      <c r="M309" s="385"/>
      <c r="N309" s="385"/>
      <c r="O309" s="385"/>
      <c r="P309" s="385"/>
      <c r="Q309" s="385"/>
      <c r="R309" s="385"/>
      <c r="S309" s="385"/>
      <c r="T309" s="385"/>
      <c r="U309" s="385"/>
      <c r="V309" s="385"/>
      <c r="W309" s="385"/>
      <c r="X309" s="385"/>
      <c r="Y309" s="385"/>
      <c r="Z309" s="385"/>
      <c r="AA309" s="385"/>
      <c r="AB309" s="385"/>
      <c r="AC309" s="385"/>
      <c r="AD309" s="385"/>
      <c r="AE309" s="385"/>
      <c r="AF309" s="385"/>
      <c r="AG309" s="385"/>
      <c r="AH309" s="385"/>
      <c r="AI309" s="385"/>
      <c r="AJ309" s="385"/>
      <c r="AK309" s="385"/>
      <c r="AL309" s="385"/>
      <c r="AM309" s="385"/>
      <c r="AN309" s="385"/>
      <c r="AO309" s="385"/>
      <c r="AP309" s="385"/>
      <c r="AQ309" s="385"/>
      <c r="AR309" s="385"/>
      <c r="AS309" s="385"/>
      <c r="AT309" s="385"/>
      <c r="AU309" s="385"/>
      <c r="AV309" s="385"/>
      <c r="AW309" s="385"/>
      <c r="AX309" s="385"/>
      <c r="AY309" s="385"/>
    </row>
    <row r="310" spans="1:51" ht="18">
      <c r="A310" s="385"/>
      <c r="B310" s="391" t="str">
        <f>Input!AR308</f>
        <v/>
      </c>
      <c r="C310" s="391">
        <f>DailyMet!N291</f>
        <v>0.4</v>
      </c>
      <c r="D310" s="392">
        <f>Input!AS308</f>
        <v>0</v>
      </c>
      <c r="E310" s="392">
        <f>Input!E308</f>
        <v>287</v>
      </c>
      <c r="F310" s="393">
        <f>Input!B308</f>
        <v>38273</v>
      </c>
      <c r="G310" s="503">
        <f t="shared" si="11"/>
        <v>0</v>
      </c>
      <c r="H310" s="354"/>
      <c r="I310" s="392">
        <f t="shared" si="10"/>
        <v>0</v>
      </c>
      <c r="J310" s="385"/>
      <c r="K310" s="385"/>
      <c r="L310" s="385"/>
      <c r="M310" s="385"/>
      <c r="N310" s="385"/>
      <c r="O310" s="385"/>
      <c r="P310" s="385"/>
      <c r="Q310" s="385"/>
      <c r="R310" s="385"/>
      <c r="S310" s="385"/>
      <c r="T310" s="385"/>
      <c r="U310" s="385"/>
      <c r="V310" s="385"/>
      <c r="W310" s="385"/>
      <c r="X310" s="385"/>
      <c r="Y310" s="385"/>
      <c r="Z310" s="385"/>
      <c r="AA310" s="385"/>
      <c r="AB310" s="385"/>
      <c r="AC310" s="385"/>
      <c r="AD310" s="385"/>
      <c r="AE310" s="385"/>
      <c r="AF310" s="385"/>
      <c r="AG310" s="385"/>
      <c r="AH310" s="385"/>
      <c r="AI310" s="385"/>
      <c r="AJ310" s="385"/>
      <c r="AK310" s="385"/>
      <c r="AL310" s="385"/>
      <c r="AM310" s="385"/>
      <c r="AN310" s="385"/>
      <c r="AO310" s="385"/>
      <c r="AP310" s="385"/>
      <c r="AQ310" s="385"/>
      <c r="AR310" s="385"/>
      <c r="AS310" s="385"/>
      <c r="AT310" s="385"/>
      <c r="AU310" s="385"/>
      <c r="AV310" s="385"/>
      <c r="AW310" s="385"/>
      <c r="AX310" s="385"/>
      <c r="AY310" s="385"/>
    </row>
    <row r="311" spans="1:51" ht="18">
      <c r="A311" s="385"/>
      <c r="B311" s="391" t="str">
        <f>Input!AR309</f>
        <v/>
      </c>
      <c r="C311" s="391">
        <f>DailyMet!N292</f>
        <v>0.2</v>
      </c>
      <c r="D311" s="392">
        <f>Input!AS309</f>
        <v>0</v>
      </c>
      <c r="E311" s="392">
        <f>Input!E309</f>
        <v>288</v>
      </c>
      <c r="F311" s="393">
        <f>Input!B309</f>
        <v>38274</v>
      </c>
      <c r="G311" s="503">
        <f t="shared" si="11"/>
        <v>0</v>
      </c>
      <c r="H311" s="354"/>
      <c r="I311" s="392">
        <f t="shared" si="10"/>
        <v>0</v>
      </c>
      <c r="J311" s="385"/>
      <c r="K311" s="385"/>
      <c r="L311" s="385"/>
      <c r="M311" s="385"/>
      <c r="N311" s="385"/>
      <c r="O311" s="385"/>
      <c r="P311" s="385"/>
      <c r="Q311" s="385"/>
      <c r="R311" s="385"/>
      <c r="S311" s="385"/>
      <c r="T311" s="385"/>
      <c r="U311" s="385"/>
      <c r="V311" s="385"/>
      <c r="W311" s="385"/>
      <c r="X311" s="385"/>
      <c r="Y311" s="385"/>
      <c r="Z311" s="385"/>
      <c r="AA311" s="385"/>
      <c r="AB311" s="385"/>
      <c r="AC311" s="385"/>
      <c r="AD311" s="385"/>
      <c r="AE311" s="385"/>
      <c r="AF311" s="385"/>
      <c r="AG311" s="385"/>
      <c r="AH311" s="385"/>
      <c r="AI311" s="385"/>
      <c r="AJ311" s="385"/>
      <c r="AK311" s="385"/>
      <c r="AL311" s="385"/>
      <c r="AM311" s="385"/>
      <c r="AN311" s="385"/>
      <c r="AO311" s="385"/>
      <c r="AP311" s="385"/>
      <c r="AQ311" s="385"/>
      <c r="AR311" s="385"/>
      <c r="AS311" s="385"/>
      <c r="AT311" s="385"/>
      <c r="AU311" s="385"/>
      <c r="AV311" s="385"/>
      <c r="AW311" s="385"/>
      <c r="AX311" s="385"/>
      <c r="AY311" s="385"/>
    </row>
    <row r="312" spans="1:51" ht="18">
      <c r="A312" s="385"/>
      <c r="B312" s="391" t="str">
        <f>Input!AR310</f>
        <v/>
      </c>
      <c r="C312" s="391">
        <f>DailyMet!N293</f>
        <v>4.2</v>
      </c>
      <c r="D312" s="392">
        <f>Input!AS310</f>
        <v>0</v>
      </c>
      <c r="E312" s="392">
        <f>Input!E310</f>
        <v>289</v>
      </c>
      <c r="F312" s="393">
        <f>Input!B310</f>
        <v>38275</v>
      </c>
      <c r="G312" s="503">
        <f t="shared" si="11"/>
        <v>0</v>
      </c>
      <c r="H312" s="354"/>
      <c r="I312" s="392">
        <f t="shared" si="10"/>
        <v>0</v>
      </c>
      <c r="J312" s="385"/>
      <c r="K312" s="385"/>
      <c r="L312" s="385"/>
      <c r="M312" s="385"/>
      <c r="N312" s="385"/>
      <c r="O312" s="385"/>
      <c r="P312" s="385"/>
      <c r="Q312" s="385"/>
      <c r="R312" s="385"/>
      <c r="S312" s="385"/>
      <c r="T312" s="385"/>
      <c r="U312" s="385"/>
      <c r="V312" s="385"/>
      <c r="W312" s="385"/>
      <c r="X312" s="385"/>
      <c r="Y312" s="385"/>
      <c r="Z312" s="385"/>
      <c r="AA312" s="385"/>
      <c r="AB312" s="385"/>
      <c r="AC312" s="385"/>
      <c r="AD312" s="385"/>
      <c r="AE312" s="385"/>
      <c r="AF312" s="385"/>
      <c r="AG312" s="385"/>
      <c r="AH312" s="385"/>
      <c r="AI312" s="385"/>
      <c r="AJ312" s="385"/>
      <c r="AK312" s="385"/>
      <c r="AL312" s="385"/>
      <c r="AM312" s="385"/>
      <c r="AN312" s="385"/>
      <c r="AO312" s="385"/>
      <c r="AP312" s="385"/>
      <c r="AQ312" s="385"/>
      <c r="AR312" s="385"/>
      <c r="AS312" s="385"/>
      <c r="AT312" s="385"/>
      <c r="AU312" s="385"/>
      <c r="AV312" s="385"/>
      <c r="AW312" s="385"/>
      <c r="AX312" s="385"/>
      <c r="AY312" s="385"/>
    </row>
    <row r="313" spans="1:51" ht="18">
      <c r="A313" s="385"/>
      <c r="B313" s="391" t="str">
        <f>Input!AR311</f>
        <v/>
      </c>
      <c r="C313" s="391">
        <f>DailyMet!N294</f>
        <v>0</v>
      </c>
      <c r="D313" s="392">
        <f>Input!AS311</f>
        <v>0</v>
      </c>
      <c r="E313" s="392">
        <f>Input!E311</f>
        <v>290</v>
      </c>
      <c r="F313" s="393">
        <f>Input!B311</f>
        <v>38276</v>
      </c>
      <c r="G313" s="503">
        <f t="shared" si="11"/>
        <v>0</v>
      </c>
      <c r="H313" s="354"/>
      <c r="I313" s="392">
        <f t="shared" si="10"/>
        <v>0</v>
      </c>
      <c r="J313" s="385"/>
      <c r="K313" s="385"/>
      <c r="L313" s="385"/>
      <c r="M313" s="385"/>
      <c r="N313" s="385"/>
      <c r="O313" s="385"/>
      <c r="P313" s="385"/>
      <c r="Q313" s="385"/>
      <c r="R313" s="385"/>
      <c r="S313" s="385"/>
      <c r="T313" s="385"/>
      <c r="U313" s="385"/>
      <c r="V313" s="385"/>
      <c r="W313" s="385"/>
      <c r="X313" s="385"/>
      <c r="Y313" s="385"/>
      <c r="Z313" s="385"/>
      <c r="AA313" s="385"/>
      <c r="AB313" s="385"/>
      <c r="AC313" s="385"/>
      <c r="AD313" s="385"/>
      <c r="AE313" s="385"/>
      <c r="AF313" s="385"/>
      <c r="AG313" s="385"/>
      <c r="AH313" s="385"/>
      <c r="AI313" s="385"/>
      <c r="AJ313" s="385"/>
      <c r="AK313" s="385"/>
      <c r="AL313" s="385"/>
      <c r="AM313" s="385"/>
      <c r="AN313" s="385"/>
      <c r="AO313" s="385"/>
      <c r="AP313" s="385"/>
      <c r="AQ313" s="385"/>
      <c r="AR313" s="385"/>
      <c r="AS313" s="385"/>
      <c r="AT313" s="385"/>
      <c r="AU313" s="385"/>
      <c r="AV313" s="385"/>
      <c r="AW313" s="385"/>
      <c r="AX313" s="385"/>
      <c r="AY313" s="385"/>
    </row>
    <row r="314" spans="1:51" ht="18">
      <c r="A314" s="385"/>
      <c r="B314" s="391" t="str">
        <f>Input!AR312</f>
        <v/>
      </c>
      <c r="C314" s="391">
        <f>DailyMet!N295</f>
        <v>0</v>
      </c>
      <c r="D314" s="392">
        <f>Input!AS312</f>
        <v>0</v>
      </c>
      <c r="E314" s="392">
        <f>Input!E312</f>
        <v>291</v>
      </c>
      <c r="F314" s="393">
        <f>Input!B312</f>
        <v>38277</v>
      </c>
      <c r="G314" s="503">
        <f t="shared" si="11"/>
        <v>0</v>
      </c>
      <c r="H314" s="354"/>
      <c r="I314" s="392">
        <f t="shared" si="10"/>
        <v>0</v>
      </c>
      <c r="J314" s="385"/>
      <c r="K314" s="385"/>
      <c r="L314" s="385"/>
      <c r="M314" s="385"/>
      <c r="N314" s="385"/>
      <c r="O314" s="385"/>
      <c r="P314" s="385"/>
      <c r="Q314" s="385"/>
      <c r="R314" s="385"/>
      <c r="S314" s="385"/>
      <c r="T314" s="385"/>
      <c r="U314" s="385"/>
      <c r="V314" s="385"/>
      <c r="W314" s="385"/>
      <c r="X314" s="385"/>
      <c r="Y314" s="385"/>
      <c r="Z314" s="385"/>
      <c r="AA314" s="385"/>
      <c r="AB314" s="385"/>
      <c r="AC314" s="385"/>
      <c r="AD314" s="385"/>
      <c r="AE314" s="385"/>
      <c r="AF314" s="385"/>
      <c r="AG314" s="385"/>
      <c r="AH314" s="385"/>
      <c r="AI314" s="385"/>
      <c r="AJ314" s="385"/>
      <c r="AK314" s="385"/>
      <c r="AL314" s="385"/>
      <c r="AM314" s="385"/>
      <c r="AN314" s="385"/>
      <c r="AO314" s="385"/>
      <c r="AP314" s="385"/>
      <c r="AQ314" s="385"/>
      <c r="AR314" s="385"/>
      <c r="AS314" s="385"/>
      <c r="AT314" s="385"/>
      <c r="AU314" s="385"/>
      <c r="AV314" s="385"/>
      <c r="AW314" s="385"/>
      <c r="AX314" s="385"/>
      <c r="AY314" s="385"/>
    </row>
    <row r="315" spans="1:51" ht="18">
      <c r="A315" s="385"/>
      <c r="B315" s="391" t="str">
        <f>Input!AR313</f>
        <v/>
      </c>
      <c r="C315" s="391">
        <f>DailyMet!N296</f>
        <v>0</v>
      </c>
      <c r="D315" s="392">
        <f>Input!AS313</f>
        <v>0</v>
      </c>
      <c r="E315" s="392">
        <f>Input!E313</f>
        <v>292</v>
      </c>
      <c r="F315" s="393">
        <f>Input!B313</f>
        <v>38278</v>
      </c>
      <c r="G315" s="503">
        <f t="shared" si="11"/>
        <v>0</v>
      </c>
      <c r="H315" s="354"/>
      <c r="I315" s="392">
        <f t="shared" si="10"/>
        <v>0</v>
      </c>
      <c r="J315" s="385"/>
      <c r="K315" s="385"/>
      <c r="L315" s="385"/>
      <c r="M315" s="385"/>
      <c r="N315" s="385"/>
      <c r="O315" s="385"/>
      <c r="P315" s="385"/>
      <c r="Q315" s="385"/>
      <c r="R315" s="385"/>
      <c r="S315" s="385"/>
      <c r="T315" s="385"/>
      <c r="U315" s="385"/>
      <c r="V315" s="385"/>
      <c r="W315" s="385"/>
      <c r="X315" s="385"/>
      <c r="Y315" s="385"/>
      <c r="Z315" s="385"/>
      <c r="AA315" s="385"/>
      <c r="AB315" s="385"/>
      <c r="AC315" s="385"/>
      <c r="AD315" s="385"/>
      <c r="AE315" s="385"/>
      <c r="AF315" s="385"/>
      <c r="AG315" s="385"/>
      <c r="AH315" s="385"/>
      <c r="AI315" s="385"/>
      <c r="AJ315" s="385"/>
      <c r="AK315" s="385"/>
      <c r="AL315" s="385"/>
      <c r="AM315" s="385"/>
      <c r="AN315" s="385"/>
      <c r="AO315" s="385"/>
      <c r="AP315" s="385"/>
      <c r="AQ315" s="385"/>
      <c r="AR315" s="385"/>
      <c r="AS315" s="385"/>
      <c r="AT315" s="385"/>
      <c r="AU315" s="385"/>
      <c r="AV315" s="385"/>
      <c r="AW315" s="385"/>
      <c r="AX315" s="385"/>
      <c r="AY315" s="385"/>
    </row>
    <row r="316" spans="1:51" ht="18">
      <c r="A316" s="385"/>
      <c r="B316" s="391" t="str">
        <f>Input!AR314</f>
        <v/>
      </c>
      <c r="C316" s="391">
        <f>DailyMet!N297</f>
        <v>0</v>
      </c>
      <c r="D316" s="392">
        <f>Input!AS314</f>
        <v>0</v>
      </c>
      <c r="E316" s="392">
        <f>Input!E314</f>
        <v>293</v>
      </c>
      <c r="F316" s="393">
        <f>Input!B314</f>
        <v>38279</v>
      </c>
      <c r="G316" s="503">
        <f t="shared" si="11"/>
        <v>0</v>
      </c>
      <c r="H316" s="354"/>
      <c r="I316" s="392">
        <f t="shared" si="10"/>
        <v>0</v>
      </c>
      <c r="J316" s="385"/>
      <c r="K316" s="385"/>
      <c r="L316" s="385"/>
      <c r="M316" s="385"/>
      <c r="N316" s="385"/>
      <c r="O316" s="385"/>
      <c r="P316" s="385"/>
      <c r="Q316" s="385"/>
      <c r="R316" s="385"/>
      <c r="S316" s="385"/>
      <c r="T316" s="385"/>
      <c r="U316" s="385"/>
      <c r="V316" s="385"/>
      <c r="W316" s="385"/>
      <c r="X316" s="385"/>
      <c r="Y316" s="385"/>
      <c r="Z316" s="385"/>
      <c r="AA316" s="385"/>
      <c r="AB316" s="385"/>
      <c r="AC316" s="385"/>
      <c r="AD316" s="385"/>
      <c r="AE316" s="385"/>
      <c r="AF316" s="385"/>
      <c r="AG316" s="385"/>
      <c r="AH316" s="385"/>
      <c r="AI316" s="385"/>
      <c r="AJ316" s="385"/>
      <c r="AK316" s="385"/>
      <c r="AL316" s="385"/>
      <c r="AM316" s="385"/>
      <c r="AN316" s="385"/>
      <c r="AO316" s="385"/>
      <c r="AP316" s="385"/>
      <c r="AQ316" s="385"/>
      <c r="AR316" s="385"/>
      <c r="AS316" s="385"/>
      <c r="AT316" s="385"/>
      <c r="AU316" s="385"/>
      <c r="AV316" s="385"/>
      <c r="AW316" s="385"/>
      <c r="AX316" s="385"/>
      <c r="AY316" s="385"/>
    </row>
    <row r="317" spans="1:51" ht="18">
      <c r="A317" s="385"/>
      <c r="B317" s="391" t="str">
        <f>Input!AR315</f>
        <v/>
      </c>
      <c r="C317" s="391">
        <f>DailyMet!N298</f>
        <v>0.2</v>
      </c>
      <c r="D317" s="392">
        <f>Input!AS315</f>
        <v>0</v>
      </c>
      <c r="E317" s="392">
        <f>Input!E315</f>
        <v>294</v>
      </c>
      <c r="F317" s="393">
        <f>Input!B315</f>
        <v>38280</v>
      </c>
      <c r="G317" s="503">
        <f t="shared" si="11"/>
        <v>0</v>
      </c>
      <c r="H317" s="354"/>
      <c r="I317" s="392">
        <f t="shared" si="10"/>
        <v>0</v>
      </c>
      <c r="J317" s="385"/>
      <c r="K317" s="385"/>
      <c r="L317" s="385"/>
      <c r="M317" s="385"/>
      <c r="N317" s="385"/>
      <c r="O317" s="385"/>
      <c r="P317" s="385"/>
      <c r="Q317" s="385"/>
      <c r="R317" s="385"/>
      <c r="S317" s="385"/>
      <c r="T317" s="385"/>
      <c r="U317" s="385"/>
      <c r="V317" s="385"/>
      <c r="W317" s="385"/>
      <c r="X317" s="385"/>
      <c r="Y317" s="385"/>
      <c r="Z317" s="385"/>
      <c r="AA317" s="385"/>
      <c r="AB317" s="385"/>
      <c r="AC317" s="385"/>
      <c r="AD317" s="385"/>
      <c r="AE317" s="385"/>
      <c r="AF317" s="385"/>
      <c r="AG317" s="385"/>
      <c r="AH317" s="385"/>
      <c r="AI317" s="385"/>
      <c r="AJ317" s="385"/>
      <c r="AK317" s="385"/>
      <c r="AL317" s="385"/>
      <c r="AM317" s="385"/>
      <c r="AN317" s="385"/>
      <c r="AO317" s="385"/>
      <c r="AP317" s="385"/>
      <c r="AQ317" s="385"/>
      <c r="AR317" s="385"/>
      <c r="AS317" s="385"/>
      <c r="AT317" s="385"/>
      <c r="AU317" s="385"/>
      <c r="AV317" s="385"/>
      <c r="AW317" s="385"/>
      <c r="AX317" s="385"/>
      <c r="AY317" s="385"/>
    </row>
    <row r="318" spans="1:51" ht="18">
      <c r="A318" s="385"/>
      <c r="B318" s="391" t="str">
        <f>Input!AR316</f>
        <v/>
      </c>
      <c r="C318" s="391">
        <f>DailyMet!N299</f>
        <v>0.2</v>
      </c>
      <c r="D318" s="392">
        <f>Input!AS316</f>
        <v>0</v>
      </c>
      <c r="E318" s="392">
        <f>Input!E316</f>
        <v>295</v>
      </c>
      <c r="F318" s="393">
        <f>Input!B316</f>
        <v>38281</v>
      </c>
      <c r="G318" s="503">
        <f t="shared" si="11"/>
        <v>0</v>
      </c>
      <c r="H318" s="354"/>
      <c r="I318" s="392">
        <f t="shared" si="10"/>
        <v>0</v>
      </c>
      <c r="J318" s="385"/>
      <c r="K318" s="385"/>
      <c r="L318" s="385"/>
      <c r="M318" s="385"/>
      <c r="N318" s="385"/>
      <c r="O318" s="385"/>
      <c r="P318" s="385"/>
      <c r="Q318" s="385"/>
      <c r="R318" s="385"/>
      <c r="S318" s="385"/>
      <c r="T318" s="385"/>
      <c r="U318" s="385"/>
      <c r="V318" s="385"/>
      <c r="W318" s="385"/>
      <c r="X318" s="385"/>
      <c r="Y318" s="385"/>
      <c r="Z318" s="385"/>
      <c r="AA318" s="385"/>
      <c r="AB318" s="385"/>
      <c r="AC318" s="385"/>
      <c r="AD318" s="385"/>
      <c r="AE318" s="385"/>
      <c r="AF318" s="385"/>
      <c r="AG318" s="385"/>
      <c r="AH318" s="385"/>
      <c r="AI318" s="385"/>
      <c r="AJ318" s="385"/>
      <c r="AK318" s="385"/>
      <c r="AL318" s="385"/>
      <c r="AM318" s="385"/>
      <c r="AN318" s="385"/>
      <c r="AO318" s="385"/>
      <c r="AP318" s="385"/>
      <c r="AQ318" s="385"/>
      <c r="AR318" s="385"/>
      <c r="AS318" s="385"/>
      <c r="AT318" s="385"/>
      <c r="AU318" s="385"/>
      <c r="AV318" s="385"/>
      <c r="AW318" s="385"/>
      <c r="AX318" s="385"/>
      <c r="AY318" s="385"/>
    </row>
    <row r="319" spans="1:51" ht="18">
      <c r="A319" s="385"/>
      <c r="B319" s="391" t="str">
        <f>Input!AR317</f>
        <v/>
      </c>
      <c r="C319" s="391">
        <f>DailyMet!N300</f>
        <v>0</v>
      </c>
      <c r="D319" s="392">
        <f>Input!AS317</f>
        <v>0</v>
      </c>
      <c r="E319" s="392">
        <f>Input!E317</f>
        <v>296</v>
      </c>
      <c r="F319" s="393">
        <f>Input!B317</f>
        <v>38282</v>
      </c>
      <c r="G319" s="503">
        <f t="shared" si="11"/>
        <v>0</v>
      </c>
      <c r="H319" s="354"/>
      <c r="I319" s="392">
        <f t="shared" si="10"/>
        <v>0</v>
      </c>
      <c r="J319" s="385"/>
      <c r="K319" s="385"/>
      <c r="L319" s="385"/>
      <c r="M319" s="385"/>
      <c r="N319" s="385"/>
      <c r="O319" s="385"/>
      <c r="P319" s="385"/>
      <c r="Q319" s="385"/>
      <c r="R319" s="385"/>
      <c r="S319" s="385"/>
      <c r="T319" s="385"/>
      <c r="U319" s="385"/>
      <c r="V319" s="385"/>
      <c r="W319" s="385"/>
      <c r="X319" s="385"/>
      <c r="Y319" s="385"/>
      <c r="Z319" s="385"/>
      <c r="AA319" s="385"/>
      <c r="AB319" s="385"/>
      <c r="AC319" s="385"/>
      <c r="AD319" s="385"/>
      <c r="AE319" s="385"/>
      <c r="AF319" s="385"/>
      <c r="AG319" s="385"/>
      <c r="AH319" s="385"/>
      <c r="AI319" s="385"/>
      <c r="AJ319" s="385"/>
      <c r="AK319" s="385"/>
      <c r="AL319" s="385"/>
      <c r="AM319" s="385"/>
      <c r="AN319" s="385"/>
      <c r="AO319" s="385"/>
      <c r="AP319" s="385"/>
      <c r="AQ319" s="385"/>
      <c r="AR319" s="385"/>
      <c r="AS319" s="385"/>
      <c r="AT319" s="385"/>
      <c r="AU319" s="385"/>
      <c r="AV319" s="385"/>
      <c r="AW319" s="385"/>
      <c r="AX319" s="385"/>
      <c r="AY319" s="385"/>
    </row>
    <row r="320" spans="1:51" ht="18">
      <c r="A320" s="385"/>
      <c r="B320" s="391" t="str">
        <f>Input!AR318</f>
        <v/>
      </c>
      <c r="C320" s="391">
        <f>DailyMet!N301</f>
        <v>0.2</v>
      </c>
      <c r="D320" s="392">
        <f>Input!AS318</f>
        <v>0</v>
      </c>
      <c r="E320" s="392">
        <f>Input!E318</f>
        <v>297</v>
      </c>
      <c r="F320" s="393">
        <f>Input!B318</f>
        <v>38283</v>
      </c>
      <c r="G320" s="503">
        <f t="shared" si="11"/>
        <v>0</v>
      </c>
      <c r="H320" s="354"/>
      <c r="I320" s="392">
        <f t="shared" si="10"/>
        <v>0</v>
      </c>
      <c r="J320" s="385"/>
      <c r="K320" s="385"/>
      <c r="L320" s="385"/>
      <c r="M320" s="385"/>
      <c r="N320" s="385"/>
      <c r="O320" s="385"/>
      <c r="P320" s="385"/>
      <c r="Q320" s="385"/>
      <c r="R320" s="385"/>
      <c r="S320" s="385"/>
      <c r="T320" s="385"/>
      <c r="U320" s="385"/>
      <c r="V320" s="385"/>
      <c r="W320" s="385"/>
      <c r="X320" s="385"/>
      <c r="Y320" s="385"/>
      <c r="Z320" s="385"/>
      <c r="AA320" s="385"/>
      <c r="AB320" s="385"/>
      <c r="AC320" s="385"/>
      <c r="AD320" s="385"/>
      <c r="AE320" s="385"/>
      <c r="AF320" s="385"/>
      <c r="AG320" s="385"/>
      <c r="AH320" s="385"/>
      <c r="AI320" s="385"/>
      <c r="AJ320" s="385"/>
      <c r="AK320" s="385"/>
      <c r="AL320" s="385"/>
      <c r="AM320" s="385"/>
      <c r="AN320" s="385"/>
      <c r="AO320" s="385"/>
      <c r="AP320" s="385"/>
      <c r="AQ320" s="385"/>
      <c r="AR320" s="385"/>
      <c r="AS320" s="385"/>
      <c r="AT320" s="385"/>
      <c r="AU320" s="385"/>
      <c r="AV320" s="385"/>
      <c r="AW320" s="385"/>
      <c r="AX320" s="385"/>
      <c r="AY320" s="385"/>
    </row>
    <row r="321" spans="1:51" ht="18">
      <c r="A321" s="385"/>
      <c r="B321" s="391" t="str">
        <f>Input!AR319</f>
        <v/>
      </c>
      <c r="C321" s="391">
        <f>DailyMet!N302</f>
        <v>0.2</v>
      </c>
      <c r="D321" s="392">
        <f>Input!AS319</f>
        <v>0</v>
      </c>
      <c r="E321" s="392">
        <f>Input!E319</f>
        <v>298</v>
      </c>
      <c r="F321" s="393">
        <f>Input!B319</f>
        <v>38284</v>
      </c>
      <c r="G321" s="503">
        <f t="shared" si="11"/>
        <v>0</v>
      </c>
      <c r="H321" s="354"/>
      <c r="I321" s="392">
        <f t="shared" si="10"/>
        <v>0</v>
      </c>
      <c r="J321" s="385"/>
      <c r="K321" s="385"/>
      <c r="L321" s="385"/>
      <c r="M321" s="385"/>
      <c r="N321" s="385"/>
      <c r="O321" s="385"/>
      <c r="P321" s="385"/>
      <c r="Q321" s="385"/>
      <c r="R321" s="385"/>
      <c r="S321" s="385"/>
      <c r="T321" s="385"/>
      <c r="U321" s="385"/>
      <c r="V321" s="385"/>
      <c r="W321" s="385"/>
      <c r="X321" s="385"/>
      <c r="Y321" s="385"/>
      <c r="Z321" s="385"/>
      <c r="AA321" s="385"/>
      <c r="AB321" s="385"/>
      <c r="AC321" s="385"/>
      <c r="AD321" s="385"/>
      <c r="AE321" s="385"/>
      <c r="AF321" s="385"/>
      <c r="AG321" s="385"/>
      <c r="AH321" s="385"/>
      <c r="AI321" s="385"/>
      <c r="AJ321" s="385"/>
      <c r="AK321" s="385"/>
      <c r="AL321" s="385"/>
      <c r="AM321" s="385"/>
      <c r="AN321" s="385"/>
      <c r="AO321" s="385"/>
      <c r="AP321" s="385"/>
      <c r="AQ321" s="385"/>
      <c r="AR321" s="385"/>
      <c r="AS321" s="385"/>
      <c r="AT321" s="385"/>
      <c r="AU321" s="385"/>
      <c r="AV321" s="385"/>
      <c r="AW321" s="385"/>
      <c r="AX321" s="385"/>
      <c r="AY321" s="385"/>
    </row>
    <row r="322" spans="1:51" ht="18">
      <c r="A322" s="385"/>
      <c r="B322" s="391" t="str">
        <f>Input!AR320</f>
        <v/>
      </c>
      <c r="C322" s="391">
        <f>DailyMet!N303</f>
        <v>0.2</v>
      </c>
      <c r="D322" s="392">
        <f>Input!AS320</f>
        <v>0</v>
      </c>
      <c r="E322" s="392">
        <f>Input!E320</f>
        <v>299</v>
      </c>
      <c r="F322" s="393">
        <f>Input!B320</f>
        <v>38285</v>
      </c>
      <c r="G322" s="503">
        <f t="shared" si="11"/>
        <v>0</v>
      </c>
      <c r="H322" s="354"/>
      <c r="I322" s="392">
        <f t="shared" si="10"/>
        <v>0</v>
      </c>
      <c r="J322" s="385"/>
      <c r="K322" s="385"/>
      <c r="L322" s="385"/>
      <c r="M322" s="385"/>
      <c r="N322" s="385"/>
      <c r="O322" s="385"/>
      <c r="P322" s="385"/>
      <c r="Q322" s="385"/>
      <c r="R322" s="385"/>
      <c r="S322" s="385"/>
      <c r="T322" s="385"/>
      <c r="U322" s="385"/>
      <c r="V322" s="385"/>
      <c r="W322" s="385"/>
      <c r="X322" s="385"/>
      <c r="Y322" s="385"/>
      <c r="Z322" s="385"/>
      <c r="AA322" s="385"/>
      <c r="AB322" s="385"/>
      <c r="AC322" s="385"/>
      <c r="AD322" s="385"/>
      <c r="AE322" s="385"/>
      <c r="AF322" s="385"/>
      <c r="AG322" s="385"/>
      <c r="AH322" s="385"/>
      <c r="AI322" s="385"/>
      <c r="AJ322" s="385"/>
      <c r="AK322" s="385"/>
      <c r="AL322" s="385"/>
      <c r="AM322" s="385"/>
      <c r="AN322" s="385"/>
      <c r="AO322" s="385"/>
      <c r="AP322" s="385"/>
      <c r="AQ322" s="385"/>
      <c r="AR322" s="385"/>
      <c r="AS322" s="385"/>
      <c r="AT322" s="385"/>
      <c r="AU322" s="385"/>
      <c r="AV322" s="385"/>
      <c r="AW322" s="385"/>
      <c r="AX322" s="385"/>
      <c r="AY322" s="385"/>
    </row>
    <row r="323" spans="1:51" ht="18">
      <c r="A323" s="385"/>
      <c r="B323" s="391" t="str">
        <f>Input!AR321</f>
        <v/>
      </c>
      <c r="C323" s="391">
        <f>DailyMet!N304</f>
        <v>22</v>
      </c>
      <c r="D323" s="392">
        <f>Input!AS321</f>
        <v>0</v>
      </c>
      <c r="E323" s="392">
        <f>Input!E321</f>
        <v>300</v>
      </c>
      <c r="F323" s="393">
        <f>Input!B321</f>
        <v>38286</v>
      </c>
      <c r="G323" s="503">
        <f t="shared" si="11"/>
        <v>0</v>
      </c>
      <c r="H323" s="354"/>
      <c r="I323" s="392">
        <f t="shared" si="10"/>
        <v>0</v>
      </c>
      <c r="J323" s="385"/>
      <c r="K323" s="385"/>
      <c r="L323" s="385"/>
      <c r="M323" s="385"/>
      <c r="N323" s="385"/>
      <c r="O323" s="385"/>
      <c r="P323" s="385"/>
      <c r="Q323" s="385"/>
      <c r="R323" s="385"/>
      <c r="S323" s="385"/>
      <c r="T323" s="385"/>
      <c r="U323" s="385"/>
      <c r="V323" s="385"/>
      <c r="W323" s="385"/>
      <c r="X323" s="385"/>
      <c r="Y323" s="385"/>
      <c r="Z323" s="385"/>
      <c r="AA323" s="385"/>
      <c r="AB323" s="385"/>
      <c r="AC323" s="385"/>
      <c r="AD323" s="385"/>
      <c r="AE323" s="385"/>
      <c r="AF323" s="385"/>
      <c r="AG323" s="385"/>
      <c r="AH323" s="385"/>
      <c r="AI323" s="385"/>
      <c r="AJ323" s="385"/>
      <c r="AK323" s="385"/>
      <c r="AL323" s="385"/>
      <c r="AM323" s="385"/>
      <c r="AN323" s="385"/>
      <c r="AO323" s="385"/>
      <c r="AP323" s="385"/>
      <c r="AQ323" s="385"/>
      <c r="AR323" s="385"/>
      <c r="AS323" s="385"/>
      <c r="AT323" s="385"/>
      <c r="AU323" s="385"/>
      <c r="AV323" s="385"/>
      <c r="AW323" s="385"/>
      <c r="AX323" s="385"/>
      <c r="AY323" s="385"/>
    </row>
    <row r="324" spans="1:51" ht="18">
      <c r="A324" s="385"/>
      <c r="B324" s="391" t="str">
        <f>Input!AR322</f>
        <v/>
      </c>
      <c r="C324" s="391">
        <f>DailyMet!N305</f>
        <v>7.8</v>
      </c>
      <c r="D324" s="392">
        <f>Input!AS322</f>
        <v>0</v>
      </c>
      <c r="E324" s="392">
        <f>Input!E322</f>
        <v>301</v>
      </c>
      <c r="F324" s="393">
        <f>Input!B322</f>
        <v>38287</v>
      </c>
      <c r="G324" s="503">
        <f t="shared" si="11"/>
        <v>0</v>
      </c>
      <c r="H324" s="354"/>
      <c r="I324" s="392">
        <f t="shared" si="10"/>
        <v>0</v>
      </c>
      <c r="J324" s="385"/>
      <c r="K324" s="385"/>
      <c r="L324" s="385"/>
      <c r="M324" s="385"/>
      <c r="N324" s="385"/>
      <c r="O324" s="385"/>
      <c r="P324" s="385"/>
      <c r="Q324" s="385"/>
      <c r="R324" s="385"/>
      <c r="S324" s="385"/>
      <c r="T324" s="385"/>
      <c r="U324" s="385"/>
      <c r="V324" s="385"/>
      <c r="W324" s="385"/>
      <c r="X324" s="385"/>
      <c r="Y324" s="385"/>
      <c r="Z324" s="385"/>
      <c r="AA324" s="385"/>
      <c r="AB324" s="385"/>
      <c r="AC324" s="385"/>
      <c r="AD324" s="385"/>
      <c r="AE324" s="385"/>
      <c r="AF324" s="385"/>
      <c r="AG324" s="385"/>
      <c r="AH324" s="385"/>
      <c r="AI324" s="385"/>
      <c r="AJ324" s="385"/>
      <c r="AK324" s="385"/>
      <c r="AL324" s="385"/>
      <c r="AM324" s="385"/>
      <c r="AN324" s="385"/>
      <c r="AO324" s="385"/>
      <c r="AP324" s="385"/>
      <c r="AQ324" s="385"/>
      <c r="AR324" s="385"/>
      <c r="AS324" s="385"/>
      <c r="AT324" s="385"/>
      <c r="AU324" s="385"/>
      <c r="AV324" s="385"/>
      <c r="AW324" s="385"/>
      <c r="AX324" s="385"/>
      <c r="AY324" s="385"/>
    </row>
    <row r="325" spans="1:51" ht="18">
      <c r="A325" s="385"/>
      <c r="B325" s="391" t="str">
        <f>Input!AR323</f>
        <v/>
      </c>
      <c r="C325" s="391">
        <f>DailyMet!N306</f>
        <v>2.4</v>
      </c>
      <c r="D325" s="392">
        <f>Input!AS323</f>
        <v>0</v>
      </c>
      <c r="E325" s="392">
        <f>Input!E323</f>
        <v>302</v>
      </c>
      <c r="F325" s="393">
        <f>Input!B323</f>
        <v>38288</v>
      </c>
      <c r="G325" s="503">
        <f t="shared" si="11"/>
        <v>0</v>
      </c>
      <c r="H325" s="354"/>
      <c r="I325" s="392">
        <f t="shared" si="10"/>
        <v>0</v>
      </c>
      <c r="J325" s="385"/>
      <c r="K325" s="385"/>
      <c r="L325" s="385"/>
      <c r="M325" s="385"/>
      <c r="N325" s="385"/>
      <c r="O325" s="385"/>
      <c r="P325" s="385"/>
      <c r="Q325" s="385"/>
      <c r="R325" s="385"/>
      <c r="S325" s="385"/>
      <c r="T325" s="385"/>
      <c r="U325" s="385"/>
      <c r="V325" s="385"/>
      <c r="W325" s="385"/>
      <c r="X325" s="385"/>
      <c r="Y325" s="385"/>
      <c r="Z325" s="385"/>
      <c r="AA325" s="385"/>
      <c r="AB325" s="385"/>
      <c r="AC325" s="385"/>
      <c r="AD325" s="385"/>
      <c r="AE325" s="385"/>
      <c r="AF325" s="385"/>
      <c r="AG325" s="385"/>
      <c r="AH325" s="385"/>
      <c r="AI325" s="385"/>
      <c r="AJ325" s="385"/>
      <c r="AK325" s="385"/>
      <c r="AL325" s="385"/>
      <c r="AM325" s="385"/>
      <c r="AN325" s="385"/>
      <c r="AO325" s="385"/>
      <c r="AP325" s="385"/>
      <c r="AQ325" s="385"/>
      <c r="AR325" s="385"/>
      <c r="AS325" s="385"/>
      <c r="AT325" s="385"/>
      <c r="AU325" s="385"/>
      <c r="AV325" s="385"/>
      <c r="AW325" s="385"/>
      <c r="AX325" s="385"/>
      <c r="AY325" s="385"/>
    </row>
    <row r="326" spans="1:51" ht="18">
      <c r="A326" s="385"/>
      <c r="B326" s="391" t="str">
        <f>Input!AR324</f>
        <v/>
      </c>
      <c r="C326" s="391">
        <f>DailyMet!N307</f>
        <v>0.4</v>
      </c>
      <c r="D326" s="392">
        <f>Input!AS324</f>
        <v>0</v>
      </c>
      <c r="E326" s="392">
        <f>Input!E324</f>
        <v>303</v>
      </c>
      <c r="F326" s="393">
        <f>Input!B324</f>
        <v>38289</v>
      </c>
      <c r="G326" s="503">
        <f t="shared" si="11"/>
        <v>0</v>
      </c>
      <c r="H326" s="354"/>
      <c r="I326" s="392">
        <f t="shared" si="10"/>
        <v>0</v>
      </c>
      <c r="J326" s="385"/>
      <c r="K326" s="385"/>
      <c r="L326" s="385"/>
      <c r="M326" s="385"/>
      <c r="N326" s="385"/>
      <c r="O326" s="385"/>
      <c r="P326" s="385"/>
      <c r="Q326" s="385"/>
      <c r="R326" s="385"/>
      <c r="S326" s="385"/>
      <c r="T326" s="385"/>
      <c r="U326" s="385"/>
      <c r="V326" s="385"/>
      <c r="W326" s="385"/>
      <c r="X326" s="385"/>
      <c r="Y326" s="385"/>
      <c r="Z326" s="385"/>
      <c r="AA326" s="385"/>
      <c r="AB326" s="385"/>
      <c r="AC326" s="385"/>
      <c r="AD326" s="385"/>
      <c r="AE326" s="385"/>
      <c r="AF326" s="385"/>
      <c r="AG326" s="385"/>
      <c r="AH326" s="385"/>
      <c r="AI326" s="385"/>
      <c r="AJ326" s="385"/>
      <c r="AK326" s="385"/>
      <c r="AL326" s="385"/>
      <c r="AM326" s="385"/>
      <c r="AN326" s="385"/>
      <c r="AO326" s="385"/>
      <c r="AP326" s="385"/>
      <c r="AQ326" s="385"/>
      <c r="AR326" s="385"/>
      <c r="AS326" s="385"/>
      <c r="AT326" s="385"/>
      <c r="AU326" s="385"/>
      <c r="AV326" s="385"/>
      <c r="AW326" s="385"/>
      <c r="AX326" s="385"/>
      <c r="AY326" s="385"/>
    </row>
    <row r="327" spans="1:51" ht="18">
      <c r="A327" s="385"/>
      <c r="B327" s="391" t="str">
        <f>Input!AR325</f>
        <v/>
      </c>
      <c r="C327" s="391">
        <f>DailyMet!N308</f>
        <v>0.6</v>
      </c>
      <c r="D327" s="392">
        <f>Input!AS325</f>
        <v>0</v>
      </c>
      <c r="E327" s="392">
        <f>Input!E325</f>
        <v>304</v>
      </c>
      <c r="F327" s="393">
        <f>Input!B325</f>
        <v>38290</v>
      </c>
      <c r="G327" s="503">
        <f t="shared" si="11"/>
        <v>0</v>
      </c>
      <c r="H327" s="354"/>
      <c r="I327" s="392">
        <f t="shared" si="10"/>
        <v>0</v>
      </c>
      <c r="J327" s="385"/>
      <c r="K327" s="385"/>
      <c r="L327" s="385"/>
      <c r="M327" s="385"/>
      <c r="N327" s="385"/>
      <c r="O327" s="385"/>
      <c r="P327" s="385"/>
      <c r="Q327" s="385"/>
      <c r="R327" s="385"/>
      <c r="S327" s="385"/>
      <c r="T327" s="385"/>
      <c r="U327" s="385"/>
      <c r="V327" s="385"/>
      <c r="W327" s="385"/>
      <c r="X327" s="385"/>
      <c r="Y327" s="385"/>
      <c r="Z327" s="385"/>
      <c r="AA327" s="385"/>
      <c r="AB327" s="385"/>
      <c r="AC327" s="385"/>
      <c r="AD327" s="385"/>
      <c r="AE327" s="385"/>
      <c r="AF327" s="385"/>
      <c r="AG327" s="385"/>
      <c r="AH327" s="385"/>
      <c r="AI327" s="385"/>
      <c r="AJ327" s="385"/>
      <c r="AK327" s="385"/>
      <c r="AL327" s="385"/>
      <c r="AM327" s="385"/>
      <c r="AN327" s="385"/>
      <c r="AO327" s="385"/>
      <c r="AP327" s="385"/>
      <c r="AQ327" s="385"/>
      <c r="AR327" s="385"/>
      <c r="AS327" s="385"/>
      <c r="AT327" s="385"/>
      <c r="AU327" s="385"/>
      <c r="AV327" s="385"/>
      <c r="AW327" s="385"/>
      <c r="AX327" s="385"/>
      <c r="AY327" s="385"/>
    </row>
    <row r="328" spans="1:51" ht="18">
      <c r="A328" s="385"/>
      <c r="B328" s="391" t="str">
        <f>Input!AR326</f>
        <v/>
      </c>
      <c r="C328" s="391">
        <f>DailyMet!N309</f>
        <v>34.200000000000003</v>
      </c>
      <c r="D328" s="392">
        <f>Input!AS326</f>
        <v>0</v>
      </c>
      <c r="E328" s="392">
        <f>Input!E326</f>
        <v>305</v>
      </c>
      <c r="F328" s="393">
        <f>Input!B326</f>
        <v>38291</v>
      </c>
      <c r="G328" s="503">
        <f t="shared" si="11"/>
        <v>0</v>
      </c>
      <c r="H328" s="354"/>
      <c r="I328" s="392">
        <f t="shared" si="10"/>
        <v>0</v>
      </c>
      <c r="J328" s="385"/>
      <c r="K328" s="385"/>
      <c r="L328" s="385"/>
      <c r="M328" s="385"/>
      <c r="N328" s="385"/>
      <c r="O328" s="385"/>
      <c r="P328" s="385"/>
      <c r="Q328" s="385"/>
      <c r="R328" s="385"/>
      <c r="S328" s="385"/>
      <c r="T328" s="385"/>
      <c r="U328" s="385"/>
      <c r="V328" s="385"/>
      <c r="W328" s="385"/>
      <c r="X328" s="385"/>
      <c r="Y328" s="385"/>
      <c r="Z328" s="385"/>
      <c r="AA328" s="385"/>
      <c r="AB328" s="385"/>
      <c r="AC328" s="385"/>
      <c r="AD328" s="385"/>
      <c r="AE328" s="385"/>
      <c r="AF328" s="385"/>
      <c r="AG328" s="385"/>
      <c r="AH328" s="385"/>
      <c r="AI328" s="385"/>
      <c r="AJ328" s="385"/>
      <c r="AK328" s="385"/>
      <c r="AL328" s="385"/>
      <c r="AM328" s="385"/>
      <c r="AN328" s="385"/>
      <c r="AO328" s="385"/>
      <c r="AP328" s="385"/>
      <c r="AQ328" s="385"/>
      <c r="AR328" s="385"/>
      <c r="AS328" s="385"/>
      <c r="AT328" s="385"/>
      <c r="AU328" s="385"/>
      <c r="AV328" s="385"/>
      <c r="AW328" s="385"/>
      <c r="AX328" s="385"/>
      <c r="AY328" s="385"/>
    </row>
    <row r="329" spans="1:51" ht="18">
      <c r="A329" s="385"/>
      <c r="B329" s="391" t="str">
        <f>Input!AR327</f>
        <v/>
      </c>
      <c r="C329" s="391">
        <f>DailyMet!N310</f>
        <v>2.8</v>
      </c>
      <c r="D329" s="392">
        <f>Input!AS327</f>
        <v>0</v>
      </c>
      <c r="E329" s="392">
        <f>Input!E327</f>
        <v>306</v>
      </c>
      <c r="F329" s="393">
        <f>Input!B327</f>
        <v>38292</v>
      </c>
      <c r="G329" s="503">
        <f t="shared" si="11"/>
        <v>0</v>
      </c>
      <c r="H329" s="354"/>
      <c r="I329" s="392">
        <f t="shared" si="10"/>
        <v>0</v>
      </c>
      <c r="J329" s="385"/>
      <c r="K329" s="385"/>
      <c r="L329" s="385"/>
      <c r="M329" s="385"/>
      <c r="N329" s="385"/>
      <c r="O329" s="385"/>
      <c r="P329" s="385"/>
      <c r="Q329" s="385"/>
      <c r="R329" s="385"/>
      <c r="S329" s="385"/>
      <c r="T329" s="385"/>
      <c r="U329" s="385"/>
      <c r="V329" s="385"/>
      <c r="W329" s="385"/>
      <c r="X329" s="385"/>
      <c r="Y329" s="385"/>
      <c r="Z329" s="385"/>
      <c r="AA329" s="385"/>
      <c r="AB329" s="385"/>
      <c r="AC329" s="385"/>
      <c r="AD329" s="385"/>
      <c r="AE329" s="385"/>
      <c r="AF329" s="385"/>
      <c r="AG329" s="385"/>
      <c r="AH329" s="385"/>
      <c r="AI329" s="385"/>
      <c r="AJ329" s="385"/>
      <c r="AK329" s="385"/>
      <c r="AL329" s="385"/>
      <c r="AM329" s="385"/>
      <c r="AN329" s="385"/>
      <c r="AO329" s="385"/>
      <c r="AP329" s="385"/>
      <c r="AQ329" s="385"/>
      <c r="AR329" s="385"/>
      <c r="AS329" s="385"/>
      <c r="AT329" s="385"/>
      <c r="AU329" s="385"/>
      <c r="AV329" s="385"/>
      <c r="AW329" s="385"/>
      <c r="AX329" s="385"/>
      <c r="AY329" s="385"/>
    </row>
    <row r="330" spans="1:51" ht="18">
      <c r="A330" s="385"/>
      <c r="B330" s="391" t="str">
        <f>Input!AR328</f>
        <v/>
      </c>
      <c r="C330" s="391">
        <f>DailyMet!N311</f>
        <v>0.2</v>
      </c>
      <c r="D330" s="392">
        <f>Input!AS328</f>
        <v>0</v>
      </c>
      <c r="E330" s="392">
        <f>Input!E328</f>
        <v>307</v>
      </c>
      <c r="F330" s="393">
        <f>Input!B328</f>
        <v>38293</v>
      </c>
      <c r="G330" s="503">
        <f t="shared" si="11"/>
        <v>0</v>
      </c>
      <c r="H330" s="354"/>
      <c r="I330" s="392">
        <f t="shared" si="10"/>
        <v>0</v>
      </c>
      <c r="J330" s="385"/>
      <c r="K330" s="385"/>
      <c r="L330" s="385"/>
      <c r="M330" s="385"/>
      <c r="N330" s="385"/>
      <c r="O330" s="385"/>
      <c r="P330" s="385"/>
      <c r="Q330" s="385"/>
      <c r="R330" s="385"/>
      <c r="S330" s="385"/>
      <c r="T330" s="385"/>
      <c r="U330" s="385"/>
      <c r="V330" s="385"/>
      <c r="W330" s="385"/>
      <c r="X330" s="385"/>
      <c r="Y330" s="385"/>
      <c r="Z330" s="385"/>
      <c r="AA330" s="385"/>
      <c r="AB330" s="385"/>
      <c r="AC330" s="385"/>
      <c r="AD330" s="385"/>
      <c r="AE330" s="385"/>
      <c r="AF330" s="385"/>
      <c r="AG330" s="385"/>
      <c r="AH330" s="385"/>
      <c r="AI330" s="385"/>
      <c r="AJ330" s="385"/>
      <c r="AK330" s="385"/>
      <c r="AL330" s="385"/>
      <c r="AM330" s="385"/>
      <c r="AN330" s="385"/>
      <c r="AO330" s="385"/>
      <c r="AP330" s="385"/>
      <c r="AQ330" s="385"/>
      <c r="AR330" s="385"/>
      <c r="AS330" s="385"/>
      <c r="AT330" s="385"/>
      <c r="AU330" s="385"/>
      <c r="AV330" s="385"/>
      <c r="AW330" s="385"/>
      <c r="AX330" s="385"/>
      <c r="AY330" s="385"/>
    </row>
    <row r="331" spans="1:51" ht="18">
      <c r="A331" s="385"/>
      <c r="B331" s="391" t="str">
        <f>Input!AR329</f>
        <v/>
      </c>
      <c r="C331" s="391">
        <f>DailyMet!N312</f>
        <v>0.2</v>
      </c>
      <c r="D331" s="392">
        <f>Input!AS329</f>
        <v>0</v>
      </c>
      <c r="E331" s="392">
        <f>Input!E329</f>
        <v>308</v>
      </c>
      <c r="F331" s="393">
        <f>Input!B329</f>
        <v>38294</v>
      </c>
      <c r="G331" s="503">
        <f t="shared" si="11"/>
        <v>0</v>
      </c>
      <c r="H331" s="354"/>
      <c r="I331" s="392">
        <f t="shared" si="10"/>
        <v>0</v>
      </c>
      <c r="J331" s="385"/>
      <c r="K331" s="385"/>
      <c r="L331" s="385"/>
      <c r="M331" s="385"/>
      <c r="N331" s="385"/>
      <c r="O331" s="385"/>
      <c r="P331" s="385"/>
      <c r="Q331" s="385"/>
      <c r="R331" s="385"/>
      <c r="S331" s="385"/>
      <c r="T331" s="385"/>
      <c r="U331" s="385"/>
      <c r="V331" s="385"/>
      <c r="W331" s="385"/>
      <c r="X331" s="385"/>
      <c r="Y331" s="385"/>
      <c r="Z331" s="385"/>
      <c r="AA331" s="385"/>
      <c r="AB331" s="385"/>
      <c r="AC331" s="385"/>
      <c r="AD331" s="385"/>
      <c r="AE331" s="385"/>
      <c r="AF331" s="385"/>
      <c r="AG331" s="385"/>
      <c r="AH331" s="385"/>
      <c r="AI331" s="385"/>
      <c r="AJ331" s="385"/>
      <c r="AK331" s="385"/>
      <c r="AL331" s="385"/>
      <c r="AM331" s="385"/>
      <c r="AN331" s="385"/>
      <c r="AO331" s="385"/>
      <c r="AP331" s="385"/>
      <c r="AQ331" s="385"/>
      <c r="AR331" s="385"/>
      <c r="AS331" s="385"/>
      <c r="AT331" s="385"/>
      <c r="AU331" s="385"/>
      <c r="AV331" s="385"/>
      <c r="AW331" s="385"/>
      <c r="AX331" s="385"/>
      <c r="AY331" s="385"/>
    </row>
    <row r="332" spans="1:51" ht="18">
      <c r="A332" s="385"/>
      <c r="B332" s="391" t="str">
        <f>Input!AR330</f>
        <v/>
      </c>
      <c r="C332" s="391">
        <f>DailyMet!N313</f>
        <v>0.8</v>
      </c>
      <c r="D332" s="392">
        <f>Input!AS330</f>
        <v>0</v>
      </c>
      <c r="E332" s="392">
        <f>Input!E330</f>
        <v>309</v>
      </c>
      <c r="F332" s="393">
        <f>Input!B330</f>
        <v>38295</v>
      </c>
      <c r="G332" s="503">
        <f t="shared" si="11"/>
        <v>0</v>
      </c>
      <c r="H332" s="354"/>
      <c r="I332" s="392">
        <f t="shared" si="10"/>
        <v>0</v>
      </c>
      <c r="J332" s="385"/>
      <c r="K332" s="385"/>
      <c r="L332" s="385"/>
      <c r="M332" s="385"/>
      <c r="N332" s="385"/>
      <c r="O332" s="385"/>
      <c r="P332" s="385"/>
      <c r="Q332" s="385"/>
      <c r="R332" s="385"/>
      <c r="S332" s="385"/>
      <c r="T332" s="385"/>
      <c r="U332" s="385"/>
      <c r="V332" s="385"/>
      <c r="W332" s="385"/>
      <c r="X332" s="385"/>
      <c r="Y332" s="385"/>
      <c r="Z332" s="385"/>
      <c r="AA332" s="385"/>
      <c r="AB332" s="385"/>
      <c r="AC332" s="385"/>
      <c r="AD332" s="385"/>
      <c r="AE332" s="385"/>
      <c r="AF332" s="385"/>
      <c r="AG332" s="385"/>
      <c r="AH332" s="385"/>
      <c r="AI332" s="385"/>
      <c r="AJ332" s="385"/>
      <c r="AK332" s="385"/>
      <c r="AL332" s="385"/>
      <c r="AM332" s="385"/>
      <c r="AN332" s="385"/>
      <c r="AO332" s="385"/>
      <c r="AP332" s="385"/>
      <c r="AQ332" s="385"/>
      <c r="AR332" s="385"/>
      <c r="AS332" s="385"/>
      <c r="AT332" s="385"/>
      <c r="AU332" s="385"/>
      <c r="AV332" s="385"/>
      <c r="AW332" s="385"/>
      <c r="AX332" s="385"/>
      <c r="AY332" s="385"/>
    </row>
    <row r="333" spans="1:51" ht="18">
      <c r="A333" s="385"/>
      <c r="B333" s="391" t="str">
        <f>Input!AR331</f>
        <v/>
      </c>
      <c r="C333" s="391">
        <f>DailyMet!N314</f>
        <v>0</v>
      </c>
      <c r="D333" s="392">
        <f>Input!AS331</f>
        <v>0</v>
      </c>
      <c r="E333" s="392">
        <f>Input!E331</f>
        <v>310</v>
      </c>
      <c r="F333" s="393">
        <f>Input!B331</f>
        <v>38296</v>
      </c>
      <c r="G333" s="503">
        <f t="shared" si="11"/>
        <v>0</v>
      </c>
      <c r="H333" s="354"/>
      <c r="I333" s="392">
        <f t="shared" si="10"/>
        <v>0</v>
      </c>
      <c r="J333" s="385"/>
      <c r="K333" s="385"/>
      <c r="L333" s="385"/>
      <c r="M333" s="385"/>
      <c r="N333" s="385"/>
      <c r="O333" s="385"/>
      <c r="P333" s="385"/>
      <c r="Q333" s="385"/>
      <c r="R333" s="385"/>
      <c r="S333" s="385"/>
      <c r="T333" s="385"/>
      <c r="U333" s="385"/>
      <c r="V333" s="385"/>
      <c r="W333" s="385"/>
      <c r="X333" s="385"/>
      <c r="Y333" s="385"/>
      <c r="Z333" s="385"/>
      <c r="AA333" s="385"/>
      <c r="AB333" s="385"/>
      <c r="AC333" s="385"/>
      <c r="AD333" s="385"/>
      <c r="AE333" s="385"/>
      <c r="AF333" s="385"/>
      <c r="AG333" s="385"/>
      <c r="AH333" s="385"/>
      <c r="AI333" s="385"/>
      <c r="AJ333" s="385"/>
      <c r="AK333" s="385"/>
      <c r="AL333" s="385"/>
      <c r="AM333" s="385"/>
      <c r="AN333" s="385"/>
      <c r="AO333" s="385"/>
      <c r="AP333" s="385"/>
      <c r="AQ333" s="385"/>
      <c r="AR333" s="385"/>
      <c r="AS333" s="385"/>
      <c r="AT333" s="385"/>
      <c r="AU333" s="385"/>
      <c r="AV333" s="385"/>
      <c r="AW333" s="385"/>
      <c r="AX333" s="385"/>
      <c r="AY333" s="385"/>
    </row>
    <row r="334" spans="1:51" ht="18">
      <c r="A334" s="385"/>
      <c r="B334" s="391" t="str">
        <f>Input!AR332</f>
        <v/>
      </c>
      <c r="C334" s="391">
        <f>DailyMet!N315</f>
        <v>0</v>
      </c>
      <c r="D334" s="392">
        <f>Input!AS332</f>
        <v>0</v>
      </c>
      <c r="E334" s="392">
        <f>Input!E332</f>
        <v>311</v>
      </c>
      <c r="F334" s="393">
        <f>Input!B332</f>
        <v>38297</v>
      </c>
      <c r="G334" s="503">
        <f t="shared" si="11"/>
        <v>0</v>
      </c>
      <c r="H334" s="354"/>
      <c r="I334" s="392">
        <f t="shared" si="10"/>
        <v>0</v>
      </c>
      <c r="J334" s="385"/>
      <c r="K334" s="385"/>
      <c r="L334" s="385"/>
      <c r="M334" s="385"/>
      <c r="N334" s="385"/>
      <c r="O334" s="385"/>
      <c r="P334" s="385"/>
      <c r="Q334" s="385"/>
      <c r="R334" s="385"/>
      <c r="S334" s="385"/>
      <c r="T334" s="385"/>
      <c r="U334" s="385"/>
      <c r="V334" s="385"/>
      <c r="W334" s="385"/>
      <c r="X334" s="385"/>
      <c r="Y334" s="385"/>
      <c r="Z334" s="385"/>
      <c r="AA334" s="385"/>
      <c r="AB334" s="385"/>
      <c r="AC334" s="385"/>
      <c r="AD334" s="385"/>
      <c r="AE334" s="385"/>
      <c r="AF334" s="385"/>
      <c r="AG334" s="385"/>
      <c r="AH334" s="385"/>
      <c r="AI334" s="385"/>
      <c r="AJ334" s="385"/>
      <c r="AK334" s="385"/>
      <c r="AL334" s="385"/>
      <c r="AM334" s="385"/>
      <c r="AN334" s="385"/>
      <c r="AO334" s="385"/>
      <c r="AP334" s="385"/>
      <c r="AQ334" s="385"/>
      <c r="AR334" s="385"/>
      <c r="AS334" s="385"/>
      <c r="AT334" s="385"/>
      <c r="AU334" s="385"/>
      <c r="AV334" s="385"/>
      <c r="AW334" s="385"/>
      <c r="AX334" s="385"/>
      <c r="AY334" s="385"/>
    </row>
    <row r="335" spans="1:51" ht="18">
      <c r="A335" s="385"/>
      <c r="B335" s="391" t="str">
        <f>Input!AR333</f>
        <v/>
      </c>
      <c r="C335" s="391">
        <f>DailyMet!N316</f>
        <v>0.2</v>
      </c>
      <c r="D335" s="392">
        <f>Input!AS333</f>
        <v>0</v>
      </c>
      <c r="E335" s="392">
        <f>Input!E333</f>
        <v>312</v>
      </c>
      <c r="F335" s="393">
        <f>Input!B333</f>
        <v>38298</v>
      </c>
      <c r="G335" s="503">
        <f t="shared" si="11"/>
        <v>0</v>
      </c>
      <c r="H335" s="354"/>
      <c r="I335" s="392">
        <f t="shared" si="10"/>
        <v>0</v>
      </c>
      <c r="J335" s="385"/>
      <c r="K335" s="385"/>
      <c r="L335" s="385"/>
      <c r="M335" s="385"/>
      <c r="N335" s="385"/>
      <c r="O335" s="385"/>
      <c r="P335" s="385"/>
      <c r="Q335" s="385"/>
      <c r="R335" s="385"/>
      <c r="S335" s="385"/>
      <c r="T335" s="385"/>
      <c r="U335" s="385"/>
      <c r="V335" s="385"/>
      <c r="W335" s="385"/>
      <c r="X335" s="385"/>
      <c r="Y335" s="385"/>
      <c r="Z335" s="385"/>
      <c r="AA335" s="385"/>
      <c r="AB335" s="385"/>
      <c r="AC335" s="385"/>
      <c r="AD335" s="385"/>
      <c r="AE335" s="385"/>
      <c r="AF335" s="385"/>
      <c r="AG335" s="385"/>
      <c r="AH335" s="385"/>
      <c r="AI335" s="385"/>
      <c r="AJ335" s="385"/>
      <c r="AK335" s="385"/>
      <c r="AL335" s="385"/>
      <c r="AM335" s="385"/>
      <c r="AN335" s="385"/>
      <c r="AO335" s="385"/>
      <c r="AP335" s="385"/>
      <c r="AQ335" s="385"/>
      <c r="AR335" s="385"/>
      <c r="AS335" s="385"/>
      <c r="AT335" s="385"/>
      <c r="AU335" s="385"/>
      <c r="AV335" s="385"/>
      <c r="AW335" s="385"/>
      <c r="AX335" s="385"/>
      <c r="AY335" s="385"/>
    </row>
    <row r="336" spans="1:51" ht="18">
      <c r="A336" s="385"/>
      <c r="B336" s="391" t="str">
        <f>Input!AR334</f>
        <v/>
      </c>
      <c r="C336" s="391">
        <f>DailyMet!N317</f>
        <v>0</v>
      </c>
      <c r="D336" s="392">
        <f>Input!AS334</f>
        <v>0</v>
      </c>
      <c r="E336" s="392">
        <f>Input!E334</f>
        <v>313</v>
      </c>
      <c r="F336" s="393">
        <f>Input!B334</f>
        <v>38299</v>
      </c>
      <c r="G336" s="503">
        <f t="shared" si="11"/>
        <v>0</v>
      </c>
      <c r="H336" s="354"/>
      <c r="I336" s="392">
        <f t="shared" si="10"/>
        <v>0</v>
      </c>
      <c r="J336" s="385"/>
      <c r="K336" s="385"/>
      <c r="L336" s="385"/>
      <c r="M336" s="385"/>
      <c r="N336" s="385"/>
      <c r="O336" s="385"/>
      <c r="P336" s="385"/>
      <c r="Q336" s="385"/>
      <c r="R336" s="385"/>
      <c r="S336" s="385"/>
      <c r="T336" s="385"/>
      <c r="U336" s="385"/>
      <c r="V336" s="385"/>
      <c r="W336" s="385"/>
      <c r="X336" s="385"/>
      <c r="Y336" s="385"/>
      <c r="Z336" s="385"/>
      <c r="AA336" s="385"/>
      <c r="AB336" s="385"/>
      <c r="AC336" s="385"/>
      <c r="AD336" s="385"/>
      <c r="AE336" s="385"/>
      <c r="AF336" s="385"/>
      <c r="AG336" s="385"/>
      <c r="AH336" s="385"/>
      <c r="AI336" s="385"/>
      <c r="AJ336" s="385"/>
      <c r="AK336" s="385"/>
      <c r="AL336" s="385"/>
      <c r="AM336" s="385"/>
      <c r="AN336" s="385"/>
      <c r="AO336" s="385"/>
      <c r="AP336" s="385"/>
      <c r="AQ336" s="385"/>
      <c r="AR336" s="385"/>
      <c r="AS336" s="385"/>
      <c r="AT336" s="385"/>
      <c r="AU336" s="385"/>
      <c r="AV336" s="385"/>
      <c r="AW336" s="385"/>
      <c r="AX336" s="385"/>
      <c r="AY336" s="385"/>
    </row>
    <row r="337" spans="1:51" ht="18">
      <c r="A337" s="385"/>
      <c r="B337" s="391" t="str">
        <f>Input!AR335</f>
        <v/>
      </c>
      <c r="C337" s="391">
        <f>DailyMet!N318</f>
        <v>0.4</v>
      </c>
      <c r="D337" s="392">
        <f>Input!AS335</f>
        <v>0</v>
      </c>
      <c r="E337" s="392">
        <f>Input!E335</f>
        <v>314</v>
      </c>
      <c r="F337" s="393">
        <f>Input!B335</f>
        <v>38300</v>
      </c>
      <c r="G337" s="503">
        <f t="shared" si="11"/>
        <v>0</v>
      </c>
      <c r="H337" s="354"/>
      <c r="I337" s="392">
        <f t="shared" si="10"/>
        <v>0</v>
      </c>
      <c r="J337" s="385"/>
      <c r="K337" s="385"/>
      <c r="L337" s="385"/>
      <c r="M337" s="385"/>
      <c r="N337" s="385"/>
      <c r="O337" s="385"/>
      <c r="P337" s="385"/>
      <c r="Q337" s="385"/>
      <c r="R337" s="385"/>
      <c r="S337" s="385"/>
      <c r="T337" s="385"/>
      <c r="U337" s="385"/>
      <c r="V337" s="385"/>
      <c r="W337" s="385"/>
      <c r="X337" s="385"/>
      <c r="Y337" s="385"/>
      <c r="Z337" s="385"/>
      <c r="AA337" s="385"/>
      <c r="AB337" s="385"/>
      <c r="AC337" s="385"/>
      <c r="AD337" s="385"/>
      <c r="AE337" s="385"/>
      <c r="AF337" s="385"/>
      <c r="AG337" s="385"/>
      <c r="AH337" s="385"/>
      <c r="AI337" s="385"/>
      <c r="AJ337" s="385"/>
      <c r="AK337" s="385"/>
      <c r="AL337" s="385"/>
      <c r="AM337" s="385"/>
      <c r="AN337" s="385"/>
      <c r="AO337" s="385"/>
      <c r="AP337" s="385"/>
      <c r="AQ337" s="385"/>
      <c r="AR337" s="385"/>
      <c r="AS337" s="385"/>
      <c r="AT337" s="385"/>
      <c r="AU337" s="385"/>
      <c r="AV337" s="385"/>
      <c r="AW337" s="385"/>
      <c r="AX337" s="385"/>
      <c r="AY337" s="385"/>
    </row>
    <row r="338" spans="1:51" ht="18">
      <c r="A338" s="385"/>
      <c r="B338" s="391" t="str">
        <f>Input!AR336</f>
        <v/>
      </c>
      <c r="C338" s="391">
        <f>DailyMet!N319</f>
        <v>0.2</v>
      </c>
      <c r="D338" s="392">
        <f>Input!AS336</f>
        <v>0</v>
      </c>
      <c r="E338" s="392">
        <f>Input!E336</f>
        <v>315</v>
      </c>
      <c r="F338" s="393">
        <f>Input!B336</f>
        <v>38301</v>
      </c>
      <c r="G338" s="503">
        <f t="shared" si="11"/>
        <v>0</v>
      </c>
      <c r="H338" s="354"/>
      <c r="I338" s="392">
        <f t="shared" si="10"/>
        <v>0</v>
      </c>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F338" s="385"/>
      <c r="AG338" s="385"/>
      <c r="AH338" s="385"/>
      <c r="AI338" s="385"/>
      <c r="AJ338" s="385"/>
      <c r="AK338" s="385"/>
      <c r="AL338" s="385"/>
      <c r="AM338" s="385"/>
      <c r="AN338" s="385"/>
      <c r="AO338" s="385"/>
      <c r="AP338" s="385"/>
      <c r="AQ338" s="385"/>
      <c r="AR338" s="385"/>
      <c r="AS338" s="385"/>
      <c r="AT338" s="385"/>
      <c r="AU338" s="385"/>
      <c r="AV338" s="385"/>
      <c r="AW338" s="385"/>
      <c r="AX338" s="385"/>
      <c r="AY338" s="385"/>
    </row>
    <row r="339" spans="1:51" ht="18">
      <c r="A339" s="385"/>
      <c r="B339" s="391" t="str">
        <f>Input!AR337</f>
        <v/>
      </c>
      <c r="C339" s="391">
        <f>DailyMet!N320</f>
        <v>25.6</v>
      </c>
      <c r="D339" s="392">
        <f>Input!AS337</f>
        <v>0</v>
      </c>
      <c r="E339" s="392">
        <f>Input!E337</f>
        <v>316</v>
      </c>
      <c r="F339" s="393">
        <f>Input!B337</f>
        <v>38302</v>
      </c>
      <c r="G339" s="503">
        <f t="shared" si="11"/>
        <v>0</v>
      </c>
      <c r="H339" s="354"/>
      <c r="I339" s="392">
        <f t="shared" si="10"/>
        <v>0</v>
      </c>
      <c r="J339" s="385"/>
      <c r="K339" s="385"/>
      <c r="L339" s="385"/>
      <c r="M339" s="385"/>
      <c r="N339" s="385"/>
      <c r="O339" s="385"/>
      <c r="P339" s="385"/>
      <c r="Q339" s="385"/>
      <c r="R339" s="385"/>
      <c r="S339" s="385"/>
      <c r="T339" s="385"/>
      <c r="U339" s="385"/>
      <c r="V339" s="385"/>
      <c r="W339" s="385"/>
      <c r="X339" s="385"/>
      <c r="Y339" s="385"/>
      <c r="Z339" s="385"/>
      <c r="AA339" s="385"/>
      <c r="AB339" s="385"/>
      <c r="AC339" s="385"/>
      <c r="AD339" s="385"/>
      <c r="AE339" s="385"/>
      <c r="AF339" s="385"/>
      <c r="AG339" s="385"/>
      <c r="AH339" s="385"/>
      <c r="AI339" s="385"/>
      <c r="AJ339" s="385"/>
      <c r="AK339" s="385"/>
      <c r="AL339" s="385"/>
      <c r="AM339" s="385"/>
      <c r="AN339" s="385"/>
      <c r="AO339" s="385"/>
      <c r="AP339" s="385"/>
      <c r="AQ339" s="385"/>
      <c r="AR339" s="385"/>
      <c r="AS339" s="385"/>
      <c r="AT339" s="385"/>
      <c r="AU339" s="385"/>
      <c r="AV339" s="385"/>
      <c r="AW339" s="385"/>
      <c r="AX339" s="385"/>
      <c r="AY339" s="385"/>
    </row>
    <row r="340" spans="1:51" ht="18">
      <c r="A340" s="385"/>
      <c r="B340" s="391" t="str">
        <f>Input!AR338</f>
        <v/>
      </c>
      <c r="C340" s="391">
        <f>DailyMet!N321</f>
        <v>2</v>
      </c>
      <c r="D340" s="392">
        <f>Input!AS338</f>
        <v>0</v>
      </c>
      <c r="E340" s="392">
        <f>Input!E338</f>
        <v>317</v>
      </c>
      <c r="F340" s="393">
        <f>Input!B338</f>
        <v>38303</v>
      </c>
      <c r="G340" s="503">
        <f t="shared" si="11"/>
        <v>0</v>
      </c>
      <c r="H340" s="354"/>
      <c r="I340" s="392">
        <f t="shared" si="10"/>
        <v>0</v>
      </c>
      <c r="J340" s="385"/>
      <c r="K340" s="385"/>
      <c r="L340" s="385"/>
      <c r="M340" s="385"/>
      <c r="N340" s="385"/>
      <c r="O340" s="385"/>
      <c r="P340" s="385"/>
      <c r="Q340" s="385"/>
      <c r="R340" s="385"/>
      <c r="S340" s="385"/>
      <c r="T340" s="385"/>
      <c r="U340" s="385"/>
      <c r="V340" s="385"/>
      <c r="W340" s="385"/>
      <c r="X340" s="385"/>
      <c r="Y340" s="385"/>
      <c r="Z340" s="385"/>
      <c r="AA340" s="385"/>
      <c r="AB340" s="385"/>
      <c r="AC340" s="385"/>
      <c r="AD340" s="385"/>
      <c r="AE340" s="385"/>
      <c r="AF340" s="385"/>
      <c r="AG340" s="385"/>
      <c r="AH340" s="385"/>
      <c r="AI340" s="385"/>
      <c r="AJ340" s="385"/>
      <c r="AK340" s="385"/>
      <c r="AL340" s="385"/>
      <c r="AM340" s="385"/>
      <c r="AN340" s="385"/>
      <c r="AO340" s="385"/>
      <c r="AP340" s="385"/>
      <c r="AQ340" s="385"/>
      <c r="AR340" s="385"/>
      <c r="AS340" s="385"/>
      <c r="AT340" s="385"/>
      <c r="AU340" s="385"/>
      <c r="AV340" s="385"/>
      <c r="AW340" s="385"/>
      <c r="AX340" s="385"/>
      <c r="AY340" s="385"/>
    </row>
    <row r="341" spans="1:51" ht="18">
      <c r="A341" s="385"/>
      <c r="B341" s="391" t="str">
        <f>Input!AR339</f>
        <v/>
      </c>
      <c r="C341" s="391">
        <f>DailyMet!N322</f>
        <v>0</v>
      </c>
      <c r="D341" s="392">
        <f>Input!AS339</f>
        <v>0</v>
      </c>
      <c r="E341" s="392">
        <f>Input!E339</f>
        <v>318</v>
      </c>
      <c r="F341" s="393">
        <f>Input!B339</f>
        <v>38304</v>
      </c>
      <c r="G341" s="503">
        <f t="shared" si="11"/>
        <v>0</v>
      </c>
      <c r="H341" s="354"/>
      <c r="I341" s="392">
        <f t="shared" si="10"/>
        <v>0</v>
      </c>
      <c r="J341" s="385"/>
      <c r="K341" s="385"/>
      <c r="L341" s="385"/>
      <c r="M341" s="385"/>
      <c r="N341" s="385"/>
      <c r="O341" s="385"/>
      <c r="P341" s="385"/>
      <c r="Q341" s="385"/>
      <c r="R341" s="385"/>
      <c r="S341" s="385"/>
      <c r="T341" s="385"/>
      <c r="U341" s="385"/>
      <c r="V341" s="385"/>
      <c r="W341" s="385"/>
      <c r="X341" s="385"/>
      <c r="Y341" s="385"/>
      <c r="Z341" s="385"/>
      <c r="AA341" s="385"/>
      <c r="AB341" s="385"/>
      <c r="AC341" s="385"/>
      <c r="AD341" s="385"/>
      <c r="AE341" s="385"/>
      <c r="AF341" s="385"/>
      <c r="AG341" s="385"/>
      <c r="AH341" s="385"/>
      <c r="AI341" s="385"/>
      <c r="AJ341" s="385"/>
      <c r="AK341" s="385"/>
      <c r="AL341" s="385"/>
      <c r="AM341" s="385"/>
      <c r="AN341" s="385"/>
      <c r="AO341" s="385"/>
      <c r="AP341" s="385"/>
      <c r="AQ341" s="385"/>
      <c r="AR341" s="385"/>
      <c r="AS341" s="385"/>
      <c r="AT341" s="385"/>
      <c r="AU341" s="385"/>
      <c r="AV341" s="385"/>
      <c r="AW341" s="385"/>
      <c r="AX341" s="385"/>
      <c r="AY341" s="385"/>
    </row>
    <row r="342" spans="1:51" ht="18">
      <c r="A342" s="385"/>
      <c r="B342" s="391" t="str">
        <f>Input!AR340</f>
        <v/>
      </c>
      <c r="C342" s="391">
        <f>DailyMet!N323</f>
        <v>0</v>
      </c>
      <c r="D342" s="392">
        <f>Input!AS340</f>
        <v>0</v>
      </c>
      <c r="E342" s="392">
        <f>Input!E340</f>
        <v>319</v>
      </c>
      <c r="F342" s="393">
        <f>Input!B340</f>
        <v>38305</v>
      </c>
      <c r="G342" s="503">
        <f t="shared" si="11"/>
        <v>0</v>
      </c>
      <c r="H342" s="354"/>
      <c r="I342" s="392">
        <f t="shared" si="10"/>
        <v>0</v>
      </c>
      <c r="J342" s="385"/>
      <c r="K342" s="385"/>
      <c r="L342" s="385"/>
      <c r="M342" s="385"/>
      <c r="N342" s="385"/>
      <c r="O342" s="385"/>
      <c r="P342" s="385"/>
      <c r="Q342" s="385"/>
      <c r="R342" s="385"/>
      <c r="S342" s="385"/>
      <c r="T342" s="385"/>
      <c r="U342" s="385"/>
      <c r="V342" s="385"/>
      <c r="W342" s="385"/>
      <c r="X342" s="385"/>
      <c r="Y342" s="385"/>
      <c r="Z342" s="385"/>
      <c r="AA342" s="385"/>
      <c r="AB342" s="385"/>
      <c r="AC342" s="385"/>
      <c r="AD342" s="385"/>
      <c r="AE342" s="385"/>
      <c r="AF342" s="385"/>
      <c r="AG342" s="385"/>
      <c r="AH342" s="385"/>
      <c r="AI342" s="385"/>
      <c r="AJ342" s="385"/>
      <c r="AK342" s="385"/>
      <c r="AL342" s="385"/>
      <c r="AM342" s="385"/>
      <c r="AN342" s="385"/>
      <c r="AO342" s="385"/>
      <c r="AP342" s="385"/>
      <c r="AQ342" s="385"/>
      <c r="AR342" s="385"/>
      <c r="AS342" s="385"/>
      <c r="AT342" s="385"/>
      <c r="AU342" s="385"/>
      <c r="AV342" s="385"/>
      <c r="AW342" s="385"/>
      <c r="AX342" s="385"/>
      <c r="AY342" s="385"/>
    </row>
    <row r="343" spans="1:51" ht="18">
      <c r="A343" s="385"/>
      <c r="B343" s="391" t="str">
        <f>Input!AR341</f>
        <v/>
      </c>
      <c r="C343" s="391">
        <f>DailyMet!N324</f>
        <v>0.2</v>
      </c>
      <c r="D343" s="392">
        <f>Input!AS341</f>
        <v>0</v>
      </c>
      <c r="E343" s="392">
        <f>Input!E341</f>
        <v>320</v>
      </c>
      <c r="F343" s="393">
        <f>Input!B341</f>
        <v>38306</v>
      </c>
      <c r="G343" s="503">
        <f t="shared" si="11"/>
        <v>0</v>
      </c>
      <c r="H343" s="354"/>
      <c r="I343" s="392">
        <f t="shared" si="10"/>
        <v>0</v>
      </c>
      <c r="J343" s="385"/>
      <c r="K343" s="385"/>
      <c r="L343" s="385"/>
      <c r="M343" s="385"/>
      <c r="N343" s="385"/>
      <c r="O343" s="385"/>
      <c r="P343" s="385"/>
      <c r="Q343" s="385"/>
      <c r="R343" s="385"/>
      <c r="S343" s="385"/>
      <c r="T343" s="385"/>
      <c r="U343" s="385"/>
      <c r="V343" s="385"/>
      <c r="W343" s="385"/>
      <c r="X343" s="385"/>
      <c r="Y343" s="385"/>
      <c r="Z343" s="385"/>
      <c r="AA343" s="385"/>
      <c r="AB343" s="385"/>
      <c r="AC343" s="385"/>
      <c r="AD343" s="385"/>
      <c r="AE343" s="385"/>
      <c r="AF343" s="385"/>
      <c r="AG343" s="385"/>
      <c r="AH343" s="385"/>
      <c r="AI343" s="385"/>
      <c r="AJ343" s="385"/>
      <c r="AK343" s="385"/>
      <c r="AL343" s="385"/>
      <c r="AM343" s="385"/>
      <c r="AN343" s="385"/>
      <c r="AO343" s="385"/>
      <c r="AP343" s="385"/>
      <c r="AQ343" s="385"/>
      <c r="AR343" s="385"/>
      <c r="AS343" s="385"/>
      <c r="AT343" s="385"/>
      <c r="AU343" s="385"/>
      <c r="AV343" s="385"/>
      <c r="AW343" s="385"/>
      <c r="AX343" s="385"/>
      <c r="AY343" s="385"/>
    </row>
    <row r="344" spans="1:51" ht="18">
      <c r="A344" s="385"/>
      <c r="B344" s="391" t="str">
        <f>Input!AR342</f>
        <v/>
      </c>
      <c r="C344" s="391">
        <f>DailyMet!N325</f>
        <v>0.2</v>
      </c>
      <c r="D344" s="392">
        <f>Input!AS342</f>
        <v>0</v>
      </c>
      <c r="E344" s="392">
        <f>Input!E342</f>
        <v>321</v>
      </c>
      <c r="F344" s="393">
        <f>Input!B342</f>
        <v>38307</v>
      </c>
      <c r="G344" s="503">
        <f t="shared" si="11"/>
        <v>0</v>
      </c>
      <c r="H344" s="354"/>
      <c r="I344" s="392">
        <f t="shared" si="10"/>
        <v>0</v>
      </c>
      <c r="J344" s="385"/>
      <c r="K344" s="385"/>
      <c r="L344" s="385"/>
      <c r="M344" s="385"/>
      <c r="N344" s="385"/>
      <c r="O344" s="385"/>
      <c r="P344" s="385"/>
      <c r="Q344" s="385"/>
      <c r="R344" s="385"/>
      <c r="S344" s="385"/>
      <c r="T344" s="385"/>
      <c r="U344" s="385"/>
      <c r="V344" s="385"/>
      <c r="W344" s="385"/>
      <c r="X344" s="385"/>
      <c r="Y344" s="385"/>
      <c r="Z344" s="385"/>
      <c r="AA344" s="385"/>
      <c r="AB344" s="385"/>
      <c r="AC344" s="385"/>
      <c r="AD344" s="385"/>
      <c r="AE344" s="385"/>
      <c r="AF344" s="385"/>
      <c r="AG344" s="385"/>
      <c r="AH344" s="385"/>
      <c r="AI344" s="385"/>
      <c r="AJ344" s="385"/>
      <c r="AK344" s="385"/>
      <c r="AL344" s="385"/>
      <c r="AM344" s="385"/>
      <c r="AN344" s="385"/>
      <c r="AO344" s="385"/>
      <c r="AP344" s="385"/>
      <c r="AQ344" s="385"/>
      <c r="AR344" s="385"/>
      <c r="AS344" s="385"/>
      <c r="AT344" s="385"/>
      <c r="AU344" s="385"/>
      <c r="AV344" s="385"/>
      <c r="AW344" s="385"/>
      <c r="AX344" s="385"/>
      <c r="AY344" s="385"/>
    </row>
    <row r="345" spans="1:51" ht="18">
      <c r="A345" s="385"/>
      <c r="B345" s="391" t="str">
        <f>Input!AR343</f>
        <v/>
      </c>
      <c r="C345" s="391">
        <f>DailyMet!N326</f>
        <v>0</v>
      </c>
      <c r="D345" s="392">
        <f>Input!AS343</f>
        <v>0</v>
      </c>
      <c r="E345" s="392">
        <f>Input!E343</f>
        <v>322</v>
      </c>
      <c r="F345" s="393">
        <f>Input!B343</f>
        <v>38308</v>
      </c>
      <c r="G345" s="503">
        <f t="shared" si="11"/>
        <v>0</v>
      </c>
      <c r="H345" s="354"/>
      <c r="I345" s="392">
        <f t="shared" si="10"/>
        <v>0</v>
      </c>
      <c r="J345" s="385"/>
      <c r="K345" s="385"/>
      <c r="L345" s="385"/>
      <c r="M345" s="385"/>
      <c r="N345" s="385"/>
      <c r="O345" s="385"/>
      <c r="P345" s="385"/>
      <c r="Q345" s="385"/>
      <c r="R345" s="385"/>
      <c r="S345" s="385"/>
      <c r="T345" s="385"/>
      <c r="U345" s="385"/>
      <c r="V345" s="385"/>
      <c r="W345" s="385"/>
      <c r="X345" s="385"/>
      <c r="Y345" s="385"/>
      <c r="Z345" s="385"/>
      <c r="AA345" s="385"/>
      <c r="AB345" s="385"/>
      <c r="AC345" s="385"/>
      <c r="AD345" s="385"/>
      <c r="AE345" s="385"/>
      <c r="AF345" s="385"/>
      <c r="AG345" s="385"/>
      <c r="AH345" s="385"/>
      <c r="AI345" s="385"/>
      <c r="AJ345" s="385"/>
      <c r="AK345" s="385"/>
      <c r="AL345" s="385"/>
      <c r="AM345" s="385"/>
      <c r="AN345" s="385"/>
      <c r="AO345" s="385"/>
      <c r="AP345" s="385"/>
      <c r="AQ345" s="385"/>
      <c r="AR345" s="385"/>
      <c r="AS345" s="385"/>
      <c r="AT345" s="385"/>
      <c r="AU345" s="385"/>
      <c r="AV345" s="385"/>
      <c r="AW345" s="385"/>
      <c r="AX345" s="385"/>
      <c r="AY345" s="385"/>
    </row>
    <row r="346" spans="1:51" ht="18">
      <c r="A346" s="385"/>
      <c r="B346" s="391" t="str">
        <f>Input!AR344</f>
        <v/>
      </c>
      <c r="C346" s="391">
        <f>DailyMet!N327</f>
        <v>0</v>
      </c>
      <c r="D346" s="392">
        <f>Input!AS344</f>
        <v>0</v>
      </c>
      <c r="E346" s="392">
        <f>Input!E344</f>
        <v>323</v>
      </c>
      <c r="F346" s="393">
        <f>Input!B344</f>
        <v>38309</v>
      </c>
      <c r="G346" s="503">
        <f t="shared" si="11"/>
        <v>0</v>
      </c>
      <c r="H346" s="354"/>
      <c r="I346" s="392">
        <f t="shared" si="10"/>
        <v>0</v>
      </c>
      <c r="J346" s="385"/>
      <c r="K346" s="385"/>
      <c r="L346" s="385"/>
      <c r="M346" s="385"/>
      <c r="N346" s="385"/>
      <c r="O346" s="385"/>
      <c r="P346" s="385"/>
      <c r="Q346" s="385"/>
      <c r="R346" s="385"/>
      <c r="S346" s="385"/>
      <c r="T346" s="385"/>
      <c r="U346" s="385"/>
      <c r="V346" s="385"/>
      <c r="W346" s="385"/>
      <c r="X346" s="385"/>
      <c r="Y346" s="385"/>
      <c r="Z346" s="385"/>
      <c r="AA346" s="385"/>
      <c r="AB346" s="385"/>
      <c r="AC346" s="385"/>
      <c r="AD346" s="385"/>
      <c r="AE346" s="385"/>
      <c r="AF346" s="385"/>
      <c r="AG346" s="385"/>
      <c r="AH346" s="385"/>
      <c r="AI346" s="385"/>
      <c r="AJ346" s="385"/>
      <c r="AK346" s="385"/>
      <c r="AL346" s="385"/>
      <c r="AM346" s="385"/>
      <c r="AN346" s="385"/>
      <c r="AO346" s="385"/>
      <c r="AP346" s="385"/>
      <c r="AQ346" s="385"/>
      <c r="AR346" s="385"/>
      <c r="AS346" s="385"/>
      <c r="AT346" s="385"/>
      <c r="AU346" s="385"/>
      <c r="AV346" s="385"/>
      <c r="AW346" s="385"/>
      <c r="AX346" s="385"/>
      <c r="AY346" s="385"/>
    </row>
    <row r="347" spans="1:51" ht="18">
      <c r="A347" s="385"/>
      <c r="B347" s="391" t="str">
        <f>Input!AR345</f>
        <v/>
      </c>
      <c r="C347" s="391">
        <f>DailyMet!N328</f>
        <v>4.4000000000000004</v>
      </c>
      <c r="D347" s="392">
        <f>Input!AS345</f>
        <v>0</v>
      </c>
      <c r="E347" s="392">
        <f>Input!E345</f>
        <v>324</v>
      </c>
      <c r="F347" s="393">
        <f>Input!B345</f>
        <v>38310</v>
      </c>
      <c r="G347" s="503">
        <f t="shared" si="11"/>
        <v>0</v>
      </c>
      <c r="H347" s="354"/>
      <c r="I347" s="392">
        <f t="shared" si="10"/>
        <v>0</v>
      </c>
      <c r="J347" s="385"/>
      <c r="K347" s="385"/>
      <c r="L347" s="385"/>
      <c r="M347" s="385"/>
      <c r="N347" s="385"/>
      <c r="O347" s="385"/>
      <c r="P347" s="385"/>
      <c r="Q347" s="385"/>
      <c r="R347" s="385"/>
      <c r="S347" s="385"/>
      <c r="T347" s="385"/>
      <c r="U347" s="385"/>
      <c r="V347" s="385"/>
      <c r="W347" s="385"/>
      <c r="X347" s="385"/>
      <c r="Y347" s="385"/>
      <c r="Z347" s="385"/>
      <c r="AA347" s="385"/>
      <c r="AB347" s="385"/>
      <c r="AC347" s="385"/>
      <c r="AD347" s="385"/>
      <c r="AE347" s="385"/>
      <c r="AF347" s="385"/>
      <c r="AG347" s="385"/>
      <c r="AH347" s="385"/>
      <c r="AI347" s="385"/>
      <c r="AJ347" s="385"/>
      <c r="AK347" s="385"/>
      <c r="AL347" s="385"/>
      <c r="AM347" s="385"/>
      <c r="AN347" s="385"/>
      <c r="AO347" s="385"/>
      <c r="AP347" s="385"/>
      <c r="AQ347" s="385"/>
      <c r="AR347" s="385"/>
      <c r="AS347" s="385"/>
      <c r="AT347" s="385"/>
      <c r="AU347" s="385"/>
      <c r="AV347" s="385"/>
      <c r="AW347" s="385"/>
      <c r="AX347" s="385"/>
      <c r="AY347" s="385"/>
    </row>
    <row r="348" spans="1:51" ht="18">
      <c r="A348" s="385"/>
      <c r="B348" s="391" t="str">
        <f>Input!AR346</f>
        <v/>
      </c>
      <c r="C348" s="391">
        <f>DailyMet!N329</f>
        <v>0</v>
      </c>
      <c r="D348" s="392">
        <f>Input!AS346</f>
        <v>0</v>
      </c>
      <c r="E348" s="392">
        <f>Input!E346</f>
        <v>325</v>
      </c>
      <c r="F348" s="393">
        <f>Input!B346</f>
        <v>38311</v>
      </c>
      <c r="G348" s="503">
        <f t="shared" si="11"/>
        <v>0</v>
      </c>
      <c r="H348" s="354"/>
      <c r="I348" s="392">
        <f t="shared" si="10"/>
        <v>0</v>
      </c>
      <c r="J348" s="385"/>
      <c r="K348" s="385"/>
      <c r="L348" s="385"/>
      <c r="M348" s="385"/>
      <c r="N348" s="385"/>
      <c r="O348" s="385"/>
      <c r="P348" s="385"/>
      <c r="Q348" s="385"/>
      <c r="R348" s="385"/>
      <c r="S348" s="385"/>
      <c r="T348" s="385"/>
      <c r="U348" s="385"/>
      <c r="V348" s="385"/>
      <c r="W348" s="385"/>
      <c r="X348" s="385"/>
      <c r="Y348" s="385"/>
      <c r="Z348" s="385"/>
      <c r="AA348" s="385"/>
      <c r="AB348" s="385"/>
      <c r="AC348" s="385"/>
      <c r="AD348" s="385"/>
      <c r="AE348" s="385"/>
      <c r="AF348" s="385"/>
      <c r="AG348" s="385"/>
      <c r="AH348" s="385"/>
      <c r="AI348" s="385"/>
      <c r="AJ348" s="385"/>
      <c r="AK348" s="385"/>
      <c r="AL348" s="385"/>
      <c r="AM348" s="385"/>
      <c r="AN348" s="385"/>
      <c r="AO348" s="385"/>
      <c r="AP348" s="385"/>
      <c r="AQ348" s="385"/>
      <c r="AR348" s="385"/>
      <c r="AS348" s="385"/>
      <c r="AT348" s="385"/>
      <c r="AU348" s="385"/>
      <c r="AV348" s="385"/>
      <c r="AW348" s="385"/>
      <c r="AX348" s="385"/>
      <c r="AY348" s="385"/>
    </row>
    <row r="349" spans="1:51" ht="18">
      <c r="A349" s="385"/>
      <c r="B349" s="391" t="str">
        <f>Input!AR347</f>
        <v/>
      </c>
      <c r="C349" s="391">
        <f>DailyMet!N330</f>
        <v>0.2</v>
      </c>
      <c r="D349" s="392">
        <f>Input!AS347</f>
        <v>0</v>
      </c>
      <c r="E349" s="392">
        <f>Input!E347</f>
        <v>326</v>
      </c>
      <c r="F349" s="393">
        <f>Input!B347</f>
        <v>38312</v>
      </c>
      <c r="G349" s="503">
        <f t="shared" si="11"/>
        <v>0</v>
      </c>
      <c r="H349" s="354"/>
      <c r="I349" s="392">
        <f t="shared" si="10"/>
        <v>0</v>
      </c>
      <c r="J349" s="385"/>
      <c r="K349" s="385"/>
      <c r="L349" s="385"/>
      <c r="M349" s="385"/>
      <c r="N349" s="385"/>
      <c r="O349" s="385"/>
      <c r="P349" s="385"/>
      <c r="Q349" s="385"/>
      <c r="R349" s="385"/>
      <c r="S349" s="385"/>
      <c r="T349" s="385"/>
      <c r="U349" s="385"/>
      <c r="V349" s="385"/>
      <c r="W349" s="385"/>
      <c r="X349" s="385"/>
      <c r="Y349" s="385"/>
      <c r="Z349" s="385"/>
      <c r="AA349" s="385"/>
      <c r="AB349" s="385"/>
      <c r="AC349" s="385"/>
      <c r="AD349" s="385"/>
      <c r="AE349" s="385"/>
      <c r="AF349" s="385"/>
      <c r="AG349" s="385"/>
      <c r="AH349" s="385"/>
      <c r="AI349" s="385"/>
      <c r="AJ349" s="385"/>
      <c r="AK349" s="385"/>
      <c r="AL349" s="385"/>
      <c r="AM349" s="385"/>
      <c r="AN349" s="385"/>
      <c r="AO349" s="385"/>
      <c r="AP349" s="385"/>
      <c r="AQ349" s="385"/>
      <c r="AR349" s="385"/>
      <c r="AS349" s="385"/>
      <c r="AT349" s="385"/>
      <c r="AU349" s="385"/>
      <c r="AV349" s="385"/>
      <c r="AW349" s="385"/>
      <c r="AX349" s="385"/>
      <c r="AY349" s="385"/>
    </row>
    <row r="350" spans="1:51" ht="18">
      <c r="A350" s="385"/>
      <c r="B350" s="391" t="str">
        <f>Input!AR348</f>
        <v/>
      </c>
      <c r="C350" s="391">
        <f>DailyMet!N331</f>
        <v>0.2</v>
      </c>
      <c r="D350" s="392">
        <f>Input!AS348</f>
        <v>0</v>
      </c>
      <c r="E350" s="392">
        <f>Input!E348</f>
        <v>327</v>
      </c>
      <c r="F350" s="393">
        <f>Input!B348</f>
        <v>38313</v>
      </c>
      <c r="G350" s="503">
        <f t="shared" si="11"/>
        <v>0</v>
      </c>
      <c r="H350" s="354"/>
      <c r="I350" s="392">
        <f t="shared" si="10"/>
        <v>0</v>
      </c>
      <c r="J350" s="385"/>
      <c r="K350" s="385"/>
      <c r="L350" s="385"/>
      <c r="M350" s="385"/>
      <c r="N350" s="385"/>
      <c r="O350" s="385"/>
      <c r="P350" s="385"/>
      <c r="Q350" s="385"/>
      <c r="R350" s="385"/>
      <c r="S350" s="385"/>
      <c r="T350" s="385"/>
      <c r="U350" s="385"/>
      <c r="V350" s="385"/>
      <c r="W350" s="385"/>
      <c r="X350" s="385"/>
      <c r="Y350" s="385"/>
      <c r="Z350" s="385"/>
      <c r="AA350" s="385"/>
      <c r="AB350" s="385"/>
      <c r="AC350" s="385"/>
      <c r="AD350" s="385"/>
      <c r="AE350" s="385"/>
      <c r="AF350" s="385"/>
      <c r="AG350" s="385"/>
      <c r="AH350" s="385"/>
      <c r="AI350" s="385"/>
      <c r="AJ350" s="385"/>
      <c r="AK350" s="385"/>
      <c r="AL350" s="385"/>
      <c r="AM350" s="385"/>
      <c r="AN350" s="385"/>
      <c r="AO350" s="385"/>
      <c r="AP350" s="385"/>
      <c r="AQ350" s="385"/>
      <c r="AR350" s="385"/>
      <c r="AS350" s="385"/>
      <c r="AT350" s="385"/>
      <c r="AU350" s="385"/>
      <c r="AV350" s="385"/>
      <c r="AW350" s="385"/>
      <c r="AX350" s="385"/>
      <c r="AY350" s="385"/>
    </row>
    <row r="351" spans="1:51" ht="18">
      <c r="A351" s="385"/>
      <c r="B351" s="391" t="str">
        <f>Input!AR349</f>
        <v/>
      </c>
      <c r="C351" s="391">
        <f>DailyMet!N332</f>
        <v>5.4</v>
      </c>
      <c r="D351" s="392">
        <f>Input!AS349</f>
        <v>0</v>
      </c>
      <c r="E351" s="392">
        <f>Input!E349</f>
        <v>328</v>
      </c>
      <c r="F351" s="393">
        <f>Input!B349</f>
        <v>38314</v>
      </c>
      <c r="G351" s="503">
        <f t="shared" si="11"/>
        <v>0</v>
      </c>
      <c r="H351" s="354"/>
      <c r="I351" s="392">
        <f t="shared" ref="I351:I414" si="12">IF(B351="",0,IF(D351-D350&lt;0,0,IF(I350+H351+C351&lt;0,0,I350+H351+C351)))</f>
        <v>0</v>
      </c>
      <c r="J351" s="385"/>
      <c r="K351" s="385"/>
      <c r="L351" s="385"/>
      <c r="M351" s="385"/>
      <c r="N351" s="385"/>
      <c r="O351" s="385"/>
      <c r="P351" s="385"/>
      <c r="Q351" s="385"/>
      <c r="R351" s="385"/>
      <c r="S351" s="385"/>
      <c r="T351" s="385"/>
      <c r="U351" s="385"/>
      <c r="V351" s="385"/>
      <c r="W351" s="385"/>
      <c r="X351" s="385"/>
      <c r="Y351" s="385"/>
      <c r="Z351" s="385"/>
      <c r="AA351" s="385"/>
      <c r="AB351" s="385"/>
      <c r="AC351" s="385"/>
      <c r="AD351" s="385"/>
      <c r="AE351" s="385"/>
      <c r="AF351" s="385"/>
      <c r="AG351" s="385"/>
      <c r="AH351" s="385"/>
      <c r="AI351" s="385"/>
      <c r="AJ351" s="385"/>
      <c r="AK351" s="385"/>
      <c r="AL351" s="385"/>
      <c r="AM351" s="385"/>
      <c r="AN351" s="385"/>
      <c r="AO351" s="385"/>
      <c r="AP351" s="385"/>
      <c r="AQ351" s="385"/>
      <c r="AR351" s="385"/>
      <c r="AS351" s="385"/>
      <c r="AT351" s="385"/>
      <c r="AU351" s="385"/>
      <c r="AV351" s="385"/>
      <c r="AW351" s="385"/>
      <c r="AX351" s="385"/>
      <c r="AY351" s="385"/>
    </row>
    <row r="352" spans="1:51" ht="18">
      <c r="A352" s="385"/>
      <c r="B352" s="391" t="str">
        <f>Input!AR350</f>
        <v/>
      </c>
      <c r="C352" s="391">
        <f>DailyMet!N333</f>
        <v>0</v>
      </c>
      <c r="D352" s="392">
        <f>Input!AS350</f>
        <v>0</v>
      </c>
      <c r="E352" s="392">
        <f>Input!E350</f>
        <v>329</v>
      </c>
      <c r="F352" s="393">
        <f>Input!B350</f>
        <v>38315</v>
      </c>
      <c r="G352" s="503">
        <f t="shared" si="11"/>
        <v>0</v>
      </c>
      <c r="H352" s="354"/>
      <c r="I352" s="392">
        <f t="shared" si="12"/>
        <v>0</v>
      </c>
      <c r="J352" s="385"/>
      <c r="K352" s="385"/>
      <c r="L352" s="385"/>
      <c r="M352" s="385"/>
      <c r="N352" s="385"/>
      <c r="O352" s="385"/>
      <c r="P352" s="385"/>
      <c r="Q352" s="385"/>
      <c r="R352" s="385"/>
      <c r="S352" s="385"/>
      <c r="T352" s="385"/>
      <c r="U352" s="385"/>
      <c r="V352" s="385"/>
      <c r="W352" s="385"/>
      <c r="X352" s="385"/>
      <c r="Y352" s="385"/>
      <c r="Z352" s="385"/>
      <c r="AA352" s="385"/>
      <c r="AB352" s="385"/>
      <c r="AC352" s="385"/>
      <c r="AD352" s="385"/>
      <c r="AE352" s="385"/>
      <c r="AF352" s="385"/>
      <c r="AG352" s="385"/>
      <c r="AH352" s="385"/>
      <c r="AI352" s="385"/>
      <c r="AJ352" s="385"/>
      <c r="AK352" s="385"/>
      <c r="AL352" s="385"/>
      <c r="AM352" s="385"/>
      <c r="AN352" s="385"/>
      <c r="AO352" s="385"/>
      <c r="AP352" s="385"/>
      <c r="AQ352" s="385"/>
      <c r="AR352" s="385"/>
      <c r="AS352" s="385"/>
      <c r="AT352" s="385"/>
      <c r="AU352" s="385"/>
      <c r="AV352" s="385"/>
      <c r="AW352" s="385"/>
      <c r="AX352" s="385"/>
      <c r="AY352" s="385"/>
    </row>
    <row r="353" spans="1:51" ht="18">
      <c r="A353" s="385"/>
      <c r="B353" s="391" t="str">
        <f>Input!AR351</f>
        <v/>
      </c>
      <c r="C353" s="391">
        <f>DailyMet!N334</f>
        <v>0</v>
      </c>
      <c r="D353" s="392">
        <f>Input!AS351</f>
        <v>0</v>
      </c>
      <c r="E353" s="392">
        <f>Input!E351</f>
        <v>330</v>
      </c>
      <c r="F353" s="393">
        <f>Input!B351</f>
        <v>38316</v>
      </c>
      <c r="G353" s="503">
        <f t="shared" si="11"/>
        <v>0</v>
      </c>
      <c r="H353" s="354"/>
      <c r="I353" s="392">
        <f t="shared" si="12"/>
        <v>0</v>
      </c>
      <c r="J353" s="385"/>
      <c r="K353" s="385"/>
      <c r="L353" s="385"/>
      <c r="M353" s="385"/>
      <c r="N353" s="385"/>
      <c r="O353" s="385"/>
      <c r="P353" s="385"/>
      <c r="Q353" s="385"/>
      <c r="R353" s="385"/>
      <c r="S353" s="385"/>
      <c r="T353" s="385"/>
      <c r="U353" s="385"/>
      <c r="V353" s="385"/>
      <c r="W353" s="385"/>
      <c r="X353" s="385"/>
      <c r="Y353" s="385"/>
      <c r="Z353" s="385"/>
      <c r="AA353" s="385"/>
      <c r="AB353" s="385"/>
      <c r="AC353" s="385"/>
      <c r="AD353" s="385"/>
      <c r="AE353" s="385"/>
      <c r="AF353" s="385"/>
      <c r="AG353" s="385"/>
      <c r="AH353" s="385"/>
      <c r="AI353" s="385"/>
      <c r="AJ353" s="385"/>
      <c r="AK353" s="385"/>
      <c r="AL353" s="385"/>
      <c r="AM353" s="385"/>
      <c r="AN353" s="385"/>
      <c r="AO353" s="385"/>
      <c r="AP353" s="385"/>
      <c r="AQ353" s="385"/>
      <c r="AR353" s="385"/>
      <c r="AS353" s="385"/>
      <c r="AT353" s="385"/>
      <c r="AU353" s="385"/>
      <c r="AV353" s="385"/>
      <c r="AW353" s="385"/>
      <c r="AX353" s="385"/>
      <c r="AY353" s="385"/>
    </row>
    <row r="354" spans="1:51" ht="18">
      <c r="A354" s="385"/>
      <c r="B354" s="391" t="str">
        <f>Input!AR352</f>
        <v/>
      </c>
      <c r="C354" s="391">
        <f>DailyMet!N335</f>
        <v>0</v>
      </c>
      <c r="D354" s="392">
        <f>Input!AS352</f>
        <v>0</v>
      </c>
      <c r="E354" s="392">
        <f>Input!E352</f>
        <v>331</v>
      </c>
      <c r="F354" s="393">
        <f>Input!B352</f>
        <v>38317</v>
      </c>
      <c r="G354" s="503">
        <f t="shared" si="11"/>
        <v>0</v>
      </c>
      <c r="H354" s="354"/>
      <c r="I354" s="392">
        <f t="shared" si="12"/>
        <v>0</v>
      </c>
      <c r="J354" s="385"/>
      <c r="K354" s="385"/>
      <c r="L354" s="385"/>
      <c r="M354" s="385"/>
      <c r="N354" s="385"/>
      <c r="O354" s="385"/>
      <c r="P354" s="385"/>
      <c r="Q354" s="385"/>
      <c r="R354" s="385"/>
      <c r="S354" s="385"/>
      <c r="T354" s="385"/>
      <c r="U354" s="385"/>
      <c r="V354" s="385"/>
      <c r="W354" s="385"/>
      <c r="X354" s="385"/>
      <c r="Y354" s="385"/>
      <c r="Z354" s="385"/>
      <c r="AA354" s="385"/>
      <c r="AB354" s="385"/>
      <c r="AC354" s="385"/>
      <c r="AD354" s="385"/>
      <c r="AE354" s="385"/>
      <c r="AF354" s="385"/>
      <c r="AG354" s="385"/>
      <c r="AH354" s="385"/>
      <c r="AI354" s="385"/>
      <c r="AJ354" s="385"/>
      <c r="AK354" s="385"/>
      <c r="AL354" s="385"/>
      <c r="AM354" s="385"/>
      <c r="AN354" s="385"/>
      <c r="AO354" s="385"/>
      <c r="AP354" s="385"/>
      <c r="AQ354" s="385"/>
      <c r="AR354" s="385"/>
      <c r="AS354" s="385"/>
      <c r="AT354" s="385"/>
      <c r="AU354" s="385"/>
      <c r="AV354" s="385"/>
      <c r="AW354" s="385"/>
      <c r="AX354" s="385"/>
      <c r="AY354" s="385"/>
    </row>
    <row r="355" spans="1:51" ht="18">
      <c r="A355" s="385"/>
      <c r="B355" s="391" t="str">
        <f>Input!AR353</f>
        <v/>
      </c>
      <c r="C355" s="391">
        <f>DailyMet!N336</f>
        <v>14.8</v>
      </c>
      <c r="D355" s="392">
        <f>Input!AS353</f>
        <v>0</v>
      </c>
      <c r="E355" s="392">
        <f>Input!E353</f>
        <v>332</v>
      </c>
      <c r="F355" s="393">
        <f>Input!B353</f>
        <v>38318</v>
      </c>
      <c r="G355" s="503">
        <f t="shared" si="11"/>
        <v>0</v>
      </c>
      <c r="H355" s="354"/>
      <c r="I355" s="392">
        <f t="shared" si="12"/>
        <v>0</v>
      </c>
      <c r="J355" s="385"/>
      <c r="K355" s="385"/>
      <c r="L355" s="385"/>
      <c r="M355" s="385"/>
      <c r="N355" s="385"/>
      <c r="O355" s="385"/>
      <c r="P355" s="385"/>
      <c r="Q355" s="385"/>
      <c r="R355" s="385"/>
      <c r="S355" s="385"/>
      <c r="T355" s="385"/>
      <c r="U355" s="385"/>
      <c r="V355" s="385"/>
      <c r="W355" s="385"/>
      <c r="X355" s="385"/>
      <c r="Y355" s="385"/>
      <c r="Z355" s="385"/>
      <c r="AA355" s="385"/>
      <c r="AB355" s="385"/>
      <c r="AC355" s="385"/>
      <c r="AD355" s="385"/>
      <c r="AE355" s="385"/>
      <c r="AF355" s="385"/>
      <c r="AG355" s="385"/>
      <c r="AH355" s="385"/>
      <c r="AI355" s="385"/>
      <c r="AJ355" s="385"/>
      <c r="AK355" s="385"/>
      <c r="AL355" s="385"/>
      <c r="AM355" s="385"/>
      <c r="AN355" s="385"/>
      <c r="AO355" s="385"/>
      <c r="AP355" s="385"/>
      <c r="AQ355" s="385"/>
      <c r="AR355" s="385"/>
      <c r="AS355" s="385"/>
      <c r="AT355" s="385"/>
      <c r="AU355" s="385"/>
      <c r="AV355" s="385"/>
      <c r="AW355" s="385"/>
      <c r="AX355" s="385"/>
      <c r="AY355" s="385"/>
    </row>
    <row r="356" spans="1:51" ht="18">
      <c r="A356" s="385"/>
      <c r="B356" s="391" t="str">
        <f>Input!AR354</f>
        <v/>
      </c>
      <c r="C356" s="391">
        <f>DailyMet!N337</f>
        <v>29.4</v>
      </c>
      <c r="D356" s="392">
        <f>Input!AS354</f>
        <v>0</v>
      </c>
      <c r="E356" s="392">
        <f>Input!E354</f>
        <v>333</v>
      </c>
      <c r="F356" s="393">
        <f>Input!B354</f>
        <v>38319</v>
      </c>
      <c r="G356" s="503">
        <f t="shared" si="11"/>
        <v>0</v>
      </c>
      <c r="H356" s="354"/>
      <c r="I356" s="392">
        <f t="shared" si="12"/>
        <v>0</v>
      </c>
      <c r="J356" s="385"/>
      <c r="K356" s="385"/>
      <c r="L356" s="385"/>
      <c r="M356" s="385"/>
      <c r="N356" s="385"/>
      <c r="O356" s="385"/>
      <c r="P356" s="385"/>
      <c r="Q356" s="385"/>
      <c r="R356" s="385"/>
      <c r="S356" s="385"/>
      <c r="T356" s="385"/>
      <c r="U356" s="385"/>
      <c r="V356" s="385"/>
      <c r="W356" s="385"/>
      <c r="X356" s="385"/>
      <c r="Y356" s="385"/>
      <c r="Z356" s="385"/>
      <c r="AA356" s="385"/>
      <c r="AB356" s="385"/>
      <c r="AC356" s="385"/>
      <c r="AD356" s="385"/>
      <c r="AE356" s="385"/>
      <c r="AF356" s="385"/>
      <c r="AG356" s="385"/>
      <c r="AH356" s="385"/>
      <c r="AI356" s="385"/>
      <c r="AJ356" s="385"/>
      <c r="AK356" s="385"/>
      <c r="AL356" s="385"/>
      <c r="AM356" s="385"/>
      <c r="AN356" s="385"/>
      <c r="AO356" s="385"/>
      <c r="AP356" s="385"/>
      <c r="AQ356" s="385"/>
      <c r="AR356" s="385"/>
      <c r="AS356" s="385"/>
      <c r="AT356" s="385"/>
      <c r="AU356" s="385"/>
      <c r="AV356" s="385"/>
      <c r="AW356" s="385"/>
      <c r="AX356" s="385"/>
      <c r="AY356" s="385"/>
    </row>
    <row r="357" spans="1:51" ht="18">
      <c r="A357" s="385"/>
      <c r="B357" s="391" t="str">
        <f>Input!AR355</f>
        <v/>
      </c>
      <c r="C357" s="391">
        <f>DailyMet!N338</f>
        <v>0</v>
      </c>
      <c r="D357" s="392">
        <f>Input!AS355</f>
        <v>0</v>
      </c>
      <c r="E357" s="392">
        <f>Input!E355</f>
        <v>334</v>
      </c>
      <c r="F357" s="393">
        <f>Input!B355</f>
        <v>38320</v>
      </c>
      <c r="G357" s="503">
        <f t="shared" si="11"/>
        <v>0</v>
      </c>
      <c r="H357" s="354"/>
      <c r="I357" s="392">
        <f t="shared" si="12"/>
        <v>0</v>
      </c>
      <c r="J357" s="385"/>
      <c r="K357" s="385"/>
      <c r="L357" s="385"/>
      <c r="M357" s="385"/>
      <c r="N357" s="385"/>
      <c r="O357" s="385"/>
      <c r="P357" s="385"/>
      <c r="Q357" s="385"/>
      <c r="R357" s="385"/>
      <c r="S357" s="385"/>
      <c r="T357" s="385"/>
      <c r="U357" s="385"/>
      <c r="V357" s="385"/>
      <c r="W357" s="385"/>
      <c r="X357" s="385"/>
      <c r="Y357" s="385"/>
      <c r="Z357" s="385"/>
      <c r="AA357" s="385"/>
      <c r="AB357" s="385"/>
      <c r="AC357" s="385"/>
      <c r="AD357" s="385"/>
      <c r="AE357" s="385"/>
      <c r="AF357" s="385"/>
      <c r="AG357" s="385"/>
      <c r="AH357" s="385"/>
      <c r="AI357" s="385"/>
      <c r="AJ357" s="385"/>
      <c r="AK357" s="385"/>
      <c r="AL357" s="385"/>
      <c r="AM357" s="385"/>
      <c r="AN357" s="385"/>
      <c r="AO357" s="385"/>
      <c r="AP357" s="385"/>
      <c r="AQ357" s="385"/>
      <c r="AR357" s="385"/>
      <c r="AS357" s="385"/>
      <c r="AT357" s="385"/>
      <c r="AU357" s="385"/>
      <c r="AV357" s="385"/>
      <c r="AW357" s="385"/>
      <c r="AX357" s="385"/>
      <c r="AY357" s="385"/>
    </row>
    <row r="358" spans="1:51" ht="18">
      <c r="A358" s="385"/>
      <c r="B358" s="391" t="str">
        <f>Input!AR356</f>
        <v/>
      </c>
      <c r="C358" s="391">
        <f>DailyMet!N339</f>
        <v>6.8</v>
      </c>
      <c r="D358" s="392">
        <f>Input!AS356</f>
        <v>0</v>
      </c>
      <c r="E358" s="392">
        <f>Input!E356</f>
        <v>335</v>
      </c>
      <c r="F358" s="393">
        <f>Input!B356</f>
        <v>38321</v>
      </c>
      <c r="G358" s="503">
        <f t="shared" si="11"/>
        <v>0</v>
      </c>
      <c r="H358" s="354"/>
      <c r="I358" s="392">
        <f t="shared" si="12"/>
        <v>0</v>
      </c>
      <c r="J358" s="385"/>
      <c r="K358" s="385"/>
      <c r="L358" s="385"/>
      <c r="M358" s="385"/>
      <c r="N358" s="385"/>
      <c r="O358" s="385"/>
      <c r="P358" s="385"/>
      <c r="Q358" s="385"/>
      <c r="R358" s="385"/>
      <c r="S358" s="385"/>
      <c r="T358" s="385"/>
      <c r="U358" s="385"/>
      <c r="V358" s="385"/>
      <c r="W358" s="385"/>
      <c r="X358" s="385"/>
      <c r="Y358" s="385"/>
      <c r="Z358" s="385"/>
      <c r="AA358" s="385"/>
      <c r="AB358" s="385"/>
      <c r="AC358" s="385"/>
      <c r="AD358" s="385"/>
      <c r="AE358" s="385"/>
      <c r="AF358" s="385"/>
      <c r="AG358" s="385"/>
      <c r="AH358" s="385"/>
      <c r="AI358" s="385"/>
      <c r="AJ358" s="385"/>
      <c r="AK358" s="385"/>
      <c r="AL358" s="385"/>
      <c r="AM358" s="385"/>
      <c r="AN358" s="385"/>
      <c r="AO358" s="385"/>
      <c r="AP358" s="385"/>
      <c r="AQ358" s="385"/>
      <c r="AR358" s="385"/>
      <c r="AS358" s="385"/>
      <c r="AT358" s="385"/>
      <c r="AU358" s="385"/>
      <c r="AV358" s="385"/>
      <c r="AW358" s="385"/>
      <c r="AX358" s="385"/>
      <c r="AY358" s="385"/>
    </row>
    <row r="359" spans="1:51" ht="18">
      <c r="A359" s="385"/>
      <c r="B359" s="391" t="str">
        <f>Input!AR357</f>
        <v/>
      </c>
      <c r="C359" s="391">
        <f>DailyMet!N340</f>
        <v>6</v>
      </c>
      <c r="D359" s="392">
        <f>Input!AS357</f>
        <v>0</v>
      </c>
      <c r="E359" s="392">
        <f>Input!E357</f>
        <v>336</v>
      </c>
      <c r="F359" s="393">
        <f>Input!B357</f>
        <v>38322</v>
      </c>
      <c r="G359" s="503">
        <f t="shared" si="11"/>
        <v>0</v>
      </c>
      <c r="H359" s="354"/>
      <c r="I359" s="392">
        <f t="shared" si="12"/>
        <v>0</v>
      </c>
      <c r="J359" s="385"/>
      <c r="K359" s="385"/>
      <c r="L359" s="385"/>
      <c r="M359" s="385"/>
      <c r="N359" s="385"/>
      <c r="O359" s="385"/>
      <c r="P359" s="385"/>
      <c r="Q359" s="385"/>
      <c r="R359" s="385"/>
      <c r="S359" s="385"/>
      <c r="T359" s="385"/>
      <c r="U359" s="385"/>
      <c r="V359" s="385"/>
      <c r="W359" s="385"/>
      <c r="X359" s="385"/>
      <c r="Y359" s="385"/>
      <c r="Z359" s="385"/>
      <c r="AA359" s="385"/>
      <c r="AB359" s="385"/>
      <c r="AC359" s="385"/>
      <c r="AD359" s="385"/>
      <c r="AE359" s="385"/>
      <c r="AF359" s="385"/>
      <c r="AG359" s="385"/>
      <c r="AH359" s="385"/>
      <c r="AI359" s="385"/>
      <c r="AJ359" s="385"/>
      <c r="AK359" s="385"/>
      <c r="AL359" s="385"/>
      <c r="AM359" s="385"/>
      <c r="AN359" s="385"/>
      <c r="AO359" s="385"/>
      <c r="AP359" s="385"/>
      <c r="AQ359" s="385"/>
      <c r="AR359" s="385"/>
      <c r="AS359" s="385"/>
      <c r="AT359" s="385"/>
      <c r="AU359" s="385"/>
      <c r="AV359" s="385"/>
      <c r="AW359" s="385"/>
      <c r="AX359" s="385"/>
      <c r="AY359" s="385"/>
    </row>
    <row r="360" spans="1:51" ht="18">
      <c r="A360" s="385"/>
      <c r="B360" s="391" t="str">
        <f>Input!AR358</f>
        <v/>
      </c>
      <c r="C360" s="391">
        <f>DailyMet!N341</f>
        <v>1.8</v>
      </c>
      <c r="D360" s="392">
        <f>Input!AS358</f>
        <v>0</v>
      </c>
      <c r="E360" s="392">
        <f>Input!E358</f>
        <v>337</v>
      </c>
      <c r="F360" s="393">
        <f>Input!B358</f>
        <v>38323</v>
      </c>
      <c r="G360" s="503">
        <f t="shared" si="11"/>
        <v>0</v>
      </c>
      <c r="H360" s="354"/>
      <c r="I360" s="392">
        <f t="shared" si="12"/>
        <v>0</v>
      </c>
      <c r="J360" s="385"/>
      <c r="K360" s="385"/>
      <c r="L360" s="385"/>
      <c r="M360" s="385"/>
      <c r="N360" s="385"/>
      <c r="O360" s="385"/>
      <c r="P360" s="385"/>
      <c r="Q360" s="385"/>
      <c r="R360" s="385"/>
      <c r="S360" s="385"/>
      <c r="T360" s="385"/>
      <c r="U360" s="385"/>
      <c r="V360" s="385"/>
      <c r="W360" s="385"/>
      <c r="X360" s="385"/>
      <c r="Y360" s="385"/>
      <c r="Z360" s="385"/>
      <c r="AA360" s="385"/>
      <c r="AB360" s="385"/>
      <c r="AC360" s="385"/>
      <c r="AD360" s="385"/>
      <c r="AE360" s="385"/>
      <c r="AF360" s="385"/>
      <c r="AG360" s="385"/>
      <c r="AH360" s="385"/>
      <c r="AI360" s="385"/>
      <c r="AJ360" s="385"/>
      <c r="AK360" s="385"/>
      <c r="AL360" s="385"/>
      <c r="AM360" s="385"/>
      <c r="AN360" s="385"/>
      <c r="AO360" s="385"/>
      <c r="AP360" s="385"/>
      <c r="AQ360" s="385"/>
      <c r="AR360" s="385"/>
      <c r="AS360" s="385"/>
      <c r="AT360" s="385"/>
      <c r="AU360" s="385"/>
      <c r="AV360" s="385"/>
      <c r="AW360" s="385"/>
      <c r="AX360" s="385"/>
      <c r="AY360" s="385"/>
    </row>
    <row r="361" spans="1:51" ht="18">
      <c r="A361" s="385"/>
      <c r="B361" s="391" t="str">
        <f>Input!AR359</f>
        <v/>
      </c>
      <c r="C361" s="391">
        <f>DailyMet!N342</f>
        <v>0.2</v>
      </c>
      <c r="D361" s="392">
        <f>Input!AS359</f>
        <v>0</v>
      </c>
      <c r="E361" s="392">
        <f>Input!E359</f>
        <v>338</v>
      </c>
      <c r="F361" s="393">
        <f>Input!B359</f>
        <v>38324</v>
      </c>
      <c r="G361" s="503">
        <f t="shared" si="11"/>
        <v>0</v>
      </c>
      <c r="H361" s="354"/>
      <c r="I361" s="392">
        <f t="shared" si="12"/>
        <v>0</v>
      </c>
      <c r="J361" s="385"/>
      <c r="K361" s="385"/>
      <c r="L361" s="385"/>
      <c r="M361" s="385"/>
      <c r="N361" s="385"/>
      <c r="O361" s="385"/>
      <c r="P361" s="385"/>
      <c r="Q361" s="385"/>
      <c r="R361" s="385"/>
      <c r="S361" s="385"/>
      <c r="T361" s="385"/>
      <c r="U361" s="385"/>
      <c r="V361" s="385"/>
      <c r="W361" s="385"/>
      <c r="X361" s="385"/>
      <c r="Y361" s="385"/>
      <c r="Z361" s="385"/>
      <c r="AA361" s="385"/>
      <c r="AB361" s="385"/>
      <c r="AC361" s="385"/>
      <c r="AD361" s="385"/>
      <c r="AE361" s="385"/>
      <c r="AF361" s="385"/>
      <c r="AG361" s="385"/>
      <c r="AH361" s="385"/>
      <c r="AI361" s="385"/>
      <c r="AJ361" s="385"/>
      <c r="AK361" s="385"/>
      <c r="AL361" s="385"/>
      <c r="AM361" s="385"/>
      <c r="AN361" s="385"/>
      <c r="AO361" s="385"/>
      <c r="AP361" s="385"/>
      <c r="AQ361" s="385"/>
      <c r="AR361" s="385"/>
      <c r="AS361" s="385"/>
      <c r="AT361" s="385"/>
      <c r="AU361" s="385"/>
      <c r="AV361" s="385"/>
      <c r="AW361" s="385"/>
      <c r="AX361" s="385"/>
      <c r="AY361" s="385"/>
    </row>
    <row r="362" spans="1:51" ht="18">
      <c r="A362" s="385"/>
      <c r="B362" s="391" t="str">
        <f>Input!AR360</f>
        <v/>
      </c>
      <c r="C362" s="391">
        <f>DailyMet!N343</f>
        <v>1.6</v>
      </c>
      <c r="D362" s="392">
        <f>Input!AS360</f>
        <v>0</v>
      </c>
      <c r="E362" s="392">
        <f>Input!E360</f>
        <v>339</v>
      </c>
      <c r="F362" s="393">
        <f>Input!B360</f>
        <v>38325</v>
      </c>
      <c r="G362" s="503">
        <f t="shared" si="11"/>
        <v>0</v>
      </c>
      <c r="H362" s="354"/>
      <c r="I362" s="392">
        <f t="shared" si="12"/>
        <v>0</v>
      </c>
      <c r="J362" s="385"/>
      <c r="K362" s="385"/>
      <c r="L362" s="385"/>
      <c r="M362" s="385"/>
      <c r="N362" s="385"/>
      <c r="O362" s="385"/>
      <c r="P362" s="385"/>
      <c r="Q362" s="385"/>
      <c r="R362" s="385"/>
      <c r="S362" s="385"/>
      <c r="T362" s="385"/>
      <c r="U362" s="385"/>
      <c r="V362" s="385"/>
      <c r="W362" s="385"/>
      <c r="X362" s="385"/>
      <c r="Y362" s="385"/>
      <c r="Z362" s="385"/>
      <c r="AA362" s="385"/>
      <c r="AB362" s="385"/>
      <c r="AC362" s="385"/>
      <c r="AD362" s="385"/>
      <c r="AE362" s="385"/>
      <c r="AF362" s="385"/>
      <c r="AG362" s="385"/>
      <c r="AH362" s="385"/>
      <c r="AI362" s="385"/>
      <c r="AJ362" s="385"/>
      <c r="AK362" s="385"/>
      <c r="AL362" s="385"/>
      <c r="AM362" s="385"/>
      <c r="AN362" s="385"/>
      <c r="AO362" s="385"/>
      <c r="AP362" s="385"/>
      <c r="AQ362" s="385"/>
      <c r="AR362" s="385"/>
      <c r="AS362" s="385"/>
      <c r="AT362" s="385"/>
      <c r="AU362" s="385"/>
      <c r="AV362" s="385"/>
      <c r="AW362" s="385"/>
      <c r="AX362" s="385"/>
      <c r="AY362" s="385"/>
    </row>
    <row r="363" spans="1:51" ht="18">
      <c r="A363" s="385"/>
      <c r="B363" s="391" t="str">
        <f>Input!AR361</f>
        <v/>
      </c>
      <c r="C363" s="391">
        <f>DailyMet!N344</f>
        <v>0.2</v>
      </c>
      <c r="D363" s="392">
        <f>Input!AS361</f>
        <v>0</v>
      </c>
      <c r="E363" s="392">
        <f>Input!E361</f>
        <v>340</v>
      </c>
      <c r="F363" s="393">
        <f>Input!B361</f>
        <v>38326</v>
      </c>
      <c r="G363" s="503">
        <f t="shared" si="11"/>
        <v>0</v>
      </c>
      <c r="H363" s="354"/>
      <c r="I363" s="392">
        <f t="shared" si="12"/>
        <v>0</v>
      </c>
      <c r="J363" s="385"/>
      <c r="K363" s="385"/>
      <c r="L363" s="385"/>
      <c r="M363" s="385"/>
      <c r="N363" s="385"/>
      <c r="O363" s="385"/>
      <c r="P363" s="385"/>
      <c r="Q363" s="385"/>
      <c r="R363" s="385"/>
      <c r="S363" s="385"/>
      <c r="T363" s="385"/>
      <c r="U363" s="385"/>
      <c r="V363" s="385"/>
      <c r="W363" s="385"/>
      <c r="X363" s="385"/>
      <c r="Y363" s="385"/>
      <c r="Z363" s="385"/>
      <c r="AA363" s="385"/>
      <c r="AB363" s="385"/>
      <c r="AC363" s="385"/>
      <c r="AD363" s="385"/>
      <c r="AE363" s="385"/>
      <c r="AF363" s="385"/>
      <c r="AG363" s="385"/>
      <c r="AH363" s="385"/>
      <c r="AI363" s="385"/>
      <c r="AJ363" s="385"/>
      <c r="AK363" s="385"/>
      <c r="AL363" s="385"/>
      <c r="AM363" s="385"/>
      <c r="AN363" s="385"/>
      <c r="AO363" s="385"/>
      <c r="AP363" s="385"/>
      <c r="AQ363" s="385"/>
      <c r="AR363" s="385"/>
      <c r="AS363" s="385"/>
      <c r="AT363" s="385"/>
      <c r="AU363" s="385"/>
      <c r="AV363" s="385"/>
      <c r="AW363" s="385"/>
      <c r="AX363" s="385"/>
      <c r="AY363" s="385"/>
    </row>
    <row r="364" spans="1:51" ht="18">
      <c r="A364" s="385"/>
      <c r="B364" s="391" t="str">
        <f>Input!AR362</f>
        <v/>
      </c>
      <c r="C364" s="391">
        <f>DailyMet!N345</f>
        <v>0.2</v>
      </c>
      <c r="D364" s="392">
        <f>Input!AS362</f>
        <v>0</v>
      </c>
      <c r="E364" s="392">
        <f>Input!E362</f>
        <v>341</v>
      </c>
      <c r="F364" s="393">
        <f>Input!B362</f>
        <v>38327</v>
      </c>
      <c r="G364" s="503">
        <f t="shared" si="11"/>
        <v>0</v>
      </c>
      <c r="H364" s="354"/>
      <c r="I364" s="392">
        <f t="shared" si="12"/>
        <v>0</v>
      </c>
      <c r="J364" s="385"/>
      <c r="K364" s="385"/>
      <c r="L364" s="385"/>
      <c r="M364" s="385"/>
      <c r="N364" s="385"/>
      <c r="O364" s="385"/>
      <c r="P364" s="385"/>
      <c r="Q364" s="385"/>
      <c r="R364" s="385"/>
      <c r="S364" s="385"/>
      <c r="T364" s="385"/>
      <c r="U364" s="385"/>
      <c r="V364" s="385"/>
      <c r="W364" s="385"/>
      <c r="X364" s="385"/>
      <c r="Y364" s="385"/>
      <c r="Z364" s="385"/>
      <c r="AA364" s="385"/>
      <c r="AB364" s="385"/>
      <c r="AC364" s="385"/>
      <c r="AD364" s="385"/>
      <c r="AE364" s="385"/>
      <c r="AF364" s="385"/>
      <c r="AG364" s="385"/>
      <c r="AH364" s="385"/>
      <c r="AI364" s="385"/>
      <c r="AJ364" s="385"/>
      <c r="AK364" s="385"/>
      <c r="AL364" s="385"/>
      <c r="AM364" s="385"/>
      <c r="AN364" s="385"/>
      <c r="AO364" s="385"/>
      <c r="AP364" s="385"/>
      <c r="AQ364" s="385"/>
      <c r="AR364" s="385"/>
      <c r="AS364" s="385"/>
      <c r="AT364" s="385"/>
      <c r="AU364" s="385"/>
      <c r="AV364" s="385"/>
      <c r="AW364" s="385"/>
      <c r="AX364" s="385"/>
      <c r="AY364" s="385"/>
    </row>
    <row r="365" spans="1:51" ht="18">
      <c r="A365" s="385"/>
      <c r="B365" s="391" t="str">
        <f>Input!AR363</f>
        <v/>
      </c>
      <c r="C365" s="391">
        <f>DailyMet!N346</f>
        <v>0</v>
      </c>
      <c r="D365" s="392">
        <f>Input!AS363</f>
        <v>0</v>
      </c>
      <c r="E365" s="392">
        <f>Input!E363</f>
        <v>342</v>
      </c>
      <c r="F365" s="393">
        <f>Input!B363</f>
        <v>38328</v>
      </c>
      <c r="G365" s="503">
        <f t="shared" si="11"/>
        <v>0</v>
      </c>
      <c r="H365" s="354"/>
      <c r="I365" s="392">
        <f t="shared" si="12"/>
        <v>0</v>
      </c>
      <c r="J365" s="385"/>
      <c r="K365" s="385"/>
      <c r="L365" s="385"/>
      <c r="M365" s="385"/>
      <c r="N365" s="385"/>
      <c r="O365" s="385"/>
      <c r="P365" s="385"/>
      <c r="Q365" s="385"/>
      <c r="R365" s="385"/>
      <c r="S365" s="385"/>
      <c r="T365" s="385"/>
      <c r="U365" s="385"/>
      <c r="V365" s="385"/>
      <c r="W365" s="385"/>
      <c r="X365" s="385"/>
      <c r="Y365" s="385"/>
      <c r="Z365" s="385"/>
      <c r="AA365" s="385"/>
      <c r="AB365" s="385"/>
      <c r="AC365" s="385"/>
      <c r="AD365" s="385"/>
      <c r="AE365" s="385"/>
      <c r="AF365" s="385"/>
      <c r="AG365" s="385"/>
      <c r="AH365" s="385"/>
      <c r="AI365" s="385"/>
      <c r="AJ365" s="385"/>
      <c r="AK365" s="385"/>
      <c r="AL365" s="385"/>
      <c r="AM365" s="385"/>
      <c r="AN365" s="385"/>
      <c r="AO365" s="385"/>
      <c r="AP365" s="385"/>
      <c r="AQ365" s="385"/>
      <c r="AR365" s="385"/>
      <c r="AS365" s="385"/>
      <c r="AT365" s="385"/>
      <c r="AU365" s="385"/>
      <c r="AV365" s="385"/>
      <c r="AW365" s="385"/>
      <c r="AX365" s="385"/>
      <c r="AY365" s="385"/>
    </row>
    <row r="366" spans="1:51" ht="18">
      <c r="A366" s="385"/>
      <c r="B366" s="391" t="str">
        <f>Input!AR364</f>
        <v/>
      </c>
      <c r="C366" s="391">
        <f>DailyMet!N347</f>
        <v>1.8</v>
      </c>
      <c r="D366" s="392">
        <f>Input!AS364</f>
        <v>0</v>
      </c>
      <c r="E366" s="392">
        <f>Input!E364</f>
        <v>343</v>
      </c>
      <c r="F366" s="393">
        <f>Input!B364</f>
        <v>38329</v>
      </c>
      <c r="G366" s="503">
        <f t="shared" si="11"/>
        <v>0</v>
      </c>
      <c r="H366" s="354"/>
      <c r="I366" s="392">
        <f t="shared" si="12"/>
        <v>0</v>
      </c>
      <c r="J366" s="385"/>
      <c r="K366" s="385"/>
      <c r="L366" s="385"/>
      <c r="M366" s="385"/>
      <c r="N366" s="385"/>
      <c r="O366" s="385"/>
      <c r="P366" s="385"/>
      <c r="Q366" s="385"/>
      <c r="R366" s="385"/>
      <c r="S366" s="385"/>
      <c r="T366" s="385"/>
      <c r="U366" s="385"/>
      <c r="V366" s="385"/>
      <c r="W366" s="385"/>
      <c r="X366" s="385"/>
      <c r="Y366" s="385"/>
      <c r="Z366" s="385"/>
      <c r="AA366" s="385"/>
      <c r="AB366" s="385"/>
      <c r="AC366" s="385"/>
      <c r="AD366" s="385"/>
      <c r="AE366" s="385"/>
      <c r="AF366" s="385"/>
      <c r="AG366" s="385"/>
      <c r="AH366" s="385"/>
      <c r="AI366" s="385"/>
      <c r="AJ366" s="385"/>
      <c r="AK366" s="385"/>
      <c r="AL366" s="385"/>
      <c r="AM366" s="385"/>
      <c r="AN366" s="385"/>
      <c r="AO366" s="385"/>
      <c r="AP366" s="385"/>
      <c r="AQ366" s="385"/>
      <c r="AR366" s="385"/>
      <c r="AS366" s="385"/>
      <c r="AT366" s="385"/>
      <c r="AU366" s="385"/>
      <c r="AV366" s="385"/>
      <c r="AW366" s="385"/>
      <c r="AX366" s="385"/>
      <c r="AY366" s="385"/>
    </row>
    <row r="367" spans="1:51" ht="18">
      <c r="A367" s="385"/>
      <c r="B367" s="391" t="str">
        <f>Input!AR365</f>
        <v/>
      </c>
      <c r="C367" s="391">
        <f>DailyMet!N348</f>
        <v>3.4</v>
      </c>
      <c r="D367" s="392">
        <f>Input!AS365</f>
        <v>0</v>
      </c>
      <c r="E367" s="392">
        <f>Input!E365</f>
        <v>344</v>
      </c>
      <c r="F367" s="393">
        <f>Input!B365</f>
        <v>38330</v>
      </c>
      <c r="G367" s="503">
        <f t="shared" si="11"/>
        <v>0</v>
      </c>
      <c r="H367" s="354"/>
      <c r="I367" s="392">
        <f t="shared" si="12"/>
        <v>0</v>
      </c>
      <c r="J367" s="385"/>
      <c r="K367" s="385"/>
      <c r="L367" s="385"/>
      <c r="M367" s="385"/>
      <c r="N367" s="385"/>
      <c r="O367" s="385"/>
      <c r="P367" s="385"/>
      <c r="Q367" s="385"/>
      <c r="R367" s="385"/>
      <c r="S367" s="385"/>
      <c r="T367" s="385"/>
      <c r="U367" s="385"/>
      <c r="V367" s="385"/>
      <c r="W367" s="385"/>
      <c r="X367" s="385"/>
      <c r="Y367" s="385"/>
      <c r="Z367" s="385"/>
      <c r="AA367" s="385"/>
      <c r="AB367" s="385"/>
      <c r="AC367" s="385"/>
      <c r="AD367" s="385"/>
      <c r="AE367" s="385"/>
      <c r="AF367" s="385"/>
      <c r="AG367" s="385"/>
      <c r="AH367" s="385"/>
      <c r="AI367" s="385"/>
      <c r="AJ367" s="385"/>
      <c r="AK367" s="385"/>
      <c r="AL367" s="385"/>
      <c r="AM367" s="385"/>
      <c r="AN367" s="385"/>
      <c r="AO367" s="385"/>
      <c r="AP367" s="385"/>
      <c r="AQ367" s="385"/>
      <c r="AR367" s="385"/>
      <c r="AS367" s="385"/>
      <c r="AT367" s="385"/>
      <c r="AU367" s="385"/>
      <c r="AV367" s="385"/>
      <c r="AW367" s="385"/>
      <c r="AX367" s="385"/>
      <c r="AY367" s="385"/>
    </row>
    <row r="368" spans="1:51" ht="18">
      <c r="A368" s="385"/>
      <c r="B368" s="391" t="str">
        <f>Input!AR366</f>
        <v/>
      </c>
      <c r="C368" s="391">
        <f>DailyMet!N349</f>
        <v>0.4</v>
      </c>
      <c r="D368" s="392">
        <f>Input!AS366</f>
        <v>0</v>
      </c>
      <c r="E368" s="392">
        <f>Input!E366</f>
        <v>345</v>
      </c>
      <c r="F368" s="393">
        <f>Input!B366</f>
        <v>38331</v>
      </c>
      <c r="G368" s="503">
        <f t="shared" si="11"/>
        <v>0</v>
      </c>
      <c r="H368" s="354"/>
      <c r="I368" s="392">
        <f t="shared" si="12"/>
        <v>0</v>
      </c>
      <c r="J368" s="385"/>
      <c r="K368" s="385"/>
      <c r="L368" s="385"/>
      <c r="M368" s="385"/>
      <c r="N368" s="385"/>
      <c r="O368" s="385"/>
      <c r="P368" s="385"/>
      <c r="Q368" s="385"/>
      <c r="R368" s="385"/>
      <c r="S368" s="385"/>
      <c r="T368" s="385"/>
      <c r="U368" s="385"/>
      <c r="V368" s="385"/>
      <c r="W368" s="385"/>
      <c r="X368" s="385"/>
      <c r="Y368" s="385"/>
      <c r="Z368" s="385"/>
      <c r="AA368" s="385"/>
      <c r="AB368" s="385"/>
      <c r="AC368" s="385"/>
      <c r="AD368" s="385"/>
      <c r="AE368" s="385"/>
      <c r="AF368" s="385"/>
      <c r="AG368" s="385"/>
      <c r="AH368" s="385"/>
      <c r="AI368" s="385"/>
      <c r="AJ368" s="385"/>
      <c r="AK368" s="385"/>
      <c r="AL368" s="385"/>
      <c r="AM368" s="385"/>
      <c r="AN368" s="385"/>
      <c r="AO368" s="385"/>
      <c r="AP368" s="385"/>
      <c r="AQ368" s="385"/>
      <c r="AR368" s="385"/>
      <c r="AS368" s="385"/>
      <c r="AT368" s="385"/>
      <c r="AU368" s="385"/>
      <c r="AV368" s="385"/>
      <c r="AW368" s="385"/>
      <c r="AX368" s="385"/>
      <c r="AY368" s="385"/>
    </row>
    <row r="369" spans="1:51" ht="18">
      <c r="A369" s="385"/>
      <c r="B369" s="391" t="str">
        <f>Input!AR367</f>
        <v/>
      </c>
      <c r="C369" s="391">
        <f>DailyMet!N350</f>
        <v>0</v>
      </c>
      <c r="D369" s="392">
        <f>Input!AS367</f>
        <v>0</v>
      </c>
      <c r="E369" s="392">
        <f>Input!E367</f>
        <v>346</v>
      </c>
      <c r="F369" s="393">
        <f>Input!B367</f>
        <v>38332</v>
      </c>
      <c r="G369" s="503">
        <f t="shared" si="11"/>
        <v>0</v>
      </c>
      <c r="H369" s="354"/>
      <c r="I369" s="392">
        <f t="shared" si="12"/>
        <v>0</v>
      </c>
      <c r="J369" s="385"/>
      <c r="K369" s="385"/>
      <c r="L369" s="385"/>
      <c r="M369" s="385"/>
      <c r="N369" s="385"/>
      <c r="O369" s="385"/>
      <c r="P369" s="385"/>
      <c r="Q369" s="385"/>
      <c r="R369" s="385"/>
      <c r="S369" s="385"/>
      <c r="T369" s="385"/>
      <c r="U369" s="385"/>
      <c r="V369" s="385"/>
      <c r="W369" s="385"/>
      <c r="X369" s="385"/>
      <c r="Y369" s="385"/>
      <c r="Z369" s="385"/>
      <c r="AA369" s="385"/>
      <c r="AB369" s="385"/>
      <c r="AC369" s="385"/>
      <c r="AD369" s="385"/>
      <c r="AE369" s="385"/>
      <c r="AF369" s="385"/>
      <c r="AG369" s="385"/>
      <c r="AH369" s="385"/>
      <c r="AI369" s="385"/>
      <c r="AJ369" s="385"/>
      <c r="AK369" s="385"/>
      <c r="AL369" s="385"/>
      <c r="AM369" s="385"/>
      <c r="AN369" s="385"/>
      <c r="AO369" s="385"/>
      <c r="AP369" s="385"/>
      <c r="AQ369" s="385"/>
      <c r="AR369" s="385"/>
      <c r="AS369" s="385"/>
      <c r="AT369" s="385"/>
      <c r="AU369" s="385"/>
      <c r="AV369" s="385"/>
      <c r="AW369" s="385"/>
      <c r="AX369" s="385"/>
      <c r="AY369" s="385"/>
    </row>
    <row r="370" spans="1:51" ht="18">
      <c r="A370" s="385"/>
      <c r="B370" s="391" t="str">
        <f>Input!AR368</f>
        <v/>
      </c>
      <c r="C370" s="391">
        <f>DailyMet!N351</f>
        <v>0</v>
      </c>
      <c r="D370" s="392">
        <f>Input!AS368</f>
        <v>0</v>
      </c>
      <c r="E370" s="392">
        <f>Input!E368</f>
        <v>347</v>
      </c>
      <c r="F370" s="393">
        <f>Input!B368</f>
        <v>38333</v>
      </c>
      <c r="G370" s="503">
        <f t="shared" si="11"/>
        <v>0</v>
      </c>
      <c r="H370" s="354"/>
      <c r="I370" s="392">
        <f t="shared" si="12"/>
        <v>0</v>
      </c>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c r="AT370" s="385"/>
      <c r="AU370" s="385"/>
      <c r="AV370" s="385"/>
      <c r="AW370" s="385"/>
      <c r="AX370" s="385"/>
      <c r="AY370" s="385"/>
    </row>
    <row r="371" spans="1:51" ht="18">
      <c r="A371" s="385"/>
      <c r="B371" s="391" t="str">
        <f>Input!AR369</f>
        <v/>
      </c>
      <c r="C371" s="391">
        <f>DailyMet!N352</f>
        <v>0</v>
      </c>
      <c r="D371" s="392">
        <f>Input!AS369</f>
        <v>0</v>
      </c>
      <c r="E371" s="392">
        <f>Input!E369</f>
        <v>348</v>
      </c>
      <c r="F371" s="393">
        <f>Input!B369</f>
        <v>38334</v>
      </c>
      <c r="G371" s="503">
        <f t="shared" ref="G371:G434" si="13">IF(B371="",0,IF(H371&lt;&gt;"",IF(G370+B371-H371-C371&lt;0,0,G370+B371-H371-C371),IF(G370+B371-C371&lt;0,0,G370+B371-C371)))</f>
        <v>0</v>
      </c>
      <c r="H371" s="354"/>
      <c r="I371" s="392">
        <f t="shared" si="12"/>
        <v>0</v>
      </c>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c r="AT371" s="385"/>
      <c r="AU371" s="385"/>
      <c r="AV371" s="385"/>
      <c r="AW371" s="385"/>
      <c r="AX371" s="385"/>
      <c r="AY371" s="385"/>
    </row>
    <row r="372" spans="1:51" ht="18">
      <c r="A372" s="385"/>
      <c r="B372" s="391" t="str">
        <f>Input!AR370</f>
        <v/>
      </c>
      <c r="C372" s="391">
        <f>DailyMet!N353</f>
        <v>1</v>
      </c>
      <c r="D372" s="392">
        <f>Input!AS370</f>
        <v>0</v>
      </c>
      <c r="E372" s="392">
        <f>Input!E370</f>
        <v>349</v>
      </c>
      <c r="F372" s="393">
        <f>Input!B370</f>
        <v>38335</v>
      </c>
      <c r="G372" s="503">
        <f t="shared" si="13"/>
        <v>0</v>
      </c>
      <c r="H372" s="354"/>
      <c r="I372" s="392">
        <f t="shared" si="12"/>
        <v>0</v>
      </c>
      <c r="J372" s="385"/>
      <c r="K372" s="385"/>
      <c r="L372" s="385"/>
      <c r="M372" s="385"/>
      <c r="N372" s="385"/>
      <c r="O372" s="385"/>
      <c r="P372" s="385"/>
      <c r="Q372" s="385"/>
      <c r="R372" s="385"/>
      <c r="S372" s="385"/>
      <c r="T372" s="385"/>
      <c r="U372" s="385"/>
      <c r="V372" s="385"/>
      <c r="W372" s="385"/>
      <c r="X372" s="385"/>
      <c r="Y372" s="385"/>
      <c r="Z372" s="385"/>
      <c r="AA372" s="385"/>
      <c r="AB372" s="385"/>
      <c r="AC372" s="385"/>
      <c r="AD372" s="385"/>
      <c r="AE372" s="385"/>
      <c r="AF372" s="385"/>
      <c r="AG372" s="385"/>
      <c r="AH372" s="385"/>
      <c r="AI372" s="385"/>
      <c r="AJ372" s="385"/>
      <c r="AK372" s="385"/>
      <c r="AL372" s="385"/>
      <c r="AM372" s="385"/>
      <c r="AN372" s="385"/>
      <c r="AO372" s="385"/>
      <c r="AP372" s="385"/>
      <c r="AQ372" s="385"/>
      <c r="AR372" s="385"/>
      <c r="AS372" s="385"/>
      <c r="AT372" s="385"/>
      <c r="AU372" s="385"/>
      <c r="AV372" s="385"/>
      <c r="AW372" s="385"/>
      <c r="AX372" s="385"/>
      <c r="AY372" s="385"/>
    </row>
    <row r="373" spans="1:51" ht="18">
      <c r="A373" s="385"/>
      <c r="B373" s="391" t="str">
        <f>Input!AR371</f>
        <v/>
      </c>
      <c r="C373" s="391">
        <f>DailyMet!N354</f>
        <v>5</v>
      </c>
      <c r="D373" s="392">
        <f>Input!AS371</f>
        <v>0</v>
      </c>
      <c r="E373" s="392">
        <f>Input!E371</f>
        <v>350</v>
      </c>
      <c r="F373" s="393">
        <f>Input!B371</f>
        <v>38336</v>
      </c>
      <c r="G373" s="503">
        <f t="shared" si="13"/>
        <v>0</v>
      </c>
      <c r="H373" s="354"/>
      <c r="I373" s="392">
        <f t="shared" si="12"/>
        <v>0</v>
      </c>
      <c r="J373" s="385"/>
      <c r="K373" s="385"/>
      <c r="L373" s="385"/>
      <c r="M373" s="385"/>
      <c r="N373" s="385"/>
      <c r="O373" s="385"/>
      <c r="P373" s="385"/>
      <c r="Q373" s="385"/>
      <c r="R373" s="385"/>
      <c r="S373" s="385"/>
      <c r="T373" s="385"/>
      <c r="U373" s="385"/>
      <c r="V373" s="385"/>
      <c r="W373" s="385"/>
      <c r="X373" s="385"/>
      <c r="Y373" s="385"/>
      <c r="Z373" s="385"/>
      <c r="AA373" s="385"/>
      <c r="AB373" s="385"/>
      <c r="AC373" s="385"/>
      <c r="AD373" s="385"/>
      <c r="AE373" s="385"/>
      <c r="AF373" s="385"/>
      <c r="AG373" s="385"/>
      <c r="AH373" s="385"/>
      <c r="AI373" s="385"/>
      <c r="AJ373" s="385"/>
      <c r="AK373" s="385"/>
      <c r="AL373" s="385"/>
      <c r="AM373" s="385"/>
      <c r="AN373" s="385"/>
      <c r="AO373" s="385"/>
      <c r="AP373" s="385"/>
      <c r="AQ373" s="385"/>
      <c r="AR373" s="385"/>
      <c r="AS373" s="385"/>
      <c r="AT373" s="385"/>
      <c r="AU373" s="385"/>
      <c r="AV373" s="385"/>
      <c r="AW373" s="385"/>
      <c r="AX373" s="385"/>
      <c r="AY373" s="385"/>
    </row>
    <row r="374" spans="1:51" ht="18">
      <c r="A374" s="385"/>
      <c r="B374" s="391" t="str">
        <f>Input!AR372</f>
        <v/>
      </c>
      <c r="C374" s="391">
        <f>DailyMet!N355</f>
        <v>0.2</v>
      </c>
      <c r="D374" s="392">
        <f>Input!AS372</f>
        <v>0</v>
      </c>
      <c r="E374" s="392">
        <f>Input!E372</f>
        <v>351</v>
      </c>
      <c r="F374" s="393">
        <f>Input!B372</f>
        <v>38337</v>
      </c>
      <c r="G374" s="503">
        <f t="shared" si="13"/>
        <v>0</v>
      </c>
      <c r="H374" s="354"/>
      <c r="I374" s="392">
        <f t="shared" si="12"/>
        <v>0</v>
      </c>
      <c r="J374" s="385"/>
      <c r="K374" s="385"/>
      <c r="L374" s="385"/>
      <c r="M374" s="385"/>
      <c r="N374" s="385"/>
      <c r="O374" s="385"/>
      <c r="P374" s="385"/>
      <c r="Q374" s="385"/>
      <c r="R374" s="385"/>
      <c r="S374" s="385"/>
      <c r="T374" s="385"/>
      <c r="U374" s="385"/>
      <c r="V374" s="385"/>
      <c r="W374" s="385"/>
      <c r="X374" s="385"/>
      <c r="Y374" s="385"/>
      <c r="Z374" s="385"/>
      <c r="AA374" s="385"/>
      <c r="AB374" s="385"/>
      <c r="AC374" s="385"/>
      <c r="AD374" s="385"/>
      <c r="AE374" s="385"/>
      <c r="AF374" s="385"/>
      <c r="AG374" s="385"/>
      <c r="AH374" s="385"/>
      <c r="AI374" s="385"/>
      <c r="AJ374" s="385"/>
      <c r="AK374" s="385"/>
      <c r="AL374" s="385"/>
      <c r="AM374" s="385"/>
      <c r="AN374" s="385"/>
      <c r="AO374" s="385"/>
      <c r="AP374" s="385"/>
      <c r="AQ374" s="385"/>
      <c r="AR374" s="385"/>
      <c r="AS374" s="385"/>
      <c r="AT374" s="385"/>
      <c r="AU374" s="385"/>
      <c r="AV374" s="385"/>
      <c r="AW374" s="385"/>
      <c r="AX374" s="385"/>
      <c r="AY374" s="385"/>
    </row>
    <row r="375" spans="1:51" ht="18">
      <c r="A375" s="385"/>
      <c r="B375" s="391" t="str">
        <f>Input!AR373</f>
        <v/>
      </c>
      <c r="C375" s="391">
        <f>DailyMet!N356</f>
        <v>0.2</v>
      </c>
      <c r="D375" s="392">
        <f>Input!AS373</f>
        <v>0</v>
      </c>
      <c r="E375" s="392">
        <f>Input!E373</f>
        <v>352</v>
      </c>
      <c r="F375" s="393">
        <f>Input!B373</f>
        <v>38338</v>
      </c>
      <c r="G375" s="503">
        <f t="shared" si="13"/>
        <v>0</v>
      </c>
      <c r="H375" s="354"/>
      <c r="I375" s="392">
        <f t="shared" si="12"/>
        <v>0</v>
      </c>
      <c r="J375" s="385"/>
      <c r="K375" s="385"/>
      <c r="L375" s="385"/>
      <c r="M375" s="385"/>
      <c r="N375" s="385"/>
      <c r="O375" s="385"/>
      <c r="P375" s="385"/>
      <c r="Q375" s="385"/>
      <c r="R375" s="385"/>
      <c r="S375" s="385"/>
      <c r="T375" s="385"/>
      <c r="U375" s="385"/>
      <c r="V375" s="385"/>
      <c r="W375" s="385"/>
      <c r="X375" s="385"/>
      <c r="Y375" s="385"/>
      <c r="Z375" s="385"/>
      <c r="AA375" s="385"/>
      <c r="AB375" s="385"/>
      <c r="AC375" s="385"/>
      <c r="AD375" s="385"/>
      <c r="AE375" s="385"/>
      <c r="AF375" s="385"/>
      <c r="AG375" s="385"/>
      <c r="AH375" s="385"/>
      <c r="AI375" s="385"/>
      <c r="AJ375" s="385"/>
      <c r="AK375" s="385"/>
      <c r="AL375" s="385"/>
      <c r="AM375" s="385"/>
      <c r="AN375" s="385"/>
      <c r="AO375" s="385"/>
      <c r="AP375" s="385"/>
      <c r="AQ375" s="385"/>
      <c r="AR375" s="385"/>
      <c r="AS375" s="385"/>
      <c r="AT375" s="385"/>
      <c r="AU375" s="385"/>
      <c r="AV375" s="385"/>
      <c r="AW375" s="385"/>
      <c r="AX375" s="385"/>
      <c r="AY375" s="385"/>
    </row>
    <row r="376" spans="1:51" ht="18">
      <c r="A376" s="385"/>
      <c r="B376" s="391" t="str">
        <f>Input!AR374</f>
        <v/>
      </c>
      <c r="C376" s="391">
        <f>DailyMet!N357</f>
        <v>0</v>
      </c>
      <c r="D376" s="392">
        <f>Input!AS374</f>
        <v>0</v>
      </c>
      <c r="E376" s="392">
        <f>Input!E374</f>
        <v>353</v>
      </c>
      <c r="F376" s="393">
        <f>Input!B374</f>
        <v>38339</v>
      </c>
      <c r="G376" s="503">
        <f t="shared" si="13"/>
        <v>0</v>
      </c>
      <c r="H376" s="354"/>
      <c r="I376" s="392">
        <f t="shared" si="12"/>
        <v>0</v>
      </c>
      <c r="J376" s="385"/>
      <c r="K376" s="385"/>
      <c r="L376" s="385"/>
      <c r="M376" s="385"/>
      <c r="N376" s="385"/>
      <c r="O376" s="385"/>
      <c r="P376" s="385"/>
      <c r="Q376" s="385"/>
      <c r="R376" s="385"/>
      <c r="S376" s="385"/>
      <c r="T376" s="385"/>
      <c r="U376" s="385"/>
      <c r="V376" s="385"/>
      <c r="W376" s="385"/>
      <c r="X376" s="385"/>
      <c r="Y376" s="385"/>
      <c r="Z376" s="385"/>
      <c r="AA376" s="385"/>
      <c r="AB376" s="385"/>
      <c r="AC376" s="385"/>
      <c r="AD376" s="385"/>
      <c r="AE376" s="385"/>
      <c r="AF376" s="385"/>
      <c r="AG376" s="385"/>
      <c r="AH376" s="385"/>
      <c r="AI376" s="385"/>
      <c r="AJ376" s="385"/>
      <c r="AK376" s="385"/>
      <c r="AL376" s="385"/>
      <c r="AM376" s="385"/>
      <c r="AN376" s="385"/>
      <c r="AO376" s="385"/>
      <c r="AP376" s="385"/>
      <c r="AQ376" s="385"/>
      <c r="AR376" s="385"/>
      <c r="AS376" s="385"/>
      <c r="AT376" s="385"/>
      <c r="AU376" s="385"/>
      <c r="AV376" s="385"/>
      <c r="AW376" s="385"/>
      <c r="AX376" s="385"/>
      <c r="AY376" s="385"/>
    </row>
    <row r="377" spans="1:51" ht="18">
      <c r="A377" s="385"/>
      <c r="B377" s="391" t="str">
        <f>Input!AR375</f>
        <v/>
      </c>
      <c r="C377" s="391">
        <f>DailyMet!N358</f>
        <v>0.2</v>
      </c>
      <c r="D377" s="392">
        <f>Input!AS375</f>
        <v>0</v>
      </c>
      <c r="E377" s="392">
        <f>Input!E375</f>
        <v>354</v>
      </c>
      <c r="F377" s="393">
        <f>Input!B375</f>
        <v>38340</v>
      </c>
      <c r="G377" s="503">
        <f t="shared" si="13"/>
        <v>0</v>
      </c>
      <c r="H377" s="354"/>
      <c r="I377" s="392">
        <f t="shared" si="12"/>
        <v>0</v>
      </c>
      <c r="J377" s="385"/>
      <c r="K377" s="385"/>
      <c r="L377" s="385"/>
      <c r="M377" s="385"/>
      <c r="N377" s="385"/>
      <c r="O377" s="385"/>
      <c r="P377" s="385"/>
      <c r="Q377" s="385"/>
      <c r="R377" s="385"/>
      <c r="S377" s="385"/>
      <c r="T377" s="385"/>
      <c r="U377" s="385"/>
      <c r="V377" s="385"/>
      <c r="W377" s="385"/>
      <c r="X377" s="385"/>
      <c r="Y377" s="385"/>
      <c r="Z377" s="385"/>
      <c r="AA377" s="385"/>
      <c r="AB377" s="385"/>
      <c r="AC377" s="385"/>
      <c r="AD377" s="385"/>
      <c r="AE377" s="385"/>
      <c r="AF377" s="385"/>
      <c r="AG377" s="385"/>
      <c r="AH377" s="385"/>
      <c r="AI377" s="385"/>
      <c r="AJ377" s="385"/>
      <c r="AK377" s="385"/>
      <c r="AL377" s="385"/>
      <c r="AM377" s="385"/>
      <c r="AN377" s="385"/>
      <c r="AO377" s="385"/>
      <c r="AP377" s="385"/>
      <c r="AQ377" s="385"/>
      <c r="AR377" s="385"/>
      <c r="AS377" s="385"/>
      <c r="AT377" s="385"/>
      <c r="AU377" s="385"/>
      <c r="AV377" s="385"/>
      <c r="AW377" s="385"/>
      <c r="AX377" s="385"/>
      <c r="AY377" s="385"/>
    </row>
    <row r="378" spans="1:51" ht="18">
      <c r="A378" s="385"/>
      <c r="B378" s="391" t="str">
        <f>Input!AR376</f>
        <v/>
      </c>
      <c r="C378" s="391">
        <f>DailyMet!N359</f>
        <v>0.2</v>
      </c>
      <c r="D378" s="392">
        <f>Input!AS376</f>
        <v>0</v>
      </c>
      <c r="E378" s="392">
        <f>Input!E376</f>
        <v>355</v>
      </c>
      <c r="F378" s="393">
        <f>Input!B376</f>
        <v>38341</v>
      </c>
      <c r="G378" s="503">
        <f t="shared" si="13"/>
        <v>0</v>
      </c>
      <c r="H378" s="354"/>
      <c r="I378" s="392">
        <f t="shared" si="12"/>
        <v>0</v>
      </c>
      <c r="J378" s="385"/>
      <c r="K378" s="385"/>
      <c r="L378" s="385"/>
      <c r="M378" s="385"/>
      <c r="N378" s="385"/>
      <c r="O378" s="385"/>
      <c r="P378" s="385"/>
      <c r="Q378" s="385"/>
      <c r="R378" s="385"/>
      <c r="S378" s="385"/>
      <c r="T378" s="385"/>
      <c r="U378" s="385"/>
      <c r="V378" s="385"/>
      <c r="W378" s="385"/>
      <c r="X378" s="385"/>
      <c r="Y378" s="385"/>
      <c r="Z378" s="385"/>
      <c r="AA378" s="385"/>
      <c r="AB378" s="385"/>
      <c r="AC378" s="385"/>
      <c r="AD378" s="385"/>
      <c r="AE378" s="385"/>
      <c r="AF378" s="385"/>
      <c r="AG378" s="385"/>
      <c r="AH378" s="385"/>
      <c r="AI378" s="385"/>
      <c r="AJ378" s="385"/>
      <c r="AK378" s="385"/>
      <c r="AL378" s="385"/>
      <c r="AM378" s="385"/>
      <c r="AN378" s="385"/>
      <c r="AO378" s="385"/>
      <c r="AP378" s="385"/>
      <c r="AQ378" s="385"/>
      <c r="AR378" s="385"/>
      <c r="AS378" s="385"/>
      <c r="AT378" s="385"/>
      <c r="AU378" s="385"/>
      <c r="AV378" s="385"/>
      <c r="AW378" s="385"/>
      <c r="AX378" s="385"/>
      <c r="AY378" s="385"/>
    </row>
    <row r="379" spans="1:51" ht="18">
      <c r="A379" s="385"/>
      <c r="B379" s="391" t="str">
        <f>Input!AR377</f>
        <v/>
      </c>
      <c r="C379" s="391">
        <f>DailyMet!N360</f>
        <v>1.4</v>
      </c>
      <c r="D379" s="392">
        <f>Input!AS377</f>
        <v>0</v>
      </c>
      <c r="E379" s="392">
        <f>Input!E377</f>
        <v>356</v>
      </c>
      <c r="F379" s="393">
        <f>Input!B377</f>
        <v>38342</v>
      </c>
      <c r="G379" s="503">
        <f t="shared" si="13"/>
        <v>0</v>
      </c>
      <c r="H379" s="354"/>
      <c r="I379" s="392">
        <f t="shared" si="12"/>
        <v>0</v>
      </c>
      <c r="J379" s="385"/>
      <c r="K379" s="385"/>
      <c r="L379" s="385"/>
      <c r="M379" s="385"/>
      <c r="N379" s="385"/>
      <c r="O379" s="385"/>
      <c r="P379" s="385"/>
      <c r="Q379" s="385"/>
      <c r="R379" s="385"/>
      <c r="S379" s="385"/>
      <c r="T379" s="385"/>
      <c r="U379" s="385"/>
      <c r="V379" s="385"/>
      <c r="W379" s="385"/>
      <c r="X379" s="385"/>
      <c r="Y379" s="385"/>
      <c r="Z379" s="385"/>
      <c r="AA379" s="385"/>
      <c r="AB379" s="385"/>
      <c r="AC379" s="385"/>
      <c r="AD379" s="385"/>
      <c r="AE379" s="385"/>
      <c r="AF379" s="385"/>
      <c r="AG379" s="385"/>
      <c r="AH379" s="385"/>
      <c r="AI379" s="385"/>
      <c r="AJ379" s="385"/>
      <c r="AK379" s="385"/>
      <c r="AL379" s="385"/>
      <c r="AM379" s="385"/>
      <c r="AN379" s="385"/>
      <c r="AO379" s="385"/>
      <c r="AP379" s="385"/>
      <c r="AQ379" s="385"/>
      <c r="AR379" s="385"/>
      <c r="AS379" s="385"/>
      <c r="AT379" s="385"/>
      <c r="AU379" s="385"/>
      <c r="AV379" s="385"/>
      <c r="AW379" s="385"/>
      <c r="AX379" s="385"/>
      <c r="AY379" s="385"/>
    </row>
    <row r="380" spans="1:51" ht="18">
      <c r="A380" s="385"/>
      <c r="B380" s="391" t="str">
        <f>Input!AR378</f>
        <v/>
      </c>
      <c r="C380" s="391">
        <f>DailyMet!N361</f>
        <v>0</v>
      </c>
      <c r="D380" s="392">
        <f>Input!AS378</f>
        <v>0</v>
      </c>
      <c r="E380" s="392">
        <f>Input!E378</f>
        <v>357</v>
      </c>
      <c r="F380" s="393">
        <f>Input!B378</f>
        <v>38343</v>
      </c>
      <c r="G380" s="503">
        <f t="shared" si="13"/>
        <v>0</v>
      </c>
      <c r="H380" s="354"/>
      <c r="I380" s="392">
        <f t="shared" si="12"/>
        <v>0</v>
      </c>
      <c r="J380" s="385"/>
      <c r="K380" s="385"/>
      <c r="L380" s="385"/>
      <c r="M380" s="385"/>
      <c r="N380" s="385"/>
      <c r="O380" s="385"/>
      <c r="P380" s="385"/>
      <c r="Q380" s="385"/>
      <c r="R380" s="385"/>
      <c r="S380" s="385"/>
      <c r="T380" s="385"/>
      <c r="U380" s="385"/>
      <c r="V380" s="385"/>
      <c r="W380" s="385"/>
      <c r="X380" s="385"/>
      <c r="Y380" s="385"/>
      <c r="Z380" s="385"/>
      <c r="AA380" s="385"/>
      <c r="AB380" s="385"/>
      <c r="AC380" s="385"/>
      <c r="AD380" s="385"/>
      <c r="AE380" s="385"/>
      <c r="AF380" s="385"/>
      <c r="AG380" s="385"/>
      <c r="AH380" s="385"/>
      <c r="AI380" s="385"/>
      <c r="AJ380" s="385"/>
      <c r="AK380" s="385"/>
      <c r="AL380" s="385"/>
      <c r="AM380" s="385"/>
      <c r="AN380" s="385"/>
      <c r="AO380" s="385"/>
      <c r="AP380" s="385"/>
      <c r="AQ380" s="385"/>
      <c r="AR380" s="385"/>
      <c r="AS380" s="385"/>
      <c r="AT380" s="385"/>
      <c r="AU380" s="385"/>
      <c r="AV380" s="385"/>
      <c r="AW380" s="385"/>
      <c r="AX380" s="385"/>
      <c r="AY380" s="385"/>
    </row>
    <row r="381" spans="1:51" ht="18">
      <c r="A381" s="385"/>
      <c r="B381" s="391" t="str">
        <f>Input!AR379</f>
        <v/>
      </c>
      <c r="C381" s="391">
        <f>DailyMet!N362</f>
        <v>0</v>
      </c>
      <c r="D381" s="392">
        <f>Input!AS379</f>
        <v>0</v>
      </c>
      <c r="E381" s="392">
        <f>Input!E379</f>
        <v>358</v>
      </c>
      <c r="F381" s="393">
        <f>Input!B379</f>
        <v>38344</v>
      </c>
      <c r="G381" s="503">
        <f t="shared" si="13"/>
        <v>0</v>
      </c>
      <c r="H381" s="354"/>
      <c r="I381" s="392">
        <f t="shared" si="12"/>
        <v>0</v>
      </c>
      <c r="J381" s="385"/>
      <c r="K381" s="385"/>
      <c r="L381" s="385"/>
      <c r="M381" s="385"/>
      <c r="N381" s="385"/>
      <c r="O381" s="385"/>
      <c r="P381" s="385"/>
      <c r="Q381" s="385"/>
      <c r="R381" s="385"/>
      <c r="S381" s="385"/>
      <c r="T381" s="385"/>
      <c r="U381" s="385"/>
      <c r="V381" s="385"/>
      <c r="W381" s="385"/>
      <c r="X381" s="385"/>
      <c r="Y381" s="385"/>
      <c r="Z381" s="385"/>
      <c r="AA381" s="385"/>
      <c r="AB381" s="385"/>
      <c r="AC381" s="385"/>
      <c r="AD381" s="385"/>
      <c r="AE381" s="385"/>
      <c r="AF381" s="385"/>
      <c r="AG381" s="385"/>
      <c r="AH381" s="385"/>
      <c r="AI381" s="385"/>
      <c r="AJ381" s="385"/>
      <c r="AK381" s="385"/>
      <c r="AL381" s="385"/>
      <c r="AM381" s="385"/>
      <c r="AN381" s="385"/>
      <c r="AO381" s="385"/>
      <c r="AP381" s="385"/>
      <c r="AQ381" s="385"/>
      <c r="AR381" s="385"/>
      <c r="AS381" s="385"/>
      <c r="AT381" s="385"/>
      <c r="AU381" s="385"/>
      <c r="AV381" s="385"/>
      <c r="AW381" s="385"/>
      <c r="AX381" s="385"/>
      <c r="AY381" s="385"/>
    </row>
    <row r="382" spans="1:51" ht="18">
      <c r="A382" s="385"/>
      <c r="B382" s="391" t="str">
        <f>Input!AR380</f>
        <v/>
      </c>
      <c r="C382" s="391">
        <f>DailyMet!N363</f>
        <v>0.2</v>
      </c>
      <c r="D382" s="392">
        <f>Input!AS380</f>
        <v>0</v>
      </c>
      <c r="E382" s="392">
        <f>Input!E380</f>
        <v>359</v>
      </c>
      <c r="F382" s="393">
        <f>Input!B380</f>
        <v>38345</v>
      </c>
      <c r="G382" s="503">
        <f t="shared" si="13"/>
        <v>0</v>
      </c>
      <c r="H382" s="354"/>
      <c r="I382" s="392">
        <f t="shared" si="12"/>
        <v>0</v>
      </c>
      <c r="J382" s="385"/>
      <c r="K382" s="385"/>
      <c r="L382" s="385"/>
      <c r="M382" s="385"/>
      <c r="N382" s="385"/>
      <c r="O382" s="385"/>
      <c r="P382" s="385"/>
      <c r="Q382" s="385"/>
      <c r="R382" s="385"/>
      <c r="S382" s="385"/>
      <c r="T382" s="385"/>
      <c r="U382" s="385"/>
      <c r="V382" s="385"/>
      <c r="W382" s="385"/>
      <c r="X382" s="385"/>
      <c r="Y382" s="385"/>
      <c r="Z382" s="385"/>
      <c r="AA382" s="385"/>
      <c r="AB382" s="385"/>
      <c r="AC382" s="385"/>
      <c r="AD382" s="385"/>
      <c r="AE382" s="385"/>
      <c r="AF382" s="385"/>
      <c r="AG382" s="385"/>
      <c r="AH382" s="385"/>
      <c r="AI382" s="385"/>
      <c r="AJ382" s="385"/>
      <c r="AK382" s="385"/>
      <c r="AL382" s="385"/>
      <c r="AM382" s="385"/>
      <c r="AN382" s="385"/>
      <c r="AO382" s="385"/>
      <c r="AP382" s="385"/>
      <c r="AQ382" s="385"/>
      <c r="AR382" s="385"/>
      <c r="AS382" s="385"/>
      <c r="AT382" s="385"/>
      <c r="AU382" s="385"/>
      <c r="AV382" s="385"/>
      <c r="AW382" s="385"/>
      <c r="AX382" s="385"/>
      <c r="AY382" s="385"/>
    </row>
    <row r="383" spans="1:51" ht="18">
      <c r="A383" s="385"/>
      <c r="B383" s="391" t="str">
        <f>Input!AR381</f>
        <v/>
      </c>
      <c r="C383" s="391">
        <f>DailyMet!N364</f>
        <v>0</v>
      </c>
      <c r="D383" s="392">
        <f>Input!AS381</f>
        <v>0</v>
      </c>
      <c r="E383" s="392">
        <f>Input!E381</f>
        <v>360</v>
      </c>
      <c r="F383" s="393">
        <f>Input!B381</f>
        <v>38346</v>
      </c>
      <c r="G383" s="503">
        <f t="shared" si="13"/>
        <v>0</v>
      </c>
      <c r="H383" s="354"/>
      <c r="I383" s="392">
        <f t="shared" si="12"/>
        <v>0</v>
      </c>
      <c r="J383" s="385"/>
      <c r="K383" s="385"/>
      <c r="L383" s="385"/>
      <c r="M383" s="385"/>
      <c r="N383" s="385"/>
      <c r="O383" s="385"/>
      <c r="P383" s="385"/>
      <c r="Q383" s="385"/>
      <c r="R383" s="385"/>
      <c r="S383" s="385"/>
      <c r="T383" s="385"/>
      <c r="U383" s="385"/>
      <c r="V383" s="385"/>
      <c r="W383" s="385"/>
      <c r="X383" s="385"/>
      <c r="Y383" s="385"/>
      <c r="Z383" s="385"/>
      <c r="AA383" s="385"/>
      <c r="AB383" s="385"/>
      <c r="AC383" s="385"/>
      <c r="AD383" s="385"/>
      <c r="AE383" s="385"/>
      <c r="AF383" s="385"/>
      <c r="AG383" s="385"/>
      <c r="AH383" s="385"/>
      <c r="AI383" s="385"/>
      <c r="AJ383" s="385"/>
      <c r="AK383" s="385"/>
      <c r="AL383" s="385"/>
      <c r="AM383" s="385"/>
      <c r="AN383" s="385"/>
      <c r="AO383" s="385"/>
      <c r="AP383" s="385"/>
      <c r="AQ383" s="385"/>
      <c r="AR383" s="385"/>
      <c r="AS383" s="385"/>
      <c r="AT383" s="385"/>
      <c r="AU383" s="385"/>
      <c r="AV383" s="385"/>
      <c r="AW383" s="385"/>
      <c r="AX383" s="385"/>
      <c r="AY383" s="385"/>
    </row>
    <row r="384" spans="1:51" ht="18">
      <c r="A384" s="385"/>
      <c r="B384" s="391" t="str">
        <f>Input!AR382</f>
        <v/>
      </c>
      <c r="C384" s="391">
        <f>DailyMet!N365</f>
        <v>5.6</v>
      </c>
      <c r="D384" s="392">
        <f>Input!AS382</f>
        <v>0</v>
      </c>
      <c r="E384" s="392">
        <f>Input!E382</f>
        <v>361</v>
      </c>
      <c r="F384" s="393">
        <f>Input!B382</f>
        <v>38347</v>
      </c>
      <c r="G384" s="503">
        <f t="shared" si="13"/>
        <v>0</v>
      </c>
      <c r="H384" s="354"/>
      <c r="I384" s="392">
        <f t="shared" si="12"/>
        <v>0</v>
      </c>
      <c r="J384" s="385"/>
      <c r="K384" s="385"/>
      <c r="L384" s="385"/>
      <c r="M384" s="385"/>
      <c r="N384" s="385"/>
      <c r="O384" s="385"/>
      <c r="P384" s="385"/>
      <c r="Q384" s="385"/>
      <c r="R384" s="385"/>
      <c r="S384" s="385"/>
      <c r="T384" s="385"/>
      <c r="U384" s="385"/>
      <c r="V384" s="385"/>
      <c r="W384" s="385"/>
      <c r="X384" s="385"/>
      <c r="Y384" s="385"/>
      <c r="Z384" s="385"/>
      <c r="AA384" s="385"/>
      <c r="AB384" s="385"/>
      <c r="AC384" s="385"/>
      <c r="AD384" s="385"/>
      <c r="AE384" s="385"/>
      <c r="AF384" s="385"/>
      <c r="AG384" s="385"/>
      <c r="AH384" s="385"/>
      <c r="AI384" s="385"/>
      <c r="AJ384" s="385"/>
      <c r="AK384" s="385"/>
      <c r="AL384" s="385"/>
      <c r="AM384" s="385"/>
      <c r="AN384" s="385"/>
      <c r="AO384" s="385"/>
      <c r="AP384" s="385"/>
      <c r="AQ384" s="385"/>
      <c r="AR384" s="385"/>
      <c r="AS384" s="385"/>
      <c r="AT384" s="385"/>
      <c r="AU384" s="385"/>
      <c r="AV384" s="385"/>
      <c r="AW384" s="385"/>
      <c r="AX384" s="385"/>
      <c r="AY384" s="385"/>
    </row>
    <row r="385" spans="1:51" ht="18">
      <c r="A385" s="385"/>
      <c r="B385" s="391" t="str">
        <f>Input!AR383</f>
        <v/>
      </c>
      <c r="C385" s="391">
        <f>DailyMet!N366</f>
        <v>0</v>
      </c>
      <c r="D385" s="392">
        <f>Input!AS383</f>
        <v>0</v>
      </c>
      <c r="E385" s="392">
        <f>Input!E383</f>
        <v>362</v>
      </c>
      <c r="F385" s="393">
        <f>Input!B383</f>
        <v>38348</v>
      </c>
      <c r="G385" s="503">
        <f t="shared" si="13"/>
        <v>0</v>
      </c>
      <c r="H385" s="354"/>
      <c r="I385" s="392">
        <f t="shared" si="12"/>
        <v>0</v>
      </c>
      <c r="J385" s="385"/>
      <c r="K385" s="385"/>
      <c r="L385" s="385"/>
      <c r="M385" s="385"/>
      <c r="N385" s="385"/>
      <c r="O385" s="385"/>
      <c r="P385" s="385"/>
      <c r="Q385" s="385"/>
      <c r="R385" s="385"/>
      <c r="S385" s="385"/>
      <c r="T385" s="385"/>
      <c r="U385" s="385"/>
      <c r="V385" s="385"/>
      <c r="W385" s="385"/>
      <c r="X385" s="385"/>
      <c r="Y385" s="385"/>
      <c r="Z385" s="385"/>
      <c r="AA385" s="385"/>
      <c r="AB385" s="385"/>
      <c r="AC385" s="385"/>
      <c r="AD385" s="385"/>
      <c r="AE385" s="385"/>
      <c r="AF385" s="385"/>
      <c r="AG385" s="385"/>
      <c r="AH385" s="385"/>
      <c r="AI385" s="385"/>
      <c r="AJ385" s="385"/>
      <c r="AK385" s="385"/>
      <c r="AL385" s="385"/>
      <c r="AM385" s="385"/>
      <c r="AN385" s="385"/>
      <c r="AO385" s="385"/>
      <c r="AP385" s="385"/>
      <c r="AQ385" s="385"/>
      <c r="AR385" s="385"/>
      <c r="AS385" s="385"/>
      <c r="AT385" s="385"/>
      <c r="AU385" s="385"/>
      <c r="AV385" s="385"/>
      <c r="AW385" s="385"/>
      <c r="AX385" s="385"/>
      <c r="AY385" s="385"/>
    </row>
    <row r="386" spans="1:51" ht="18">
      <c r="A386" s="385"/>
      <c r="B386" s="391" t="str">
        <f>Input!AR384</f>
        <v/>
      </c>
      <c r="C386" s="391">
        <f>DailyMet!N367</f>
        <v>0</v>
      </c>
      <c r="D386" s="392">
        <f>Input!AS384</f>
        <v>0</v>
      </c>
      <c r="E386" s="392">
        <f>Input!E384</f>
        <v>363</v>
      </c>
      <c r="F386" s="393">
        <f>Input!B384</f>
        <v>38349</v>
      </c>
      <c r="G386" s="503">
        <f t="shared" si="13"/>
        <v>0</v>
      </c>
      <c r="H386" s="354"/>
      <c r="I386" s="392">
        <f t="shared" si="12"/>
        <v>0</v>
      </c>
      <c r="J386" s="385"/>
      <c r="K386" s="385"/>
      <c r="L386" s="385"/>
      <c r="M386" s="385"/>
      <c r="N386" s="385"/>
      <c r="O386" s="385"/>
      <c r="P386" s="385"/>
      <c r="Q386" s="385"/>
      <c r="R386" s="385"/>
      <c r="S386" s="385"/>
      <c r="T386" s="385"/>
      <c r="U386" s="385"/>
      <c r="V386" s="385"/>
      <c r="W386" s="385"/>
      <c r="X386" s="385"/>
      <c r="Y386" s="385"/>
      <c r="Z386" s="385"/>
      <c r="AA386" s="385"/>
      <c r="AB386" s="385"/>
      <c r="AC386" s="385"/>
      <c r="AD386" s="385"/>
      <c r="AE386" s="385"/>
      <c r="AF386" s="385"/>
      <c r="AG386" s="385"/>
      <c r="AH386" s="385"/>
      <c r="AI386" s="385"/>
      <c r="AJ386" s="385"/>
      <c r="AK386" s="385"/>
      <c r="AL386" s="385"/>
      <c r="AM386" s="385"/>
      <c r="AN386" s="385"/>
      <c r="AO386" s="385"/>
      <c r="AP386" s="385"/>
      <c r="AQ386" s="385"/>
      <c r="AR386" s="385"/>
      <c r="AS386" s="385"/>
      <c r="AT386" s="385"/>
      <c r="AU386" s="385"/>
      <c r="AV386" s="385"/>
      <c r="AW386" s="385"/>
      <c r="AX386" s="385"/>
      <c r="AY386" s="385"/>
    </row>
    <row r="387" spans="1:51" ht="18">
      <c r="A387" s="385"/>
      <c r="B387" s="391" t="str">
        <f>Input!AR385</f>
        <v/>
      </c>
      <c r="C387" s="391">
        <f>DailyMet!N368</f>
        <v>0.2</v>
      </c>
      <c r="D387" s="392">
        <f>Input!AS385</f>
        <v>0</v>
      </c>
      <c r="E387" s="392">
        <f>Input!E385</f>
        <v>364</v>
      </c>
      <c r="F387" s="393">
        <f>Input!B385</f>
        <v>38350</v>
      </c>
      <c r="G387" s="503">
        <f t="shared" si="13"/>
        <v>0</v>
      </c>
      <c r="H387" s="354"/>
      <c r="I387" s="392">
        <f t="shared" si="12"/>
        <v>0</v>
      </c>
      <c r="J387" s="385"/>
      <c r="K387" s="385"/>
      <c r="L387" s="385"/>
      <c r="M387" s="385"/>
      <c r="N387" s="385"/>
      <c r="O387" s="385"/>
      <c r="P387" s="385"/>
      <c r="Q387" s="385"/>
      <c r="R387" s="385"/>
      <c r="S387" s="385"/>
      <c r="T387" s="385"/>
      <c r="U387" s="385"/>
      <c r="V387" s="385"/>
      <c r="W387" s="385"/>
      <c r="X387" s="385"/>
      <c r="Y387" s="385"/>
      <c r="Z387" s="385"/>
      <c r="AA387" s="385"/>
      <c r="AB387" s="385"/>
      <c r="AC387" s="385"/>
      <c r="AD387" s="385"/>
      <c r="AE387" s="385"/>
      <c r="AF387" s="385"/>
      <c r="AG387" s="385"/>
      <c r="AH387" s="385"/>
      <c r="AI387" s="385"/>
      <c r="AJ387" s="385"/>
      <c r="AK387" s="385"/>
      <c r="AL387" s="385"/>
      <c r="AM387" s="385"/>
      <c r="AN387" s="385"/>
      <c r="AO387" s="385"/>
      <c r="AP387" s="385"/>
      <c r="AQ387" s="385"/>
      <c r="AR387" s="385"/>
      <c r="AS387" s="385"/>
      <c r="AT387" s="385"/>
      <c r="AU387" s="385"/>
      <c r="AV387" s="385"/>
      <c r="AW387" s="385"/>
      <c r="AX387" s="385"/>
      <c r="AY387" s="385"/>
    </row>
    <row r="388" spans="1:51" ht="18">
      <c r="A388" s="385"/>
      <c r="B388" s="391" t="str">
        <f>Input!AR386</f>
        <v/>
      </c>
      <c r="C388" s="391">
        <f>DailyMet!N369</f>
        <v>0.2</v>
      </c>
      <c r="D388" s="392">
        <f>Input!AS386</f>
        <v>0</v>
      </c>
      <c r="E388" s="392">
        <f>Input!E386</f>
        <v>365</v>
      </c>
      <c r="F388" s="393">
        <f>Input!B386</f>
        <v>38351</v>
      </c>
      <c r="G388" s="503">
        <f t="shared" si="13"/>
        <v>0</v>
      </c>
      <c r="H388" s="354"/>
      <c r="I388" s="392">
        <f t="shared" si="12"/>
        <v>0</v>
      </c>
      <c r="J388" s="385"/>
      <c r="K388" s="385"/>
      <c r="L388" s="385"/>
      <c r="M388" s="385"/>
      <c r="N388" s="385"/>
      <c r="O388" s="385"/>
      <c r="P388" s="385"/>
      <c r="Q388" s="385"/>
      <c r="R388" s="385"/>
      <c r="S388" s="385"/>
      <c r="T388" s="385"/>
      <c r="U388" s="385"/>
      <c r="V388" s="385"/>
      <c r="W388" s="385"/>
      <c r="X388" s="385"/>
      <c r="Y388" s="385"/>
      <c r="Z388" s="385"/>
      <c r="AA388" s="385"/>
      <c r="AB388" s="385"/>
      <c r="AC388" s="385"/>
      <c r="AD388" s="385"/>
      <c r="AE388" s="385"/>
      <c r="AF388" s="385"/>
      <c r="AG388" s="385"/>
      <c r="AH388" s="385"/>
      <c r="AI388" s="385"/>
      <c r="AJ388" s="385"/>
      <c r="AK388" s="385"/>
      <c r="AL388" s="385"/>
      <c r="AM388" s="385"/>
      <c r="AN388" s="385"/>
      <c r="AO388" s="385"/>
      <c r="AP388" s="385"/>
      <c r="AQ388" s="385"/>
      <c r="AR388" s="385"/>
      <c r="AS388" s="385"/>
      <c r="AT388" s="385"/>
      <c r="AU388" s="385"/>
      <c r="AV388" s="385"/>
      <c r="AW388" s="385"/>
      <c r="AX388" s="385"/>
      <c r="AY388" s="385"/>
    </row>
    <row r="389" spans="1:51" ht="18">
      <c r="A389" s="385"/>
      <c r="B389" s="391" t="str">
        <f>Input!AR387</f>
        <v/>
      </c>
      <c r="C389" s="391">
        <f>DailyMet!N370</f>
        <v>0.2</v>
      </c>
      <c r="D389" s="392">
        <f>Input!AS387</f>
        <v>0</v>
      </c>
      <c r="E389" s="392">
        <f>Input!E387</f>
        <v>366</v>
      </c>
      <c r="F389" s="393">
        <f>Input!B387</f>
        <v>38352</v>
      </c>
      <c r="G389" s="503">
        <f t="shared" si="13"/>
        <v>0</v>
      </c>
      <c r="H389" s="354"/>
      <c r="I389" s="392">
        <f t="shared" si="12"/>
        <v>0</v>
      </c>
      <c r="J389" s="385"/>
      <c r="K389" s="385"/>
      <c r="L389" s="385"/>
      <c r="M389" s="385"/>
      <c r="N389" s="385"/>
      <c r="O389" s="385"/>
      <c r="P389" s="385"/>
      <c r="Q389" s="385"/>
      <c r="R389" s="385"/>
      <c r="S389" s="385"/>
      <c r="T389" s="385"/>
      <c r="U389" s="385"/>
      <c r="V389" s="385"/>
      <c r="W389" s="385"/>
      <c r="X389" s="385"/>
      <c r="Y389" s="385"/>
      <c r="Z389" s="385"/>
      <c r="AA389" s="385"/>
      <c r="AB389" s="385"/>
      <c r="AC389" s="385"/>
      <c r="AD389" s="385"/>
      <c r="AE389" s="385"/>
      <c r="AF389" s="385"/>
      <c r="AG389" s="385"/>
      <c r="AH389" s="385"/>
      <c r="AI389" s="385"/>
      <c r="AJ389" s="385"/>
      <c r="AK389" s="385"/>
      <c r="AL389" s="385"/>
      <c r="AM389" s="385"/>
      <c r="AN389" s="385"/>
      <c r="AO389" s="385"/>
      <c r="AP389" s="385"/>
      <c r="AQ389" s="385"/>
      <c r="AR389" s="385"/>
      <c r="AS389" s="385"/>
      <c r="AT389" s="385"/>
      <c r="AU389" s="385"/>
      <c r="AV389" s="385"/>
      <c r="AW389" s="385"/>
      <c r="AX389" s="385"/>
      <c r="AY389" s="385"/>
    </row>
    <row r="390" spans="1:51" ht="18">
      <c r="A390" s="385"/>
      <c r="B390" s="391" t="str">
        <f>Input!AR388</f>
        <v/>
      </c>
      <c r="C390" s="391">
        <f>DailyMet!N371</f>
        <v>0</v>
      </c>
      <c r="D390" s="392">
        <f>Input!AS388</f>
        <v>0</v>
      </c>
      <c r="E390" s="392">
        <f>Input!E388</f>
        <v>367</v>
      </c>
      <c r="F390" s="393">
        <f>Input!B388</f>
        <v>38353</v>
      </c>
      <c r="G390" s="503">
        <f t="shared" si="13"/>
        <v>0</v>
      </c>
      <c r="H390" s="354"/>
      <c r="I390" s="392">
        <f t="shared" si="12"/>
        <v>0</v>
      </c>
      <c r="J390" s="385"/>
      <c r="K390" s="385"/>
      <c r="L390" s="385"/>
      <c r="M390" s="385"/>
      <c r="N390" s="385"/>
      <c r="O390" s="385"/>
      <c r="P390" s="385"/>
      <c r="Q390" s="385"/>
      <c r="R390" s="385"/>
      <c r="S390" s="385"/>
      <c r="T390" s="385"/>
      <c r="U390" s="385"/>
      <c r="V390" s="385"/>
      <c r="W390" s="385"/>
      <c r="X390" s="385"/>
      <c r="Y390" s="385"/>
      <c r="Z390" s="385"/>
      <c r="AA390" s="385"/>
      <c r="AB390" s="385"/>
      <c r="AC390" s="385"/>
      <c r="AD390" s="385"/>
      <c r="AE390" s="385"/>
      <c r="AF390" s="385"/>
      <c r="AG390" s="385"/>
      <c r="AH390" s="385"/>
      <c r="AI390" s="385"/>
      <c r="AJ390" s="385"/>
      <c r="AK390" s="385"/>
      <c r="AL390" s="385"/>
      <c r="AM390" s="385"/>
      <c r="AN390" s="385"/>
      <c r="AO390" s="385"/>
      <c r="AP390" s="385"/>
      <c r="AQ390" s="385"/>
      <c r="AR390" s="385"/>
      <c r="AS390" s="385"/>
      <c r="AT390" s="385"/>
      <c r="AU390" s="385"/>
      <c r="AV390" s="385"/>
      <c r="AW390" s="385"/>
      <c r="AX390" s="385"/>
      <c r="AY390" s="385"/>
    </row>
    <row r="391" spans="1:51" ht="18">
      <c r="A391" s="385"/>
      <c r="B391" s="391" t="str">
        <f>Input!AR389</f>
        <v/>
      </c>
      <c r="C391" s="391">
        <f>DailyMet!N372</f>
        <v>0</v>
      </c>
      <c r="D391" s="392">
        <f>Input!AS389</f>
        <v>0</v>
      </c>
      <c r="E391" s="392">
        <f>Input!E389</f>
        <v>368</v>
      </c>
      <c r="F391" s="393">
        <f>Input!B389</f>
        <v>38354</v>
      </c>
      <c r="G391" s="503">
        <f t="shared" si="13"/>
        <v>0</v>
      </c>
      <c r="H391" s="354"/>
      <c r="I391" s="392">
        <f t="shared" si="12"/>
        <v>0</v>
      </c>
      <c r="J391" s="385"/>
      <c r="K391" s="385"/>
      <c r="L391" s="385"/>
      <c r="M391" s="385"/>
      <c r="N391" s="385"/>
      <c r="O391" s="385"/>
      <c r="P391" s="385"/>
      <c r="Q391" s="385"/>
      <c r="R391" s="385"/>
      <c r="S391" s="385"/>
      <c r="T391" s="385"/>
      <c r="U391" s="385"/>
      <c r="V391" s="385"/>
      <c r="W391" s="385"/>
      <c r="X391" s="385"/>
      <c r="Y391" s="385"/>
      <c r="Z391" s="385"/>
      <c r="AA391" s="385"/>
      <c r="AB391" s="385"/>
      <c r="AC391" s="385"/>
      <c r="AD391" s="385"/>
      <c r="AE391" s="385"/>
      <c r="AF391" s="385"/>
      <c r="AG391" s="385"/>
      <c r="AH391" s="385"/>
      <c r="AI391" s="385"/>
      <c r="AJ391" s="385"/>
      <c r="AK391" s="385"/>
      <c r="AL391" s="385"/>
      <c r="AM391" s="385"/>
      <c r="AN391" s="385"/>
      <c r="AO391" s="385"/>
      <c r="AP391" s="385"/>
      <c r="AQ391" s="385"/>
      <c r="AR391" s="385"/>
      <c r="AS391" s="385"/>
      <c r="AT391" s="385"/>
      <c r="AU391" s="385"/>
      <c r="AV391" s="385"/>
      <c r="AW391" s="385"/>
      <c r="AX391" s="385"/>
      <c r="AY391" s="385"/>
    </row>
    <row r="392" spans="1:51" ht="18">
      <c r="A392" s="385"/>
      <c r="B392" s="391" t="str">
        <f>Input!AR390</f>
        <v/>
      </c>
      <c r="C392" s="391">
        <f>DailyMet!N373</f>
        <v>0</v>
      </c>
      <c r="D392" s="392">
        <f>Input!AS390</f>
        <v>0</v>
      </c>
      <c r="E392" s="392">
        <f>Input!E390</f>
        <v>369</v>
      </c>
      <c r="F392" s="393">
        <f>Input!B390</f>
        <v>38355</v>
      </c>
      <c r="G392" s="503">
        <f t="shared" si="13"/>
        <v>0</v>
      </c>
      <c r="H392" s="354"/>
      <c r="I392" s="392">
        <f t="shared" si="12"/>
        <v>0</v>
      </c>
      <c r="J392" s="385"/>
      <c r="K392" s="385"/>
      <c r="L392" s="385"/>
      <c r="M392" s="385"/>
      <c r="N392" s="385"/>
      <c r="O392" s="385"/>
      <c r="P392" s="385"/>
      <c r="Q392" s="385"/>
      <c r="R392" s="385"/>
      <c r="S392" s="385"/>
      <c r="T392" s="385"/>
      <c r="U392" s="385"/>
      <c r="V392" s="385"/>
      <c r="W392" s="385"/>
      <c r="X392" s="385"/>
      <c r="Y392" s="385"/>
      <c r="Z392" s="385"/>
      <c r="AA392" s="385"/>
      <c r="AB392" s="385"/>
      <c r="AC392" s="385"/>
      <c r="AD392" s="385"/>
      <c r="AE392" s="385"/>
      <c r="AF392" s="385"/>
      <c r="AG392" s="385"/>
      <c r="AH392" s="385"/>
      <c r="AI392" s="385"/>
      <c r="AJ392" s="385"/>
      <c r="AK392" s="385"/>
      <c r="AL392" s="385"/>
      <c r="AM392" s="385"/>
      <c r="AN392" s="385"/>
      <c r="AO392" s="385"/>
      <c r="AP392" s="385"/>
      <c r="AQ392" s="385"/>
      <c r="AR392" s="385"/>
      <c r="AS392" s="385"/>
      <c r="AT392" s="385"/>
      <c r="AU392" s="385"/>
      <c r="AV392" s="385"/>
      <c r="AW392" s="385"/>
      <c r="AX392" s="385"/>
      <c r="AY392" s="385"/>
    </row>
    <row r="393" spans="1:51" ht="18">
      <c r="A393" s="385"/>
      <c r="B393" s="391" t="str">
        <f>Input!AR391</f>
        <v/>
      </c>
      <c r="C393" s="391">
        <f>DailyMet!N374</f>
        <v>0</v>
      </c>
      <c r="D393" s="392">
        <f>Input!AS391</f>
        <v>0</v>
      </c>
      <c r="E393" s="392">
        <f>Input!E391</f>
        <v>370</v>
      </c>
      <c r="F393" s="393">
        <f>Input!B391</f>
        <v>38356</v>
      </c>
      <c r="G393" s="503">
        <f t="shared" si="13"/>
        <v>0</v>
      </c>
      <c r="H393" s="354"/>
      <c r="I393" s="392">
        <f t="shared" si="12"/>
        <v>0</v>
      </c>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5"/>
      <c r="AT393" s="385"/>
      <c r="AU393" s="385"/>
      <c r="AV393" s="385"/>
      <c r="AW393" s="385"/>
      <c r="AX393" s="385"/>
      <c r="AY393" s="385"/>
    </row>
    <row r="394" spans="1:51" ht="18">
      <c r="A394" s="385"/>
      <c r="B394" s="391" t="str">
        <f>Input!AR392</f>
        <v/>
      </c>
      <c r="C394" s="391">
        <f>DailyMet!N375</f>
        <v>0</v>
      </c>
      <c r="D394" s="392">
        <f>Input!AS392</f>
        <v>0</v>
      </c>
      <c r="E394" s="392">
        <f>Input!E392</f>
        <v>371</v>
      </c>
      <c r="F394" s="393">
        <f>Input!B392</f>
        <v>38357</v>
      </c>
      <c r="G394" s="503">
        <f t="shared" si="13"/>
        <v>0</v>
      </c>
      <c r="H394" s="354"/>
      <c r="I394" s="392">
        <f t="shared" si="12"/>
        <v>0</v>
      </c>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5"/>
      <c r="AT394" s="385"/>
      <c r="AU394" s="385"/>
      <c r="AV394" s="385"/>
      <c r="AW394" s="385"/>
      <c r="AX394" s="385"/>
      <c r="AY394" s="385"/>
    </row>
    <row r="395" spans="1:51" ht="18">
      <c r="A395" s="385"/>
      <c r="B395" s="391" t="str">
        <f>Input!AR393</f>
        <v/>
      </c>
      <c r="C395" s="391">
        <f>DailyMet!N376</f>
        <v>0</v>
      </c>
      <c r="D395" s="392">
        <f>Input!AS393</f>
        <v>0</v>
      </c>
      <c r="E395" s="392">
        <f>Input!E393</f>
        <v>372</v>
      </c>
      <c r="F395" s="393">
        <f>Input!B393</f>
        <v>38358</v>
      </c>
      <c r="G395" s="503">
        <f t="shared" si="13"/>
        <v>0</v>
      </c>
      <c r="H395" s="354"/>
      <c r="I395" s="392">
        <f t="shared" si="12"/>
        <v>0</v>
      </c>
      <c r="J395" s="385"/>
      <c r="K395" s="385"/>
      <c r="L395" s="385"/>
      <c r="M395" s="385"/>
      <c r="N395" s="385"/>
      <c r="O395" s="385"/>
      <c r="P395" s="385"/>
      <c r="Q395" s="385"/>
      <c r="R395" s="385"/>
      <c r="S395" s="385"/>
      <c r="T395" s="385"/>
      <c r="U395" s="385"/>
      <c r="V395" s="385"/>
      <c r="W395" s="385"/>
      <c r="X395" s="385"/>
      <c r="Y395" s="385"/>
      <c r="Z395" s="385"/>
      <c r="AA395" s="385"/>
      <c r="AB395" s="385"/>
      <c r="AC395" s="385"/>
      <c r="AD395" s="385"/>
      <c r="AE395" s="385"/>
      <c r="AF395" s="385"/>
      <c r="AG395" s="385"/>
      <c r="AH395" s="385"/>
      <c r="AI395" s="385"/>
      <c r="AJ395" s="385"/>
      <c r="AK395" s="385"/>
      <c r="AL395" s="385"/>
      <c r="AM395" s="385"/>
      <c r="AN395" s="385"/>
      <c r="AO395" s="385"/>
      <c r="AP395" s="385"/>
      <c r="AQ395" s="385"/>
      <c r="AR395" s="385"/>
      <c r="AS395" s="385"/>
      <c r="AT395" s="385"/>
      <c r="AU395" s="385"/>
      <c r="AV395" s="385"/>
      <c r="AW395" s="385"/>
      <c r="AX395" s="385"/>
      <c r="AY395" s="385"/>
    </row>
    <row r="396" spans="1:51" ht="18">
      <c r="A396" s="385"/>
      <c r="B396" s="391" t="str">
        <f>Input!AR394</f>
        <v/>
      </c>
      <c r="C396" s="391">
        <f>DailyMet!N377</f>
        <v>0</v>
      </c>
      <c r="D396" s="392">
        <f>Input!AS394</f>
        <v>0</v>
      </c>
      <c r="E396" s="392">
        <f>Input!E394</f>
        <v>373</v>
      </c>
      <c r="F396" s="393">
        <f>Input!B394</f>
        <v>38359</v>
      </c>
      <c r="G396" s="503">
        <f t="shared" si="13"/>
        <v>0</v>
      </c>
      <c r="H396" s="354"/>
      <c r="I396" s="392">
        <f t="shared" si="12"/>
        <v>0</v>
      </c>
      <c r="J396" s="385"/>
      <c r="K396" s="385"/>
      <c r="L396" s="385"/>
      <c r="M396" s="385"/>
      <c r="N396" s="385"/>
      <c r="O396" s="385"/>
      <c r="P396" s="385"/>
      <c r="Q396" s="385"/>
      <c r="R396" s="385"/>
      <c r="S396" s="385"/>
      <c r="T396" s="385"/>
      <c r="U396" s="385"/>
      <c r="V396" s="385"/>
      <c r="W396" s="385"/>
      <c r="X396" s="385"/>
      <c r="Y396" s="385"/>
      <c r="Z396" s="385"/>
      <c r="AA396" s="385"/>
      <c r="AB396" s="385"/>
      <c r="AC396" s="385"/>
      <c r="AD396" s="385"/>
      <c r="AE396" s="385"/>
      <c r="AF396" s="385"/>
      <c r="AG396" s="385"/>
      <c r="AH396" s="385"/>
      <c r="AI396" s="385"/>
      <c r="AJ396" s="385"/>
      <c r="AK396" s="385"/>
      <c r="AL396" s="385"/>
      <c r="AM396" s="385"/>
      <c r="AN396" s="385"/>
      <c r="AO396" s="385"/>
      <c r="AP396" s="385"/>
      <c r="AQ396" s="385"/>
      <c r="AR396" s="385"/>
      <c r="AS396" s="385"/>
      <c r="AT396" s="385"/>
      <c r="AU396" s="385"/>
      <c r="AV396" s="385"/>
      <c r="AW396" s="385"/>
      <c r="AX396" s="385"/>
      <c r="AY396" s="385"/>
    </row>
    <row r="397" spans="1:51" ht="18">
      <c r="A397" s="385"/>
      <c r="B397" s="391" t="str">
        <f>Input!AR395</f>
        <v/>
      </c>
      <c r="C397" s="391">
        <f>DailyMet!N378</f>
        <v>0</v>
      </c>
      <c r="D397" s="392">
        <f>Input!AS395</f>
        <v>0</v>
      </c>
      <c r="E397" s="392">
        <f>Input!E395</f>
        <v>374</v>
      </c>
      <c r="F397" s="393">
        <f>Input!B395</f>
        <v>38360</v>
      </c>
      <c r="G397" s="503">
        <f t="shared" si="13"/>
        <v>0</v>
      </c>
      <c r="H397" s="354"/>
      <c r="I397" s="392">
        <f t="shared" si="12"/>
        <v>0</v>
      </c>
      <c r="J397" s="385"/>
      <c r="K397" s="385"/>
      <c r="L397" s="385"/>
      <c r="M397" s="385"/>
      <c r="N397" s="385"/>
      <c r="O397" s="385"/>
      <c r="P397" s="385"/>
      <c r="Q397" s="385"/>
      <c r="R397" s="385"/>
      <c r="S397" s="385"/>
      <c r="T397" s="385"/>
      <c r="U397" s="385"/>
      <c r="V397" s="385"/>
      <c r="W397" s="385"/>
      <c r="X397" s="385"/>
      <c r="Y397" s="385"/>
      <c r="Z397" s="385"/>
      <c r="AA397" s="385"/>
      <c r="AB397" s="385"/>
      <c r="AC397" s="385"/>
      <c r="AD397" s="385"/>
      <c r="AE397" s="385"/>
      <c r="AF397" s="385"/>
      <c r="AG397" s="385"/>
      <c r="AH397" s="385"/>
      <c r="AI397" s="385"/>
      <c r="AJ397" s="385"/>
      <c r="AK397" s="385"/>
      <c r="AL397" s="385"/>
      <c r="AM397" s="385"/>
      <c r="AN397" s="385"/>
      <c r="AO397" s="385"/>
      <c r="AP397" s="385"/>
      <c r="AQ397" s="385"/>
      <c r="AR397" s="385"/>
      <c r="AS397" s="385"/>
      <c r="AT397" s="385"/>
      <c r="AU397" s="385"/>
      <c r="AV397" s="385"/>
      <c r="AW397" s="385"/>
      <c r="AX397" s="385"/>
      <c r="AY397" s="385"/>
    </row>
    <row r="398" spans="1:51" ht="18">
      <c r="A398" s="385"/>
      <c r="B398" s="391" t="str">
        <f>Input!AR396</f>
        <v/>
      </c>
      <c r="C398" s="391">
        <f>DailyMet!N379</f>
        <v>0</v>
      </c>
      <c r="D398" s="392">
        <f>Input!AS396</f>
        <v>0</v>
      </c>
      <c r="E398" s="392">
        <f>Input!E396</f>
        <v>375</v>
      </c>
      <c r="F398" s="393">
        <f>Input!B396</f>
        <v>38361</v>
      </c>
      <c r="G398" s="503">
        <f t="shared" si="13"/>
        <v>0</v>
      </c>
      <c r="H398" s="354"/>
      <c r="I398" s="392">
        <f t="shared" si="12"/>
        <v>0</v>
      </c>
      <c r="J398" s="385"/>
      <c r="K398" s="385"/>
      <c r="L398" s="385"/>
      <c r="M398" s="385"/>
      <c r="N398" s="385"/>
      <c r="O398" s="385"/>
      <c r="P398" s="385"/>
      <c r="Q398" s="385"/>
      <c r="R398" s="385"/>
      <c r="S398" s="385"/>
      <c r="T398" s="385"/>
      <c r="U398" s="385"/>
      <c r="V398" s="385"/>
      <c r="W398" s="385"/>
      <c r="X398" s="385"/>
      <c r="Y398" s="385"/>
      <c r="Z398" s="385"/>
      <c r="AA398" s="385"/>
      <c r="AB398" s="385"/>
      <c r="AC398" s="385"/>
      <c r="AD398" s="385"/>
      <c r="AE398" s="385"/>
      <c r="AF398" s="385"/>
      <c r="AG398" s="385"/>
      <c r="AH398" s="385"/>
      <c r="AI398" s="385"/>
      <c r="AJ398" s="385"/>
      <c r="AK398" s="385"/>
      <c r="AL398" s="385"/>
      <c r="AM398" s="385"/>
      <c r="AN398" s="385"/>
      <c r="AO398" s="385"/>
      <c r="AP398" s="385"/>
      <c r="AQ398" s="385"/>
      <c r="AR398" s="385"/>
      <c r="AS398" s="385"/>
      <c r="AT398" s="385"/>
      <c r="AU398" s="385"/>
      <c r="AV398" s="385"/>
      <c r="AW398" s="385"/>
      <c r="AX398" s="385"/>
      <c r="AY398" s="385"/>
    </row>
    <row r="399" spans="1:51" ht="18">
      <c r="A399" s="385"/>
      <c r="B399" s="391" t="str">
        <f>Input!AR397</f>
        <v/>
      </c>
      <c r="C399" s="391">
        <f>DailyMet!N380</f>
        <v>0</v>
      </c>
      <c r="D399" s="392">
        <f>Input!AS397</f>
        <v>0</v>
      </c>
      <c r="E399" s="392">
        <f>Input!E397</f>
        <v>376</v>
      </c>
      <c r="F399" s="393">
        <f>Input!B397</f>
        <v>38362</v>
      </c>
      <c r="G399" s="503">
        <f t="shared" si="13"/>
        <v>0</v>
      </c>
      <c r="H399" s="354"/>
      <c r="I399" s="392">
        <f t="shared" si="12"/>
        <v>0</v>
      </c>
      <c r="J399" s="385"/>
      <c r="K399" s="385"/>
      <c r="L399" s="385"/>
      <c r="M399" s="385"/>
      <c r="N399" s="385"/>
      <c r="O399" s="385"/>
      <c r="P399" s="385"/>
      <c r="Q399" s="385"/>
      <c r="R399" s="385"/>
      <c r="S399" s="385"/>
      <c r="T399" s="385"/>
      <c r="U399" s="385"/>
      <c r="V399" s="385"/>
      <c r="W399" s="385"/>
      <c r="X399" s="385"/>
      <c r="Y399" s="385"/>
      <c r="Z399" s="385"/>
      <c r="AA399" s="385"/>
      <c r="AB399" s="385"/>
      <c r="AC399" s="385"/>
      <c r="AD399" s="385"/>
      <c r="AE399" s="385"/>
      <c r="AF399" s="385"/>
      <c r="AG399" s="385"/>
      <c r="AH399" s="385"/>
      <c r="AI399" s="385"/>
      <c r="AJ399" s="385"/>
      <c r="AK399" s="385"/>
      <c r="AL399" s="385"/>
      <c r="AM399" s="385"/>
      <c r="AN399" s="385"/>
      <c r="AO399" s="385"/>
      <c r="AP399" s="385"/>
      <c r="AQ399" s="385"/>
      <c r="AR399" s="385"/>
      <c r="AS399" s="385"/>
      <c r="AT399" s="385"/>
      <c r="AU399" s="385"/>
      <c r="AV399" s="385"/>
      <c r="AW399" s="385"/>
      <c r="AX399" s="385"/>
      <c r="AY399" s="385"/>
    </row>
    <row r="400" spans="1:51" ht="18">
      <c r="A400" s="385"/>
      <c r="B400" s="391" t="str">
        <f>Input!AR398</f>
        <v/>
      </c>
      <c r="C400" s="391">
        <f>DailyMet!N381</f>
        <v>0</v>
      </c>
      <c r="D400" s="392">
        <f>Input!AS398</f>
        <v>0</v>
      </c>
      <c r="E400" s="392">
        <f>Input!E398</f>
        <v>377</v>
      </c>
      <c r="F400" s="393">
        <f>Input!B398</f>
        <v>38363</v>
      </c>
      <c r="G400" s="503">
        <f t="shared" si="13"/>
        <v>0</v>
      </c>
      <c r="H400" s="354"/>
      <c r="I400" s="392">
        <f t="shared" si="12"/>
        <v>0</v>
      </c>
      <c r="J400" s="385"/>
      <c r="K400" s="385"/>
      <c r="L400" s="385"/>
      <c r="M400" s="385"/>
      <c r="N400" s="385"/>
      <c r="O400" s="385"/>
      <c r="P400" s="385"/>
      <c r="Q400" s="385"/>
      <c r="R400" s="385"/>
      <c r="S400" s="385"/>
      <c r="T400" s="385"/>
      <c r="U400" s="385"/>
      <c r="V400" s="385"/>
      <c r="W400" s="385"/>
      <c r="X400" s="385"/>
      <c r="Y400" s="385"/>
      <c r="Z400" s="385"/>
      <c r="AA400" s="385"/>
      <c r="AB400" s="385"/>
      <c r="AC400" s="385"/>
      <c r="AD400" s="385"/>
      <c r="AE400" s="385"/>
      <c r="AF400" s="385"/>
      <c r="AG400" s="385"/>
      <c r="AH400" s="385"/>
      <c r="AI400" s="385"/>
      <c r="AJ400" s="385"/>
      <c r="AK400" s="385"/>
      <c r="AL400" s="385"/>
      <c r="AM400" s="385"/>
      <c r="AN400" s="385"/>
      <c r="AO400" s="385"/>
      <c r="AP400" s="385"/>
      <c r="AQ400" s="385"/>
      <c r="AR400" s="385"/>
      <c r="AS400" s="385"/>
      <c r="AT400" s="385"/>
      <c r="AU400" s="385"/>
      <c r="AV400" s="385"/>
      <c r="AW400" s="385"/>
      <c r="AX400" s="385"/>
      <c r="AY400" s="385"/>
    </row>
    <row r="401" spans="1:51" ht="18">
      <c r="A401" s="385"/>
      <c r="B401" s="391" t="str">
        <f>Input!AR399</f>
        <v/>
      </c>
      <c r="C401" s="391">
        <f>DailyMet!N382</f>
        <v>0</v>
      </c>
      <c r="D401" s="392">
        <f>Input!AS399</f>
        <v>0</v>
      </c>
      <c r="E401" s="392">
        <f>Input!E399</f>
        <v>378</v>
      </c>
      <c r="F401" s="393">
        <f>Input!B399</f>
        <v>38364</v>
      </c>
      <c r="G401" s="503">
        <f t="shared" si="13"/>
        <v>0</v>
      </c>
      <c r="H401" s="354"/>
      <c r="I401" s="392">
        <f t="shared" si="12"/>
        <v>0</v>
      </c>
      <c r="J401" s="385"/>
      <c r="K401" s="385"/>
      <c r="L401" s="385"/>
      <c r="M401" s="385"/>
      <c r="N401" s="385"/>
      <c r="O401" s="385"/>
      <c r="P401" s="385"/>
      <c r="Q401" s="385"/>
      <c r="R401" s="385"/>
      <c r="S401" s="385"/>
      <c r="T401" s="385"/>
      <c r="U401" s="385"/>
      <c r="V401" s="385"/>
      <c r="W401" s="385"/>
      <c r="X401" s="385"/>
      <c r="Y401" s="385"/>
      <c r="Z401" s="385"/>
      <c r="AA401" s="385"/>
      <c r="AB401" s="385"/>
      <c r="AC401" s="385"/>
      <c r="AD401" s="385"/>
      <c r="AE401" s="385"/>
      <c r="AF401" s="385"/>
      <c r="AG401" s="385"/>
      <c r="AH401" s="385"/>
      <c r="AI401" s="385"/>
      <c r="AJ401" s="385"/>
      <c r="AK401" s="385"/>
      <c r="AL401" s="385"/>
      <c r="AM401" s="385"/>
      <c r="AN401" s="385"/>
      <c r="AO401" s="385"/>
      <c r="AP401" s="385"/>
      <c r="AQ401" s="385"/>
      <c r="AR401" s="385"/>
      <c r="AS401" s="385"/>
      <c r="AT401" s="385"/>
      <c r="AU401" s="385"/>
      <c r="AV401" s="385"/>
      <c r="AW401" s="385"/>
      <c r="AX401" s="385"/>
      <c r="AY401" s="385"/>
    </row>
    <row r="402" spans="1:51" ht="18">
      <c r="A402" s="385"/>
      <c r="B402" s="391" t="str">
        <f>Input!AR400</f>
        <v/>
      </c>
      <c r="C402" s="391">
        <f>DailyMet!N383</f>
        <v>0</v>
      </c>
      <c r="D402" s="392">
        <f>Input!AS400</f>
        <v>0</v>
      </c>
      <c r="E402" s="392">
        <f>Input!E400</f>
        <v>379</v>
      </c>
      <c r="F402" s="393">
        <f>Input!B400</f>
        <v>38365</v>
      </c>
      <c r="G402" s="503">
        <f t="shared" si="13"/>
        <v>0</v>
      </c>
      <c r="H402" s="354"/>
      <c r="I402" s="392">
        <f t="shared" si="12"/>
        <v>0</v>
      </c>
      <c r="J402" s="385"/>
      <c r="K402" s="385"/>
      <c r="L402" s="385"/>
      <c r="M402" s="385"/>
      <c r="N402" s="385"/>
      <c r="O402" s="385"/>
      <c r="P402" s="385"/>
      <c r="Q402" s="385"/>
      <c r="R402" s="385"/>
      <c r="S402" s="385"/>
      <c r="T402" s="385"/>
      <c r="U402" s="385"/>
      <c r="V402" s="385"/>
      <c r="W402" s="385"/>
      <c r="X402" s="385"/>
      <c r="Y402" s="385"/>
      <c r="Z402" s="385"/>
      <c r="AA402" s="385"/>
      <c r="AB402" s="385"/>
      <c r="AC402" s="385"/>
      <c r="AD402" s="385"/>
      <c r="AE402" s="385"/>
      <c r="AF402" s="385"/>
      <c r="AG402" s="385"/>
      <c r="AH402" s="385"/>
      <c r="AI402" s="385"/>
      <c r="AJ402" s="385"/>
      <c r="AK402" s="385"/>
      <c r="AL402" s="385"/>
      <c r="AM402" s="385"/>
      <c r="AN402" s="385"/>
      <c r="AO402" s="385"/>
      <c r="AP402" s="385"/>
      <c r="AQ402" s="385"/>
      <c r="AR402" s="385"/>
      <c r="AS402" s="385"/>
      <c r="AT402" s="385"/>
      <c r="AU402" s="385"/>
      <c r="AV402" s="385"/>
      <c r="AW402" s="385"/>
      <c r="AX402" s="385"/>
      <c r="AY402" s="385"/>
    </row>
    <row r="403" spans="1:51" ht="18">
      <c r="A403" s="385"/>
      <c r="B403" s="391" t="str">
        <f>Input!AR401</f>
        <v/>
      </c>
      <c r="C403" s="391">
        <f>DailyMet!N384</f>
        <v>0</v>
      </c>
      <c r="D403" s="392">
        <f>Input!AS401</f>
        <v>0</v>
      </c>
      <c r="E403" s="392">
        <f>Input!E401</f>
        <v>380</v>
      </c>
      <c r="F403" s="393">
        <f>Input!B401</f>
        <v>38366</v>
      </c>
      <c r="G403" s="503">
        <f t="shared" si="13"/>
        <v>0</v>
      </c>
      <c r="H403" s="354"/>
      <c r="I403" s="392">
        <f t="shared" si="12"/>
        <v>0</v>
      </c>
      <c r="J403" s="385"/>
      <c r="K403" s="385"/>
      <c r="L403" s="385"/>
      <c r="M403" s="385"/>
      <c r="N403" s="385"/>
      <c r="O403" s="385"/>
      <c r="P403" s="385"/>
      <c r="Q403" s="385"/>
      <c r="R403" s="385"/>
      <c r="S403" s="385"/>
      <c r="T403" s="385"/>
      <c r="U403" s="385"/>
      <c r="V403" s="385"/>
      <c r="W403" s="385"/>
      <c r="X403" s="385"/>
      <c r="Y403" s="385"/>
      <c r="Z403" s="385"/>
      <c r="AA403" s="385"/>
      <c r="AB403" s="385"/>
      <c r="AC403" s="385"/>
      <c r="AD403" s="385"/>
      <c r="AE403" s="385"/>
      <c r="AF403" s="385"/>
      <c r="AG403" s="385"/>
      <c r="AH403" s="385"/>
      <c r="AI403" s="385"/>
      <c r="AJ403" s="385"/>
      <c r="AK403" s="385"/>
      <c r="AL403" s="385"/>
      <c r="AM403" s="385"/>
      <c r="AN403" s="385"/>
      <c r="AO403" s="385"/>
      <c r="AP403" s="385"/>
      <c r="AQ403" s="385"/>
      <c r="AR403" s="385"/>
      <c r="AS403" s="385"/>
      <c r="AT403" s="385"/>
      <c r="AU403" s="385"/>
      <c r="AV403" s="385"/>
      <c r="AW403" s="385"/>
      <c r="AX403" s="385"/>
      <c r="AY403" s="385"/>
    </row>
    <row r="404" spans="1:51" ht="18">
      <c r="A404" s="385"/>
      <c r="B404" s="391" t="str">
        <f>Input!AR402</f>
        <v/>
      </c>
      <c r="C404" s="391">
        <f>DailyMet!N385</f>
        <v>8</v>
      </c>
      <c r="D404" s="392">
        <f>Input!AS402</f>
        <v>0</v>
      </c>
      <c r="E404" s="392">
        <f>Input!E402</f>
        <v>381</v>
      </c>
      <c r="F404" s="393">
        <f>Input!B402</f>
        <v>38367</v>
      </c>
      <c r="G404" s="503">
        <f t="shared" si="13"/>
        <v>0</v>
      </c>
      <c r="H404" s="354"/>
      <c r="I404" s="392">
        <f t="shared" si="12"/>
        <v>0</v>
      </c>
      <c r="J404" s="385"/>
      <c r="K404" s="385"/>
      <c r="L404" s="385"/>
      <c r="M404" s="385"/>
      <c r="N404" s="385"/>
      <c r="O404" s="385"/>
      <c r="P404" s="385"/>
      <c r="Q404" s="385"/>
      <c r="R404" s="385"/>
      <c r="S404" s="385"/>
      <c r="T404" s="385"/>
      <c r="U404" s="385"/>
      <c r="V404" s="385"/>
      <c r="W404" s="385"/>
      <c r="X404" s="385"/>
      <c r="Y404" s="385"/>
      <c r="Z404" s="385"/>
      <c r="AA404" s="385"/>
      <c r="AB404" s="385"/>
      <c r="AC404" s="385"/>
      <c r="AD404" s="385"/>
      <c r="AE404" s="385"/>
      <c r="AF404" s="385"/>
      <c r="AG404" s="385"/>
      <c r="AH404" s="385"/>
      <c r="AI404" s="385"/>
      <c r="AJ404" s="385"/>
      <c r="AK404" s="385"/>
      <c r="AL404" s="385"/>
      <c r="AM404" s="385"/>
      <c r="AN404" s="385"/>
      <c r="AO404" s="385"/>
      <c r="AP404" s="385"/>
      <c r="AQ404" s="385"/>
      <c r="AR404" s="385"/>
      <c r="AS404" s="385"/>
      <c r="AT404" s="385"/>
      <c r="AU404" s="385"/>
      <c r="AV404" s="385"/>
      <c r="AW404" s="385"/>
      <c r="AX404" s="385"/>
      <c r="AY404" s="385"/>
    </row>
    <row r="405" spans="1:51" ht="18">
      <c r="A405" s="385"/>
      <c r="B405" s="391" t="str">
        <f>Input!AR403</f>
        <v/>
      </c>
      <c r="C405" s="391">
        <f>DailyMet!N386</f>
        <v>0</v>
      </c>
      <c r="D405" s="392">
        <f>Input!AS403</f>
        <v>0</v>
      </c>
      <c r="E405" s="392">
        <f>Input!E403</f>
        <v>382</v>
      </c>
      <c r="F405" s="393">
        <f>Input!B403</f>
        <v>38368</v>
      </c>
      <c r="G405" s="503">
        <f t="shared" si="13"/>
        <v>0</v>
      </c>
      <c r="H405" s="354"/>
      <c r="I405" s="392">
        <f t="shared" si="12"/>
        <v>0</v>
      </c>
      <c r="J405" s="385"/>
      <c r="K405" s="385"/>
      <c r="L405" s="385"/>
      <c r="M405" s="385"/>
      <c r="N405" s="385"/>
      <c r="O405" s="385"/>
      <c r="P405" s="385"/>
      <c r="Q405" s="385"/>
      <c r="R405" s="385"/>
      <c r="S405" s="385"/>
      <c r="T405" s="385"/>
      <c r="U405" s="385"/>
      <c r="V405" s="385"/>
      <c r="W405" s="385"/>
      <c r="X405" s="385"/>
      <c r="Y405" s="385"/>
      <c r="Z405" s="385"/>
      <c r="AA405" s="385"/>
      <c r="AB405" s="385"/>
      <c r="AC405" s="385"/>
      <c r="AD405" s="385"/>
      <c r="AE405" s="385"/>
      <c r="AF405" s="385"/>
      <c r="AG405" s="385"/>
      <c r="AH405" s="385"/>
      <c r="AI405" s="385"/>
      <c r="AJ405" s="385"/>
      <c r="AK405" s="385"/>
      <c r="AL405" s="385"/>
      <c r="AM405" s="385"/>
      <c r="AN405" s="385"/>
      <c r="AO405" s="385"/>
      <c r="AP405" s="385"/>
      <c r="AQ405" s="385"/>
      <c r="AR405" s="385"/>
      <c r="AS405" s="385"/>
      <c r="AT405" s="385"/>
      <c r="AU405" s="385"/>
      <c r="AV405" s="385"/>
      <c r="AW405" s="385"/>
      <c r="AX405" s="385"/>
      <c r="AY405" s="385"/>
    </row>
    <row r="406" spans="1:51" ht="18">
      <c r="A406" s="385"/>
      <c r="B406" s="391" t="str">
        <f>Input!AR404</f>
        <v/>
      </c>
      <c r="C406" s="391">
        <f>DailyMet!N387</f>
        <v>1</v>
      </c>
      <c r="D406" s="392">
        <f>Input!AS404</f>
        <v>0</v>
      </c>
      <c r="E406" s="392">
        <f>Input!E404</f>
        <v>383</v>
      </c>
      <c r="F406" s="393">
        <f>Input!B404</f>
        <v>38369</v>
      </c>
      <c r="G406" s="503">
        <f t="shared" si="13"/>
        <v>0</v>
      </c>
      <c r="H406" s="354"/>
      <c r="I406" s="392">
        <f t="shared" si="12"/>
        <v>0</v>
      </c>
      <c r="J406" s="385"/>
      <c r="K406" s="385"/>
      <c r="L406" s="385"/>
      <c r="M406" s="385"/>
      <c r="N406" s="385"/>
      <c r="O406" s="385"/>
      <c r="P406" s="385"/>
      <c r="Q406" s="385"/>
      <c r="R406" s="385"/>
      <c r="S406" s="385"/>
      <c r="T406" s="385"/>
      <c r="U406" s="385"/>
      <c r="V406" s="385"/>
      <c r="W406" s="385"/>
      <c r="X406" s="385"/>
      <c r="Y406" s="385"/>
      <c r="Z406" s="385"/>
      <c r="AA406" s="385"/>
      <c r="AB406" s="385"/>
      <c r="AC406" s="385"/>
      <c r="AD406" s="385"/>
      <c r="AE406" s="385"/>
      <c r="AF406" s="385"/>
      <c r="AG406" s="385"/>
      <c r="AH406" s="385"/>
      <c r="AI406" s="385"/>
      <c r="AJ406" s="385"/>
      <c r="AK406" s="385"/>
      <c r="AL406" s="385"/>
      <c r="AM406" s="385"/>
      <c r="AN406" s="385"/>
      <c r="AO406" s="385"/>
      <c r="AP406" s="385"/>
      <c r="AQ406" s="385"/>
      <c r="AR406" s="385"/>
      <c r="AS406" s="385"/>
      <c r="AT406" s="385"/>
      <c r="AU406" s="385"/>
      <c r="AV406" s="385"/>
      <c r="AW406" s="385"/>
      <c r="AX406" s="385"/>
      <c r="AY406" s="385"/>
    </row>
    <row r="407" spans="1:51" ht="18">
      <c r="A407" s="385"/>
      <c r="B407" s="391" t="str">
        <f>Input!AR405</f>
        <v/>
      </c>
      <c r="C407" s="391">
        <f>DailyMet!N388</f>
        <v>2</v>
      </c>
      <c r="D407" s="392">
        <f>Input!AS405</f>
        <v>0</v>
      </c>
      <c r="E407" s="392">
        <f>Input!E405</f>
        <v>384</v>
      </c>
      <c r="F407" s="393">
        <f>Input!B405</f>
        <v>38370</v>
      </c>
      <c r="G407" s="503">
        <f t="shared" si="13"/>
        <v>0</v>
      </c>
      <c r="H407" s="354"/>
      <c r="I407" s="392">
        <f t="shared" si="12"/>
        <v>0</v>
      </c>
      <c r="J407" s="385"/>
      <c r="K407" s="385"/>
      <c r="L407" s="385"/>
      <c r="M407" s="385"/>
      <c r="N407" s="385"/>
      <c r="O407" s="385"/>
      <c r="P407" s="385"/>
      <c r="Q407" s="385"/>
      <c r="R407" s="385"/>
      <c r="S407" s="385"/>
      <c r="T407" s="385"/>
      <c r="U407" s="385"/>
      <c r="V407" s="385"/>
      <c r="W407" s="385"/>
      <c r="X407" s="385"/>
      <c r="Y407" s="385"/>
      <c r="Z407" s="385"/>
      <c r="AA407" s="385"/>
      <c r="AB407" s="385"/>
      <c r="AC407" s="385"/>
      <c r="AD407" s="385"/>
      <c r="AE407" s="385"/>
      <c r="AF407" s="385"/>
      <c r="AG407" s="385"/>
      <c r="AH407" s="385"/>
      <c r="AI407" s="385"/>
      <c r="AJ407" s="385"/>
      <c r="AK407" s="385"/>
      <c r="AL407" s="385"/>
      <c r="AM407" s="385"/>
      <c r="AN407" s="385"/>
      <c r="AO407" s="385"/>
      <c r="AP407" s="385"/>
      <c r="AQ407" s="385"/>
      <c r="AR407" s="385"/>
      <c r="AS407" s="385"/>
      <c r="AT407" s="385"/>
      <c r="AU407" s="385"/>
      <c r="AV407" s="385"/>
      <c r="AW407" s="385"/>
      <c r="AX407" s="385"/>
      <c r="AY407" s="385"/>
    </row>
    <row r="408" spans="1:51" ht="18">
      <c r="A408" s="385"/>
      <c r="B408" s="391" t="str">
        <f>Input!AR406</f>
        <v/>
      </c>
      <c r="C408" s="391">
        <f>DailyMet!N389</f>
        <v>0</v>
      </c>
      <c r="D408" s="392">
        <f>Input!AS406</f>
        <v>0</v>
      </c>
      <c r="E408" s="392">
        <f>Input!E406</f>
        <v>385</v>
      </c>
      <c r="F408" s="393">
        <f>Input!B406</f>
        <v>38371</v>
      </c>
      <c r="G408" s="503">
        <f t="shared" si="13"/>
        <v>0</v>
      </c>
      <c r="H408" s="354"/>
      <c r="I408" s="392">
        <f t="shared" si="12"/>
        <v>0</v>
      </c>
      <c r="J408" s="385"/>
      <c r="K408" s="385"/>
      <c r="L408" s="385"/>
      <c r="M408" s="385"/>
      <c r="N408" s="385"/>
      <c r="O408" s="385"/>
      <c r="P408" s="385"/>
      <c r="Q408" s="385"/>
      <c r="R408" s="385"/>
      <c r="S408" s="385"/>
      <c r="T408" s="385"/>
      <c r="U408" s="385"/>
      <c r="V408" s="385"/>
      <c r="W408" s="385"/>
      <c r="X408" s="385"/>
      <c r="Y408" s="385"/>
      <c r="Z408" s="385"/>
      <c r="AA408" s="385"/>
      <c r="AB408" s="385"/>
      <c r="AC408" s="385"/>
      <c r="AD408" s="385"/>
      <c r="AE408" s="385"/>
      <c r="AF408" s="385"/>
      <c r="AG408" s="385"/>
      <c r="AH408" s="385"/>
      <c r="AI408" s="385"/>
      <c r="AJ408" s="385"/>
      <c r="AK408" s="385"/>
      <c r="AL408" s="385"/>
      <c r="AM408" s="385"/>
      <c r="AN408" s="385"/>
      <c r="AO408" s="385"/>
      <c r="AP408" s="385"/>
      <c r="AQ408" s="385"/>
      <c r="AR408" s="385"/>
      <c r="AS408" s="385"/>
      <c r="AT408" s="385"/>
      <c r="AU408" s="385"/>
      <c r="AV408" s="385"/>
      <c r="AW408" s="385"/>
      <c r="AX408" s="385"/>
      <c r="AY408" s="385"/>
    </row>
    <row r="409" spans="1:51" ht="18">
      <c r="A409" s="385"/>
      <c r="B409" s="391" t="str">
        <f>Input!AR407</f>
        <v/>
      </c>
      <c r="C409" s="391">
        <f>DailyMet!N390</f>
        <v>5</v>
      </c>
      <c r="D409" s="392">
        <f>Input!AS407</f>
        <v>0</v>
      </c>
      <c r="E409" s="392">
        <f>Input!E407</f>
        <v>386</v>
      </c>
      <c r="F409" s="393">
        <f>Input!B407</f>
        <v>38372</v>
      </c>
      <c r="G409" s="503">
        <f t="shared" si="13"/>
        <v>0</v>
      </c>
      <c r="H409" s="354"/>
      <c r="I409" s="392">
        <f t="shared" si="12"/>
        <v>0</v>
      </c>
      <c r="J409" s="385"/>
      <c r="K409" s="385"/>
      <c r="L409" s="385"/>
      <c r="M409" s="385"/>
      <c r="N409" s="385"/>
      <c r="O409" s="385"/>
      <c r="P409" s="385"/>
      <c r="Q409" s="385"/>
      <c r="R409" s="385"/>
      <c r="S409" s="385"/>
      <c r="T409" s="385"/>
      <c r="U409" s="385"/>
      <c r="V409" s="385"/>
      <c r="W409" s="385"/>
      <c r="X409" s="385"/>
      <c r="Y409" s="385"/>
      <c r="Z409" s="385"/>
      <c r="AA409" s="385"/>
      <c r="AB409" s="385"/>
      <c r="AC409" s="385"/>
      <c r="AD409" s="385"/>
      <c r="AE409" s="385"/>
      <c r="AF409" s="385"/>
      <c r="AG409" s="385"/>
      <c r="AH409" s="385"/>
      <c r="AI409" s="385"/>
      <c r="AJ409" s="385"/>
      <c r="AK409" s="385"/>
      <c r="AL409" s="385"/>
      <c r="AM409" s="385"/>
      <c r="AN409" s="385"/>
      <c r="AO409" s="385"/>
      <c r="AP409" s="385"/>
      <c r="AQ409" s="385"/>
      <c r="AR409" s="385"/>
      <c r="AS409" s="385"/>
      <c r="AT409" s="385"/>
      <c r="AU409" s="385"/>
      <c r="AV409" s="385"/>
      <c r="AW409" s="385"/>
      <c r="AX409" s="385"/>
      <c r="AY409" s="385"/>
    </row>
    <row r="410" spans="1:51" ht="18">
      <c r="A410" s="385"/>
      <c r="B410" s="391" t="str">
        <f>Input!AR408</f>
        <v/>
      </c>
      <c r="C410" s="391">
        <f>DailyMet!N391</f>
        <v>0</v>
      </c>
      <c r="D410" s="392">
        <f>Input!AS408</f>
        <v>0</v>
      </c>
      <c r="E410" s="392">
        <f>Input!E408</f>
        <v>387</v>
      </c>
      <c r="F410" s="393">
        <f>Input!B408</f>
        <v>38373</v>
      </c>
      <c r="G410" s="503">
        <f t="shared" si="13"/>
        <v>0</v>
      </c>
      <c r="H410" s="354"/>
      <c r="I410" s="392">
        <f t="shared" si="12"/>
        <v>0</v>
      </c>
      <c r="J410" s="385"/>
      <c r="K410" s="385"/>
      <c r="L410" s="385"/>
      <c r="M410" s="385"/>
      <c r="N410" s="385"/>
      <c r="O410" s="385"/>
      <c r="P410" s="385"/>
      <c r="Q410" s="385"/>
      <c r="R410" s="385"/>
      <c r="S410" s="385"/>
      <c r="T410" s="385"/>
      <c r="U410" s="385"/>
      <c r="V410" s="385"/>
      <c r="W410" s="385"/>
      <c r="X410" s="385"/>
      <c r="Y410" s="385"/>
      <c r="Z410" s="385"/>
      <c r="AA410" s="385"/>
      <c r="AB410" s="385"/>
      <c r="AC410" s="385"/>
      <c r="AD410" s="385"/>
      <c r="AE410" s="385"/>
      <c r="AF410" s="385"/>
      <c r="AG410" s="385"/>
      <c r="AH410" s="385"/>
      <c r="AI410" s="385"/>
      <c r="AJ410" s="385"/>
      <c r="AK410" s="385"/>
      <c r="AL410" s="385"/>
      <c r="AM410" s="385"/>
      <c r="AN410" s="385"/>
      <c r="AO410" s="385"/>
      <c r="AP410" s="385"/>
      <c r="AQ410" s="385"/>
      <c r="AR410" s="385"/>
      <c r="AS410" s="385"/>
      <c r="AT410" s="385"/>
      <c r="AU410" s="385"/>
      <c r="AV410" s="385"/>
      <c r="AW410" s="385"/>
      <c r="AX410" s="385"/>
      <c r="AY410" s="385"/>
    </row>
    <row r="411" spans="1:51" ht="18">
      <c r="A411" s="385"/>
      <c r="B411" s="391" t="str">
        <f>Input!AR409</f>
        <v/>
      </c>
      <c r="C411" s="391">
        <f>DailyMet!N392</f>
        <v>0</v>
      </c>
      <c r="D411" s="392">
        <f>Input!AS409</f>
        <v>0</v>
      </c>
      <c r="E411" s="392">
        <f>Input!E409</f>
        <v>388</v>
      </c>
      <c r="F411" s="393">
        <f>Input!B409</f>
        <v>38374</v>
      </c>
      <c r="G411" s="503">
        <f t="shared" si="13"/>
        <v>0</v>
      </c>
      <c r="H411" s="354"/>
      <c r="I411" s="392">
        <f t="shared" si="12"/>
        <v>0</v>
      </c>
      <c r="J411" s="385"/>
      <c r="K411" s="385"/>
      <c r="L411" s="385"/>
      <c r="M411" s="385"/>
      <c r="N411" s="385"/>
      <c r="O411" s="385"/>
      <c r="P411" s="385"/>
      <c r="Q411" s="385"/>
      <c r="R411" s="385"/>
      <c r="S411" s="385"/>
      <c r="T411" s="385"/>
      <c r="U411" s="385"/>
      <c r="V411" s="385"/>
      <c r="W411" s="385"/>
      <c r="X411" s="385"/>
      <c r="Y411" s="385"/>
      <c r="Z411" s="385"/>
      <c r="AA411" s="385"/>
      <c r="AB411" s="385"/>
      <c r="AC411" s="385"/>
      <c r="AD411" s="385"/>
      <c r="AE411" s="385"/>
      <c r="AF411" s="385"/>
      <c r="AG411" s="385"/>
      <c r="AH411" s="385"/>
      <c r="AI411" s="385"/>
      <c r="AJ411" s="385"/>
      <c r="AK411" s="385"/>
      <c r="AL411" s="385"/>
      <c r="AM411" s="385"/>
      <c r="AN411" s="385"/>
      <c r="AO411" s="385"/>
      <c r="AP411" s="385"/>
      <c r="AQ411" s="385"/>
      <c r="AR411" s="385"/>
      <c r="AS411" s="385"/>
      <c r="AT411" s="385"/>
      <c r="AU411" s="385"/>
      <c r="AV411" s="385"/>
      <c r="AW411" s="385"/>
      <c r="AX411" s="385"/>
      <c r="AY411" s="385"/>
    </row>
    <row r="412" spans="1:51" ht="18">
      <c r="A412" s="385"/>
      <c r="B412" s="391" t="str">
        <f>Input!AR410</f>
        <v/>
      </c>
      <c r="C412" s="391">
        <f>DailyMet!N393</f>
        <v>0</v>
      </c>
      <c r="D412" s="392">
        <f>Input!AS410</f>
        <v>0</v>
      </c>
      <c r="E412" s="392">
        <f>Input!E410</f>
        <v>389</v>
      </c>
      <c r="F412" s="393">
        <f>Input!B410</f>
        <v>38375</v>
      </c>
      <c r="G412" s="503">
        <f t="shared" si="13"/>
        <v>0</v>
      </c>
      <c r="H412" s="354"/>
      <c r="I412" s="392">
        <f t="shared" si="12"/>
        <v>0</v>
      </c>
      <c r="J412" s="385"/>
      <c r="K412" s="385"/>
      <c r="L412" s="385"/>
      <c r="M412" s="385"/>
      <c r="N412" s="385"/>
      <c r="O412" s="385"/>
      <c r="P412" s="385"/>
      <c r="Q412" s="385"/>
      <c r="R412" s="385"/>
      <c r="S412" s="385"/>
      <c r="T412" s="385"/>
      <c r="U412" s="385"/>
      <c r="V412" s="385"/>
      <c r="W412" s="385"/>
      <c r="X412" s="385"/>
      <c r="Y412" s="385"/>
      <c r="Z412" s="385"/>
      <c r="AA412" s="385"/>
      <c r="AB412" s="385"/>
      <c r="AC412" s="385"/>
      <c r="AD412" s="385"/>
      <c r="AE412" s="385"/>
      <c r="AF412" s="385"/>
      <c r="AG412" s="385"/>
      <c r="AH412" s="385"/>
      <c r="AI412" s="385"/>
      <c r="AJ412" s="385"/>
      <c r="AK412" s="385"/>
      <c r="AL412" s="385"/>
      <c r="AM412" s="385"/>
      <c r="AN412" s="385"/>
      <c r="AO412" s="385"/>
      <c r="AP412" s="385"/>
      <c r="AQ412" s="385"/>
      <c r="AR412" s="385"/>
      <c r="AS412" s="385"/>
      <c r="AT412" s="385"/>
      <c r="AU412" s="385"/>
      <c r="AV412" s="385"/>
      <c r="AW412" s="385"/>
      <c r="AX412" s="385"/>
      <c r="AY412" s="385"/>
    </row>
    <row r="413" spans="1:51" ht="18">
      <c r="A413" s="385"/>
      <c r="B413" s="391" t="str">
        <f>Input!AR411</f>
        <v/>
      </c>
      <c r="C413" s="391">
        <f>DailyMet!N394</f>
        <v>1</v>
      </c>
      <c r="D413" s="392">
        <f>Input!AS411</f>
        <v>0</v>
      </c>
      <c r="E413" s="392">
        <f>Input!E411</f>
        <v>390</v>
      </c>
      <c r="F413" s="393">
        <f>Input!B411</f>
        <v>38376</v>
      </c>
      <c r="G413" s="503">
        <f t="shared" si="13"/>
        <v>0</v>
      </c>
      <c r="H413" s="354"/>
      <c r="I413" s="392">
        <f t="shared" si="12"/>
        <v>0</v>
      </c>
      <c r="J413" s="385"/>
      <c r="K413" s="385"/>
      <c r="L413" s="385"/>
      <c r="M413" s="385"/>
      <c r="N413" s="385"/>
      <c r="O413" s="385"/>
      <c r="P413" s="385"/>
      <c r="Q413" s="385"/>
      <c r="R413" s="385"/>
      <c r="S413" s="385"/>
      <c r="T413" s="385"/>
      <c r="U413" s="385"/>
      <c r="V413" s="385"/>
      <c r="W413" s="385"/>
      <c r="X413" s="385"/>
      <c r="Y413" s="385"/>
      <c r="Z413" s="385"/>
      <c r="AA413" s="385"/>
      <c r="AB413" s="385"/>
      <c r="AC413" s="385"/>
      <c r="AD413" s="385"/>
      <c r="AE413" s="385"/>
      <c r="AF413" s="385"/>
      <c r="AG413" s="385"/>
      <c r="AH413" s="385"/>
      <c r="AI413" s="385"/>
      <c r="AJ413" s="385"/>
      <c r="AK413" s="385"/>
      <c r="AL413" s="385"/>
      <c r="AM413" s="385"/>
      <c r="AN413" s="385"/>
      <c r="AO413" s="385"/>
      <c r="AP413" s="385"/>
      <c r="AQ413" s="385"/>
      <c r="AR413" s="385"/>
      <c r="AS413" s="385"/>
      <c r="AT413" s="385"/>
      <c r="AU413" s="385"/>
      <c r="AV413" s="385"/>
      <c r="AW413" s="385"/>
      <c r="AX413" s="385"/>
      <c r="AY413" s="385"/>
    </row>
    <row r="414" spans="1:51" ht="18">
      <c r="A414" s="385"/>
      <c r="B414" s="391" t="str">
        <f>Input!AR412</f>
        <v/>
      </c>
      <c r="C414" s="391">
        <f>DailyMet!N395</f>
        <v>0</v>
      </c>
      <c r="D414" s="392">
        <f>Input!AS412</f>
        <v>0</v>
      </c>
      <c r="E414" s="392">
        <f>Input!E412</f>
        <v>391</v>
      </c>
      <c r="F414" s="393">
        <f>Input!B412</f>
        <v>38377</v>
      </c>
      <c r="G414" s="503">
        <f t="shared" si="13"/>
        <v>0</v>
      </c>
      <c r="H414" s="354"/>
      <c r="I414" s="392">
        <f t="shared" si="12"/>
        <v>0</v>
      </c>
      <c r="J414" s="385"/>
      <c r="K414" s="385"/>
      <c r="L414" s="385"/>
      <c r="M414" s="385"/>
      <c r="N414" s="385"/>
      <c r="O414" s="385"/>
      <c r="P414" s="385"/>
      <c r="Q414" s="385"/>
      <c r="R414" s="385"/>
      <c r="S414" s="385"/>
      <c r="T414" s="385"/>
      <c r="U414" s="385"/>
      <c r="V414" s="385"/>
      <c r="W414" s="385"/>
      <c r="X414" s="385"/>
      <c r="Y414" s="385"/>
      <c r="Z414" s="385"/>
      <c r="AA414" s="385"/>
      <c r="AB414" s="385"/>
      <c r="AC414" s="385"/>
      <c r="AD414" s="385"/>
      <c r="AE414" s="385"/>
      <c r="AF414" s="385"/>
      <c r="AG414" s="385"/>
      <c r="AH414" s="385"/>
      <c r="AI414" s="385"/>
      <c r="AJ414" s="385"/>
      <c r="AK414" s="385"/>
      <c r="AL414" s="385"/>
      <c r="AM414" s="385"/>
      <c r="AN414" s="385"/>
      <c r="AO414" s="385"/>
      <c r="AP414" s="385"/>
      <c r="AQ414" s="385"/>
      <c r="AR414" s="385"/>
      <c r="AS414" s="385"/>
      <c r="AT414" s="385"/>
      <c r="AU414" s="385"/>
      <c r="AV414" s="385"/>
      <c r="AW414" s="385"/>
      <c r="AX414" s="385"/>
      <c r="AY414" s="385"/>
    </row>
    <row r="415" spans="1:51" ht="18">
      <c r="A415" s="385"/>
      <c r="B415" s="391" t="str">
        <f>Input!AR413</f>
        <v/>
      </c>
      <c r="C415" s="391">
        <f>DailyMet!N396</f>
        <v>4</v>
      </c>
      <c r="D415" s="392">
        <f>Input!AS413</f>
        <v>0</v>
      </c>
      <c r="E415" s="392">
        <f>Input!E413</f>
        <v>392</v>
      </c>
      <c r="F415" s="393">
        <f>Input!B413</f>
        <v>38378</v>
      </c>
      <c r="G415" s="503">
        <f t="shared" si="13"/>
        <v>0</v>
      </c>
      <c r="H415" s="354"/>
      <c r="I415" s="392">
        <f t="shared" ref="I415:I478" si="14">IF(B415="",0,IF(D415-D414&lt;0,0,IF(I414+H415+C415&lt;0,0,I414+H415+C415)))</f>
        <v>0</v>
      </c>
      <c r="J415" s="385"/>
      <c r="K415" s="385"/>
      <c r="L415" s="385"/>
      <c r="M415" s="385"/>
      <c r="N415" s="385"/>
      <c r="O415" s="385"/>
      <c r="P415" s="385"/>
      <c r="Q415" s="385"/>
      <c r="R415" s="385"/>
      <c r="S415" s="385"/>
      <c r="T415" s="385"/>
      <c r="U415" s="385"/>
      <c r="V415" s="385"/>
      <c r="W415" s="385"/>
      <c r="X415" s="385"/>
      <c r="Y415" s="385"/>
      <c r="Z415" s="385"/>
      <c r="AA415" s="385"/>
      <c r="AB415" s="385"/>
      <c r="AC415" s="385"/>
      <c r="AD415" s="385"/>
      <c r="AE415" s="385"/>
      <c r="AF415" s="385"/>
      <c r="AG415" s="385"/>
      <c r="AH415" s="385"/>
      <c r="AI415" s="385"/>
      <c r="AJ415" s="385"/>
      <c r="AK415" s="385"/>
      <c r="AL415" s="385"/>
      <c r="AM415" s="385"/>
      <c r="AN415" s="385"/>
      <c r="AO415" s="385"/>
      <c r="AP415" s="385"/>
      <c r="AQ415" s="385"/>
      <c r="AR415" s="385"/>
      <c r="AS415" s="385"/>
      <c r="AT415" s="385"/>
      <c r="AU415" s="385"/>
      <c r="AV415" s="385"/>
      <c r="AW415" s="385"/>
      <c r="AX415" s="385"/>
      <c r="AY415" s="385"/>
    </row>
    <row r="416" spans="1:51" ht="18">
      <c r="A416" s="385"/>
      <c r="B416" s="391" t="str">
        <f>Input!AR414</f>
        <v/>
      </c>
      <c r="C416" s="391">
        <f>DailyMet!N397</f>
        <v>0</v>
      </c>
      <c r="D416" s="392">
        <f>Input!AS414</f>
        <v>0</v>
      </c>
      <c r="E416" s="392">
        <f>Input!E414</f>
        <v>393</v>
      </c>
      <c r="F416" s="393">
        <f>Input!B414</f>
        <v>38379</v>
      </c>
      <c r="G416" s="503">
        <f t="shared" si="13"/>
        <v>0</v>
      </c>
      <c r="H416" s="354"/>
      <c r="I416" s="392">
        <f t="shared" si="14"/>
        <v>0</v>
      </c>
      <c r="J416" s="385"/>
      <c r="K416" s="385"/>
      <c r="L416" s="385"/>
      <c r="M416" s="385"/>
      <c r="N416" s="385"/>
      <c r="O416" s="385"/>
      <c r="P416" s="385"/>
      <c r="Q416" s="385"/>
      <c r="R416" s="385"/>
      <c r="S416" s="385"/>
      <c r="T416" s="385"/>
      <c r="U416" s="385"/>
      <c r="V416" s="385"/>
      <c r="W416" s="385"/>
      <c r="X416" s="385"/>
      <c r="Y416" s="385"/>
      <c r="Z416" s="385"/>
      <c r="AA416" s="385"/>
      <c r="AB416" s="385"/>
      <c r="AC416" s="385"/>
      <c r="AD416" s="385"/>
      <c r="AE416" s="385"/>
      <c r="AF416" s="385"/>
      <c r="AG416" s="385"/>
      <c r="AH416" s="385"/>
      <c r="AI416" s="385"/>
      <c r="AJ416" s="385"/>
      <c r="AK416" s="385"/>
      <c r="AL416" s="385"/>
      <c r="AM416" s="385"/>
      <c r="AN416" s="385"/>
      <c r="AO416" s="385"/>
      <c r="AP416" s="385"/>
      <c r="AQ416" s="385"/>
      <c r="AR416" s="385"/>
      <c r="AS416" s="385"/>
      <c r="AT416" s="385"/>
      <c r="AU416" s="385"/>
      <c r="AV416" s="385"/>
      <c r="AW416" s="385"/>
      <c r="AX416" s="385"/>
      <c r="AY416" s="385"/>
    </row>
    <row r="417" spans="1:51" ht="18">
      <c r="A417" s="385"/>
      <c r="B417" s="391" t="str">
        <f>Input!AR415</f>
        <v/>
      </c>
      <c r="C417" s="391">
        <f>DailyMet!N398</f>
        <v>0</v>
      </c>
      <c r="D417" s="392">
        <f>Input!AS415</f>
        <v>0</v>
      </c>
      <c r="E417" s="392">
        <f>Input!E415</f>
        <v>394</v>
      </c>
      <c r="F417" s="393">
        <f>Input!B415</f>
        <v>38380</v>
      </c>
      <c r="G417" s="503">
        <f t="shared" si="13"/>
        <v>0</v>
      </c>
      <c r="H417" s="354"/>
      <c r="I417" s="392">
        <f t="shared" si="14"/>
        <v>0</v>
      </c>
      <c r="J417" s="385"/>
      <c r="K417" s="385"/>
      <c r="L417" s="385"/>
      <c r="M417" s="385"/>
      <c r="N417" s="385"/>
      <c r="O417" s="385"/>
      <c r="P417" s="385"/>
      <c r="Q417" s="385"/>
      <c r="R417" s="385"/>
      <c r="S417" s="385"/>
      <c r="T417" s="385"/>
      <c r="U417" s="385"/>
      <c r="V417" s="385"/>
      <c r="W417" s="385"/>
      <c r="X417" s="385"/>
      <c r="Y417" s="385"/>
      <c r="Z417" s="385"/>
      <c r="AA417" s="385"/>
      <c r="AB417" s="385"/>
      <c r="AC417" s="385"/>
      <c r="AD417" s="385"/>
      <c r="AE417" s="385"/>
      <c r="AF417" s="385"/>
      <c r="AG417" s="385"/>
      <c r="AH417" s="385"/>
      <c r="AI417" s="385"/>
      <c r="AJ417" s="385"/>
      <c r="AK417" s="385"/>
      <c r="AL417" s="385"/>
      <c r="AM417" s="385"/>
      <c r="AN417" s="385"/>
      <c r="AO417" s="385"/>
      <c r="AP417" s="385"/>
      <c r="AQ417" s="385"/>
      <c r="AR417" s="385"/>
      <c r="AS417" s="385"/>
      <c r="AT417" s="385"/>
      <c r="AU417" s="385"/>
      <c r="AV417" s="385"/>
      <c r="AW417" s="385"/>
      <c r="AX417" s="385"/>
      <c r="AY417" s="385"/>
    </row>
    <row r="418" spans="1:51" ht="18">
      <c r="A418" s="385"/>
      <c r="B418" s="391" t="str">
        <f>Input!AR416</f>
        <v/>
      </c>
      <c r="C418" s="391">
        <f>DailyMet!N399</f>
        <v>4</v>
      </c>
      <c r="D418" s="392">
        <f>Input!AS416</f>
        <v>0</v>
      </c>
      <c r="E418" s="392">
        <f>Input!E416</f>
        <v>395</v>
      </c>
      <c r="F418" s="393">
        <f>Input!B416</f>
        <v>38381</v>
      </c>
      <c r="G418" s="503">
        <f t="shared" si="13"/>
        <v>0</v>
      </c>
      <c r="H418" s="354"/>
      <c r="I418" s="392">
        <f t="shared" si="14"/>
        <v>0</v>
      </c>
      <c r="J418" s="385"/>
      <c r="K418" s="385"/>
      <c r="L418" s="385"/>
      <c r="M418" s="385"/>
      <c r="N418" s="385"/>
      <c r="O418" s="385"/>
      <c r="P418" s="385"/>
      <c r="Q418" s="385"/>
      <c r="R418" s="385"/>
      <c r="S418" s="385"/>
      <c r="T418" s="385"/>
      <c r="U418" s="385"/>
      <c r="V418" s="385"/>
      <c r="W418" s="385"/>
      <c r="X418" s="385"/>
      <c r="Y418" s="385"/>
      <c r="Z418" s="385"/>
      <c r="AA418" s="385"/>
      <c r="AB418" s="385"/>
      <c r="AC418" s="385"/>
      <c r="AD418" s="385"/>
      <c r="AE418" s="385"/>
      <c r="AF418" s="385"/>
      <c r="AG418" s="385"/>
      <c r="AH418" s="385"/>
      <c r="AI418" s="385"/>
      <c r="AJ418" s="385"/>
      <c r="AK418" s="385"/>
      <c r="AL418" s="385"/>
      <c r="AM418" s="385"/>
      <c r="AN418" s="385"/>
      <c r="AO418" s="385"/>
      <c r="AP418" s="385"/>
      <c r="AQ418" s="385"/>
      <c r="AR418" s="385"/>
      <c r="AS418" s="385"/>
      <c r="AT418" s="385"/>
      <c r="AU418" s="385"/>
      <c r="AV418" s="385"/>
      <c r="AW418" s="385"/>
      <c r="AX418" s="385"/>
      <c r="AY418" s="385"/>
    </row>
    <row r="419" spans="1:51" ht="18">
      <c r="A419" s="385"/>
      <c r="B419" s="391" t="str">
        <f>Input!AR417</f>
        <v/>
      </c>
      <c r="C419" s="391">
        <f>DailyMet!N400</f>
        <v>33</v>
      </c>
      <c r="D419" s="392">
        <f>Input!AS417</f>
        <v>0</v>
      </c>
      <c r="E419" s="392">
        <f>Input!E417</f>
        <v>396</v>
      </c>
      <c r="F419" s="393">
        <f>Input!B417</f>
        <v>38382</v>
      </c>
      <c r="G419" s="503">
        <f t="shared" si="13"/>
        <v>0</v>
      </c>
      <c r="H419" s="354"/>
      <c r="I419" s="392">
        <f t="shared" si="14"/>
        <v>0</v>
      </c>
      <c r="J419" s="385"/>
      <c r="K419" s="385"/>
      <c r="L419" s="385"/>
      <c r="M419" s="385"/>
      <c r="N419" s="385"/>
      <c r="O419" s="385"/>
      <c r="P419" s="385"/>
      <c r="Q419" s="385"/>
      <c r="R419" s="385"/>
      <c r="S419" s="385"/>
      <c r="T419" s="385"/>
      <c r="U419" s="385"/>
      <c r="V419" s="385"/>
      <c r="W419" s="385"/>
      <c r="X419" s="385"/>
      <c r="Y419" s="385"/>
      <c r="Z419" s="385"/>
      <c r="AA419" s="385"/>
      <c r="AB419" s="385"/>
      <c r="AC419" s="385"/>
      <c r="AD419" s="385"/>
      <c r="AE419" s="385"/>
      <c r="AF419" s="385"/>
      <c r="AG419" s="385"/>
      <c r="AH419" s="385"/>
      <c r="AI419" s="385"/>
      <c r="AJ419" s="385"/>
      <c r="AK419" s="385"/>
      <c r="AL419" s="385"/>
      <c r="AM419" s="385"/>
      <c r="AN419" s="385"/>
      <c r="AO419" s="385"/>
      <c r="AP419" s="385"/>
      <c r="AQ419" s="385"/>
      <c r="AR419" s="385"/>
      <c r="AS419" s="385"/>
      <c r="AT419" s="385"/>
      <c r="AU419" s="385"/>
      <c r="AV419" s="385"/>
      <c r="AW419" s="385"/>
      <c r="AX419" s="385"/>
      <c r="AY419" s="385"/>
    </row>
    <row r="420" spans="1:51" ht="18">
      <c r="A420" s="385"/>
      <c r="B420" s="391" t="str">
        <f>Input!AR418</f>
        <v/>
      </c>
      <c r="C420" s="391">
        <f>DailyMet!N401</f>
        <v>0</v>
      </c>
      <c r="D420" s="392">
        <f>Input!AS418</f>
        <v>0</v>
      </c>
      <c r="E420" s="392">
        <f>Input!E418</f>
        <v>397</v>
      </c>
      <c r="F420" s="393">
        <f>Input!B418</f>
        <v>38383</v>
      </c>
      <c r="G420" s="503">
        <f t="shared" si="13"/>
        <v>0</v>
      </c>
      <c r="H420" s="354"/>
      <c r="I420" s="392">
        <f t="shared" si="14"/>
        <v>0</v>
      </c>
      <c r="J420" s="385"/>
      <c r="K420" s="385"/>
      <c r="L420" s="385"/>
      <c r="M420" s="385"/>
      <c r="N420" s="385"/>
      <c r="O420" s="385"/>
      <c r="P420" s="385"/>
      <c r="Q420" s="385"/>
      <c r="R420" s="385"/>
      <c r="S420" s="385"/>
      <c r="T420" s="385"/>
      <c r="U420" s="385"/>
      <c r="V420" s="385"/>
      <c r="W420" s="385"/>
      <c r="X420" s="385"/>
      <c r="Y420" s="385"/>
      <c r="Z420" s="385"/>
      <c r="AA420" s="385"/>
      <c r="AB420" s="385"/>
      <c r="AC420" s="385"/>
      <c r="AD420" s="385"/>
      <c r="AE420" s="385"/>
      <c r="AF420" s="385"/>
      <c r="AG420" s="385"/>
      <c r="AH420" s="385"/>
      <c r="AI420" s="385"/>
      <c r="AJ420" s="385"/>
      <c r="AK420" s="385"/>
      <c r="AL420" s="385"/>
      <c r="AM420" s="385"/>
      <c r="AN420" s="385"/>
      <c r="AO420" s="385"/>
      <c r="AP420" s="385"/>
      <c r="AQ420" s="385"/>
      <c r="AR420" s="385"/>
      <c r="AS420" s="385"/>
      <c r="AT420" s="385"/>
      <c r="AU420" s="385"/>
      <c r="AV420" s="385"/>
      <c r="AW420" s="385"/>
      <c r="AX420" s="385"/>
      <c r="AY420" s="385"/>
    </row>
    <row r="421" spans="1:51" ht="18">
      <c r="A421" s="385"/>
      <c r="B421" s="391" t="str">
        <f>Input!AR419</f>
        <v/>
      </c>
      <c r="C421" s="391">
        <f>DailyMet!N402</f>
        <v>1</v>
      </c>
      <c r="D421" s="392">
        <f>Input!AS419</f>
        <v>0</v>
      </c>
      <c r="E421" s="392">
        <f>Input!E419</f>
        <v>398</v>
      </c>
      <c r="F421" s="393">
        <f>Input!B419</f>
        <v>38384</v>
      </c>
      <c r="G421" s="503">
        <f t="shared" si="13"/>
        <v>0</v>
      </c>
      <c r="H421" s="354"/>
      <c r="I421" s="392">
        <f t="shared" si="14"/>
        <v>0</v>
      </c>
      <c r="J421" s="385"/>
      <c r="K421" s="385"/>
      <c r="L421" s="385"/>
      <c r="M421" s="385"/>
      <c r="N421" s="385"/>
      <c r="O421" s="385"/>
      <c r="P421" s="385"/>
      <c r="Q421" s="385"/>
      <c r="R421" s="385"/>
      <c r="S421" s="385"/>
      <c r="T421" s="385"/>
      <c r="U421" s="385"/>
      <c r="V421" s="385"/>
      <c r="W421" s="385"/>
      <c r="X421" s="385"/>
      <c r="Y421" s="385"/>
      <c r="Z421" s="385"/>
      <c r="AA421" s="385"/>
      <c r="AB421" s="385"/>
      <c r="AC421" s="385"/>
      <c r="AD421" s="385"/>
      <c r="AE421" s="385"/>
      <c r="AF421" s="385"/>
      <c r="AG421" s="385"/>
      <c r="AH421" s="385"/>
      <c r="AI421" s="385"/>
      <c r="AJ421" s="385"/>
      <c r="AK421" s="385"/>
      <c r="AL421" s="385"/>
      <c r="AM421" s="385"/>
      <c r="AN421" s="385"/>
      <c r="AO421" s="385"/>
      <c r="AP421" s="385"/>
      <c r="AQ421" s="385"/>
      <c r="AR421" s="385"/>
      <c r="AS421" s="385"/>
      <c r="AT421" s="385"/>
      <c r="AU421" s="385"/>
      <c r="AV421" s="385"/>
      <c r="AW421" s="385"/>
      <c r="AX421" s="385"/>
      <c r="AY421" s="385"/>
    </row>
    <row r="422" spans="1:51" ht="18">
      <c r="A422" s="385"/>
      <c r="B422" s="391" t="str">
        <f>Input!AR420</f>
        <v/>
      </c>
      <c r="C422" s="391">
        <f>DailyMet!N403</f>
        <v>15</v>
      </c>
      <c r="D422" s="392">
        <f>Input!AS420</f>
        <v>0</v>
      </c>
      <c r="E422" s="392">
        <f>Input!E420</f>
        <v>399</v>
      </c>
      <c r="F422" s="393">
        <f>Input!B420</f>
        <v>38385</v>
      </c>
      <c r="G422" s="503">
        <f t="shared" si="13"/>
        <v>0</v>
      </c>
      <c r="H422" s="354"/>
      <c r="I422" s="392">
        <f t="shared" si="14"/>
        <v>0</v>
      </c>
      <c r="J422" s="385"/>
      <c r="K422" s="385"/>
      <c r="L422" s="385"/>
      <c r="M422" s="385"/>
      <c r="N422" s="385"/>
      <c r="O422" s="385"/>
      <c r="P422" s="385"/>
      <c r="Q422" s="385"/>
      <c r="R422" s="385"/>
      <c r="S422" s="385"/>
      <c r="T422" s="385"/>
      <c r="U422" s="385"/>
      <c r="V422" s="385"/>
      <c r="W422" s="385"/>
      <c r="X422" s="385"/>
      <c r="Y422" s="385"/>
      <c r="Z422" s="385"/>
      <c r="AA422" s="385"/>
      <c r="AB422" s="385"/>
      <c r="AC422" s="385"/>
      <c r="AD422" s="385"/>
      <c r="AE422" s="385"/>
      <c r="AF422" s="385"/>
      <c r="AG422" s="385"/>
      <c r="AH422" s="385"/>
      <c r="AI422" s="385"/>
      <c r="AJ422" s="385"/>
      <c r="AK422" s="385"/>
      <c r="AL422" s="385"/>
      <c r="AM422" s="385"/>
      <c r="AN422" s="385"/>
      <c r="AO422" s="385"/>
      <c r="AP422" s="385"/>
      <c r="AQ422" s="385"/>
      <c r="AR422" s="385"/>
      <c r="AS422" s="385"/>
      <c r="AT422" s="385"/>
      <c r="AU422" s="385"/>
      <c r="AV422" s="385"/>
      <c r="AW422" s="385"/>
      <c r="AX422" s="385"/>
      <c r="AY422" s="385"/>
    </row>
    <row r="423" spans="1:51" ht="18">
      <c r="A423" s="385"/>
      <c r="B423" s="391" t="str">
        <f>Input!AR421</f>
        <v/>
      </c>
      <c r="C423" s="391">
        <f>DailyMet!N404</f>
        <v>0</v>
      </c>
      <c r="D423" s="392">
        <f>Input!AS421</f>
        <v>0</v>
      </c>
      <c r="E423" s="392">
        <f>Input!E421</f>
        <v>400</v>
      </c>
      <c r="F423" s="393">
        <f>Input!B421</f>
        <v>38386</v>
      </c>
      <c r="G423" s="503">
        <f t="shared" si="13"/>
        <v>0</v>
      </c>
      <c r="H423" s="354"/>
      <c r="I423" s="392">
        <f t="shared" si="14"/>
        <v>0</v>
      </c>
      <c r="J423" s="385"/>
      <c r="K423" s="385"/>
      <c r="L423" s="385"/>
      <c r="M423" s="385"/>
      <c r="N423" s="385"/>
      <c r="O423" s="385"/>
      <c r="P423" s="385"/>
      <c r="Q423" s="385"/>
      <c r="R423" s="385"/>
      <c r="S423" s="385"/>
      <c r="T423" s="385"/>
      <c r="U423" s="385"/>
      <c r="V423" s="385"/>
      <c r="W423" s="385"/>
      <c r="X423" s="385"/>
      <c r="Y423" s="385"/>
      <c r="Z423" s="385"/>
      <c r="AA423" s="385"/>
      <c r="AB423" s="385"/>
      <c r="AC423" s="385"/>
      <c r="AD423" s="385"/>
      <c r="AE423" s="385"/>
      <c r="AF423" s="385"/>
      <c r="AG423" s="385"/>
      <c r="AH423" s="385"/>
      <c r="AI423" s="385"/>
      <c r="AJ423" s="385"/>
      <c r="AK423" s="385"/>
      <c r="AL423" s="385"/>
      <c r="AM423" s="385"/>
      <c r="AN423" s="385"/>
      <c r="AO423" s="385"/>
      <c r="AP423" s="385"/>
      <c r="AQ423" s="385"/>
      <c r="AR423" s="385"/>
      <c r="AS423" s="385"/>
      <c r="AT423" s="385"/>
      <c r="AU423" s="385"/>
      <c r="AV423" s="385"/>
      <c r="AW423" s="385"/>
      <c r="AX423" s="385"/>
      <c r="AY423" s="385"/>
    </row>
    <row r="424" spans="1:51" ht="18">
      <c r="A424" s="385"/>
      <c r="B424" s="391" t="str">
        <f>Input!AR422</f>
        <v/>
      </c>
      <c r="C424" s="391">
        <f>DailyMet!N405</f>
        <v>0</v>
      </c>
      <c r="D424" s="392">
        <f>Input!AS422</f>
        <v>0</v>
      </c>
      <c r="E424" s="392">
        <f>Input!E422</f>
        <v>401</v>
      </c>
      <c r="F424" s="393">
        <f>Input!B422</f>
        <v>38387</v>
      </c>
      <c r="G424" s="503">
        <f t="shared" si="13"/>
        <v>0</v>
      </c>
      <c r="H424" s="354"/>
      <c r="I424" s="392">
        <f t="shared" si="14"/>
        <v>0</v>
      </c>
      <c r="J424" s="385"/>
      <c r="K424" s="385"/>
      <c r="L424" s="385"/>
      <c r="M424" s="385"/>
      <c r="N424" s="385"/>
      <c r="O424" s="385"/>
      <c r="P424" s="385"/>
      <c r="Q424" s="385"/>
      <c r="R424" s="385"/>
      <c r="S424" s="385"/>
      <c r="T424" s="385"/>
      <c r="U424" s="385"/>
      <c r="V424" s="385"/>
      <c r="W424" s="385"/>
      <c r="X424" s="385"/>
      <c r="Y424" s="385"/>
      <c r="Z424" s="385"/>
      <c r="AA424" s="385"/>
      <c r="AB424" s="385"/>
      <c r="AC424" s="385"/>
      <c r="AD424" s="385"/>
      <c r="AE424" s="385"/>
      <c r="AF424" s="385"/>
      <c r="AG424" s="385"/>
      <c r="AH424" s="385"/>
      <c r="AI424" s="385"/>
      <c r="AJ424" s="385"/>
      <c r="AK424" s="385"/>
      <c r="AL424" s="385"/>
      <c r="AM424" s="385"/>
      <c r="AN424" s="385"/>
      <c r="AO424" s="385"/>
      <c r="AP424" s="385"/>
      <c r="AQ424" s="385"/>
      <c r="AR424" s="385"/>
      <c r="AS424" s="385"/>
      <c r="AT424" s="385"/>
      <c r="AU424" s="385"/>
      <c r="AV424" s="385"/>
      <c r="AW424" s="385"/>
      <c r="AX424" s="385"/>
      <c r="AY424" s="385"/>
    </row>
    <row r="425" spans="1:51" ht="18">
      <c r="A425" s="385"/>
      <c r="B425" s="391" t="str">
        <f>Input!AR423</f>
        <v/>
      </c>
      <c r="C425" s="391">
        <f>DailyMet!N406</f>
        <v>0</v>
      </c>
      <c r="D425" s="392">
        <f>Input!AS423</f>
        <v>0</v>
      </c>
      <c r="E425" s="392">
        <f>Input!E423</f>
        <v>402</v>
      </c>
      <c r="F425" s="393">
        <f>Input!B423</f>
        <v>38388</v>
      </c>
      <c r="G425" s="503">
        <f t="shared" si="13"/>
        <v>0</v>
      </c>
      <c r="H425" s="354"/>
      <c r="I425" s="392">
        <f t="shared" si="14"/>
        <v>0</v>
      </c>
      <c r="J425" s="385"/>
      <c r="K425" s="385"/>
      <c r="L425" s="385"/>
      <c r="M425" s="385"/>
      <c r="N425" s="385"/>
      <c r="O425" s="385"/>
      <c r="P425" s="385"/>
      <c r="Q425" s="385"/>
      <c r="R425" s="385"/>
      <c r="S425" s="385"/>
      <c r="T425" s="385"/>
      <c r="U425" s="385"/>
      <c r="V425" s="385"/>
      <c r="W425" s="385"/>
      <c r="X425" s="385"/>
      <c r="Y425" s="385"/>
      <c r="Z425" s="385"/>
      <c r="AA425" s="385"/>
      <c r="AB425" s="385"/>
      <c r="AC425" s="385"/>
      <c r="AD425" s="385"/>
      <c r="AE425" s="385"/>
      <c r="AF425" s="385"/>
      <c r="AG425" s="385"/>
      <c r="AH425" s="385"/>
      <c r="AI425" s="385"/>
      <c r="AJ425" s="385"/>
      <c r="AK425" s="385"/>
      <c r="AL425" s="385"/>
      <c r="AM425" s="385"/>
      <c r="AN425" s="385"/>
      <c r="AO425" s="385"/>
      <c r="AP425" s="385"/>
      <c r="AQ425" s="385"/>
      <c r="AR425" s="385"/>
      <c r="AS425" s="385"/>
      <c r="AT425" s="385"/>
      <c r="AU425" s="385"/>
      <c r="AV425" s="385"/>
      <c r="AW425" s="385"/>
      <c r="AX425" s="385"/>
      <c r="AY425" s="385"/>
    </row>
    <row r="426" spans="1:51" ht="18">
      <c r="A426" s="385"/>
      <c r="B426" s="391" t="str">
        <f>Input!AR424</f>
        <v/>
      </c>
      <c r="C426" s="391">
        <f>DailyMet!N407</f>
        <v>0</v>
      </c>
      <c r="D426" s="392">
        <f>Input!AS424</f>
        <v>0</v>
      </c>
      <c r="E426" s="392">
        <f>Input!E424</f>
        <v>403</v>
      </c>
      <c r="F426" s="393">
        <f>Input!B424</f>
        <v>38389</v>
      </c>
      <c r="G426" s="503">
        <f t="shared" si="13"/>
        <v>0</v>
      </c>
      <c r="H426" s="354"/>
      <c r="I426" s="392">
        <f t="shared" si="14"/>
        <v>0</v>
      </c>
      <c r="J426" s="385"/>
      <c r="K426" s="385"/>
      <c r="L426" s="385"/>
      <c r="M426" s="385"/>
      <c r="N426" s="385"/>
      <c r="O426" s="385"/>
      <c r="P426" s="385"/>
      <c r="Q426" s="385"/>
      <c r="R426" s="385"/>
      <c r="S426" s="385"/>
      <c r="T426" s="385"/>
      <c r="U426" s="385"/>
      <c r="V426" s="385"/>
      <c r="W426" s="385"/>
      <c r="X426" s="385"/>
      <c r="Y426" s="385"/>
      <c r="Z426" s="385"/>
      <c r="AA426" s="385"/>
      <c r="AB426" s="385"/>
      <c r="AC426" s="385"/>
      <c r="AD426" s="385"/>
      <c r="AE426" s="385"/>
      <c r="AF426" s="385"/>
      <c r="AG426" s="385"/>
      <c r="AH426" s="385"/>
      <c r="AI426" s="385"/>
      <c r="AJ426" s="385"/>
      <c r="AK426" s="385"/>
      <c r="AL426" s="385"/>
      <c r="AM426" s="385"/>
      <c r="AN426" s="385"/>
      <c r="AO426" s="385"/>
      <c r="AP426" s="385"/>
      <c r="AQ426" s="385"/>
      <c r="AR426" s="385"/>
      <c r="AS426" s="385"/>
      <c r="AT426" s="385"/>
      <c r="AU426" s="385"/>
      <c r="AV426" s="385"/>
      <c r="AW426" s="385"/>
      <c r="AX426" s="385"/>
      <c r="AY426" s="385"/>
    </row>
    <row r="427" spans="1:51" ht="18">
      <c r="A427" s="385"/>
      <c r="B427" s="391" t="str">
        <f>Input!AR425</f>
        <v/>
      </c>
      <c r="C427" s="391">
        <f>DailyMet!N408</f>
        <v>0</v>
      </c>
      <c r="D427" s="392">
        <f>Input!AS425</f>
        <v>0</v>
      </c>
      <c r="E427" s="392">
        <f>Input!E425</f>
        <v>404</v>
      </c>
      <c r="F427" s="393">
        <f>Input!B425</f>
        <v>38390</v>
      </c>
      <c r="G427" s="503">
        <f t="shared" si="13"/>
        <v>0</v>
      </c>
      <c r="H427" s="354"/>
      <c r="I427" s="392">
        <f t="shared" si="14"/>
        <v>0</v>
      </c>
      <c r="J427" s="385"/>
      <c r="K427" s="385"/>
      <c r="L427" s="385"/>
      <c r="M427" s="385"/>
      <c r="N427" s="385"/>
      <c r="O427" s="385"/>
      <c r="P427" s="385"/>
      <c r="Q427" s="385"/>
      <c r="R427" s="385"/>
      <c r="S427" s="385"/>
      <c r="T427" s="385"/>
      <c r="U427" s="385"/>
      <c r="V427" s="385"/>
      <c r="W427" s="385"/>
      <c r="X427" s="385"/>
      <c r="Y427" s="385"/>
      <c r="Z427" s="385"/>
      <c r="AA427" s="385"/>
      <c r="AB427" s="385"/>
      <c r="AC427" s="385"/>
      <c r="AD427" s="385"/>
      <c r="AE427" s="385"/>
      <c r="AF427" s="385"/>
      <c r="AG427" s="385"/>
      <c r="AH427" s="385"/>
      <c r="AI427" s="385"/>
      <c r="AJ427" s="385"/>
      <c r="AK427" s="385"/>
      <c r="AL427" s="385"/>
      <c r="AM427" s="385"/>
      <c r="AN427" s="385"/>
      <c r="AO427" s="385"/>
      <c r="AP427" s="385"/>
      <c r="AQ427" s="385"/>
      <c r="AR427" s="385"/>
      <c r="AS427" s="385"/>
      <c r="AT427" s="385"/>
      <c r="AU427" s="385"/>
      <c r="AV427" s="385"/>
      <c r="AW427" s="385"/>
      <c r="AX427" s="385"/>
      <c r="AY427" s="385"/>
    </row>
    <row r="428" spans="1:51" ht="18">
      <c r="A428" s="385"/>
      <c r="B428" s="391" t="str">
        <f>Input!AR426</f>
        <v/>
      </c>
      <c r="C428" s="391">
        <f>DailyMet!N409</f>
        <v>0</v>
      </c>
      <c r="D428" s="392">
        <f>Input!AS426</f>
        <v>0</v>
      </c>
      <c r="E428" s="392">
        <f>Input!E426</f>
        <v>405</v>
      </c>
      <c r="F428" s="393">
        <f>Input!B426</f>
        <v>38391</v>
      </c>
      <c r="G428" s="503">
        <f t="shared" si="13"/>
        <v>0</v>
      </c>
      <c r="H428" s="354"/>
      <c r="I428" s="392">
        <f t="shared" si="14"/>
        <v>0</v>
      </c>
      <c r="J428" s="385"/>
      <c r="K428" s="385"/>
      <c r="L428" s="385"/>
      <c r="M428" s="385"/>
      <c r="N428" s="385"/>
      <c r="O428" s="385"/>
      <c r="P428" s="385"/>
      <c r="Q428" s="385"/>
      <c r="R428" s="385"/>
      <c r="S428" s="385"/>
      <c r="T428" s="385"/>
      <c r="U428" s="385"/>
      <c r="V428" s="385"/>
      <c r="W428" s="385"/>
      <c r="X428" s="385"/>
      <c r="Y428" s="385"/>
      <c r="Z428" s="385"/>
      <c r="AA428" s="385"/>
      <c r="AB428" s="385"/>
      <c r="AC428" s="385"/>
      <c r="AD428" s="385"/>
      <c r="AE428" s="385"/>
      <c r="AF428" s="385"/>
      <c r="AG428" s="385"/>
      <c r="AH428" s="385"/>
      <c r="AI428" s="385"/>
      <c r="AJ428" s="385"/>
      <c r="AK428" s="385"/>
      <c r="AL428" s="385"/>
      <c r="AM428" s="385"/>
      <c r="AN428" s="385"/>
      <c r="AO428" s="385"/>
      <c r="AP428" s="385"/>
      <c r="AQ428" s="385"/>
      <c r="AR428" s="385"/>
      <c r="AS428" s="385"/>
      <c r="AT428" s="385"/>
      <c r="AU428" s="385"/>
      <c r="AV428" s="385"/>
      <c r="AW428" s="385"/>
      <c r="AX428" s="385"/>
      <c r="AY428" s="385"/>
    </row>
    <row r="429" spans="1:51" ht="18">
      <c r="A429" s="385"/>
      <c r="B429" s="391" t="str">
        <f>Input!AR427</f>
        <v/>
      </c>
      <c r="C429" s="391">
        <f>DailyMet!N410</f>
        <v>0</v>
      </c>
      <c r="D429" s="392">
        <f>Input!AS427</f>
        <v>0</v>
      </c>
      <c r="E429" s="392">
        <f>Input!E427</f>
        <v>406</v>
      </c>
      <c r="F429" s="393">
        <f>Input!B427</f>
        <v>38392</v>
      </c>
      <c r="G429" s="503">
        <f t="shared" si="13"/>
        <v>0</v>
      </c>
      <c r="H429" s="354"/>
      <c r="I429" s="392">
        <f t="shared" si="14"/>
        <v>0</v>
      </c>
      <c r="J429" s="385"/>
      <c r="K429" s="385"/>
      <c r="L429" s="385"/>
      <c r="M429" s="385"/>
      <c r="N429" s="385"/>
      <c r="O429" s="385"/>
      <c r="P429" s="385"/>
      <c r="Q429" s="385"/>
      <c r="R429" s="385"/>
      <c r="S429" s="385"/>
      <c r="T429" s="385"/>
      <c r="U429" s="385"/>
      <c r="V429" s="385"/>
      <c r="W429" s="385"/>
      <c r="X429" s="385"/>
      <c r="Y429" s="385"/>
      <c r="Z429" s="385"/>
      <c r="AA429" s="385"/>
      <c r="AB429" s="385"/>
      <c r="AC429" s="385"/>
      <c r="AD429" s="385"/>
      <c r="AE429" s="385"/>
      <c r="AF429" s="385"/>
      <c r="AG429" s="385"/>
      <c r="AH429" s="385"/>
      <c r="AI429" s="385"/>
      <c r="AJ429" s="385"/>
      <c r="AK429" s="385"/>
      <c r="AL429" s="385"/>
      <c r="AM429" s="385"/>
      <c r="AN429" s="385"/>
      <c r="AO429" s="385"/>
      <c r="AP429" s="385"/>
      <c r="AQ429" s="385"/>
      <c r="AR429" s="385"/>
      <c r="AS429" s="385"/>
      <c r="AT429" s="385"/>
      <c r="AU429" s="385"/>
      <c r="AV429" s="385"/>
      <c r="AW429" s="385"/>
      <c r="AX429" s="385"/>
      <c r="AY429" s="385"/>
    </row>
    <row r="430" spans="1:51" ht="18">
      <c r="A430" s="385"/>
      <c r="B430" s="391" t="str">
        <f>Input!AR428</f>
        <v/>
      </c>
      <c r="C430" s="391">
        <f>DailyMet!N411</f>
        <v>0</v>
      </c>
      <c r="D430" s="392">
        <f>Input!AS428</f>
        <v>0</v>
      </c>
      <c r="E430" s="392">
        <f>Input!E428</f>
        <v>407</v>
      </c>
      <c r="F430" s="393">
        <f>Input!B428</f>
        <v>38393</v>
      </c>
      <c r="G430" s="503">
        <f t="shared" si="13"/>
        <v>0</v>
      </c>
      <c r="H430" s="354"/>
      <c r="I430" s="392">
        <f t="shared" si="14"/>
        <v>0</v>
      </c>
      <c r="J430" s="385"/>
      <c r="K430" s="385"/>
      <c r="L430" s="385"/>
      <c r="M430" s="385"/>
      <c r="N430" s="385"/>
      <c r="O430" s="385"/>
      <c r="P430" s="385"/>
      <c r="Q430" s="385"/>
      <c r="R430" s="385"/>
      <c r="S430" s="385"/>
      <c r="T430" s="385"/>
      <c r="U430" s="385"/>
      <c r="V430" s="385"/>
      <c r="W430" s="385"/>
      <c r="X430" s="385"/>
      <c r="Y430" s="385"/>
      <c r="Z430" s="385"/>
      <c r="AA430" s="385"/>
      <c r="AB430" s="385"/>
      <c r="AC430" s="385"/>
      <c r="AD430" s="385"/>
      <c r="AE430" s="385"/>
      <c r="AF430" s="385"/>
      <c r="AG430" s="385"/>
      <c r="AH430" s="385"/>
      <c r="AI430" s="385"/>
      <c r="AJ430" s="385"/>
      <c r="AK430" s="385"/>
      <c r="AL430" s="385"/>
      <c r="AM430" s="385"/>
      <c r="AN430" s="385"/>
      <c r="AO430" s="385"/>
      <c r="AP430" s="385"/>
      <c r="AQ430" s="385"/>
      <c r="AR430" s="385"/>
      <c r="AS430" s="385"/>
      <c r="AT430" s="385"/>
      <c r="AU430" s="385"/>
      <c r="AV430" s="385"/>
      <c r="AW430" s="385"/>
      <c r="AX430" s="385"/>
      <c r="AY430" s="385"/>
    </row>
    <row r="431" spans="1:51" ht="18">
      <c r="A431" s="385"/>
      <c r="B431" s="391" t="str">
        <f>Input!AR429</f>
        <v/>
      </c>
      <c r="C431" s="391">
        <f>DailyMet!N412</f>
        <v>0</v>
      </c>
      <c r="D431" s="392">
        <f>Input!AS429</f>
        <v>0</v>
      </c>
      <c r="E431" s="392">
        <f>Input!E429</f>
        <v>408</v>
      </c>
      <c r="F431" s="393">
        <f>Input!B429</f>
        <v>38394</v>
      </c>
      <c r="G431" s="503">
        <f t="shared" si="13"/>
        <v>0</v>
      </c>
      <c r="H431" s="354"/>
      <c r="I431" s="392">
        <f t="shared" si="14"/>
        <v>0</v>
      </c>
      <c r="J431" s="385"/>
      <c r="K431" s="385"/>
      <c r="L431" s="385"/>
      <c r="M431" s="385"/>
      <c r="N431" s="385"/>
      <c r="O431" s="385"/>
      <c r="P431" s="385"/>
      <c r="Q431" s="385"/>
      <c r="R431" s="385"/>
      <c r="S431" s="385"/>
      <c r="T431" s="385"/>
      <c r="U431" s="385"/>
      <c r="V431" s="385"/>
      <c r="W431" s="385"/>
      <c r="X431" s="385"/>
      <c r="Y431" s="385"/>
      <c r="Z431" s="385"/>
      <c r="AA431" s="385"/>
      <c r="AB431" s="385"/>
      <c r="AC431" s="385"/>
      <c r="AD431" s="385"/>
      <c r="AE431" s="385"/>
      <c r="AF431" s="385"/>
      <c r="AG431" s="385"/>
      <c r="AH431" s="385"/>
      <c r="AI431" s="385"/>
      <c r="AJ431" s="385"/>
      <c r="AK431" s="385"/>
      <c r="AL431" s="385"/>
      <c r="AM431" s="385"/>
      <c r="AN431" s="385"/>
      <c r="AO431" s="385"/>
      <c r="AP431" s="385"/>
      <c r="AQ431" s="385"/>
      <c r="AR431" s="385"/>
      <c r="AS431" s="385"/>
      <c r="AT431" s="385"/>
      <c r="AU431" s="385"/>
      <c r="AV431" s="385"/>
      <c r="AW431" s="385"/>
      <c r="AX431" s="385"/>
      <c r="AY431" s="385"/>
    </row>
    <row r="432" spans="1:51" ht="18">
      <c r="A432" s="385"/>
      <c r="B432" s="391" t="str">
        <f>Input!AR430</f>
        <v/>
      </c>
      <c r="C432" s="391">
        <f>DailyMet!N413</f>
        <v>0</v>
      </c>
      <c r="D432" s="392">
        <f>Input!AS430</f>
        <v>0</v>
      </c>
      <c r="E432" s="392">
        <f>Input!E430</f>
        <v>409</v>
      </c>
      <c r="F432" s="393">
        <f>Input!B430</f>
        <v>38395</v>
      </c>
      <c r="G432" s="503">
        <f t="shared" si="13"/>
        <v>0</v>
      </c>
      <c r="H432" s="354"/>
      <c r="I432" s="392">
        <f t="shared" si="14"/>
        <v>0</v>
      </c>
      <c r="J432" s="385"/>
      <c r="K432" s="385"/>
      <c r="L432" s="385"/>
      <c r="M432" s="385"/>
      <c r="N432" s="385"/>
      <c r="O432" s="385"/>
      <c r="P432" s="385"/>
      <c r="Q432" s="385"/>
      <c r="R432" s="385"/>
      <c r="S432" s="385"/>
      <c r="T432" s="385"/>
      <c r="U432" s="385"/>
      <c r="V432" s="385"/>
      <c r="W432" s="385"/>
      <c r="X432" s="385"/>
      <c r="Y432" s="385"/>
      <c r="Z432" s="385"/>
      <c r="AA432" s="385"/>
      <c r="AB432" s="385"/>
      <c r="AC432" s="385"/>
      <c r="AD432" s="385"/>
      <c r="AE432" s="385"/>
      <c r="AF432" s="385"/>
      <c r="AG432" s="385"/>
      <c r="AH432" s="385"/>
      <c r="AI432" s="385"/>
      <c r="AJ432" s="385"/>
      <c r="AK432" s="385"/>
      <c r="AL432" s="385"/>
      <c r="AM432" s="385"/>
      <c r="AN432" s="385"/>
      <c r="AO432" s="385"/>
      <c r="AP432" s="385"/>
      <c r="AQ432" s="385"/>
      <c r="AR432" s="385"/>
      <c r="AS432" s="385"/>
      <c r="AT432" s="385"/>
      <c r="AU432" s="385"/>
      <c r="AV432" s="385"/>
      <c r="AW432" s="385"/>
      <c r="AX432" s="385"/>
      <c r="AY432" s="385"/>
    </row>
    <row r="433" spans="1:51" ht="18">
      <c r="A433" s="385"/>
      <c r="B433" s="391" t="str">
        <f>Input!AR431</f>
        <v/>
      </c>
      <c r="C433" s="391">
        <f>DailyMet!N414</f>
        <v>0</v>
      </c>
      <c r="D433" s="392">
        <f>Input!AS431</f>
        <v>0</v>
      </c>
      <c r="E433" s="392">
        <f>Input!E431</f>
        <v>410</v>
      </c>
      <c r="F433" s="393">
        <f>Input!B431</f>
        <v>38396</v>
      </c>
      <c r="G433" s="503">
        <f t="shared" si="13"/>
        <v>0</v>
      </c>
      <c r="H433" s="354"/>
      <c r="I433" s="392">
        <f t="shared" si="14"/>
        <v>0</v>
      </c>
      <c r="J433" s="385"/>
      <c r="K433" s="385"/>
      <c r="L433" s="385"/>
      <c r="M433" s="385"/>
      <c r="N433" s="385"/>
      <c r="O433" s="385"/>
      <c r="P433" s="385"/>
      <c r="Q433" s="385"/>
      <c r="R433" s="385"/>
      <c r="S433" s="385"/>
      <c r="T433" s="385"/>
      <c r="U433" s="385"/>
      <c r="V433" s="385"/>
      <c r="W433" s="385"/>
      <c r="X433" s="385"/>
      <c r="Y433" s="385"/>
      <c r="Z433" s="385"/>
      <c r="AA433" s="385"/>
      <c r="AB433" s="385"/>
      <c r="AC433" s="385"/>
      <c r="AD433" s="385"/>
      <c r="AE433" s="385"/>
      <c r="AF433" s="385"/>
      <c r="AG433" s="385"/>
      <c r="AH433" s="385"/>
      <c r="AI433" s="385"/>
      <c r="AJ433" s="385"/>
      <c r="AK433" s="385"/>
      <c r="AL433" s="385"/>
      <c r="AM433" s="385"/>
      <c r="AN433" s="385"/>
      <c r="AO433" s="385"/>
      <c r="AP433" s="385"/>
      <c r="AQ433" s="385"/>
      <c r="AR433" s="385"/>
      <c r="AS433" s="385"/>
      <c r="AT433" s="385"/>
      <c r="AU433" s="385"/>
      <c r="AV433" s="385"/>
      <c r="AW433" s="385"/>
      <c r="AX433" s="385"/>
      <c r="AY433" s="385"/>
    </row>
    <row r="434" spans="1:51" ht="18">
      <c r="A434" s="385"/>
      <c r="B434" s="391" t="str">
        <f>Input!AR432</f>
        <v/>
      </c>
      <c r="C434" s="391">
        <f>DailyMet!N415</f>
        <v>0</v>
      </c>
      <c r="D434" s="392">
        <f>Input!AS432</f>
        <v>0</v>
      </c>
      <c r="E434" s="392">
        <f>Input!E432</f>
        <v>411</v>
      </c>
      <c r="F434" s="393">
        <f>Input!B432</f>
        <v>38397</v>
      </c>
      <c r="G434" s="503">
        <f t="shared" si="13"/>
        <v>0</v>
      </c>
      <c r="H434" s="354"/>
      <c r="I434" s="392">
        <f t="shared" si="14"/>
        <v>0</v>
      </c>
      <c r="J434" s="385"/>
      <c r="K434" s="385"/>
      <c r="L434" s="385"/>
      <c r="M434" s="385"/>
      <c r="N434" s="385"/>
      <c r="O434" s="385"/>
      <c r="P434" s="385"/>
      <c r="Q434" s="385"/>
      <c r="R434" s="385"/>
      <c r="S434" s="385"/>
      <c r="T434" s="385"/>
      <c r="U434" s="385"/>
      <c r="V434" s="385"/>
      <c r="W434" s="385"/>
      <c r="X434" s="385"/>
      <c r="Y434" s="385"/>
      <c r="Z434" s="385"/>
      <c r="AA434" s="385"/>
      <c r="AB434" s="385"/>
      <c r="AC434" s="385"/>
      <c r="AD434" s="385"/>
      <c r="AE434" s="385"/>
      <c r="AF434" s="385"/>
      <c r="AG434" s="385"/>
      <c r="AH434" s="385"/>
      <c r="AI434" s="385"/>
      <c r="AJ434" s="385"/>
      <c r="AK434" s="385"/>
      <c r="AL434" s="385"/>
      <c r="AM434" s="385"/>
      <c r="AN434" s="385"/>
      <c r="AO434" s="385"/>
      <c r="AP434" s="385"/>
      <c r="AQ434" s="385"/>
      <c r="AR434" s="385"/>
      <c r="AS434" s="385"/>
      <c r="AT434" s="385"/>
      <c r="AU434" s="385"/>
      <c r="AV434" s="385"/>
      <c r="AW434" s="385"/>
      <c r="AX434" s="385"/>
      <c r="AY434" s="385"/>
    </row>
    <row r="435" spans="1:51" ht="18">
      <c r="A435" s="385"/>
      <c r="B435" s="391" t="str">
        <f>Input!AR433</f>
        <v/>
      </c>
      <c r="C435" s="391">
        <f>DailyMet!N416</f>
        <v>1</v>
      </c>
      <c r="D435" s="392">
        <f>Input!AS433</f>
        <v>0</v>
      </c>
      <c r="E435" s="392">
        <f>Input!E433</f>
        <v>412</v>
      </c>
      <c r="F435" s="393">
        <f>Input!B433</f>
        <v>38398</v>
      </c>
      <c r="G435" s="503">
        <f t="shared" ref="G435:G498" si="15">IF(B435="",0,IF(H435&lt;&gt;"",IF(G434+B435-H435-C435&lt;0,0,G434+B435-H435-C435),IF(G434+B435-C435&lt;0,0,G434+B435-C435)))</f>
        <v>0</v>
      </c>
      <c r="H435" s="354"/>
      <c r="I435" s="392">
        <f t="shared" si="14"/>
        <v>0</v>
      </c>
      <c r="J435" s="385"/>
      <c r="K435" s="385"/>
      <c r="L435" s="385"/>
      <c r="M435" s="385"/>
      <c r="N435" s="385"/>
      <c r="O435" s="385"/>
      <c r="P435" s="385"/>
      <c r="Q435" s="385"/>
      <c r="R435" s="385"/>
      <c r="S435" s="385"/>
      <c r="T435" s="385"/>
      <c r="U435" s="385"/>
      <c r="V435" s="385"/>
      <c r="W435" s="385"/>
      <c r="X435" s="385"/>
      <c r="Y435" s="385"/>
      <c r="Z435" s="385"/>
      <c r="AA435" s="385"/>
      <c r="AB435" s="385"/>
      <c r="AC435" s="385"/>
      <c r="AD435" s="385"/>
      <c r="AE435" s="385"/>
      <c r="AF435" s="385"/>
      <c r="AG435" s="385"/>
      <c r="AH435" s="385"/>
      <c r="AI435" s="385"/>
      <c r="AJ435" s="385"/>
      <c r="AK435" s="385"/>
      <c r="AL435" s="385"/>
      <c r="AM435" s="385"/>
      <c r="AN435" s="385"/>
      <c r="AO435" s="385"/>
      <c r="AP435" s="385"/>
      <c r="AQ435" s="385"/>
      <c r="AR435" s="385"/>
      <c r="AS435" s="385"/>
      <c r="AT435" s="385"/>
      <c r="AU435" s="385"/>
      <c r="AV435" s="385"/>
      <c r="AW435" s="385"/>
      <c r="AX435" s="385"/>
      <c r="AY435" s="385"/>
    </row>
    <row r="436" spans="1:51" ht="18">
      <c r="A436" s="385"/>
      <c r="B436" s="391" t="str">
        <f>Input!AR434</f>
        <v/>
      </c>
      <c r="C436" s="391">
        <f>DailyMet!N417</f>
        <v>0</v>
      </c>
      <c r="D436" s="392">
        <f>Input!AS434</f>
        <v>0</v>
      </c>
      <c r="E436" s="392">
        <f>Input!E434</f>
        <v>413</v>
      </c>
      <c r="F436" s="393">
        <f>Input!B434</f>
        <v>38399</v>
      </c>
      <c r="G436" s="503">
        <f t="shared" si="15"/>
        <v>0</v>
      </c>
      <c r="H436" s="354"/>
      <c r="I436" s="392">
        <f t="shared" si="14"/>
        <v>0</v>
      </c>
      <c r="J436" s="385"/>
      <c r="K436" s="385"/>
      <c r="L436" s="385"/>
      <c r="M436" s="385"/>
      <c r="N436" s="385"/>
      <c r="O436" s="385"/>
      <c r="P436" s="385"/>
      <c r="Q436" s="385"/>
      <c r="R436" s="385"/>
      <c r="S436" s="385"/>
      <c r="T436" s="385"/>
      <c r="U436" s="385"/>
      <c r="V436" s="385"/>
      <c r="W436" s="385"/>
      <c r="X436" s="385"/>
      <c r="Y436" s="385"/>
      <c r="Z436" s="385"/>
      <c r="AA436" s="385"/>
      <c r="AB436" s="385"/>
      <c r="AC436" s="385"/>
      <c r="AD436" s="385"/>
      <c r="AE436" s="385"/>
      <c r="AF436" s="385"/>
      <c r="AG436" s="385"/>
      <c r="AH436" s="385"/>
      <c r="AI436" s="385"/>
      <c r="AJ436" s="385"/>
      <c r="AK436" s="385"/>
      <c r="AL436" s="385"/>
      <c r="AM436" s="385"/>
      <c r="AN436" s="385"/>
      <c r="AO436" s="385"/>
      <c r="AP436" s="385"/>
      <c r="AQ436" s="385"/>
      <c r="AR436" s="385"/>
      <c r="AS436" s="385"/>
      <c r="AT436" s="385"/>
      <c r="AU436" s="385"/>
      <c r="AV436" s="385"/>
      <c r="AW436" s="385"/>
      <c r="AX436" s="385"/>
      <c r="AY436" s="385"/>
    </row>
    <row r="437" spans="1:51" ht="18">
      <c r="A437" s="385"/>
      <c r="B437" s="391" t="str">
        <f>Input!AR435</f>
        <v/>
      </c>
      <c r="C437" s="391">
        <f>DailyMet!N418</f>
        <v>0</v>
      </c>
      <c r="D437" s="392">
        <f>Input!AS435</f>
        <v>0</v>
      </c>
      <c r="E437" s="392">
        <f>Input!E435</f>
        <v>414</v>
      </c>
      <c r="F437" s="393">
        <f>Input!B435</f>
        <v>38400</v>
      </c>
      <c r="G437" s="503">
        <f t="shared" si="15"/>
        <v>0</v>
      </c>
      <c r="H437" s="354"/>
      <c r="I437" s="392">
        <f t="shared" si="14"/>
        <v>0</v>
      </c>
      <c r="J437" s="385"/>
      <c r="K437" s="385"/>
      <c r="L437" s="385"/>
      <c r="M437" s="385"/>
      <c r="N437" s="385"/>
      <c r="O437" s="385"/>
      <c r="P437" s="385"/>
      <c r="Q437" s="385"/>
      <c r="R437" s="385"/>
      <c r="S437" s="385"/>
      <c r="T437" s="385"/>
      <c r="U437" s="385"/>
      <c r="V437" s="385"/>
      <c r="W437" s="385"/>
      <c r="X437" s="385"/>
      <c r="Y437" s="385"/>
      <c r="Z437" s="385"/>
      <c r="AA437" s="385"/>
      <c r="AB437" s="385"/>
      <c r="AC437" s="385"/>
      <c r="AD437" s="385"/>
      <c r="AE437" s="385"/>
      <c r="AF437" s="385"/>
      <c r="AG437" s="385"/>
      <c r="AH437" s="385"/>
      <c r="AI437" s="385"/>
      <c r="AJ437" s="385"/>
      <c r="AK437" s="385"/>
      <c r="AL437" s="385"/>
      <c r="AM437" s="385"/>
      <c r="AN437" s="385"/>
      <c r="AO437" s="385"/>
      <c r="AP437" s="385"/>
      <c r="AQ437" s="385"/>
      <c r="AR437" s="385"/>
      <c r="AS437" s="385"/>
      <c r="AT437" s="385"/>
      <c r="AU437" s="385"/>
      <c r="AV437" s="385"/>
      <c r="AW437" s="385"/>
      <c r="AX437" s="385"/>
      <c r="AY437" s="385"/>
    </row>
    <row r="438" spans="1:51" ht="18">
      <c r="A438" s="385"/>
      <c r="B438" s="391" t="str">
        <f>Input!AR436</f>
        <v/>
      </c>
      <c r="C438" s="391">
        <f>DailyMet!N419</f>
        <v>28</v>
      </c>
      <c r="D438" s="392">
        <f>Input!AS436</f>
        <v>0</v>
      </c>
      <c r="E438" s="392">
        <f>Input!E436</f>
        <v>415</v>
      </c>
      <c r="F438" s="393">
        <f>Input!B436</f>
        <v>38401</v>
      </c>
      <c r="G438" s="503">
        <f t="shared" si="15"/>
        <v>0</v>
      </c>
      <c r="H438" s="354"/>
      <c r="I438" s="392">
        <f t="shared" si="14"/>
        <v>0</v>
      </c>
      <c r="J438" s="385"/>
      <c r="K438" s="385"/>
      <c r="L438" s="385"/>
      <c r="M438" s="385"/>
      <c r="N438" s="385"/>
      <c r="O438" s="385"/>
      <c r="P438" s="385"/>
      <c r="Q438" s="385"/>
      <c r="R438" s="385"/>
      <c r="S438" s="385"/>
      <c r="T438" s="385"/>
      <c r="U438" s="385"/>
      <c r="V438" s="385"/>
      <c r="W438" s="385"/>
      <c r="X438" s="385"/>
      <c r="Y438" s="385"/>
      <c r="Z438" s="385"/>
      <c r="AA438" s="385"/>
      <c r="AB438" s="385"/>
      <c r="AC438" s="385"/>
      <c r="AD438" s="385"/>
      <c r="AE438" s="385"/>
      <c r="AF438" s="385"/>
      <c r="AG438" s="385"/>
      <c r="AH438" s="385"/>
      <c r="AI438" s="385"/>
      <c r="AJ438" s="385"/>
      <c r="AK438" s="385"/>
      <c r="AL438" s="385"/>
      <c r="AM438" s="385"/>
      <c r="AN438" s="385"/>
      <c r="AO438" s="385"/>
      <c r="AP438" s="385"/>
      <c r="AQ438" s="385"/>
      <c r="AR438" s="385"/>
      <c r="AS438" s="385"/>
      <c r="AT438" s="385"/>
      <c r="AU438" s="385"/>
      <c r="AV438" s="385"/>
      <c r="AW438" s="385"/>
      <c r="AX438" s="385"/>
      <c r="AY438" s="385"/>
    </row>
    <row r="439" spans="1:51" ht="18">
      <c r="A439" s="385"/>
      <c r="B439" s="391" t="str">
        <f>Input!AR437</f>
        <v/>
      </c>
      <c r="C439" s="391">
        <f>DailyMet!N420</f>
        <v>49</v>
      </c>
      <c r="D439" s="392">
        <f>Input!AS437</f>
        <v>0</v>
      </c>
      <c r="E439" s="392">
        <f>Input!E437</f>
        <v>416</v>
      </c>
      <c r="F439" s="393">
        <f>Input!B437</f>
        <v>38402</v>
      </c>
      <c r="G439" s="503">
        <f t="shared" si="15"/>
        <v>0</v>
      </c>
      <c r="H439" s="354"/>
      <c r="I439" s="392">
        <f t="shared" si="14"/>
        <v>0</v>
      </c>
      <c r="J439" s="385"/>
      <c r="K439" s="385"/>
      <c r="L439" s="385"/>
      <c r="M439" s="385"/>
      <c r="N439" s="385"/>
      <c r="O439" s="385"/>
      <c r="P439" s="385"/>
      <c r="Q439" s="385"/>
      <c r="R439" s="385"/>
      <c r="S439" s="385"/>
      <c r="T439" s="385"/>
      <c r="U439" s="385"/>
      <c r="V439" s="385"/>
      <c r="W439" s="385"/>
      <c r="X439" s="385"/>
      <c r="Y439" s="385"/>
      <c r="Z439" s="385"/>
      <c r="AA439" s="385"/>
      <c r="AB439" s="385"/>
      <c r="AC439" s="385"/>
      <c r="AD439" s="385"/>
      <c r="AE439" s="385"/>
      <c r="AF439" s="385"/>
      <c r="AG439" s="385"/>
      <c r="AH439" s="385"/>
      <c r="AI439" s="385"/>
      <c r="AJ439" s="385"/>
      <c r="AK439" s="385"/>
      <c r="AL439" s="385"/>
      <c r="AM439" s="385"/>
      <c r="AN439" s="385"/>
      <c r="AO439" s="385"/>
      <c r="AP439" s="385"/>
      <c r="AQ439" s="385"/>
      <c r="AR439" s="385"/>
      <c r="AS439" s="385"/>
      <c r="AT439" s="385"/>
      <c r="AU439" s="385"/>
      <c r="AV439" s="385"/>
      <c r="AW439" s="385"/>
      <c r="AX439" s="385"/>
      <c r="AY439" s="385"/>
    </row>
    <row r="440" spans="1:51" ht="18">
      <c r="A440" s="385"/>
      <c r="B440" s="391" t="str">
        <f>Input!AR438</f>
        <v/>
      </c>
      <c r="C440" s="391">
        <f>DailyMet!N421</f>
        <v>4</v>
      </c>
      <c r="D440" s="392">
        <f>Input!AS438</f>
        <v>0</v>
      </c>
      <c r="E440" s="392">
        <f>Input!E438</f>
        <v>417</v>
      </c>
      <c r="F440" s="393">
        <f>Input!B438</f>
        <v>38403</v>
      </c>
      <c r="G440" s="503">
        <f t="shared" si="15"/>
        <v>0</v>
      </c>
      <c r="H440" s="354"/>
      <c r="I440" s="392">
        <f t="shared" si="14"/>
        <v>0</v>
      </c>
      <c r="J440" s="385"/>
      <c r="K440" s="385"/>
      <c r="L440" s="385"/>
      <c r="M440" s="385"/>
      <c r="N440" s="385"/>
      <c r="O440" s="385"/>
      <c r="P440" s="385"/>
      <c r="Q440" s="385"/>
      <c r="R440" s="385"/>
      <c r="S440" s="385"/>
      <c r="T440" s="385"/>
      <c r="U440" s="385"/>
      <c r="V440" s="385"/>
      <c r="W440" s="385"/>
      <c r="X440" s="385"/>
      <c r="Y440" s="385"/>
      <c r="Z440" s="385"/>
      <c r="AA440" s="385"/>
      <c r="AB440" s="385"/>
      <c r="AC440" s="385"/>
      <c r="AD440" s="385"/>
      <c r="AE440" s="385"/>
      <c r="AF440" s="385"/>
      <c r="AG440" s="385"/>
      <c r="AH440" s="385"/>
      <c r="AI440" s="385"/>
      <c r="AJ440" s="385"/>
      <c r="AK440" s="385"/>
      <c r="AL440" s="385"/>
      <c r="AM440" s="385"/>
      <c r="AN440" s="385"/>
      <c r="AO440" s="385"/>
      <c r="AP440" s="385"/>
      <c r="AQ440" s="385"/>
      <c r="AR440" s="385"/>
      <c r="AS440" s="385"/>
      <c r="AT440" s="385"/>
      <c r="AU440" s="385"/>
      <c r="AV440" s="385"/>
      <c r="AW440" s="385"/>
      <c r="AX440" s="385"/>
      <c r="AY440" s="385"/>
    </row>
    <row r="441" spans="1:51" ht="18">
      <c r="A441" s="385"/>
      <c r="B441" s="391" t="str">
        <f>Input!AR439</f>
        <v/>
      </c>
      <c r="C441" s="391">
        <f>DailyMet!N422</f>
        <v>0</v>
      </c>
      <c r="D441" s="392">
        <f>Input!AS439</f>
        <v>0</v>
      </c>
      <c r="E441" s="392">
        <f>Input!E439</f>
        <v>418</v>
      </c>
      <c r="F441" s="393">
        <f>Input!B439</f>
        <v>38404</v>
      </c>
      <c r="G441" s="503">
        <f t="shared" si="15"/>
        <v>0</v>
      </c>
      <c r="H441" s="354"/>
      <c r="I441" s="392">
        <f t="shared" si="14"/>
        <v>0</v>
      </c>
      <c r="J441" s="385"/>
      <c r="K441" s="385"/>
      <c r="L441" s="385"/>
      <c r="M441" s="385"/>
      <c r="N441" s="385"/>
      <c r="O441" s="385"/>
      <c r="P441" s="385"/>
      <c r="Q441" s="385"/>
      <c r="R441" s="385"/>
      <c r="S441" s="385"/>
      <c r="T441" s="385"/>
      <c r="U441" s="385"/>
      <c r="V441" s="385"/>
      <c r="W441" s="385"/>
      <c r="X441" s="385"/>
      <c r="Y441" s="385"/>
      <c r="Z441" s="385"/>
      <c r="AA441" s="385"/>
      <c r="AB441" s="385"/>
      <c r="AC441" s="385"/>
      <c r="AD441" s="385"/>
      <c r="AE441" s="385"/>
      <c r="AF441" s="385"/>
      <c r="AG441" s="385"/>
      <c r="AH441" s="385"/>
      <c r="AI441" s="385"/>
      <c r="AJ441" s="385"/>
      <c r="AK441" s="385"/>
      <c r="AL441" s="385"/>
      <c r="AM441" s="385"/>
      <c r="AN441" s="385"/>
      <c r="AO441" s="385"/>
      <c r="AP441" s="385"/>
      <c r="AQ441" s="385"/>
      <c r="AR441" s="385"/>
      <c r="AS441" s="385"/>
      <c r="AT441" s="385"/>
      <c r="AU441" s="385"/>
      <c r="AV441" s="385"/>
      <c r="AW441" s="385"/>
      <c r="AX441" s="385"/>
      <c r="AY441" s="385"/>
    </row>
    <row r="442" spans="1:51" ht="18">
      <c r="A442" s="385"/>
      <c r="B442" s="391" t="str">
        <f>Input!AR440</f>
        <v/>
      </c>
      <c r="C442" s="391">
        <f>DailyMet!N423</f>
        <v>0</v>
      </c>
      <c r="D442" s="392">
        <f>Input!AS440</f>
        <v>0</v>
      </c>
      <c r="E442" s="392">
        <f>Input!E440</f>
        <v>419</v>
      </c>
      <c r="F442" s="393">
        <f>Input!B440</f>
        <v>38405</v>
      </c>
      <c r="G442" s="503">
        <f t="shared" si="15"/>
        <v>0</v>
      </c>
      <c r="H442" s="354"/>
      <c r="I442" s="392">
        <f t="shared" si="14"/>
        <v>0</v>
      </c>
      <c r="J442" s="385"/>
      <c r="K442" s="385"/>
      <c r="L442" s="385"/>
      <c r="M442" s="385"/>
      <c r="N442" s="385"/>
      <c r="O442" s="385"/>
      <c r="P442" s="385"/>
      <c r="Q442" s="385"/>
      <c r="R442" s="385"/>
      <c r="S442" s="385"/>
      <c r="T442" s="385"/>
      <c r="U442" s="385"/>
      <c r="V442" s="385"/>
      <c r="W442" s="385"/>
      <c r="X442" s="385"/>
      <c r="Y442" s="385"/>
      <c r="Z442" s="385"/>
      <c r="AA442" s="385"/>
      <c r="AB442" s="385"/>
      <c r="AC442" s="385"/>
      <c r="AD442" s="385"/>
      <c r="AE442" s="385"/>
      <c r="AF442" s="385"/>
      <c r="AG442" s="385"/>
      <c r="AH442" s="385"/>
      <c r="AI442" s="385"/>
      <c r="AJ442" s="385"/>
      <c r="AK442" s="385"/>
      <c r="AL442" s="385"/>
      <c r="AM442" s="385"/>
      <c r="AN442" s="385"/>
      <c r="AO442" s="385"/>
      <c r="AP442" s="385"/>
      <c r="AQ442" s="385"/>
      <c r="AR442" s="385"/>
      <c r="AS442" s="385"/>
      <c r="AT442" s="385"/>
      <c r="AU442" s="385"/>
      <c r="AV442" s="385"/>
      <c r="AW442" s="385"/>
      <c r="AX442" s="385"/>
      <c r="AY442" s="385"/>
    </row>
    <row r="443" spans="1:51" ht="18">
      <c r="A443" s="385"/>
      <c r="B443" s="391" t="str">
        <f>Input!AR441</f>
        <v/>
      </c>
      <c r="C443" s="391">
        <f>DailyMet!N424</f>
        <v>0</v>
      </c>
      <c r="D443" s="392">
        <f>Input!AS441</f>
        <v>0</v>
      </c>
      <c r="E443" s="392">
        <f>Input!E441</f>
        <v>420</v>
      </c>
      <c r="F443" s="393">
        <f>Input!B441</f>
        <v>38406</v>
      </c>
      <c r="G443" s="503">
        <f t="shared" si="15"/>
        <v>0</v>
      </c>
      <c r="H443" s="354"/>
      <c r="I443" s="392">
        <f t="shared" si="14"/>
        <v>0</v>
      </c>
      <c r="J443" s="385"/>
      <c r="K443" s="385"/>
      <c r="L443" s="385"/>
      <c r="M443" s="385"/>
      <c r="N443" s="385"/>
      <c r="O443" s="385"/>
      <c r="P443" s="385"/>
      <c r="Q443" s="385"/>
      <c r="R443" s="385"/>
      <c r="S443" s="385"/>
      <c r="T443" s="385"/>
      <c r="U443" s="385"/>
      <c r="V443" s="385"/>
      <c r="W443" s="385"/>
      <c r="X443" s="385"/>
      <c r="Y443" s="385"/>
      <c r="Z443" s="385"/>
      <c r="AA443" s="385"/>
      <c r="AB443" s="385"/>
      <c r="AC443" s="385"/>
      <c r="AD443" s="385"/>
      <c r="AE443" s="385"/>
      <c r="AF443" s="385"/>
      <c r="AG443" s="385"/>
      <c r="AH443" s="385"/>
      <c r="AI443" s="385"/>
      <c r="AJ443" s="385"/>
      <c r="AK443" s="385"/>
      <c r="AL443" s="385"/>
      <c r="AM443" s="385"/>
      <c r="AN443" s="385"/>
      <c r="AO443" s="385"/>
      <c r="AP443" s="385"/>
      <c r="AQ443" s="385"/>
      <c r="AR443" s="385"/>
      <c r="AS443" s="385"/>
      <c r="AT443" s="385"/>
      <c r="AU443" s="385"/>
      <c r="AV443" s="385"/>
      <c r="AW443" s="385"/>
      <c r="AX443" s="385"/>
      <c r="AY443" s="385"/>
    </row>
    <row r="444" spans="1:51" ht="18">
      <c r="A444" s="385"/>
      <c r="B444" s="391" t="str">
        <f>Input!AR442</f>
        <v/>
      </c>
      <c r="C444" s="391">
        <f>DailyMet!N425</f>
        <v>4</v>
      </c>
      <c r="D444" s="392">
        <f>Input!AS442</f>
        <v>0</v>
      </c>
      <c r="E444" s="392">
        <f>Input!E442</f>
        <v>421</v>
      </c>
      <c r="F444" s="393">
        <f>Input!B442</f>
        <v>38407</v>
      </c>
      <c r="G444" s="503">
        <f t="shared" si="15"/>
        <v>0</v>
      </c>
      <c r="H444" s="354"/>
      <c r="I444" s="392">
        <f t="shared" si="14"/>
        <v>0</v>
      </c>
      <c r="J444" s="385"/>
      <c r="K444" s="385"/>
      <c r="L444" s="385"/>
      <c r="M444" s="385"/>
      <c r="N444" s="385"/>
      <c r="O444" s="385"/>
      <c r="P444" s="385"/>
      <c r="Q444" s="385"/>
      <c r="R444" s="385"/>
      <c r="S444" s="385"/>
      <c r="T444" s="385"/>
      <c r="U444" s="385"/>
      <c r="V444" s="385"/>
      <c r="W444" s="385"/>
      <c r="X444" s="385"/>
      <c r="Y444" s="385"/>
      <c r="Z444" s="385"/>
      <c r="AA444" s="385"/>
      <c r="AB444" s="385"/>
      <c r="AC444" s="385"/>
      <c r="AD444" s="385"/>
      <c r="AE444" s="385"/>
      <c r="AF444" s="385"/>
      <c r="AG444" s="385"/>
      <c r="AH444" s="385"/>
      <c r="AI444" s="385"/>
      <c r="AJ444" s="385"/>
      <c r="AK444" s="385"/>
      <c r="AL444" s="385"/>
      <c r="AM444" s="385"/>
      <c r="AN444" s="385"/>
      <c r="AO444" s="385"/>
      <c r="AP444" s="385"/>
      <c r="AQ444" s="385"/>
      <c r="AR444" s="385"/>
      <c r="AS444" s="385"/>
      <c r="AT444" s="385"/>
      <c r="AU444" s="385"/>
      <c r="AV444" s="385"/>
      <c r="AW444" s="385"/>
      <c r="AX444" s="385"/>
      <c r="AY444" s="385"/>
    </row>
    <row r="445" spans="1:51" ht="18">
      <c r="A445" s="385"/>
      <c r="B445" s="391" t="str">
        <f>Input!AR443</f>
        <v/>
      </c>
      <c r="C445" s="391">
        <f>DailyMet!N426</f>
        <v>0</v>
      </c>
      <c r="D445" s="392">
        <f>Input!AS443</f>
        <v>0</v>
      </c>
      <c r="E445" s="392">
        <f>Input!E443</f>
        <v>422</v>
      </c>
      <c r="F445" s="393">
        <f>Input!B443</f>
        <v>38408</v>
      </c>
      <c r="G445" s="503">
        <f t="shared" si="15"/>
        <v>0</v>
      </c>
      <c r="H445" s="354"/>
      <c r="I445" s="392">
        <f t="shared" si="14"/>
        <v>0</v>
      </c>
      <c r="J445" s="385"/>
      <c r="K445" s="385"/>
      <c r="L445" s="385"/>
      <c r="M445" s="385"/>
      <c r="N445" s="385"/>
      <c r="O445" s="385"/>
      <c r="P445" s="385"/>
      <c r="Q445" s="385"/>
      <c r="R445" s="385"/>
      <c r="S445" s="385"/>
      <c r="T445" s="385"/>
      <c r="U445" s="385"/>
      <c r="V445" s="385"/>
      <c r="W445" s="385"/>
      <c r="X445" s="385"/>
      <c r="Y445" s="385"/>
      <c r="Z445" s="385"/>
      <c r="AA445" s="385"/>
      <c r="AB445" s="385"/>
      <c r="AC445" s="385"/>
      <c r="AD445" s="385"/>
      <c r="AE445" s="385"/>
      <c r="AF445" s="385"/>
      <c r="AG445" s="385"/>
      <c r="AH445" s="385"/>
      <c r="AI445" s="385"/>
      <c r="AJ445" s="385"/>
      <c r="AK445" s="385"/>
      <c r="AL445" s="385"/>
      <c r="AM445" s="385"/>
      <c r="AN445" s="385"/>
      <c r="AO445" s="385"/>
      <c r="AP445" s="385"/>
      <c r="AQ445" s="385"/>
      <c r="AR445" s="385"/>
      <c r="AS445" s="385"/>
      <c r="AT445" s="385"/>
      <c r="AU445" s="385"/>
      <c r="AV445" s="385"/>
      <c r="AW445" s="385"/>
      <c r="AX445" s="385"/>
      <c r="AY445" s="385"/>
    </row>
    <row r="446" spans="1:51" ht="18">
      <c r="A446" s="385"/>
      <c r="B446" s="391" t="str">
        <f>Input!AR444</f>
        <v/>
      </c>
      <c r="C446" s="391">
        <f>DailyMet!N427</f>
        <v>11</v>
      </c>
      <c r="D446" s="392">
        <f>Input!AS444</f>
        <v>0</v>
      </c>
      <c r="E446" s="392">
        <f>Input!E444</f>
        <v>423</v>
      </c>
      <c r="F446" s="393">
        <f>Input!B444</f>
        <v>38409</v>
      </c>
      <c r="G446" s="503">
        <f t="shared" si="15"/>
        <v>0</v>
      </c>
      <c r="H446" s="354"/>
      <c r="I446" s="392">
        <f t="shared" si="14"/>
        <v>0</v>
      </c>
      <c r="J446" s="385"/>
      <c r="K446" s="385"/>
      <c r="L446" s="385"/>
      <c r="M446" s="385"/>
      <c r="N446" s="385"/>
      <c r="O446" s="385"/>
      <c r="P446" s="385"/>
      <c r="Q446" s="385"/>
      <c r="R446" s="385"/>
      <c r="S446" s="385"/>
      <c r="T446" s="385"/>
      <c r="U446" s="385"/>
      <c r="V446" s="385"/>
      <c r="W446" s="385"/>
      <c r="X446" s="385"/>
      <c r="Y446" s="385"/>
      <c r="Z446" s="385"/>
      <c r="AA446" s="385"/>
      <c r="AB446" s="385"/>
      <c r="AC446" s="385"/>
      <c r="AD446" s="385"/>
      <c r="AE446" s="385"/>
      <c r="AF446" s="385"/>
      <c r="AG446" s="385"/>
      <c r="AH446" s="385"/>
      <c r="AI446" s="385"/>
      <c r="AJ446" s="385"/>
      <c r="AK446" s="385"/>
      <c r="AL446" s="385"/>
      <c r="AM446" s="385"/>
      <c r="AN446" s="385"/>
      <c r="AO446" s="385"/>
      <c r="AP446" s="385"/>
      <c r="AQ446" s="385"/>
      <c r="AR446" s="385"/>
      <c r="AS446" s="385"/>
      <c r="AT446" s="385"/>
      <c r="AU446" s="385"/>
      <c r="AV446" s="385"/>
      <c r="AW446" s="385"/>
      <c r="AX446" s="385"/>
      <c r="AY446" s="385"/>
    </row>
    <row r="447" spans="1:51" ht="18">
      <c r="A447" s="385"/>
      <c r="B447" s="391" t="str">
        <f>Input!AR445</f>
        <v/>
      </c>
      <c r="C447" s="391">
        <f>DailyMet!N428</f>
        <v>0</v>
      </c>
      <c r="D447" s="392">
        <f>Input!AS445</f>
        <v>0</v>
      </c>
      <c r="E447" s="392">
        <f>Input!E445</f>
        <v>424</v>
      </c>
      <c r="F447" s="393">
        <f>Input!B445</f>
        <v>38410</v>
      </c>
      <c r="G447" s="503">
        <f t="shared" si="15"/>
        <v>0</v>
      </c>
      <c r="H447" s="354"/>
      <c r="I447" s="392">
        <f t="shared" si="14"/>
        <v>0</v>
      </c>
      <c r="J447" s="385"/>
      <c r="K447" s="385"/>
      <c r="L447" s="385"/>
      <c r="M447" s="385"/>
      <c r="N447" s="385"/>
      <c r="O447" s="385"/>
      <c r="P447" s="385"/>
      <c r="Q447" s="385"/>
      <c r="R447" s="385"/>
      <c r="S447" s="385"/>
      <c r="T447" s="385"/>
      <c r="U447" s="385"/>
      <c r="V447" s="385"/>
      <c r="W447" s="385"/>
      <c r="X447" s="385"/>
      <c r="Y447" s="385"/>
      <c r="Z447" s="385"/>
      <c r="AA447" s="385"/>
      <c r="AB447" s="385"/>
      <c r="AC447" s="385"/>
      <c r="AD447" s="385"/>
      <c r="AE447" s="385"/>
      <c r="AF447" s="385"/>
      <c r="AG447" s="385"/>
      <c r="AH447" s="385"/>
      <c r="AI447" s="385"/>
      <c r="AJ447" s="385"/>
      <c r="AK447" s="385"/>
      <c r="AL447" s="385"/>
      <c r="AM447" s="385"/>
      <c r="AN447" s="385"/>
      <c r="AO447" s="385"/>
      <c r="AP447" s="385"/>
      <c r="AQ447" s="385"/>
      <c r="AR447" s="385"/>
      <c r="AS447" s="385"/>
      <c r="AT447" s="385"/>
      <c r="AU447" s="385"/>
      <c r="AV447" s="385"/>
      <c r="AW447" s="385"/>
      <c r="AX447" s="385"/>
      <c r="AY447" s="385"/>
    </row>
    <row r="448" spans="1:51" ht="18">
      <c r="A448" s="385"/>
      <c r="B448" s="391" t="str">
        <f>Input!AR446</f>
        <v/>
      </c>
      <c r="C448" s="391">
        <f>DailyMet!N429</f>
        <v>0</v>
      </c>
      <c r="D448" s="392">
        <f>Input!AS446</f>
        <v>0</v>
      </c>
      <c r="E448" s="392">
        <f>Input!E446</f>
        <v>425</v>
      </c>
      <c r="F448" s="393">
        <f>Input!B446</f>
        <v>38411</v>
      </c>
      <c r="G448" s="503">
        <f t="shared" si="15"/>
        <v>0</v>
      </c>
      <c r="H448" s="354"/>
      <c r="I448" s="392">
        <f t="shared" si="14"/>
        <v>0</v>
      </c>
      <c r="J448" s="385"/>
      <c r="K448" s="385"/>
      <c r="L448" s="385"/>
      <c r="M448" s="385"/>
      <c r="N448" s="385"/>
      <c r="O448" s="385"/>
      <c r="P448" s="385"/>
      <c r="Q448" s="385"/>
      <c r="R448" s="385"/>
      <c r="S448" s="385"/>
      <c r="T448" s="385"/>
      <c r="U448" s="385"/>
      <c r="V448" s="385"/>
      <c r="W448" s="385"/>
      <c r="X448" s="385"/>
      <c r="Y448" s="385"/>
      <c r="Z448" s="385"/>
      <c r="AA448" s="385"/>
      <c r="AB448" s="385"/>
      <c r="AC448" s="385"/>
      <c r="AD448" s="385"/>
      <c r="AE448" s="385"/>
      <c r="AF448" s="385"/>
      <c r="AG448" s="385"/>
      <c r="AH448" s="385"/>
      <c r="AI448" s="385"/>
      <c r="AJ448" s="385"/>
      <c r="AK448" s="385"/>
      <c r="AL448" s="385"/>
      <c r="AM448" s="385"/>
      <c r="AN448" s="385"/>
      <c r="AO448" s="385"/>
      <c r="AP448" s="385"/>
      <c r="AQ448" s="385"/>
      <c r="AR448" s="385"/>
      <c r="AS448" s="385"/>
      <c r="AT448" s="385"/>
      <c r="AU448" s="385"/>
      <c r="AV448" s="385"/>
      <c r="AW448" s="385"/>
      <c r="AX448" s="385"/>
      <c r="AY448" s="385"/>
    </row>
    <row r="449" spans="1:51" ht="18">
      <c r="A449" s="385"/>
      <c r="B449" s="391" t="str">
        <f>Input!AR447</f>
        <v/>
      </c>
      <c r="C449" s="391">
        <f>DailyMet!N430</f>
        <v>0</v>
      </c>
      <c r="D449" s="392">
        <f>Input!AS447</f>
        <v>0</v>
      </c>
      <c r="E449" s="392">
        <f>Input!E447</f>
        <v>426</v>
      </c>
      <c r="F449" s="393">
        <f>Input!B447</f>
        <v>38412</v>
      </c>
      <c r="G449" s="503">
        <f t="shared" si="15"/>
        <v>0</v>
      </c>
      <c r="H449" s="354"/>
      <c r="I449" s="392">
        <f t="shared" si="14"/>
        <v>0</v>
      </c>
      <c r="J449" s="385"/>
      <c r="K449" s="385"/>
      <c r="L449" s="385"/>
      <c r="M449" s="385"/>
      <c r="N449" s="385"/>
      <c r="O449" s="385"/>
      <c r="P449" s="385"/>
      <c r="Q449" s="385"/>
      <c r="R449" s="385"/>
      <c r="S449" s="385"/>
      <c r="T449" s="385"/>
      <c r="U449" s="385"/>
      <c r="V449" s="385"/>
      <c r="W449" s="385"/>
      <c r="X449" s="385"/>
      <c r="Y449" s="385"/>
      <c r="Z449" s="385"/>
      <c r="AA449" s="385"/>
      <c r="AB449" s="385"/>
      <c r="AC449" s="385"/>
      <c r="AD449" s="385"/>
      <c r="AE449" s="385"/>
      <c r="AF449" s="385"/>
      <c r="AG449" s="385"/>
      <c r="AH449" s="385"/>
      <c r="AI449" s="385"/>
      <c r="AJ449" s="385"/>
      <c r="AK449" s="385"/>
      <c r="AL449" s="385"/>
      <c r="AM449" s="385"/>
      <c r="AN449" s="385"/>
      <c r="AO449" s="385"/>
      <c r="AP449" s="385"/>
      <c r="AQ449" s="385"/>
      <c r="AR449" s="385"/>
      <c r="AS449" s="385"/>
      <c r="AT449" s="385"/>
      <c r="AU449" s="385"/>
      <c r="AV449" s="385"/>
      <c r="AW449" s="385"/>
      <c r="AX449" s="385"/>
      <c r="AY449" s="385"/>
    </row>
    <row r="450" spans="1:51" ht="18">
      <c r="A450" s="385"/>
      <c r="B450" s="391" t="str">
        <f>Input!AR448</f>
        <v/>
      </c>
      <c r="C450" s="391">
        <f>DailyMet!N431</f>
        <v>0</v>
      </c>
      <c r="D450" s="392">
        <f>Input!AS448</f>
        <v>0</v>
      </c>
      <c r="E450" s="392">
        <f>Input!E448</f>
        <v>427</v>
      </c>
      <c r="F450" s="393">
        <f>Input!B448</f>
        <v>38413</v>
      </c>
      <c r="G450" s="503">
        <f t="shared" si="15"/>
        <v>0</v>
      </c>
      <c r="H450" s="354"/>
      <c r="I450" s="392">
        <f t="shared" si="14"/>
        <v>0</v>
      </c>
      <c r="J450" s="385"/>
      <c r="K450" s="385"/>
      <c r="L450" s="385"/>
      <c r="M450" s="385"/>
      <c r="N450" s="385"/>
      <c r="O450" s="385"/>
      <c r="P450" s="385"/>
      <c r="Q450" s="385"/>
      <c r="R450" s="385"/>
      <c r="S450" s="385"/>
      <c r="T450" s="385"/>
      <c r="U450" s="385"/>
      <c r="V450" s="385"/>
      <c r="W450" s="385"/>
      <c r="X450" s="385"/>
      <c r="Y450" s="385"/>
      <c r="Z450" s="385"/>
      <c r="AA450" s="385"/>
      <c r="AB450" s="385"/>
      <c r="AC450" s="385"/>
      <c r="AD450" s="385"/>
      <c r="AE450" s="385"/>
      <c r="AF450" s="385"/>
      <c r="AG450" s="385"/>
      <c r="AH450" s="385"/>
      <c r="AI450" s="385"/>
      <c r="AJ450" s="385"/>
      <c r="AK450" s="385"/>
      <c r="AL450" s="385"/>
      <c r="AM450" s="385"/>
      <c r="AN450" s="385"/>
      <c r="AO450" s="385"/>
      <c r="AP450" s="385"/>
      <c r="AQ450" s="385"/>
      <c r="AR450" s="385"/>
      <c r="AS450" s="385"/>
      <c r="AT450" s="385"/>
      <c r="AU450" s="385"/>
      <c r="AV450" s="385"/>
      <c r="AW450" s="385"/>
      <c r="AX450" s="385"/>
      <c r="AY450" s="385"/>
    </row>
    <row r="451" spans="1:51" ht="18">
      <c r="A451" s="385"/>
      <c r="B451" s="391" t="str">
        <f>Input!AR449</f>
        <v/>
      </c>
      <c r="C451" s="391">
        <f>DailyMet!N432</f>
        <v>0</v>
      </c>
      <c r="D451" s="392">
        <f>Input!AS449</f>
        <v>0</v>
      </c>
      <c r="E451" s="392">
        <f>Input!E449</f>
        <v>428</v>
      </c>
      <c r="F451" s="393">
        <f>Input!B449</f>
        <v>38414</v>
      </c>
      <c r="G451" s="503">
        <f t="shared" si="15"/>
        <v>0</v>
      </c>
      <c r="H451" s="354"/>
      <c r="I451" s="392">
        <f t="shared" si="14"/>
        <v>0</v>
      </c>
      <c r="J451" s="385"/>
      <c r="K451" s="385"/>
      <c r="L451" s="385"/>
      <c r="M451" s="385"/>
      <c r="N451" s="385"/>
      <c r="O451" s="385"/>
      <c r="P451" s="385"/>
      <c r="Q451" s="385"/>
      <c r="R451" s="385"/>
      <c r="S451" s="385"/>
      <c r="T451" s="385"/>
      <c r="U451" s="385"/>
      <c r="V451" s="385"/>
      <c r="W451" s="385"/>
      <c r="X451" s="385"/>
      <c r="Y451" s="385"/>
      <c r="Z451" s="385"/>
      <c r="AA451" s="385"/>
      <c r="AB451" s="385"/>
      <c r="AC451" s="385"/>
      <c r="AD451" s="385"/>
      <c r="AE451" s="385"/>
      <c r="AF451" s="385"/>
      <c r="AG451" s="385"/>
      <c r="AH451" s="385"/>
      <c r="AI451" s="385"/>
      <c r="AJ451" s="385"/>
      <c r="AK451" s="385"/>
      <c r="AL451" s="385"/>
      <c r="AM451" s="385"/>
      <c r="AN451" s="385"/>
      <c r="AO451" s="385"/>
      <c r="AP451" s="385"/>
      <c r="AQ451" s="385"/>
      <c r="AR451" s="385"/>
      <c r="AS451" s="385"/>
      <c r="AT451" s="385"/>
      <c r="AU451" s="385"/>
      <c r="AV451" s="385"/>
      <c r="AW451" s="385"/>
      <c r="AX451" s="385"/>
      <c r="AY451" s="385"/>
    </row>
    <row r="452" spans="1:51" ht="18">
      <c r="A452" s="385"/>
      <c r="B452" s="391" t="str">
        <f>Input!AR450</f>
        <v/>
      </c>
      <c r="C452" s="391">
        <f>DailyMet!N433</f>
        <v>4</v>
      </c>
      <c r="D452" s="392">
        <f>Input!AS450</f>
        <v>0</v>
      </c>
      <c r="E452" s="392">
        <f>Input!E450</f>
        <v>429</v>
      </c>
      <c r="F452" s="393">
        <f>Input!B450</f>
        <v>38415</v>
      </c>
      <c r="G452" s="503">
        <f t="shared" si="15"/>
        <v>0</v>
      </c>
      <c r="H452" s="354"/>
      <c r="I452" s="392">
        <f t="shared" si="14"/>
        <v>0</v>
      </c>
      <c r="J452" s="385"/>
      <c r="K452" s="385"/>
      <c r="L452" s="385"/>
      <c r="M452" s="385"/>
      <c r="N452" s="385"/>
      <c r="O452" s="385"/>
      <c r="P452" s="385"/>
      <c r="Q452" s="385"/>
      <c r="R452" s="385"/>
      <c r="S452" s="385"/>
      <c r="T452" s="385"/>
      <c r="U452" s="385"/>
      <c r="V452" s="385"/>
      <c r="W452" s="385"/>
      <c r="X452" s="385"/>
      <c r="Y452" s="385"/>
      <c r="Z452" s="385"/>
      <c r="AA452" s="385"/>
      <c r="AB452" s="385"/>
      <c r="AC452" s="385"/>
      <c r="AD452" s="385"/>
      <c r="AE452" s="385"/>
      <c r="AF452" s="385"/>
      <c r="AG452" s="385"/>
      <c r="AH452" s="385"/>
      <c r="AI452" s="385"/>
      <c r="AJ452" s="385"/>
      <c r="AK452" s="385"/>
      <c r="AL452" s="385"/>
      <c r="AM452" s="385"/>
      <c r="AN452" s="385"/>
      <c r="AO452" s="385"/>
      <c r="AP452" s="385"/>
      <c r="AQ452" s="385"/>
      <c r="AR452" s="385"/>
      <c r="AS452" s="385"/>
      <c r="AT452" s="385"/>
      <c r="AU452" s="385"/>
      <c r="AV452" s="385"/>
      <c r="AW452" s="385"/>
      <c r="AX452" s="385"/>
      <c r="AY452" s="385"/>
    </row>
    <row r="453" spans="1:51" ht="18">
      <c r="A453" s="385"/>
      <c r="B453" s="391" t="str">
        <f>Input!AR451</f>
        <v/>
      </c>
      <c r="C453" s="391">
        <f>DailyMet!N434</f>
        <v>0</v>
      </c>
      <c r="D453" s="392">
        <f>Input!AS451</f>
        <v>0</v>
      </c>
      <c r="E453" s="392">
        <f>Input!E451</f>
        <v>430</v>
      </c>
      <c r="F453" s="393">
        <f>Input!B451</f>
        <v>38416</v>
      </c>
      <c r="G453" s="503">
        <f t="shared" si="15"/>
        <v>0</v>
      </c>
      <c r="H453" s="354"/>
      <c r="I453" s="392">
        <f t="shared" si="14"/>
        <v>0</v>
      </c>
      <c r="J453" s="385"/>
      <c r="K453" s="385"/>
      <c r="L453" s="385"/>
      <c r="M453" s="385"/>
      <c r="N453" s="385"/>
      <c r="O453" s="385"/>
      <c r="P453" s="385"/>
      <c r="Q453" s="385"/>
      <c r="R453" s="385"/>
      <c r="S453" s="385"/>
      <c r="T453" s="385"/>
      <c r="U453" s="385"/>
      <c r="V453" s="385"/>
      <c r="W453" s="385"/>
      <c r="X453" s="385"/>
      <c r="Y453" s="385"/>
      <c r="Z453" s="385"/>
      <c r="AA453" s="385"/>
      <c r="AB453" s="385"/>
      <c r="AC453" s="385"/>
      <c r="AD453" s="385"/>
      <c r="AE453" s="385"/>
      <c r="AF453" s="385"/>
      <c r="AG453" s="385"/>
      <c r="AH453" s="385"/>
      <c r="AI453" s="385"/>
      <c r="AJ453" s="385"/>
      <c r="AK453" s="385"/>
      <c r="AL453" s="385"/>
      <c r="AM453" s="385"/>
      <c r="AN453" s="385"/>
      <c r="AO453" s="385"/>
      <c r="AP453" s="385"/>
      <c r="AQ453" s="385"/>
      <c r="AR453" s="385"/>
      <c r="AS453" s="385"/>
      <c r="AT453" s="385"/>
      <c r="AU453" s="385"/>
      <c r="AV453" s="385"/>
      <c r="AW453" s="385"/>
      <c r="AX453" s="385"/>
      <c r="AY453" s="385"/>
    </row>
    <row r="454" spans="1:51" ht="18">
      <c r="A454" s="385"/>
      <c r="B454" s="391" t="str">
        <f>Input!AR452</f>
        <v/>
      </c>
      <c r="C454" s="391">
        <f>DailyMet!N435</f>
        <v>0</v>
      </c>
      <c r="D454" s="392">
        <f>Input!AS452</f>
        <v>0</v>
      </c>
      <c r="E454" s="392">
        <f>Input!E452</f>
        <v>431</v>
      </c>
      <c r="F454" s="393">
        <f>Input!B452</f>
        <v>38417</v>
      </c>
      <c r="G454" s="503">
        <f t="shared" si="15"/>
        <v>0</v>
      </c>
      <c r="H454" s="354"/>
      <c r="I454" s="392">
        <f t="shared" si="14"/>
        <v>0</v>
      </c>
      <c r="J454" s="385"/>
      <c r="K454" s="385"/>
      <c r="L454" s="385"/>
      <c r="M454" s="385"/>
      <c r="N454" s="385"/>
      <c r="O454" s="385"/>
      <c r="P454" s="385"/>
      <c r="Q454" s="385"/>
      <c r="R454" s="385"/>
      <c r="S454" s="385"/>
      <c r="T454" s="385"/>
      <c r="U454" s="385"/>
      <c r="V454" s="385"/>
      <c r="W454" s="385"/>
      <c r="X454" s="385"/>
      <c r="Y454" s="385"/>
      <c r="Z454" s="385"/>
      <c r="AA454" s="385"/>
      <c r="AB454" s="385"/>
      <c r="AC454" s="385"/>
      <c r="AD454" s="385"/>
      <c r="AE454" s="385"/>
      <c r="AF454" s="385"/>
      <c r="AG454" s="385"/>
      <c r="AH454" s="385"/>
      <c r="AI454" s="385"/>
      <c r="AJ454" s="385"/>
      <c r="AK454" s="385"/>
      <c r="AL454" s="385"/>
      <c r="AM454" s="385"/>
      <c r="AN454" s="385"/>
      <c r="AO454" s="385"/>
      <c r="AP454" s="385"/>
      <c r="AQ454" s="385"/>
      <c r="AR454" s="385"/>
      <c r="AS454" s="385"/>
      <c r="AT454" s="385"/>
      <c r="AU454" s="385"/>
      <c r="AV454" s="385"/>
      <c r="AW454" s="385"/>
      <c r="AX454" s="385"/>
      <c r="AY454" s="385"/>
    </row>
    <row r="455" spans="1:51" ht="18">
      <c r="A455" s="385"/>
      <c r="B455" s="391" t="str">
        <f>Input!AR453</f>
        <v/>
      </c>
      <c r="C455" s="391">
        <f>DailyMet!N436</f>
        <v>0</v>
      </c>
      <c r="D455" s="392">
        <f>Input!AS453</f>
        <v>0</v>
      </c>
      <c r="E455" s="392">
        <f>Input!E453</f>
        <v>432</v>
      </c>
      <c r="F455" s="393">
        <f>Input!B453</f>
        <v>38418</v>
      </c>
      <c r="G455" s="503">
        <f t="shared" si="15"/>
        <v>0</v>
      </c>
      <c r="H455" s="354"/>
      <c r="I455" s="392">
        <f t="shared" si="14"/>
        <v>0</v>
      </c>
      <c r="J455" s="385"/>
      <c r="K455" s="385"/>
      <c r="L455" s="385"/>
      <c r="M455" s="385"/>
      <c r="N455" s="385"/>
      <c r="O455" s="385"/>
      <c r="P455" s="385"/>
      <c r="Q455" s="385"/>
      <c r="R455" s="385"/>
      <c r="S455" s="385"/>
      <c r="T455" s="385"/>
      <c r="U455" s="385"/>
      <c r="V455" s="385"/>
      <c r="W455" s="385"/>
      <c r="X455" s="385"/>
      <c r="Y455" s="385"/>
      <c r="Z455" s="385"/>
      <c r="AA455" s="385"/>
      <c r="AB455" s="385"/>
      <c r="AC455" s="385"/>
      <c r="AD455" s="385"/>
      <c r="AE455" s="385"/>
      <c r="AF455" s="385"/>
      <c r="AG455" s="385"/>
      <c r="AH455" s="385"/>
      <c r="AI455" s="385"/>
      <c r="AJ455" s="385"/>
      <c r="AK455" s="385"/>
      <c r="AL455" s="385"/>
      <c r="AM455" s="385"/>
      <c r="AN455" s="385"/>
      <c r="AO455" s="385"/>
      <c r="AP455" s="385"/>
      <c r="AQ455" s="385"/>
      <c r="AR455" s="385"/>
      <c r="AS455" s="385"/>
      <c r="AT455" s="385"/>
      <c r="AU455" s="385"/>
      <c r="AV455" s="385"/>
      <c r="AW455" s="385"/>
      <c r="AX455" s="385"/>
      <c r="AY455" s="385"/>
    </row>
    <row r="456" spans="1:51" ht="18">
      <c r="A456" s="385"/>
      <c r="B456" s="391" t="str">
        <f>Input!AR454</f>
        <v/>
      </c>
      <c r="C456" s="391">
        <f>DailyMet!N437</f>
        <v>0</v>
      </c>
      <c r="D456" s="392">
        <f>Input!AS454</f>
        <v>0</v>
      </c>
      <c r="E456" s="392">
        <f>Input!E454</f>
        <v>433</v>
      </c>
      <c r="F456" s="393">
        <f>Input!B454</f>
        <v>38419</v>
      </c>
      <c r="G456" s="503">
        <f t="shared" si="15"/>
        <v>0</v>
      </c>
      <c r="H456" s="354"/>
      <c r="I456" s="392">
        <f t="shared" si="14"/>
        <v>0</v>
      </c>
      <c r="J456" s="385"/>
      <c r="K456" s="385"/>
      <c r="L456" s="385"/>
      <c r="M456" s="385"/>
      <c r="N456" s="385"/>
      <c r="O456" s="385"/>
      <c r="P456" s="385"/>
      <c r="Q456" s="385"/>
      <c r="R456" s="385"/>
      <c r="S456" s="385"/>
      <c r="T456" s="385"/>
      <c r="U456" s="385"/>
      <c r="V456" s="385"/>
      <c r="W456" s="385"/>
      <c r="X456" s="385"/>
      <c r="Y456" s="385"/>
      <c r="Z456" s="385"/>
      <c r="AA456" s="385"/>
      <c r="AB456" s="385"/>
      <c r="AC456" s="385"/>
      <c r="AD456" s="385"/>
      <c r="AE456" s="385"/>
      <c r="AF456" s="385"/>
      <c r="AG456" s="385"/>
      <c r="AH456" s="385"/>
      <c r="AI456" s="385"/>
      <c r="AJ456" s="385"/>
      <c r="AK456" s="385"/>
      <c r="AL456" s="385"/>
      <c r="AM456" s="385"/>
      <c r="AN456" s="385"/>
      <c r="AO456" s="385"/>
      <c r="AP456" s="385"/>
      <c r="AQ456" s="385"/>
      <c r="AR456" s="385"/>
      <c r="AS456" s="385"/>
      <c r="AT456" s="385"/>
      <c r="AU456" s="385"/>
      <c r="AV456" s="385"/>
      <c r="AW456" s="385"/>
      <c r="AX456" s="385"/>
      <c r="AY456" s="385"/>
    </row>
    <row r="457" spans="1:51" ht="18">
      <c r="A457" s="385"/>
      <c r="B457" s="391" t="str">
        <f>Input!AR455</f>
        <v/>
      </c>
      <c r="C457" s="391">
        <f>DailyMet!N438</f>
        <v>0.4</v>
      </c>
      <c r="D457" s="392">
        <f>Input!AS455</f>
        <v>0</v>
      </c>
      <c r="E457" s="392">
        <f>Input!E455</f>
        <v>434</v>
      </c>
      <c r="F457" s="393">
        <f>Input!B455</f>
        <v>38420</v>
      </c>
      <c r="G457" s="503">
        <f t="shared" si="15"/>
        <v>0</v>
      </c>
      <c r="H457" s="354"/>
      <c r="I457" s="392">
        <f t="shared" si="14"/>
        <v>0</v>
      </c>
      <c r="J457" s="385"/>
      <c r="K457" s="385"/>
      <c r="L457" s="385"/>
      <c r="M457" s="385"/>
      <c r="N457" s="385"/>
      <c r="O457" s="385"/>
      <c r="P457" s="385"/>
      <c r="Q457" s="385"/>
      <c r="R457" s="385"/>
      <c r="S457" s="385"/>
      <c r="T457" s="385"/>
      <c r="U457" s="385"/>
      <c r="V457" s="385"/>
      <c r="W457" s="385"/>
      <c r="X457" s="385"/>
      <c r="Y457" s="385"/>
      <c r="Z457" s="385"/>
      <c r="AA457" s="385"/>
      <c r="AB457" s="385"/>
      <c r="AC457" s="385"/>
      <c r="AD457" s="385"/>
      <c r="AE457" s="385"/>
      <c r="AF457" s="385"/>
      <c r="AG457" s="385"/>
      <c r="AH457" s="385"/>
      <c r="AI457" s="385"/>
      <c r="AJ457" s="385"/>
      <c r="AK457" s="385"/>
      <c r="AL457" s="385"/>
      <c r="AM457" s="385"/>
      <c r="AN457" s="385"/>
      <c r="AO457" s="385"/>
      <c r="AP457" s="385"/>
      <c r="AQ457" s="385"/>
      <c r="AR457" s="385"/>
      <c r="AS457" s="385"/>
      <c r="AT457" s="385"/>
      <c r="AU457" s="385"/>
      <c r="AV457" s="385"/>
      <c r="AW457" s="385"/>
      <c r="AX457" s="385"/>
      <c r="AY457" s="385"/>
    </row>
    <row r="458" spans="1:51" ht="18">
      <c r="A458" s="385"/>
      <c r="B458" s="391" t="str">
        <f>Input!AR456</f>
        <v/>
      </c>
      <c r="C458" s="391">
        <f>DailyMet!N439</f>
        <v>0</v>
      </c>
      <c r="D458" s="392">
        <f>Input!AS456</f>
        <v>0</v>
      </c>
      <c r="E458" s="392">
        <f>Input!E456</f>
        <v>435</v>
      </c>
      <c r="F458" s="393">
        <f>Input!B456</f>
        <v>38421</v>
      </c>
      <c r="G458" s="503">
        <f t="shared" si="15"/>
        <v>0</v>
      </c>
      <c r="H458" s="354"/>
      <c r="I458" s="392">
        <f t="shared" si="14"/>
        <v>0</v>
      </c>
      <c r="J458" s="385"/>
      <c r="K458" s="385"/>
      <c r="L458" s="385"/>
      <c r="M458" s="385"/>
      <c r="N458" s="385"/>
      <c r="O458" s="385"/>
      <c r="P458" s="385"/>
      <c r="Q458" s="385"/>
      <c r="R458" s="385"/>
      <c r="S458" s="385"/>
      <c r="T458" s="385"/>
      <c r="U458" s="385"/>
      <c r="V458" s="385"/>
      <c r="W458" s="385"/>
      <c r="X458" s="385"/>
      <c r="Y458" s="385"/>
      <c r="Z458" s="385"/>
      <c r="AA458" s="385"/>
      <c r="AB458" s="385"/>
      <c r="AC458" s="385"/>
      <c r="AD458" s="385"/>
      <c r="AE458" s="385"/>
      <c r="AF458" s="385"/>
      <c r="AG458" s="385"/>
      <c r="AH458" s="385"/>
      <c r="AI458" s="385"/>
      <c r="AJ458" s="385"/>
      <c r="AK458" s="385"/>
      <c r="AL458" s="385"/>
      <c r="AM458" s="385"/>
      <c r="AN458" s="385"/>
      <c r="AO458" s="385"/>
      <c r="AP458" s="385"/>
      <c r="AQ458" s="385"/>
      <c r="AR458" s="385"/>
      <c r="AS458" s="385"/>
      <c r="AT458" s="385"/>
      <c r="AU458" s="385"/>
      <c r="AV458" s="385"/>
      <c r="AW458" s="385"/>
      <c r="AX458" s="385"/>
      <c r="AY458" s="385"/>
    </row>
    <row r="459" spans="1:51" ht="18">
      <c r="A459" s="385"/>
      <c r="B459" s="391" t="str">
        <f>Input!AR457</f>
        <v/>
      </c>
      <c r="C459" s="391">
        <f>DailyMet!N440</f>
        <v>0</v>
      </c>
      <c r="D459" s="392">
        <f>Input!AS457</f>
        <v>0</v>
      </c>
      <c r="E459" s="392">
        <f>Input!E457</f>
        <v>436</v>
      </c>
      <c r="F459" s="393">
        <f>Input!B457</f>
        <v>38422</v>
      </c>
      <c r="G459" s="503">
        <f t="shared" si="15"/>
        <v>0</v>
      </c>
      <c r="H459" s="354"/>
      <c r="I459" s="392">
        <f t="shared" si="14"/>
        <v>0</v>
      </c>
      <c r="J459" s="385"/>
      <c r="K459" s="385"/>
      <c r="L459" s="385"/>
      <c r="M459" s="385"/>
      <c r="N459" s="385"/>
      <c r="O459" s="385"/>
      <c r="P459" s="385"/>
      <c r="Q459" s="385"/>
      <c r="R459" s="385"/>
      <c r="S459" s="385"/>
      <c r="T459" s="385"/>
      <c r="U459" s="385"/>
      <c r="V459" s="385"/>
      <c r="W459" s="385"/>
      <c r="X459" s="385"/>
      <c r="Y459" s="385"/>
      <c r="Z459" s="385"/>
      <c r="AA459" s="385"/>
      <c r="AB459" s="385"/>
      <c r="AC459" s="385"/>
      <c r="AD459" s="385"/>
      <c r="AE459" s="385"/>
      <c r="AF459" s="385"/>
      <c r="AG459" s="385"/>
      <c r="AH459" s="385"/>
      <c r="AI459" s="385"/>
      <c r="AJ459" s="385"/>
      <c r="AK459" s="385"/>
      <c r="AL459" s="385"/>
      <c r="AM459" s="385"/>
      <c r="AN459" s="385"/>
      <c r="AO459" s="385"/>
      <c r="AP459" s="385"/>
      <c r="AQ459" s="385"/>
      <c r="AR459" s="385"/>
      <c r="AS459" s="385"/>
      <c r="AT459" s="385"/>
      <c r="AU459" s="385"/>
      <c r="AV459" s="385"/>
      <c r="AW459" s="385"/>
      <c r="AX459" s="385"/>
      <c r="AY459" s="385"/>
    </row>
    <row r="460" spans="1:51" ht="18">
      <c r="A460" s="385"/>
      <c r="B460" s="391" t="str">
        <f>Input!AR458</f>
        <v/>
      </c>
      <c r="C460" s="391">
        <f>DailyMet!N441</f>
        <v>0</v>
      </c>
      <c r="D460" s="392">
        <f>Input!AS458</f>
        <v>0</v>
      </c>
      <c r="E460" s="392">
        <f>Input!E458</f>
        <v>437</v>
      </c>
      <c r="F460" s="393">
        <f>Input!B458</f>
        <v>38423</v>
      </c>
      <c r="G460" s="503">
        <f t="shared" si="15"/>
        <v>0</v>
      </c>
      <c r="H460" s="354"/>
      <c r="I460" s="392">
        <f t="shared" si="14"/>
        <v>0</v>
      </c>
      <c r="J460" s="385"/>
      <c r="K460" s="385"/>
      <c r="L460" s="385"/>
      <c r="M460" s="385"/>
      <c r="N460" s="385"/>
      <c r="O460" s="385"/>
      <c r="P460" s="385"/>
      <c r="Q460" s="385"/>
      <c r="R460" s="385"/>
      <c r="S460" s="385"/>
      <c r="T460" s="385"/>
      <c r="U460" s="385"/>
      <c r="V460" s="385"/>
      <c r="W460" s="385"/>
      <c r="X460" s="385"/>
      <c r="Y460" s="385"/>
      <c r="Z460" s="385"/>
      <c r="AA460" s="385"/>
      <c r="AB460" s="385"/>
      <c r="AC460" s="385"/>
      <c r="AD460" s="385"/>
      <c r="AE460" s="385"/>
      <c r="AF460" s="385"/>
      <c r="AG460" s="385"/>
      <c r="AH460" s="385"/>
      <c r="AI460" s="385"/>
      <c r="AJ460" s="385"/>
      <c r="AK460" s="385"/>
      <c r="AL460" s="385"/>
      <c r="AM460" s="385"/>
      <c r="AN460" s="385"/>
      <c r="AO460" s="385"/>
      <c r="AP460" s="385"/>
      <c r="AQ460" s="385"/>
      <c r="AR460" s="385"/>
      <c r="AS460" s="385"/>
      <c r="AT460" s="385"/>
      <c r="AU460" s="385"/>
      <c r="AV460" s="385"/>
      <c r="AW460" s="385"/>
      <c r="AX460" s="385"/>
      <c r="AY460" s="385"/>
    </row>
    <row r="461" spans="1:51" ht="18">
      <c r="A461" s="385"/>
      <c r="B461" s="391" t="str">
        <f>Input!AR459</f>
        <v/>
      </c>
      <c r="C461" s="391">
        <f>DailyMet!N442</f>
        <v>1.2</v>
      </c>
      <c r="D461" s="392">
        <f>Input!AS459</f>
        <v>0</v>
      </c>
      <c r="E461" s="392">
        <f>Input!E459</f>
        <v>438</v>
      </c>
      <c r="F461" s="393">
        <f>Input!B459</f>
        <v>38424</v>
      </c>
      <c r="G461" s="503">
        <f t="shared" si="15"/>
        <v>0</v>
      </c>
      <c r="H461" s="354"/>
      <c r="I461" s="392">
        <f t="shared" si="14"/>
        <v>0</v>
      </c>
      <c r="J461" s="385"/>
      <c r="K461" s="385"/>
      <c r="L461" s="385"/>
      <c r="M461" s="385"/>
      <c r="N461" s="385"/>
      <c r="O461" s="385"/>
      <c r="P461" s="385"/>
      <c r="Q461" s="385"/>
      <c r="R461" s="385"/>
      <c r="S461" s="385"/>
      <c r="T461" s="385"/>
      <c r="U461" s="385"/>
      <c r="V461" s="385"/>
      <c r="W461" s="385"/>
      <c r="X461" s="385"/>
      <c r="Y461" s="385"/>
      <c r="Z461" s="385"/>
      <c r="AA461" s="385"/>
      <c r="AB461" s="385"/>
      <c r="AC461" s="385"/>
      <c r="AD461" s="385"/>
      <c r="AE461" s="385"/>
      <c r="AF461" s="385"/>
      <c r="AG461" s="385"/>
      <c r="AH461" s="385"/>
      <c r="AI461" s="385"/>
      <c r="AJ461" s="385"/>
      <c r="AK461" s="385"/>
      <c r="AL461" s="385"/>
      <c r="AM461" s="385"/>
      <c r="AN461" s="385"/>
      <c r="AO461" s="385"/>
      <c r="AP461" s="385"/>
      <c r="AQ461" s="385"/>
      <c r="AR461" s="385"/>
      <c r="AS461" s="385"/>
      <c r="AT461" s="385"/>
      <c r="AU461" s="385"/>
      <c r="AV461" s="385"/>
      <c r="AW461" s="385"/>
      <c r="AX461" s="385"/>
      <c r="AY461" s="385"/>
    </row>
    <row r="462" spans="1:51" ht="18">
      <c r="A462" s="385"/>
      <c r="B462" s="391" t="str">
        <f>Input!AR460</f>
        <v/>
      </c>
      <c r="C462" s="391">
        <f>DailyMet!N443</f>
        <v>0</v>
      </c>
      <c r="D462" s="392">
        <f>Input!AS460</f>
        <v>0</v>
      </c>
      <c r="E462" s="392">
        <f>Input!E460</f>
        <v>439</v>
      </c>
      <c r="F462" s="393">
        <f>Input!B460</f>
        <v>38425</v>
      </c>
      <c r="G462" s="503">
        <f t="shared" si="15"/>
        <v>0</v>
      </c>
      <c r="H462" s="354"/>
      <c r="I462" s="392">
        <f t="shared" si="14"/>
        <v>0</v>
      </c>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c r="AT462" s="385"/>
      <c r="AU462" s="385"/>
      <c r="AV462" s="385"/>
      <c r="AW462" s="385"/>
      <c r="AX462" s="385"/>
      <c r="AY462" s="385"/>
    </row>
    <row r="463" spans="1:51" ht="18">
      <c r="A463" s="385"/>
      <c r="B463" s="391" t="str">
        <f>Input!AR461</f>
        <v/>
      </c>
      <c r="C463" s="391">
        <f>DailyMet!N444</f>
        <v>0</v>
      </c>
      <c r="D463" s="392">
        <f>Input!AS461</f>
        <v>0</v>
      </c>
      <c r="E463" s="392">
        <f>Input!E461</f>
        <v>440</v>
      </c>
      <c r="F463" s="393">
        <f>Input!B461</f>
        <v>38426</v>
      </c>
      <c r="G463" s="503">
        <f t="shared" si="15"/>
        <v>0</v>
      </c>
      <c r="H463" s="354"/>
      <c r="I463" s="392">
        <f t="shared" si="14"/>
        <v>0</v>
      </c>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c r="AT463" s="385"/>
      <c r="AU463" s="385"/>
      <c r="AV463" s="385"/>
      <c r="AW463" s="385"/>
      <c r="AX463" s="385"/>
      <c r="AY463" s="385"/>
    </row>
    <row r="464" spans="1:51" ht="18">
      <c r="A464" s="385"/>
      <c r="B464" s="391" t="str">
        <f>Input!AR462</f>
        <v/>
      </c>
      <c r="C464" s="391">
        <f>DailyMet!N445</f>
        <v>0</v>
      </c>
      <c r="D464" s="392">
        <f>Input!AS462</f>
        <v>0</v>
      </c>
      <c r="E464" s="392">
        <f>Input!E462</f>
        <v>441</v>
      </c>
      <c r="F464" s="393">
        <f>Input!B462</f>
        <v>38427</v>
      </c>
      <c r="G464" s="503">
        <f t="shared" si="15"/>
        <v>0</v>
      </c>
      <c r="H464" s="354"/>
      <c r="I464" s="392">
        <f t="shared" si="14"/>
        <v>0</v>
      </c>
      <c r="J464" s="385"/>
      <c r="K464" s="385"/>
      <c r="L464" s="385"/>
      <c r="M464" s="385"/>
      <c r="N464" s="385"/>
      <c r="O464" s="385"/>
      <c r="P464" s="385"/>
      <c r="Q464" s="385"/>
      <c r="R464" s="385"/>
      <c r="S464" s="385"/>
      <c r="T464" s="385"/>
      <c r="U464" s="385"/>
      <c r="V464" s="385"/>
      <c r="W464" s="385"/>
      <c r="X464" s="385"/>
      <c r="Y464" s="385"/>
      <c r="Z464" s="385"/>
      <c r="AA464" s="385"/>
      <c r="AB464" s="385"/>
      <c r="AC464" s="385"/>
      <c r="AD464" s="385"/>
      <c r="AE464" s="385"/>
      <c r="AF464" s="385"/>
      <c r="AG464" s="385"/>
      <c r="AH464" s="385"/>
      <c r="AI464" s="385"/>
      <c r="AJ464" s="385"/>
      <c r="AK464" s="385"/>
      <c r="AL464" s="385"/>
      <c r="AM464" s="385"/>
      <c r="AN464" s="385"/>
      <c r="AO464" s="385"/>
      <c r="AP464" s="385"/>
      <c r="AQ464" s="385"/>
      <c r="AR464" s="385"/>
      <c r="AS464" s="385"/>
      <c r="AT464" s="385"/>
      <c r="AU464" s="385"/>
      <c r="AV464" s="385"/>
      <c r="AW464" s="385"/>
      <c r="AX464" s="385"/>
      <c r="AY464" s="385"/>
    </row>
    <row r="465" spans="1:51" ht="18">
      <c r="A465" s="385"/>
      <c r="B465" s="391" t="str">
        <f>Input!AR463</f>
        <v/>
      </c>
      <c r="C465" s="391">
        <f>DailyMet!N446</f>
        <v>0</v>
      </c>
      <c r="D465" s="392">
        <f>Input!AS463</f>
        <v>0</v>
      </c>
      <c r="E465" s="392">
        <f>Input!E463</f>
        <v>442</v>
      </c>
      <c r="F465" s="393">
        <f>Input!B463</f>
        <v>38428</v>
      </c>
      <c r="G465" s="503">
        <f t="shared" si="15"/>
        <v>0</v>
      </c>
      <c r="H465" s="354"/>
      <c r="I465" s="392">
        <f t="shared" si="14"/>
        <v>0</v>
      </c>
      <c r="J465" s="385"/>
      <c r="K465" s="385"/>
      <c r="L465" s="385"/>
      <c r="M465" s="385"/>
      <c r="N465" s="385"/>
      <c r="O465" s="385"/>
      <c r="P465" s="385"/>
      <c r="Q465" s="385"/>
      <c r="R465" s="385"/>
      <c r="S465" s="385"/>
      <c r="T465" s="385"/>
      <c r="U465" s="385"/>
      <c r="V465" s="385"/>
      <c r="W465" s="385"/>
      <c r="X465" s="385"/>
      <c r="Y465" s="385"/>
      <c r="Z465" s="385"/>
      <c r="AA465" s="385"/>
      <c r="AB465" s="385"/>
      <c r="AC465" s="385"/>
      <c r="AD465" s="385"/>
      <c r="AE465" s="385"/>
      <c r="AF465" s="385"/>
      <c r="AG465" s="385"/>
      <c r="AH465" s="385"/>
      <c r="AI465" s="385"/>
      <c r="AJ465" s="385"/>
      <c r="AK465" s="385"/>
      <c r="AL465" s="385"/>
      <c r="AM465" s="385"/>
      <c r="AN465" s="385"/>
      <c r="AO465" s="385"/>
      <c r="AP465" s="385"/>
      <c r="AQ465" s="385"/>
      <c r="AR465" s="385"/>
      <c r="AS465" s="385"/>
      <c r="AT465" s="385"/>
      <c r="AU465" s="385"/>
      <c r="AV465" s="385"/>
      <c r="AW465" s="385"/>
      <c r="AX465" s="385"/>
      <c r="AY465" s="385"/>
    </row>
    <row r="466" spans="1:51" ht="18">
      <c r="A466" s="385"/>
      <c r="B466" s="391" t="str">
        <f>Input!AR464</f>
        <v/>
      </c>
      <c r="C466" s="391">
        <f>DailyMet!N447</f>
        <v>0</v>
      </c>
      <c r="D466" s="392">
        <f>Input!AS464</f>
        <v>0</v>
      </c>
      <c r="E466" s="392">
        <f>Input!E464</f>
        <v>443</v>
      </c>
      <c r="F466" s="393">
        <f>Input!B464</f>
        <v>38429</v>
      </c>
      <c r="G466" s="503">
        <f t="shared" si="15"/>
        <v>0</v>
      </c>
      <c r="H466" s="354"/>
      <c r="I466" s="392">
        <f t="shared" si="14"/>
        <v>0</v>
      </c>
      <c r="J466" s="385"/>
      <c r="K466" s="385"/>
      <c r="L466" s="385"/>
      <c r="M466" s="385"/>
      <c r="N466" s="385"/>
      <c r="O466" s="385"/>
      <c r="P466" s="385"/>
      <c r="Q466" s="385"/>
      <c r="R466" s="385"/>
      <c r="S466" s="385"/>
      <c r="T466" s="385"/>
      <c r="U466" s="385"/>
      <c r="V466" s="385"/>
      <c r="W466" s="385"/>
      <c r="X466" s="385"/>
      <c r="Y466" s="385"/>
      <c r="Z466" s="385"/>
      <c r="AA466" s="385"/>
      <c r="AB466" s="385"/>
      <c r="AC466" s="385"/>
      <c r="AD466" s="385"/>
      <c r="AE466" s="385"/>
      <c r="AF466" s="385"/>
      <c r="AG466" s="385"/>
      <c r="AH466" s="385"/>
      <c r="AI466" s="385"/>
      <c r="AJ466" s="385"/>
      <c r="AK466" s="385"/>
      <c r="AL466" s="385"/>
      <c r="AM466" s="385"/>
      <c r="AN466" s="385"/>
      <c r="AO466" s="385"/>
      <c r="AP466" s="385"/>
      <c r="AQ466" s="385"/>
      <c r="AR466" s="385"/>
      <c r="AS466" s="385"/>
      <c r="AT466" s="385"/>
      <c r="AU466" s="385"/>
      <c r="AV466" s="385"/>
      <c r="AW466" s="385"/>
      <c r="AX466" s="385"/>
      <c r="AY466" s="385"/>
    </row>
    <row r="467" spans="1:51" ht="18">
      <c r="A467" s="385"/>
      <c r="B467" s="391" t="str">
        <f>Input!AR465</f>
        <v/>
      </c>
      <c r="C467" s="391">
        <f>DailyMet!N448</f>
        <v>5.6</v>
      </c>
      <c r="D467" s="392">
        <f>Input!AS465</f>
        <v>0</v>
      </c>
      <c r="E467" s="392">
        <f>Input!E465</f>
        <v>444</v>
      </c>
      <c r="F467" s="393">
        <f>Input!B465</f>
        <v>38430</v>
      </c>
      <c r="G467" s="503">
        <f t="shared" si="15"/>
        <v>0</v>
      </c>
      <c r="H467" s="354"/>
      <c r="I467" s="392">
        <f t="shared" si="14"/>
        <v>0</v>
      </c>
      <c r="J467" s="385"/>
      <c r="K467" s="385"/>
      <c r="L467" s="385"/>
      <c r="M467" s="385"/>
      <c r="N467" s="385"/>
      <c r="O467" s="385"/>
      <c r="P467" s="385"/>
      <c r="Q467" s="385"/>
      <c r="R467" s="385"/>
      <c r="S467" s="385"/>
      <c r="T467" s="385"/>
      <c r="U467" s="385"/>
      <c r="V467" s="385"/>
      <c r="W467" s="385"/>
      <c r="X467" s="385"/>
      <c r="Y467" s="385"/>
      <c r="Z467" s="385"/>
      <c r="AA467" s="385"/>
      <c r="AB467" s="385"/>
      <c r="AC467" s="385"/>
      <c r="AD467" s="385"/>
      <c r="AE467" s="385"/>
      <c r="AF467" s="385"/>
      <c r="AG467" s="385"/>
      <c r="AH467" s="385"/>
      <c r="AI467" s="385"/>
      <c r="AJ467" s="385"/>
      <c r="AK467" s="385"/>
      <c r="AL467" s="385"/>
      <c r="AM467" s="385"/>
      <c r="AN467" s="385"/>
      <c r="AO467" s="385"/>
      <c r="AP467" s="385"/>
      <c r="AQ467" s="385"/>
      <c r="AR467" s="385"/>
      <c r="AS467" s="385"/>
      <c r="AT467" s="385"/>
      <c r="AU467" s="385"/>
      <c r="AV467" s="385"/>
      <c r="AW467" s="385"/>
      <c r="AX467" s="385"/>
      <c r="AY467" s="385"/>
    </row>
    <row r="468" spans="1:51" ht="18">
      <c r="A468" s="385"/>
      <c r="B468" s="391" t="str">
        <f>Input!AR466</f>
        <v/>
      </c>
      <c r="C468" s="391">
        <f>DailyMet!N449</f>
        <v>0</v>
      </c>
      <c r="D468" s="392">
        <f>Input!AS466</f>
        <v>0</v>
      </c>
      <c r="E468" s="392">
        <f>Input!E466</f>
        <v>445</v>
      </c>
      <c r="F468" s="393">
        <f>Input!B466</f>
        <v>38431</v>
      </c>
      <c r="G468" s="503">
        <f t="shared" si="15"/>
        <v>0</v>
      </c>
      <c r="H468" s="354"/>
      <c r="I468" s="392">
        <f t="shared" si="14"/>
        <v>0</v>
      </c>
      <c r="J468" s="385"/>
      <c r="K468" s="385"/>
      <c r="L468" s="385"/>
      <c r="M468" s="385"/>
      <c r="N468" s="385"/>
      <c r="O468" s="385"/>
      <c r="P468" s="385"/>
      <c r="Q468" s="385"/>
      <c r="R468" s="385"/>
      <c r="S468" s="385"/>
      <c r="T468" s="385"/>
      <c r="U468" s="385"/>
      <c r="V468" s="385"/>
      <c r="W468" s="385"/>
      <c r="X468" s="385"/>
      <c r="Y468" s="385"/>
      <c r="Z468" s="385"/>
      <c r="AA468" s="385"/>
      <c r="AB468" s="385"/>
      <c r="AC468" s="385"/>
      <c r="AD468" s="385"/>
      <c r="AE468" s="385"/>
      <c r="AF468" s="385"/>
      <c r="AG468" s="385"/>
      <c r="AH468" s="385"/>
      <c r="AI468" s="385"/>
      <c r="AJ468" s="385"/>
      <c r="AK468" s="385"/>
      <c r="AL468" s="385"/>
      <c r="AM468" s="385"/>
      <c r="AN468" s="385"/>
      <c r="AO468" s="385"/>
      <c r="AP468" s="385"/>
      <c r="AQ468" s="385"/>
      <c r="AR468" s="385"/>
      <c r="AS468" s="385"/>
      <c r="AT468" s="385"/>
      <c r="AU468" s="385"/>
      <c r="AV468" s="385"/>
      <c r="AW468" s="385"/>
      <c r="AX468" s="385"/>
      <c r="AY468" s="385"/>
    </row>
    <row r="469" spans="1:51" ht="18">
      <c r="A469" s="385"/>
      <c r="B469" s="391" t="str">
        <f>Input!AR467</f>
        <v/>
      </c>
      <c r="C469" s="391">
        <f>DailyMet!N450</f>
        <v>1.8</v>
      </c>
      <c r="D469" s="392">
        <f>Input!AS467</f>
        <v>0</v>
      </c>
      <c r="E469" s="392">
        <f>Input!E467</f>
        <v>446</v>
      </c>
      <c r="F469" s="393">
        <f>Input!B467</f>
        <v>38432</v>
      </c>
      <c r="G469" s="503">
        <f t="shared" si="15"/>
        <v>0</v>
      </c>
      <c r="H469" s="354"/>
      <c r="I469" s="392">
        <f t="shared" si="14"/>
        <v>0</v>
      </c>
      <c r="J469" s="385"/>
      <c r="K469" s="385"/>
      <c r="L469" s="385"/>
      <c r="M469" s="385"/>
      <c r="N469" s="385"/>
      <c r="O469" s="385"/>
      <c r="P469" s="385"/>
      <c r="Q469" s="385"/>
      <c r="R469" s="385"/>
      <c r="S469" s="385"/>
      <c r="T469" s="385"/>
      <c r="U469" s="385"/>
      <c r="V469" s="385"/>
      <c r="W469" s="385"/>
      <c r="X469" s="385"/>
      <c r="Y469" s="385"/>
      <c r="Z469" s="385"/>
      <c r="AA469" s="385"/>
      <c r="AB469" s="385"/>
      <c r="AC469" s="385"/>
      <c r="AD469" s="385"/>
      <c r="AE469" s="385"/>
      <c r="AF469" s="385"/>
      <c r="AG469" s="385"/>
      <c r="AH469" s="385"/>
      <c r="AI469" s="385"/>
      <c r="AJ469" s="385"/>
      <c r="AK469" s="385"/>
      <c r="AL469" s="385"/>
      <c r="AM469" s="385"/>
      <c r="AN469" s="385"/>
      <c r="AO469" s="385"/>
      <c r="AP469" s="385"/>
      <c r="AQ469" s="385"/>
      <c r="AR469" s="385"/>
      <c r="AS469" s="385"/>
      <c r="AT469" s="385"/>
      <c r="AU469" s="385"/>
      <c r="AV469" s="385"/>
      <c r="AW469" s="385"/>
      <c r="AX469" s="385"/>
      <c r="AY469" s="385"/>
    </row>
    <row r="470" spans="1:51" ht="18">
      <c r="A470" s="385"/>
      <c r="B470" s="391" t="str">
        <f>Input!AR468</f>
        <v/>
      </c>
      <c r="C470" s="391">
        <f>DailyMet!N451</f>
        <v>20.8</v>
      </c>
      <c r="D470" s="392">
        <f>Input!AS468</f>
        <v>0</v>
      </c>
      <c r="E470" s="392">
        <f>Input!E468</f>
        <v>447</v>
      </c>
      <c r="F470" s="393">
        <f>Input!B468</f>
        <v>38433</v>
      </c>
      <c r="G470" s="503">
        <f t="shared" si="15"/>
        <v>0</v>
      </c>
      <c r="H470" s="354"/>
      <c r="I470" s="392">
        <f t="shared" si="14"/>
        <v>0</v>
      </c>
      <c r="J470" s="385"/>
      <c r="K470" s="385"/>
      <c r="L470" s="385"/>
      <c r="M470" s="385"/>
      <c r="N470" s="385"/>
      <c r="O470" s="385"/>
      <c r="P470" s="385"/>
      <c r="Q470" s="385"/>
      <c r="R470" s="385"/>
      <c r="S470" s="385"/>
      <c r="T470" s="385"/>
      <c r="U470" s="385"/>
      <c r="V470" s="385"/>
      <c r="W470" s="385"/>
      <c r="X470" s="385"/>
      <c r="Y470" s="385"/>
      <c r="Z470" s="385"/>
      <c r="AA470" s="385"/>
      <c r="AB470" s="385"/>
      <c r="AC470" s="385"/>
      <c r="AD470" s="385"/>
      <c r="AE470" s="385"/>
      <c r="AF470" s="385"/>
      <c r="AG470" s="385"/>
      <c r="AH470" s="385"/>
      <c r="AI470" s="385"/>
      <c r="AJ470" s="385"/>
      <c r="AK470" s="385"/>
      <c r="AL470" s="385"/>
      <c r="AM470" s="385"/>
      <c r="AN470" s="385"/>
      <c r="AO470" s="385"/>
      <c r="AP470" s="385"/>
      <c r="AQ470" s="385"/>
      <c r="AR470" s="385"/>
      <c r="AS470" s="385"/>
      <c r="AT470" s="385"/>
      <c r="AU470" s="385"/>
      <c r="AV470" s="385"/>
      <c r="AW470" s="385"/>
      <c r="AX470" s="385"/>
      <c r="AY470" s="385"/>
    </row>
    <row r="471" spans="1:51" ht="18">
      <c r="A471" s="385"/>
      <c r="B471" s="391" t="str">
        <f>Input!AR469</f>
        <v/>
      </c>
      <c r="C471" s="391">
        <f>DailyMet!N452</f>
        <v>5.2</v>
      </c>
      <c r="D471" s="392">
        <f>Input!AS469</f>
        <v>0</v>
      </c>
      <c r="E471" s="392">
        <f>Input!E469</f>
        <v>448</v>
      </c>
      <c r="F471" s="393">
        <f>Input!B469</f>
        <v>38434</v>
      </c>
      <c r="G471" s="503">
        <f t="shared" si="15"/>
        <v>0</v>
      </c>
      <c r="H471" s="354"/>
      <c r="I471" s="392">
        <f t="shared" si="14"/>
        <v>0</v>
      </c>
      <c r="J471" s="385"/>
      <c r="K471" s="385"/>
      <c r="L471" s="385"/>
      <c r="M471" s="385"/>
      <c r="N471" s="385"/>
      <c r="O471" s="385"/>
      <c r="P471" s="385"/>
      <c r="Q471" s="385"/>
      <c r="R471" s="385"/>
      <c r="S471" s="385"/>
      <c r="T471" s="385"/>
      <c r="U471" s="385"/>
      <c r="V471" s="385"/>
      <c r="W471" s="385"/>
      <c r="X471" s="385"/>
      <c r="Y471" s="385"/>
      <c r="Z471" s="385"/>
      <c r="AA471" s="385"/>
      <c r="AB471" s="385"/>
      <c r="AC471" s="385"/>
      <c r="AD471" s="385"/>
      <c r="AE471" s="385"/>
      <c r="AF471" s="385"/>
      <c r="AG471" s="385"/>
      <c r="AH471" s="385"/>
      <c r="AI471" s="385"/>
      <c r="AJ471" s="385"/>
      <c r="AK471" s="385"/>
      <c r="AL471" s="385"/>
      <c r="AM471" s="385"/>
      <c r="AN471" s="385"/>
      <c r="AO471" s="385"/>
      <c r="AP471" s="385"/>
      <c r="AQ471" s="385"/>
      <c r="AR471" s="385"/>
      <c r="AS471" s="385"/>
      <c r="AT471" s="385"/>
      <c r="AU471" s="385"/>
      <c r="AV471" s="385"/>
      <c r="AW471" s="385"/>
      <c r="AX471" s="385"/>
      <c r="AY471" s="385"/>
    </row>
    <row r="472" spans="1:51" ht="18">
      <c r="A472" s="385"/>
      <c r="B472" s="391" t="str">
        <f>Input!AR470</f>
        <v/>
      </c>
      <c r="C472" s="391">
        <f>DailyMet!N453</f>
        <v>0</v>
      </c>
      <c r="D472" s="392">
        <f>Input!AS470</f>
        <v>0</v>
      </c>
      <c r="E472" s="392">
        <f>Input!E470</f>
        <v>449</v>
      </c>
      <c r="F472" s="393">
        <f>Input!B470</f>
        <v>38435</v>
      </c>
      <c r="G472" s="503">
        <f t="shared" si="15"/>
        <v>0</v>
      </c>
      <c r="H472" s="354"/>
      <c r="I472" s="392">
        <f t="shared" si="14"/>
        <v>0</v>
      </c>
      <c r="J472" s="385"/>
      <c r="K472" s="385"/>
      <c r="L472" s="385"/>
      <c r="M472" s="385"/>
      <c r="N472" s="385"/>
      <c r="O472" s="385"/>
      <c r="P472" s="385"/>
      <c r="Q472" s="385"/>
      <c r="R472" s="385"/>
      <c r="S472" s="385"/>
      <c r="T472" s="385"/>
      <c r="U472" s="385"/>
      <c r="V472" s="385"/>
      <c r="W472" s="385"/>
      <c r="X472" s="385"/>
      <c r="Y472" s="385"/>
      <c r="Z472" s="385"/>
      <c r="AA472" s="385"/>
      <c r="AB472" s="385"/>
      <c r="AC472" s="385"/>
      <c r="AD472" s="385"/>
      <c r="AE472" s="385"/>
      <c r="AF472" s="385"/>
      <c r="AG472" s="385"/>
      <c r="AH472" s="385"/>
      <c r="AI472" s="385"/>
      <c r="AJ472" s="385"/>
      <c r="AK472" s="385"/>
      <c r="AL472" s="385"/>
      <c r="AM472" s="385"/>
      <c r="AN472" s="385"/>
      <c r="AO472" s="385"/>
      <c r="AP472" s="385"/>
      <c r="AQ472" s="385"/>
      <c r="AR472" s="385"/>
      <c r="AS472" s="385"/>
      <c r="AT472" s="385"/>
      <c r="AU472" s="385"/>
      <c r="AV472" s="385"/>
      <c r="AW472" s="385"/>
      <c r="AX472" s="385"/>
      <c r="AY472" s="385"/>
    </row>
    <row r="473" spans="1:51" ht="18">
      <c r="A473" s="385"/>
      <c r="B473" s="391" t="str">
        <f>Input!AR471</f>
        <v/>
      </c>
      <c r="C473" s="391">
        <f>DailyMet!N454</f>
        <v>0</v>
      </c>
      <c r="D473" s="392">
        <f>Input!AS471</f>
        <v>0</v>
      </c>
      <c r="E473" s="392">
        <f>Input!E471</f>
        <v>450</v>
      </c>
      <c r="F473" s="393">
        <f>Input!B471</f>
        <v>38436</v>
      </c>
      <c r="G473" s="503">
        <f t="shared" si="15"/>
        <v>0</v>
      </c>
      <c r="H473" s="354"/>
      <c r="I473" s="392">
        <f t="shared" si="14"/>
        <v>0</v>
      </c>
      <c r="J473" s="385"/>
      <c r="K473" s="385"/>
      <c r="L473" s="385"/>
      <c r="M473" s="385"/>
      <c r="N473" s="385"/>
      <c r="O473" s="385"/>
      <c r="P473" s="385"/>
      <c r="Q473" s="385"/>
      <c r="R473" s="385"/>
      <c r="S473" s="385"/>
      <c r="T473" s="385"/>
      <c r="U473" s="385"/>
      <c r="V473" s="385"/>
      <c r="W473" s="385"/>
      <c r="X473" s="385"/>
      <c r="Y473" s="385"/>
      <c r="Z473" s="385"/>
      <c r="AA473" s="385"/>
      <c r="AB473" s="385"/>
      <c r="AC473" s="385"/>
      <c r="AD473" s="385"/>
      <c r="AE473" s="385"/>
      <c r="AF473" s="385"/>
      <c r="AG473" s="385"/>
      <c r="AH473" s="385"/>
      <c r="AI473" s="385"/>
      <c r="AJ473" s="385"/>
      <c r="AK473" s="385"/>
      <c r="AL473" s="385"/>
      <c r="AM473" s="385"/>
      <c r="AN473" s="385"/>
      <c r="AO473" s="385"/>
      <c r="AP473" s="385"/>
      <c r="AQ473" s="385"/>
      <c r="AR473" s="385"/>
      <c r="AS473" s="385"/>
      <c r="AT473" s="385"/>
      <c r="AU473" s="385"/>
      <c r="AV473" s="385"/>
      <c r="AW473" s="385"/>
      <c r="AX473" s="385"/>
      <c r="AY473" s="385"/>
    </row>
    <row r="474" spans="1:51" ht="18">
      <c r="A474" s="385"/>
      <c r="B474" s="391" t="str">
        <f>Input!AR472</f>
        <v/>
      </c>
      <c r="C474" s="391">
        <f>DailyMet!N455</f>
        <v>0</v>
      </c>
      <c r="D474" s="392">
        <f>Input!AS472</f>
        <v>0</v>
      </c>
      <c r="E474" s="392">
        <f>Input!E472</f>
        <v>451</v>
      </c>
      <c r="F474" s="393">
        <f>Input!B472</f>
        <v>38437</v>
      </c>
      <c r="G474" s="503">
        <f t="shared" si="15"/>
        <v>0</v>
      </c>
      <c r="H474" s="354"/>
      <c r="I474" s="392">
        <f t="shared" si="14"/>
        <v>0</v>
      </c>
      <c r="J474" s="385"/>
      <c r="K474" s="385"/>
      <c r="L474" s="385"/>
      <c r="M474" s="385"/>
      <c r="N474" s="385"/>
      <c r="O474" s="385"/>
      <c r="P474" s="385"/>
      <c r="Q474" s="385"/>
      <c r="R474" s="385"/>
      <c r="S474" s="385"/>
      <c r="T474" s="385"/>
      <c r="U474" s="385"/>
      <c r="V474" s="385"/>
      <c r="W474" s="385"/>
      <c r="X474" s="385"/>
      <c r="Y474" s="385"/>
      <c r="Z474" s="385"/>
      <c r="AA474" s="385"/>
      <c r="AB474" s="385"/>
      <c r="AC474" s="385"/>
      <c r="AD474" s="385"/>
      <c r="AE474" s="385"/>
      <c r="AF474" s="385"/>
      <c r="AG474" s="385"/>
      <c r="AH474" s="385"/>
      <c r="AI474" s="385"/>
      <c r="AJ474" s="385"/>
      <c r="AK474" s="385"/>
      <c r="AL474" s="385"/>
      <c r="AM474" s="385"/>
      <c r="AN474" s="385"/>
      <c r="AO474" s="385"/>
      <c r="AP474" s="385"/>
      <c r="AQ474" s="385"/>
      <c r="AR474" s="385"/>
      <c r="AS474" s="385"/>
      <c r="AT474" s="385"/>
      <c r="AU474" s="385"/>
      <c r="AV474" s="385"/>
      <c r="AW474" s="385"/>
      <c r="AX474" s="385"/>
      <c r="AY474" s="385"/>
    </row>
    <row r="475" spans="1:51" ht="18">
      <c r="A475" s="385"/>
      <c r="B475" s="391" t="str">
        <f>Input!AR473</f>
        <v/>
      </c>
      <c r="C475" s="391">
        <f>DailyMet!N456</f>
        <v>0</v>
      </c>
      <c r="D475" s="392">
        <f>Input!AS473</f>
        <v>0</v>
      </c>
      <c r="E475" s="392">
        <f>Input!E473</f>
        <v>452</v>
      </c>
      <c r="F475" s="393">
        <f>Input!B473</f>
        <v>38438</v>
      </c>
      <c r="G475" s="503">
        <f t="shared" si="15"/>
        <v>0</v>
      </c>
      <c r="H475" s="354"/>
      <c r="I475" s="392">
        <f t="shared" si="14"/>
        <v>0</v>
      </c>
      <c r="J475" s="385"/>
      <c r="K475" s="385"/>
      <c r="L475" s="385"/>
      <c r="M475" s="385"/>
      <c r="N475" s="385"/>
      <c r="O475" s="385"/>
      <c r="P475" s="385"/>
      <c r="Q475" s="385"/>
      <c r="R475" s="385"/>
      <c r="S475" s="385"/>
      <c r="T475" s="385"/>
      <c r="U475" s="385"/>
      <c r="V475" s="385"/>
      <c r="W475" s="385"/>
      <c r="X475" s="385"/>
      <c r="Y475" s="385"/>
      <c r="Z475" s="385"/>
      <c r="AA475" s="385"/>
      <c r="AB475" s="385"/>
      <c r="AC475" s="385"/>
      <c r="AD475" s="385"/>
      <c r="AE475" s="385"/>
      <c r="AF475" s="385"/>
      <c r="AG475" s="385"/>
      <c r="AH475" s="385"/>
      <c r="AI475" s="385"/>
      <c r="AJ475" s="385"/>
      <c r="AK475" s="385"/>
      <c r="AL475" s="385"/>
      <c r="AM475" s="385"/>
      <c r="AN475" s="385"/>
      <c r="AO475" s="385"/>
      <c r="AP475" s="385"/>
      <c r="AQ475" s="385"/>
      <c r="AR475" s="385"/>
      <c r="AS475" s="385"/>
      <c r="AT475" s="385"/>
      <c r="AU475" s="385"/>
      <c r="AV475" s="385"/>
      <c r="AW475" s="385"/>
      <c r="AX475" s="385"/>
      <c r="AY475" s="385"/>
    </row>
    <row r="476" spans="1:51" ht="18">
      <c r="A476" s="385"/>
      <c r="B476" s="391" t="str">
        <f>Input!AR474</f>
        <v/>
      </c>
      <c r="C476" s="391">
        <f>DailyMet!N457</f>
        <v>0</v>
      </c>
      <c r="D476" s="392">
        <f>Input!AS474</f>
        <v>0</v>
      </c>
      <c r="E476" s="392">
        <f>Input!E474</f>
        <v>453</v>
      </c>
      <c r="F476" s="393">
        <f>Input!B474</f>
        <v>38439</v>
      </c>
      <c r="G476" s="503">
        <f t="shared" si="15"/>
        <v>0</v>
      </c>
      <c r="H476" s="354"/>
      <c r="I476" s="392">
        <f t="shared" si="14"/>
        <v>0</v>
      </c>
      <c r="J476" s="385"/>
      <c r="K476" s="385"/>
      <c r="L476" s="385"/>
      <c r="M476" s="385"/>
      <c r="N476" s="385"/>
      <c r="O476" s="385"/>
      <c r="P476" s="385"/>
      <c r="Q476" s="385"/>
      <c r="R476" s="385"/>
      <c r="S476" s="385"/>
      <c r="T476" s="385"/>
      <c r="U476" s="385"/>
      <c r="V476" s="385"/>
      <c r="W476" s="385"/>
      <c r="X476" s="385"/>
      <c r="Y476" s="385"/>
      <c r="Z476" s="385"/>
      <c r="AA476" s="385"/>
      <c r="AB476" s="385"/>
      <c r="AC476" s="385"/>
      <c r="AD476" s="385"/>
      <c r="AE476" s="385"/>
      <c r="AF476" s="385"/>
      <c r="AG476" s="385"/>
      <c r="AH476" s="385"/>
      <c r="AI476" s="385"/>
      <c r="AJ476" s="385"/>
      <c r="AK476" s="385"/>
      <c r="AL476" s="385"/>
      <c r="AM476" s="385"/>
      <c r="AN476" s="385"/>
      <c r="AO476" s="385"/>
      <c r="AP476" s="385"/>
      <c r="AQ476" s="385"/>
      <c r="AR476" s="385"/>
      <c r="AS476" s="385"/>
      <c r="AT476" s="385"/>
      <c r="AU476" s="385"/>
      <c r="AV476" s="385"/>
      <c r="AW476" s="385"/>
      <c r="AX476" s="385"/>
      <c r="AY476" s="385"/>
    </row>
    <row r="477" spans="1:51" ht="18">
      <c r="A477" s="385"/>
      <c r="B477" s="391" t="str">
        <f>Input!AR475</f>
        <v/>
      </c>
      <c r="C477" s="391">
        <f>DailyMet!N458</f>
        <v>2.6</v>
      </c>
      <c r="D477" s="392">
        <f>Input!AS475</f>
        <v>0</v>
      </c>
      <c r="E477" s="392">
        <f>Input!E475</f>
        <v>454</v>
      </c>
      <c r="F477" s="393">
        <f>Input!B475</f>
        <v>38440</v>
      </c>
      <c r="G477" s="503">
        <f t="shared" si="15"/>
        <v>0</v>
      </c>
      <c r="H477" s="354"/>
      <c r="I477" s="392">
        <f t="shared" si="14"/>
        <v>0</v>
      </c>
      <c r="J477" s="385"/>
      <c r="K477" s="385"/>
      <c r="L477" s="385"/>
      <c r="M477" s="385"/>
      <c r="N477" s="385"/>
      <c r="O477" s="385"/>
      <c r="P477" s="385"/>
      <c r="Q477" s="385"/>
      <c r="R477" s="385"/>
      <c r="S477" s="385"/>
      <c r="T477" s="385"/>
      <c r="U477" s="385"/>
      <c r="V477" s="385"/>
      <c r="W477" s="385"/>
      <c r="X477" s="385"/>
      <c r="Y477" s="385"/>
      <c r="Z477" s="385"/>
      <c r="AA477" s="385"/>
      <c r="AB477" s="385"/>
      <c r="AC477" s="385"/>
      <c r="AD477" s="385"/>
      <c r="AE477" s="385"/>
      <c r="AF477" s="385"/>
      <c r="AG477" s="385"/>
      <c r="AH477" s="385"/>
      <c r="AI477" s="385"/>
      <c r="AJ477" s="385"/>
      <c r="AK477" s="385"/>
      <c r="AL477" s="385"/>
      <c r="AM477" s="385"/>
      <c r="AN477" s="385"/>
      <c r="AO477" s="385"/>
      <c r="AP477" s="385"/>
      <c r="AQ477" s="385"/>
      <c r="AR477" s="385"/>
      <c r="AS477" s="385"/>
      <c r="AT477" s="385"/>
      <c r="AU477" s="385"/>
      <c r="AV477" s="385"/>
      <c r="AW477" s="385"/>
      <c r="AX477" s="385"/>
      <c r="AY477" s="385"/>
    </row>
    <row r="478" spans="1:51" ht="18">
      <c r="A478" s="385"/>
      <c r="B478" s="391" t="str">
        <f>Input!AR476</f>
        <v/>
      </c>
      <c r="C478" s="391">
        <f>DailyMet!N459</f>
        <v>2.2000000000000002</v>
      </c>
      <c r="D478" s="392">
        <f>Input!AS476</f>
        <v>0</v>
      </c>
      <c r="E478" s="392">
        <f>Input!E476</f>
        <v>455</v>
      </c>
      <c r="F478" s="393">
        <f>Input!B476</f>
        <v>38441</v>
      </c>
      <c r="G478" s="503">
        <f t="shared" si="15"/>
        <v>0</v>
      </c>
      <c r="H478" s="354"/>
      <c r="I478" s="392">
        <f t="shared" si="14"/>
        <v>0</v>
      </c>
      <c r="J478" s="385"/>
      <c r="K478" s="385"/>
      <c r="L478" s="385"/>
      <c r="M478" s="385"/>
      <c r="N478" s="385"/>
      <c r="O478" s="385"/>
      <c r="P478" s="385"/>
      <c r="Q478" s="385"/>
      <c r="R478" s="385"/>
      <c r="S478" s="385"/>
      <c r="T478" s="385"/>
      <c r="U478" s="385"/>
      <c r="V478" s="385"/>
      <c r="W478" s="385"/>
      <c r="X478" s="385"/>
      <c r="Y478" s="385"/>
      <c r="Z478" s="385"/>
      <c r="AA478" s="385"/>
      <c r="AB478" s="385"/>
      <c r="AC478" s="385"/>
      <c r="AD478" s="385"/>
      <c r="AE478" s="385"/>
      <c r="AF478" s="385"/>
      <c r="AG478" s="385"/>
      <c r="AH478" s="385"/>
      <c r="AI478" s="385"/>
      <c r="AJ478" s="385"/>
      <c r="AK478" s="385"/>
      <c r="AL478" s="385"/>
      <c r="AM478" s="385"/>
      <c r="AN478" s="385"/>
      <c r="AO478" s="385"/>
      <c r="AP478" s="385"/>
      <c r="AQ478" s="385"/>
      <c r="AR478" s="385"/>
      <c r="AS478" s="385"/>
      <c r="AT478" s="385"/>
      <c r="AU478" s="385"/>
      <c r="AV478" s="385"/>
      <c r="AW478" s="385"/>
      <c r="AX478" s="385"/>
      <c r="AY478" s="385"/>
    </row>
    <row r="479" spans="1:51" ht="18">
      <c r="A479" s="385"/>
      <c r="B479" s="391" t="str">
        <f>Input!AR477</f>
        <v/>
      </c>
      <c r="C479" s="391">
        <f>DailyMet!N460</f>
        <v>5.6</v>
      </c>
      <c r="D479" s="392">
        <f>Input!AS477</f>
        <v>0</v>
      </c>
      <c r="E479" s="392">
        <f>Input!E477</f>
        <v>456</v>
      </c>
      <c r="F479" s="393">
        <f>Input!B477</f>
        <v>38442</v>
      </c>
      <c r="G479" s="503">
        <f t="shared" si="15"/>
        <v>0</v>
      </c>
      <c r="H479" s="354"/>
      <c r="I479" s="392">
        <f t="shared" ref="I479:I542" si="16">IF(B479="",0,IF(D479-D478&lt;0,0,IF(I478+H479+C479&lt;0,0,I478+H479+C479)))</f>
        <v>0</v>
      </c>
      <c r="J479" s="385"/>
      <c r="K479" s="385"/>
      <c r="L479" s="385"/>
      <c r="M479" s="385"/>
      <c r="N479" s="385"/>
      <c r="O479" s="385"/>
      <c r="P479" s="385"/>
      <c r="Q479" s="385"/>
      <c r="R479" s="385"/>
      <c r="S479" s="385"/>
      <c r="T479" s="385"/>
      <c r="U479" s="385"/>
      <c r="V479" s="385"/>
      <c r="W479" s="385"/>
      <c r="X479" s="385"/>
      <c r="Y479" s="385"/>
      <c r="Z479" s="385"/>
      <c r="AA479" s="385"/>
      <c r="AB479" s="385"/>
      <c r="AC479" s="385"/>
      <c r="AD479" s="385"/>
      <c r="AE479" s="385"/>
      <c r="AF479" s="385"/>
      <c r="AG479" s="385"/>
      <c r="AH479" s="385"/>
      <c r="AI479" s="385"/>
      <c r="AJ479" s="385"/>
      <c r="AK479" s="385"/>
      <c r="AL479" s="385"/>
      <c r="AM479" s="385"/>
      <c r="AN479" s="385"/>
      <c r="AO479" s="385"/>
      <c r="AP479" s="385"/>
      <c r="AQ479" s="385"/>
      <c r="AR479" s="385"/>
      <c r="AS479" s="385"/>
      <c r="AT479" s="385"/>
      <c r="AU479" s="385"/>
      <c r="AV479" s="385"/>
      <c r="AW479" s="385"/>
      <c r="AX479" s="385"/>
      <c r="AY479" s="385"/>
    </row>
    <row r="480" spans="1:51" ht="18">
      <c r="A480" s="385"/>
      <c r="B480" s="391" t="str">
        <f>Input!AR478</f>
        <v/>
      </c>
      <c r="C480" s="391">
        <f>DailyMet!N461</f>
        <v>9.1999999999999993</v>
      </c>
      <c r="D480" s="392">
        <f>Input!AS478</f>
        <v>0</v>
      </c>
      <c r="E480" s="392">
        <f>Input!E478</f>
        <v>457</v>
      </c>
      <c r="F480" s="393">
        <f>Input!B478</f>
        <v>38443</v>
      </c>
      <c r="G480" s="503">
        <f t="shared" si="15"/>
        <v>0</v>
      </c>
      <c r="H480" s="354"/>
      <c r="I480" s="392">
        <f t="shared" si="16"/>
        <v>0</v>
      </c>
      <c r="J480" s="385"/>
      <c r="K480" s="385"/>
      <c r="L480" s="385"/>
      <c r="M480" s="385"/>
      <c r="N480" s="385"/>
      <c r="O480" s="385"/>
      <c r="P480" s="385"/>
      <c r="Q480" s="385"/>
      <c r="R480" s="385"/>
      <c r="S480" s="385"/>
      <c r="T480" s="385"/>
      <c r="U480" s="385"/>
      <c r="V480" s="385"/>
      <c r="W480" s="385"/>
      <c r="X480" s="385"/>
      <c r="Y480" s="385"/>
      <c r="Z480" s="385"/>
      <c r="AA480" s="385"/>
      <c r="AB480" s="385"/>
      <c r="AC480" s="385"/>
      <c r="AD480" s="385"/>
      <c r="AE480" s="385"/>
      <c r="AF480" s="385"/>
      <c r="AG480" s="385"/>
      <c r="AH480" s="385"/>
      <c r="AI480" s="385"/>
      <c r="AJ480" s="385"/>
      <c r="AK480" s="385"/>
      <c r="AL480" s="385"/>
      <c r="AM480" s="385"/>
      <c r="AN480" s="385"/>
      <c r="AO480" s="385"/>
      <c r="AP480" s="385"/>
      <c r="AQ480" s="385"/>
      <c r="AR480" s="385"/>
      <c r="AS480" s="385"/>
      <c r="AT480" s="385"/>
      <c r="AU480" s="385"/>
      <c r="AV480" s="385"/>
      <c r="AW480" s="385"/>
      <c r="AX480" s="385"/>
      <c r="AY480" s="385"/>
    </row>
    <row r="481" spans="1:51" ht="18">
      <c r="A481" s="385"/>
      <c r="B481" s="391" t="str">
        <f>Input!AR479</f>
        <v/>
      </c>
      <c r="C481" s="391">
        <f>DailyMet!N462</f>
        <v>0.6</v>
      </c>
      <c r="D481" s="392">
        <f>Input!AS479</f>
        <v>0</v>
      </c>
      <c r="E481" s="392">
        <f>Input!E479</f>
        <v>458</v>
      </c>
      <c r="F481" s="393">
        <f>Input!B479</f>
        <v>38444</v>
      </c>
      <c r="G481" s="503">
        <f t="shared" si="15"/>
        <v>0</v>
      </c>
      <c r="H481" s="354"/>
      <c r="I481" s="392">
        <f t="shared" si="16"/>
        <v>0</v>
      </c>
      <c r="J481" s="385"/>
      <c r="K481" s="385"/>
      <c r="L481" s="385"/>
      <c r="M481" s="385"/>
      <c r="N481" s="385"/>
      <c r="O481" s="385"/>
      <c r="P481" s="385"/>
      <c r="Q481" s="385"/>
      <c r="R481" s="385"/>
      <c r="S481" s="385"/>
      <c r="T481" s="385"/>
      <c r="U481" s="385"/>
      <c r="V481" s="385"/>
      <c r="W481" s="385"/>
      <c r="X481" s="385"/>
      <c r="Y481" s="385"/>
      <c r="Z481" s="385"/>
      <c r="AA481" s="385"/>
      <c r="AB481" s="385"/>
      <c r="AC481" s="385"/>
      <c r="AD481" s="385"/>
      <c r="AE481" s="385"/>
      <c r="AF481" s="385"/>
      <c r="AG481" s="385"/>
      <c r="AH481" s="385"/>
      <c r="AI481" s="385"/>
      <c r="AJ481" s="385"/>
      <c r="AK481" s="385"/>
      <c r="AL481" s="385"/>
      <c r="AM481" s="385"/>
      <c r="AN481" s="385"/>
      <c r="AO481" s="385"/>
      <c r="AP481" s="385"/>
      <c r="AQ481" s="385"/>
      <c r="AR481" s="385"/>
      <c r="AS481" s="385"/>
      <c r="AT481" s="385"/>
      <c r="AU481" s="385"/>
      <c r="AV481" s="385"/>
      <c r="AW481" s="385"/>
      <c r="AX481" s="385"/>
      <c r="AY481" s="385"/>
    </row>
    <row r="482" spans="1:51" ht="18">
      <c r="A482" s="385"/>
      <c r="B482" s="391" t="str">
        <f>Input!AR480</f>
        <v/>
      </c>
      <c r="C482" s="391">
        <f>DailyMet!N463</f>
        <v>0</v>
      </c>
      <c r="D482" s="392">
        <f>Input!AS480</f>
        <v>0</v>
      </c>
      <c r="E482" s="392">
        <f>Input!E480</f>
        <v>459</v>
      </c>
      <c r="F482" s="393">
        <f>Input!B480</f>
        <v>38445</v>
      </c>
      <c r="G482" s="503">
        <f t="shared" si="15"/>
        <v>0</v>
      </c>
      <c r="H482" s="354"/>
      <c r="I482" s="392">
        <f t="shared" si="16"/>
        <v>0</v>
      </c>
      <c r="J482" s="385"/>
      <c r="K482" s="385"/>
      <c r="L482" s="385"/>
      <c r="M482" s="385"/>
      <c r="N482" s="385"/>
      <c r="O482" s="385"/>
      <c r="P482" s="385"/>
      <c r="Q482" s="385"/>
      <c r="R482" s="385"/>
      <c r="S482" s="385"/>
      <c r="T482" s="385"/>
      <c r="U482" s="385"/>
      <c r="V482" s="385"/>
      <c r="W482" s="385"/>
      <c r="X482" s="385"/>
      <c r="Y482" s="385"/>
      <c r="Z482" s="385"/>
      <c r="AA482" s="385"/>
      <c r="AB482" s="385"/>
      <c r="AC482" s="385"/>
      <c r="AD482" s="385"/>
      <c r="AE482" s="385"/>
      <c r="AF482" s="385"/>
      <c r="AG482" s="385"/>
      <c r="AH482" s="385"/>
      <c r="AI482" s="385"/>
      <c r="AJ482" s="385"/>
      <c r="AK482" s="385"/>
      <c r="AL482" s="385"/>
      <c r="AM482" s="385"/>
      <c r="AN482" s="385"/>
      <c r="AO482" s="385"/>
      <c r="AP482" s="385"/>
      <c r="AQ482" s="385"/>
      <c r="AR482" s="385"/>
      <c r="AS482" s="385"/>
      <c r="AT482" s="385"/>
      <c r="AU482" s="385"/>
      <c r="AV482" s="385"/>
      <c r="AW482" s="385"/>
      <c r="AX482" s="385"/>
      <c r="AY482" s="385"/>
    </row>
    <row r="483" spans="1:51" ht="18">
      <c r="A483" s="385"/>
      <c r="B483" s="391" t="str">
        <f>Input!AR481</f>
        <v/>
      </c>
      <c r="C483" s="391">
        <f>DailyMet!N464</f>
        <v>0</v>
      </c>
      <c r="D483" s="392">
        <f>Input!AS481</f>
        <v>0</v>
      </c>
      <c r="E483" s="392">
        <f>Input!E481</f>
        <v>460</v>
      </c>
      <c r="F483" s="393">
        <f>Input!B481</f>
        <v>38446</v>
      </c>
      <c r="G483" s="503">
        <f t="shared" si="15"/>
        <v>0</v>
      </c>
      <c r="H483" s="354"/>
      <c r="I483" s="392">
        <f t="shared" si="16"/>
        <v>0</v>
      </c>
      <c r="J483" s="385"/>
      <c r="K483" s="385"/>
      <c r="L483" s="385"/>
      <c r="M483" s="385"/>
      <c r="N483" s="385"/>
      <c r="O483" s="385"/>
      <c r="P483" s="385"/>
      <c r="Q483" s="385"/>
      <c r="R483" s="385"/>
      <c r="S483" s="385"/>
      <c r="T483" s="385"/>
      <c r="U483" s="385"/>
      <c r="V483" s="385"/>
      <c r="W483" s="385"/>
      <c r="X483" s="385"/>
      <c r="Y483" s="385"/>
      <c r="Z483" s="385"/>
      <c r="AA483" s="385"/>
      <c r="AB483" s="385"/>
      <c r="AC483" s="385"/>
      <c r="AD483" s="385"/>
      <c r="AE483" s="385"/>
      <c r="AF483" s="385"/>
      <c r="AG483" s="385"/>
      <c r="AH483" s="385"/>
      <c r="AI483" s="385"/>
      <c r="AJ483" s="385"/>
      <c r="AK483" s="385"/>
      <c r="AL483" s="385"/>
      <c r="AM483" s="385"/>
      <c r="AN483" s="385"/>
      <c r="AO483" s="385"/>
      <c r="AP483" s="385"/>
      <c r="AQ483" s="385"/>
      <c r="AR483" s="385"/>
      <c r="AS483" s="385"/>
      <c r="AT483" s="385"/>
      <c r="AU483" s="385"/>
      <c r="AV483" s="385"/>
      <c r="AW483" s="385"/>
      <c r="AX483" s="385"/>
      <c r="AY483" s="385"/>
    </row>
    <row r="484" spans="1:51" ht="18">
      <c r="A484" s="385"/>
      <c r="B484" s="391" t="str">
        <f>Input!AR482</f>
        <v/>
      </c>
      <c r="C484" s="391">
        <f>DailyMet!N465</f>
        <v>0</v>
      </c>
      <c r="D484" s="392">
        <f>Input!AS482</f>
        <v>0</v>
      </c>
      <c r="E484" s="392">
        <f>Input!E482</f>
        <v>461</v>
      </c>
      <c r="F484" s="393">
        <f>Input!B482</f>
        <v>38447</v>
      </c>
      <c r="G484" s="503">
        <f t="shared" si="15"/>
        <v>0</v>
      </c>
      <c r="H484" s="354"/>
      <c r="I484" s="392">
        <f t="shared" si="16"/>
        <v>0</v>
      </c>
      <c r="J484" s="385"/>
      <c r="K484" s="385"/>
      <c r="L484" s="385"/>
      <c r="M484" s="385"/>
      <c r="N484" s="385"/>
      <c r="O484" s="385"/>
      <c r="P484" s="385"/>
      <c r="Q484" s="385"/>
      <c r="R484" s="385"/>
      <c r="S484" s="385"/>
      <c r="T484" s="385"/>
      <c r="U484" s="385"/>
      <c r="V484" s="385"/>
      <c r="W484" s="385"/>
      <c r="X484" s="385"/>
      <c r="Y484" s="385"/>
      <c r="Z484" s="385"/>
      <c r="AA484" s="385"/>
      <c r="AB484" s="385"/>
      <c r="AC484" s="385"/>
      <c r="AD484" s="385"/>
      <c r="AE484" s="385"/>
      <c r="AF484" s="385"/>
      <c r="AG484" s="385"/>
      <c r="AH484" s="385"/>
      <c r="AI484" s="385"/>
      <c r="AJ484" s="385"/>
      <c r="AK484" s="385"/>
      <c r="AL484" s="385"/>
      <c r="AM484" s="385"/>
      <c r="AN484" s="385"/>
      <c r="AO484" s="385"/>
      <c r="AP484" s="385"/>
      <c r="AQ484" s="385"/>
      <c r="AR484" s="385"/>
      <c r="AS484" s="385"/>
      <c r="AT484" s="385"/>
      <c r="AU484" s="385"/>
      <c r="AV484" s="385"/>
      <c r="AW484" s="385"/>
      <c r="AX484" s="385"/>
      <c r="AY484" s="385"/>
    </row>
    <row r="485" spans="1:51" ht="18">
      <c r="A485" s="385"/>
      <c r="B485" s="391" t="str">
        <f>Input!AR483</f>
        <v/>
      </c>
      <c r="C485" s="391">
        <f>DailyMet!N466</f>
        <v>0</v>
      </c>
      <c r="D485" s="392">
        <f>Input!AS483</f>
        <v>0</v>
      </c>
      <c r="E485" s="392">
        <f>Input!E483</f>
        <v>462</v>
      </c>
      <c r="F485" s="393">
        <f>Input!B483</f>
        <v>38448</v>
      </c>
      <c r="G485" s="503">
        <f t="shared" si="15"/>
        <v>0</v>
      </c>
      <c r="H485" s="354"/>
      <c r="I485" s="392">
        <f t="shared" si="16"/>
        <v>0</v>
      </c>
      <c r="J485" s="385"/>
      <c r="K485" s="385"/>
      <c r="L485" s="385"/>
      <c r="M485" s="385"/>
      <c r="N485" s="385"/>
      <c r="O485" s="385"/>
      <c r="P485" s="385"/>
      <c r="Q485" s="385"/>
      <c r="R485" s="385"/>
      <c r="S485" s="385"/>
      <c r="T485" s="385"/>
      <c r="U485" s="385"/>
      <c r="V485" s="385"/>
      <c r="W485" s="385"/>
      <c r="X485" s="385"/>
      <c r="Y485" s="385"/>
      <c r="Z485" s="385"/>
      <c r="AA485" s="385"/>
      <c r="AB485" s="385"/>
      <c r="AC485" s="385"/>
      <c r="AD485" s="385"/>
      <c r="AE485" s="385"/>
      <c r="AF485" s="385"/>
      <c r="AG485" s="385"/>
      <c r="AH485" s="385"/>
      <c r="AI485" s="385"/>
      <c r="AJ485" s="385"/>
      <c r="AK485" s="385"/>
      <c r="AL485" s="385"/>
      <c r="AM485" s="385"/>
      <c r="AN485" s="385"/>
      <c r="AO485" s="385"/>
      <c r="AP485" s="385"/>
      <c r="AQ485" s="385"/>
      <c r="AR485" s="385"/>
      <c r="AS485" s="385"/>
      <c r="AT485" s="385"/>
      <c r="AU485" s="385"/>
      <c r="AV485" s="385"/>
      <c r="AW485" s="385"/>
      <c r="AX485" s="385"/>
      <c r="AY485" s="385"/>
    </row>
    <row r="486" spans="1:51" ht="18">
      <c r="A486" s="385"/>
      <c r="B486" s="391" t="str">
        <f>Input!AR484</f>
        <v/>
      </c>
      <c r="C486" s="391">
        <f>DailyMet!N467</f>
        <v>0</v>
      </c>
      <c r="D486" s="392">
        <f>Input!AS484</f>
        <v>0</v>
      </c>
      <c r="E486" s="392">
        <f>Input!E484</f>
        <v>463</v>
      </c>
      <c r="F486" s="393">
        <f>Input!B484</f>
        <v>38449</v>
      </c>
      <c r="G486" s="503">
        <f t="shared" si="15"/>
        <v>0</v>
      </c>
      <c r="H486" s="354"/>
      <c r="I486" s="392">
        <f t="shared" si="16"/>
        <v>0</v>
      </c>
      <c r="J486" s="385"/>
      <c r="K486" s="385"/>
      <c r="L486" s="385"/>
      <c r="M486" s="385"/>
      <c r="N486" s="385"/>
      <c r="O486" s="385"/>
      <c r="P486" s="385"/>
      <c r="Q486" s="385"/>
      <c r="R486" s="385"/>
      <c r="S486" s="385"/>
      <c r="T486" s="385"/>
      <c r="U486" s="385"/>
      <c r="V486" s="385"/>
      <c r="W486" s="385"/>
      <c r="X486" s="385"/>
      <c r="Y486" s="385"/>
      <c r="Z486" s="385"/>
      <c r="AA486" s="385"/>
      <c r="AB486" s="385"/>
      <c r="AC486" s="385"/>
      <c r="AD486" s="385"/>
      <c r="AE486" s="385"/>
      <c r="AF486" s="385"/>
      <c r="AG486" s="385"/>
      <c r="AH486" s="385"/>
      <c r="AI486" s="385"/>
      <c r="AJ486" s="385"/>
      <c r="AK486" s="385"/>
      <c r="AL486" s="385"/>
      <c r="AM486" s="385"/>
      <c r="AN486" s="385"/>
      <c r="AO486" s="385"/>
      <c r="AP486" s="385"/>
      <c r="AQ486" s="385"/>
      <c r="AR486" s="385"/>
      <c r="AS486" s="385"/>
      <c r="AT486" s="385"/>
      <c r="AU486" s="385"/>
      <c r="AV486" s="385"/>
      <c r="AW486" s="385"/>
      <c r="AX486" s="385"/>
      <c r="AY486" s="385"/>
    </row>
    <row r="487" spans="1:51" ht="18">
      <c r="A487" s="385"/>
      <c r="B487" s="391" t="str">
        <f>Input!AR485</f>
        <v/>
      </c>
      <c r="C487" s="391">
        <f>DailyMet!N468</f>
        <v>0</v>
      </c>
      <c r="D487" s="392">
        <f>Input!AS485</f>
        <v>0</v>
      </c>
      <c r="E487" s="392">
        <f>Input!E485</f>
        <v>464</v>
      </c>
      <c r="F487" s="393">
        <f>Input!B485</f>
        <v>38450</v>
      </c>
      <c r="G487" s="503">
        <f t="shared" si="15"/>
        <v>0</v>
      </c>
      <c r="H487" s="354"/>
      <c r="I487" s="392">
        <f t="shared" si="16"/>
        <v>0</v>
      </c>
      <c r="J487" s="385"/>
      <c r="K487" s="385"/>
      <c r="L487" s="385"/>
      <c r="M487" s="385"/>
      <c r="N487" s="385"/>
      <c r="O487" s="385"/>
      <c r="P487" s="385"/>
      <c r="Q487" s="385"/>
      <c r="R487" s="385"/>
      <c r="S487" s="385"/>
      <c r="T487" s="385"/>
      <c r="U487" s="385"/>
      <c r="V487" s="385"/>
      <c r="W487" s="385"/>
      <c r="X487" s="385"/>
      <c r="Y487" s="385"/>
      <c r="Z487" s="385"/>
      <c r="AA487" s="385"/>
      <c r="AB487" s="385"/>
      <c r="AC487" s="385"/>
      <c r="AD487" s="385"/>
      <c r="AE487" s="385"/>
      <c r="AF487" s="385"/>
      <c r="AG487" s="385"/>
      <c r="AH487" s="385"/>
      <c r="AI487" s="385"/>
      <c r="AJ487" s="385"/>
      <c r="AK487" s="385"/>
      <c r="AL487" s="385"/>
      <c r="AM487" s="385"/>
      <c r="AN487" s="385"/>
      <c r="AO487" s="385"/>
      <c r="AP487" s="385"/>
      <c r="AQ487" s="385"/>
      <c r="AR487" s="385"/>
      <c r="AS487" s="385"/>
      <c r="AT487" s="385"/>
      <c r="AU487" s="385"/>
      <c r="AV487" s="385"/>
      <c r="AW487" s="385"/>
      <c r="AX487" s="385"/>
      <c r="AY487" s="385"/>
    </row>
    <row r="488" spans="1:51" ht="18">
      <c r="A488" s="385"/>
      <c r="B488" s="391" t="str">
        <f>Input!AR486</f>
        <v/>
      </c>
      <c r="C488" s="391">
        <f>DailyMet!N469</f>
        <v>0</v>
      </c>
      <c r="D488" s="392">
        <f>Input!AS486</f>
        <v>0</v>
      </c>
      <c r="E488" s="392">
        <f>Input!E486</f>
        <v>465</v>
      </c>
      <c r="F488" s="393">
        <f>Input!B486</f>
        <v>38451</v>
      </c>
      <c r="G488" s="503">
        <f t="shared" si="15"/>
        <v>0</v>
      </c>
      <c r="H488" s="354"/>
      <c r="I488" s="392">
        <f t="shared" si="16"/>
        <v>0</v>
      </c>
      <c r="J488" s="385"/>
      <c r="K488" s="385"/>
      <c r="L488" s="385"/>
      <c r="M488" s="385"/>
      <c r="N488" s="385"/>
      <c r="O488" s="385"/>
      <c r="P488" s="385"/>
      <c r="Q488" s="385"/>
      <c r="R488" s="385"/>
      <c r="S488" s="385"/>
      <c r="T488" s="385"/>
      <c r="U488" s="385"/>
      <c r="V488" s="385"/>
      <c r="W488" s="385"/>
      <c r="X488" s="385"/>
      <c r="Y488" s="385"/>
      <c r="Z488" s="385"/>
      <c r="AA488" s="385"/>
      <c r="AB488" s="385"/>
      <c r="AC488" s="385"/>
      <c r="AD488" s="385"/>
      <c r="AE488" s="385"/>
      <c r="AF488" s="385"/>
      <c r="AG488" s="385"/>
      <c r="AH488" s="385"/>
      <c r="AI488" s="385"/>
      <c r="AJ488" s="385"/>
      <c r="AK488" s="385"/>
      <c r="AL488" s="385"/>
      <c r="AM488" s="385"/>
      <c r="AN488" s="385"/>
      <c r="AO488" s="385"/>
      <c r="AP488" s="385"/>
      <c r="AQ488" s="385"/>
      <c r="AR488" s="385"/>
      <c r="AS488" s="385"/>
      <c r="AT488" s="385"/>
      <c r="AU488" s="385"/>
      <c r="AV488" s="385"/>
      <c r="AW488" s="385"/>
      <c r="AX488" s="385"/>
      <c r="AY488" s="385"/>
    </row>
    <row r="489" spans="1:51" ht="18">
      <c r="A489" s="385"/>
      <c r="B489" s="391" t="str">
        <f>Input!AR487</f>
        <v/>
      </c>
      <c r="C489" s="391">
        <f>DailyMet!N470</f>
        <v>0</v>
      </c>
      <c r="D489" s="392">
        <f>Input!AS487</f>
        <v>0</v>
      </c>
      <c r="E489" s="392">
        <f>Input!E487</f>
        <v>466</v>
      </c>
      <c r="F489" s="393">
        <f>Input!B487</f>
        <v>38452</v>
      </c>
      <c r="G489" s="503">
        <f t="shared" si="15"/>
        <v>0</v>
      </c>
      <c r="H489" s="354"/>
      <c r="I489" s="392">
        <f t="shared" si="16"/>
        <v>0</v>
      </c>
      <c r="J489" s="385"/>
      <c r="K489" s="385"/>
      <c r="L489" s="385"/>
      <c r="M489" s="385"/>
      <c r="N489" s="385"/>
      <c r="O489" s="385"/>
      <c r="P489" s="385"/>
      <c r="Q489" s="385"/>
      <c r="R489" s="385"/>
      <c r="S489" s="385"/>
      <c r="T489" s="385"/>
      <c r="U489" s="385"/>
      <c r="V489" s="385"/>
      <c r="W489" s="385"/>
      <c r="X489" s="385"/>
      <c r="Y489" s="385"/>
      <c r="Z489" s="385"/>
      <c r="AA489" s="385"/>
      <c r="AB489" s="385"/>
      <c r="AC489" s="385"/>
      <c r="AD489" s="385"/>
      <c r="AE489" s="385"/>
      <c r="AF489" s="385"/>
      <c r="AG489" s="385"/>
      <c r="AH489" s="385"/>
      <c r="AI489" s="385"/>
      <c r="AJ489" s="385"/>
      <c r="AK489" s="385"/>
      <c r="AL489" s="385"/>
      <c r="AM489" s="385"/>
      <c r="AN489" s="385"/>
      <c r="AO489" s="385"/>
      <c r="AP489" s="385"/>
      <c r="AQ489" s="385"/>
      <c r="AR489" s="385"/>
      <c r="AS489" s="385"/>
      <c r="AT489" s="385"/>
      <c r="AU489" s="385"/>
      <c r="AV489" s="385"/>
      <c r="AW489" s="385"/>
      <c r="AX489" s="385"/>
      <c r="AY489" s="385"/>
    </row>
    <row r="490" spans="1:51" ht="18">
      <c r="A490" s="385"/>
      <c r="B490" s="391" t="str">
        <f>Input!AR488</f>
        <v/>
      </c>
      <c r="C490" s="391">
        <f>DailyMet!N471</f>
        <v>0</v>
      </c>
      <c r="D490" s="392">
        <f>Input!AS488</f>
        <v>0</v>
      </c>
      <c r="E490" s="392">
        <f>Input!E488</f>
        <v>467</v>
      </c>
      <c r="F490" s="393">
        <f>Input!B488</f>
        <v>38453</v>
      </c>
      <c r="G490" s="503">
        <f t="shared" si="15"/>
        <v>0</v>
      </c>
      <c r="H490" s="354"/>
      <c r="I490" s="392">
        <f t="shared" si="16"/>
        <v>0</v>
      </c>
      <c r="J490" s="385"/>
      <c r="K490" s="385"/>
      <c r="L490" s="385"/>
      <c r="M490" s="385"/>
      <c r="N490" s="385"/>
      <c r="O490" s="385"/>
      <c r="P490" s="385"/>
      <c r="Q490" s="385"/>
      <c r="R490" s="385"/>
      <c r="S490" s="385"/>
      <c r="T490" s="385"/>
      <c r="U490" s="385"/>
      <c r="V490" s="385"/>
      <c r="W490" s="385"/>
      <c r="X490" s="385"/>
      <c r="Y490" s="385"/>
      <c r="Z490" s="385"/>
      <c r="AA490" s="385"/>
      <c r="AB490" s="385"/>
      <c r="AC490" s="385"/>
      <c r="AD490" s="385"/>
      <c r="AE490" s="385"/>
      <c r="AF490" s="385"/>
      <c r="AG490" s="385"/>
      <c r="AH490" s="385"/>
      <c r="AI490" s="385"/>
      <c r="AJ490" s="385"/>
      <c r="AK490" s="385"/>
      <c r="AL490" s="385"/>
      <c r="AM490" s="385"/>
      <c r="AN490" s="385"/>
      <c r="AO490" s="385"/>
      <c r="AP490" s="385"/>
      <c r="AQ490" s="385"/>
      <c r="AR490" s="385"/>
      <c r="AS490" s="385"/>
      <c r="AT490" s="385"/>
      <c r="AU490" s="385"/>
      <c r="AV490" s="385"/>
      <c r="AW490" s="385"/>
      <c r="AX490" s="385"/>
      <c r="AY490" s="385"/>
    </row>
    <row r="491" spans="1:51" ht="18">
      <c r="A491" s="385"/>
      <c r="B491" s="391" t="str">
        <f>Input!AR489</f>
        <v/>
      </c>
      <c r="C491" s="391">
        <f>DailyMet!N472</f>
        <v>0</v>
      </c>
      <c r="D491" s="392">
        <f>Input!AS489</f>
        <v>0</v>
      </c>
      <c r="E491" s="392">
        <f>Input!E489</f>
        <v>468</v>
      </c>
      <c r="F491" s="393">
        <f>Input!B489</f>
        <v>38454</v>
      </c>
      <c r="G491" s="503">
        <f t="shared" si="15"/>
        <v>0</v>
      </c>
      <c r="H491" s="354"/>
      <c r="I491" s="392">
        <f t="shared" si="16"/>
        <v>0</v>
      </c>
      <c r="J491" s="385"/>
      <c r="K491" s="385"/>
      <c r="L491" s="385"/>
      <c r="M491" s="385"/>
      <c r="N491" s="385"/>
      <c r="O491" s="385"/>
      <c r="P491" s="385"/>
      <c r="Q491" s="385"/>
      <c r="R491" s="385"/>
      <c r="S491" s="385"/>
      <c r="T491" s="385"/>
      <c r="U491" s="385"/>
      <c r="V491" s="385"/>
      <c r="W491" s="385"/>
      <c r="X491" s="385"/>
      <c r="Y491" s="385"/>
      <c r="Z491" s="385"/>
      <c r="AA491" s="385"/>
      <c r="AB491" s="385"/>
      <c r="AC491" s="385"/>
      <c r="AD491" s="385"/>
      <c r="AE491" s="385"/>
      <c r="AF491" s="385"/>
      <c r="AG491" s="385"/>
      <c r="AH491" s="385"/>
      <c r="AI491" s="385"/>
      <c r="AJ491" s="385"/>
      <c r="AK491" s="385"/>
      <c r="AL491" s="385"/>
      <c r="AM491" s="385"/>
      <c r="AN491" s="385"/>
      <c r="AO491" s="385"/>
      <c r="AP491" s="385"/>
      <c r="AQ491" s="385"/>
      <c r="AR491" s="385"/>
      <c r="AS491" s="385"/>
      <c r="AT491" s="385"/>
      <c r="AU491" s="385"/>
      <c r="AV491" s="385"/>
      <c r="AW491" s="385"/>
      <c r="AX491" s="385"/>
      <c r="AY491" s="385"/>
    </row>
    <row r="492" spans="1:51" ht="18">
      <c r="A492" s="385"/>
      <c r="B492" s="391" t="str">
        <f>Input!AR490</f>
        <v/>
      </c>
      <c r="C492" s="391">
        <f>DailyMet!N473</f>
        <v>0</v>
      </c>
      <c r="D492" s="392">
        <f>Input!AS490</f>
        <v>0</v>
      </c>
      <c r="E492" s="392">
        <f>Input!E490</f>
        <v>469</v>
      </c>
      <c r="F492" s="393">
        <f>Input!B490</f>
        <v>38455</v>
      </c>
      <c r="G492" s="503">
        <f t="shared" si="15"/>
        <v>0</v>
      </c>
      <c r="H492" s="354"/>
      <c r="I492" s="392">
        <f t="shared" si="16"/>
        <v>0</v>
      </c>
      <c r="J492" s="385"/>
      <c r="K492" s="385"/>
      <c r="L492" s="385"/>
      <c r="M492" s="385"/>
      <c r="N492" s="385"/>
      <c r="O492" s="385"/>
      <c r="P492" s="385"/>
      <c r="Q492" s="385"/>
      <c r="R492" s="385"/>
      <c r="S492" s="385"/>
      <c r="T492" s="385"/>
      <c r="U492" s="385"/>
      <c r="V492" s="385"/>
      <c r="W492" s="385"/>
      <c r="X492" s="385"/>
      <c r="Y492" s="385"/>
      <c r="Z492" s="385"/>
      <c r="AA492" s="385"/>
      <c r="AB492" s="385"/>
      <c r="AC492" s="385"/>
      <c r="AD492" s="385"/>
      <c r="AE492" s="385"/>
      <c r="AF492" s="385"/>
      <c r="AG492" s="385"/>
      <c r="AH492" s="385"/>
      <c r="AI492" s="385"/>
      <c r="AJ492" s="385"/>
      <c r="AK492" s="385"/>
      <c r="AL492" s="385"/>
      <c r="AM492" s="385"/>
      <c r="AN492" s="385"/>
      <c r="AO492" s="385"/>
      <c r="AP492" s="385"/>
      <c r="AQ492" s="385"/>
      <c r="AR492" s="385"/>
      <c r="AS492" s="385"/>
      <c r="AT492" s="385"/>
      <c r="AU492" s="385"/>
      <c r="AV492" s="385"/>
      <c r="AW492" s="385"/>
      <c r="AX492" s="385"/>
      <c r="AY492" s="385"/>
    </row>
    <row r="493" spans="1:51" ht="18">
      <c r="A493" s="385"/>
      <c r="B493" s="391" t="str">
        <f>Input!AR491</f>
        <v/>
      </c>
      <c r="C493" s="391">
        <f>DailyMet!N474</f>
        <v>0</v>
      </c>
      <c r="D493" s="392">
        <f>Input!AS491</f>
        <v>0</v>
      </c>
      <c r="E493" s="392">
        <f>Input!E491</f>
        <v>470</v>
      </c>
      <c r="F493" s="393">
        <f>Input!B491</f>
        <v>38456</v>
      </c>
      <c r="G493" s="503">
        <f t="shared" si="15"/>
        <v>0</v>
      </c>
      <c r="H493" s="354"/>
      <c r="I493" s="392">
        <f t="shared" si="16"/>
        <v>0</v>
      </c>
      <c r="J493" s="385"/>
      <c r="K493" s="385"/>
      <c r="L493" s="385"/>
      <c r="M493" s="385"/>
      <c r="N493" s="385"/>
      <c r="O493" s="385"/>
      <c r="P493" s="385"/>
      <c r="Q493" s="385"/>
      <c r="R493" s="385"/>
      <c r="S493" s="385"/>
      <c r="T493" s="385"/>
      <c r="U493" s="385"/>
      <c r="V493" s="385"/>
      <c r="W493" s="385"/>
      <c r="X493" s="385"/>
      <c r="Y493" s="385"/>
      <c r="Z493" s="385"/>
      <c r="AA493" s="385"/>
      <c r="AB493" s="385"/>
      <c r="AC493" s="385"/>
      <c r="AD493" s="385"/>
      <c r="AE493" s="385"/>
      <c r="AF493" s="385"/>
      <c r="AG493" s="385"/>
      <c r="AH493" s="385"/>
      <c r="AI493" s="385"/>
      <c r="AJ493" s="385"/>
      <c r="AK493" s="385"/>
      <c r="AL493" s="385"/>
      <c r="AM493" s="385"/>
      <c r="AN493" s="385"/>
      <c r="AO493" s="385"/>
      <c r="AP493" s="385"/>
      <c r="AQ493" s="385"/>
      <c r="AR493" s="385"/>
      <c r="AS493" s="385"/>
      <c r="AT493" s="385"/>
      <c r="AU493" s="385"/>
      <c r="AV493" s="385"/>
      <c r="AW493" s="385"/>
      <c r="AX493" s="385"/>
      <c r="AY493" s="385"/>
    </row>
    <row r="494" spans="1:51" ht="18">
      <c r="A494" s="385"/>
      <c r="B494" s="391" t="str">
        <f>Input!AR492</f>
        <v/>
      </c>
      <c r="C494" s="391">
        <f>DailyMet!N475</f>
        <v>0</v>
      </c>
      <c r="D494" s="392">
        <f>Input!AS492</f>
        <v>0</v>
      </c>
      <c r="E494" s="392">
        <f>Input!E492</f>
        <v>471</v>
      </c>
      <c r="F494" s="393">
        <f>Input!B492</f>
        <v>38457</v>
      </c>
      <c r="G494" s="503">
        <f t="shared" si="15"/>
        <v>0</v>
      </c>
      <c r="H494" s="354"/>
      <c r="I494" s="392">
        <f t="shared" si="16"/>
        <v>0</v>
      </c>
      <c r="J494" s="385"/>
      <c r="K494" s="385"/>
      <c r="L494" s="385"/>
      <c r="M494" s="385"/>
      <c r="N494" s="385"/>
      <c r="O494" s="385"/>
      <c r="P494" s="385"/>
      <c r="Q494" s="385"/>
      <c r="R494" s="385"/>
      <c r="S494" s="385"/>
      <c r="T494" s="385"/>
      <c r="U494" s="385"/>
      <c r="V494" s="385"/>
      <c r="W494" s="385"/>
      <c r="X494" s="385"/>
      <c r="Y494" s="385"/>
      <c r="Z494" s="385"/>
      <c r="AA494" s="385"/>
      <c r="AB494" s="385"/>
      <c r="AC494" s="385"/>
      <c r="AD494" s="385"/>
      <c r="AE494" s="385"/>
      <c r="AF494" s="385"/>
      <c r="AG494" s="385"/>
      <c r="AH494" s="385"/>
      <c r="AI494" s="385"/>
      <c r="AJ494" s="385"/>
      <c r="AK494" s="385"/>
      <c r="AL494" s="385"/>
      <c r="AM494" s="385"/>
      <c r="AN494" s="385"/>
      <c r="AO494" s="385"/>
      <c r="AP494" s="385"/>
      <c r="AQ494" s="385"/>
      <c r="AR494" s="385"/>
      <c r="AS494" s="385"/>
      <c r="AT494" s="385"/>
      <c r="AU494" s="385"/>
      <c r="AV494" s="385"/>
      <c r="AW494" s="385"/>
      <c r="AX494" s="385"/>
      <c r="AY494" s="385"/>
    </row>
    <row r="495" spans="1:51" ht="18">
      <c r="A495" s="385"/>
      <c r="B495" s="391" t="str">
        <f>Input!AR493</f>
        <v/>
      </c>
      <c r="C495" s="391">
        <f>DailyMet!N476</f>
        <v>0</v>
      </c>
      <c r="D495" s="392">
        <f>Input!AS493</f>
        <v>0</v>
      </c>
      <c r="E495" s="392">
        <f>Input!E493</f>
        <v>472</v>
      </c>
      <c r="F495" s="393">
        <f>Input!B493</f>
        <v>38458</v>
      </c>
      <c r="G495" s="503">
        <f t="shared" si="15"/>
        <v>0</v>
      </c>
      <c r="H495" s="354"/>
      <c r="I495" s="392">
        <f t="shared" si="16"/>
        <v>0</v>
      </c>
      <c r="J495" s="385"/>
      <c r="K495" s="385"/>
      <c r="L495" s="385"/>
      <c r="M495" s="385"/>
      <c r="N495" s="385"/>
      <c r="O495" s="385"/>
      <c r="P495" s="385"/>
      <c r="Q495" s="385"/>
      <c r="R495" s="385"/>
      <c r="S495" s="385"/>
      <c r="T495" s="385"/>
      <c r="U495" s="385"/>
      <c r="V495" s="385"/>
      <c r="W495" s="385"/>
      <c r="X495" s="385"/>
      <c r="Y495" s="385"/>
      <c r="Z495" s="385"/>
      <c r="AA495" s="385"/>
      <c r="AB495" s="385"/>
      <c r="AC495" s="385"/>
      <c r="AD495" s="385"/>
      <c r="AE495" s="385"/>
      <c r="AF495" s="385"/>
      <c r="AG495" s="385"/>
      <c r="AH495" s="385"/>
      <c r="AI495" s="385"/>
      <c r="AJ495" s="385"/>
      <c r="AK495" s="385"/>
      <c r="AL495" s="385"/>
      <c r="AM495" s="385"/>
      <c r="AN495" s="385"/>
      <c r="AO495" s="385"/>
      <c r="AP495" s="385"/>
      <c r="AQ495" s="385"/>
      <c r="AR495" s="385"/>
      <c r="AS495" s="385"/>
      <c r="AT495" s="385"/>
      <c r="AU495" s="385"/>
      <c r="AV495" s="385"/>
      <c r="AW495" s="385"/>
      <c r="AX495" s="385"/>
      <c r="AY495" s="385"/>
    </row>
    <row r="496" spans="1:51" ht="18">
      <c r="A496" s="385"/>
      <c r="B496" s="391" t="str">
        <f>Input!AR494</f>
        <v/>
      </c>
      <c r="C496" s="391">
        <f>DailyMet!N477</f>
        <v>0</v>
      </c>
      <c r="D496" s="392">
        <f>Input!AS494</f>
        <v>0</v>
      </c>
      <c r="E496" s="392">
        <f>Input!E494</f>
        <v>473</v>
      </c>
      <c r="F496" s="393">
        <f>Input!B494</f>
        <v>38459</v>
      </c>
      <c r="G496" s="503">
        <f t="shared" si="15"/>
        <v>0</v>
      </c>
      <c r="H496" s="354"/>
      <c r="I496" s="392">
        <f t="shared" si="16"/>
        <v>0</v>
      </c>
      <c r="J496" s="385"/>
      <c r="K496" s="385"/>
      <c r="L496" s="385"/>
      <c r="M496" s="385"/>
      <c r="N496" s="385"/>
      <c r="O496" s="385"/>
      <c r="P496" s="385"/>
      <c r="Q496" s="385"/>
      <c r="R496" s="385"/>
      <c r="S496" s="385"/>
      <c r="T496" s="385"/>
      <c r="U496" s="385"/>
      <c r="V496" s="385"/>
      <c r="W496" s="385"/>
      <c r="X496" s="385"/>
      <c r="Y496" s="385"/>
      <c r="Z496" s="385"/>
      <c r="AA496" s="385"/>
      <c r="AB496" s="385"/>
      <c r="AC496" s="385"/>
      <c r="AD496" s="385"/>
      <c r="AE496" s="385"/>
      <c r="AF496" s="385"/>
      <c r="AG496" s="385"/>
      <c r="AH496" s="385"/>
      <c r="AI496" s="385"/>
      <c r="AJ496" s="385"/>
      <c r="AK496" s="385"/>
      <c r="AL496" s="385"/>
      <c r="AM496" s="385"/>
      <c r="AN496" s="385"/>
      <c r="AO496" s="385"/>
      <c r="AP496" s="385"/>
      <c r="AQ496" s="385"/>
      <c r="AR496" s="385"/>
      <c r="AS496" s="385"/>
      <c r="AT496" s="385"/>
      <c r="AU496" s="385"/>
      <c r="AV496" s="385"/>
      <c r="AW496" s="385"/>
      <c r="AX496" s="385"/>
      <c r="AY496" s="385"/>
    </row>
    <row r="497" spans="1:51" ht="18">
      <c r="A497" s="385"/>
      <c r="B497" s="391" t="str">
        <f>Input!AR495</f>
        <v/>
      </c>
      <c r="C497" s="391">
        <f>DailyMet!N478</f>
        <v>0</v>
      </c>
      <c r="D497" s="392">
        <f>Input!AS495</f>
        <v>0</v>
      </c>
      <c r="E497" s="392">
        <f>Input!E495</f>
        <v>474</v>
      </c>
      <c r="F497" s="393">
        <f>Input!B495</f>
        <v>38460</v>
      </c>
      <c r="G497" s="503">
        <f t="shared" si="15"/>
        <v>0</v>
      </c>
      <c r="H497" s="354"/>
      <c r="I497" s="392">
        <f t="shared" si="16"/>
        <v>0</v>
      </c>
      <c r="J497" s="385"/>
      <c r="K497" s="385"/>
      <c r="L497" s="385"/>
      <c r="M497" s="385"/>
      <c r="N497" s="385"/>
      <c r="O497" s="385"/>
      <c r="P497" s="385"/>
      <c r="Q497" s="385"/>
      <c r="R497" s="385"/>
      <c r="S497" s="385"/>
      <c r="T497" s="385"/>
      <c r="U497" s="385"/>
      <c r="V497" s="385"/>
      <c r="W497" s="385"/>
      <c r="X497" s="385"/>
      <c r="Y497" s="385"/>
      <c r="Z497" s="385"/>
      <c r="AA497" s="385"/>
      <c r="AB497" s="385"/>
      <c r="AC497" s="385"/>
      <c r="AD497" s="385"/>
      <c r="AE497" s="385"/>
      <c r="AF497" s="385"/>
      <c r="AG497" s="385"/>
      <c r="AH497" s="385"/>
      <c r="AI497" s="385"/>
      <c r="AJ497" s="385"/>
      <c r="AK497" s="385"/>
      <c r="AL497" s="385"/>
      <c r="AM497" s="385"/>
      <c r="AN497" s="385"/>
      <c r="AO497" s="385"/>
      <c r="AP497" s="385"/>
      <c r="AQ497" s="385"/>
      <c r="AR497" s="385"/>
      <c r="AS497" s="385"/>
      <c r="AT497" s="385"/>
      <c r="AU497" s="385"/>
      <c r="AV497" s="385"/>
      <c r="AW497" s="385"/>
      <c r="AX497" s="385"/>
      <c r="AY497" s="385"/>
    </row>
    <row r="498" spans="1:51" ht="18">
      <c r="A498" s="385"/>
      <c r="B498" s="391" t="str">
        <f>Input!AR496</f>
        <v/>
      </c>
      <c r="C498" s="391">
        <f>DailyMet!N479</f>
        <v>0</v>
      </c>
      <c r="D498" s="392">
        <f>Input!AS496</f>
        <v>0</v>
      </c>
      <c r="E498" s="392">
        <f>Input!E496</f>
        <v>475</v>
      </c>
      <c r="F498" s="393">
        <f>Input!B496</f>
        <v>38461</v>
      </c>
      <c r="G498" s="503">
        <f t="shared" si="15"/>
        <v>0</v>
      </c>
      <c r="H498" s="354"/>
      <c r="I498" s="392">
        <f t="shared" si="16"/>
        <v>0</v>
      </c>
      <c r="J498" s="385"/>
      <c r="K498" s="385"/>
      <c r="L498" s="385"/>
      <c r="M498" s="385"/>
      <c r="N498" s="385"/>
      <c r="O498" s="385"/>
      <c r="P498" s="385"/>
      <c r="Q498" s="385"/>
      <c r="R498" s="385"/>
      <c r="S498" s="385"/>
      <c r="T498" s="385"/>
      <c r="U498" s="385"/>
      <c r="V498" s="385"/>
      <c r="W498" s="385"/>
      <c r="X498" s="385"/>
      <c r="Y498" s="385"/>
      <c r="Z498" s="385"/>
      <c r="AA498" s="385"/>
      <c r="AB498" s="385"/>
      <c r="AC498" s="385"/>
      <c r="AD498" s="385"/>
      <c r="AE498" s="385"/>
      <c r="AF498" s="385"/>
      <c r="AG498" s="385"/>
      <c r="AH498" s="385"/>
      <c r="AI498" s="385"/>
      <c r="AJ498" s="385"/>
      <c r="AK498" s="385"/>
      <c r="AL498" s="385"/>
      <c r="AM498" s="385"/>
      <c r="AN498" s="385"/>
      <c r="AO498" s="385"/>
      <c r="AP498" s="385"/>
      <c r="AQ498" s="385"/>
      <c r="AR498" s="385"/>
      <c r="AS498" s="385"/>
      <c r="AT498" s="385"/>
      <c r="AU498" s="385"/>
      <c r="AV498" s="385"/>
      <c r="AW498" s="385"/>
      <c r="AX498" s="385"/>
      <c r="AY498" s="385"/>
    </row>
    <row r="499" spans="1:51" ht="18">
      <c r="A499" s="385"/>
      <c r="B499" s="391" t="str">
        <f>Input!AR497</f>
        <v/>
      </c>
      <c r="C499" s="391">
        <f>DailyMet!N480</f>
        <v>0</v>
      </c>
      <c r="D499" s="392">
        <f>Input!AS497</f>
        <v>0</v>
      </c>
      <c r="E499" s="392">
        <f>Input!E497</f>
        <v>476</v>
      </c>
      <c r="F499" s="393">
        <f>Input!B497</f>
        <v>38462</v>
      </c>
      <c r="G499" s="503">
        <f t="shared" ref="G499:G562" si="17">IF(B499="",0,IF(H499&lt;&gt;"",IF(G498+B499-H499-C499&lt;0,0,G498+B499-H499-C499),IF(G498+B499-C499&lt;0,0,G498+B499-C499)))</f>
        <v>0</v>
      </c>
      <c r="H499" s="354"/>
      <c r="I499" s="392">
        <f t="shared" si="16"/>
        <v>0</v>
      </c>
      <c r="J499" s="385"/>
      <c r="K499" s="385"/>
      <c r="L499" s="385"/>
      <c r="M499" s="385"/>
      <c r="N499" s="385"/>
      <c r="O499" s="385"/>
      <c r="P499" s="385"/>
      <c r="Q499" s="385"/>
      <c r="R499" s="385"/>
      <c r="S499" s="385"/>
      <c r="T499" s="385"/>
      <c r="U499" s="385"/>
      <c r="V499" s="385"/>
      <c r="W499" s="385"/>
      <c r="X499" s="385"/>
      <c r="Y499" s="385"/>
      <c r="Z499" s="385"/>
      <c r="AA499" s="385"/>
      <c r="AB499" s="385"/>
      <c r="AC499" s="385"/>
      <c r="AD499" s="385"/>
      <c r="AE499" s="385"/>
      <c r="AF499" s="385"/>
      <c r="AG499" s="385"/>
      <c r="AH499" s="385"/>
      <c r="AI499" s="385"/>
      <c r="AJ499" s="385"/>
      <c r="AK499" s="385"/>
      <c r="AL499" s="385"/>
      <c r="AM499" s="385"/>
      <c r="AN499" s="385"/>
      <c r="AO499" s="385"/>
      <c r="AP499" s="385"/>
      <c r="AQ499" s="385"/>
      <c r="AR499" s="385"/>
      <c r="AS499" s="385"/>
      <c r="AT499" s="385"/>
      <c r="AU499" s="385"/>
      <c r="AV499" s="385"/>
      <c r="AW499" s="385"/>
      <c r="AX499" s="385"/>
      <c r="AY499" s="385"/>
    </row>
    <row r="500" spans="1:51" ht="18">
      <c r="A500" s="385"/>
      <c r="B500" s="391" t="str">
        <f>Input!AR498</f>
        <v/>
      </c>
      <c r="C500" s="391">
        <f>DailyMet!N481</f>
        <v>0</v>
      </c>
      <c r="D500" s="392">
        <f>Input!AS498</f>
        <v>0</v>
      </c>
      <c r="E500" s="392">
        <f>Input!E498</f>
        <v>477</v>
      </c>
      <c r="F500" s="393">
        <f>Input!B498</f>
        <v>38463</v>
      </c>
      <c r="G500" s="503">
        <f t="shared" si="17"/>
        <v>0</v>
      </c>
      <c r="H500" s="354"/>
      <c r="I500" s="392">
        <f t="shared" si="16"/>
        <v>0</v>
      </c>
      <c r="J500" s="385"/>
      <c r="K500" s="385"/>
      <c r="L500" s="385"/>
      <c r="M500" s="385"/>
      <c r="N500" s="385"/>
      <c r="O500" s="385"/>
      <c r="P500" s="385"/>
      <c r="Q500" s="385"/>
      <c r="R500" s="385"/>
      <c r="S500" s="385"/>
      <c r="T500" s="385"/>
      <c r="U500" s="385"/>
      <c r="V500" s="385"/>
      <c r="W500" s="385"/>
      <c r="X500" s="385"/>
      <c r="Y500" s="385"/>
      <c r="Z500" s="385"/>
      <c r="AA500" s="385"/>
      <c r="AB500" s="385"/>
      <c r="AC500" s="385"/>
      <c r="AD500" s="385"/>
      <c r="AE500" s="385"/>
      <c r="AF500" s="385"/>
      <c r="AG500" s="385"/>
      <c r="AH500" s="385"/>
      <c r="AI500" s="385"/>
      <c r="AJ500" s="385"/>
      <c r="AK500" s="385"/>
      <c r="AL500" s="385"/>
      <c r="AM500" s="385"/>
      <c r="AN500" s="385"/>
      <c r="AO500" s="385"/>
      <c r="AP500" s="385"/>
      <c r="AQ500" s="385"/>
      <c r="AR500" s="385"/>
      <c r="AS500" s="385"/>
      <c r="AT500" s="385"/>
      <c r="AU500" s="385"/>
      <c r="AV500" s="385"/>
      <c r="AW500" s="385"/>
      <c r="AX500" s="385"/>
      <c r="AY500" s="385"/>
    </row>
    <row r="501" spans="1:51" ht="18">
      <c r="A501" s="385"/>
      <c r="B501" s="391" t="str">
        <f>Input!AR499</f>
        <v/>
      </c>
      <c r="C501" s="391">
        <f>DailyMet!N482</f>
        <v>1.2</v>
      </c>
      <c r="D501" s="392">
        <f>Input!AS499</f>
        <v>0</v>
      </c>
      <c r="E501" s="392">
        <f>Input!E499</f>
        <v>478</v>
      </c>
      <c r="F501" s="393">
        <f>Input!B499</f>
        <v>38464</v>
      </c>
      <c r="G501" s="503">
        <f t="shared" si="17"/>
        <v>0</v>
      </c>
      <c r="H501" s="354"/>
      <c r="I501" s="392">
        <f t="shared" si="16"/>
        <v>0</v>
      </c>
      <c r="J501" s="385"/>
      <c r="K501" s="385"/>
      <c r="L501" s="385"/>
      <c r="M501" s="385"/>
      <c r="N501" s="385"/>
      <c r="O501" s="385"/>
      <c r="P501" s="385"/>
      <c r="Q501" s="385"/>
      <c r="R501" s="385"/>
      <c r="S501" s="385"/>
      <c r="T501" s="385"/>
      <c r="U501" s="385"/>
      <c r="V501" s="385"/>
      <c r="W501" s="385"/>
      <c r="X501" s="385"/>
      <c r="Y501" s="385"/>
      <c r="Z501" s="385"/>
      <c r="AA501" s="385"/>
      <c r="AB501" s="385"/>
      <c r="AC501" s="385"/>
      <c r="AD501" s="385"/>
      <c r="AE501" s="385"/>
      <c r="AF501" s="385"/>
      <c r="AG501" s="385"/>
      <c r="AH501" s="385"/>
      <c r="AI501" s="385"/>
      <c r="AJ501" s="385"/>
      <c r="AK501" s="385"/>
      <c r="AL501" s="385"/>
      <c r="AM501" s="385"/>
      <c r="AN501" s="385"/>
      <c r="AO501" s="385"/>
      <c r="AP501" s="385"/>
      <c r="AQ501" s="385"/>
      <c r="AR501" s="385"/>
      <c r="AS501" s="385"/>
      <c r="AT501" s="385"/>
      <c r="AU501" s="385"/>
      <c r="AV501" s="385"/>
      <c r="AW501" s="385"/>
      <c r="AX501" s="385"/>
      <c r="AY501" s="385"/>
    </row>
    <row r="502" spans="1:51" ht="18">
      <c r="A502" s="385"/>
      <c r="B502" s="391" t="str">
        <f>Input!AR500</f>
        <v/>
      </c>
      <c r="C502" s="391">
        <f>DailyMet!N483</f>
        <v>11.6</v>
      </c>
      <c r="D502" s="392">
        <f>Input!AS500</f>
        <v>0</v>
      </c>
      <c r="E502" s="392">
        <f>Input!E500</f>
        <v>479</v>
      </c>
      <c r="F502" s="393">
        <f>Input!B500</f>
        <v>38465</v>
      </c>
      <c r="G502" s="503">
        <f t="shared" si="17"/>
        <v>0</v>
      </c>
      <c r="H502" s="354"/>
      <c r="I502" s="392">
        <f t="shared" si="16"/>
        <v>0</v>
      </c>
      <c r="J502" s="385"/>
      <c r="K502" s="385"/>
      <c r="L502" s="385"/>
      <c r="M502" s="385"/>
      <c r="N502" s="385"/>
      <c r="O502" s="385"/>
      <c r="P502" s="385"/>
      <c r="Q502" s="385"/>
      <c r="R502" s="385"/>
      <c r="S502" s="385"/>
      <c r="T502" s="385"/>
      <c r="U502" s="385"/>
      <c r="V502" s="385"/>
      <c r="W502" s="385"/>
      <c r="X502" s="385"/>
      <c r="Y502" s="385"/>
      <c r="Z502" s="385"/>
      <c r="AA502" s="385"/>
      <c r="AB502" s="385"/>
      <c r="AC502" s="385"/>
      <c r="AD502" s="385"/>
      <c r="AE502" s="385"/>
      <c r="AF502" s="385"/>
      <c r="AG502" s="385"/>
      <c r="AH502" s="385"/>
      <c r="AI502" s="385"/>
      <c r="AJ502" s="385"/>
      <c r="AK502" s="385"/>
      <c r="AL502" s="385"/>
      <c r="AM502" s="385"/>
      <c r="AN502" s="385"/>
      <c r="AO502" s="385"/>
      <c r="AP502" s="385"/>
      <c r="AQ502" s="385"/>
      <c r="AR502" s="385"/>
      <c r="AS502" s="385"/>
      <c r="AT502" s="385"/>
      <c r="AU502" s="385"/>
      <c r="AV502" s="385"/>
      <c r="AW502" s="385"/>
      <c r="AX502" s="385"/>
      <c r="AY502" s="385"/>
    </row>
    <row r="503" spans="1:51" ht="18">
      <c r="A503" s="385"/>
      <c r="B503" s="391" t="str">
        <f>Input!AR501</f>
        <v/>
      </c>
      <c r="C503" s="391">
        <f>DailyMet!N484</f>
        <v>10.6</v>
      </c>
      <c r="D503" s="392">
        <f>Input!AS501</f>
        <v>0</v>
      </c>
      <c r="E503" s="392">
        <f>Input!E501</f>
        <v>480</v>
      </c>
      <c r="F503" s="393">
        <f>Input!B501</f>
        <v>38466</v>
      </c>
      <c r="G503" s="503">
        <f t="shared" si="17"/>
        <v>0</v>
      </c>
      <c r="H503" s="354"/>
      <c r="I503" s="392">
        <f t="shared" si="16"/>
        <v>0</v>
      </c>
      <c r="J503" s="385"/>
      <c r="K503" s="385"/>
      <c r="L503" s="385"/>
      <c r="M503" s="385"/>
      <c r="N503" s="385"/>
      <c r="O503" s="385"/>
      <c r="P503" s="385"/>
      <c r="Q503" s="385"/>
      <c r="R503" s="385"/>
      <c r="S503" s="385"/>
      <c r="T503" s="385"/>
      <c r="U503" s="385"/>
      <c r="V503" s="385"/>
      <c r="W503" s="385"/>
      <c r="X503" s="385"/>
      <c r="Y503" s="385"/>
      <c r="Z503" s="385"/>
      <c r="AA503" s="385"/>
      <c r="AB503" s="385"/>
      <c r="AC503" s="385"/>
      <c r="AD503" s="385"/>
      <c r="AE503" s="385"/>
      <c r="AF503" s="385"/>
      <c r="AG503" s="385"/>
      <c r="AH503" s="385"/>
      <c r="AI503" s="385"/>
      <c r="AJ503" s="385"/>
      <c r="AK503" s="385"/>
      <c r="AL503" s="385"/>
      <c r="AM503" s="385"/>
      <c r="AN503" s="385"/>
      <c r="AO503" s="385"/>
      <c r="AP503" s="385"/>
      <c r="AQ503" s="385"/>
      <c r="AR503" s="385"/>
      <c r="AS503" s="385"/>
      <c r="AT503" s="385"/>
      <c r="AU503" s="385"/>
      <c r="AV503" s="385"/>
      <c r="AW503" s="385"/>
      <c r="AX503" s="385"/>
      <c r="AY503" s="385"/>
    </row>
    <row r="504" spans="1:51" ht="18">
      <c r="A504" s="385"/>
      <c r="B504" s="391" t="str">
        <f>Input!AR502</f>
        <v/>
      </c>
      <c r="C504" s="391">
        <f>DailyMet!N485</f>
        <v>7</v>
      </c>
      <c r="D504" s="392">
        <f>Input!AS502</f>
        <v>0</v>
      </c>
      <c r="E504" s="392">
        <f>Input!E502</f>
        <v>481</v>
      </c>
      <c r="F504" s="393">
        <f>Input!B502</f>
        <v>38467</v>
      </c>
      <c r="G504" s="503">
        <f t="shared" si="17"/>
        <v>0</v>
      </c>
      <c r="H504" s="354"/>
      <c r="I504" s="392">
        <f t="shared" si="16"/>
        <v>0</v>
      </c>
      <c r="J504" s="385"/>
      <c r="K504" s="385"/>
      <c r="L504" s="385"/>
      <c r="M504" s="385"/>
      <c r="N504" s="385"/>
      <c r="O504" s="385"/>
      <c r="P504" s="385"/>
      <c r="Q504" s="385"/>
      <c r="R504" s="385"/>
      <c r="S504" s="385"/>
      <c r="T504" s="385"/>
      <c r="U504" s="385"/>
      <c r="V504" s="385"/>
      <c r="W504" s="385"/>
      <c r="X504" s="385"/>
      <c r="Y504" s="385"/>
      <c r="Z504" s="385"/>
      <c r="AA504" s="385"/>
      <c r="AB504" s="385"/>
      <c r="AC504" s="385"/>
      <c r="AD504" s="385"/>
      <c r="AE504" s="385"/>
      <c r="AF504" s="385"/>
      <c r="AG504" s="385"/>
      <c r="AH504" s="385"/>
      <c r="AI504" s="385"/>
      <c r="AJ504" s="385"/>
      <c r="AK504" s="385"/>
      <c r="AL504" s="385"/>
      <c r="AM504" s="385"/>
      <c r="AN504" s="385"/>
      <c r="AO504" s="385"/>
      <c r="AP504" s="385"/>
      <c r="AQ504" s="385"/>
      <c r="AR504" s="385"/>
      <c r="AS504" s="385"/>
      <c r="AT504" s="385"/>
      <c r="AU504" s="385"/>
      <c r="AV504" s="385"/>
      <c r="AW504" s="385"/>
      <c r="AX504" s="385"/>
      <c r="AY504" s="385"/>
    </row>
    <row r="505" spans="1:51" ht="18">
      <c r="A505" s="385"/>
      <c r="B505" s="391" t="str">
        <f>Input!AR503</f>
        <v/>
      </c>
      <c r="C505" s="391">
        <f>DailyMet!N486</f>
        <v>4.4000000000000004</v>
      </c>
      <c r="D505" s="392">
        <f>Input!AS503</f>
        <v>0</v>
      </c>
      <c r="E505" s="392">
        <f>Input!E503</f>
        <v>482</v>
      </c>
      <c r="F505" s="393">
        <f>Input!B503</f>
        <v>38468</v>
      </c>
      <c r="G505" s="503">
        <f t="shared" si="17"/>
        <v>0</v>
      </c>
      <c r="H505" s="354"/>
      <c r="I505" s="392">
        <f t="shared" si="16"/>
        <v>0</v>
      </c>
      <c r="J505" s="385"/>
      <c r="K505" s="385"/>
      <c r="L505" s="385"/>
      <c r="M505" s="385"/>
      <c r="N505" s="385"/>
      <c r="O505" s="385"/>
      <c r="P505" s="385"/>
      <c r="Q505" s="385"/>
      <c r="R505" s="385"/>
      <c r="S505" s="385"/>
      <c r="T505" s="385"/>
      <c r="U505" s="385"/>
      <c r="V505" s="385"/>
      <c r="W505" s="385"/>
      <c r="X505" s="385"/>
      <c r="Y505" s="385"/>
      <c r="Z505" s="385"/>
      <c r="AA505" s="385"/>
      <c r="AB505" s="385"/>
      <c r="AC505" s="385"/>
      <c r="AD505" s="385"/>
      <c r="AE505" s="385"/>
      <c r="AF505" s="385"/>
      <c r="AG505" s="385"/>
      <c r="AH505" s="385"/>
      <c r="AI505" s="385"/>
      <c r="AJ505" s="385"/>
      <c r="AK505" s="385"/>
      <c r="AL505" s="385"/>
      <c r="AM505" s="385"/>
      <c r="AN505" s="385"/>
      <c r="AO505" s="385"/>
      <c r="AP505" s="385"/>
      <c r="AQ505" s="385"/>
      <c r="AR505" s="385"/>
      <c r="AS505" s="385"/>
      <c r="AT505" s="385"/>
      <c r="AU505" s="385"/>
      <c r="AV505" s="385"/>
      <c r="AW505" s="385"/>
      <c r="AX505" s="385"/>
      <c r="AY505" s="385"/>
    </row>
    <row r="506" spans="1:51" ht="18">
      <c r="A506" s="385"/>
      <c r="B506" s="391" t="str">
        <f>Input!AR504</f>
        <v/>
      </c>
      <c r="C506" s="391">
        <f>DailyMet!N487</f>
        <v>2.6</v>
      </c>
      <c r="D506" s="392">
        <f>Input!AS504</f>
        <v>0</v>
      </c>
      <c r="E506" s="392">
        <f>Input!E504</f>
        <v>483</v>
      </c>
      <c r="F506" s="393">
        <f>Input!B504</f>
        <v>38469</v>
      </c>
      <c r="G506" s="503">
        <f t="shared" si="17"/>
        <v>0</v>
      </c>
      <c r="H506" s="354"/>
      <c r="I506" s="392">
        <f t="shared" si="16"/>
        <v>0</v>
      </c>
      <c r="J506" s="385"/>
      <c r="K506" s="385"/>
      <c r="L506" s="385"/>
      <c r="M506" s="385"/>
      <c r="N506" s="385"/>
      <c r="O506" s="385"/>
      <c r="P506" s="385"/>
      <c r="Q506" s="385"/>
      <c r="R506" s="385"/>
      <c r="S506" s="385"/>
      <c r="T506" s="385"/>
      <c r="U506" s="385"/>
      <c r="V506" s="385"/>
      <c r="W506" s="385"/>
      <c r="X506" s="385"/>
      <c r="Y506" s="385"/>
      <c r="Z506" s="385"/>
      <c r="AA506" s="385"/>
      <c r="AB506" s="385"/>
      <c r="AC506" s="385"/>
      <c r="AD506" s="385"/>
      <c r="AE506" s="385"/>
      <c r="AF506" s="385"/>
      <c r="AG506" s="385"/>
      <c r="AH506" s="385"/>
      <c r="AI506" s="385"/>
      <c r="AJ506" s="385"/>
      <c r="AK506" s="385"/>
      <c r="AL506" s="385"/>
      <c r="AM506" s="385"/>
      <c r="AN506" s="385"/>
      <c r="AO506" s="385"/>
      <c r="AP506" s="385"/>
      <c r="AQ506" s="385"/>
      <c r="AR506" s="385"/>
      <c r="AS506" s="385"/>
      <c r="AT506" s="385"/>
      <c r="AU506" s="385"/>
      <c r="AV506" s="385"/>
      <c r="AW506" s="385"/>
      <c r="AX506" s="385"/>
      <c r="AY506" s="385"/>
    </row>
    <row r="507" spans="1:51" ht="18">
      <c r="A507" s="385"/>
      <c r="B507" s="391" t="str">
        <f>Input!AR505</f>
        <v/>
      </c>
      <c r="C507" s="391">
        <f>DailyMet!N488</f>
        <v>0.6</v>
      </c>
      <c r="D507" s="392">
        <f>Input!AS505</f>
        <v>0</v>
      </c>
      <c r="E507" s="392">
        <f>Input!E505</f>
        <v>484</v>
      </c>
      <c r="F507" s="393">
        <f>Input!B505</f>
        <v>38470</v>
      </c>
      <c r="G507" s="503">
        <f t="shared" si="17"/>
        <v>0</v>
      </c>
      <c r="H507" s="354"/>
      <c r="I507" s="392">
        <f t="shared" si="16"/>
        <v>0</v>
      </c>
      <c r="J507" s="385"/>
      <c r="K507" s="385"/>
      <c r="L507" s="385"/>
      <c r="M507" s="385"/>
      <c r="N507" s="385"/>
      <c r="O507" s="385"/>
      <c r="P507" s="385"/>
      <c r="Q507" s="385"/>
      <c r="R507" s="385"/>
      <c r="S507" s="385"/>
      <c r="T507" s="385"/>
      <c r="U507" s="385"/>
      <c r="V507" s="385"/>
      <c r="W507" s="385"/>
      <c r="X507" s="385"/>
      <c r="Y507" s="385"/>
      <c r="Z507" s="385"/>
      <c r="AA507" s="385"/>
      <c r="AB507" s="385"/>
      <c r="AC507" s="385"/>
      <c r="AD507" s="385"/>
      <c r="AE507" s="385"/>
      <c r="AF507" s="385"/>
      <c r="AG507" s="385"/>
      <c r="AH507" s="385"/>
      <c r="AI507" s="385"/>
      <c r="AJ507" s="385"/>
      <c r="AK507" s="385"/>
      <c r="AL507" s="385"/>
      <c r="AM507" s="385"/>
      <c r="AN507" s="385"/>
      <c r="AO507" s="385"/>
      <c r="AP507" s="385"/>
      <c r="AQ507" s="385"/>
      <c r="AR507" s="385"/>
      <c r="AS507" s="385"/>
      <c r="AT507" s="385"/>
      <c r="AU507" s="385"/>
      <c r="AV507" s="385"/>
      <c r="AW507" s="385"/>
      <c r="AX507" s="385"/>
      <c r="AY507" s="385"/>
    </row>
    <row r="508" spans="1:51" ht="18">
      <c r="A508" s="385"/>
      <c r="B508" s="391" t="str">
        <f>Input!AR506</f>
        <v/>
      </c>
      <c r="C508" s="391">
        <f>DailyMet!N489</f>
        <v>4.5999999999999996</v>
      </c>
      <c r="D508" s="392">
        <f>Input!AS506</f>
        <v>0</v>
      </c>
      <c r="E508" s="392">
        <f>Input!E506</f>
        <v>485</v>
      </c>
      <c r="F508" s="393">
        <f>Input!B506</f>
        <v>38471</v>
      </c>
      <c r="G508" s="503">
        <f t="shared" si="17"/>
        <v>0</v>
      </c>
      <c r="H508" s="354"/>
      <c r="I508" s="392">
        <f t="shared" si="16"/>
        <v>0</v>
      </c>
      <c r="J508" s="385"/>
      <c r="K508" s="385"/>
      <c r="L508" s="385"/>
      <c r="M508" s="385"/>
      <c r="N508" s="385"/>
      <c r="O508" s="385"/>
      <c r="P508" s="385"/>
      <c r="Q508" s="385"/>
      <c r="R508" s="385"/>
      <c r="S508" s="385"/>
      <c r="T508" s="385"/>
      <c r="U508" s="385"/>
      <c r="V508" s="385"/>
      <c r="W508" s="385"/>
      <c r="X508" s="385"/>
      <c r="Y508" s="385"/>
      <c r="Z508" s="385"/>
      <c r="AA508" s="385"/>
      <c r="AB508" s="385"/>
      <c r="AC508" s="385"/>
      <c r="AD508" s="385"/>
      <c r="AE508" s="385"/>
      <c r="AF508" s="385"/>
      <c r="AG508" s="385"/>
      <c r="AH508" s="385"/>
      <c r="AI508" s="385"/>
      <c r="AJ508" s="385"/>
      <c r="AK508" s="385"/>
      <c r="AL508" s="385"/>
      <c r="AM508" s="385"/>
      <c r="AN508" s="385"/>
      <c r="AO508" s="385"/>
      <c r="AP508" s="385"/>
      <c r="AQ508" s="385"/>
      <c r="AR508" s="385"/>
      <c r="AS508" s="385"/>
      <c r="AT508" s="385"/>
      <c r="AU508" s="385"/>
      <c r="AV508" s="385"/>
      <c r="AW508" s="385"/>
      <c r="AX508" s="385"/>
      <c r="AY508" s="385"/>
    </row>
    <row r="509" spans="1:51" ht="18">
      <c r="A509" s="385"/>
      <c r="B509" s="391" t="str">
        <f>Input!AR507</f>
        <v/>
      </c>
      <c r="C509" s="391">
        <f>DailyMet!N490</f>
        <v>6</v>
      </c>
      <c r="D509" s="392">
        <f>Input!AS507</f>
        <v>0</v>
      </c>
      <c r="E509" s="392">
        <f>Input!E507</f>
        <v>486</v>
      </c>
      <c r="F509" s="393">
        <f>Input!B507</f>
        <v>38472</v>
      </c>
      <c r="G509" s="503">
        <f t="shared" si="17"/>
        <v>0</v>
      </c>
      <c r="H509" s="354"/>
      <c r="I509" s="392">
        <f t="shared" si="16"/>
        <v>0</v>
      </c>
      <c r="J509" s="385"/>
      <c r="K509" s="385"/>
      <c r="L509" s="385"/>
      <c r="M509" s="385"/>
      <c r="N509" s="385"/>
      <c r="O509" s="385"/>
      <c r="P509" s="385"/>
      <c r="Q509" s="385"/>
      <c r="R509" s="385"/>
      <c r="S509" s="385"/>
      <c r="T509" s="385"/>
      <c r="U509" s="385"/>
      <c r="V509" s="385"/>
      <c r="W509" s="385"/>
      <c r="X509" s="385"/>
      <c r="Y509" s="385"/>
      <c r="Z509" s="385"/>
      <c r="AA509" s="385"/>
      <c r="AB509" s="385"/>
      <c r="AC509" s="385"/>
      <c r="AD509" s="385"/>
      <c r="AE509" s="385"/>
      <c r="AF509" s="385"/>
      <c r="AG509" s="385"/>
      <c r="AH509" s="385"/>
      <c r="AI509" s="385"/>
      <c r="AJ509" s="385"/>
      <c r="AK509" s="385"/>
      <c r="AL509" s="385"/>
      <c r="AM509" s="385"/>
      <c r="AN509" s="385"/>
      <c r="AO509" s="385"/>
      <c r="AP509" s="385"/>
      <c r="AQ509" s="385"/>
      <c r="AR509" s="385"/>
      <c r="AS509" s="385"/>
      <c r="AT509" s="385"/>
      <c r="AU509" s="385"/>
      <c r="AV509" s="385"/>
      <c r="AW509" s="385"/>
      <c r="AX509" s="385"/>
      <c r="AY509" s="385"/>
    </row>
    <row r="510" spans="1:51" ht="18">
      <c r="A510" s="385"/>
      <c r="B510" s="391" t="str">
        <f>Input!AR508</f>
        <v/>
      </c>
      <c r="C510" s="391">
        <f>DailyMet!N491</f>
        <v>0</v>
      </c>
      <c r="D510" s="392">
        <f>Input!AS508</f>
        <v>0</v>
      </c>
      <c r="E510" s="392">
        <f>Input!E508</f>
        <v>487</v>
      </c>
      <c r="F510" s="393">
        <f>Input!B508</f>
        <v>38473</v>
      </c>
      <c r="G510" s="503">
        <f t="shared" si="17"/>
        <v>0</v>
      </c>
      <c r="H510" s="354"/>
      <c r="I510" s="392">
        <f t="shared" si="16"/>
        <v>0</v>
      </c>
      <c r="J510" s="385"/>
      <c r="K510" s="385"/>
      <c r="L510" s="385"/>
      <c r="M510" s="385"/>
      <c r="N510" s="385"/>
      <c r="O510" s="385"/>
      <c r="P510" s="385"/>
      <c r="Q510" s="385"/>
      <c r="R510" s="385"/>
      <c r="S510" s="385"/>
      <c r="T510" s="385"/>
      <c r="U510" s="385"/>
      <c r="V510" s="385"/>
      <c r="W510" s="385"/>
      <c r="X510" s="385"/>
      <c r="Y510" s="385"/>
      <c r="Z510" s="385"/>
      <c r="AA510" s="385"/>
      <c r="AB510" s="385"/>
      <c r="AC510" s="385"/>
      <c r="AD510" s="385"/>
      <c r="AE510" s="385"/>
      <c r="AF510" s="385"/>
      <c r="AG510" s="385"/>
      <c r="AH510" s="385"/>
      <c r="AI510" s="385"/>
      <c r="AJ510" s="385"/>
      <c r="AK510" s="385"/>
      <c r="AL510" s="385"/>
      <c r="AM510" s="385"/>
      <c r="AN510" s="385"/>
      <c r="AO510" s="385"/>
      <c r="AP510" s="385"/>
      <c r="AQ510" s="385"/>
      <c r="AR510" s="385"/>
      <c r="AS510" s="385"/>
      <c r="AT510" s="385"/>
      <c r="AU510" s="385"/>
      <c r="AV510" s="385"/>
      <c r="AW510" s="385"/>
      <c r="AX510" s="385"/>
      <c r="AY510" s="385"/>
    </row>
    <row r="511" spans="1:51" ht="18">
      <c r="A511" s="385"/>
      <c r="B511" s="391" t="str">
        <f>Input!AR509</f>
        <v/>
      </c>
      <c r="C511" s="391">
        <f>DailyMet!N492</f>
        <v>11.4</v>
      </c>
      <c r="D511" s="392">
        <f>Input!AS509</f>
        <v>0</v>
      </c>
      <c r="E511" s="392">
        <f>Input!E509</f>
        <v>488</v>
      </c>
      <c r="F511" s="393">
        <f>Input!B509</f>
        <v>38474</v>
      </c>
      <c r="G511" s="503">
        <f t="shared" si="17"/>
        <v>0</v>
      </c>
      <c r="H511" s="354"/>
      <c r="I511" s="392">
        <f t="shared" si="16"/>
        <v>0</v>
      </c>
      <c r="J511" s="385"/>
      <c r="K511" s="385"/>
      <c r="L511" s="385"/>
      <c r="M511" s="385"/>
      <c r="N511" s="385"/>
      <c r="O511" s="385"/>
      <c r="P511" s="385"/>
      <c r="Q511" s="385"/>
      <c r="R511" s="385"/>
      <c r="S511" s="385"/>
      <c r="T511" s="385"/>
      <c r="U511" s="385"/>
      <c r="V511" s="385"/>
      <c r="W511" s="385"/>
      <c r="X511" s="385"/>
      <c r="Y511" s="385"/>
      <c r="Z511" s="385"/>
      <c r="AA511" s="385"/>
      <c r="AB511" s="385"/>
      <c r="AC511" s="385"/>
      <c r="AD511" s="385"/>
      <c r="AE511" s="385"/>
      <c r="AF511" s="385"/>
      <c r="AG511" s="385"/>
      <c r="AH511" s="385"/>
      <c r="AI511" s="385"/>
      <c r="AJ511" s="385"/>
      <c r="AK511" s="385"/>
      <c r="AL511" s="385"/>
      <c r="AM511" s="385"/>
      <c r="AN511" s="385"/>
      <c r="AO511" s="385"/>
      <c r="AP511" s="385"/>
      <c r="AQ511" s="385"/>
      <c r="AR511" s="385"/>
      <c r="AS511" s="385"/>
      <c r="AT511" s="385"/>
      <c r="AU511" s="385"/>
      <c r="AV511" s="385"/>
      <c r="AW511" s="385"/>
      <c r="AX511" s="385"/>
      <c r="AY511" s="385"/>
    </row>
    <row r="512" spans="1:51" ht="18">
      <c r="A512" s="385"/>
      <c r="B512" s="391" t="str">
        <f>Input!AR510</f>
        <v/>
      </c>
      <c r="C512" s="391">
        <f>DailyMet!N493</f>
        <v>0</v>
      </c>
      <c r="D512" s="392">
        <f>Input!AS510</f>
        <v>0</v>
      </c>
      <c r="E512" s="392">
        <f>Input!E510</f>
        <v>489</v>
      </c>
      <c r="F512" s="393">
        <f>Input!B510</f>
        <v>38475</v>
      </c>
      <c r="G512" s="503">
        <f t="shared" si="17"/>
        <v>0</v>
      </c>
      <c r="H512" s="354"/>
      <c r="I512" s="392">
        <f t="shared" si="16"/>
        <v>0</v>
      </c>
      <c r="J512" s="385"/>
      <c r="K512" s="385"/>
      <c r="L512" s="385"/>
      <c r="M512" s="385"/>
      <c r="N512" s="385"/>
      <c r="O512" s="385"/>
      <c r="P512" s="385"/>
      <c r="Q512" s="385"/>
      <c r="R512" s="385"/>
      <c r="S512" s="385"/>
      <c r="T512" s="385"/>
      <c r="U512" s="385"/>
      <c r="V512" s="385"/>
      <c r="W512" s="385"/>
      <c r="X512" s="385"/>
      <c r="Y512" s="385"/>
      <c r="Z512" s="385"/>
      <c r="AA512" s="385"/>
      <c r="AB512" s="385"/>
      <c r="AC512" s="385"/>
      <c r="AD512" s="385"/>
      <c r="AE512" s="385"/>
      <c r="AF512" s="385"/>
      <c r="AG512" s="385"/>
      <c r="AH512" s="385"/>
      <c r="AI512" s="385"/>
      <c r="AJ512" s="385"/>
      <c r="AK512" s="385"/>
      <c r="AL512" s="385"/>
      <c r="AM512" s="385"/>
      <c r="AN512" s="385"/>
      <c r="AO512" s="385"/>
      <c r="AP512" s="385"/>
      <c r="AQ512" s="385"/>
      <c r="AR512" s="385"/>
      <c r="AS512" s="385"/>
      <c r="AT512" s="385"/>
      <c r="AU512" s="385"/>
      <c r="AV512" s="385"/>
      <c r="AW512" s="385"/>
      <c r="AX512" s="385"/>
      <c r="AY512" s="385"/>
    </row>
    <row r="513" spans="1:51" ht="18">
      <c r="A513" s="385"/>
      <c r="B513" s="391" t="str">
        <f>Input!AR511</f>
        <v/>
      </c>
      <c r="C513" s="391">
        <f>DailyMet!N494</f>
        <v>4.4000000000000004</v>
      </c>
      <c r="D513" s="392">
        <f>Input!AS511</f>
        <v>0</v>
      </c>
      <c r="E513" s="392">
        <f>Input!E511</f>
        <v>490</v>
      </c>
      <c r="F513" s="393">
        <f>Input!B511</f>
        <v>38476</v>
      </c>
      <c r="G513" s="503">
        <f t="shared" si="17"/>
        <v>0</v>
      </c>
      <c r="H513" s="354"/>
      <c r="I513" s="392">
        <f t="shared" si="16"/>
        <v>0</v>
      </c>
      <c r="J513" s="385"/>
      <c r="K513" s="385"/>
      <c r="L513" s="385"/>
      <c r="M513" s="385"/>
      <c r="N513" s="385"/>
      <c r="O513" s="385"/>
      <c r="P513" s="385"/>
      <c r="Q513" s="385"/>
      <c r="R513" s="385"/>
      <c r="S513" s="385"/>
      <c r="T513" s="385"/>
      <c r="U513" s="385"/>
      <c r="V513" s="385"/>
      <c r="W513" s="385"/>
      <c r="X513" s="385"/>
      <c r="Y513" s="385"/>
      <c r="Z513" s="385"/>
      <c r="AA513" s="385"/>
      <c r="AB513" s="385"/>
      <c r="AC513" s="385"/>
      <c r="AD513" s="385"/>
      <c r="AE513" s="385"/>
      <c r="AF513" s="385"/>
      <c r="AG513" s="385"/>
      <c r="AH513" s="385"/>
      <c r="AI513" s="385"/>
      <c r="AJ513" s="385"/>
      <c r="AK513" s="385"/>
      <c r="AL513" s="385"/>
      <c r="AM513" s="385"/>
      <c r="AN513" s="385"/>
      <c r="AO513" s="385"/>
      <c r="AP513" s="385"/>
      <c r="AQ513" s="385"/>
      <c r="AR513" s="385"/>
      <c r="AS513" s="385"/>
      <c r="AT513" s="385"/>
      <c r="AU513" s="385"/>
      <c r="AV513" s="385"/>
      <c r="AW513" s="385"/>
      <c r="AX513" s="385"/>
      <c r="AY513" s="385"/>
    </row>
    <row r="514" spans="1:51" ht="18">
      <c r="A514" s="385"/>
      <c r="B514" s="391" t="str">
        <f>Input!AR512</f>
        <v/>
      </c>
      <c r="C514" s="391">
        <f>DailyMet!N495</f>
        <v>0</v>
      </c>
      <c r="D514" s="392">
        <f>Input!AS512</f>
        <v>0</v>
      </c>
      <c r="E514" s="392">
        <f>Input!E512</f>
        <v>491</v>
      </c>
      <c r="F514" s="393">
        <f>Input!B512</f>
        <v>38477</v>
      </c>
      <c r="G514" s="503">
        <f t="shared" si="17"/>
        <v>0</v>
      </c>
      <c r="H514" s="354"/>
      <c r="I514" s="392">
        <f t="shared" si="16"/>
        <v>0</v>
      </c>
      <c r="J514" s="385"/>
      <c r="K514" s="385"/>
      <c r="L514" s="385"/>
      <c r="M514" s="385"/>
      <c r="N514" s="385"/>
      <c r="O514" s="385"/>
      <c r="P514" s="385"/>
      <c r="Q514" s="385"/>
      <c r="R514" s="385"/>
      <c r="S514" s="385"/>
      <c r="T514" s="385"/>
      <c r="U514" s="385"/>
      <c r="V514" s="385"/>
      <c r="W514" s="385"/>
      <c r="X514" s="385"/>
      <c r="Y514" s="385"/>
      <c r="Z514" s="385"/>
      <c r="AA514" s="385"/>
      <c r="AB514" s="385"/>
      <c r="AC514" s="385"/>
      <c r="AD514" s="385"/>
      <c r="AE514" s="385"/>
      <c r="AF514" s="385"/>
      <c r="AG514" s="385"/>
      <c r="AH514" s="385"/>
      <c r="AI514" s="385"/>
      <c r="AJ514" s="385"/>
      <c r="AK514" s="385"/>
      <c r="AL514" s="385"/>
      <c r="AM514" s="385"/>
      <c r="AN514" s="385"/>
      <c r="AO514" s="385"/>
      <c r="AP514" s="385"/>
      <c r="AQ514" s="385"/>
      <c r="AR514" s="385"/>
      <c r="AS514" s="385"/>
      <c r="AT514" s="385"/>
      <c r="AU514" s="385"/>
      <c r="AV514" s="385"/>
      <c r="AW514" s="385"/>
      <c r="AX514" s="385"/>
      <c r="AY514" s="385"/>
    </row>
    <row r="515" spans="1:51" ht="18">
      <c r="A515" s="385"/>
      <c r="B515" s="391" t="str">
        <f>Input!AR513</f>
        <v/>
      </c>
      <c r="C515" s="391">
        <f>DailyMet!N496</f>
        <v>0</v>
      </c>
      <c r="D515" s="392">
        <f>Input!AS513</f>
        <v>0</v>
      </c>
      <c r="E515" s="392">
        <f>Input!E513</f>
        <v>492</v>
      </c>
      <c r="F515" s="393">
        <f>Input!B513</f>
        <v>38478</v>
      </c>
      <c r="G515" s="503">
        <f t="shared" si="17"/>
        <v>0</v>
      </c>
      <c r="H515" s="354"/>
      <c r="I515" s="392">
        <f t="shared" si="16"/>
        <v>0</v>
      </c>
      <c r="J515" s="385"/>
      <c r="K515" s="385"/>
      <c r="L515" s="385"/>
      <c r="M515" s="385"/>
      <c r="N515" s="385"/>
      <c r="O515" s="385"/>
      <c r="P515" s="385"/>
      <c r="Q515" s="385"/>
      <c r="R515" s="385"/>
      <c r="S515" s="385"/>
      <c r="T515" s="385"/>
      <c r="U515" s="385"/>
      <c r="V515" s="385"/>
      <c r="W515" s="385"/>
      <c r="X515" s="385"/>
      <c r="Y515" s="385"/>
      <c r="Z515" s="385"/>
      <c r="AA515" s="385"/>
      <c r="AB515" s="385"/>
      <c r="AC515" s="385"/>
      <c r="AD515" s="385"/>
      <c r="AE515" s="385"/>
      <c r="AF515" s="385"/>
      <c r="AG515" s="385"/>
      <c r="AH515" s="385"/>
      <c r="AI515" s="385"/>
      <c r="AJ515" s="385"/>
      <c r="AK515" s="385"/>
      <c r="AL515" s="385"/>
      <c r="AM515" s="385"/>
      <c r="AN515" s="385"/>
      <c r="AO515" s="385"/>
      <c r="AP515" s="385"/>
      <c r="AQ515" s="385"/>
      <c r="AR515" s="385"/>
      <c r="AS515" s="385"/>
      <c r="AT515" s="385"/>
      <c r="AU515" s="385"/>
      <c r="AV515" s="385"/>
      <c r="AW515" s="385"/>
      <c r="AX515" s="385"/>
      <c r="AY515" s="385"/>
    </row>
    <row r="516" spans="1:51" ht="18">
      <c r="A516" s="385"/>
      <c r="B516" s="391" t="str">
        <f>Input!AR514</f>
        <v/>
      </c>
      <c r="C516" s="391">
        <f>DailyMet!N497</f>
        <v>0</v>
      </c>
      <c r="D516" s="392">
        <f>Input!AS514</f>
        <v>0</v>
      </c>
      <c r="E516" s="392">
        <f>Input!E514</f>
        <v>493</v>
      </c>
      <c r="F516" s="393">
        <f>Input!B514</f>
        <v>38479</v>
      </c>
      <c r="G516" s="503">
        <f t="shared" si="17"/>
        <v>0</v>
      </c>
      <c r="H516" s="354"/>
      <c r="I516" s="392">
        <f t="shared" si="16"/>
        <v>0</v>
      </c>
      <c r="J516" s="385"/>
      <c r="K516" s="385"/>
      <c r="L516" s="385"/>
      <c r="M516" s="385"/>
      <c r="N516" s="385"/>
      <c r="O516" s="385"/>
      <c r="P516" s="385"/>
      <c r="Q516" s="385"/>
      <c r="R516" s="385"/>
      <c r="S516" s="385"/>
      <c r="T516" s="385"/>
      <c r="U516" s="385"/>
      <c r="V516" s="385"/>
      <c r="W516" s="385"/>
      <c r="X516" s="385"/>
      <c r="Y516" s="385"/>
      <c r="Z516" s="385"/>
      <c r="AA516" s="385"/>
      <c r="AB516" s="385"/>
      <c r="AC516" s="385"/>
      <c r="AD516" s="385"/>
      <c r="AE516" s="385"/>
      <c r="AF516" s="385"/>
      <c r="AG516" s="385"/>
      <c r="AH516" s="385"/>
      <c r="AI516" s="385"/>
      <c r="AJ516" s="385"/>
      <c r="AK516" s="385"/>
      <c r="AL516" s="385"/>
      <c r="AM516" s="385"/>
      <c r="AN516" s="385"/>
      <c r="AO516" s="385"/>
      <c r="AP516" s="385"/>
      <c r="AQ516" s="385"/>
      <c r="AR516" s="385"/>
      <c r="AS516" s="385"/>
      <c r="AT516" s="385"/>
      <c r="AU516" s="385"/>
      <c r="AV516" s="385"/>
      <c r="AW516" s="385"/>
      <c r="AX516" s="385"/>
      <c r="AY516" s="385"/>
    </row>
    <row r="517" spans="1:51" ht="18">
      <c r="A517" s="385"/>
      <c r="B517" s="391" t="str">
        <f>Input!AR515</f>
        <v/>
      </c>
      <c r="C517" s="391">
        <f>DailyMet!N498</f>
        <v>0</v>
      </c>
      <c r="D517" s="392">
        <f>Input!AS515</f>
        <v>0</v>
      </c>
      <c r="E517" s="392">
        <f>Input!E515</f>
        <v>494</v>
      </c>
      <c r="F517" s="393">
        <f>Input!B515</f>
        <v>38480</v>
      </c>
      <c r="G517" s="503">
        <f t="shared" si="17"/>
        <v>0</v>
      </c>
      <c r="H517" s="354"/>
      <c r="I517" s="392">
        <f t="shared" si="16"/>
        <v>0</v>
      </c>
      <c r="J517" s="385"/>
      <c r="K517" s="385"/>
      <c r="L517" s="385"/>
      <c r="M517" s="385"/>
      <c r="N517" s="385"/>
      <c r="O517" s="385"/>
      <c r="P517" s="385"/>
      <c r="Q517" s="385"/>
      <c r="R517" s="385"/>
      <c r="S517" s="385"/>
      <c r="T517" s="385"/>
      <c r="U517" s="385"/>
      <c r="V517" s="385"/>
      <c r="W517" s="385"/>
      <c r="X517" s="385"/>
      <c r="Y517" s="385"/>
      <c r="Z517" s="385"/>
      <c r="AA517" s="385"/>
      <c r="AB517" s="385"/>
      <c r="AC517" s="385"/>
      <c r="AD517" s="385"/>
      <c r="AE517" s="385"/>
      <c r="AF517" s="385"/>
      <c r="AG517" s="385"/>
      <c r="AH517" s="385"/>
      <c r="AI517" s="385"/>
      <c r="AJ517" s="385"/>
      <c r="AK517" s="385"/>
      <c r="AL517" s="385"/>
      <c r="AM517" s="385"/>
      <c r="AN517" s="385"/>
      <c r="AO517" s="385"/>
      <c r="AP517" s="385"/>
      <c r="AQ517" s="385"/>
      <c r="AR517" s="385"/>
      <c r="AS517" s="385"/>
      <c r="AT517" s="385"/>
      <c r="AU517" s="385"/>
      <c r="AV517" s="385"/>
      <c r="AW517" s="385"/>
      <c r="AX517" s="385"/>
      <c r="AY517" s="385"/>
    </row>
    <row r="518" spans="1:51" ht="18">
      <c r="A518" s="385"/>
      <c r="B518" s="391" t="str">
        <f>Input!AR516</f>
        <v/>
      </c>
      <c r="C518" s="391">
        <f>DailyMet!N499</f>
        <v>2.6</v>
      </c>
      <c r="D518" s="392">
        <f>Input!AS516</f>
        <v>0</v>
      </c>
      <c r="E518" s="392">
        <f>Input!E516</f>
        <v>495</v>
      </c>
      <c r="F518" s="393">
        <f>Input!B516</f>
        <v>38481</v>
      </c>
      <c r="G518" s="503">
        <f t="shared" si="17"/>
        <v>0</v>
      </c>
      <c r="H518" s="354"/>
      <c r="I518" s="392">
        <f t="shared" si="16"/>
        <v>0</v>
      </c>
      <c r="J518" s="385"/>
      <c r="K518" s="385"/>
      <c r="L518" s="385"/>
      <c r="M518" s="385"/>
      <c r="N518" s="385"/>
      <c r="O518" s="385"/>
      <c r="P518" s="385"/>
      <c r="Q518" s="385"/>
      <c r="R518" s="385"/>
      <c r="S518" s="385"/>
      <c r="T518" s="385"/>
      <c r="U518" s="385"/>
      <c r="V518" s="385"/>
      <c r="W518" s="385"/>
      <c r="X518" s="385"/>
      <c r="Y518" s="385"/>
      <c r="Z518" s="385"/>
      <c r="AA518" s="385"/>
      <c r="AB518" s="385"/>
      <c r="AC518" s="385"/>
      <c r="AD518" s="385"/>
      <c r="AE518" s="385"/>
      <c r="AF518" s="385"/>
      <c r="AG518" s="385"/>
      <c r="AH518" s="385"/>
      <c r="AI518" s="385"/>
      <c r="AJ518" s="385"/>
      <c r="AK518" s="385"/>
      <c r="AL518" s="385"/>
      <c r="AM518" s="385"/>
      <c r="AN518" s="385"/>
      <c r="AO518" s="385"/>
      <c r="AP518" s="385"/>
      <c r="AQ518" s="385"/>
      <c r="AR518" s="385"/>
      <c r="AS518" s="385"/>
      <c r="AT518" s="385"/>
      <c r="AU518" s="385"/>
      <c r="AV518" s="385"/>
      <c r="AW518" s="385"/>
      <c r="AX518" s="385"/>
      <c r="AY518" s="385"/>
    </row>
    <row r="519" spans="1:51" ht="18">
      <c r="A519" s="385"/>
      <c r="B519" s="391" t="str">
        <f>Input!AR517</f>
        <v/>
      </c>
      <c r="C519" s="391">
        <f>DailyMet!N500</f>
        <v>26</v>
      </c>
      <c r="D519" s="392">
        <f>Input!AS517</f>
        <v>0</v>
      </c>
      <c r="E519" s="392">
        <f>Input!E517</f>
        <v>496</v>
      </c>
      <c r="F519" s="393">
        <f>Input!B517</f>
        <v>38482</v>
      </c>
      <c r="G519" s="503">
        <f t="shared" si="17"/>
        <v>0</v>
      </c>
      <c r="H519" s="354"/>
      <c r="I519" s="392">
        <f t="shared" si="16"/>
        <v>0</v>
      </c>
      <c r="J519" s="385"/>
      <c r="K519" s="385"/>
      <c r="L519" s="385"/>
      <c r="M519" s="385"/>
      <c r="N519" s="385"/>
      <c r="O519" s="385"/>
      <c r="P519" s="385"/>
      <c r="Q519" s="385"/>
      <c r="R519" s="385"/>
      <c r="S519" s="385"/>
      <c r="T519" s="385"/>
      <c r="U519" s="385"/>
      <c r="V519" s="385"/>
      <c r="W519" s="385"/>
      <c r="X519" s="385"/>
      <c r="Y519" s="385"/>
      <c r="Z519" s="385"/>
      <c r="AA519" s="385"/>
      <c r="AB519" s="385"/>
      <c r="AC519" s="385"/>
      <c r="AD519" s="385"/>
      <c r="AE519" s="385"/>
      <c r="AF519" s="385"/>
      <c r="AG519" s="385"/>
      <c r="AH519" s="385"/>
      <c r="AI519" s="385"/>
      <c r="AJ519" s="385"/>
      <c r="AK519" s="385"/>
      <c r="AL519" s="385"/>
      <c r="AM519" s="385"/>
      <c r="AN519" s="385"/>
      <c r="AO519" s="385"/>
      <c r="AP519" s="385"/>
      <c r="AQ519" s="385"/>
      <c r="AR519" s="385"/>
      <c r="AS519" s="385"/>
      <c r="AT519" s="385"/>
      <c r="AU519" s="385"/>
      <c r="AV519" s="385"/>
      <c r="AW519" s="385"/>
      <c r="AX519" s="385"/>
      <c r="AY519" s="385"/>
    </row>
    <row r="520" spans="1:51" ht="18">
      <c r="A520" s="385"/>
      <c r="B520" s="391" t="str">
        <f>Input!AR518</f>
        <v/>
      </c>
      <c r="C520" s="391">
        <f>DailyMet!N501</f>
        <v>7.2</v>
      </c>
      <c r="D520" s="392">
        <f>Input!AS518</f>
        <v>0</v>
      </c>
      <c r="E520" s="392">
        <f>Input!E518</f>
        <v>497</v>
      </c>
      <c r="F520" s="393">
        <f>Input!B518</f>
        <v>38483</v>
      </c>
      <c r="G520" s="503">
        <f t="shared" si="17"/>
        <v>0</v>
      </c>
      <c r="H520" s="354"/>
      <c r="I520" s="392">
        <f t="shared" si="16"/>
        <v>0</v>
      </c>
      <c r="J520" s="385"/>
      <c r="K520" s="385"/>
      <c r="L520" s="385"/>
      <c r="M520" s="385"/>
      <c r="N520" s="385"/>
      <c r="O520" s="385"/>
      <c r="P520" s="385"/>
      <c r="Q520" s="385"/>
      <c r="R520" s="385"/>
      <c r="S520" s="385"/>
      <c r="T520" s="385"/>
      <c r="U520" s="385"/>
      <c r="V520" s="385"/>
      <c r="W520" s="385"/>
      <c r="X520" s="385"/>
      <c r="Y520" s="385"/>
      <c r="Z520" s="385"/>
      <c r="AA520" s="385"/>
      <c r="AB520" s="385"/>
      <c r="AC520" s="385"/>
      <c r="AD520" s="385"/>
      <c r="AE520" s="385"/>
      <c r="AF520" s="385"/>
      <c r="AG520" s="385"/>
      <c r="AH520" s="385"/>
      <c r="AI520" s="385"/>
      <c r="AJ520" s="385"/>
      <c r="AK520" s="385"/>
      <c r="AL520" s="385"/>
      <c r="AM520" s="385"/>
      <c r="AN520" s="385"/>
      <c r="AO520" s="385"/>
      <c r="AP520" s="385"/>
      <c r="AQ520" s="385"/>
      <c r="AR520" s="385"/>
      <c r="AS520" s="385"/>
      <c r="AT520" s="385"/>
      <c r="AU520" s="385"/>
      <c r="AV520" s="385"/>
      <c r="AW520" s="385"/>
      <c r="AX520" s="385"/>
      <c r="AY520" s="385"/>
    </row>
    <row r="521" spans="1:51" ht="18">
      <c r="A521" s="385"/>
      <c r="B521" s="391" t="str">
        <f>Input!AR519</f>
        <v/>
      </c>
      <c r="C521" s="391">
        <f>DailyMet!N502</f>
        <v>0.2</v>
      </c>
      <c r="D521" s="392">
        <f>Input!AS519</f>
        <v>0</v>
      </c>
      <c r="E521" s="392">
        <f>Input!E519</f>
        <v>498</v>
      </c>
      <c r="F521" s="393">
        <f>Input!B519</f>
        <v>38484</v>
      </c>
      <c r="G521" s="503">
        <f t="shared" si="17"/>
        <v>0</v>
      </c>
      <c r="H521" s="354"/>
      <c r="I521" s="392">
        <f t="shared" si="16"/>
        <v>0</v>
      </c>
      <c r="J521" s="385"/>
      <c r="K521" s="385"/>
      <c r="L521" s="385"/>
      <c r="M521" s="385"/>
      <c r="N521" s="385"/>
      <c r="O521" s="385"/>
      <c r="P521" s="385"/>
      <c r="Q521" s="385"/>
      <c r="R521" s="385"/>
      <c r="S521" s="385"/>
      <c r="T521" s="385"/>
      <c r="U521" s="385"/>
      <c r="V521" s="385"/>
      <c r="W521" s="385"/>
      <c r="X521" s="385"/>
      <c r="Y521" s="385"/>
      <c r="Z521" s="385"/>
      <c r="AA521" s="385"/>
      <c r="AB521" s="385"/>
      <c r="AC521" s="385"/>
      <c r="AD521" s="385"/>
      <c r="AE521" s="385"/>
      <c r="AF521" s="385"/>
      <c r="AG521" s="385"/>
      <c r="AH521" s="385"/>
      <c r="AI521" s="385"/>
      <c r="AJ521" s="385"/>
      <c r="AK521" s="385"/>
      <c r="AL521" s="385"/>
      <c r="AM521" s="385"/>
      <c r="AN521" s="385"/>
      <c r="AO521" s="385"/>
      <c r="AP521" s="385"/>
      <c r="AQ521" s="385"/>
      <c r="AR521" s="385"/>
      <c r="AS521" s="385"/>
      <c r="AT521" s="385"/>
      <c r="AU521" s="385"/>
      <c r="AV521" s="385"/>
      <c r="AW521" s="385"/>
      <c r="AX521" s="385"/>
      <c r="AY521" s="385"/>
    </row>
    <row r="522" spans="1:51" ht="18">
      <c r="A522" s="385"/>
      <c r="B522" s="391" t="str">
        <f>Input!AR520</f>
        <v/>
      </c>
      <c r="C522" s="391">
        <f>DailyMet!N503</f>
        <v>0</v>
      </c>
      <c r="D522" s="392">
        <f>Input!AS520</f>
        <v>0</v>
      </c>
      <c r="E522" s="392">
        <f>Input!E520</f>
        <v>499</v>
      </c>
      <c r="F522" s="393">
        <f>Input!B520</f>
        <v>38485</v>
      </c>
      <c r="G522" s="503">
        <f t="shared" si="17"/>
        <v>0</v>
      </c>
      <c r="H522" s="354"/>
      <c r="I522" s="392">
        <f t="shared" si="16"/>
        <v>0</v>
      </c>
      <c r="J522" s="385"/>
      <c r="K522" s="385"/>
      <c r="L522" s="385"/>
      <c r="M522" s="385"/>
      <c r="N522" s="385"/>
      <c r="O522" s="385"/>
      <c r="P522" s="385"/>
      <c r="Q522" s="385"/>
      <c r="R522" s="385"/>
      <c r="S522" s="385"/>
      <c r="T522" s="385"/>
      <c r="U522" s="385"/>
      <c r="V522" s="385"/>
      <c r="W522" s="385"/>
      <c r="X522" s="385"/>
      <c r="Y522" s="385"/>
      <c r="Z522" s="385"/>
      <c r="AA522" s="385"/>
      <c r="AB522" s="385"/>
      <c r="AC522" s="385"/>
      <c r="AD522" s="385"/>
      <c r="AE522" s="385"/>
      <c r="AF522" s="385"/>
      <c r="AG522" s="385"/>
      <c r="AH522" s="385"/>
      <c r="AI522" s="385"/>
      <c r="AJ522" s="385"/>
      <c r="AK522" s="385"/>
      <c r="AL522" s="385"/>
      <c r="AM522" s="385"/>
      <c r="AN522" s="385"/>
      <c r="AO522" s="385"/>
      <c r="AP522" s="385"/>
      <c r="AQ522" s="385"/>
      <c r="AR522" s="385"/>
      <c r="AS522" s="385"/>
      <c r="AT522" s="385"/>
      <c r="AU522" s="385"/>
      <c r="AV522" s="385"/>
      <c r="AW522" s="385"/>
      <c r="AX522" s="385"/>
      <c r="AY522" s="385"/>
    </row>
    <row r="523" spans="1:51" ht="18">
      <c r="A523" s="385"/>
      <c r="B523" s="391" t="str">
        <f>Input!AR521</f>
        <v/>
      </c>
      <c r="C523" s="391">
        <f>DailyMet!N504</f>
        <v>8.4</v>
      </c>
      <c r="D523" s="392">
        <f>Input!AS521</f>
        <v>0</v>
      </c>
      <c r="E523" s="392">
        <f>Input!E521</f>
        <v>500</v>
      </c>
      <c r="F523" s="393">
        <f>Input!B521</f>
        <v>38486</v>
      </c>
      <c r="G523" s="503">
        <f t="shared" si="17"/>
        <v>0</v>
      </c>
      <c r="H523" s="354"/>
      <c r="I523" s="392">
        <f t="shared" si="16"/>
        <v>0</v>
      </c>
      <c r="J523" s="385"/>
      <c r="K523" s="385"/>
      <c r="L523" s="385"/>
      <c r="M523" s="385"/>
      <c r="N523" s="385"/>
      <c r="O523" s="385"/>
      <c r="P523" s="385"/>
      <c r="Q523" s="385"/>
      <c r="R523" s="385"/>
      <c r="S523" s="385"/>
      <c r="T523" s="385"/>
      <c r="U523" s="385"/>
      <c r="V523" s="385"/>
      <c r="W523" s="385"/>
      <c r="X523" s="385"/>
      <c r="Y523" s="385"/>
      <c r="Z523" s="385"/>
      <c r="AA523" s="385"/>
      <c r="AB523" s="385"/>
      <c r="AC523" s="385"/>
      <c r="AD523" s="385"/>
      <c r="AE523" s="385"/>
      <c r="AF523" s="385"/>
      <c r="AG523" s="385"/>
      <c r="AH523" s="385"/>
      <c r="AI523" s="385"/>
      <c r="AJ523" s="385"/>
      <c r="AK523" s="385"/>
      <c r="AL523" s="385"/>
      <c r="AM523" s="385"/>
      <c r="AN523" s="385"/>
      <c r="AO523" s="385"/>
      <c r="AP523" s="385"/>
      <c r="AQ523" s="385"/>
      <c r="AR523" s="385"/>
      <c r="AS523" s="385"/>
      <c r="AT523" s="385"/>
      <c r="AU523" s="385"/>
      <c r="AV523" s="385"/>
      <c r="AW523" s="385"/>
      <c r="AX523" s="385"/>
      <c r="AY523" s="385"/>
    </row>
    <row r="524" spans="1:51" ht="18">
      <c r="A524" s="385"/>
      <c r="B524" s="391" t="str">
        <f>Input!AR522</f>
        <v/>
      </c>
      <c r="C524" s="391">
        <f>DailyMet!N505</f>
        <v>0.8</v>
      </c>
      <c r="D524" s="392">
        <f>Input!AS522</f>
        <v>0</v>
      </c>
      <c r="E524" s="392">
        <f>Input!E522</f>
        <v>501</v>
      </c>
      <c r="F524" s="393">
        <f>Input!B522</f>
        <v>38487</v>
      </c>
      <c r="G524" s="503">
        <f t="shared" si="17"/>
        <v>0</v>
      </c>
      <c r="H524" s="354"/>
      <c r="I524" s="392">
        <f t="shared" si="16"/>
        <v>0</v>
      </c>
      <c r="J524" s="385"/>
      <c r="K524" s="385"/>
      <c r="L524" s="385"/>
      <c r="M524" s="385"/>
      <c r="N524" s="385"/>
      <c r="O524" s="385"/>
      <c r="P524" s="385"/>
      <c r="Q524" s="385"/>
      <c r="R524" s="385"/>
      <c r="S524" s="385"/>
      <c r="T524" s="385"/>
      <c r="U524" s="385"/>
      <c r="V524" s="385"/>
      <c r="W524" s="385"/>
      <c r="X524" s="385"/>
      <c r="Y524" s="385"/>
      <c r="Z524" s="385"/>
      <c r="AA524" s="385"/>
      <c r="AB524" s="385"/>
      <c r="AC524" s="385"/>
      <c r="AD524" s="385"/>
      <c r="AE524" s="385"/>
      <c r="AF524" s="385"/>
      <c r="AG524" s="385"/>
      <c r="AH524" s="385"/>
      <c r="AI524" s="385"/>
      <c r="AJ524" s="385"/>
      <c r="AK524" s="385"/>
      <c r="AL524" s="385"/>
      <c r="AM524" s="385"/>
      <c r="AN524" s="385"/>
      <c r="AO524" s="385"/>
      <c r="AP524" s="385"/>
      <c r="AQ524" s="385"/>
      <c r="AR524" s="385"/>
      <c r="AS524" s="385"/>
      <c r="AT524" s="385"/>
      <c r="AU524" s="385"/>
      <c r="AV524" s="385"/>
      <c r="AW524" s="385"/>
      <c r="AX524" s="385"/>
      <c r="AY524" s="385"/>
    </row>
    <row r="525" spans="1:51" ht="18">
      <c r="A525" s="385"/>
      <c r="B525" s="391" t="str">
        <f>Input!AR523</f>
        <v/>
      </c>
      <c r="C525" s="391">
        <f>DailyMet!N506</f>
        <v>0</v>
      </c>
      <c r="D525" s="392">
        <f>Input!AS523</f>
        <v>0</v>
      </c>
      <c r="E525" s="392">
        <f>Input!E523</f>
        <v>502</v>
      </c>
      <c r="F525" s="393">
        <f>Input!B523</f>
        <v>38488</v>
      </c>
      <c r="G525" s="503">
        <f t="shared" si="17"/>
        <v>0</v>
      </c>
      <c r="H525" s="354"/>
      <c r="I525" s="392">
        <f t="shared" si="16"/>
        <v>0</v>
      </c>
      <c r="J525" s="385"/>
      <c r="K525" s="385"/>
      <c r="L525" s="385"/>
      <c r="M525" s="385"/>
      <c r="N525" s="385"/>
      <c r="O525" s="385"/>
      <c r="P525" s="385"/>
      <c r="Q525" s="385"/>
      <c r="R525" s="385"/>
      <c r="S525" s="385"/>
      <c r="T525" s="385"/>
      <c r="U525" s="385"/>
      <c r="V525" s="385"/>
      <c r="W525" s="385"/>
      <c r="X525" s="385"/>
      <c r="Y525" s="385"/>
      <c r="Z525" s="385"/>
      <c r="AA525" s="385"/>
      <c r="AB525" s="385"/>
      <c r="AC525" s="385"/>
      <c r="AD525" s="385"/>
      <c r="AE525" s="385"/>
      <c r="AF525" s="385"/>
      <c r="AG525" s="385"/>
      <c r="AH525" s="385"/>
      <c r="AI525" s="385"/>
      <c r="AJ525" s="385"/>
      <c r="AK525" s="385"/>
      <c r="AL525" s="385"/>
      <c r="AM525" s="385"/>
      <c r="AN525" s="385"/>
      <c r="AO525" s="385"/>
      <c r="AP525" s="385"/>
      <c r="AQ525" s="385"/>
      <c r="AR525" s="385"/>
      <c r="AS525" s="385"/>
      <c r="AT525" s="385"/>
      <c r="AU525" s="385"/>
      <c r="AV525" s="385"/>
      <c r="AW525" s="385"/>
      <c r="AX525" s="385"/>
      <c r="AY525" s="385"/>
    </row>
    <row r="526" spans="1:51" ht="18">
      <c r="A526" s="385"/>
      <c r="B526" s="391" t="str">
        <f>Input!AR524</f>
        <v/>
      </c>
      <c r="C526" s="391">
        <f>DailyMet!N507</f>
        <v>0</v>
      </c>
      <c r="D526" s="392">
        <f>Input!AS524</f>
        <v>0</v>
      </c>
      <c r="E526" s="392">
        <f>Input!E524</f>
        <v>503</v>
      </c>
      <c r="F526" s="393">
        <f>Input!B524</f>
        <v>38489</v>
      </c>
      <c r="G526" s="503">
        <f t="shared" si="17"/>
        <v>0</v>
      </c>
      <c r="H526" s="354"/>
      <c r="I526" s="392">
        <f t="shared" si="16"/>
        <v>0</v>
      </c>
      <c r="J526" s="385"/>
      <c r="K526" s="385"/>
      <c r="L526" s="385"/>
      <c r="M526" s="385"/>
      <c r="N526" s="385"/>
      <c r="O526" s="385"/>
      <c r="P526" s="385"/>
      <c r="Q526" s="385"/>
      <c r="R526" s="385"/>
      <c r="S526" s="385"/>
      <c r="T526" s="385"/>
      <c r="U526" s="385"/>
      <c r="V526" s="385"/>
      <c r="W526" s="385"/>
      <c r="X526" s="385"/>
      <c r="Y526" s="385"/>
      <c r="Z526" s="385"/>
      <c r="AA526" s="385"/>
      <c r="AB526" s="385"/>
      <c r="AC526" s="385"/>
      <c r="AD526" s="385"/>
      <c r="AE526" s="385"/>
      <c r="AF526" s="385"/>
      <c r="AG526" s="385"/>
      <c r="AH526" s="385"/>
      <c r="AI526" s="385"/>
      <c r="AJ526" s="385"/>
      <c r="AK526" s="385"/>
      <c r="AL526" s="385"/>
      <c r="AM526" s="385"/>
      <c r="AN526" s="385"/>
      <c r="AO526" s="385"/>
      <c r="AP526" s="385"/>
      <c r="AQ526" s="385"/>
      <c r="AR526" s="385"/>
      <c r="AS526" s="385"/>
      <c r="AT526" s="385"/>
      <c r="AU526" s="385"/>
      <c r="AV526" s="385"/>
      <c r="AW526" s="385"/>
      <c r="AX526" s="385"/>
      <c r="AY526" s="385"/>
    </row>
    <row r="527" spans="1:51" ht="18">
      <c r="A527" s="385"/>
      <c r="B527" s="391" t="str">
        <f>Input!AR525</f>
        <v/>
      </c>
      <c r="C527" s="391">
        <f>DailyMet!N508</f>
        <v>0</v>
      </c>
      <c r="D527" s="392">
        <f>Input!AS525</f>
        <v>0</v>
      </c>
      <c r="E527" s="392">
        <f>Input!E525</f>
        <v>504</v>
      </c>
      <c r="F527" s="393">
        <f>Input!B525</f>
        <v>38490</v>
      </c>
      <c r="G527" s="503">
        <f t="shared" si="17"/>
        <v>0</v>
      </c>
      <c r="H527" s="354"/>
      <c r="I527" s="392">
        <f t="shared" si="16"/>
        <v>0</v>
      </c>
      <c r="J527" s="385"/>
      <c r="K527" s="385"/>
      <c r="L527" s="385"/>
      <c r="M527" s="385"/>
      <c r="N527" s="385"/>
      <c r="O527" s="385"/>
      <c r="P527" s="385"/>
      <c r="Q527" s="385"/>
      <c r="R527" s="385"/>
      <c r="S527" s="385"/>
      <c r="T527" s="385"/>
      <c r="U527" s="385"/>
      <c r="V527" s="385"/>
      <c r="W527" s="385"/>
      <c r="X527" s="385"/>
      <c r="Y527" s="385"/>
      <c r="Z527" s="385"/>
      <c r="AA527" s="385"/>
      <c r="AB527" s="385"/>
      <c r="AC527" s="385"/>
      <c r="AD527" s="385"/>
      <c r="AE527" s="385"/>
      <c r="AF527" s="385"/>
      <c r="AG527" s="385"/>
      <c r="AH527" s="385"/>
      <c r="AI527" s="385"/>
      <c r="AJ527" s="385"/>
      <c r="AK527" s="385"/>
      <c r="AL527" s="385"/>
      <c r="AM527" s="385"/>
      <c r="AN527" s="385"/>
      <c r="AO527" s="385"/>
      <c r="AP527" s="385"/>
      <c r="AQ527" s="385"/>
      <c r="AR527" s="385"/>
      <c r="AS527" s="385"/>
      <c r="AT527" s="385"/>
      <c r="AU527" s="385"/>
      <c r="AV527" s="385"/>
      <c r="AW527" s="385"/>
      <c r="AX527" s="385"/>
      <c r="AY527" s="385"/>
    </row>
    <row r="528" spans="1:51" ht="18">
      <c r="A528" s="385"/>
      <c r="B528" s="391" t="str">
        <f>Input!AR526</f>
        <v/>
      </c>
      <c r="C528" s="391">
        <f>DailyMet!N509</f>
        <v>0</v>
      </c>
      <c r="D528" s="392">
        <f>Input!AS526</f>
        <v>0</v>
      </c>
      <c r="E528" s="392">
        <f>Input!E526</f>
        <v>505</v>
      </c>
      <c r="F528" s="393">
        <f>Input!B526</f>
        <v>38491</v>
      </c>
      <c r="G528" s="503">
        <f t="shared" si="17"/>
        <v>0</v>
      </c>
      <c r="H528" s="354"/>
      <c r="I528" s="392">
        <f t="shared" si="16"/>
        <v>0</v>
      </c>
      <c r="J528" s="385"/>
      <c r="K528" s="385"/>
      <c r="L528" s="385"/>
      <c r="M528" s="385"/>
      <c r="N528" s="385"/>
      <c r="O528" s="385"/>
      <c r="P528" s="385"/>
      <c r="Q528" s="385"/>
      <c r="R528" s="385"/>
      <c r="S528" s="385"/>
      <c r="T528" s="385"/>
      <c r="U528" s="385"/>
      <c r="V528" s="385"/>
      <c r="W528" s="385"/>
      <c r="X528" s="385"/>
      <c r="Y528" s="385"/>
      <c r="Z528" s="385"/>
      <c r="AA528" s="385"/>
      <c r="AB528" s="385"/>
      <c r="AC528" s="385"/>
      <c r="AD528" s="385"/>
      <c r="AE528" s="385"/>
      <c r="AF528" s="385"/>
      <c r="AG528" s="385"/>
      <c r="AH528" s="385"/>
      <c r="AI528" s="385"/>
      <c r="AJ528" s="385"/>
      <c r="AK528" s="385"/>
      <c r="AL528" s="385"/>
      <c r="AM528" s="385"/>
      <c r="AN528" s="385"/>
      <c r="AO528" s="385"/>
      <c r="AP528" s="385"/>
      <c r="AQ528" s="385"/>
      <c r="AR528" s="385"/>
      <c r="AS528" s="385"/>
      <c r="AT528" s="385"/>
      <c r="AU528" s="385"/>
      <c r="AV528" s="385"/>
      <c r="AW528" s="385"/>
      <c r="AX528" s="385"/>
      <c r="AY528" s="385"/>
    </row>
    <row r="529" spans="1:51" ht="18">
      <c r="A529" s="385"/>
      <c r="B529" s="391" t="str">
        <f>Input!AR527</f>
        <v/>
      </c>
      <c r="C529" s="391">
        <f>DailyMet!N510</f>
        <v>0</v>
      </c>
      <c r="D529" s="392">
        <f>Input!AS527</f>
        <v>0</v>
      </c>
      <c r="E529" s="392">
        <f>Input!E527</f>
        <v>506</v>
      </c>
      <c r="F529" s="393">
        <f>Input!B527</f>
        <v>38492</v>
      </c>
      <c r="G529" s="503">
        <f t="shared" si="17"/>
        <v>0</v>
      </c>
      <c r="H529" s="354"/>
      <c r="I529" s="392">
        <f t="shared" si="16"/>
        <v>0</v>
      </c>
      <c r="J529" s="385"/>
      <c r="K529" s="385"/>
      <c r="L529" s="385"/>
      <c r="M529" s="385"/>
      <c r="N529" s="385"/>
      <c r="O529" s="385"/>
      <c r="P529" s="385"/>
      <c r="Q529" s="385"/>
      <c r="R529" s="385"/>
      <c r="S529" s="385"/>
      <c r="T529" s="385"/>
      <c r="U529" s="385"/>
      <c r="V529" s="385"/>
      <c r="W529" s="385"/>
      <c r="X529" s="385"/>
      <c r="Y529" s="385"/>
      <c r="Z529" s="385"/>
      <c r="AA529" s="385"/>
      <c r="AB529" s="385"/>
      <c r="AC529" s="385"/>
      <c r="AD529" s="385"/>
      <c r="AE529" s="385"/>
      <c r="AF529" s="385"/>
      <c r="AG529" s="385"/>
      <c r="AH529" s="385"/>
      <c r="AI529" s="385"/>
      <c r="AJ529" s="385"/>
      <c r="AK529" s="385"/>
      <c r="AL529" s="385"/>
      <c r="AM529" s="385"/>
      <c r="AN529" s="385"/>
      <c r="AO529" s="385"/>
      <c r="AP529" s="385"/>
      <c r="AQ529" s="385"/>
      <c r="AR529" s="385"/>
      <c r="AS529" s="385"/>
      <c r="AT529" s="385"/>
      <c r="AU529" s="385"/>
      <c r="AV529" s="385"/>
      <c r="AW529" s="385"/>
      <c r="AX529" s="385"/>
      <c r="AY529" s="385"/>
    </row>
    <row r="530" spans="1:51" ht="18">
      <c r="A530" s="385"/>
      <c r="B530" s="391" t="str">
        <f>Input!AR528</f>
        <v/>
      </c>
      <c r="C530" s="391">
        <f>DailyMet!N511</f>
        <v>0</v>
      </c>
      <c r="D530" s="392">
        <f>Input!AS528</f>
        <v>0</v>
      </c>
      <c r="E530" s="392">
        <f>Input!E528</f>
        <v>507</v>
      </c>
      <c r="F530" s="393">
        <f>Input!B528</f>
        <v>38493</v>
      </c>
      <c r="G530" s="503">
        <f t="shared" si="17"/>
        <v>0</v>
      </c>
      <c r="H530" s="354"/>
      <c r="I530" s="392">
        <f t="shared" si="16"/>
        <v>0</v>
      </c>
      <c r="J530" s="385"/>
      <c r="K530" s="385"/>
      <c r="L530" s="385"/>
      <c r="M530" s="385"/>
      <c r="N530" s="385"/>
      <c r="O530" s="385"/>
      <c r="P530" s="385"/>
      <c r="Q530" s="385"/>
      <c r="R530" s="385"/>
      <c r="S530" s="385"/>
      <c r="T530" s="385"/>
      <c r="U530" s="385"/>
      <c r="V530" s="385"/>
      <c r="W530" s="385"/>
      <c r="X530" s="385"/>
      <c r="Y530" s="385"/>
      <c r="Z530" s="385"/>
      <c r="AA530" s="385"/>
      <c r="AB530" s="385"/>
      <c r="AC530" s="385"/>
      <c r="AD530" s="385"/>
      <c r="AE530" s="385"/>
      <c r="AF530" s="385"/>
      <c r="AG530" s="385"/>
      <c r="AH530" s="385"/>
      <c r="AI530" s="385"/>
      <c r="AJ530" s="385"/>
      <c r="AK530" s="385"/>
      <c r="AL530" s="385"/>
      <c r="AM530" s="385"/>
      <c r="AN530" s="385"/>
      <c r="AO530" s="385"/>
      <c r="AP530" s="385"/>
      <c r="AQ530" s="385"/>
      <c r="AR530" s="385"/>
      <c r="AS530" s="385"/>
      <c r="AT530" s="385"/>
      <c r="AU530" s="385"/>
      <c r="AV530" s="385"/>
      <c r="AW530" s="385"/>
      <c r="AX530" s="385"/>
      <c r="AY530" s="385"/>
    </row>
    <row r="531" spans="1:51" ht="18">
      <c r="A531" s="385"/>
      <c r="B531" s="391" t="str">
        <f>Input!AR529</f>
        <v/>
      </c>
      <c r="C531" s="391">
        <f>DailyMet!N512</f>
        <v>0</v>
      </c>
      <c r="D531" s="392">
        <f>Input!AS529</f>
        <v>0</v>
      </c>
      <c r="E531" s="392">
        <f>Input!E529</f>
        <v>508</v>
      </c>
      <c r="F531" s="393">
        <f>Input!B529</f>
        <v>38494</v>
      </c>
      <c r="G531" s="503">
        <f t="shared" si="17"/>
        <v>0</v>
      </c>
      <c r="H531" s="354"/>
      <c r="I531" s="392">
        <f t="shared" si="16"/>
        <v>0</v>
      </c>
      <c r="J531" s="385"/>
      <c r="K531" s="385"/>
      <c r="L531" s="385"/>
      <c r="M531" s="385"/>
      <c r="N531" s="385"/>
      <c r="O531" s="385"/>
      <c r="P531" s="385"/>
      <c r="Q531" s="385"/>
      <c r="R531" s="385"/>
      <c r="S531" s="385"/>
      <c r="T531" s="385"/>
      <c r="U531" s="385"/>
      <c r="V531" s="385"/>
      <c r="W531" s="385"/>
      <c r="X531" s="385"/>
      <c r="Y531" s="385"/>
      <c r="Z531" s="385"/>
      <c r="AA531" s="385"/>
      <c r="AB531" s="385"/>
      <c r="AC531" s="385"/>
      <c r="AD531" s="385"/>
      <c r="AE531" s="385"/>
      <c r="AF531" s="385"/>
      <c r="AG531" s="385"/>
      <c r="AH531" s="385"/>
      <c r="AI531" s="385"/>
      <c r="AJ531" s="385"/>
      <c r="AK531" s="385"/>
      <c r="AL531" s="385"/>
      <c r="AM531" s="385"/>
      <c r="AN531" s="385"/>
      <c r="AO531" s="385"/>
      <c r="AP531" s="385"/>
      <c r="AQ531" s="385"/>
      <c r="AR531" s="385"/>
      <c r="AS531" s="385"/>
      <c r="AT531" s="385"/>
      <c r="AU531" s="385"/>
      <c r="AV531" s="385"/>
      <c r="AW531" s="385"/>
      <c r="AX531" s="385"/>
      <c r="AY531" s="385"/>
    </row>
    <row r="532" spans="1:51" ht="18">
      <c r="A532" s="385"/>
      <c r="B532" s="391" t="str">
        <f>Input!AR530</f>
        <v/>
      </c>
      <c r="C532" s="391">
        <f>DailyMet!N513</f>
        <v>0</v>
      </c>
      <c r="D532" s="392">
        <f>Input!AS530</f>
        <v>0</v>
      </c>
      <c r="E532" s="392">
        <f>Input!E530</f>
        <v>509</v>
      </c>
      <c r="F532" s="393">
        <f>Input!B530</f>
        <v>38495</v>
      </c>
      <c r="G532" s="503">
        <f t="shared" si="17"/>
        <v>0</v>
      </c>
      <c r="H532" s="354"/>
      <c r="I532" s="392">
        <f t="shared" si="16"/>
        <v>0</v>
      </c>
      <c r="J532" s="385"/>
      <c r="K532" s="385"/>
      <c r="L532" s="385"/>
      <c r="M532" s="385"/>
      <c r="N532" s="385"/>
      <c r="O532" s="385"/>
      <c r="P532" s="385"/>
      <c r="Q532" s="385"/>
      <c r="R532" s="385"/>
      <c r="S532" s="385"/>
      <c r="T532" s="385"/>
      <c r="U532" s="385"/>
      <c r="V532" s="385"/>
      <c r="W532" s="385"/>
      <c r="X532" s="385"/>
      <c r="Y532" s="385"/>
      <c r="Z532" s="385"/>
      <c r="AA532" s="385"/>
      <c r="AB532" s="385"/>
      <c r="AC532" s="385"/>
      <c r="AD532" s="385"/>
      <c r="AE532" s="385"/>
      <c r="AF532" s="385"/>
      <c r="AG532" s="385"/>
      <c r="AH532" s="385"/>
      <c r="AI532" s="385"/>
      <c r="AJ532" s="385"/>
      <c r="AK532" s="385"/>
      <c r="AL532" s="385"/>
      <c r="AM532" s="385"/>
      <c r="AN532" s="385"/>
      <c r="AO532" s="385"/>
      <c r="AP532" s="385"/>
      <c r="AQ532" s="385"/>
      <c r="AR532" s="385"/>
      <c r="AS532" s="385"/>
      <c r="AT532" s="385"/>
      <c r="AU532" s="385"/>
      <c r="AV532" s="385"/>
      <c r="AW532" s="385"/>
      <c r="AX532" s="385"/>
      <c r="AY532" s="385"/>
    </row>
    <row r="533" spans="1:51" ht="18">
      <c r="A533" s="385"/>
      <c r="B533" s="391" t="str">
        <f>Input!AR531</f>
        <v/>
      </c>
      <c r="C533" s="391">
        <f>DailyMet!N514</f>
        <v>0</v>
      </c>
      <c r="D533" s="392">
        <f>Input!AS531</f>
        <v>0</v>
      </c>
      <c r="E533" s="392">
        <f>Input!E531</f>
        <v>510</v>
      </c>
      <c r="F533" s="393">
        <f>Input!B531</f>
        <v>38496</v>
      </c>
      <c r="G533" s="503">
        <f t="shared" si="17"/>
        <v>0</v>
      </c>
      <c r="H533" s="354"/>
      <c r="I533" s="392">
        <f t="shared" si="16"/>
        <v>0</v>
      </c>
      <c r="J533" s="385"/>
      <c r="K533" s="385"/>
      <c r="L533" s="385"/>
      <c r="M533" s="385"/>
      <c r="N533" s="385"/>
      <c r="O533" s="385"/>
      <c r="P533" s="385"/>
      <c r="Q533" s="385"/>
      <c r="R533" s="385"/>
      <c r="S533" s="385"/>
      <c r="T533" s="385"/>
      <c r="U533" s="385"/>
      <c r="V533" s="385"/>
      <c r="W533" s="385"/>
      <c r="X533" s="385"/>
      <c r="Y533" s="385"/>
      <c r="Z533" s="385"/>
      <c r="AA533" s="385"/>
      <c r="AB533" s="385"/>
      <c r="AC533" s="385"/>
      <c r="AD533" s="385"/>
      <c r="AE533" s="385"/>
      <c r="AF533" s="385"/>
      <c r="AG533" s="385"/>
      <c r="AH533" s="385"/>
      <c r="AI533" s="385"/>
      <c r="AJ533" s="385"/>
      <c r="AK533" s="385"/>
      <c r="AL533" s="385"/>
      <c r="AM533" s="385"/>
      <c r="AN533" s="385"/>
      <c r="AO533" s="385"/>
      <c r="AP533" s="385"/>
      <c r="AQ533" s="385"/>
      <c r="AR533" s="385"/>
      <c r="AS533" s="385"/>
      <c r="AT533" s="385"/>
      <c r="AU533" s="385"/>
      <c r="AV533" s="385"/>
      <c r="AW533" s="385"/>
      <c r="AX533" s="385"/>
      <c r="AY533" s="385"/>
    </row>
    <row r="534" spans="1:51" ht="18">
      <c r="A534" s="385"/>
      <c r="B534" s="391" t="str">
        <f>Input!AR532</f>
        <v/>
      </c>
      <c r="C534" s="391">
        <f>DailyMet!N515</f>
        <v>0</v>
      </c>
      <c r="D534" s="392">
        <f>Input!AS532</f>
        <v>0</v>
      </c>
      <c r="E534" s="392">
        <f>Input!E532</f>
        <v>511</v>
      </c>
      <c r="F534" s="393">
        <f>Input!B532</f>
        <v>38497</v>
      </c>
      <c r="G534" s="503">
        <f t="shared" si="17"/>
        <v>0</v>
      </c>
      <c r="H534" s="354"/>
      <c r="I534" s="392">
        <f t="shared" si="16"/>
        <v>0</v>
      </c>
      <c r="J534" s="385"/>
      <c r="K534" s="385"/>
      <c r="L534" s="385"/>
      <c r="M534" s="385"/>
      <c r="N534" s="385"/>
      <c r="O534" s="385"/>
      <c r="P534" s="385"/>
      <c r="Q534" s="385"/>
      <c r="R534" s="385"/>
      <c r="S534" s="385"/>
      <c r="T534" s="385"/>
      <c r="U534" s="385"/>
      <c r="V534" s="385"/>
      <c r="W534" s="385"/>
      <c r="X534" s="385"/>
      <c r="Y534" s="385"/>
      <c r="Z534" s="385"/>
      <c r="AA534" s="385"/>
      <c r="AB534" s="385"/>
      <c r="AC534" s="385"/>
      <c r="AD534" s="385"/>
      <c r="AE534" s="385"/>
      <c r="AF534" s="385"/>
      <c r="AG534" s="385"/>
      <c r="AH534" s="385"/>
      <c r="AI534" s="385"/>
      <c r="AJ534" s="385"/>
      <c r="AK534" s="385"/>
      <c r="AL534" s="385"/>
      <c r="AM534" s="385"/>
      <c r="AN534" s="385"/>
      <c r="AO534" s="385"/>
      <c r="AP534" s="385"/>
      <c r="AQ534" s="385"/>
      <c r="AR534" s="385"/>
      <c r="AS534" s="385"/>
      <c r="AT534" s="385"/>
      <c r="AU534" s="385"/>
      <c r="AV534" s="385"/>
      <c r="AW534" s="385"/>
      <c r="AX534" s="385"/>
      <c r="AY534" s="385"/>
    </row>
    <row r="535" spans="1:51" ht="18">
      <c r="A535" s="385"/>
      <c r="B535" s="391" t="str">
        <f>Input!AR533</f>
        <v/>
      </c>
      <c r="C535" s="391">
        <f>DailyMet!N516</f>
        <v>0</v>
      </c>
      <c r="D535" s="392">
        <f>Input!AS533</f>
        <v>0</v>
      </c>
      <c r="E535" s="392">
        <f>Input!E533</f>
        <v>512</v>
      </c>
      <c r="F535" s="393">
        <f>Input!B533</f>
        <v>38498</v>
      </c>
      <c r="G535" s="503">
        <f t="shared" si="17"/>
        <v>0</v>
      </c>
      <c r="H535" s="354"/>
      <c r="I535" s="392">
        <f t="shared" si="16"/>
        <v>0</v>
      </c>
      <c r="J535" s="385"/>
      <c r="K535" s="385"/>
      <c r="L535" s="385"/>
      <c r="M535" s="385"/>
      <c r="N535" s="385"/>
      <c r="O535" s="385"/>
      <c r="P535" s="385"/>
      <c r="Q535" s="385"/>
      <c r="R535" s="385"/>
      <c r="S535" s="385"/>
      <c r="T535" s="385"/>
      <c r="U535" s="385"/>
      <c r="V535" s="385"/>
      <c r="W535" s="385"/>
      <c r="X535" s="385"/>
      <c r="Y535" s="385"/>
      <c r="Z535" s="385"/>
      <c r="AA535" s="385"/>
      <c r="AB535" s="385"/>
      <c r="AC535" s="385"/>
      <c r="AD535" s="385"/>
      <c r="AE535" s="385"/>
      <c r="AF535" s="385"/>
      <c r="AG535" s="385"/>
      <c r="AH535" s="385"/>
      <c r="AI535" s="385"/>
      <c r="AJ535" s="385"/>
      <c r="AK535" s="385"/>
      <c r="AL535" s="385"/>
      <c r="AM535" s="385"/>
      <c r="AN535" s="385"/>
      <c r="AO535" s="385"/>
      <c r="AP535" s="385"/>
      <c r="AQ535" s="385"/>
      <c r="AR535" s="385"/>
      <c r="AS535" s="385"/>
      <c r="AT535" s="385"/>
      <c r="AU535" s="385"/>
      <c r="AV535" s="385"/>
      <c r="AW535" s="385"/>
      <c r="AX535" s="385"/>
      <c r="AY535" s="385"/>
    </row>
    <row r="536" spans="1:51" ht="18">
      <c r="A536" s="385"/>
      <c r="B536" s="391" t="str">
        <f>Input!AR534</f>
        <v/>
      </c>
      <c r="C536" s="391">
        <f>DailyMet!N517</f>
        <v>0</v>
      </c>
      <c r="D536" s="392">
        <f>Input!AS534</f>
        <v>0</v>
      </c>
      <c r="E536" s="392">
        <f>Input!E534</f>
        <v>513</v>
      </c>
      <c r="F536" s="393">
        <f>Input!B534</f>
        <v>38499</v>
      </c>
      <c r="G536" s="503">
        <f t="shared" si="17"/>
        <v>0</v>
      </c>
      <c r="H536" s="354"/>
      <c r="I536" s="392">
        <f t="shared" si="16"/>
        <v>0</v>
      </c>
      <c r="J536" s="385"/>
      <c r="K536" s="385"/>
      <c r="L536" s="385"/>
      <c r="M536" s="385"/>
      <c r="N536" s="385"/>
      <c r="O536" s="385"/>
      <c r="P536" s="385"/>
      <c r="Q536" s="385"/>
      <c r="R536" s="385"/>
      <c r="S536" s="385"/>
      <c r="T536" s="385"/>
      <c r="U536" s="385"/>
      <c r="V536" s="385"/>
      <c r="W536" s="385"/>
      <c r="X536" s="385"/>
      <c r="Y536" s="385"/>
      <c r="Z536" s="385"/>
      <c r="AA536" s="385"/>
      <c r="AB536" s="385"/>
      <c r="AC536" s="385"/>
      <c r="AD536" s="385"/>
      <c r="AE536" s="385"/>
      <c r="AF536" s="385"/>
      <c r="AG536" s="385"/>
      <c r="AH536" s="385"/>
      <c r="AI536" s="385"/>
      <c r="AJ536" s="385"/>
      <c r="AK536" s="385"/>
      <c r="AL536" s="385"/>
      <c r="AM536" s="385"/>
      <c r="AN536" s="385"/>
      <c r="AO536" s="385"/>
      <c r="AP536" s="385"/>
      <c r="AQ536" s="385"/>
      <c r="AR536" s="385"/>
      <c r="AS536" s="385"/>
      <c r="AT536" s="385"/>
      <c r="AU536" s="385"/>
      <c r="AV536" s="385"/>
      <c r="AW536" s="385"/>
      <c r="AX536" s="385"/>
      <c r="AY536" s="385"/>
    </row>
    <row r="537" spans="1:51" ht="18">
      <c r="A537" s="385"/>
      <c r="B537" s="391" t="str">
        <f>Input!AR535</f>
        <v/>
      </c>
      <c r="C537" s="391">
        <f>DailyMet!N518</f>
        <v>0</v>
      </c>
      <c r="D537" s="392">
        <f>Input!AS535</f>
        <v>0</v>
      </c>
      <c r="E537" s="392">
        <f>Input!E535</f>
        <v>514</v>
      </c>
      <c r="F537" s="393">
        <f>Input!B535</f>
        <v>38500</v>
      </c>
      <c r="G537" s="503">
        <f t="shared" si="17"/>
        <v>0</v>
      </c>
      <c r="H537" s="354"/>
      <c r="I537" s="392">
        <f t="shared" si="16"/>
        <v>0</v>
      </c>
      <c r="J537" s="385"/>
      <c r="K537" s="385"/>
      <c r="L537" s="385"/>
      <c r="M537" s="385"/>
      <c r="N537" s="385"/>
      <c r="O537" s="385"/>
      <c r="P537" s="385"/>
      <c r="Q537" s="385"/>
      <c r="R537" s="385"/>
      <c r="S537" s="385"/>
      <c r="T537" s="385"/>
      <c r="U537" s="385"/>
      <c r="V537" s="385"/>
      <c r="W537" s="385"/>
      <c r="X537" s="385"/>
      <c r="Y537" s="385"/>
      <c r="Z537" s="385"/>
      <c r="AA537" s="385"/>
      <c r="AB537" s="385"/>
      <c r="AC537" s="385"/>
      <c r="AD537" s="385"/>
      <c r="AE537" s="385"/>
      <c r="AF537" s="385"/>
      <c r="AG537" s="385"/>
      <c r="AH537" s="385"/>
      <c r="AI537" s="385"/>
      <c r="AJ537" s="385"/>
      <c r="AK537" s="385"/>
      <c r="AL537" s="385"/>
      <c r="AM537" s="385"/>
      <c r="AN537" s="385"/>
      <c r="AO537" s="385"/>
      <c r="AP537" s="385"/>
      <c r="AQ537" s="385"/>
      <c r="AR537" s="385"/>
      <c r="AS537" s="385"/>
      <c r="AT537" s="385"/>
      <c r="AU537" s="385"/>
      <c r="AV537" s="385"/>
      <c r="AW537" s="385"/>
      <c r="AX537" s="385"/>
      <c r="AY537" s="385"/>
    </row>
    <row r="538" spans="1:51" ht="18">
      <c r="A538" s="385"/>
      <c r="B538" s="391" t="str">
        <f>Input!AR536</f>
        <v/>
      </c>
      <c r="C538" s="391">
        <f>DailyMet!N519</f>
        <v>0</v>
      </c>
      <c r="D538" s="392">
        <f>Input!AS536</f>
        <v>0</v>
      </c>
      <c r="E538" s="392">
        <f>Input!E536</f>
        <v>515</v>
      </c>
      <c r="F538" s="393">
        <f>Input!B536</f>
        <v>38501</v>
      </c>
      <c r="G538" s="503">
        <f t="shared" si="17"/>
        <v>0</v>
      </c>
      <c r="H538" s="354"/>
      <c r="I538" s="392">
        <f t="shared" si="16"/>
        <v>0</v>
      </c>
      <c r="J538" s="385"/>
      <c r="K538" s="385"/>
      <c r="L538" s="385"/>
      <c r="M538" s="385"/>
      <c r="N538" s="385"/>
      <c r="O538" s="385"/>
      <c r="P538" s="385"/>
      <c r="Q538" s="385"/>
      <c r="R538" s="385"/>
      <c r="S538" s="385"/>
      <c r="T538" s="385"/>
      <c r="U538" s="385"/>
      <c r="V538" s="385"/>
      <c r="W538" s="385"/>
      <c r="X538" s="385"/>
      <c r="Y538" s="385"/>
      <c r="Z538" s="385"/>
      <c r="AA538" s="385"/>
      <c r="AB538" s="385"/>
      <c r="AC538" s="385"/>
      <c r="AD538" s="385"/>
      <c r="AE538" s="385"/>
      <c r="AF538" s="385"/>
      <c r="AG538" s="385"/>
      <c r="AH538" s="385"/>
      <c r="AI538" s="385"/>
      <c r="AJ538" s="385"/>
      <c r="AK538" s="385"/>
      <c r="AL538" s="385"/>
      <c r="AM538" s="385"/>
      <c r="AN538" s="385"/>
      <c r="AO538" s="385"/>
      <c r="AP538" s="385"/>
      <c r="AQ538" s="385"/>
      <c r="AR538" s="385"/>
      <c r="AS538" s="385"/>
      <c r="AT538" s="385"/>
      <c r="AU538" s="385"/>
      <c r="AV538" s="385"/>
      <c r="AW538" s="385"/>
      <c r="AX538" s="385"/>
      <c r="AY538" s="385"/>
    </row>
    <row r="539" spans="1:51" ht="18">
      <c r="A539" s="385"/>
      <c r="B539" s="391" t="str">
        <f>Input!AR537</f>
        <v/>
      </c>
      <c r="C539" s="391">
        <f>DailyMet!N520</f>
        <v>0</v>
      </c>
      <c r="D539" s="392">
        <f>Input!AS537</f>
        <v>0</v>
      </c>
      <c r="E539" s="392">
        <f>Input!E537</f>
        <v>516</v>
      </c>
      <c r="F539" s="393">
        <f>Input!B537</f>
        <v>38502</v>
      </c>
      <c r="G539" s="503">
        <f t="shared" si="17"/>
        <v>0</v>
      </c>
      <c r="H539" s="354"/>
      <c r="I539" s="392">
        <f t="shared" si="16"/>
        <v>0</v>
      </c>
      <c r="J539" s="385"/>
      <c r="K539" s="385"/>
      <c r="L539" s="385"/>
      <c r="M539" s="385"/>
      <c r="N539" s="385"/>
      <c r="O539" s="385"/>
      <c r="P539" s="385"/>
      <c r="Q539" s="385"/>
      <c r="R539" s="385"/>
      <c r="S539" s="385"/>
      <c r="T539" s="385"/>
      <c r="U539" s="385"/>
      <c r="V539" s="385"/>
      <c r="W539" s="385"/>
      <c r="X539" s="385"/>
      <c r="Y539" s="385"/>
      <c r="Z539" s="385"/>
      <c r="AA539" s="385"/>
      <c r="AB539" s="385"/>
      <c r="AC539" s="385"/>
      <c r="AD539" s="385"/>
      <c r="AE539" s="385"/>
      <c r="AF539" s="385"/>
      <c r="AG539" s="385"/>
      <c r="AH539" s="385"/>
      <c r="AI539" s="385"/>
      <c r="AJ539" s="385"/>
      <c r="AK539" s="385"/>
      <c r="AL539" s="385"/>
      <c r="AM539" s="385"/>
      <c r="AN539" s="385"/>
      <c r="AO539" s="385"/>
      <c r="AP539" s="385"/>
      <c r="AQ539" s="385"/>
      <c r="AR539" s="385"/>
      <c r="AS539" s="385"/>
      <c r="AT539" s="385"/>
      <c r="AU539" s="385"/>
      <c r="AV539" s="385"/>
      <c r="AW539" s="385"/>
      <c r="AX539" s="385"/>
      <c r="AY539" s="385"/>
    </row>
    <row r="540" spans="1:51" ht="18">
      <c r="A540" s="385"/>
      <c r="B540" s="391" t="str">
        <f>Input!AR538</f>
        <v/>
      </c>
      <c r="C540" s="391">
        <f>DailyMet!N521</f>
        <v>0</v>
      </c>
      <c r="D540" s="392">
        <f>Input!AS538</f>
        <v>0</v>
      </c>
      <c r="E540" s="392">
        <f>Input!E538</f>
        <v>517</v>
      </c>
      <c r="F540" s="393">
        <f>Input!B538</f>
        <v>38503</v>
      </c>
      <c r="G540" s="503">
        <f t="shared" si="17"/>
        <v>0</v>
      </c>
      <c r="H540" s="354"/>
      <c r="I540" s="392">
        <f t="shared" si="16"/>
        <v>0</v>
      </c>
      <c r="J540" s="385"/>
      <c r="K540" s="385"/>
      <c r="L540" s="385"/>
      <c r="M540" s="385"/>
      <c r="N540" s="385"/>
      <c r="O540" s="385"/>
      <c r="P540" s="385"/>
      <c r="Q540" s="385"/>
      <c r="R540" s="385"/>
      <c r="S540" s="385"/>
      <c r="T540" s="385"/>
      <c r="U540" s="385"/>
      <c r="V540" s="385"/>
      <c r="W540" s="385"/>
      <c r="X540" s="385"/>
      <c r="Y540" s="385"/>
      <c r="Z540" s="385"/>
      <c r="AA540" s="385"/>
      <c r="AB540" s="385"/>
      <c r="AC540" s="385"/>
      <c r="AD540" s="385"/>
      <c r="AE540" s="385"/>
      <c r="AF540" s="385"/>
      <c r="AG540" s="385"/>
      <c r="AH540" s="385"/>
      <c r="AI540" s="385"/>
      <c r="AJ540" s="385"/>
      <c r="AK540" s="385"/>
      <c r="AL540" s="385"/>
      <c r="AM540" s="385"/>
      <c r="AN540" s="385"/>
      <c r="AO540" s="385"/>
      <c r="AP540" s="385"/>
      <c r="AQ540" s="385"/>
      <c r="AR540" s="385"/>
      <c r="AS540" s="385"/>
      <c r="AT540" s="385"/>
      <c r="AU540" s="385"/>
      <c r="AV540" s="385"/>
      <c r="AW540" s="385"/>
      <c r="AX540" s="385"/>
      <c r="AY540" s="385"/>
    </row>
    <row r="541" spans="1:51" ht="18">
      <c r="A541" s="385"/>
      <c r="B541" s="391" t="str">
        <f>Input!AR539</f>
        <v/>
      </c>
      <c r="C541" s="391">
        <f>DailyMet!N522</f>
        <v>0</v>
      </c>
      <c r="D541" s="392">
        <f>Input!AS539</f>
        <v>0</v>
      </c>
      <c r="E541" s="392">
        <f>Input!E539</f>
        <v>518</v>
      </c>
      <c r="F541" s="393">
        <f>Input!B539</f>
        <v>38504</v>
      </c>
      <c r="G541" s="503">
        <f t="shared" si="17"/>
        <v>0</v>
      </c>
      <c r="H541" s="354"/>
      <c r="I541" s="392">
        <f t="shared" si="16"/>
        <v>0</v>
      </c>
      <c r="J541" s="385"/>
      <c r="K541" s="385"/>
      <c r="L541" s="385"/>
      <c r="M541" s="385"/>
      <c r="N541" s="385"/>
      <c r="O541" s="385"/>
      <c r="P541" s="385"/>
      <c r="Q541" s="385"/>
      <c r="R541" s="385"/>
      <c r="S541" s="385"/>
      <c r="T541" s="385"/>
      <c r="U541" s="385"/>
      <c r="V541" s="385"/>
      <c r="W541" s="385"/>
      <c r="X541" s="385"/>
      <c r="Y541" s="385"/>
      <c r="Z541" s="385"/>
      <c r="AA541" s="385"/>
      <c r="AB541" s="385"/>
      <c r="AC541" s="385"/>
      <c r="AD541" s="385"/>
      <c r="AE541" s="385"/>
      <c r="AF541" s="385"/>
      <c r="AG541" s="385"/>
      <c r="AH541" s="385"/>
      <c r="AI541" s="385"/>
      <c r="AJ541" s="385"/>
      <c r="AK541" s="385"/>
      <c r="AL541" s="385"/>
      <c r="AM541" s="385"/>
      <c r="AN541" s="385"/>
      <c r="AO541" s="385"/>
      <c r="AP541" s="385"/>
      <c r="AQ541" s="385"/>
      <c r="AR541" s="385"/>
      <c r="AS541" s="385"/>
      <c r="AT541" s="385"/>
      <c r="AU541" s="385"/>
      <c r="AV541" s="385"/>
      <c r="AW541" s="385"/>
      <c r="AX541" s="385"/>
      <c r="AY541" s="385"/>
    </row>
    <row r="542" spans="1:51" ht="18">
      <c r="A542" s="385"/>
      <c r="B542" s="391" t="str">
        <f>Input!AR540</f>
        <v/>
      </c>
      <c r="C542" s="391">
        <f>DailyMet!N523</f>
        <v>0</v>
      </c>
      <c r="D542" s="392">
        <f>Input!AS540</f>
        <v>0</v>
      </c>
      <c r="E542" s="392">
        <f>Input!E540</f>
        <v>519</v>
      </c>
      <c r="F542" s="393">
        <f>Input!B540</f>
        <v>38505</v>
      </c>
      <c r="G542" s="503">
        <f t="shared" si="17"/>
        <v>0</v>
      </c>
      <c r="H542" s="354"/>
      <c r="I542" s="392">
        <f t="shared" si="16"/>
        <v>0</v>
      </c>
      <c r="J542" s="385"/>
      <c r="K542" s="385"/>
      <c r="L542" s="385"/>
      <c r="M542" s="385"/>
      <c r="N542" s="385"/>
      <c r="O542" s="385"/>
      <c r="P542" s="385"/>
      <c r="Q542" s="385"/>
      <c r="R542" s="385"/>
      <c r="S542" s="385"/>
      <c r="T542" s="385"/>
      <c r="U542" s="385"/>
      <c r="V542" s="385"/>
      <c r="W542" s="385"/>
      <c r="X542" s="385"/>
      <c r="Y542" s="385"/>
      <c r="Z542" s="385"/>
      <c r="AA542" s="385"/>
      <c r="AB542" s="385"/>
      <c r="AC542" s="385"/>
      <c r="AD542" s="385"/>
      <c r="AE542" s="385"/>
      <c r="AF542" s="385"/>
      <c r="AG542" s="385"/>
      <c r="AH542" s="385"/>
      <c r="AI542" s="385"/>
      <c r="AJ542" s="385"/>
      <c r="AK542" s="385"/>
      <c r="AL542" s="385"/>
      <c r="AM542" s="385"/>
      <c r="AN542" s="385"/>
      <c r="AO542" s="385"/>
      <c r="AP542" s="385"/>
      <c r="AQ542" s="385"/>
      <c r="AR542" s="385"/>
      <c r="AS542" s="385"/>
      <c r="AT542" s="385"/>
      <c r="AU542" s="385"/>
      <c r="AV542" s="385"/>
      <c r="AW542" s="385"/>
      <c r="AX542" s="385"/>
      <c r="AY542" s="385"/>
    </row>
    <row r="543" spans="1:51" ht="18">
      <c r="A543" s="385"/>
      <c r="B543" s="391" t="str">
        <f>Input!AR541</f>
        <v/>
      </c>
      <c r="C543" s="391">
        <f>DailyMet!N524</f>
        <v>2.6</v>
      </c>
      <c r="D543" s="392">
        <f>Input!AS541</f>
        <v>0</v>
      </c>
      <c r="E543" s="392">
        <f>Input!E541</f>
        <v>520</v>
      </c>
      <c r="F543" s="393">
        <f>Input!B541</f>
        <v>38506</v>
      </c>
      <c r="G543" s="503">
        <f t="shared" si="17"/>
        <v>0</v>
      </c>
      <c r="H543" s="354"/>
      <c r="I543" s="392">
        <f t="shared" ref="I543:I601" si="18">IF(B543="",0,IF(D543-D542&lt;0,0,IF(I542+H543+C543&lt;0,0,I542+H543+C543)))</f>
        <v>0</v>
      </c>
      <c r="J543" s="385"/>
      <c r="K543" s="385"/>
      <c r="L543" s="385"/>
      <c r="M543" s="385"/>
      <c r="N543" s="385"/>
      <c r="O543" s="385"/>
      <c r="P543" s="385"/>
      <c r="Q543" s="385"/>
      <c r="R543" s="385"/>
      <c r="S543" s="385"/>
      <c r="T543" s="385"/>
      <c r="U543" s="385"/>
      <c r="V543" s="385"/>
      <c r="W543" s="385"/>
      <c r="X543" s="385"/>
      <c r="Y543" s="385"/>
      <c r="Z543" s="385"/>
      <c r="AA543" s="385"/>
      <c r="AB543" s="385"/>
      <c r="AC543" s="385"/>
      <c r="AD543" s="385"/>
      <c r="AE543" s="385"/>
      <c r="AF543" s="385"/>
      <c r="AG543" s="385"/>
      <c r="AH543" s="385"/>
      <c r="AI543" s="385"/>
      <c r="AJ543" s="385"/>
      <c r="AK543" s="385"/>
      <c r="AL543" s="385"/>
      <c r="AM543" s="385"/>
      <c r="AN543" s="385"/>
      <c r="AO543" s="385"/>
      <c r="AP543" s="385"/>
      <c r="AQ543" s="385"/>
      <c r="AR543" s="385"/>
      <c r="AS543" s="385"/>
      <c r="AT543" s="385"/>
      <c r="AU543" s="385"/>
      <c r="AV543" s="385"/>
      <c r="AW543" s="385"/>
      <c r="AX543" s="385"/>
      <c r="AY543" s="385"/>
    </row>
    <row r="544" spans="1:51" ht="18">
      <c r="A544" s="385"/>
      <c r="B544" s="391" t="str">
        <f>Input!AR542</f>
        <v/>
      </c>
      <c r="C544" s="391">
        <f>DailyMet!N525</f>
        <v>0.8</v>
      </c>
      <c r="D544" s="392">
        <f>Input!AS542</f>
        <v>0</v>
      </c>
      <c r="E544" s="392">
        <f>Input!E542</f>
        <v>521</v>
      </c>
      <c r="F544" s="393">
        <f>Input!B542</f>
        <v>38507</v>
      </c>
      <c r="G544" s="503">
        <f t="shared" si="17"/>
        <v>0</v>
      </c>
      <c r="H544" s="354"/>
      <c r="I544" s="392">
        <f t="shared" si="18"/>
        <v>0</v>
      </c>
      <c r="J544" s="385"/>
      <c r="K544" s="385"/>
      <c r="L544" s="385"/>
      <c r="M544" s="385"/>
      <c r="N544" s="385"/>
      <c r="O544" s="385"/>
      <c r="P544" s="385"/>
      <c r="Q544" s="385"/>
      <c r="R544" s="385"/>
      <c r="S544" s="385"/>
      <c r="T544" s="385"/>
      <c r="U544" s="385"/>
      <c r="V544" s="385"/>
      <c r="W544" s="385"/>
      <c r="X544" s="385"/>
      <c r="Y544" s="385"/>
      <c r="Z544" s="385"/>
      <c r="AA544" s="385"/>
      <c r="AB544" s="385"/>
      <c r="AC544" s="385"/>
      <c r="AD544" s="385"/>
      <c r="AE544" s="385"/>
      <c r="AF544" s="385"/>
      <c r="AG544" s="385"/>
      <c r="AH544" s="385"/>
      <c r="AI544" s="385"/>
      <c r="AJ544" s="385"/>
      <c r="AK544" s="385"/>
      <c r="AL544" s="385"/>
      <c r="AM544" s="385"/>
      <c r="AN544" s="385"/>
      <c r="AO544" s="385"/>
      <c r="AP544" s="385"/>
      <c r="AQ544" s="385"/>
      <c r="AR544" s="385"/>
      <c r="AS544" s="385"/>
      <c r="AT544" s="385"/>
      <c r="AU544" s="385"/>
      <c r="AV544" s="385"/>
      <c r="AW544" s="385"/>
      <c r="AX544" s="385"/>
      <c r="AY544" s="385"/>
    </row>
    <row r="545" spans="1:51" ht="18">
      <c r="A545" s="385"/>
      <c r="B545" s="391" t="str">
        <f>Input!AR543</f>
        <v/>
      </c>
      <c r="C545" s="391">
        <f>DailyMet!N526</f>
        <v>0</v>
      </c>
      <c r="D545" s="392">
        <f>Input!AS543</f>
        <v>0</v>
      </c>
      <c r="E545" s="392">
        <f>Input!E543</f>
        <v>522</v>
      </c>
      <c r="F545" s="393">
        <f>Input!B543</f>
        <v>38508</v>
      </c>
      <c r="G545" s="503">
        <f t="shared" si="17"/>
        <v>0</v>
      </c>
      <c r="H545" s="354"/>
      <c r="I545" s="392">
        <f t="shared" si="18"/>
        <v>0</v>
      </c>
      <c r="J545" s="385"/>
      <c r="K545" s="385"/>
      <c r="L545" s="385"/>
      <c r="M545" s="385"/>
      <c r="N545" s="385"/>
      <c r="O545" s="385"/>
      <c r="P545" s="385"/>
      <c r="Q545" s="385"/>
      <c r="R545" s="385"/>
      <c r="S545" s="385"/>
      <c r="T545" s="385"/>
      <c r="U545" s="385"/>
      <c r="V545" s="385"/>
      <c r="W545" s="385"/>
      <c r="X545" s="385"/>
      <c r="Y545" s="385"/>
      <c r="Z545" s="385"/>
      <c r="AA545" s="385"/>
      <c r="AB545" s="385"/>
      <c r="AC545" s="385"/>
      <c r="AD545" s="385"/>
      <c r="AE545" s="385"/>
      <c r="AF545" s="385"/>
      <c r="AG545" s="385"/>
      <c r="AH545" s="385"/>
      <c r="AI545" s="385"/>
      <c r="AJ545" s="385"/>
      <c r="AK545" s="385"/>
      <c r="AL545" s="385"/>
      <c r="AM545" s="385"/>
      <c r="AN545" s="385"/>
      <c r="AO545" s="385"/>
      <c r="AP545" s="385"/>
      <c r="AQ545" s="385"/>
      <c r="AR545" s="385"/>
      <c r="AS545" s="385"/>
      <c r="AT545" s="385"/>
      <c r="AU545" s="385"/>
      <c r="AV545" s="385"/>
      <c r="AW545" s="385"/>
      <c r="AX545" s="385"/>
      <c r="AY545" s="385"/>
    </row>
    <row r="546" spans="1:51" ht="18">
      <c r="A546" s="385"/>
      <c r="B546" s="391" t="str">
        <f>Input!AR544</f>
        <v/>
      </c>
      <c r="C546" s="391">
        <f>DailyMet!N527</f>
        <v>0</v>
      </c>
      <c r="D546" s="392">
        <f>Input!AS544</f>
        <v>0</v>
      </c>
      <c r="E546" s="392">
        <f>Input!E544</f>
        <v>523</v>
      </c>
      <c r="F546" s="393">
        <f>Input!B544</f>
        <v>38509</v>
      </c>
      <c r="G546" s="503">
        <f t="shared" si="17"/>
        <v>0</v>
      </c>
      <c r="H546" s="354"/>
      <c r="I546" s="392">
        <f t="shared" si="18"/>
        <v>0</v>
      </c>
      <c r="J546" s="385"/>
      <c r="K546" s="385"/>
      <c r="L546" s="385"/>
      <c r="M546" s="385"/>
      <c r="N546" s="385"/>
      <c r="O546" s="385"/>
      <c r="P546" s="385"/>
      <c r="Q546" s="385"/>
      <c r="R546" s="385"/>
      <c r="S546" s="385"/>
      <c r="T546" s="385"/>
      <c r="U546" s="385"/>
      <c r="V546" s="385"/>
      <c r="W546" s="385"/>
      <c r="X546" s="385"/>
      <c r="Y546" s="385"/>
      <c r="Z546" s="385"/>
      <c r="AA546" s="385"/>
      <c r="AB546" s="385"/>
      <c r="AC546" s="385"/>
      <c r="AD546" s="385"/>
      <c r="AE546" s="385"/>
      <c r="AF546" s="385"/>
      <c r="AG546" s="385"/>
      <c r="AH546" s="385"/>
      <c r="AI546" s="385"/>
      <c r="AJ546" s="385"/>
      <c r="AK546" s="385"/>
      <c r="AL546" s="385"/>
      <c r="AM546" s="385"/>
      <c r="AN546" s="385"/>
      <c r="AO546" s="385"/>
      <c r="AP546" s="385"/>
      <c r="AQ546" s="385"/>
      <c r="AR546" s="385"/>
      <c r="AS546" s="385"/>
      <c r="AT546" s="385"/>
      <c r="AU546" s="385"/>
      <c r="AV546" s="385"/>
      <c r="AW546" s="385"/>
      <c r="AX546" s="385"/>
      <c r="AY546" s="385"/>
    </row>
    <row r="547" spans="1:51" ht="18">
      <c r="A547" s="385"/>
      <c r="B547" s="391" t="str">
        <f>Input!AR545</f>
        <v/>
      </c>
      <c r="C547" s="391">
        <f>DailyMet!N528</f>
        <v>0</v>
      </c>
      <c r="D547" s="392">
        <f>Input!AS545</f>
        <v>0</v>
      </c>
      <c r="E547" s="392">
        <f>Input!E545</f>
        <v>524</v>
      </c>
      <c r="F547" s="393">
        <f>Input!B545</f>
        <v>38510</v>
      </c>
      <c r="G547" s="503">
        <f t="shared" si="17"/>
        <v>0</v>
      </c>
      <c r="H547" s="354"/>
      <c r="I547" s="392">
        <f t="shared" si="18"/>
        <v>0</v>
      </c>
      <c r="J547" s="385"/>
      <c r="K547" s="385"/>
      <c r="L547" s="385"/>
      <c r="M547" s="385"/>
      <c r="N547" s="385"/>
      <c r="O547" s="385"/>
      <c r="P547" s="385"/>
      <c r="Q547" s="385"/>
      <c r="R547" s="385"/>
      <c r="S547" s="385"/>
      <c r="T547" s="385"/>
      <c r="U547" s="385"/>
      <c r="V547" s="385"/>
      <c r="W547" s="385"/>
      <c r="X547" s="385"/>
      <c r="Y547" s="385"/>
      <c r="Z547" s="385"/>
      <c r="AA547" s="385"/>
      <c r="AB547" s="385"/>
      <c r="AC547" s="385"/>
      <c r="AD547" s="385"/>
      <c r="AE547" s="385"/>
      <c r="AF547" s="385"/>
      <c r="AG547" s="385"/>
      <c r="AH547" s="385"/>
      <c r="AI547" s="385"/>
      <c r="AJ547" s="385"/>
      <c r="AK547" s="385"/>
      <c r="AL547" s="385"/>
      <c r="AM547" s="385"/>
      <c r="AN547" s="385"/>
      <c r="AO547" s="385"/>
      <c r="AP547" s="385"/>
      <c r="AQ547" s="385"/>
      <c r="AR547" s="385"/>
      <c r="AS547" s="385"/>
      <c r="AT547" s="385"/>
      <c r="AU547" s="385"/>
      <c r="AV547" s="385"/>
      <c r="AW547" s="385"/>
      <c r="AX547" s="385"/>
      <c r="AY547" s="385"/>
    </row>
    <row r="548" spans="1:51" ht="18">
      <c r="A548" s="385"/>
      <c r="B548" s="391" t="str">
        <f>Input!AR546</f>
        <v/>
      </c>
      <c r="C548" s="391">
        <f>DailyMet!N529</f>
        <v>0</v>
      </c>
      <c r="D548" s="392">
        <f>Input!AS546</f>
        <v>0</v>
      </c>
      <c r="E548" s="392">
        <f>Input!E546</f>
        <v>525</v>
      </c>
      <c r="F548" s="393">
        <f>Input!B546</f>
        <v>38511</v>
      </c>
      <c r="G548" s="503">
        <f t="shared" si="17"/>
        <v>0</v>
      </c>
      <c r="H548" s="354"/>
      <c r="I548" s="392">
        <f t="shared" si="18"/>
        <v>0</v>
      </c>
      <c r="J548" s="385"/>
      <c r="K548" s="385"/>
      <c r="L548" s="385"/>
      <c r="M548" s="385"/>
      <c r="N548" s="385"/>
      <c r="O548" s="385"/>
      <c r="P548" s="385"/>
      <c r="Q548" s="385"/>
      <c r="R548" s="385"/>
      <c r="S548" s="385"/>
      <c r="T548" s="385"/>
      <c r="U548" s="385"/>
      <c r="V548" s="385"/>
      <c r="W548" s="385"/>
      <c r="X548" s="385"/>
      <c r="Y548" s="385"/>
      <c r="Z548" s="385"/>
      <c r="AA548" s="385"/>
      <c r="AB548" s="385"/>
      <c r="AC548" s="385"/>
      <c r="AD548" s="385"/>
      <c r="AE548" s="385"/>
      <c r="AF548" s="385"/>
      <c r="AG548" s="385"/>
      <c r="AH548" s="385"/>
      <c r="AI548" s="385"/>
      <c r="AJ548" s="385"/>
      <c r="AK548" s="385"/>
      <c r="AL548" s="385"/>
      <c r="AM548" s="385"/>
      <c r="AN548" s="385"/>
      <c r="AO548" s="385"/>
      <c r="AP548" s="385"/>
      <c r="AQ548" s="385"/>
      <c r="AR548" s="385"/>
      <c r="AS548" s="385"/>
      <c r="AT548" s="385"/>
      <c r="AU548" s="385"/>
      <c r="AV548" s="385"/>
      <c r="AW548" s="385"/>
      <c r="AX548" s="385"/>
      <c r="AY548" s="385"/>
    </row>
    <row r="549" spans="1:51" ht="18">
      <c r="A549" s="385"/>
      <c r="B549" s="391" t="str">
        <f>Input!AR547</f>
        <v/>
      </c>
      <c r="C549" s="391">
        <f>DailyMet!N530</f>
        <v>0</v>
      </c>
      <c r="D549" s="392">
        <f>Input!AS547</f>
        <v>0</v>
      </c>
      <c r="E549" s="392">
        <f>Input!E547</f>
        <v>526</v>
      </c>
      <c r="F549" s="393">
        <f>Input!B547</f>
        <v>38512</v>
      </c>
      <c r="G549" s="503">
        <f t="shared" si="17"/>
        <v>0</v>
      </c>
      <c r="H549" s="354"/>
      <c r="I549" s="392">
        <f t="shared" si="18"/>
        <v>0</v>
      </c>
      <c r="J549" s="385"/>
      <c r="K549" s="385"/>
      <c r="L549" s="385"/>
      <c r="M549" s="385"/>
      <c r="N549" s="385"/>
      <c r="O549" s="385"/>
      <c r="P549" s="385"/>
      <c r="Q549" s="385"/>
      <c r="R549" s="385"/>
      <c r="S549" s="385"/>
      <c r="T549" s="385"/>
      <c r="U549" s="385"/>
      <c r="V549" s="385"/>
      <c r="W549" s="385"/>
      <c r="X549" s="385"/>
      <c r="Y549" s="385"/>
      <c r="Z549" s="385"/>
      <c r="AA549" s="385"/>
      <c r="AB549" s="385"/>
      <c r="AC549" s="385"/>
      <c r="AD549" s="385"/>
      <c r="AE549" s="385"/>
      <c r="AF549" s="385"/>
      <c r="AG549" s="385"/>
      <c r="AH549" s="385"/>
      <c r="AI549" s="385"/>
      <c r="AJ549" s="385"/>
      <c r="AK549" s="385"/>
      <c r="AL549" s="385"/>
      <c r="AM549" s="385"/>
      <c r="AN549" s="385"/>
      <c r="AO549" s="385"/>
      <c r="AP549" s="385"/>
      <c r="AQ549" s="385"/>
      <c r="AR549" s="385"/>
      <c r="AS549" s="385"/>
      <c r="AT549" s="385"/>
      <c r="AU549" s="385"/>
      <c r="AV549" s="385"/>
      <c r="AW549" s="385"/>
      <c r="AX549" s="385"/>
      <c r="AY549" s="385"/>
    </row>
    <row r="550" spans="1:51" ht="18">
      <c r="A550" s="385"/>
      <c r="B550" s="391" t="str">
        <f>Input!AR548</f>
        <v/>
      </c>
      <c r="C550" s="391">
        <f>DailyMet!N531</f>
        <v>9</v>
      </c>
      <c r="D550" s="392">
        <f>Input!AS548</f>
        <v>0</v>
      </c>
      <c r="E550" s="392">
        <f>Input!E548</f>
        <v>527</v>
      </c>
      <c r="F550" s="393">
        <f>Input!B548</f>
        <v>38513</v>
      </c>
      <c r="G550" s="503">
        <f t="shared" si="17"/>
        <v>0</v>
      </c>
      <c r="H550" s="354"/>
      <c r="I550" s="392">
        <f t="shared" si="18"/>
        <v>0</v>
      </c>
      <c r="J550" s="385"/>
      <c r="K550" s="385"/>
      <c r="L550" s="385"/>
      <c r="M550" s="385"/>
      <c r="N550" s="385"/>
      <c r="O550" s="385"/>
      <c r="P550" s="385"/>
      <c r="Q550" s="385"/>
      <c r="R550" s="385"/>
      <c r="S550" s="385"/>
      <c r="T550" s="385"/>
      <c r="U550" s="385"/>
      <c r="V550" s="385"/>
      <c r="W550" s="385"/>
      <c r="X550" s="385"/>
      <c r="Y550" s="385"/>
      <c r="Z550" s="385"/>
      <c r="AA550" s="385"/>
      <c r="AB550" s="385"/>
      <c r="AC550" s="385"/>
      <c r="AD550" s="385"/>
      <c r="AE550" s="385"/>
      <c r="AF550" s="385"/>
      <c r="AG550" s="385"/>
      <c r="AH550" s="385"/>
      <c r="AI550" s="385"/>
      <c r="AJ550" s="385"/>
      <c r="AK550" s="385"/>
      <c r="AL550" s="385"/>
      <c r="AM550" s="385"/>
      <c r="AN550" s="385"/>
      <c r="AO550" s="385"/>
      <c r="AP550" s="385"/>
      <c r="AQ550" s="385"/>
      <c r="AR550" s="385"/>
      <c r="AS550" s="385"/>
      <c r="AT550" s="385"/>
      <c r="AU550" s="385"/>
      <c r="AV550" s="385"/>
      <c r="AW550" s="385"/>
      <c r="AX550" s="385"/>
      <c r="AY550" s="385"/>
    </row>
    <row r="551" spans="1:51" ht="18">
      <c r="A551" s="385"/>
      <c r="B551" s="391" t="str">
        <f>Input!AR549</f>
        <v/>
      </c>
      <c r="C551" s="391">
        <f>DailyMet!N532</f>
        <v>0.4</v>
      </c>
      <c r="D551" s="392">
        <f>Input!AS549</f>
        <v>0</v>
      </c>
      <c r="E551" s="392">
        <f>Input!E549</f>
        <v>528</v>
      </c>
      <c r="F551" s="393">
        <f>Input!B549</f>
        <v>38514</v>
      </c>
      <c r="G551" s="503">
        <f t="shared" si="17"/>
        <v>0</v>
      </c>
      <c r="H551" s="354"/>
      <c r="I551" s="392">
        <f t="shared" si="18"/>
        <v>0</v>
      </c>
      <c r="J551" s="385"/>
      <c r="K551" s="385"/>
      <c r="L551" s="385"/>
      <c r="M551" s="385"/>
      <c r="N551" s="385"/>
      <c r="O551" s="385"/>
      <c r="P551" s="385"/>
      <c r="Q551" s="385"/>
      <c r="R551" s="385"/>
      <c r="S551" s="385"/>
      <c r="T551" s="385"/>
      <c r="U551" s="385"/>
      <c r="V551" s="385"/>
      <c r="W551" s="385"/>
      <c r="X551" s="385"/>
      <c r="Y551" s="385"/>
      <c r="Z551" s="385"/>
      <c r="AA551" s="385"/>
      <c r="AB551" s="385"/>
      <c r="AC551" s="385"/>
      <c r="AD551" s="385"/>
      <c r="AE551" s="385"/>
      <c r="AF551" s="385"/>
      <c r="AG551" s="385"/>
      <c r="AH551" s="385"/>
      <c r="AI551" s="385"/>
      <c r="AJ551" s="385"/>
      <c r="AK551" s="385"/>
      <c r="AL551" s="385"/>
      <c r="AM551" s="385"/>
      <c r="AN551" s="385"/>
      <c r="AO551" s="385"/>
      <c r="AP551" s="385"/>
      <c r="AQ551" s="385"/>
      <c r="AR551" s="385"/>
      <c r="AS551" s="385"/>
      <c r="AT551" s="385"/>
      <c r="AU551" s="385"/>
      <c r="AV551" s="385"/>
      <c r="AW551" s="385"/>
      <c r="AX551" s="385"/>
      <c r="AY551" s="385"/>
    </row>
    <row r="552" spans="1:51" ht="18">
      <c r="A552" s="385"/>
      <c r="B552" s="391" t="str">
        <f>Input!AR550</f>
        <v/>
      </c>
      <c r="C552" s="391">
        <f>DailyMet!N533</f>
        <v>9</v>
      </c>
      <c r="D552" s="392">
        <f>Input!AS550</f>
        <v>0</v>
      </c>
      <c r="E552" s="392">
        <f>Input!E550</f>
        <v>529</v>
      </c>
      <c r="F552" s="393">
        <f>Input!B550</f>
        <v>38515</v>
      </c>
      <c r="G552" s="503">
        <f t="shared" si="17"/>
        <v>0</v>
      </c>
      <c r="H552" s="354"/>
      <c r="I552" s="392">
        <f t="shared" si="18"/>
        <v>0</v>
      </c>
      <c r="J552" s="385"/>
      <c r="K552" s="385"/>
      <c r="L552" s="385"/>
      <c r="M552" s="385"/>
      <c r="N552" s="385"/>
      <c r="O552" s="385"/>
      <c r="P552" s="385"/>
      <c r="Q552" s="385"/>
      <c r="R552" s="385"/>
      <c r="S552" s="385"/>
      <c r="T552" s="385"/>
      <c r="U552" s="385"/>
      <c r="V552" s="385"/>
      <c r="W552" s="385"/>
      <c r="X552" s="385"/>
      <c r="Y552" s="385"/>
      <c r="Z552" s="385"/>
      <c r="AA552" s="385"/>
      <c r="AB552" s="385"/>
      <c r="AC552" s="385"/>
      <c r="AD552" s="385"/>
      <c r="AE552" s="385"/>
      <c r="AF552" s="385"/>
      <c r="AG552" s="385"/>
      <c r="AH552" s="385"/>
      <c r="AI552" s="385"/>
      <c r="AJ552" s="385"/>
      <c r="AK552" s="385"/>
      <c r="AL552" s="385"/>
      <c r="AM552" s="385"/>
      <c r="AN552" s="385"/>
      <c r="AO552" s="385"/>
      <c r="AP552" s="385"/>
      <c r="AQ552" s="385"/>
      <c r="AR552" s="385"/>
      <c r="AS552" s="385"/>
      <c r="AT552" s="385"/>
      <c r="AU552" s="385"/>
      <c r="AV552" s="385"/>
      <c r="AW552" s="385"/>
      <c r="AX552" s="385"/>
      <c r="AY552" s="385"/>
    </row>
    <row r="553" spans="1:51" ht="18">
      <c r="A553" s="385"/>
      <c r="B553" s="391" t="str">
        <f>Input!AR551</f>
        <v/>
      </c>
      <c r="C553" s="391">
        <f>DailyMet!N534</f>
        <v>0</v>
      </c>
      <c r="D553" s="392">
        <f>Input!AS551</f>
        <v>0</v>
      </c>
      <c r="E553" s="392">
        <f>Input!E551</f>
        <v>530</v>
      </c>
      <c r="F553" s="393">
        <f>Input!B551</f>
        <v>38516</v>
      </c>
      <c r="G553" s="503">
        <f t="shared" si="17"/>
        <v>0</v>
      </c>
      <c r="H553" s="354"/>
      <c r="I553" s="392">
        <f t="shared" si="18"/>
        <v>0</v>
      </c>
      <c r="J553" s="385"/>
      <c r="K553" s="385"/>
      <c r="L553" s="385"/>
      <c r="M553" s="385"/>
      <c r="N553" s="385"/>
      <c r="O553" s="385"/>
      <c r="P553" s="385"/>
      <c r="Q553" s="385"/>
      <c r="R553" s="385"/>
      <c r="S553" s="385"/>
      <c r="T553" s="385"/>
      <c r="U553" s="385"/>
      <c r="V553" s="385"/>
      <c r="W553" s="385"/>
      <c r="X553" s="385"/>
      <c r="Y553" s="385"/>
      <c r="Z553" s="385"/>
      <c r="AA553" s="385"/>
      <c r="AB553" s="385"/>
      <c r="AC553" s="385"/>
      <c r="AD553" s="385"/>
      <c r="AE553" s="385"/>
      <c r="AF553" s="385"/>
      <c r="AG553" s="385"/>
      <c r="AH553" s="385"/>
      <c r="AI553" s="385"/>
      <c r="AJ553" s="385"/>
      <c r="AK553" s="385"/>
      <c r="AL553" s="385"/>
      <c r="AM553" s="385"/>
      <c r="AN553" s="385"/>
      <c r="AO553" s="385"/>
      <c r="AP553" s="385"/>
      <c r="AQ553" s="385"/>
      <c r="AR553" s="385"/>
      <c r="AS553" s="385"/>
      <c r="AT553" s="385"/>
      <c r="AU553" s="385"/>
      <c r="AV553" s="385"/>
      <c r="AW553" s="385"/>
      <c r="AX553" s="385"/>
      <c r="AY553" s="385"/>
    </row>
    <row r="554" spans="1:51" ht="18">
      <c r="A554" s="385"/>
      <c r="B554" s="391" t="str">
        <f>Input!AR552</f>
        <v/>
      </c>
      <c r="C554" s="391">
        <f>DailyMet!N535</f>
        <v>0</v>
      </c>
      <c r="D554" s="392">
        <f>Input!AS552</f>
        <v>0</v>
      </c>
      <c r="E554" s="392">
        <f>Input!E552</f>
        <v>531</v>
      </c>
      <c r="F554" s="393">
        <f>Input!B552</f>
        <v>38517</v>
      </c>
      <c r="G554" s="503">
        <f t="shared" si="17"/>
        <v>0</v>
      </c>
      <c r="H554" s="354"/>
      <c r="I554" s="392">
        <f t="shared" si="18"/>
        <v>0</v>
      </c>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c r="AT554" s="385"/>
      <c r="AU554" s="385"/>
      <c r="AV554" s="385"/>
      <c r="AW554" s="385"/>
      <c r="AX554" s="385"/>
      <c r="AY554" s="385"/>
    </row>
    <row r="555" spans="1:51" ht="18">
      <c r="A555" s="385"/>
      <c r="B555" s="391" t="str">
        <f>Input!AR553</f>
        <v/>
      </c>
      <c r="C555" s="391">
        <f>DailyMet!N536</f>
        <v>0</v>
      </c>
      <c r="D555" s="392">
        <f>Input!AS553</f>
        <v>0</v>
      </c>
      <c r="E555" s="392">
        <f>Input!E553</f>
        <v>532</v>
      </c>
      <c r="F555" s="393">
        <f>Input!B553</f>
        <v>38518</v>
      </c>
      <c r="G555" s="503">
        <f t="shared" si="17"/>
        <v>0</v>
      </c>
      <c r="H555" s="354"/>
      <c r="I555" s="392">
        <f t="shared" si="18"/>
        <v>0</v>
      </c>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c r="AT555" s="385"/>
      <c r="AU555" s="385"/>
      <c r="AV555" s="385"/>
      <c r="AW555" s="385"/>
      <c r="AX555" s="385"/>
      <c r="AY555" s="385"/>
    </row>
    <row r="556" spans="1:51" ht="18">
      <c r="A556" s="385"/>
      <c r="B556" s="391" t="str">
        <f>Input!AR554</f>
        <v/>
      </c>
      <c r="C556" s="391">
        <f>DailyMet!N537</f>
        <v>2.8</v>
      </c>
      <c r="D556" s="392">
        <f>Input!AS554</f>
        <v>0</v>
      </c>
      <c r="E556" s="392">
        <f>Input!E554</f>
        <v>533</v>
      </c>
      <c r="F556" s="393">
        <f>Input!B554</f>
        <v>38519</v>
      </c>
      <c r="G556" s="503">
        <f t="shared" si="17"/>
        <v>0</v>
      </c>
      <c r="H556" s="354"/>
      <c r="I556" s="392">
        <f t="shared" si="18"/>
        <v>0</v>
      </c>
      <c r="J556" s="385"/>
      <c r="K556" s="385"/>
      <c r="L556" s="385"/>
      <c r="M556" s="385"/>
      <c r="N556" s="385"/>
      <c r="O556" s="385"/>
      <c r="P556" s="385"/>
      <c r="Q556" s="385"/>
      <c r="R556" s="385"/>
      <c r="S556" s="385"/>
      <c r="T556" s="385"/>
      <c r="U556" s="385"/>
      <c r="V556" s="385"/>
      <c r="W556" s="385"/>
      <c r="X556" s="385"/>
      <c r="Y556" s="385"/>
      <c r="Z556" s="385"/>
      <c r="AA556" s="385"/>
      <c r="AB556" s="385"/>
      <c r="AC556" s="385"/>
      <c r="AD556" s="385"/>
      <c r="AE556" s="385"/>
      <c r="AF556" s="385"/>
      <c r="AG556" s="385"/>
      <c r="AH556" s="385"/>
      <c r="AI556" s="385"/>
      <c r="AJ556" s="385"/>
      <c r="AK556" s="385"/>
      <c r="AL556" s="385"/>
      <c r="AM556" s="385"/>
      <c r="AN556" s="385"/>
      <c r="AO556" s="385"/>
      <c r="AP556" s="385"/>
      <c r="AQ556" s="385"/>
      <c r="AR556" s="385"/>
      <c r="AS556" s="385"/>
      <c r="AT556" s="385"/>
      <c r="AU556" s="385"/>
      <c r="AV556" s="385"/>
      <c r="AW556" s="385"/>
      <c r="AX556" s="385"/>
      <c r="AY556" s="385"/>
    </row>
    <row r="557" spans="1:51" ht="18">
      <c r="A557" s="385"/>
      <c r="B557" s="391" t="str">
        <f>Input!AR555</f>
        <v/>
      </c>
      <c r="C557" s="391">
        <f>DailyMet!N538</f>
        <v>0</v>
      </c>
      <c r="D557" s="392">
        <f>Input!AS555</f>
        <v>0</v>
      </c>
      <c r="E557" s="392">
        <f>Input!E555</f>
        <v>534</v>
      </c>
      <c r="F557" s="393">
        <f>Input!B555</f>
        <v>38520</v>
      </c>
      <c r="G557" s="503">
        <f t="shared" si="17"/>
        <v>0</v>
      </c>
      <c r="H557" s="354"/>
      <c r="I557" s="392">
        <f t="shared" si="18"/>
        <v>0</v>
      </c>
      <c r="J557" s="385"/>
      <c r="K557" s="385"/>
      <c r="L557" s="385"/>
      <c r="M557" s="385"/>
      <c r="N557" s="385"/>
      <c r="O557" s="385"/>
      <c r="P557" s="385"/>
      <c r="Q557" s="385"/>
      <c r="R557" s="385"/>
      <c r="S557" s="385"/>
      <c r="T557" s="385"/>
      <c r="U557" s="385"/>
      <c r="V557" s="385"/>
      <c r="W557" s="385"/>
      <c r="X557" s="385"/>
      <c r="Y557" s="385"/>
      <c r="Z557" s="385"/>
      <c r="AA557" s="385"/>
      <c r="AB557" s="385"/>
      <c r="AC557" s="385"/>
      <c r="AD557" s="385"/>
      <c r="AE557" s="385"/>
      <c r="AF557" s="385"/>
      <c r="AG557" s="385"/>
      <c r="AH557" s="385"/>
      <c r="AI557" s="385"/>
      <c r="AJ557" s="385"/>
      <c r="AK557" s="385"/>
      <c r="AL557" s="385"/>
      <c r="AM557" s="385"/>
      <c r="AN557" s="385"/>
      <c r="AO557" s="385"/>
      <c r="AP557" s="385"/>
      <c r="AQ557" s="385"/>
      <c r="AR557" s="385"/>
      <c r="AS557" s="385"/>
      <c r="AT557" s="385"/>
      <c r="AU557" s="385"/>
      <c r="AV557" s="385"/>
      <c r="AW557" s="385"/>
      <c r="AX557" s="385"/>
      <c r="AY557" s="385"/>
    </row>
    <row r="558" spans="1:51" ht="18">
      <c r="A558" s="385"/>
      <c r="B558" s="391" t="str">
        <f>Input!AR556</f>
        <v/>
      </c>
      <c r="C558" s="391">
        <f>DailyMet!N539</f>
        <v>0</v>
      </c>
      <c r="D558" s="392">
        <f>Input!AS556</f>
        <v>0</v>
      </c>
      <c r="E558" s="392">
        <f>Input!E556</f>
        <v>535</v>
      </c>
      <c r="F558" s="393">
        <f>Input!B556</f>
        <v>38521</v>
      </c>
      <c r="G558" s="503">
        <f t="shared" si="17"/>
        <v>0</v>
      </c>
      <c r="H558" s="354"/>
      <c r="I558" s="392">
        <f t="shared" si="18"/>
        <v>0</v>
      </c>
      <c r="J558" s="385"/>
      <c r="K558" s="385"/>
      <c r="L558" s="385"/>
      <c r="M558" s="385"/>
      <c r="N558" s="385"/>
      <c r="O558" s="385"/>
      <c r="P558" s="385"/>
      <c r="Q558" s="385"/>
      <c r="R558" s="385"/>
      <c r="S558" s="385"/>
      <c r="T558" s="385"/>
      <c r="U558" s="385"/>
      <c r="V558" s="385"/>
      <c r="W558" s="385"/>
      <c r="X558" s="385"/>
      <c r="Y558" s="385"/>
      <c r="Z558" s="385"/>
      <c r="AA558" s="385"/>
      <c r="AB558" s="385"/>
      <c r="AC558" s="385"/>
      <c r="AD558" s="385"/>
      <c r="AE558" s="385"/>
      <c r="AF558" s="385"/>
      <c r="AG558" s="385"/>
      <c r="AH558" s="385"/>
      <c r="AI558" s="385"/>
      <c r="AJ558" s="385"/>
      <c r="AK558" s="385"/>
      <c r="AL558" s="385"/>
      <c r="AM558" s="385"/>
      <c r="AN558" s="385"/>
      <c r="AO558" s="385"/>
      <c r="AP558" s="385"/>
      <c r="AQ558" s="385"/>
      <c r="AR558" s="385"/>
      <c r="AS558" s="385"/>
      <c r="AT558" s="385"/>
      <c r="AU558" s="385"/>
      <c r="AV558" s="385"/>
      <c r="AW558" s="385"/>
      <c r="AX558" s="385"/>
      <c r="AY558" s="385"/>
    </row>
    <row r="559" spans="1:51" ht="18">
      <c r="A559" s="385"/>
      <c r="B559" s="391" t="str">
        <f>Input!AR557</f>
        <v/>
      </c>
      <c r="C559" s="391">
        <f>DailyMet!N540</f>
        <v>8.6</v>
      </c>
      <c r="D559" s="392">
        <f>Input!AS557</f>
        <v>0</v>
      </c>
      <c r="E559" s="392">
        <f>Input!E557</f>
        <v>536</v>
      </c>
      <c r="F559" s="393">
        <f>Input!B557</f>
        <v>38522</v>
      </c>
      <c r="G559" s="503">
        <f t="shared" si="17"/>
        <v>0</v>
      </c>
      <c r="H559" s="354"/>
      <c r="I559" s="392">
        <f t="shared" si="18"/>
        <v>0</v>
      </c>
      <c r="J559" s="385"/>
      <c r="K559" s="385"/>
      <c r="L559" s="385"/>
      <c r="M559" s="385"/>
      <c r="N559" s="385"/>
      <c r="O559" s="385"/>
      <c r="P559" s="385"/>
      <c r="Q559" s="385"/>
      <c r="R559" s="385"/>
      <c r="S559" s="385"/>
      <c r="T559" s="385"/>
      <c r="U559" s="385"/>
      <c r="V559" s="385"/>
      <c r="W559" s="385"/>
      <c r="X559" s="385"/>
      <c r="Y559" s="385"/>
      <c r="Z559" s="385"/>
      <c r="AA559" s="385"/>
      <c r="AB559" s="385"/>
      <c r="AC559" s="385"/>
      <c r="AD559" s="385"/>
      <c r="AE559" s="385"/>
      <c r="AF559" s="385"/>
      <c r="AG559" s="385"/>
      <c r="AH559" s="385"/>
      <c r="AI559" s="385"/>
      <c r="AJ559" s="385"/>
      <c r="AK559" s="385"/>
      <c r="AL559" s="385"/>
      <c r="AM559" s="385"/>
      <c r="AN559" s="385"/>
      <c r="AO559" s="385"/>
      <c r="AP559" s="385"/>
      <c r="AQ559" s="385"/>
      <c r="AR559" s="385"/>
      <c r="AS559" s="385"/>
      <c r="AT559" s="385"/>
      <c r="AU559" s="385"/>
      <c r="AV559" s="385"/>
      <c r="AW559" s="385"/>
      <c r="AX559" s="385"/>
      <c r="AY559" s="385"/>
    </row>
    <row r="560" spans="1:51" ht="18">
      <c r="A560" s="385"/>
      <c r="B560" s="391" t="str">
        <f>Input!AR558</f>
        <v/>
      </c>
      <c r="C560" s="391">
        <f>DailyMet!N541</f>
        <v>1.6</v>
      </c>
      <c r="D560" s="392">
        <f>Input!AS558</f>
        <v>0</v>
      </c>
      <c r="E560" s="392">
        <f>Input!E558</f>
        <v>537</v>
      </c>
      <c r="F560" s="393">
        <f>Input!B558</f>
        <v>38523</v>
      </c>
      <c r="G560" s="503">
        <f t="shared" si="17"/>
        <v>0</v>
      </c>
      <c r="H560" s="354"/>
      <c r="I560" s="392">
        <f t="shared" si="18"/>
        <v>0</v>
      </c>
      <c r="J560" s="385"/>
      <c r="K560" s="385"/>
      <c r="L560" s="385"/>
      <c r="M560" s="385"/>
      <c r="N560" s="385"/>
      <c r="O560" s="385"/>
      <c r="P560" s="385"/>
      <c r="Q560" s="385"/>
      <c r="R560" s="385"/>
      <c r="S560" s="385"/>
      <c r="T560" s="385"/>
      <c r="U560" s="385"/>
      <c r="V560" s="385"/>
      <c r="W560" s="385"/>
      <c r="X560" s="385"/>
      <c r="Y560" s="385"/>
      <c r="Z560" s="385"/>
      <c r="AA560" s="385"/>
      <c r="AB560" s="385"/>
      <c r="AC560" s="385"/>
      <c r="AD560" s="385"/>
      <c r="AE560" s="385"/>
      <c r="AF560" s="385"/>
      <c r="AG560" s="385"/>
      <c r="AH560" s="385"/>
      <c r="AI560" s="385"/>
      <c r="AJ560" s="385"/>
      <c r="AK560" s="385"/>
      <c r="AL560" s="385"/>
      <c r="AM560" s="385"/>
      <c r="AN560" s="385"/>
      <c r="AO560" s="385"/>
      <c r="AP560" s="385"/>
      <c r="AQ560" s="385"/>
      <c r="AR560" s="385"/>
      <c r="AS560" s="385"/>
      <c r="AT560" s="385"/>
      <c r="AU560" s="385"/>
      <c r="AV560" s="385"/>
      <c r="AW560" s="385"/>
      <c r="AX560" s="385"/>
      <c r="AY560" s="385"/>
    </row>
    <row r="561" spans="1:51" ht="18">
      <c r="A561" s="385"/>
      <c r="B561" s="391" t="str">
        <f>Input!AR559</f>
        <v/>
      </c>
      <c r="C561" s="391">
        <f>DailyMet!N542</f>
        <v>0</v>
      </c>
      <c r="D561" s="392">
        <f>Input!AS559</f>
        <v>0</v>
      </c>
      <c r="E561" s="392">
        <f>Input!E559</f>
        <v>538</v>
      </c>
      <c r="F561" s="393">
        <f>Input!B559</f>
        <v>38524</v>
      </c>
      <c r="G561" s="503">
        <f t="shared" si="17"/>
        <v>0</v>
      </c>
      <c r="H561" s="354"/>
      <c r="I561" s="392">
        <f t="shared" si="18"/>
        <v>0</v>
      </c>
      <c r="J561" s="385"/>
      <c r="K561" s="385"/>
      <c r="L561" s="385"/>
      <c r="M561" s="385"/>
      <c r="N561" s="385"/>
      <c r="O561" s="385"/>
      <c r="P561" s="385"/>
      <c r="Q561" s="385"/>
      <c r="R561" s="385"/>
      <c r="S561" s="385"/>
      <c r="T561" s="385"/>
      <c r="U561" s="385"/>
      <c r="V561" s="385"/>
      <c r="W561" s="385"/>
      <c r="X561" s="385"/>
      <c r="Y561" s="385"/>
      <c r="Z561" s="385"/>
      <c r="AA561" s="385"/>
      <c r="AB561" s="385"/>
      <c r="AC561" s="385"/>
      <c r="AD561" s="385"/>
      <c r="AE561" s="385"/>
      <c r="AF561" s="385"/>
      <c r="AG561" s="385"/>
      <c r="AH561" s="385"/>
      <c r="AI561" s="385"/>
      <c r="AJ561" s="385"/>
      <c r="AK561" s="385"/>
      <c r="AL561" s="385"/>
      <c r="AM561" s="385"/>
      <c r="AN561" s="385"/>
      <c r="AO561" s="385"/>
      <c r="AP561" s="385"/>
      <c r="AQ561" s="385"/>
      <c r="AR561" s="385"/>
      <c r="AS561" s="385"/>
      <c r="AT561" s="385"/>
      <c r="AU561" s="385"/>
      <c r="AV561" s="385"/>
      <c r="AW561" s="385"/>
      <c r="AX561" s="385"/>
      <c r="AY561" s="385"/>
    </row>
    <row r="562" spans="1:51" ht="18">
      <c r="A562" s="385"/>
      <c r="B562" s="391" t="str">
        <f>Input!AR560</f>
        <v/>
      </c>
      <c r="C562" s="391">
        <f>DailyMet!N543</f>
        <v>7</v>
      </c>
      <c r="D562" s="392">
        <f>Input!AS560</f>
        <v>0</v>
      </c>
      <c r="E562" s="392">
        <f>Input!E560</f>
        <v>539</v>
      </c>
      <c r="F562" s="393">
        <f>Input!B560</f>
        <v>38525</v>
      </c>
      <c r="G562" s="503">
        <f t="shared" si="17"/>
        <v>0</v>
      </c>
      <c r="H562" s="354"/>
      <c r="I562" s="392">
        <f t="shared" si="18"/>
        <v>0</v>
      </c>
      <c r="J562" s="385"/>
      <c r="K562" s="385"/>
      <c r="L562" s="385"/>
      <c r="M562" s="385"/>
      <c r="N562" s="385"/>
      <c r="O562" s="385"/>
      <c r="P562" s="385"/>
      <c r="Q562" s="385"/>
      <c r="R562" s="385"/>
      <c r="S562" s="385"/>
      <c r="T562" s="385"/>
      <c r="U562" s="385"/>
      <c r="V562" s="385"/>
      <c r="W562" s="385"/>
      <c r="X562" s="385"/>
      <c r="Y562" s="385"/>
      <c r="Z562" s="385"/>
      <c r="AA562" s="385"/>
      <c r="AB562" s="385"/>
      <c r="AC562" s="385"/>
      <c r="AD562" s="385"/>
      <c r="AE562" s="385"/>
      <c r="AF562" s="385"/>
      <c r="AG562" s="385"/>
      <c r="AH562" s="385"/>
      <c r="AI562" s="385"/>
      <c r="AJ562" s="385"/>
      <c r="AK562" s="385"/>
      <c r="AL562" s="385"/>
      <c r="AM562" s="385"/>
      <c r="AN562" s="385"/>
      <c r="AO562" s="385"/>
      <c r="AP562" s="385"/>
      <c r="AQ562" s="385"/>
      <c r="AR562" s="385"/>
      <c r="AS562" s="385"/>
      <c r="AT562" s="385"/>
      <c r="AU562" s="385"/>
      <c r="AV562" s="385"/>
      <c r="AW562" s="385"/>
      <c r="AX562" s="385"/>
      <c r="AY562" s="385"/>
    </row>
    <row r="563" spans="1:51" ht="18">
      <c r="A563" s="385"/>
      <c r="B563" s="391" t="str">
        <f>Input!AR561</f>
        <v/>
      </c>
      <c r="C563" s="391">
        <f>DailyMet!N544</f>
        <v>2.6</v>
      </c>
      <c r="D563" s="392">
        <f>Input!AS561</f>
        <v>0</v>
      </c>
      <c r="E563" s="392">
        <f>Input!E561</f>
        <v>540</v>
      </c>
      <c r="F563" s="393">
        <f>Input!B561</f>
        <v>38526</v>
      </c>
      <c r="G563" s="503">
        <f t="shared" ref="G563:G601" si="19">IF(B563="",0,IF(H563&lt;&gt;"",IF(G562+B563-H563-C563&lt;0,0,G562+B563-H563-C563),IF(G562+B563-C563&lt;0,0,G562+B563-C563)))</f>
        <v>0</v>
      </c>
      <c r="H563" s="354"/>
      <c r="I563" s="392">
        <f t="shared" si="18"/>
        <v>0</v>
      </c>
      <c r="J563" s="385"/>
      <c r="K563" s="385"/>
      <c r="L563" s="385"/>
      <c r="M563" s="385"/>
      <c r="N563" s="385"/>
      <c r="O563" s="385"/>
      <c r="P563" s="385"/>
      <c r="Q563" s="385"/>
      <c r="R563" s="385"/>
      <c r="S563" s="385"/>
      <c r="T563" s="385"/>
      <c r="U563" s="385"/>
      <c r="V563" s="385"/>
      <c r="W563" s="385"/>
      <c r="X563" s="385"/>
      <c r="Y563" s="385"/>
      <c r="Z563" s="385"/>
      <c r="AA563" s="385"/>
      <c r="AB563" s="385"/>
      <c r="AC563" s="385"/>
      <c r="AD563" s="385"/>
      <c r="AE563" s="385"/>
      <c r="AF563" s="385"/>
      <c r="AG563" s="385"/>
      <c r="AH563" s="385"/>
      <c r="AI563" s="385"/>
      <c r="AJ563" s="385"/>
      <c r="AK563" s="385"/>
      <c r="AL563" s="385"/>
      <c r="AM563" s="385"/>
      <c r="AN563" s="385"/>
      <c r="AO563" s="385"/>
      <c r="AP563" s="385"/>
      <c r="AQ563" s="385"/>
      <c r="AR563" s="385"/>
      <c r="AS563" s="385"/>
      <c r="AT563" s="385"/>
      <c r="AU563" s="385"/>
      <c r="AV563" s="385"/>
      <c r="AW563" s="385"/>
      <c r="AX563" s="385"/>
      <c r="AY563" s="385"/>
    </row>
    <row r="564" spans="1:51" ht="18">
      <c r="A564" s="385"/>
      <c r="B564" s="391" t="str">
        <f>Input!AR562</f>
        <v/>
      </c>
      <c r="C564" s="391">
        <f>DailyMet!N545</f>
        <v>0</v>
      </c>
      <c r="D564" s="392">
        <f>Input!AS562</f>
        <v>0</v>
      </c>
      <c r="E564" s="392">
        <f>Input!E562</f>
        <v>541</v>
      </c>
      <c r="F564" s="393">
        <f>Input!B562</f>
        <v>38527</v>
      </c>
      <c r="G564" s="503">
        <f t="shared" si="19"/>
        <v>0</v>
      </c>
      <c r="H564" s="354"/>
      <c r="I564" s="392">
        <f t="shared" si="18"/>
        <v>0</v>
      </c>
      <c r="J564" s="385"/>
      <c r="K564" s="385"/>
      <c r="L564" s="385"/>
      <c r="M564" s="385"/>
      <c r="N564" s="385"/>
      <c r="O564" s="385"/>
      <c r="P564" s="385"/>
      <c r="Q564" s="385"/>
      <c r="R564" s="385"/>
      <c r="S564" s="385"/>
      <c r="T564" s="385"/>
      <c r="U564" s="385"/>
      <c r="V564" s="385"/>
      <c r="W564" s="385"/>
      <c r="X564" s="385"/>
      <c r="Y564" s="385"/>
      <c r="Z564" s="385"/>
      <c r="AA564" s="385"/>
      <c r="AB564" s="385"/>
      <c r="AC564" s="385"/>
      <c r="AD564" s="385"/>
      <c r="AE564" s="385"/>
      <c r="AF564" s="385"/>
      <c r="AG564" s="385"/>
      <c r="AH564" s="385"/>
      <c r="AI564" s="385"/>
      <c r="AJ564" s="385"/>
      <c r="AK564" s="385"/>
      <c r="AL564" s="385"/>
      <c r="AM564" s="385"/>
      <c r="AN564" s="385"/>
      <c r="AO564" s="385"/>
      <c r="AP564" s="385"/>
      <c r="AQ564" s="385"/>
      <c r="AR564" s="385"/>
      <c r="AS564" s="385"/>
      <c r="AT564" s="385"/>
      <c r="AU564" s="385"/>
      <c r="AV564" s="385"/>
      <c r="AW564" s="385"/>
      <c r="AX564" s="385"/>
      <c r="AY564" s="385"/>
    </row>
    <row r="565" spans="1:51" ht="18">
      <c r="A565" s="385"/>
      <c r="B565" s="391" t="str">
        <f>Input!AR563</f>
        <v/>
      </c>
      <c r="C565" s="391">
        <f>DailyMet!N546</f>
        <v>0</v>
      </c>
      <c r="D565" s="392">
        <f>Input!AS563</f>
        <v>0</v>
      </c>
      <c r="E565" s="392">
        <f>Input!E563</f>
        <v>542</v>
      </c>
      <c r="F565" s="393">
        <f>Input!B563</f>
        <v>38528</v>
      </c>
      <c r="G565" s="503">
        <f t="shared" si="19"/>
        <v>0</v>
      </c>
      <c r="H565" s="354"/>
      <c r="I565" s="392">
        <f t="shared" si="18"/>
        <v>0</v>
      </c>
      <c r="J565" s="385"/>
      <c r="K565" s="385"/>
      <c r="L565" s="385"/>
      <c r="M565" s="385"/>
      <c r="N565" s="385"/>
      <c r="O565" s="385"/>
      <c r="P565" s="385"/>
      <c r="Q565" s="385"/>
      <c r="R565" s="385"/>
      <c r="S565" s="385"/>
      <c r="T565" s="385"/>
      <c r="U565" s="385"/>
      <c r="V565" s="385"/>
      <c r="W565" s="385"/>
      <c r="X565" s="385"/>
      <c r="Y565" s="385"/>
      <c r="Z565" s="385"/>
      <c r="AA565" s="385"/>
      <c r="AB565" s="385"/>
      <c r="AC565" s="385"/>
      <c r="AD565" s="385"/>
      <c r="AE565" s="385"/>
      <c r="AF565" s="385"/>
      <c r="AG565" s="385"/>
      <c r="AH565" s="385"/>
      <c r="AI565" s="385"/>
      <c r="AJ565" s="385"/>
      <c r="AK565" s="385"/>
      <c r="AL565" s="385"/>
      <c r="AM565" s="385"/>
      <c r="AN565" s="385"/>
      <c r="AO565" s="385"/>
      <c r="AP565" s="385"/>
      <c r="AQ565" s="385"/>
      <c r="AR565" s="385"/>
      <c r="AS565" s="385"/>
      <c r="AT565" s="385"/>
      <c r="AU565" s="385"/>
      <c r="AV565" s="385"/>
      <c r="AW565" s="385"/>
      <c r="AX565" s="385"/>
      <c r="AY565" s="385"/>
    </row>
    <row r="566" spans="1:51" ht="18">
      <c r="A566" s="385"/>
      <c r="B566" s="391" t="str">
        <f>Input!AR564</f>
        <v/>
      </c>
      <c r="C566" s="391">
        <f>DailyMet!N547</f>
        <v>0</v>
      </c>
      <c r="D566" s="392">
        <f>Input!AS564</f>
        <v>0</v>
      </c>
      <c r="E566" s="392">
        <f>Input!E564</f>
        <v>543</v>
      </c>
      <c r="F566" s="393">
        <f>Input!B564</f>
        <v>38529</v>
      </c>
      <c r="G566" s="503">
        <f t="shared" si="19"/>
        <v>0</v>
      </c>
      <c r="H566" s="354"/>
      <c r="I566" s="392">
        <f t="shared" si="18"/>
        <v>0</v>
      </c>
      <c r="J566" s="385"/>
      <c r="K566" s="385"/>
      <c r="L566" s="385"/>
      <c r="M566" s="385"/>
      <c r="N566" s="385"/>
      <c r="O566" s="385"/>
      <c r="P566" s="385"/>
      <c r="Q566" s="385"/>
      <c r="R566" s="385"/>
      <c r="S566" s="385"/>
      <c r="T566" s="385"/>
      <c r="U566" s="385"/>
      <c r="V566" s="385"/>
      <c r="W566" s="385"/>
      <c r="X566" s="385"/>
      <c r="Y566" s="385"/>
      <c r="Z566" s="385"/>
      <c r="AA566" s="385"/>
      <c r="AB566" s="385"/>
      <c r="AC566" s="385"/>
      <c r="AD566" s="385"/>
      <c r="AE566" s="385"/>
      <c r="AF566" s="385"/>
      <c r="AG566" s="385"/>
      <c r="AH566" s="385"/>
      <c r="AI566" s="385"/>
      <c r="AJ566" s="385"/>
      <c r="AK566" s="385"/>
      <c r="AL566" s="385"/>
      <c r="AM566" s="385"/>
      <c r="AN566" s="385"/>
      <c r="AO566" s="385"/>
      <c r="AP566" s="385"/>
      <c r="AQ566" s="385"/>
      <c r="AR566" s="385"/>
      <c r="AS566" s="385"/>
      <c r="AT566" s="385"/>
      <c r="AU566" s="385"/>
      <c r="AV566" s="385"/>
      <c r="AW566" s="385"/>
      <c r="AX566" s="385"/>
      <c r="AY566" s="385"/>
    </row>
    <row r="567" spans="1:51" ht="18">
      <c r="A567" s="385"/>
      <c r="B567" s="391" t="str">
        <f>Input!AR565</f>
        <v/>
      </c>
      <c r="C567" s="391">
        <f>DailyMet!N548</f>
        <v>18.600000000000001</v>
      </c>
      <c r="D567" s="392">
        <f>Input!AS565</f>
        <v>0</v>
      </c>
      <c r="E567" s="392">
        <f>Input!E565</f>
        <v>544</v>
      </c>
      <c r="F567" s="393">
        <f>Input!B565</f>
        <v>38530</v>
      </c>
      <c r="G567" s="503">
        <f t="shared" si="19"/>
        <v>0</v>
      </c>
      <c r="H567" s="354"/>
      <c r="I567" s="392">
        <f t="shared" si="18"/>
        <v>0</v>
      </c>
      <c r="J567" s="385"/>
      <c r="K567" s="385"/>
      <c r="L567" s="385"/>
      <c r="M567" s="385"/>
      <c r="N567" s="385"/>
      <c r="O567" s="385"/>
      <c r="P567" s="385"/>
      <c r="Q567" s="385"/>
      <c r="R567" s="385"/>
      <c r="S567" s="385"/>
      <c r="T567" s="385"/>
      <c r="U567" s="385"/>
      <c r="V567" s="385"/>
      <c r="W567" s="385"/>
      <c r="X567" s="385"/>
      <c r="Y567" s="385"/>
      <c r="Z567" s="385"/>
      <c r="AA567" s="385"/>
      <c r="AB567" s="385"/>
      <c r="AC567" s="385"/>
      <c r="AD567" s="385"/>
      <c r="AE567" s="385"/>
      <c r="AF567" s="385"/>
      <c r="AG567" s="385"/>
      <c r="AH567" s="385"/>
      <c r="AI567" s="385"/>
      <c r="AJ567" s="385"/>
      <c r="AK567" s="385"/>
      <c r="AL567" s="385"/>
      <c r="AM567" s="385"/>
      <c r="AN567" s="385"/>
      <c r="AO567" s="385"/>
      <c r="AP567" s="385"/>
      <c r="AQ567" s="385"/>
      <c r="AR567" s="385"/>
      <c r="AS567" s="385"/>
      <c r="AT567" s="385"/>
      <c r="AU567" s="385"/>
      <c r="AV567" s="385"/>
      <c r="AW567" s="385"/>
      <c r="AX567" s="385"/>
      <c r="AY567" s="385"/>
    </row>
    <row r="568" spans="1:51" ht="18">
      <c r="A568" s="385"/>
      <c r="B568" s="391" t="str">
        <f>Input!AR566</f>
        <v/>
      </c>
      <c r="C568" s="391">
        <f>DailyMet!N549</f>
        <v>0.2</v>
      </c>
      <c r="D568" s="392">
        <f>Input!AS566</f>
        <v>0</v>
      </c>
      <c r="E568" s="392">
        <f>Input!E566</f>
        <v>545</v>
      </c>
      <c r="F568" s="393">
        <f>Input!B566</f>
        <v>38531</v>
      </c>
      <c r="G568" s="503">
        <f t="shared" si="19"/>
        <v>0</v>
      </c>
      <c r="H568" s="354"/>
      <c r="I568" s="392">
        <f t="shared" si="18"/>
        <v>0</v>
      </c>
      <c r="J568" s="385"/>
      <c r="K568" s="385"/>
      <c r="L568" s="385"/>
      <c r="M568" s="385"/>
      <c r="N568" s="385"/>
      <c r="O568" s="385"/>
      <c r="P568" s="385"/>
      <c r="Q568" s="385"/>
      <c r="R568" s="385"/>
      <c r="S568" s="385"/>
      <c r="T568" s="385"/>
      <c r="U568" s="385"/>
      <c r="V568" s="385"/>
      <c r="W568" s="385"/>
      <c r="X568" s="385"/>
      <c r="Y568" s="385"/>
      <c r="Z568" s="385"/>
      <c r="AA568" s="385"/>
      <c r="AB568" s="385"/>
      <c r="AC568" s="385"/>
      <c r="AD568" s="385"/>
      <c r="AE568" s="385"/>
      <c r="AF568" s="385"/>
      <c r="AG568" s="385"/>
      <c r="AH568" s="385"/>
      <c r="AI568" s="385"/>
      <c r="AJ568" s="385"/>
      <c r="AK568" s="385"/>
      <c r="AL568" s="385"/>
      <c r="AM568" s="385"/>
      <c r="AN568" s="385"/>
      <c r="AO568" s="385"/>
      <c r="AP568" s="385"/>
      <c r="AQ568" s="385"/>
      <c r="AR568" s="385"/>
      <c r="AS568" s="385"/>
      <c r="AT568" s="385"/>
      <c r="AU568" s="385"/>
      <c r="AV568" s="385"/>
      <c r="AW568" s="385"/>
      <c r="AX568" s="385"/>
      <c r="AY568" s="385"/>
    </row>
    <row r="569" spans="1:51" ht="18">
      <c r="A569" s="385"/>
      <c r="B569" s="391" t="str">
        <f>Input!AR567</f>
        <v/>
      </c>
      <c r="C569" s="391">
        <f>DailyMet!N550</f>
        <v>0</v>
      </c>
      <c r="D569" s="392">
        <f>Input!AS567</f>
        <v>0</v>
      </c>
      <c r="E569" s="392">
        <f>Input!E567</f>
        <v>546</v>
      </c>
      <c r="F569" s="393">
        <f>Input!B567</f>
        <v>38532</v>
      </c>
      <c r="G569" s="503">
        <f t="shared" si="19"/>
        <v>0</v>
      </c>
      <c r="H569" s="354"/>
      <c r="I569" s="392">
        <f t="shared" si="18"/>
        <v>0</v>
      </c>
      <c r="J569" s="385"/>
      <c r="K569" s="385"/>
      <c r="L569" s="385"/>
      <c r="M569" s="385"/>
      <c r="N569" s="385"/>
      <c r="O569" s="385"/>
      <c r="P569" s="385"/>
      <c r="Q569" s="385"/>
      <c r="R569" s="385"/>
      <c r="S569" s="385"/>
      <c r="T569" s="385"/>
      <c r="U569" s="385"/>
      <c r="V569" s="385"/>
      <c r="W569" s="385"/>
      <c r="X569" s="385"/>
      <c r="Y569" s="385"/>
      <c r="Z569" s="385"/>
      <c r="AA569" s="385"/>
      <c r="AB569" s="385"/>
      <c r="AC569" s="385"/>
      <c r="AD569" s="385"/>
      <c r="AE569" s="385"/>
      <c r="AF569" s="385"/>
      <c r="AG569" s="385"/>
      <c r="AH569" s="385"/>
      <c r="AI569" s="385"/>
      <c r="AJ569" s="385"/>
      <c r="AK569" s="385"/>
      <c r="AL569" s="385"/>
      <c r="AM569" s="385"/>
      <c r="AN569" s="385"/>
      <c r="AO569" s="385"/>
      <c r="AP569" s="385"/>
      <c r="AQ569" s="385"/>
      <c r="AR569" s="385"/>
      <c r="AS569" s="385"/>
      <c r="AT569" s="385"/>
      <c r="AU569" s="385"/>
      <c r="AV569" s="385"/>
      <c r="AW569" s="385"/>
      <c r="AX569" s="385"/>
      <c r="AY569" s="385"/>
    </row>
    <row r="570" spans="1:51" ht="18">
      <c r="A570" s="385"/>
      <c r="B570" s="391" t="str">
        <f>Input!AR568</f>
        <v/>
      </c>
      <c r="C570" s="391">
        <f>DailyMet!N551</f>
        <v>0</v>
      </c>
      <c r="D570" s="392">
        <f>Input!AS568</f>
        <v>0</v>
      </c>
      <c r="E570" s="392">
        <f>Input!E568</f>
        <v>547</v>
      </c>
      <c r="F570" s="393">
        <f>Input!B568</f>
        <v>38533</v>
      </c>
      <c r="G570" s="503">
        <f t="shared" si="19"/>
        <v>0</v>
      </c>
      <c r="H570" s="354"/>
      <c r="I570" s="392">
        <f t="shared" si="18"/>
        <v>0</v>
      </c>
      <c r="J570" s="385"/>
      <c r="K570" s="385"/>
      <c r="L570" s="385"/>
      <c r="M570" s="385"/>
      <c r="N570" s="385"/>
      <c r="O570" s="385"/>
      <c r="P570" s="385"/>
      <c r="Q570" s="385"/>
      <c r="R570" s="385"/>
      <c r="S570" s="385"/>
      <c r="T570" s="385"/>
      <c r="U570" s="385"/>
      <c r="V570" s="385"/>
      <c r="W570" s="385"/>
      <c r="X570" s="385"/>
      <c r="Y570" s="385"/>
      <c r="Z570" s="385"/>
      <c r="AA570" s="385"/>
      <c r="AB570" s="385"/>
      <c r="AC570" s="385"/>
      <c r="AD570" s="385"/>
      <c r="AE570" s="385"/>
      <c r="AF570" s="385"/>
      <c r="AG570" s="385"/>
      <c r="AH570" s="385"/>
      <c r="AI570" s="385"/>
      <c r="AJ570" s="385"/>
      <c r="AK570" s="385"/>
      <c r="AL570" s="385"/>
      <c r="AM570" s="385"/>
      <c r="AN570" s="385"/>
      <c r="AO570" s="385"/>
      <c r="AP570" s="385"/>
      <c r="AQ570" s="385"/>
      <c r="AR570" s="385"/>
      <c r="AS570" s="385"/>
      <c r="AT570" s="385"/>
      <c r="AU570" s="385"/>
      <c r="AV570" s="385"/>
      <c r="AW570" s="385"/>
      <c r="AX570" s="385"/>
      <c r="AY570" s="385"/>
    </row>
    <row r="571" spans="1:51" ht="18">
      <c r="A571" s="385"/>
      <c r="B571" s="391" t="str">
        <f>Input!AR569</f>
        <v/>
      </c>
      <c r="C571" s="391">
        <f>DailyMet!N552</f>
        <v>0</v>
      </c>
      <c r="D571" s="392">
        <f>Input!AS569</f>
        <v>0</v>
      </c>
      <c r="E571" s="392">
        <f>Input!E569</f>
        <v>548</v>
      </c>
      <c r="F571" s="393">
        <f>Input!B569</f>
        <v>38534</v>
      </c>
      <c r="G571" s="503">
        <f t="shared" si="19"/>
        <v>0</v>
      </c>
      <c r="H571" s="354"/>
      <c r="I571" s="392">
        <f t="shared" si="18"/>
        <v>0</v>
      </c>
      <c r="J571" s="385"/>
      <c r="K571" s="385"/>
      <c r="L571" s="385"/>
      <c r="M571" s="385"/>
      <c r="N571" s="385"/>
      <c r="O571" s="385"/>
      <c r="P571" s="385"/>
      <c r="Q571" s="385"/>
      <c r="R571" s="385"/>
      <c r="S571" s="385"/>
      <c r="T571" s="385"/>
      <c r="U571" s="385"/>
      <c r="V571" s="385"/>
      <c r="W571" s="385"/>
      <c r="X571" s="385"/>
      <c r="Y571" s="385"/>
      <c r="Z571" s="385"/>
      <c r="AA571" s="385"/>
      <c r="AB571" s="385"/>
      <c r="AC571" s="385"/>
      <c r="AD571" s="385"/>
      <c r="AE571" s="385"/>
      <c r="AF571" s="385"/>
      <c r="AG571" s="385"/>
      <c r="AH571" s="385"/>
      <c r="AI571" s="385"/>
      <c r="AJ571" s="385"/>
      <c r="AK571" s="385"/>
      <c r="AL571" s="385"/>
      <c r="AM571" s="385"/>
      <c r="AN571" s="385"/>
      <c r="AO571" s="385"/>
      <c r="AP571" s="385"/>
      <c r="AQ571" s="385"/>
      <c r="AR571" s="385"/>
      <c r="AS571" s="385"/>
      <c r="AT571" s="385"/>
      <c r="AU571" s="385"/>
      <c r="AV571" s="385"/>
      <c r="AW571" s="385"/>
      <c r="AX571" s="385"/>
      <c r="AY571" s="385"/>
    </row>
    <row r="572" spans="1:51" ht="18">
      <c r="A572" s="385"/>
      <c r="B572" s="391" t="str">
        <f>Input!AR570</f>
        <v/>
      </c>
      <c r="C572" s="391">
        <f>DailyMet!N553</f>
        <v>0</v>
      </c>
      <c r="D572" s="392">
        <f>Input!AS570</f>
        <v>0</v>
      </c>
      <c r="E572" s="392">
        <f>Input!E570</f>
        <v>549</v>
      </c>
      <c r="F572" s="393">
        <f>Input!B570</f>
        <v>38535</v>
      </c>
      <c r="G572" s="503">
        <f t="shared" si="19"/>
        <v>0</v>
      </c>
      <c r="H572" s="354"/>
      <c r="I572" s="392">
        <f t="shared" si="18"/>
        <v>0</v>
      </c>
      <c r="J572" s="385"/>
      <c r="K572" s="385"/>
      <c r="L572" s="385"/>
      <c r="M572" s="385"/>
      <c r="N572" s="385"/>
      <c r="O572" s="385"/>
      <c r="P572" s="385"/>
      <c r="Q572" s="385"/>
      <c r="R572" s="385"/>
      <c r="S572" s="385"/>
      <c r="T572" s="385"/>
      <c r="U572" s="385"/>
      <c r="V572" s="385"/>
      <c r="W572" s="385"/>
      <c r="X572" s="385"/>
      <c r="Y572" s="385"/>
      <c r="Z572" s="385"/>
      <c r="AA572" s="385"/>
      <c r="AB572" s="385"/>
      <c r="AC572" s="385"/>
      <c r="AD572" s="385"/>
      <c r="AE572" s="385"/>
      <c r="AF572" s="385"/>
      <c r="AG572" s="385"/>
      <c r="AH572" s="385"/>
      <c r="AI572" s="385"/>
      <c r="AJ572" s="385"/>
      <c r="AK572" s="385"/>
      <c r="AL572" s="385"/>
      <c r="AM572" s="385"/>
      <c r="AN572" s="385"/>
      <c r="AO572" s="385"/>
      <c r="AP572" s="385"/>
      <c r="AQ572" s="385"/>
      <c r="AR572" s="385"/>
      <c r="AS572" s="385"/>
      <c r="AT572" s="385"/>
      <c r="AU572" s="385"/>
      <c r="AV572" s="385"/>
      <c r="AW572" s="385"/>
      <c r="AX572" s="385"/>
      <c r="AY572" s="385"/>
    </row>
    <row r="573" spans="1:51" ht="18">
      <c r="A573" s="385"/>
      <c r="B573" s="391" t="str">
        <f>Input!AR571</f>
        <v/>
      </c>
      <c r="C573" s="391">
        <f>DailyMet!N554</f>
        <v>7.8</v>
      </c>
      <c r="D573" s="392">
        <f>Input!AS571</f>
        <v>0</v>
      </c>
      <c r="E573" s="392">
        <f>Input!E571</f>
        <v>550</v>
      </c>
      <c r="F573" s="393">
        <f>Input!B571</f>
        <v>38536</v>
      </c>
      <c r="G573" s="503">
        <f t="shared" si="19"/>
        <v>0</v>
      </c>
      <c r="H573" s="354"/>
      <c r="I573" s="392">
        <f t="shared" si="18"/>
        <v>0</v>
      </c>
      <c r="J573" s="385"/>
      <c r="K573" s="385"/>
      <c r="L573" s="385"/>
      <c r="M573" s="385"/>
      <c r="N573" s="385"/>
      <c r="O573" s="385"/>
      <c r="P573" s="385"/>
      <c r="Q573" s="385"/>
      <c r="R573" s="385"/>
      <c r="S573" s="385"/>
      <c r="T573" s="385"/>
      <c r="U573" s="385"/>
      <c r="V573" s="385"/>
      <c r="W573" s="385"/>
      <c r="X573" s="385"/>
      <c r="Y573" s="385"/>
      <c r="Z573" s="385"/>
      <c r="AA573" s="385"/>
      <c r="AB573" s="385"/>
      <c r="AC573" s="385"/>
      <c r="AD573" s="385"/>
      <c r="AE573" s="385"/>
      <c r="AF573" s="385"/>
      <c r="AG573" s="385"/>
      <c r="AH573" s="385"/>
      <c r="AI573" s="385"/>
      <c r="AJ573" s="385"/>
      <c r="AK573" s="385"/>
      <c r="AL573" s="385"/>
      <c r="AM573" s="385"/>
      <c r="AN573" s="385"/>
      <c r="AO573" s="385"/>
      <c r="AP573" s="385"/>
      <c r="AQ573" s="385"/>
      <c r="AR573" s="385"/>
      <c r="AS573" s="385"/>
      <c r="AT573" s="385"/>
      <c r="AU573" s="385"/>
      <c r="AV573" s="385"/>
      <c r="AW573" s="385"/>
      <c r="AX573" s="385"/>
      <c r="AY573" s="385"/>
    </row>
    <row r="574" spans="1:51" ht="18">
      <c r="A574" s="385"/>
      <c r="B574" s="391" t="str">
        <f>Input!AR572</f>
        <v/>
      </c>
      <c r="C574" s="391">
        <f>DailyMet!N555</f>
        <v>0.6</v>
      </c>
      <c r="D574" s="392">
        <f>Input!AS572</f>
        <v>0</v>
      </c>
      <c r="E574" s="392">
        <f>Input!E572</f>
        <v>551</v>
      </c>
      <c r="F574" s="393">
        <f>Input!B572</f>
        <v>38537</v>
      </c>
      <c r="G574" s="503">
        <f t="shared" si="19"/>
        <v>0</v>
      </c>
      <c r="H574" s="354"/>
      <c r="I574" s="392">
        <f t="shared" si="18"/>
        <v>0</v>
      </c>
      <c r="J574" s="385"/>
      <c r="K574" s="385"/>
      <c r="L574" s="385"/>
      <c r="M574" s="385"/>
      <c r="N574" s="385"/>
      <c r="O574" s="385"/>
      <c r="P574" s="385"/>
      <c r="Q574" s="385"/>
      <c r="R574" s="385"/>
      <c r="S574" s="385"/>
      <c r="T574" s="385"/>
      <c r="U574" s="385"/>
      <c r="V574" s="385"/>
      <c r="W574" s="385"/>
      <c r="X574" s="385"/>
      <c r="Y574" s="385"/>
      <c r="Z574" s="385"/>
      <c r="AA574" s="385"/>
      <c r="AB574" s="385"/>
      <c r="AC574" s="385"/>
      <c r="AD574" s="385"/>
      <c r="AE574" s="385"/>
      <c r="AF574" s="385"/>
      <c r="AG574" s="385"/>
      <c r="AH574" s="385"/>
      <c r="AI574" s="385"/>
      <c r="AJ574" s="385"/>
      <c r="AK574" s="385"/>
      <c r="AL574" s="385"/>
      <c r="AM574" s="385"/>
      <c r="AN574" s="385"/>
      <c r="AO574" s="385"/>
      <c r="AP574" s="385"/>
      <c r="AQ574" s="385"/>
      <c r="AR574" s="385"/>
      <c r="AS574" s="385"/>
      <c r="AT574" s="385"/>
      <c r="AU574" s="385"/>
      <c r="AV574" s="385"/>
      <c r="AW574" s="385"/>
      <c r="AX574" s="385"/>
      <c r="AY574" s="385"/>
    </row>
    <row r="575" spans="1:51" ht="18">
      <c r="A575" s="385"/>
      <c r="B575" s="391" t="str">
        <f>Input!AR573</f>
        <v/>
      </c>
      <c r="C575" s="391">
        <f>DailyMet!N556</f>
        <v>1.6</v>
      </c>
      <c r="D575" s="392">
        <f>Input!AS573</f>
        <v>0</v>
      </c>
      <c r="E575" s="392">
        <f>Input!E573</f>
        <v>552</v>
      </c>
      <c r="F575" s="393">
        <f>Input!B573</f>
        <v>38538</v>
      </c>
      <c r="G575" s="503">
        <f t="shared" si="19"/>
        <v>0</v>
      </c>
      <c r="H575" s="354"/>
      <c r="I575" s="392">
        <f t="shared" si="18"/>
        <v>0</v>
      </c>
      <c r="J575" s="385"/>
      <c r="K575" s="385"/>
      <c r="L575" s="385"/>
      <c r="M575" s="385"/>
      <c r="N575" s="385"/>
      <c r="O575" s="385"/>
      <c r="P575" s="385"/>
      <c r="Q575" s="385"/>
      <c r="R575" s="385"/>
      <c r="S575" s="385"/>
      <c r="T575" s="385"/>
      <c r="U575" s="385"/>
      <c r="V575" s="385"/>
      <c r="W575" s="385"/>
      <c r="X575" s="385"/>
      <c r="Y575" s="385"/>
      <c r="Z575" s="385"/>
      <c r="AA575" s="385"/>
      <c r="AB575" s="385"/>
      <c r="AC575" s="385"/>
      <c r="AD575" s="385"/>
      <c r="AE575" s="385"/>
      <c r="AF575" s="385"/>
      <c r="AG575" s="385"/>
      <c r="AH575" s="385"/>
      <c r="AI575" s="385"/>
      <c r="AJ575" s="385"/>
      <c r="AK575" s="385"/>
      <c r="AL575" s="385"/>
      <c r="AM575" s="385"/>
      <c r="AN575" s="385"/>
      <c r="AO575" s="385"/>
      <c r="AP575" s="385"/>
      <c r="AQ575" s="385"/>
      <c r="AR575" s="385"/>
      <c r="AS575" s="385"/>
      <c r="AT575" s="385"/>
      <c r="AU575" s="385"/>
      <c r="AV575" s="385"/>
      <c r="AW575" s="385"/>
      <c r="AX575" s="385"/>
      <c r="AY575" s="385"/>
    </row>
    <row r="576" spans="1:51" ht="18">
      <c r="A576" s="385"/>
      <c r="B576" s="391" t="str">
        <f>Input!AR574</f>
        <v/>
      </c>
      <c r="C576" s="391">
        <f>DailyMet!N557</f>
        <v>3</v>
      </c>
      <c r="D576" s="392">
        <f>Input!AS574</f>
        <v>0</v>
      </c>
      <c r="E576" s="392">
        <f>Input!E574</f>
        <v>553</v>
      </c>
      <c r="F576" s="393">
        <f>Input!B574</f>
        <v>38539</v>
      </c>
      <c r="G576" s="503">
        <f t="shared" si="19"/>
        <v>0</v>
      </c>
      <c r="H576" s="354"/>
      <c r="I576" s="392">
        <f t="shared" si="18"/>
        <v>0</v>
      </c>
      <c r="J576" s="385"/>
      <c r="K576" s="385"/>
      <c r="L576" s="385"/>
      <c r="M576" s="385"/>
      <c r="N576" s="385"/>
      <c r="O576" s="385"/>
      <c r="P576" s="385"/>
      <c r="Q576" s="385"/>
      <c r="R576" s="385"/>
      <c r="S576" s="385"/>
      <c r="T576" s="385"/>
      <c r="U576" s="385"/>
      <c r="V576" s="385"/>
      <c r="W576" s="385"/>
      <c r="X576" s="385"/>
      <c r="Y576" s="385"/>
      <c r="Z576" s="385"/>
      <c r="AA576" s="385"/>
      <c r="AB576" s="385"/>
      <c r="AC576" s="385"/>
      <c r="AD576" s="385"/>
      <c r="AE576" s="385"/>
      <c r="AF576" s="385"/>
      <c r="AG576" s="385"/>
      <c r="AH576" s="385"/>
      <c r="AI576" s="385"/>
      <c r="AJ576" s="385"/>
      <c r="AK576" s="385"/>
      <c r="AL576" s="385"/>
      <c r="AM576" s="385"/>
      <c r="AN576" s="385"/>
      <c r="AO576" s="385"/>
      <c r="AP576" s="385"/>
      <c r="AQ576" s="385"/>
      <c r="AR576" s="385"/>
      <c r="AS576" s="385"/>
      <c r="AT576" s="385"/>
      <c r="AU576" s="385"/>
      <c r="AV576" s="385"/>
      <c r="AW576" s="385"/>
      <c r="AX576" s="385"/>
      <c r="AY576" s="385"/>
    </row>
    <row r="577" spans="1:51" ht="18">
      <c r="A577" s="385"/>
      <c r="B577" s="391" t="str">
        <f>Input!AR575</f>
        <v/>
      </c>
      <c r="C577" s="391">
        <f>DailyMet!N558</f>
        <v>2.6</v>
      </c>
      <c r="D577" s="392">
        <f>Input!AS575</f>
        <v>0</v>
      </c>
      <c r="E577" s="392">
        <f>Input!E575</f>
        <v>554</v>
      </c>
      <c r="F577" s="393">
        <f>Input!B575</f>
        <v>38540</v>
      </c>
      <c r="G577" s="503">
        <f t="shared" si="19"/>
        <v>0</v>
      </c>
      <c r="H577" s="354"/>
      <c r="I577" s="392">
        <f t="shared" si="18"/>
        <v>0</v>
      </c>
      <c r="J577" s="385"/>
      <c r="K577" s="385"/>
      <c r="L577" s="385"/>
      <c r="M577" s="385"/>
      <c r="N577" s="385"/>
      <c r="O577" s="385"/>
      <c r="P577" s="385"/>
      <c r="Q577" s="385"/>
      <c r="R577" s="385"/>
      <c r="S577" s="385"/>
      <c r="T577" s="385"/>
      <c r="U577" s="385"/>
      <c r="V577" s="385"/>
      <c r="W577" s="385"/>
      <c r="X577" s="385"/>
      <c r="Y577" s="385"/>
      <c r="Z577" s="385"/>
      <c r="AA577" s="385"/>
      <c r="AB577" s="385"/>
      <c r="AC577" s="385"/>
      <c r="AD577" s="385"/>
      <c r="AE577" s="385"/>
      <c r="AF577" s="385"/>
      <c r="AG577" s="385"/>
      <c r="AH577" s="385"/>
      <c r="AI577" s="385"/>
      <c r="AJ577" s="385"/>
      <c r="AK577" s="385"/>
      <c r="AL577" s="385"/>
      <c r="AM577" s="385"/>
      <c r="AN577" s="385"/>
      <c r="AO577" s="385"/>
      <c r="AP577" s="385"/>
      <c r="AQ577" s="385"/>
      <c r="AR577" s="385"/>
      <c r="AS577" s="385"/>
      <c r="AT577" s="385"/>
      <c r="AU577" s="385"/>
      <c r="AV577" s="385"/>
      <c r="AW577" s="385"/>
      <c r="AX577" s="385"/>
      <c r="AY577" s="385"/>
    </row>
    <row r="578" spans="1:51" ht="18">
      <c r="A578" s="385"/>
      <c r="B578" s="391" t="str">
        <f>Input!AR576</f>
        <v/>
      </c>
      <c r="C578" s="391">
        <f>DailyMet!N559</f>
        <v>0.8</v>
      </c>
      <c r="D578" s="392">
        <f>Input!AS576</f>
        <v>0</v>
      </c>
      <c r="E578" s="392">
        <f>Input!E576</f>
        <v>555</v>
      </c>
      <c r="F578" s="393">
        <f>Input!B576</f>
        <v>38541</v>
      </c>
      <c r="G578" s="503">
        <f t="shared" si="19"/>
        <v>0</v>
      </c>
      <c r="H578" s="354"/>
      <c r="I578" s="392">
        <f t="shared" si="18"/>
        <v>0</v>
      </c>
      <c r="J578" s="385"/>
      <c r="K578" s="385"/>
      <c r="L578" s="385"/>
      <c r="M578" s="385"/>
      <c r="N578" s="385"/>
      <c r="O578" s="385"/>
      <c r="P578" s="385"/>
      <c r="Q578" s="385"/>
      <c r="R578" s="385"/>
      <c r="S578" s="385"/>
      <c r="T578" s="385"/>
      <c r="U578" s="385"/>
      <c r="V578" s="385"/>
      <c r="W578" s="385"/>
      <c r="X578" s="385"/>
      <c r="Y578" s="385"/>
      <c r="Z578" s="385"/>
      <c r="AA578" s="385"/>
      <c r="AB578" s="385"/>
      <c r="AC578" s="385"/>
      <c r="AD578" s="385"/>
      <c r="AE578" s="385"/>
      <c r="AF578" s="385"/>
      <c r="AG578" s="385"/>
      <c r="AH578" s="385"/>
      <c r="AI578" s="385"/>
      <c r="AJ578" s="385"/>
      <c r="AK578" s="385"/>
      <c r="AL578" s="385"/>
      <c r="AM578" s="385"/>
      <c r="AN578" s="385"/>
      <c r="AO578" s="385"/>
      <c r="AP578" s="385"/>
      <c r="AQ578" s="385"/>
      <c r="AR578" s="385"/>
      <c r="AS578" s="385"/>
      <c r="AT578" s="385"/>
      <c r="AU578" s="385"/>
      <c r="AV578" s="385"/>
      <c r="AW578" s="385"/>
      <c r="AX578" s="385"/>
      <c r="AY578" s="385"/>
    </row>
    <row r="579" spans="1:51" ht="18">
      <c r="A579" s="385"/>
      <c r="B579" s="391" t="str">
        <f>Input!AR577</f>
        <v/>
      </c>
      <c r="C579" s="391">
        <f>DailyMet!N560</f>
        <v>6.4</v>
      </c>
      <c r="D579" s="392">
        <f>Input!AS577</f>
        <v>0</v>
      </c>
      <c r="E579" s="392">
        <f>Input!E577</f>
        <v>556</v>
      </c>
      <c r="F579" s="393">
        <f>Input!B577</f>
        <v>38542</v>
      </c>
      <c r="G579" s="503">
        <f t="shared" si="19"/>
        <v>0</v>
      </c>
      <c r="H579" s="354"/>
      <c r="I579" s="392">
        <f t="shared" si="18"/>
        <v>0</v>
      </c>
      <c r="J579" s="385"/>
      <c r="K579" s="385"/>
      <c r="L579" s="385"/>
      <c r="M579" s="385"/>
      <c r="N579" s="385"/>
      <c r="O579" s="385"/>
      <c r="P579" s="385"/>
      <c r="Q579" s="385"/>
      <c r="R579" s="385"/>
      <c r="S579" s="385"/>
      <c r="T579" s="385"/>
      <c r="U579" s="385"/>
      <c r="V579" s="385"/>
      <c r="W579" s="385"/>
      <c r="X579" s="385"/>
      <c r="Y579" s="385"/>
      <c r="Z579" s="385"/>
      <c r="AA579" s="385"/>
      <c r="AB579" s="385"/>
      <c r="AC579" s="385"/>
      <c r="AD579" s="385"/>
      <c r="AE579" s="385"/>
      <c r="AF579" s="385"/>
      <c r="AG579" s="385"/>
      <c r="AH579" s="385"/>
      <c r="AI579" s="385"/>
      <c r="AJ579" s="385"/>
      <c r="AK579" s="385"/>
      <c r="AL579" s="385"/>
      <c r="AM579" s="385"/>
      <c r="AN579" s="385"/>
      <c r="AO579" s="385"/>
      <c r="AP579" s="385"/>
      <c r="AQ579" s="385"/>
      <c r="AR579" s="385"/>
      <c r="AS579" s="385"/>
      <c r="AT579" s="385"/>
      <c r="AU579" s="385"/>
      <c r="AV579" s="385"/>
      <c r="AW579" s="385"/>
      <c r="AX579" s="385"/>
      <c r="AY579" s="385"/>
    </row>
    <row r="580" spans="1:51" ht="18">
      <c r="A580" s="385"/>
      <c r="B580" s="391" t="str">
        <f>Input!AR578</f>
        <v/>
      </c>
      <c r="C580" s="391">
        <f>DailyMet!N561</f>
        <v>0.8</v>
      </c>
      <c r="D580" s="392">
        <f>Input!AS578</f>
        <v>0</v>
      </c>
      <c r="E580" s="392">
        <f>Input!E578</f>
        <v>557</v>
      </c>
      <c r="F580" s="393">
        <f>Input!B578</f>
        <v>38543</v>
      </c>
      <c r="G580" s="503">
        <f t="shared" si="19"/>
        <v>0</v>
      </c>
      <c r="H580" s="354"/>
      <c r="I580" s="392">
        <f t="shared" si="18"/>
        <v>0</v>
      </c>
      <c r="J580" s="385"/>
      <c r="K580" s="385"/>
      <c r="L580" s="385"/>
      <c r="M580" s="385"/>
      <c r="N580" s="385"/>
      <c r="O580" s="385"/>
      <c r="P580" s="385"/>
      <c r="Q580" s="385"/>
      <c r="R580" s="385"/>
      <c r="S580" s="385"/>
      <c r="T580" s="385"/>
      <c r="U580" s="385"/>
      <c r="V580" s="385"/>
      <c r="W580" s="385"/>
      <c r="X580" s="385"/>
      <c r="Y580" s="385"/>
      <c r="Z580" s="385"/>
      <c r="AA580" s="385"/>
      <c r="AB580" s="385"/>
      <c r="AC580" s="385"/>
      <c r="AD580" s="385"/>
      <c r="AE580" s="385"/>
      <c r="AF580" s="385"/>
      <c r="AG580" s="385"/>
      <c r="AH580" s="385"/>
      <c r="AI580" s="385"/>
      <c r="AJ580" s="385"/>
      <c r="AK580" s="385"/>
      <c r="AL580" s="385"/>
      <c r="AM580" s="385"/>
      <c r="AN580" s="385"/>
      <c r="AO580" s="385"/>
      <c r="AP580" s="385"/>
      <c r="AQ580" s="385"/>
      <c r="AR580" s="385"/>
      <c r="AS580" s="385"/>
      <c r="AT580" s="385"/>
      <c r="AU580" s="385"/>
      <c r="AV580" s="385"/>
      <c r="AW580" s="385"/>
      <c r="AX580" s="385"/>
      <c r="AY580" s="385"/>
    </row>
    <row r="581" spans="1:51" ht="18">
      <c r="A581" s="385"/>
      <c r="B581" s="391" t="str">
        <f>Input!AR579</f>
        <v/>
      </c>
      <c r="C581" s="391">
        <f>DailyMet!N562</f>
        <v>2.4</v>
      </c>
      <c r="D581" s="392">
        <f>Input!AS579</f>
        <v>0</v>
      </c>
      <c r="E581" s="392">
        <f>Input!E579</f>
        <v>558</v>
      </c>
      <c r="F581" s="393">
        <f>Input!B579</f>
        <v>38544</v>
      </c>
      <c r="G581" s="503">
        <f t="shared" si="19"/>
        <v>0</v>
      </c>
      <c r="H581" s="354"/>
      <c r="I581" s="392">
        <f t="shared" si="18"/>
        <v>0</v>
      </c>
      <c r="J581" s="385"/>
      <c r="K581" s="385"/>
      <c r="L581" s="385"/>
      <c r="M581" s="385"/>
      <c r="N581" s="385"/>
      <c r="O581" s="385"/>
      <c r="P581" s="385"/>
      <c r="Q581" s="385"/>
      <c r="R581" s="385"/>
      <c r="S581" s="385"/>
      <c r="T581" s="385"/>
      <c r="U581" s="385"/>
      <c r="V581" s="385"/>
      <c r="W581" s="385"/>
      <c r="X581" s="385"/>
      <c r="Y581" s="385"/>
      <c r="Z581" s="385"/>
      <c r="AA581" s="385"/>
      <c r="AB581" s="385"/>
      <c r="AC581" s="385"/>
      <c r="AD581" s="385"/>
      <c r="AE581" s="385"/>
      <c r="AF581" s="385"/>
      <c r="AG581" s="385"/>
      <c r="AH581" s="385"/>
      <c r="AI581" s="385"/>
      <c r="AJ581" s="385"/>
      <c r="AK581" s="385"/>
      <c r="AL581" s="385"/>
      <c r="AM581" s="385"/>
      <c r="AN581" s="385"/>
      <c r="AO581" s="385"/>
      <c r="AP581" s="385"/>
      <c r="AQ581" s="385"/>
      <c r="AR581" s="385"/>
      <c r="AS581" s="385"/>
      <c r="AT581" s="385"/>
      <c r="AU581" s="385"/>
      <c r="AV581" s="385"/>
      <c r="AW581" s="385"/>
      <c r="AX581" s="385"/>
      <c r="AY581" s="385"/>
    </row>
    <row r="582" spans="1:51" ht="18">
      <c r="A582" s="385"/>
      <c r="B582" s="391" t="str">
        <f>Input!AR580</f>
        <v/>
      </c>
      <c r="C582" s="391">
        <f>DailyMet!N563</f>
        <v>0.8</v>
      </c>
      <c r="D582" s="392">
        <f>Input!AS580</f>
        <v>0</v>
      </c>
      <c r="E582" s="392">
        <f>Input!E580</f>
        <v>559</v>
      </c>
      <c r="F582" s="393">
        <f>Input!B580</f>
        <v>38545</v>
      </c>
      <c r="G582" s="503">
        <f t="shared" si="19"/>
        <v>0</v>
      </c>
      <c r="H582" s="354"/>
      <c r="I582" s="392">
        <f t="shared" si="18"/>
        <v>0</v>
      </c>
      <c r="J582" s="385"/>
      <c r="K582" s="385"/>
      <c r="L582" s="385"/>
      <c r="M582" s="385"/>
      <c r="N582" s="385"/>
      <c r="O582" s="385"/>
      <c r="P582" s="385"/>
      <c r="Q582" s="385"/>
      <c r="R582" s="385"/>
      <c r="S582" s="385"/>
      <c r="T582" s="385"/>
      <c r="U582" s="385"/>
      <c r="V582" s="385"/>
      <c r="W582" s="385"/>
      <c r="X582" s="385"/>
      <c r="Y582" s="385"/>
      <c r="Z582" s="385"/>
      <c r="AA582" s="385"/>
      <c r="AB582" s="385"/>
      <c r="AC582" s="385"/>
      <c r="AD582" s="385"/>
      <c r="AE582" s="385"/>
      <c r="AF582" s="385"/>
      <c r="AG582" s="385"/>
      <c r="AH582" s="385"/>
      <c r="AI582" s="385"/>
      <c r="AJ582" s="385"/>
      <c r="AK582" s="385"/>
      <c r="AL582" s="385"/>
      <c r="AM582" s="385"/>
      <c r="AN582" s="385"/>
      <c r="AO582" s="385"/>
      <c r="AP582" s="385"/>
      <c r="AQ582" s="385"/>
      <c r="AR582" s="385"/>
      <c r="AS582" s="385"/>
      <c r="AT582" s="385"/>
      <c r="AU582" s="385"/>
      <c r="AV582" s="385"/>
      <c r="AW582" s="385"/>
      <c r="AX582" s="385"/>
      <c r="AY582" s="385"/>
    </row>
    <row r="583" spans="1:51" ht="18">
      <c r="A583" s="385"/>
      <c r="B583" s="391" t="str">
        <f>Input!AR581</f>
        <v/>
      </c>
      <c r="C583" s="391">
        <f>DailyMet!N564</f>
        <v>0</v>
      </c>
      <c r="D583" s="392">
        <f>Input!AS581</f>
        <v>0</v>
      </c>
      <c r="E583" s="392">
        <f>Input!E581</f>
        <v>560</v>
      </c>
      <c r="F583" s="393">
        <f>Input!B581</f>
        <v>38546</v>
      </c>
      <c r="G583" s="503">
        <f t="shared" si="19"/>
        <v>0</v>
      </c>
      <c r="H583" s="354"/>
      <c r="I583" s="392">
        <f t="shared" si="18"/>
        <v>0</v>
      </c>
      <c r="J583" s="385"/>
      <c r="K583" s="385"/>
      <c r="L583" s="385"/>
      <c r="M583" s="385"/>
      <c r="N583" s="385"/>
      <c r="O583" s="385"/>
      <c r="P583" s="385"/>
      <c r="Q583" s="385"/>
      <c r="R583" s="385"/>
      <c r="S583" s="385"/>
      <c r="T583" s="385"/>
      <c r="U583" s="385"/>
      <c r="V583" s="385"/>
      <c r="W583" s="385"/>
      <c r="X583" s="385"/>
      <c r="Y583" s="385"/>
      <c r="Z583" s="385"/>
      <c r="AA583" s="385"/>
      <c r="AB583" s="385"/>
      <c r="AC583" s="385"/>
      <c r="AD583" s="385"/>
      <c r="AE583" s="385"/>
      <c r="AF583" s="385"/>
      <c r="AG583" s="385"/>
      <c r="AH583" s="385"/>
      <c r="AI583" s="385"/>
      <c r="AJ583" s="385"/>
      <c r="AK583" s="385"/>
      <c r="AL583" s="385"/>
      <c r="AM583" s="385"/>
      <c r="AN583" s="385"/>
      <c r="AO583" s="385"/>
      <c r="AP583" s="385"/>
      <c r="AQ583" s="385"/>
      <c r="AR583" s="385"/>
      <c r="AS583" s="385"/>
      <c r="AT583" s="385"/>
      <c r="AU583" s="385"/>
      <c r="AV583" s="385"/>
      <c r="AW583" s="385"/>
      <c r="AX583" s="385"/>
      <c r="AY583" s="385"/>
    </row>
    <row r="584" spans="1:51" ht="18">
      <c r="A584" s="385"/>
      <c r="B584" s="391" t="str">
        <f>Input!AR582</f>
        <v/>
      </c>
      <c r="C584" s="391">
        <f>DailyMet!N565</f>
        <v>0</v>
      </c>
      <c r="D584" s="392">
        <f>Input!AS582</f>
        <v>0</v>
      </c>
      <c r="E584" s="392">
        <f>Input!E582</f>
        <v>561</v>
      </c>
      <c r="F584" s="393">
        <f>Input!B582</f>
        <v>38547</v>
      </c>
      <c r="G584" s="503">
        <f t="shared" si="19"/>
        <v>0</v>
      </c>
      <c r="H584" s="354"/>
      <c r="I584" s="392">
        <f t="shared" si="18"/>
        <v>0</v>
      </c>
      <c r="J584" s="385"/>
      <c r="K584" s="385"/>
      <c r="L584" s="385"/>
      <c r="M584" s="385"/>
      <c r="N584" s="385"/>
      <c r="O584" s="385"/>
      <c r="P584" s="385"/>
      <c r="Q584" s="385"/>
      <c r="R584" s="385"/>
      <c r="S584" s="385"/>
      <c r="T584" s="385"/>
      <c r="U584" s="385"/>
      <c r="V584" s="385"/>
      <c r="W584" s="385"/>
      <c r="X584" s="385"/>
      <c r="Y584" s="385"/>
      <c r="Z584" s="385"/>
      <c r="AA584" s="385"/>
      <c r="AB584" s="385"/>
      <c r="AC584" s="385"/>
      <c r="AD584" s="385"/>
      <c r="AE584" s="385"/>
      <c r="AF584" s="385"/>
      <c r="AG584" s="385"/>
      <c r="AH584" s="385"/>
      <c r="AI584" s="385"/>
      <c r="AJ584" s="385"/>
      <c r="AK584" s="385"/>
      <c r="AL584" s="385"/>
      <c r="AM584" s="385"/>
      <c r="AN584" s="385"/>
      <c r="AO584" s="385"/>
      <c r="AP584" s="385"/>
      <c r="AQ584" s="385"/>
      <c r="AR584" s="385"/>
      <c r="AS584" s="385"/>
      <c r="AT584" s="385"/>
      <c r="AU584" s="385"/>
      <c r="AV584" s="385"/>
      <c r="AW584" s="385"/>
      <c r="AX584" s="385"/>
      <c r="AY584" s="385"/>
    </row>
    <row r="585" spans="1:51" ht="18">
      <c r="A585" s="385"/>
      <c r="B585" s="391" t="str">
        <f>Input!AR583</f>
        <v/>
      </c>
      <c r="C585" s="391">
        <f>DailyMet!N566</f>
        <v>2.6</v>
      </c>
      <c r="D585" s="392">
        <f>Input!AS583</f>
        <v>0</v>
      </c>
      <c r="E585" s="392">
        <f>Input!E583</f>
        <v>562</v>
      </c>
      <c r="F585" s="393">
        <f>Input!B583</f>
        <v>38548</v>
      </c>
      <c r="G585" s="503">
        <f t="shared" si="19"/>
        <v>0</v>
      </c>
      <c r="H585" s="354"/>
      <c r="I585" s="392">
        <f t="shared" si="18"/>
        <v>0</v>
      </c>
      <c r="J585" s="385"/>
      <c r="K585" s="385"/>
      <c r="L585" s="385"/>
      <c r="M585" s="385"/>
      <c r="N585" s="385"/>
      <c r="O585" s="385"/>
      <c r="P585" s="385"/>
      <c r="Q585" s="385"/>
      <c r="R585" s="385"/>
      <c r="S585" s="385"/>
      <c r="T585" s="385"/>
      <c r="U585" s="385"/>
      <c r="V585" s="385"/>
      <c r="W585" s="385"/>
      <c r="X585" s="385"/>
      <c r="Y585" s="385"/>
      <c r="Z585" s="385"/>
      <c r="AA585" s="385"/>
      <c r="AB585" s="385"/>
      <c r="AC585" s="385"/>
      <c r="AD585" s="385"/>
      <c r="AE585" s="385"/>
      <c r="AF585" s="385"/>
      <c r="AG585" s="385"/>
      <c r="AH585" s="385"/>
      <c r="AI585" s="385"/>
      <c r="AJ585" s="385"/>
      <c r="AK585" s="385"/>
      <c r="AL585" s="385"/>
      <c r="AM585" s="385"/>
      <c r="AN585" s="385"/>
      <c r="AO585" s="385"/>
      <c r="AP585" s="385"/>
      <c r="AQ585" s="385"/>
      <c r="AR585" s="385"/>
      <c r="AS585" s="385"/>
      <c r="AT585" s="385"/>
      <c r="AU585" s="385"/>
      <c r="AV585" s="385"/>
      <c r="AW585" s="385"/>
      <c r="AX585" s="385"/>
      <c r="AY585" s="385"/>
    </row>
    <row r="586" spans="1:51" ht="18">
      <c r="A586" s="385"/>
      <c r="B586" s="391" t="str">
        <f>Input!AR584</f>
        <v/>
      </c>
      <c r="C586" s="391">
        <f>DailyMet!N567</f>
        <v>0</v>
      </c>
      <c r="D586" s="392">
        <f>Input!AS584</f>
        <v>0</v>
      </c>
      <c r="E586" s="392">
        <f>Input!E584</f>
        <v>563</v>
      </c>
      <c r="F586" s="393">
        <f>Input!B584</f>
        <v>38549</v>
      </c>
      <c r="G586" s="503">
        <f t="shared" si="19"/>
        <v>0</v>
      </c>
      <c r="H586" s="354"/>
      <c r="I586" s="392">
        <f t="shared" si="18"/>
        <v>0</v>
      </c>
      <c r="J586" s="385"/>
      <c r="K586" s="385"/>
      <c r="L586" s="385"/>
      <c r="M586" s="385"/>
      <c r="N586" s="385"/>
      <c r="O586" s="385"/>
      <c r="P586" s="385"/>
      <c r="Q586" s="385"/>
      <c r="R586" s="385"/>
      <c r="S586" s="385"/>
      <c r="T586" s="385"/>
      <c r="U586" s="385"/>
      <c r="V586" s="385"/>
      <c r="W586" s="385"/>
      <c r="X586" s="385"/>
      <c r="Y586" s="385"/>
      <c r="Z586" s="385"/>
      <c r="AA586" s="385"/>
      <c r="AB586" s="385"/>
      <c r="AC586" s="385"/>
      <c r="AD586" s="385"/>
      <c r="AE586" s="385"/>
      <c r="AF586" s="385"/>
      <c r="AG586" s="385"/>
      <c r="AH586" s="385"/>
      <c r="AI586" s="385"/>
      <c r="AJ586" s="385"/>
      <c r="AK586" s="385"/>
      <c r="AL586" s="385"/>
      <c r="AM586" s="385"/>
      <c r="AN586" s="385"/>
      <c r="AO586" s="385"/>
      <c r="AP586" s="385"/>
      <c r="AQ586" s="385"/>
      <c r="AR586" s="385"/>
      <c r="AS586" s="385"/>
      <c r="AT586" s="385"/>
      <c r="AU586" s="385"/>
      <c r="AV586" s="385"/>
      <c r="AW586" s="385"/>
      <c r="AX586" s="385"/>
      <c r="AY586" s="385"/>
    </row>
    <row r="587" spans="1:51" ht="18">
      <c r="A587" s="385"/>
      <c r="B587" s="391" t="str">
        <f>Input!AR585</f>
        <v/>
      </c>
      <c r="C587" s="391">
        <f>DailyMet!N568</f>
        <v>0</v>
      </c>
      <c r="D587" s="392">
        <f>Input!AS585</f>
        <v>0</v>
      </c>
      <c r="E587" s="392">
        <f>Input!E585</f>
        <v>564</v>
      </c>
      <c r="F587" s="393">
        <f>Input!B585</f>
        <v>38550</v>
      </c>
      <c r="G587" s="503">
        <f t="shared" si="19"/>
        <v>0</v>
      </c>
      <c r="H587" s="354"/>
      <c r="I587" s="392">
        <f t="shared" si="18"/>
        <v>0</v>
      </c>
      <c r="J587" s="385"/>
      <c r="K587" s="385"/>
      <c r="L587" s="385"/>
      <c r="M587" s="385"/>
      <c r="N587" s="385"/>
      <c r="O587" s="385"/>
      <c r="P587" s="385"/>
      <c r="Q587" s="385"/>
      <c r="R587" s="385"/>
      <c r="S587" s="385"/>
      <c r="T587" s="385"/>
      <c r="U587" s="385"/>
      <c r="V587" s="385"/>
      <c r="W587" s="385"/>
      <c r="X587" s="385"/>
      <c r="Y587" s="385"/>
      <c r="Z587" s="385"/>
      <c r="AA587" s="385"/>
      <c r="AB587" s="385"/>
      <c r="AC587" s="385"/>
      <c r="AD587" s="385"/>
      <c r="AE587" s="385"/>
      <c r="AF587" s="385"/>
      <c r="AG587" s="385"/>
      <c r="AH587" s="385"/>
      <c r="AI587" s="385"/>
      <c r="AJ587" s="385"/>
      <c r="AK587" s="385"/>
      <c r="AL587" s="385"/>
      <c r="AM587" s="385"/>
      <c r="AN587" s="385"/>
      <c r="AO587" s="385"/>
      <c r="AP587" s="385"/>
      <c r="AQ587" s="385"/>
      <c r="AR587" s="385"/>
      <c r="AS587" s="385"/>
      <c r="AT587" s="385"/>
      <c r="AU587" s="385"/>
      <c r="AV587" s="385"/>
      <c r="AW587" s="385"/>
      <c r="AX587" s="385"/>
      <c r="AY587" s="385"/>
    </row>
    <row r="588" spans="1:51" ht="18">
      <c r="A588" s="385"/>
      <c r="B588" s="391" t="str">
        <f>Input!AR586</f>
        <v/>
      </c>
      <c r="C588" s="391">
        <f>DailyMet!N569</f>
        <v>0</v>
      </c>
      <c r="D588" s="392">
        <f>Input!AS586</f>
        <v>0</v>
      </c>
      <c r="E588" s="392">
        <f>Input!E586</f>
        <v>565</v>
      </c>
      <c r="F588" s="393">
        <f>Input!B586</f>
        <v>38551</v>
      </c>
      <c r="G588" s="503">
        <f t="shared" si="19"/>
        <v>0</v>
      </c>
      <c r="H588" s="354"/>
      <c r="I588" s="392">
        <f t="shared" si="18"/>
        <v>0</v>
      </c>
      <c r="J588" s="385"/>
      <c r="K588" s="385"/>
      <c r="L588" s="385"/>
      <c r="M588" s="385"/>
      <c r="N588" s="385"/>
      <c r="O588" s="385"/>
      <c r="P588" s="385"/>
      <c r="Q588" s="385"/>
      <c r="R588" s="385"/>
      <c r="S588" s="385"/>
      <c r="T588" s="385"/>
      <c r="U588" s="385"/>
      <c r="V588" s="385"/>
      <c r="W588" s="385"/>
      <c r="X588" s="385"/>
      <c r="Y588" s="385"/>
      <c r="Z588" s="385"/>
      <c r="AA588" s="385"/>
      <c r="AB588" s="385"/>
      <c r="AC588" s="385"/>
      <c r="AD588" s="385"/>
      <c r="AE588" s="385"/>
      <c r="AF588" s="385"/>
      <c r="AG588" s="385"/>
      <c r="AH588" s="385"/>
      <c r="AI588" s="385"/>
      <c r="AJ588" s="385"/>
      <c r="AK588" s="385"/>
      <c r="AL588" s="385"/>
      <c r="AM588" s="385"/>
      <c r="AN588" s="385"/>
      <c r="AO588" s="385"/>
      <c r="AP588" s="385"/>
      <c r="AQ588" s="385"/>
      <c r="AR588" s="385"/>
      <c r="AS588" s="385"/>
      <c r="AT588" s="385"/>
      <c r="AU588" s="385"/>
      <c r="AV588" s="385"/>
      <c r="AW588" s="385"/>
      <c r="AX588" s="385"/>
      <c r="AY588" s="385"/>
    </row>
    <row r="589" spans="1:51" ht="18">
      <c r="A589" s="385"/>
      <c r="B589" s="391" t="str">
        <f>Input!AR587</f>
        <v/>
      </c>
      <c r="C589" s="391">
        <f>DailyMet!N570</f>
        <v>0</v>
      </c>
      <c r="D589" s="392">
        <f>Input!AS587</f>
        <v>0</v>
      </c>
      <c r="E589" s="392">
        <f>Input!E587</f>
        <v>566</v>
      </c>
      <c r="F589" s="393">
        <f>Input!B587</f>
        <v>38552</v>
      </c>
      <c r="G589" s="503">
        <f t="shared" si="19"/>
        <v>0</v>
      </c>
      <c r="H589" s="354"/>
      <c r="I589" s="392">
        <f t="shared" si="18"/>
        <v>0</v>
      </c>
      <c r="J589" s="385"/>
      <c r="K589" s="385"/>
      <c r="L589" s="385"/>
      <c r="M589" s="385"/>
      <c r="N589" s="385"/>
      <c r="O589" s="385"/>
      <c r="P589" s="385"/>
      <c r="Q589" s="385"/>
      <c r="R589" s="385"/>
      <c r="S589" s="385"/>
      <c r="T589" s="385"/>
      <c r="U589" s="385"/>
      <c r="V589" s="385"/>
      <c r="W589" s="385"/>
      <c r="X589" s="385"/>
      <c r="Y589" s="385"/>
      <c r="Z589" s="385"/>
      <c r="AA589" s="385"/>
      <c r="AB589" s="385"/>
      <c r="AC589" s="385"/>
      <c r="AD589" s="385"/>
      <c r="AE589" s="385"/>
      <c r="AF589" s="385"/>
      <c r="AG589" s="385"/>
      <c r="AH589" s="385"/>
      <c r="AI589" s="385"/>
      <c r="AJ589" s="385"/>
      <c r="AK589" s="385"/>
      <c r="AL589" s="385"/>
      <c r="AM589" s="385"/>
      <c r="AN589" s="385"/>
      <c r="AO589" s="385"/>
      <c r="AP589" s="385"/>
      <c r="AQ589" s="385"/>
      <c r="AR589" s="385"/>
      <c r="AS589" s="385"/>
      <c r="AT589" s="385"/>
      <c r="AU589" s="385"/>
      <c r="AV589" s="385"/>
      <c r="AW589" s="385"/>
      <c r="AX589" s="385"/>
      <c r="AY589" s="385"/>
    </row>
    <row r="590" spans="1:51" ht="18">
      <c r="A590" s="385"/>
      <c r="B590" s="391" t="str">
        <f>Input!AR588</f>
        <v/>
      </c>
      <c r="C590" s="391">
        <f>DailyMet!N571</f>
        <v>0</v>
      </c>
      <c r="D590" s="392">
        <f>Input!AS588</f>
        <v>0</v>
      </c>
      <c r="E590" s="392">
        <f>Input!E588</f>
        <v>567</v>
      </c>
      <c r="F590" s="393">
        <f>Input!B588</f>
        <v>38553</v>
      </c>
      <c r="G590" s="503">
        <f t="shared" si="19"/>
        <v>0</v>
      </c>
      <c r="H590" s="354"/>
      <c r="I590" s="392">
        <f t="shared" si="18"/>
        <v>0</v>
      </c>
      <c r="J590" s="385"/>
      <c r="K590" s="385"/>
      <c r="L590" s="385"/>
      <c r="M590" s="385"/>
      <c r="N590" s="385"/>
      <c r="O590" s="385"/>
      <c r="P590" s="385"/>
      <c r="Q590" s="385"/>
      <c r="R590" s="385"/>
      <c r="S590" s="385"/>
      <c r="T590" s="385"/>
      <c r="U590" s="385"/>
      <c r="V590" s="385"/>
      <c r="W590" s="385"/>
      <c r="X590" s="385"/>
      <c r="Y590" s="385"/>
      <c r="Z590" s="385"/>
      <c r="AA590" s="385"/>
      <c r="AB590" s="385"/>
      <c r="AC590" s="385"/>
      <c r="AD590" s="385"/>
      <c r="AE590" s="385"/>
      <c r="AF590" s="385"/>
      <c r="AG590" s="385"/>
      <c r="AH590" s="385"/>
      <c r="AI590" s="385"/>
      <c r="AJ590" s="385"/>
      <c r="AK590" s="385"/>
      <c r="AL590" s="385"/>
      <c r="AM590" s="385"/>
      <c r="AN590" s="385"/>
      <c r="AO590" s="385"/>
      <c r="AP590" s="385"/>
      <c r="AQ590" s="385"/>
      <c r="AR590" s="385"/>
      <c r="AS590" s="385"/>
      <c r="AT590" s="385"/>
      <c r="AU590" s="385"/>
      <c r="AV590" s="385"/>
      <c r="AW590" s="385"/>
      <c r="AX590" s="385"/>
      <c r="AY590" s="385"/>
    </row>
    <row r="591" spans="1:51" ht="18">
      <c r="A591" s="385"/>
      <c r="B591" s="391" t="str">
        <f>Input!AR589</f>
        <v/>
      </c>
      <c r="C591" s="391">
        <f>DailyMet!N572</f>
        <v>0</v>
      </c>
      <c r="D591" s="392">
        <f>Input!AS589</f>
        <v>0</v>
      </c>
      <c r="E591" s="392">
        <f>Input!E589</f>
        <v>568</v>
      </c>
      <c r="F591" s="393">
        <f>Input!B589</f>
        <v>38554</v>
      </c>
      <c r="G591" s="503">
        <f t="shared" si="19"/>
        <v>0</v>
      </c>
      <c r="H591" s="354"/>
      <c r="I591" s="392">
        <f t="shared" si="18"/>
        <v>0</v>
      </c>
      <c r="J591" s="385"/>
      <c r="K591" s="385"/>
      <c r="L591" s="385"/>
      <c r="M591" s="385"/>
      <c r="N591" s="385"/>
      <c r="O591" s="385"/>
      <c r="P591" s="385"/>
      <c r="Q591" s="385"/>
      <c r="R591" s="385"/>
      <c r="S591" s="385"/>
      <c r="T591" s="385"/>
      <c r="U591" s="385"/>
      <c r="V591" s="385"/>
      <c r="W591" s="385"/>
      <c r="X591" s="385"/>
      <c r="Y591" s="385"/>
      <c r="Z591" s="385"/>
      <c r="AA591" s="385"/>
      <c r="AB591" s="385"/>
      <c r="AC591" s="385"/>
      <c r="AD591" s="385"/>
      <c r="AE591" s="385"/>
      <c r="AF591" s="385"/>
      <c r="AG591" s="385"/>
      <c r="AH591" s="385"/>
      <c r="AI591" s="385"/>
      <c r="AJ591" s="385"/>
      <c r="AK591" s="385"/>
      <c r="AL591" s="385"/>
      <c r="AM591" s="385"/>
      <c r="AN591" s="385"/>
      <c r="AO591" s="385"/>
      <c r="AP591" s="385"/>
      <c r="AQ591" s="385"/>
      <c r="AR591" s="385"/>
      <c r="AS591" s="385"/>
      <c r="AT591" s="385"/>
      <c r="AU591" s="385"/>
      <c r="AV591" s="385"/>
      <c r="AW591" s="385"/>
      <c r="AX591" s="385"/>
      <c r="AY591" s="385"/>
    </row>
    <row r="592" spans="1:51" ht="18">
      <c r="A592" s="385"/>
      <c r="B592" s="391" t="str">
        <f>Input!AR590</f>
        <v/>
      </c>
      <c r="C592" s="391">
        <f>DailyMet!N573</f>
        <v>0.2</v>
      </c>
      <c r="D592" s="392">
        <f>Input!AS590</f>
        <v>0</v>
      </c>
      <c r="E592" s="392">
        <f>Input!E590</f>
        <v>569</v>
      </c>
      <c r="F592" s="393">
        <f>Input!B590</f>
        <v>38555</v>
      </c>
      <c r="G592" s="503">
        <f t="shared" si="19"/>
        <v>0</v>
      </c>
      <c r="H592" s="354"/>
      <c r="I592" s="392">
        <f t="shared" si="18"/>
        <v>0</v>
      </c>
      <c r="J592" s="385"/>
      <c r="K592" s="385"/>
      <c r="L592" s="385"/>
      <c r="M592" s="385"/>
      <c r="N592" s="385"/>
      <c r="O592" s="385"/>
      <c r="P592" s="385"/>
      <c r="Q592" s="385"/>
      <c r="R592" s="385"/>
      <c r="S592" s="385"/>
      <c r="T592" s="385"/>
      <c r="U592" s="385"/>
      <c r="V592" s="385"/>
      <c r="W592" s="385"/>
      <c r="X592" s="385"/>
      <c r="Y592" s="385"/>
      <c r="Z592" s="385"/>
      <c r="AA592" s="385"/>
      <c r="AB592" s="385"/>
      <c r="AC592" s="385"/>
      <c r="AD592" s="385"/>
      <c r="AE592" s="385"/>
      <c r="AF592" s="385"/>
      <c r="AG592" s="385"/>
      <c r="AH592" s="385"/>
      <c r="AI592" s="385"/>
      <c r="AJ592" s="385"/>
      <c r="AK592" s="385"/>
      <c r="AL592" s="385"/>
      <c r="AM592" s="385"/>
      <c r="AN592" s="385"/>
      <c r="AO592" s="385"/>
      <c r="AP592" s="385"/>
      <c r="AQ592" s="385"/>
      <c r="AR592" s="385"/>
      <c r="AS592" s="385"/>
      <c r="AT592" s="385"/>
      <c r="AU592" s="385"/>
      <c r="AV592" s="385"/>
      <c r="AW592" s="385"/>
      <c r="AX592" s="385"/>
      <c r="AY592" s="385"/>
    </row>
    <row r="593" spans="1:51" ht="18">
      <c r="A593" s="385"/>
      <c r="B593" s="391" t="str">
        <f>Input!AR591</f>
        <v/>
      </c>
      <c r="C593" s="391">
        <f>DailyMet!N574</f>
        <v>0</v>
      </c>
      <c r="D593" s="392">
        <f>Input!AS591</f>
        <v>0</v>
      </c>
      <c r="E593" s="392">
        <f>Input!E591</f>
        <v>570</v>
      </c>
      <c r="F593" s="393">
        <f>Input!B591</f>
        <v>38556</v>
      </c>
      <c r="G593" s="503">
        <f t="shared" si="19"/>
        <v>0</v>
      </c>
      <c r="H593" s="354"/>
      <c r="I593" s="392">
        <f t="shared" si="18"/>
        <v>0</v>
      </c>
      <c r="J593" s="385"/>
      <c r="K593" s="385"/>
      <c r="L593" s="385"/>
      <c r="M593" s="385"/>
      <c r="N593" s="385"/>
      <c r="O593" s="385"/>
      <c r="P593" s="385"/>
      <c r="Q593" s="385"/>
      <c r="R593" s="385"/>
      <c r="S593" s="385"/>
      <c r="T593" s="385"/>
      <c r="U593" s="385"/>
      <c r="V593" s="385"/>
      <c r="W593" s="385"/>
      <c r="X593" s="385"/>
      <c r="Y593" s="385"/>
      <c r="Z593" s="385"/>
      <c r="AA593" s="385"/>
      <c r="AB593" s="385"/>
      <c r="AC593" s="385"/>
      <c r="AD593" s="385"/>
      <c r="AE593" s="385"/>
      <c r="AF593" s="385"/>
      <c r="AG593" s="385"/>
      <c r="AH593" s="385"/>
      <c r="AI593" s="385"/>
      <c r="AJ593" s="385"/>
      <c r="AK593" s="385"/>
      <c r="AL593" s="385"/>
      <c r="AM593" s="385"/>
      <c r="AN593" s="385"/>
      <c r="AO593" s="385"/>
      <c r="AP593" s="385"/>
      <c r="AQ593" s="385"/>
      <c r="AR593" s="385"/>
      <c r="AS593" s="385"/>
      <c r="AT593" s="385"/>
      <c r="AU593" s="385"/>
      <c r="AV593" s="385"/>
      <c r="AW593" s="385"/>
      <c r="AX593" s="385"/>
      <c r="AY593" s="385"/>
    </row>
    <row r="594" spans="1:51" ht="18">
      <c r="A594" s="385"/>
      <c r="B594" s="391" t="str">
        <f>Input!AR592</f>
        <v/>
      </c>
      <c r="C594" s="391">
        <f>DailyMet!N575</f>
        <v>0</v>
      </c>
      <c r="D594" s="392">
        <f>Input!AS592</f>
        <v>0</v>
      </c>
      <c r="E594" s="392">
        <f>Input!E592</f>
        <v>571</v>
      </c>
      <c r="F594" s="393">
        <f>Input!B592</f>
        <v>38557</v>
      </c>
      <c r="G594" s="503">
        <f t="shared" si="19"/>
        <v>0</v>
      </c>
      <c r="H594" s="354"/>
      <c r="I594" s="392">
        <f t="shared" si="18"/>
        <v>0</v>
      </c>
      <c r="J594" s="385"/>
      <c r="K594" s="385"/>
      <c r="L594" s="385"/>
      <c r="M594" s="385"/>
      <c r="N594" s="385"/>
      <c r="O594" s="385"/>
      <c r="P594" s="385"/>
      <c r="Q594" s="385"/>
      <c r="R594" s="385"/>
      <c r="S594" s="385"/>
      <c r="T594" s="385"/>
      <c r="U594" s="385"/>
      <c r="V594" s="385"/>
      <c r="W594" s="385"/>
      <c r="X594" s="385"/>
      <c r="Y594" s="385"/>
      <c r="Z594" s="385"/>
      <c r="AA594" s="385"/>
      <c r="AB594" s="385"/>
      <c r="AC594" s="385"/>
      <c r="AD594" s="385"/>
      <c r="AE594" s="385"/>
      <c r="AF594" s="385"/>
      <c r="AG594" s="385"/>
      <c r="AH594" s="385"/>
      <c r="AI594" s="385"/>
      <c r="AJ594" s="385"/>
      <c r="AK594" s="385"/>
      <c r="AL594" s="385"/>
      <c r="AM594" s="385"/>
      <c r="AN594" s="385"/>
      <c r="AO594" s="385"/>
      <c r="AP594" s="385"/>
      <c r="AQ594" s="385"/>
      <c r="AR594" s="385"/>
      <c r="AS594" s="385"/>
      <c r="AT594" s="385"/>
      <c r="AU594" s="385"/>
      <c r="AV594" s="385"/>
      <c r="AW594" s="385"/>
      <c r="AX594" s="385"/>
      <c r="AY594" s="385"/>
    </row>
    <row r="595" spans="1:51" ht="18">
      <c r="A595" s="385"/>
      <c r="B595" s="391" t="str">
        <f>Input!AR593</f>
        <v/>
      </c>
      <c r="C595" s="391">
        <f>DailyMet!N576</f>
        <v>0</v>
      </c>
      <c r="D595" s="392">
        <f>Input!AS593</f>
        <v>0</v>
      </c>
      <c r="E595" s="392">
        <f>Input!E593</f>
        <v>572</v>
      </c>
      <c r="F595" s="393">
        <f>Input!B593</f>
        <v>38558</v>
      </c>
      <c r="G595" s="503">
        <f t="shared" si="19"/>
        <v>0</v>
      </c>
      <c r="H595" s="354"/>
      <c r="I595" s="392">
        <f t="shared" si="18"/>
        <v>0</v>
      </c>
      <c r="J595" s="385"/>
      <c r="K595" s="385"/>
      <c r="L595" s="385"/>
      <c r="M595" s="385"/>
      <c r="N595" s="385"/>
      <c r="O595" s="385"/>
      <c r="P595" s="385"/>
      <c r="Q595" s="385"/>
      <c r="R595" s="385"/>
      <c r="S595" s="385"/>
      <c r="T595" s="385"/>
      <c r="U595" s="385"/>
      <c r="V595" s="385"/>
      <c r="W595" s="385"/>
      <c r="X595" s="385"/>
      <c r="Y595" s="385"/>
      <c r="Z595" s="385"/>
      <c r="AA595" s="385"/>
      <c r="AB595" s="385"/>
      <c r="AC595" s="385"/>
      <c r="AD595" s="385"/>
      <c r="AE595" s="385"/>
      <c r="AF595" s="385"/>
      <c r="AG595" s="385"/>
      <c r="AH595" s="385"/>
      <c r="AI595" s="385"/>
      <c r="AJ595" s="385"/>
      <c r="AK595" s="385"/>
      <c r="AL595" s="385"/>
      <c r="AM595" s="385"/>
      <c r="AN595" s="385"/>
      <c r="AO595" s="385"/>
      <c r="AP595" s="385"/>
      <c r="AQ595" s="385"/>
      <c r="AR595" s="385"/>
      <c r="AS595" s="385"/>
      <c r="AT595" s="385"/>
      <c r="AU595" s="385"/>
      <c r="AV595" s="385"/>
      <c r="AW595" s="385"/>
      <c r="AX595" s="385"/>
      <c r="AY595" s="385"/>
    </row>
    <row r="596" spans="1:51" ht="18">
      <c r="A596" s="385"/>
      <c r="B596" s="391" t="str">
        <f>Input!AR594</f>
        <v/>
      </c>
      <c r="C596" s="391">
        <f>DailyMet!N577</f>
        <v>0</v>
      </c>
      <c r="D596" s="392">
        <f>Input!AS594</f>
        <v>0</v>
      </c>
      <c r="E596" s="392">
        <f>Input!E594</f>
        <v>573</v>
      </c>
      <c r="F596" s="393">
        <f>Input!B594</f>
        <v>38559</v>
      </c>
      <c r="G596" s="503">
        <f t="shared" si="19"/>
        <v>0</v>
      </c>
      <c r="H596" s="354"/>
      <c r="I596" s="392">
        <f t="shared" si="18"/>
        <v>0</v>
      </c>
      <c r="J596" s="385"/>
      <c r="K596" s="385"/>
      <c r="L596" s="385"/>
      <c r="M596" s="385"/>
      <c r="N596" s="385"/>
      <c r="O596" s="385"/>
      <c r="P596" s="385"/>
      <c r="Q596" s="385"/>
      <c r="R596" s="385"/>
      <c r="S596" s="385"/>
      <c r="T596" s="385"/>
      <c r="U596" s="385"/>
      <c r="V596" s="385"/>
      <c r="W596" s="385"/>
      <c r="X596" s="385"/>
      <c r="Y596" s="385"/>
      <c r="Z596" s="385"/>
      <c r="AA596" s="385"/>
      <c r="AB596" s="385"/>
      <c r="AC596" s="385"/>
      <c r="AD596" s="385"/>
      <c r="AE596" s="385"/>
      <c r="AF596" s="385"/>
      <c r="AG596" s="385"/>
      <c r="AH596" s="385"/>
      <c r="AI596" s="385"/>
      <c r="AJ596" s="385"/>
      <c r="AK596" s="385"/>
      <c r="AL596" s="385"/>
      <c r="AM596" s="385"/>
      <c r="AN596" s="385"/>
      <c r="AO596" s="385"/>
      <c r="AP596" s="385"/>
      <c r="AQ596" s="385"/>
      <c r="AR596" s="385"/>
      <c r="AS596" s="385"/>
      <c r="AT596" s="385"/>
      <c r="AU596" s="385"/>
      <c r="AV596" s="385"/>
      <c r="AW596" s="385"/>
      <c r="AX596" s="385"/>
      <c r="AY596" s="385"/>
    </row>
    <row r="597" spans="1:51" ht="18">
      <c r="A597" s="385"/>
      <c r="B597" s="391" t="str">
        <f>Input!AR595</f>
        <v/>
      </c>
      <c r="C597" s="391">
        <f>DailyMet!N578</f>
        <v>0</v>
      </c>
      <c r="D597" s="392">
        <f>Input!AS595</f>
        <v>0</v>
      </c>
      <c r="E597" s="392">
        <f>Input!E595</f>
        <v>574</v>
      </c>
      <c r="F597" s="393">
        <f>Input!B595</f>
        <v>38560</v>
      </c>
      <c r="G597" s="503">
        <f t="shared" si="19"/>
        <v>0</v>
      </c>
      <c r="H597" s="354"/>
      <c r="I597" s="392">
        <f t="shared" si="18"/>
        <v>0</v>
      </c>
      <c r="J597" s="385"/>
      <c r="K597" s="385"/>
      <c r="L597" s="385"/>
      <c r="M597" s="385"/>
      <c r="N597" s="385"/>
      <c r="O597" s="385"/>
      <c r="P597" s="385"/>
      <c r="Q597" s="385"/>
      <c r="R597" s="385"/>
      <c r="S597" s="385"/>
      <c r="T597" s="385"/>
      <c r="U597" s="385"/>
      <c r="V597" s="385"/>
      <c r="W597" s="385"/>
      <c r="X597" s="385"/>
      <c r="Y597" s="385"/>
      <c r="Z597" s="385"/>
      <c r="AA597" s="385"/>
      <c r="AB597" s="385"/>
      <c r="AC597" s="385"/>
      <c r="AD597" s="385"/>
      <c r="AE597" s="385"/>
      <c r="AF597" s="385"/>
      <c r="AG597" s="385"/>
      <c r="AH597" s="385"/>
      <c r="AI597" s="385"/>
      <c r="AJ597" s="385"/>
      <c r="AK597" s="385"/>
      <c r="AL597" s="385"/>
      <c r="AM597" s="385"/>
      <c r="AN597" s="385"/>
      <c r="AO597" s="385"/>
      <c r="AP597" s="385"/>
      <c r="AQ597" s="385"/>
      <c r="AR597" s="385"/>
      <c r="AS597" s="385"/>
      <c r="AT597" s="385"/>
      <c r="AU597" s="385"/>
      <c r="AV597" s="385"/>
      <c r="AW597" s="385"/>
      <c r="AX597" s="385"/>
      <c r="AY597" s="385"/>
    </row>
    <row r="598" spans="1:51" ht="18">
      <c r="A598" s="385"/>
      <c r="B598" s="391" t="str">
        <f>Input!AR596</f>
        <v/>
      </c>
      <c r="C598" s="391">
        <f>DailyMet!N579</f>
        <v>0</v>
      </c>
      <c r="D598" s="392">
        <f>Input!AS596</f>
        <v>0</v>
      </c>
      <c r="E598" s="392">
        <f>Input!E596</f>
        <v>575</v>
      </c>
      <c r="F598" s="393">
        <f>Input!B596</f>
        <v>38561</v>
      </c>
      <c r="G598" s="503">
        <f t="shared" si="19"/>
        <v>0</v>
      </c>
      <c r="H598" s="354"/>
      <c r="I598" s="392">
        <f t="shared" si="18"/>
        <v>0</v>
      </c>
      <c r="J598" s="385"/>
      <c r="K598" s="385"/>
      <c r="L598" s="385"/>
      <c r="M598" s="385"/>
      <c r="N598" s="385"/>
      <c r="O598" s="385"/>
      <c r="P598" s="385"/>
      <c r="Q598" s="385"/>
      <c r="R598" s="385"/>
      <c r="S598" s="385"/>
      <c r="T598" s="385"/>
      <c r="U598" s="385"/>
      <c r="V598" s="385"/>
      <c r="W598" s="385"/>
      <c r="X598" s="385"/>
      <c r="Y598" s="385"/>
      <c r="Z598" s="385"/>
      <c r="AA598" s="385"/>
      <c r="AB598" s="385"/>
      <c r="AC598" s="385"/>
      <c r="AD598" s="385"/>
      <c r="AE598" s="385"/>
      <c r="AF598" s="385"/>
      <c r="AG598" s="385"/>
      <c r="AH598" s="385"/>
      <c r="AI598" s="385"/>
      <c r="AJ598" s="385"/>
      <c r="AK598" s="385"/>
      <c r="AL598" s="385"/>
      <c r="AM598" s="385"/>
      <c r="AN598" s="385"/>
      <c r="AO598" s="385"/>
      <c r="AP598" s="385"/>
      <c r="AQ598" s="385"/>
      <c r="AR598" s="385"/>
      <c r="AS598" s="385"/>
      <c r="AT598" s="385"/>
      <c r="AU598" s="385"/>
      <c r="AV598" s="385"/>
      <c r="AW598" s="385"/>
      <c r="AX598" s="385"/>
      <c r="AY598" s="385"/>
    </row>
    <row r="599" spans="1:51" ht="18">
      <c r="A599" s="385"/>
      <c r="B599" s="391" t="str">
        <f>Input!AR597</f>
        <v/>
      </c>
      <c r="C599" s="391">
        <f>DailyMet!N580</f>
        <v>0.4</v>
      </c>
      <c r="D599" s="392">
        <f>Input!AS597</f>
        <v>0</v>
      </c>
      <c r="E599" s="392">
        <f>Input!E597</f>
        <v>576</v>
      </c>
      <c r="F599" s="393">
        <f>Input!B597</f>
        <v>38562</v>
      </c>
      <c r="G599" s="503">
        <f t="shared" si="19"/>
        <v>0</v>
      </c>
      <c r="H599" s="354"/>
      <c r="I599" s="392">
        <f t="shared" si="18"/>
        <v>0</v>
      </c>
      <c r="J599" s="385"/>
      <c r="K599" s="385"/>
      <c r="L599" s="385"/>
      <c r="M599" s="385"/>
      <c r="N599" s="385"/>
      <c r="O599" s="385"/>
      <c r="P599" s="385"/>
      <c r="Q599" s="385"/>
      <c r="R599" s="385"/>
      <c r="S599" s="385"/>
      <c r="T599" s="385"/>
      <c r="U599" s="385"/>
      <c r="V599" s="385"/>
      <c r="W599" s="385"/>
      <c r="X599" s="385"/>
      <c r="Y599" s="385"/>
      <c r="Z599" s="385"/>
      <c r="AA599" s="385"/>
      <c r="AB599" s="385"/>
      <c r="AC599" s="385"/>
      <c r="AD599" s="385"/>
      <c r="AE599" s="385"/>
      <c r="AF599" s="385"/>
      <c r="AG599" s="385"/>
      <c r="AH599" s="385"/>
      <c r="AI599" s="385"/>
      <c r="AJ599" s="385"/>
      <c r="AK599" s="385"/>
      <c r="AL599" s="385"/>
      <c r="AM599" s="385"/>
      <c r="AN599" s="385"/>
      <c r="AO599" s="385"/>
      <c r="AP599" s="385"/>
      <c r="AQ599" s="385"/>
      <c r="AR599" s="385"/>
      <c r="AS599" s="385"/>
      <c r="AT599" s="385"/>
      <c r="AU599" s="385"/>
      <c r="AV599" s="385"/>
      <c r="AW599" s="385"/>
      <c r="AX599" s="385"/>
      <c r="AY599" s="385"/>
    </row>
    <row r="600" spans="1:51" ht="18">
      <c r="A600" s="385"/>
      <c r="B600" s="391" t="str">
        <f>Input!AR598</f>
        <v/>
      </c>
      <c r="C600" s="391">
        <f>DailyMet!N581</f>
        <v>0</v>
      </c>
      <c r="D600" s="392">
        <f>Input!AS598</f>
        <v>0</v>
      </c>
      <c r="E600" s="392">
        <f>Input!E598</f>
        <v>577</v>
      </c>
      <c r="F600" s="393">
        <f>Input!B598</f>
        <v>38563</v>
      </c>
      <c r="G600" s="503">
        <f t="shared" si="19"/>
        <v>0</v>
      </c>
      <c r="H600" s="354"/>
      <c r="I600" s="392">
        <f t="shared" si="18"/>
        <v>0</v>
      </c>
      <c r="J600" s="385"/>
      <c r="K600" s="385"/>
      <c r="L600" s="385"/>
      <c r="M600" s="385"/>
      <c r="N600" s="385"/>
      <c r="O600" s="385"/>
      <c r="P600" s="385"/>
      <c r="Q600" s="385"/>
      <c r="R600" s="385"/>
      <c r="S600" s="385"/>
      <c r="T600" s="385"/>
      <c r="U600" s="385"/>
      <c r="V600" s="385"/>
      <c r="W600" s="385"/>
      <c r="X600" s="385"/>
      <c r="Y600" s="385"/>
      <c r="Z600" s="385"/>
      <c r="AA600" s="385"/>
      <c r="AB600" s="385"/>
      <c r="AC600" s="385"/>
      <c r="AD600" s="385"/>
      <c r="AE600" s="385"/>
      <c r="AF600" s="385"/>
      <c r="AG600" s="385"/>
      <c r="AH600" s="385"/>
      <c r="AI600" s="385"/>
      <c r="AJ600" s="385"/>
      <c r="AK600" s="385"/>
      <c r="AL600" s="385"/>
      <c r="AM600" s="385"/>
      <c r="AN600" s="385"/>
      <c r="AO600" s="385"/>
      <c r="AP600" s="385"/>
      <c r="AQ600" s="385"/>
      <c r="AR600" s="385"/>
      <c r="AS600" s="385"/>
      <c r="AT600" s="385"/>
      <c r="AU600" s="385"/>
      <c r="AV600" s="385"/>
      <c r="AW600" s="385"/>
      <c r="AX600" s="385"/>
      <c r="AY600" s="385"/>
    </row>
    <row r="601" spans="1:51" ht="18">
      <c r="A601" s="385"/>
      <c r="B601" s="391" t="str">
        <f>Input!AR599</f>
        <v/>
      </c>
      <c r="C601" s="391">
        <f>DailyMet!N582</f>
        <v>16.399999999999999</v>
      </c>
      <c r="D601" s="392">
        <f>Input!AS599</f>
        <v>0</v>
      </c>
      <c r="E601" s="392">
        <f>Input!E599</f>
        <v>578</v>
      </c>
      <c r="F601" s="393">
        <f>Input!B599</f>
        <v>38564</v>
      </c>
      <c r="G601" s="503">
        <f t="shared" si="19"/>
        <v>0</v>
      </c>
      <c r="H601" s="354"/>
      <c r="I601" s="392">
        <f t="shared" si="18"/>
        <v>0</v>
      </c>
      <c r="J601" s="385"/>
      <c r="K601" s="385"/>
      <c r="L601" s="385"/>
      <c r="M601" s="385"/>
      <c r="N601" s="385"/>
      <c r="O601" s="385"/>
      <c r="P601" s="385"/>
      <c r="Q601" s="385"/>
      <c r="R601" s="385"/>
      <c r="S601" s="385"/>
      <c r="T601" s="385"/>
      <c r="U601" s="385"/>
      <c r="V601" s="385"/>
      <c r="W601" s="385"/>
      <c r="X601" s="385"/>
      <c r="Y601" s="385"/>
      <c r="Z601" s="385"/>
      <c r="AA601" s="385"/>
      <c r="AB601" s="385"/>
      <c r="AC601" s="385"/>
      <c r="AD601" s="385"/>
      <c r="AE601" s="385"/>
      <c r="AF601" s="385"/>
      <c r="AG601" s="385"/>
      <c r="AH601" s="385"/>
      <c r="AI601" s="385"/>
      <c r="AJ601" s="385"/>
      <c r="AK601" s="385"/>
      <c r="AL601" s="385"/>
      <c r="AM601" s="385"/>
      <c r="AN601" s="385"/>
      <c r="AO601" s="385"/>
      <c r="AP601" s="385"/>
      <c r="AQ601" s="385"/>
      <c r="AR601" s="385"/>
      <c r="AS601" s="385"/>
      <c r="AT601" s="385"/>
      <c r="AU601" s="385"/>
      <c r="AV601" s="385"/>
      <c r="AW601" s="385"/>
      <c r="AX601" s="385"/>
      <c r="AY601" s="385"/>
    </row>
  </sheetData>
  <phoneticPr fontId="6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tabColor rgb="FFFF0000"/>
  </sheetPr>
  <dimension ref="A1:BP599"/>
  <sheetViews>
    <sheetView zoomScale="75" zoomScaleNormal="75" workbookViewId="0">
      <pane xSplit="2" ySplit="21" topLeftCell="C22" activePane="bottomRight" state="frozen"/>
      <selection pane="topRight" activeCell="C1" sqref="C1"/>
      <selection pane="bottomLeft" activeCell="A22" sqref="A22"/>
      <selection pane="bottomRight" activeCell="BO22" activeCellId="2" sqref="B22:B48 BK22:BK48 BO22:BO48"/>
    </sheetView>
  </sheetViews>
  <sheetFormatPr defaultColWidth="10.28515625" defaultRowHeight="14.25"/>
  <cols>
    <col min="1" max="1" width="12.28515625" style="174" customWidth="1"/>
    <col min="2" max="2" width="16.140625" style="174" customWidth="1"/>
    <col min="3" max="3" width="10.5703125" style="174" bestFit="1" customWidth="1"/>
    <col min="4" max="4" width="11.7109375" style="174" customWidth="1"/>
    <col min="5" max="5" width="10.5703125" style="174" bestFit="1" customWidth="1"/>
    <col min="6" max="7" width="10.5703125" style="174" customWidth="1"/>
    <col min="8" max="8" width="10.42578125" style="174" customWidth="1"/>
    <col min="9" max="9" width="11.28515625" style="174" bestFit="1" customWidth="1"/>
    <col min="10" max="10" width="12.28515625" style="174" bestFit="1" customWidth="1"/>
    <col min="11" max="11" width="11.28515625" style="174" bestFit="1" customWidth="1"/>
    <col min="12" max="12" width="12.42578125" style="174" bestFit="1" customWidth="1"/>
    <col min="13" max="13" width="11.28515625" style="174" customWidth="1"/>
    <col min="14" max="14" width="12.5703125" style="174" customWidth="1"/>
    <col min="15" max="15" width="12" style="174" customWidth="1"/>
    <col min="16" max="16" width="12.7109375" style="174" customWidth="1"/>
    <col min="17" max="17" width="10.5703125" style="174" bestFit="1" customWidth="1"/>
    <col min="18" max="18" width="10" style="174" customWidth="1"/>
    <col min="19" max="19" width="13" style="174" customWidth="1"/>
    <col min="20" max="20" width="10.42578125" style="174" bestFit="1" customWidth="1"/>
    <col min="21" max="21" width="11.28515625" style="174" customWidth="1"/>
    <col min="22" max="22" width="15.7109375" style="174" customWidth="1"/>
    <col min="23" max="24" width="8.85546875" style="174" customWidth="1"/>
    <col min="25" max="25" width="13.140625" style="174" customWidth="1"/>
    <col min="26" max="26" width="8.7109375" style="174" customWidth="1"/>
    <col min="27" max="27" width="13.28515625" style="174" customWidth="1"/>
    <col min="28" max="28" width="15.85546875" style="174" bestFit="1" customWidth="1"/>
    <col min="29" max="29" width="12" style="174" customWidth="1"/>
    <col min="30" max="30" width="16.28515625" style="174" bestFit="1" customWidth="1"/>
    <col min="31" max="31" width="14.140625" style="174" bestFit="1" customWidth="1"/>
    <col min="32" max="32" width="15.85546875" style="312" bestFit="1" customWidth="1"/>
    <col min="33" max="35" width="10.42578125" style="174" bestFit="1" customWidth="1"/>
    <col min="36" max="36" width="13.28515625" style="174" bestFit="1" customWidth="1"/>
    <col min="37" max="37" width="11.7109375" style="174" customWidth="1"/>
    <col min="38" max="38" width="12.28515625" style="174" customWidth="1"/>
    <col min="39" max="41" width="12.42578125" style="174" customWidth="1"/>
    <col min="42" max="43" width="10.42578125" style="174" bestFit="1" customWidth="1"/>
    <col min="44" max="44" width="7.7109375" style="174" bestFit="1" customWidth="1"/>
    <col min="45" max="45" width="8.7109375" style="174" bestFit="1" customWidth="1"/>
    <col min="46" max="46" width="5.7109375" style="174" bestFit="1" customWidth="1"/>
    <col min="47" max="47" width="7.85546875" style="174" bestFit="1" customWidth="1"/>
    <col min="48" max="48" width="8.7109375" style="174" bestFit="1" customWidth="1"/>
    <col min="49" max="49" width="7.42578125" style="174" customWidth="1"/>
    <col min="50" max="50" width="5.140625" style="174" bestFit="1" customWidth="1"/>
    <col min="51" max="52" width="8.7109375" style="174" bestFit="1" customWidth="1"/>
    <col min="53" max="59" width="10.42578125" style="174" bestFit="1" customWidth="1"/>
    <col min="60" max="61" width="12" style="174" bestFit="1" customWidth="1"/>
    <col min="62" max="63" width="11.140625" style="174" bestFit="1" customWidth="1"/>
    <col min="64" max="67" width="8.5703125" style="174" bestFit="1" customWidth="1"/>
    <col min="68" max="16384" width="10.28515625" style="174"/>
  </cols>
  <sheetData>
    <row r="1" spans="1:68">
      <c r="A1" s="170"/>
      <c r="B1" s="170"/>
      <c r="C1" s="170"/>
      <c r="D1" s="170"/>
      <c r="E1" s="170"/>
      <c r="F1" s="170"/>
      <c r="G1" s="170"/>
      <c r="H1" s="170"/>
      <c r="I1" s="170"/>
      <c r="J1" s="170"/>
      <c r="K1" s="170"/>
      <c r="L1" s="170"/>
      <c r="M1" s="170"/>
      <c r="N1" s="170"/>
      <c r="O1" s="170"/>
      <c r="P1" s="171"/>
      <c r="Q1" s="172"/>
      <c r="R1" s="171"/>
      <c r="S1" s="170"/>
      <c r="T1" s="170"/>
      <c r="U1" s="170"/>
      <c r="V1" s="170"/>
      <c r="W1" s="170"/>
      <c r="X1" s="170"/>
      <c r="Y1" s="170"/>
      <c r="Z1" s="170"/>
      <c r="AA1" s="170"/>
      <c r="AB1" s="170"/>
      <c r="AC1" s="170"/>
      <c r="AD1" s="170"/>
      <c r="AE1" s="173"/>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row>
    <row r="2" spans="1:68" s="183" customFormat="1" ht="15">
      <c r="A2" s="170"/>
      <c r="B2" s="170"/>
      <c r="C2" s="170"/>
      <c r="D2" s="170"/>
      <c r="E2" s="170"/>
      <c r="F2" s="170"/>
      <c r="G2" s="170"/>
      <c r="H2" s="170"/>
      <c r="I2" s="170"/>
      <c r="J2" s="175" t="s">
        <v>467</v>
      </c>
      <c r="K2" s="176">
        <v>2004</v>
      </c>
      <c r="L2" s="177">
        <f>IF(K2/4=INT(K2/4),1,0)</f>
        <v>1</v>
      </c>
      <c r="M2" s="265"/>
      <c r="N2" s="173"/>
      <c r="O2" s="178"/>
      <c r="P2" s="179" t="s">
        <v>254</v>
      </c>
      <c r="Q2" s="180"/>
      <c r="R2" s="181">
        <f>IF(L$3&lt;3,0,IF(Q2="",0.35,Q2))</f>
        <v>0</v>
      </c>
      <c r="S2" s="170"/>
      <c r="T2" s="170"/>
      <c r="U2" s="175"/>
      <c r="V2" s="175"/>
      <c r="W2" s="170"/>
      <c r="X2" s="170"/>
      <c r="Y2" s="170"/>
      <c r="Z2" s="170"/>
      <c r="AA2" s="170"/>
      <c r="AB2" s="170"/>
      <c r="AC2" s="170"/>
      <c r="AD2" s="170"/>
      <c r="AE2" s="173"/>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82"/>
      <c r="BG2" s="182"/>
      <c r="BH2" s="182"/>
      <c r="BI2" s="182"/>
      <c r="BJ2" s="170"/>
      <c r="BK2" s="170"/>
      <c r="BL2" s="170"/>
      <c r="BM2" s="170"/>
      <c r="BN2" s="170"/>
      <c r="BO2" s="170"/>
      <c r="BP2" s="170"/>
    </row>
    <row r="3" spans="1:68" s="183" customFormat="1" ht="17.25">
      <c r="A3" s="170"/>
      <c r="B3" s="170"/>
      <c r="C3" s="170"/>
      <c r="D3" s="170"/>
      <c r="E3" s="175"/>
      <c r="F3" s="175"/>
      <c r="G3" s="175"/>
      <c r="H3" s="175"/>
      <c r="I3" s="175"/>
      <c r="J3" s="175" t="s">
        <v>245</v>
      </c>
      <c r="K3" s="184">
        <v>17</v>
      </c>
      <c r="L3" s="177">
        <f>VLOOKUP(K3,CropList!A4:C99,3,FALSE)</f>
        <v>1</v>
      </c>
      <c r="M3" s="265"/>
      <c r="N3" s="173"/>
      <c r="O3" s="313"/>
      <c r="P3" s="314" t="s">
        <v>375</v>
      </c>
      <c r="Q3" s="185"/>
      <c r="R3" s="186" t="str">
        <f>IF(Q3="","",DATE(K$2,MONTH(Q3),DAY(Q3)))</f>
        <v/>
      </c>
      <c r="S3" s="170"/>
      <c r="T3" s="175"/>
      <c r="U3" s="175" t="s">
        <v>429</v>
      </c>
      <c r="V3" s="187">
        <v>30</v>
      </c>
      <c r="W3" s="170"/>
      <c r="X3" s="170"/>
      <c r="Y3" s="170"/>
      <c r="Z3" s="170"/>
      <c r="AA3" s="170"/>
      <c r="AB3" s="170"/>
      <c r="AC3" s="170"/>
      <c r="AD3" s="170"/>
      <c r="AE3" s="173"/>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82"/>
      <c r="BG3" s="182"/>
      <c r="BH3" s="182"/>
      <c r="BI3" s="182"/>
      <c r="BJ3" s="170"/>
      <c r="BK3" s="170"/>
      <c r="BL3" s="170"/>
      <c r="BM3" s="170"/>
      <c r="BN3" s="170"/>
      <c r="BO3" s="170"/>
      <c r="BP3" s="175"/>
    </row>
    <row r="4" spans="1:68" s="183" customFormat="1" ht="17.25">
      <c r="A4" s="170"/>
      <c r="B4" s="170"/>
      <c r="C4" s="170"/>
      <c r="D4" s="170"/>
      <c r="E4" s="175"/>
      <c r="F4" s="175"/>
      <c r="G4" s="175"/>
      <c r="H4" s="175"/>
      <c r="I4" s="175" t="s">
        <v>246</v>
      </c>
      <c r="J4" s="527" t="str">
        <f>VLOOKUP(K3,CropList!A4:B155,2,0)</f>
        <v>Corn (grain)</v>
      </c>
      <c r="K4" s="528"/>
      <c r="L4" s="170"/>
      <c r="M4" s="170"/>
      <c r="N4" s="170"/>
      <c r="O4" s="188"/>
      <c r="P4" s="189" t="s">
        <v>374</v>
      </c>
      <c r="Q4" s="185"/>
      <c r="R4" s="186" t="str">
        <f>IF(Q4="","",DATE(K$2,MONTH(Q4),DAY(Q4)))</f>
        <v/>
      </c>
      <c r="S4" s="170"/>
      <c r="T4" s="175"/>
      <c r="U4" s="175" t="s">
        <v>430</v>
      </c>
      <c r="V4" s="187">
        <v>10</v>
      </c>
      <c r="W4" s="170"/>
      <c r="X4" s="170"/>
      <c r="Y4" s="170"/>
      <c r="Z4" s="170"/>
      <c r="AA4" s="170"/>
      <c r="AB4" s="170"/>
      <c r="AC4" s="170"/>
      <c r="AD4" s="170"/>
      <c r="AE4" s="173"/>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82"/>
      <c r="BG4" s="182"/>
      <c r="BH4" s="182"/>
      <c r="BI4" s="182"/>
      <c r="BJ4" s="175"/>
      <c r="BK4" s="175"/>
      <c r="BL4" s="170"/>
      <c r="BM4" s="170"/>
      <c r="BN4" s="170"/>
      <c r="BO4" s="170"/>
      <c r="BP4" s="190"/>
    </row>
    <row r="5" spans="1:68" ht="14.25" customHeight="1">
      <c r="A5" s="171"/>
      <c r="B5" s="171"/>
      <c r="C5" s="170"/>
      <c r="D5" s="170"/>
      <c r="E5" s="170"/>
      <c r="F5" s="170"/>
      <c r="G5" s="170"/>
      <c r="H5" s="170"/>
      <c r="I5" s="170"/>
      <c r="J5" s="175" t="s">
        <v>370</v>
      </c>
      <c r="K5" s="191">
        <v>2</v>
      </c>
      <c r="L5" s="170"/>
      <c r="M5" s="170"/>
      <c r="N5" s="170"/>
      <c r="O5" s="313"/>
      <c r="P5" s="314" t="s">
        <v>372</v>
      </c>
      <c r="Q5" s="192"/>
      <c r="R5" s="186" t="str">
        <f>IF(Q5="","",DATE(K$2,MONTH(Q5),DAY(Q5)))</f>
        <v/>
      </c>
      <c r="S5" s="170"/>
      <c r="T5" s="170"/>
      <c r="U5" s="170"/>
      <c r="V5" s="170"/>
      <c r="W5" s="173"/>
      <c r="X5" s="173"/>
      <c r="Y5" s="173"/>
      <c r="Z5" s="173"/>
      <c r="AA5" s="173"/>
      <c r="AB5" s="173"/>
      <c r="AC5" s="173"/>
      <c r="AD5" s="173"/>
      <c r="AE5" s="173"/>
      <c r="AF5" s="170"/>
      <c r="AG5" s="173"/>
      <c r="AH5" s="173"/>
      <c r="AI5" s="170"/>
      <c r="AJ5" s="182"/>
      <c r="AK5" s="182"/>
      <c r="AL5" s="182"/>
      <c r="AM5" s="182"/>
      <c r="AN5" s="182"/>
      <c r="AO5" s="182"/>
      <c r="AP5" s="170"/>
      <c r="AQ5" s="170"/>
      <c r="AR5" s="170"/>
      <c r="AS5" s="170"/>
      <c r="AT5" s="170"/>
      <c r="AU5" s="170"/>
      <c r="AV5" s="170"/>
      <c r="AW5" s="170"/>
      <c r="AX5" s="170"/>
      <c r="AY5" s="170"/>
      <c r="AZ5" s="170"/>
      <c r="BA5" s="170"/>
      <c r="BB5" s="170"/>
      <c r="BC5" s="170"/>
      <c r="BD5" s="170"/>
      <c r="BE5" s="170"/>
      <c r="BF5" s="182"/>
      <c r="BG5" s="182"/>
      <c r="BH5" s="182"/>
      <c r="BI5" s="182"/>
      <c r="BJ5" s="175"/>
      <c r="BK5" s="175"/>
      <c r="BL5" s="170"/>
      <c r="BM5" s="170"/>
      <c r="BN5" s="170"/>
      <c r="BO5" s="170"/>
      <c r="BP5" s="182"/>
    </row>
    <row r="6" spans="1:68" ht="12.75" customHeight="1">
      <c r="A6" s="171"/>
      <c r="B6" s="194"/>
      <c r="C6" s="525"/>
      <c r="D6" s="526"/>
      <c r="E6" s="173"/>
      <c r="F6" s="173"/>
      <c r="G6" s="173"/>
      <c r="H6" s="173"/>
      <c r="I6" s="173"/>
      <c r="J6" s="195" t="s">
        <v>248</v>
      </c>
      <c r="K6" s="180">
        <v>1.2</v>
      </c>
      <c r="L6" s="170"/>
      <c r="M6" s="170"/>
      <c r="N6" s="196"/>
      <c r="O6" s="188"/>
      <c r="P6" s="189" t="s">
        <v>373</v>
      </c>
      <c r="Q6" s="185"/>
      <c r="R6" s="186" t="str">
        <f>IF(Q6="","",DATE(K$2,MONTH(Q6),DAY(Q6)))</f>
        <v/>
      </c>
      <c r="S6" s="170"/>
      <c r="T6" s="170"/>
      <c r="U6" s="198"/>
      <c r="V6" s="322" t="s">
        <v>262</v>
      </c>
      <c r="W6" s="316"/>
      <c r="X6" s="197"/>
      <c r="Y6" s="173"/>
      <c r="Z6" s="197"/>
      <c r="AA6" s="170"/>
      <c r="AB6" s="170"/>
      <c r="AC6" s="170"/>
      <c r="AD6" s="173"/>
      <c r="AE6" s="173"/>
      <c r="AF6" s="170"/>
      <c r="AG6" s="173"/>
      <c r="AH6" s="173"/>
      <c r="AI6" s="170"/>
      <c r="AJ6" s="182"/>
      <c r="AK6" s="182"/>
      <c r="AL6" s="182"/>
      <c r="AM6" s="182"/>
      <c r="AN6" s="182"/>
      <c r="AO6" s="182"/>
      <c r="AP6" s="170"/>
      <c r="AQ6" s="170"/>
      <c r="AR6" s="170"/>
      <c r="AS6" s="170"/>
      <c r="AT6" s="170"/>
      <c r="AU6" s="170"/>
      <c r="AV6" s="170"/>
      <c r="AW6" s="170"/>
      <c r="AX6" s="170"/>
      <c r="AY6" s="170"/>
      <c r="AZ6" s="170"/>
      <c r="BA6" s="170"/>
      <c r="BB6" s="170"/>
      <c r="BC6" s="170"/>
      <c r="BD6" s="170"/>
      <c r="BE6" s="170"/>
      <c r="BF6" s="182"/>
      <c r="BG6" s="182"/>
      <c r="BH6" s="182"/>
      <c r="BI6" s="182"/>
      <c r="BJ6" s="175"/>
      <c r="BK6" s="175"/>
      <c r="BL6" s="170"/>
      <c r="BM6" s="170"/>
      <c r="BN6" s="170"/>
      <c r="BO6" s="170"/>
      <c r="BP6" s="199"/>
    </row>
    <row r="7" spans="1:68" ht="12.75" customHeight="1">
      <c r="A7" s="171"/>
      <c r="B7" s="194"/>
      <c r="C7" s="526"/>
      <c r="D7" s="526"/>
      <c r="E7" s="265"/>
      <c r="F7" s="265"/>
      <c r="G7" s="265"/>
      <c r="H7" s="200"/>
      <c r="I7" s="201" t="s">
        <v>413</v>
      </c>
      <c r="J7" s="201" t="s">
        <v>318</v>
      </c>
      <c r="K7" s="201" t="s">
        <v>415</v>
      </c>
      <c r="L7" s="201" t="s">
        <v>414</v>
      </c>
      <c r="M7" s="345"/>
      <c r="N7" s="202"/>
      <c r="O7" s="203"/>
      <c r="P7" s="204" t="s">
        <v>371</v>
      </c>
      <c r="Q7" s="205">
        <v>100</v>
      </c>
      <c r="R7" s="206" t="s">
        <v>253</v>
      </c>
      <c r="S7" s="206" t="s">
        <v>198</v>
      </c>
      <c r="T7" s="207" t="s">
        <v>310</v>
      </c>
      <c r="U7" s="207" t="s">
        <v>381</v>
      </c>
      <c r="V7" s="207" t="s">
        <v>382</v>
      </c>
      <c r="W7" s="207" t="s">
        <v>257</v>
      </c>
      <c r="X7" s="207" t="s">
        <v>380</v>
      </c>
      <c r="Y7" s="207" t="s">
        <v>428</v>
      </c>
      <c r="Z7" s="207" t="s">
        <v>450</v>
      </c>
      <c r="AA7" s="207" t="s">
        <v>427</v>
      </c>
      <c r="AB7" s="207" t="s">
        <v>428</v>
      </c>
      <c r="AC7" s="207" t="s">
        <v>449</v>
      </c>
      <c r="AD7" s="207" t="s">
        <v>427</v>
      </c>
      <c r="AE7" s="173"/>
      <c r="AF7" s="170"/>
      <c r="AG7" s="173"/>
      <c r="AH7" s="173"/>
      <c r="AI7" s="170"/>
      <c r="AJ7" s="182"/>
      <c r="AK7" s="182"/>
      <c r="AL7" s="182"/>
      <c r="AM7" s="182"/>
      <c r="AN7" s="182"/>
      <c r="AO7" s="182"/>
      <c r="AP7" s="170"/>
      <c r="AQ7" s="170"/>
      <c r="AR7" s="170"/>
      <c r="AS7" s="170"/>
      <c r="AT7" s="170"/>
      <c r="AU7" s="170"/>
      <c r="AV7" s="170"/>
      <c r="AW7" s="170"/>
      <c r="AX7" s="170"/>
      <c r="AY7" s="170"/>
      <c r="AZ7" s="170"/>
      <c r="BA7" s="170"/>
      <c r="BB7" s="170"/>
      <c r="BC7" s="170"/>
      <c r="BD7" s="170"/>
      <c r="BE7" s="170"/>
      <c r="BF7" s="182"/>
      <c r="BG7" s="182"/>
      <c r="BH7" s="182"/>
      <c r="BI7" s="182"/>
      <c r="BJ7" s="175"/>
      <c r="BK7" s="175"/>
      <c r="BL7" s="170"/>
      <c r="BM7" s="170"/>
      <c r="BN7" s="170"/>
      <c r="BO7" s="170"/>
      <c r="BP7" s="208"/>
    </row>
    <row r="8" spans="1:68" ht="15">
      <c r="A8" s="171"/>
      <c r="B8" s="194"/>
      <c r="C8" s="525"/>
      <c r="D8" s="526"/>
      <c r="E8" s="529" t="s">
        <v>252</v>
      </c>
      <c r="F8" s="530"/>
      <c r="G8" s="531"/>
      <c r="H8" s="209" t="s">
        <v>86</v>
      </c>
      <c r="I8" s="210">
        <f>IF(ISNA(VLOOKUP($K$3,CropList!$A$4:$V$154,15,FALSE)),"",VLOOKUP($K$3,CropList!$A$4:$V$154,15,FALSE))</f>
        <v>38092</v>
      </c>
      <c r="J8" s="211"/>
      <c r="K8" s="212">
        <f>IF(J8="",I8,J8)</f>
        <v>38092</v>
      </c>
      <c r="L8" s="212">
        <f>IF(J8="",K8,J8)</f>
        <v>38092</v>
      </c>
      <c r="M8" s="212"/>
      <c r="N8" s="213"/>
      <c r="O8" s="214"/>
      <c r="P8" s="215" t="s">
        <v>383</v>
      </c>
      <c r="Q8" s="216"/>
      <c r="R8" s="323">
        <f>R9</f>
        <v>0.2</v>
      </c>
      <c r="S8" s="186">
        <f>L8</f>
        <v>38092</v>
      </c>
      <c r="T8" s="219"/>
      <c r="U8" s="177"/>
      <c r="V8" s="218">
        <f>IF(OR(Q8&gt;70,Q8=0),1,SQRT(SIN(Q8/70*PI()/2)))</f>
        <v>1</v>
      </c>
      <c r="W8" s="218">
        <f>IF(L$3&lt;3,R8,IF(L$3=3,U8*R8,V8*R8))</f>
        <v>0.2</v>
      </c>
      <c r="X8" s="220">
        <f>W8</f>
        <v>0.2</v>
      </c>
      <c r="Y8" s="221"/>
      <c r="Z8" s="217">
        <f>IF($L$3=4,W8*V8,$R8)</f>
        <v>0.2</v>
      </c>
      <c r="AA8" s="181"/>
      <c r="AB8" s="221"/>
      <c r="AC8" s="217">
        <f>AK15</f>
        <v>0.8102962140161466</v>
      </c>
      <c r="AD8" s="181"/>
      <c r="AE8" s="173"/>
      <c r="AF8" s="170"/>
      <c r="AG8" s="173"/>
      <c r="AH8" s="173"/>
      <c r="AI8" s="170"/>
      <c r="AJ8" s="182"/>
      <c r="AK8" s="182"/>
      <c r="AL8" s="182"/>
      <c r="AM8" s="182"/>
      <c r="AN8" s="182"/>
      <c r="AO8" s="182"/>
      <c r="AP8" s="170"/>
      <c r="AQ8" s="170"/>
      <c r="AR8" s="170"/>
      <c r="AS8" s="170"/>
      <c r="AT8" s="170"/>
      <c r="AU8" s="170"/>
      <c r="AV8" s="170"/>
      <c r="AW8" s="170"/>
      <c r="AX8" s="170"/>
      <c r="AY8" s="170"/>
      <c r="AZ8" s="170"/>
      <c r="BA8" s="170"/>
      <c r="BB8" s="170"/>
      <c r="BC8" s="170"/>
      <c r="BD8" s="170"/>
      <c r="BE8" s="170"/>
      <c r="BF8" s="182"/>
      <c r="BG8" s="182"/>
      <c r="BH8" s="182"/>
      <c r="BI8" s="182"/>
      <c r="BJ8" s="175"/>
      <c r="BK8" s="175"/>
      <c r="BL8" s="170"/>
      <c r="BM8" s="170"/>
      <c r="BN8" s="170"/>
      <c r="BO8" s="170"/>
      <c r="BP8" s="170"/>
    </row>
    <row r="9" spans="1:68" ht="12.75" customHeight="1">
      <c r="A9" s="171"/>
      <c r="B9" s="194"/>
      <c r="C9" s="526"/>
      <c r="D9" s="526"/>
      <c r="E9" s="532"/>
      <c r="F9" s="533"/>
      <c r="G9" s="534"/>
      <c r="H9" s="223" t="s">
        <v>56</v>
      </c>
      <c r="I9" s="210">
        <f>IF(ISNA(VLOOKUP($K$3,CropList!$A$4:$V$154,16,FALSE)),"",VLOOKUP($K$3,CropList!$A$4:$V$154,16,FALSE))</f>
        <v>38125</v>
      </c>
      <c r="J9" s="224"/>
      <c r="K9" s="212">
        <f>INT((I9-I$8)/(I$12-I$8)*(K$12-K$8)+K$8)</f>
        <v>38125</v>
      </c>
      <c r="L9" s="212">
        <f>IF(J9="",K9,J9)</f>
        <v>38125</v>
      </c>
      <c r="M9" s="212"/>
      <c r="N9" s="225"/>
      <c r="O9" s="215"/>
      <c r="P9" s="215" t="s">
        <v>376</v>
      </c>
      <c r="Q9" s="226"/>
      <c r="R9" s="324">
        <f>IF(ISNA(VLOOKUP($K$3,CropList!$A$4:$V$99,7,FALSE)),"",VLOOKUP($K$3,CropList!$A$4:$V$99,7,FALSE))</f>
        <v>0.2</v>
      </c>
      <c r="S9" s="186">
        <f>L9</f>
        <v>38125</v>
      </c>
      <c r="T9" s="219">
        <f>S9-S8</f>
        <v>33</v>
      </c>
      <c r="U9" s="218">
        <f>IF(OR(Q9&gt;70,Q9=0),1,SIN(Q9/70*PI()/2))</f>
        <v>1</v>
      </c>
      <c r="V9" s="218">
        <f>IF(OR(Q9&gt;70,Q9=0),1,SQRT(SIN(Q9/70*PI()/2)))</f>
        <v>1</v>
      </c>
      <c r="W9" s="218">
        <f>IF(L$3&lt;3,R9,IF(L$3=3,U9*R9,V9*R9))</f>
        <v>0.2</v>
      </c>
      <c r="X9" s="220">
        <f>W9</f>
        <v>0.2</v>
      </c>
      <c r="Y9" s="227" t="s">
        <v>306</v>
      </c>
      <c r="Z9" s="217">
        <f>IF($L$3=4,W9*V9,$R9)</f>
        <v>0.2</v>
      </c>
      <c r="AA9" s="219">
        <f>(Z10-Z9)/T10</f>
        <v>2.0238095238095239E-2</v>
      </c>
      <c r="AB9" s="227" t="s">
        <v>306</v>
      </c>
      <c r="AC9" s="429">
        <f>IF(L$3=3,AA15,AK15)</f>
        <v>0.8102962140161466</v>
      </c>
      <c r="AD9" s="219">
        <f>(AC10-AC9)/T10</f>
        <v>5.8290287862841784E-3</v>
      </c>
      <c r="AE9" s="173"/>
      <c r="AF9" s="170"/>
      <c r="AG9" s="173"/>
      <c r="AH9" s="173"/>
      <c r="AI9" s="170"/>
      <c r="AJ9" s="182"/>
      <c r="AK9" s="182"/>
      <c r="AL9" s="182"/>
      <c r="AM9" s="182"/>
      <c r="AN9" s="182"/>
      <c r="AO9" s="182"/>
      <c r="AP9" s="170"/>
      <c r="AQ9" s="170"/>
      <c r="AR9" s="170"/>
      <c r="AS9" s="170"/>
      <c r="AT9" s="170"/>
      <c r="AU9" s="170"/>
      <c r="AV9" s="170"/>
      <c r="AW9" s="170"/>
      <c r="AX9" s="170"/>
      <c r="AY9" s="170"/>
      <c r="AZ9" s="170"/>
      <c r="BA9" s="170"/>
      <c r="BB9" s="170"/>
      <c r="BC9" s="170"/>
      <c r="BD9" s="170"/>
      <c r="BE9" s="170"/>
      <c r="BF9" s="182"/>
      <c r="BG9" s="182"/>
      <c r="BH9" s="182"/>
      <c r="BI9" s="182"/>
      <c r="BJ9" s="175"/>
      <c r="BK9" s="175"/>
      <c r="BL9" s="170"/>
      <c r="BM9" s="170"/>
      <c r="BN9" s="170"/>
      <c r="BO9" s="170"/>
      <c r="BP9" s="170"/>
    </row>
    <row r="10" spans="1:68" s="229" customFormat="1" ht="15.75" customHeight="1">
      <c r="A10" s="172"/>
      <c r="B10" s="194"/>
      <c r="C10" s="525"/>
      <c r="D10" s="526"/>
      <c r="E10" s="532"/>
      <c r="F10" s="533"/>
      <c r="G10" s="534"/>
      <c r="H10" s="223" t="s">
        <v>57</v>
      </c>
      <c r="I10" s="210">
        <f>IF(ISNA(VLOOKUP($K$3,CropList!$A$4:$V$154,17,FALSE)),"",VLOOKUP($K$3,CropList!$A$4:$V$154,17,FALSE))</f>
        <v>38167</v>
      </c>
      <c r="J10" s="224"/>
      <c r="K10" s="212">
        <f>INT((I10-I$8)/(I$12-I$8)*(K$12-K$8)+K$8)</f>
        <v>38167</v>
      </c>
      <c r="L10" s="212">
        <f>IF(J10="",K10,J10)</f>
        <v>38167</v>
      </c>
      <c r="M10" s="212"/>
      <c r="N10" s="225"/>
      <c r="O10" s="215"/>
      <c r="P10" s="215" t="s">
        <v>377</v>
      </c>
      <c r="Q10" s="228"/>
      <c r="R10" s="324">
        <f>IF(ISNA(VLOOKUP($K$3,CropList!$A$4:$V$99,8,FALSE)),"",VLOOKUP($K$3,CropList!$A$4:$V$99,8,FALSE))</f>
        <v>1.05</v>
      </c>
      <c r="S10" s="186">
        <f>L10</f>
        <v>38167</v>
      </c>
      <c r="T10" s="219">
        <f>S10-S9</f>
        <v>42</v>
      </c>
      <c r="U10" s="218">
        <f>IF(OR(Q10&gt;70,Q10=0),1,SIN(Q10/70*PI()/2))</f>
        <v>1</v>
      </c>
      <c r="V10" s="218">
        <f>IF(OR(Q10&gt;70,Q10=0),1,SQRT(SIN(Q10/70*PI()/2)))</f>
        <v>1</v>
      </c>
      <c r="W10" s="218">
        <f>IF(L$3&lt;3,R10,IF(L$3=3,U10*R10,V10*R10))</f>
        <v>1.05</v>
      </c>
      <c r="X10" s="220">
        <f>IF(ISNUMBER(DailyMet!$AA$2),DailyMet!$AA$2,W10)</f>
        <v>1.0261342273931484</v>
      </c>
      <c r="Y10" s="227" t="s">
        <v>203</v>
      </c>
      <c r="Z10" s="217">
        <f>IF($L$3=4,W10*V10,$R10)</f>
        <v>1.05</v>
      </c>
      <c r="AA10" s="219">
        <f>(Z11-Z10)/T11</f>
        <v>0</v>
      </c>
      <c r="AB10" s="227" t="s">
        <v>203</v>
      </c>
      <c r="AC10" s="217">
        <f>AL15</f>
        <v>1.0551154230400821</v>
      </c>
      <c r="AD10" s="219">
        <f>(AC11-AC10)/T11</f>
        <v>0</v>
      </c>
      <c r="AE10" s="173"/>
      <c r="AF10" s="170"/>
      <c r="AG10" s="173"/>
      <c r="AH10" s="173"/>
      <c r="AI10" s="170"/>
      <c r="AJ10" s="182"/>
      <c r="AK10" s="182"/>
      <c r="AL10" s="182"/>
      <c r="AM10" s="182"/>
      <c r="AN10" s="182"/>
      <c r="AO10" s="182"/>
      <c r="AP10" s="170"/>
      <c r="AQ10" s="170"/>
      <c r="AR10" s="170"/>
      <c r="AS10" s="170"/>
      <c r="AT10" s="170"/>
      <c r="AU10" s="170"/>
      <c r="AV10" s="170"/>
      <c r="AW10" s="170"/>
      <c r="AX10" s="170"/>
      <c r="AY10" s="170"/>
      <c r="AZ10" s="170"/>
      <c r="BA10" s="170"/>
      <c r="BB10" s="170"/>
      <c r="BC10" s="170"/>
      <c r="BD10" s="170"/>
      <c r="BE10" s="170"/>
      <c r="BF10" s="182"/>
      <c r="BG10" s="182"/>
      <c r="BH10" s="182"/>
      <c r="BI10" s="182"/>
      <c r="BJ10" s="175"/>
      <c r="BK10" s="175"/>
      <c r="BL10" s="170"/>
      <c r="BM10" s="170"/>
      <c r="BN10" s="170"/>
      <c r="BO10" s="170"/>
      <c r="BP10" s="170"/>
    </row>
    <row r="11" spans="1:68" s="229" customFormat="1" ht="13.5" customHeight="1">
      <c r="A11" s="172"/>
      <c r="B11" s="194"/>
      <c r="C11" s="526"/>
      <c r="D11" s="526"/>
      <c r="E11" s="532"/>
      <c r="F11" s="533"/>
      <c r="G11" s="534"/>
      <c r="H11" s="223" t="s">
        <v>58</v>
      </c>
      <c r="I11" s="210">
        <f>IF(ISNA(VLOOKUP($K$3,CropList!$A$4:$V$154,18,FALSE)),"",VLOOKUP($K$3,CropList!$A$4:$V$154,18,FALSE))</f>
        <v>38218</v>
      </c>
      <c r="J11" s="224"/>
      <c r="K11" s="212">
        <f>INT((I11-I$8)/(I$12-I$8)*(K$12-K$8)+K$8)</f>
        <v>38218</v>
      </c>
      <c r="L11" s="212">
        <f>IF(J11="",K11,J11)</f>
        <v>38218</v>
      </c>
      <c r="M11" s="212"/>
      <c r="N11" s="225"/>
      <c r="O11" s="215"/>
      <c r="P11" s="215" t="s">
        <v>378</v>
      </c>
      <c r="Q11" s="228"/>
      <c r="R11" s="324">
        <f>IF(ISNA(VLOOKUP($K$3,CropList!$A$4:$V$99,9,FALSE)),"",VLOOKUP($K$3,CropList!$A$4:$V$99,9,FALSE))</f>
        <v>1.05</v>
      </c>
      <c r="S11" s="186">
        <f>L11</f>
        <v>38218</v>
      </c>
      <c r="T11" s="219">
        <f>S11-S10</f>
        <v>51</v>
      </c>
      <c r="U11" s="218">
        <f>IF(OR(Q11&gt;70,Q11=0),1,SIN(Q11/70*PI()/2))</f>
        <v>1</v>
      </c>
      <c r="V11" s="218">
        <f>IF(OR(Q11&gt;70,Q11=0),1,SQRT(SIN(Q11/70*PI()/2)))</f>
        <v>1</v>
      </c>
      <c r="W11" s="218">
        <f>IF(L$3&lt;3,R11,IF(L$3=3,U11*R11,V11*R11))</f>
        <v>1.05</v>
      </c>
      <c r="X11" s="220">
        <f>IF(ISNUMBER(DailyMet!$AA$2),DailyMet!$AA$2,W11)</f>
        <v>1.0261342273931484</v>
      </c>
      <c r="Y11" s="227" t="s">
        <v>205</v>
      </c>
      <c r="Z11" s="217">
        <f>IF($L$3=4,W11*V11,$R11)</f>
        <v>1.05</v>
      </c>
      <c r="AA11" s="219">
        <f>(Z12-Z11)/T12</f>
        <v>-1.0714285714285716E-2</v>
      </c>
      <c r="AB11" s="227" t="s">
        <v>205</v>
      </c>
      <c r="AC11" s="217">
        <f>AL15</f>
        <v>1.0551154230400821</v>
      </c>
      <c r="AD11" s="219">
        <f>(AC12-AC11)/T12</f>
        <v>-7.3906033374808722E-3</v>
      </c>
      <c r="AE11" s="173"/>
      <c r="AF11" s="170"/>
      <c r="AG11" s="173"/>
      <c r="AH11" s="173"/>
      <c r="AI11" s="170"/>
      <c r="AJ11" s="182"/>
      <c r="AK11" s="182"/>
      <c r="AL11" s="182"/>
      <c r="AM11" s="182"/>
      <c r="AN11" s="182"/>
      <c r="AO11" s="182"/>
      <c r="AP11" s="170"/>
      <c r="AQ11" s="170"/>
      <c r="AR11" s="170"/>
      <c r="AS11" s="170"/>
      <c r="AT11" s="170"/>
      <c r="AU11" s="170"/>
      <c r="AV11" s="170"/>
      <c r="AW11" s="170"/>
      <c r="AX11" s="170"/>
      <c r="AY11" s="170"/>
      <c r="AZ11" s="170"/>
      <c r="BA11" s="170"/>
      <c r="BB11" s="170"/>
      <c r="BC11" s="170"/>
      <c r="BD11" s="170"/>
      <c r="BE11" s="170"/>
      <c r="BF11" s="182"/>
      <c r="BG11" s="182"/>
      <c r="BH11" s="182"/>
      <c r="BI11" s="182"/>
      <c r="BJ11" s="175"/>
      <c r="BK11" s="175"/>
      <c r="BL11" s="170"/>
      <c r="BM11" s="170"/>
      <c r="BN11" s="170"/>
      <c r="BO11" s="170"/>
      <c r="BP11" s="170"/>
    </row>
    <row r="12" spans="1:68" s="229" customFormat="1" ht="14.25" customHeight="1">
      <c r="A12" s="172"/>
      <c r="B12" s="194"/>
      <c r="C12" s="525"/>
      <c r="D12" s="526"/>
      <c r="E12" s="535"/>
      <c r="F12" s="536"/>
      <c r="G12" s="537"/>
      <c r="H12" s="230" t="s">
        <v>200</v>
      </c>
      <c r="I12" s="210">
        <f>IF(ISNA(VLOOKUP($K$3,CropList!$A$4:$V$154,19,FALSE)),"",VLOOKUP($K$3,CropList!$A$4:$V$154,19,FALSE))</f>
        <v>38260</v>
      </c>
      <c r="J12" s="211"/>
      <c r="K12" s="212">
        <f>IF(J12="",I12,J12)</f>
        <v>38260</v>
      </c>
      <c r="L12" s="212">
        <f>IF(J12="",K12,J12)</f>
        <v>38260</v>
      </c>
      <c r="M12" s="212"/>
      <c r="N12" s="225"/>
      <c r="O12" s="215"/>
      <c r="P12" s="215" t="s">
        <v>379</v>
      </c>
      <c r="Q12" s="228"/>
      <c r="R12" s="324">
        <f>IF(ISNA(VLOOKUP($K$3,CropList!$A$4:$V$99,10,FALSE)),"",VLOOKUP($K$3,CropList!$A$4:$V$99,10,FALSE))</f>
        <v>0.6</v>
      </c>
      <c r="S12" s="186">
        <f>L12</f>
        <v>38260</v>
      </c>
      <c r="T12" s="219">
        <f>S12-S11</f>
        <v>42</v>
      </c>
      <c r="U12" s="218">
        <v>1</v>
      </c>
      <c r="V12" s="218">
        <f>IF(OR(Q12&gt;70,Q12=0),1,SQRT(SIN(Q12/70*PI()/2)))</f>
        <v>1</v>
      </c>
      <c r="W12" s="218">
        <f>IF(L$3&lt;3,R12,IF(L$3=3,U12*R12,V12*R12))</f>
        <v>0.6</v>
      </c>
      <c r="X12" s="231">
        <f>W12</f>
        <v>0.6</v>
      </c>
      <c r="Y12" s="227" t="s">
        <v>204</v>
      </c>
      <c r="Z12" s="217">
        <f>IF($L$3=4,W12*V12,$R12)</f>
        <v>0.6</v>
      </c>
      <c r="AA12" s="219"/>
      <c r="AB12" s="227" t="s">
        <v>204</v>
      </c>
      <c r="AC12" s="427">
        <f>IF(L$3=4,AL15,IF(L$3=2,AC11,AE15))</f>
        <v>0.74471008286588547</v>
      </c>
      <c r="AD12" s="219"/>
      <c r="AE12" s="173"/>
      <c r="AF12" s="170"/>
      <c r="AG12" s="173"/>
      <c r="AH12" s="173"/>
      <c r="AI12" s="170"/>
      <c r="AJ12" s="182"/>
      <c r="AK12" s="182"/>
      <c r="AL12" s="182"/>
      <c r="AM12" s="182"/>
      <c r="AN12" s="182"/>
      <c r="AO12" s="182"/>
      <c r="AP12" s="170"/>
      <c r="AQ12" s="170"/>
      <c r="AR12" s="170"/>
      <c r="AS12" s="170"/>
      <c r="AT12" s="170"/>
      <c r="AU12" s="170"/>
      <c r="AV12" s="170"/>
      <c r="AW12" s="170"/>
      <c r="AX12" s="170"/>
      <c r="AY12" s="170"/>
      <c r="AZ12" s="170"/>
      <c r="BA12" s="170"/>
      <c r="BB12" s="170"/>
      <c r="BC12" s="170"/>
      <c r="BD12" s="170"/>
      <c r="BE12" s="170"/>
      <c r="BF12" s="182"/>
      <c r="BG12" s="182"/>
      <c r="BH12" s="182"/>
      <c r="BI12" s="182"/>
      <c r="BJ12" s="175"/>
      <c r="BK12" s="175"/>
      <c r="BL12" s="170"/>
      <c r="BM12" s="170"/>
      <c r="BN12" s="170"/>
      <c r="BO12" s="170"/>
      <c r="BP12" s="175"/>
    </row>
    <row r="13" spans="1:68" s="229" customFormat="1" ht="14.25" customHeight="1">
      <c r="A13" s="172"/>
      <c r="B13" s="194"/>
      <c r="C13" s="526"/>
      <c r="D13" s="526"/>
      <c r="E13" s="538" t="s">
        <v>209</v>
      </c>
      <c r="F13" s="530"/>
      <c r="G13" s="531"/>
      <c r="H13" s="232" t="s">
        <v>203</v>
      </c>
      <c r="I13" s="233">
        <f>(Z10-Z9)/T10</f>
        <v>2.0238095238095239E-2</v>
      </c>
      <c r="J13" s="170"/>
      <c r="K13" s="170"/>
      <c r="L13" s="170"/>
      <c r="M13" s="170"/>
      <c r="N13" s="234"/>
      <c r="O13" s="519" t="s">
        <v>247</v>
      </c>
      <c r="P13" s="520"/>
      <c r="Q13" s="177" t="s">
        <v>56</v>
      </c>
      <c r="R13" s="235">
        <v>40</v>
      </c>
      <c r="S13" s="170"/>
      <c r="T13" s="171"/>
      <c r="U13" s="236"/>
      <c r="V13" s="236"/>
      <c r="W13" s="170"/>
      <c r="X13" s="170"/>
      <c r="Y13" s="170"/>
      <c r="Z13" s="197"/>
      <c r="AA13" s="197"/>
      <c r="AB13" s="197"/>
      <c r="AC13" s="197"/>
      <c r="AD13" s="197"/>
      <c r="AE13" s="197"/>
      <c r="AF13" s="197"/>
      <c r="AG13" s="173"/>
      <c r="AH13" s="173"/>
      <c r="AI13" s="170"/>
      <c r="AJ13" s="182"/>
      <c r="AK13" s="241" t="s">
        <v>306</v>
      </c>
      <c r="AL13" s="241" t="s">
        <v>205</v>
      </c>
      <c r="AM13" s="241" t="s">
        <v>200</v>
      </c>
      <c r="AN13" s="182"/>
      <c r="AO13" s="182"/>
      <c r="AP13" s="197"/>
      <c r="AQ13" s="197"/>
      <c r="AR13" s="170"/>
      <c r="AS13" s="170"/>
      <c r="AT13" s="170"/>
      <c r="AU13" s="170"/>
      <c r="AV13" s="170"/>
      <c r="AW13" s="197"/>
      <c r="AX13" s="197"/>
      <c r="AY13" s="197"/>
      <c r="AZ13" s="197"/>
      <c r="BA13" s="197"/>
      <c r="BB13" s="197"/>
      <c r="BC13" s="197"/>
      <c r="BD13" s="197"/>
      <c r="BE13" s="197"/>
      <c r="BF13" s="182"/>
      <c r="BG13" s="182"/>
      <c r="BH13" s="182"/>
      <c r="BI13" s="182"/>
      <c r="BJ13" s="175"/>
      <c r="BK13" s="175"/>
      <c r="BL13" s="170"/>
      <c r="BM13" s="170"/>
      <c r="BN13" s="170"/>
      <c r="BO13" s="170"/>
      <c r="BP13" s="175"/>
    </row>
    <row r="14" spans="1:68" s="229" customFormat="1" ht="15">
      <c r="A14" s="172"/>
      <c r="B14" s="194"/>
      <c r="C14" s="525"/>
      <c r="D14" s="526"/>
      <c r="E14" s="532"/>
      <c r="F14" s="533"/>
      <c r="G14" s="534"/>
      <c r="H14" s="223" t="s">
        <v>205</v>
      </c>
      <c r="I14" s="233">
        <f>(Z11-Z10)/T11</f>
        <v>0</v>
      </c>
      <c r="J14" s="170"/>
      <c r="K14" s="170"/>
      <c r="L14" s="170"/>
      <c r="M14" s="170"/>
      <c r="N14" s="237"/>
      <c r="O14" s="521"/>
      <c r="P14" s="522"/>
      <c r="Q14" s="177" t="s">
        <v>57</v>
      </c>
      <c r="R14" s="235">
        <v>50</v>
      </c>
      <c r="S14" s="170"/>
      <c r="T14" s="171"/>
      <c r="U14" s="236"/>
      <c r="V14" s="236"/>
      <c r="W14" s="170"/>
      <c r="X14" s="175" t="s">
        <v>484</v>
      </c>
      <c r="Y14" s="425">
        <f>Z10</f>
        <v>1.05</v>
      </c>
      <c r="Z14" s="425">
        <f>AVERAGE(Z9:Z10)</f>
        <v>0.625</v>
      </c>
      <c r="AA14" s="425">
        <f>Y14-2*(Y14-Z14)</f>
        <v>0.19999999999999996</v>
      </c>
      <c r="AB14" s="175" t="s">
        <v>487</v>
      </c>
      <c r="AC14" s="426">
        <f>Z11</f>
        <v>1.05</v>
      </c>
      <c r="AD14" s="425">
        <f>AVERAGE(AC9:AC10)</f>
        <v>0.93270581852811429</v>
      </c>
      <c r="AE14" s="425">
        <f>AC14-2*(AC14-AD14)</f>
        <v>0.81541163705622854</v>
      </c>
      <c r="AF14" s="238"/>
      <c r="AG14" s="197"/>
      <c r="AH14" s="197"/>
      <c r="AI14" s="197"/>
      <c r="AJ14" s="330"/>
      <c r="AK14" s="331" t="s">
        <v>304</v>
      </c>
      <c r="AL14" s="331" t="s">
        <v>304</v>
      </c>
      <c r="AM14" s="331" t="s">
        <v>304</v>
      </c>
      <c r="AN14" s="182"/>
      <c r="AO14" s="182"/>
      <c r="AP14" s="197"/>
      <c r="AQ14" s="197"/>
      <c r="AR14" s="170"/>
      <c r="AS14" s="170"/>
      <c r="AT14" s="170"/>
      <c r="AU14" s="170"/>
      <c r="AV14" s="170"/>
      <c r="AW14" s="197"/>
      <c r="AX14" s="197"/>
      <c r="AY14" s="197"/>
      <c r="AZ14" s="197"/>
      <c r="BA14" s="197"/>
      <c r="BB14" s="197"/>
      <c r="BC14" s="197"/>
      <c r="BD14" s="197"/>
      <c r="BE14" s="197"/>
      <c r="BF14" s="197"/>
      <c r="BG14" s="197"/>
      <c r="BH14" s="197"/>
      <c r="BI14" s="197"/>
      <c r="BJ14" s="197"/>
      <c r="BK14" s="197"/>
      <c r="BL14" s="197"/>
      <c r="BM14" s="197"/>
      <c r="BN14" s="197"/>
      <c r="BO14" s="197"/>
      <c r="BP14" s="175"/>
    </row>
    <row r="15" spans="1:68" s="229" customFormat="1" ht="15.75" customHeight="1" thickBot="1">
      <c r="A15" s="172"/>
      <c r="B15" s="194"/>
      <c r="C15" s="526"/>
      <c r="D15" s="526"/>
      <c r="E15" s="535"/>
      <c r="F15" s="536"/>
      <c r="G15" s="537"/>
      <c r="H15" s="239" t="s">
        <v>204</v>
      </c>
      <c r="I15" s="240">
        <f>(Z12-Z11)/T12</f>
        <v>-1.0714285714285716E-2</v>
      </c>
      <c r="J15" s="241"/>
      <c r="K15" s="241"/>
      <c r="L15" s="241"/>
      <c r="M15" s="241"/>
      <c r="N15" s="242"/>
      <c r="O15" s="523"/>
      <c r="P15" s="524"/>
      <c r="Q15" s="177" t="s">
        <v>58</v>
      </c>
      <c r="R15" s="243">
        <v>30</v>
      </c>
      <c r="S15" s="170"/>
      <c r="T15" s="171"/>
      <c r="U15" s="236"/>
      <c r="V15" s="236"/>
      <c r="W15" s="170"/>
      <c r="X15" s="175" t="s">
        <v>485</v>
      </c>
      <c r="Y15" s="425">
        <f>AC10</f>
        <v>1.0551154230400821</v>
      </c>
      <c r="Z15" s="425">
        <f>AVERAGE(Z22:Z599)</f>
        <v>0.67418912932396136</v>
      </c>
      <c r="AA15" s="429">
        <f>Y15-2*(Y15-Z15)</f>
        <v>0.29326283560784061</v>
      </c>
      <c r="AB15" s="175" t="s">
        <v>488</v>
      </c>
      <c r="AC15" s="426">
        <f>AC11</f>
        <v>1.0551154230400821</v>
      </c>
      <c r="AD15" s="425">
        <f>AVERAGE(AC22:AC599)</f>
        <v>0.89991275295298379</v>
      </c>
      <c r="AE15" s="427">
        <f>AC15-2*(AC15-AD15)</f>
        <v>0.74471008286588547</v>
      </c>
      <c r="AF15" s="238"/>
      <c r="AG15" s="197"/>
      <c r="AH15" s="241"/>
      <c r="AI15" s="197"/>
      <c r="AJ15" s="330" t="s">
        <v>446</v>
      </c>
      <c r="AK15" s="430">
        <f>AK17/AH17</f>
        <v>0.8102962140161466</v>
      </c>
      <c r="AL15" s="428">
        <f>AL17/AI17</f>
        <v>1.0551154230400821</v>
      </c>
      <c r="AM15" s="332">
        <f>IF(AM17=0,AL15,AM17/AJ17)</f>
        <v>0.93007121296236939</v>
      </c>
      <c r="AN15" s="182"/>
      <c r="AO15" s="182"/>
      <c r="AP15" s="197"/>
      <c r="AQ15" s="197"/>
      <c r="AR15" s="170"/>
      <c r="AS15" s="170"/>
      <c r="AT15" s="170"/>
      <c r="AU15" s="170"/>
      <c r="AV15" s="170"/>
      <c r="AW15" s="170" t="s">
        <v>436</v>
      </c>
      <c r="AX15" s="197"/>
      <c r="AY15" s="197"/>
      <c r="AZ15" s="197"/>
      <c r="BA15" s="197"/>
      <c r="BB15" s="170" t="s">
        <v>437</v>
      </c>
      <c r="BC15" s="197"/>
      <c r="BD15" s="197"/>
      <c r="BE15" s="197"/>
      <c r="BF15" s="197"/>
      <c r="BG15" s="197"/>
      <c r="BH15" s="328" t="s">
        <v>212</v>
      </c>
      <c r="BI15" s="328" t="s">
        <v>212</v>
      </c>
      <c r="BJ15" s="329" t="s">
        <v>213</v>
      </c>
      <c r="BK15" s="329" t="s">
        <v>213</v>
      </c>
      <c r="BL15" s="193" t="s">
        <v>214</v>
      </c>
      <c r="BM15" s="193" t="s">
        <v>214</v>
      </c>
      <c r="BN15" s="193" t="s">
        <v>214</v>
      </c>
      <c r="BO15" s="193" t="s">
        <v>214</v>
      </c>
      <c r="BP15" s="175"/>
    </row>
    <row r="16" spans="1:68" ht="19.5" thickBot="1">
      <c r="A16" s="170"/>
      <c r="B16" s="244"/>
      <c r="C16" s="244"/>
      <c r="D16" s="244"/>
      <c r="E16" s="244"/>
      <c r="F16" s="244"/>
      <c r="G16" s="244"/>
      <c r="H16" s="244"/>
      <c r="I16" s="244"/>
      <c r="J16" s="246"/>
      <c r="K16" s="247"/>
      <c r="L16" s="241"/>
      <c r="M16" s="241"/>
      <c r="N16" s="248" t="s">
        <v>302</v>
      </c>
      <c r="O16" s="249" t="s">
        <v>301</v>
      </c>
      <c r="P16" s="250"/>
      <c r="Q16" s="251"/>
      <c r="R16" s="252" t="s">
        <v>297</v>
      </c>
      <c r="S16" s="252"/>
      <c r="T16" s="253"/>
      <c r="U16" s="254" t="s">
        <v>288</v>
      </c>
      <c r="V16" s="254"/>
      <c r="W16" s="255"/>
      <c r="X16" s="256"/>
      <c r="Y16" s="256"/>
      <c r="Z16" s="256"/>
      <c r="AA16" s="256"/>
      <c r="AB16" s="256" t="s">
        <v>296</v>
      </c>
      <c r="AC16" s="256"/>
      <c r="AD16" s="256"/>
      <c r="AE16" s="256"/>
      <c r="AF16" s="256"/>
      <c r="AG16" s="317"/>
      <c r="AH16" s="318"/>
      <c r="AI16" s="319"/>
      <c r="AJ16" s="319"/>
      <c r="AK16" s="319"/>
      <c r="AL16" s="320"/>
      <c r="AM16" s="321"/>
      <c r="AN16" s="319" t="s">
        <v>304</v>
      </c>
      <c r="AO16" s="319" t="s">
        <v>448</v>
      </c>
      <c r="AP16" s="325"/>
      <c r="AQ16" s="257"/>
      <c r="AR16" s="327" t="s">
        <v>305</v>
      </c>
      <c r="AS16" s="257"/>
      <c r="AT16" s="257"/>
      <c r="AU16" s="258"/>
      <c r="AV16" s="259" t="s">
        <v>452</v>
      </c>
      <c r="AW16" s="326" t="s">
        <v>453</v>
      </c>
      <c r="AX16" s="252"/>
      <c r="AY16" s="252"/>
      <c r="AZ16" s="252"/>
      <c r="BA16" s="260"/>
      <c r="BB16" s="261" t="s">
        <v>303</v>
      </c>
      <c r="BC16" s="262"/>
      <c r="BD16" s="262"/>
      <c r="BE16" s="263"/>
      <c r="BF16" s="335" t="s">
        <v>265</v>
      </c>
      <c r="BG16" s="335" t="s">
        <v>266</v>
      </c>
      <c r="BH16" s="333" t="s">
        <v>265</v>
      </c>
      <c r="BI16" s="334" t="s">
        <v>266</v>
      </c>
      <c r="BJ16" s="336" t="s">
        <v>431</v>
      </c>
      <c r="BK16" s="337" t="s">
        <v>432</v>
      </c>
      <c r="BL16" s="338" t="s">
        <v>433</v>
      </c>
      <c r="BM16" s="339" t="s">
        <v>434</v>
      </c>
      <c r="BN16" s="339" t="s">
        <v>435</v>
      </c>
      <c r="BO16" s="340" t="s">
        <v>432</v>
      </c>
      <c r="BP16" s="175"/>
    </row>
    <row r="17" spans="1:68" ht="18">
      <c r="A17" s="173"/>
      <c r="B17" s="244"/>
      <c r="C17" s="244"/>
      <c r="D17" s="244" t="s">
        <v>308</v>
      </c>
      <c r="E17" s="244"/>
      <c r="F17" s="244"/>
      <c r="G17" s="244"/>
      <c r="H17" s="244"/>
      <c r="I17" s="244"/>
      <c r="J17" s="246"/>
      <c r="K17" s="272" t="s">
        <v>307</v>
      </c>
      <c r="L17" s="173"/>
      <c r="M17" s="173"/>
      <c r="N17" s="273" t="s">
        <v>308</v>
      </c>
      <c r="O17" s="267"/>
      <c r="P17" s="170"/>
      <c r="Q17" s="268" t="s">
        <v>249</v>
      </c>
      <c r="R17" s="241" t="s">
        <v>251</v>
      </c>
      <c r="S17" s="222" t="s">
        <v>251</v>
      </c>
      <c r="T17" s="268" t="s">
        <v>249</v>
      </c>
      <c r="U17" s="241" t="s">
        <v>251</v>
      </c>
      <c r="V17" s="222" t="s">
        <v>251</v>
      </c>
      <c r="W17" s="269"/>
      <c r="X17" s="265"/>
      <c r="Y17" s="245" t="s">
        <v>319</v>
      </c>
      <c r="Z17" s="245" t="s">
        <v>483</v>
      </c>
      <c r="AA17" s="173"/>
      <c r="AB17" s="173"/>
      <c r="AC17" s="245" t="s">
        <v>486</v>
      </c>
      <c r="AD17" s="173"/>
      <c r="AE17" s="173"/>
      <c r="AF17" s="173"/>
      <c r="AG17" s="173"/>
      <c r="AH17" s="315">
        <f t="shared" ref="AH17:AM17" si="0">SUM(AH22:AH599)</f>
        <v>69.785208328606089</v>
      </c>
      <c r="AI17" s="315">
        <f t="shared" si="0"/>
        <v>217.77594905272724</v>
      </c>
      <c r="AJ17" s="315">
        <f t="shared" si="0"/>
        <v>103.42890939127288</v>
      </c>
      <c r="AK17" s="315">
        <f t="shared" si="0"/>
        <v>56.546690102997573</v>
      </c>
      <c r="AL17" s="315">
        <f t="shared" si="0"/>
        <v>229.77876261272368</v>
      </c>
      <c r="AM17" s="315">
        <f t="shared" si="0"/>
        <v>96.196251212916167</v>
      </c>
      <c r="AN17" s="315" t="s">
        <v>304</v>
      </c>
      <c r="AO17" s="315" t="s">
        <v>304</v>
      </c>
      <c r="AP17" s="241" t="s">
        <v>286</v>
      </c>
      <c r="AQ17" s="222" t="s">
        <v>286</v>
      </c>
      <c r="AR17" s="171"/>
      <c r="AS17" s="170"/>
      <c r="AT17" s="170"/>
      <c r="AU17" s="170"/>
      <c r="AV17" s="266"/>
      <c r="AW17" s="266"/>
      <c r="AX17" s="175"/>
      <c r="AY17" s="175"/>
      <c r="AZ17" s="175"/>
      <c r="BA17" s="267"/>
      <c r="BB17" s="170"/>
      <c r="BC17" s="170"/>
      <c r="BD17" s="170"/>
      <c r="BE17" s="170" t="s">
        <v>454</v>
      </c>
      <c r="BF17" s="267"/>
      <c r="BG17" s="170"/>
      <c r="BH17" s="268" t="s">
        <v>438</v>
      </c>
      <c r="BI17" s="241" t="s">
        <v>439</v>
      </c>
      <c r="BJ17" s="182" t="s">
        <v>440</v>
      </c>
      <c r="BK17" s="182"/>
      <c r="BL17" s="270"/>
      <c r="BM17" s="271"/>
      <c r="BN17" s="271"/>
      <c r="BO17" s="341"/>
      <c r="BP17" s="175"/>
    </row>
    <row r="18" spans="1:68" ht="17.25">
      <c r="A18" s="241" t="s">
        <v>216</v>
      </c>
      <c r="B18" s="244" t="s">
        <v>198</v>
      </c>
      <c r="C18" s="244" t="s">
        <v>293</v>
      </c>
      <c r="D18" s="244" t="s">
        <v>309</v>
      </c>
      <c r="E18" s="244" t="s">
        <v>87</v>
      </c>
      <c r="F18" s="244" t="s">
        <v>127</v>
      </c>
      <c r="G18" s="244" t="s">
        <v>65</v>
      </c>
      <c r="H18" s="244" t="s">
        <v>65</v>
      </c>
      <c r="I18" s="244" t="s">
        <v>65</v>
      </c>
      <c r="J18" s="245" t="s">
        <v>91</v>
      </c>
      <c r="K18" s="272" t="s">
        <v>293</v>
      </c>
      <c r="L18" s="265"/>
      <c r="M18" s="265"/>
      <c r="N18" s="273" t="s">
        <v>309</v>
      </c>
      <c r="O18" s="267"/>
      <c r="P18" s="241" t="s">
        <v>367</v>
      </c>
      <c r="Q18" s="268" t="s">
        <v>250</v>
      </c>
      <c r="R18" s="241" t="s">
        <v>368</v>
      </c>
      <c r="S18" s="222" t="s">
        <v>368</v>
      </c>
      <c r="T18" s="264" t="s">
        <v>250</v>
      </c>
      <c r="U18" s="241" t="s">
        <v>369</v>
      </c>
      <c r="V18" s="222" t="s">
        <v>368</v>
      </c>
      <c r="W18" s="269" t="s">
        <v>300</v>
      </c>
      <c r="X18" s="245" t="s">
        <v>298</v>
      </c>
      <c r="Y18" s="245" t="s">
        <v>298</v>
      </c>
      <c r="Z18" s="245" t="s">
        <v>216</v>
      </c>
      <c r="AA18" s="222" t="s">
        <v>298</v>
      </c>
      <c r="AB18" s="241" t="s">
        <v>298</v>
      </c>
      <c r="AC18" s="245" t="s">
        <v>216</v>
      </c>
      <c r="AD18" s="241" t="s">
        <v>298</v>
      </c>
      <c r="AE18" s="222" t="s">
        <v>298</v>
      </c>
      <c r="AF18" s="222" t="s">
        <v>298</v>
      </c>
      <c r="AG18" s="173"/>
      <c r="AH18" s="241" t="s">
        <v>306</v>
      </c>
      <c r="AI18" s="241" t="s">
        <v>205</v>
      </c>
      <c r="AJ18" s="241" t="s">
        <v>200</v>
      </c>
      <c r="AK18" s="241" t="s">
        <v>306</v>
      </c>
      <c r="AL18" s="241" t="s">
        <v>205</v>
      </c>
      <c r="AM18" s="241" t="s">
        <v>200</v>
      </c>
      <c r="AN18" s="241" t="s">
        <v>287</v>
      </c>
      <c r="AO18" s="241" t="s">
        <v>287</v>
      </c>
      <c r="AP18" s="241" t="s">
        <v>287</v>
      </c>
      <c r="AQ18" s="222" t="s">
        <v>287</v>
      </c>
      <c r="AR18" s="274" t="s">
        <v>304</v>
      </c>
      <c r="AS18" s="182" t="s">
        <v>304</v>
      </c>
      <c r="AT18" s="275" t="s">
        <v>304</v>
      </c>
      <c r="AU18" s="276" t="s">
        <v>304</v>
      </c>
      <c r="AV18" s="266"/>
      <c r="AW18" s="266"/>
      <c r="AX18" s="175"/>
      <c r="AY18" s="175"/>
      <c r="AZ18" s="175"/>
      <c r="BA18" s="267"/>
      <c r="BB18" s="170"/>
      <c r="BC18" s="170"/>
      <c r="BD18" s="170"/>
      <c r="BE18" s="277">
        <f>Q7</f>
        <v>100</v>
      </c>
      <c r="BF18" s="267"/>
      <c r="BG18" s="170"/>
      <c r="BH18" s="268" t="s">
        <v>338</v>
      </c>
      <c r="BI18" s="241" t="s">
        <v>338</v>
      </c>
      <c r="BJ18" s="182"/>
      <c r="BK18" s="182"/>
      <c r="BL18" s="270"/>
      <c r="BM18" s="271"/>
      <c r="BN18" s="271"/>
      <c r="BO18" s="342"/>
      <c r="BP18" s="175"/>
    </row>
    <row r="19" spans="1:68" ht="17.25" customHeight="1">
      <c r="A19" s="241" t="s">
        <v>337</v>
      </c>
      <c r="B19" s="244"/>
      <c r="C19" s="244" t="s">
        <v>285</v>
      </c>
      <c r="D19" s="244" t="s">
        <v>285</v>
      </c>
      <c r="E19" s="244"/>
      <c r="F19" s="244"/>
      <c r="G19" s="244" t="s">
        <v>455</v>
      </c>
      <c r="H19" s="244" t="s">
        <v>218</v>
      </c>
      <c r="I19" s="244"/>
      <c r="J19" s="246"/>
      <c r="K19" s="272" t="s">
        <v>450</v>
      </c>
      <c r="L19" s="241" t="s">
        <v>198</v>
      </c>
      <c r="M19" s="241" t="s">
        <v>63</v>
      </c>
      <c r="N19" s="278" t="s">
        <v>450</v>
      </c>
      <c r="O19" s="268" t="s">
        <v>231</v>
      </c>
      <c r="P19" s="241" t="s">
        <v>451</v>
      </c>
      <c r="Q19" s="268" t="s">
        <v>232</v>
      </c>
      <c r="R19" s="241" t="s">
        <v>232</v>
      </c>
      <c r="S19" s="222" t="s">
        <v>232</v>
      </c>
      <c r="T19" s="268" t="s">
        <v>289</v>
      </c>
      <c r="U19" s="241" t="s">
        <v>289</v>
      </c>
      <c r="V19" s="222" t="s">
        <v>289</v>
      </c>
      <c r="W19" s="269" t="s">
        <v>367</v>
      </c>
      <c r="X19" s="245" t="s">
        <v>285</v>
      </c>
      <c r="Y19" s="245" t="s">
        <v>285</v>
      </c>
      <c r="Z19" s="245" t="s">
        <v>285</v>
      </c>
      <c r="AA19" s="222" t="s">
        <v>285</v>
      </c>
      <c r="AB19" s="241" t="s">
        <v>201</v>
      </c>
      <c r="AC19" s="245" t="s">
        <v>285</v>
      </c>
      <c r="AD19" s="241" t="s">
        <v>202</v>
      </c>
      <c r="AE19" s="222" t="s">
        <v>201</v>
      </c>
      <c r="AF19" s="222" t="s">
        <v>202</v>
      </c>
      <c r="AG19" s="241" t="s">
        <v>88</v>
      </c>
      <c r="AH19" s="241" t="s">
        <v>88</v>
      </c>
      <c r="AI19" s="241" t="s">
        <v>88</v>
      </c>
      <c r="AJ19" s="241" t="s">
        <v>88</v>
      </c>
      <c r="AK19" s="241" t="s">
        <v>447</v>
      </c>
      <c r="AL19" s="241" t="s">
        <v>447</v>
      </c>
      <c r="AM19" s="241" t="s">
        <v>447</v>
      </c>
      <c r="AN19" s="241" t="s">
        <v>285</v>
      </c>
      <c r="AO19" s="241" t="s">
        <v>285</v>
      </c>
      <c r="AP19" s="241" t="s">
        <v>285</v>
      </c>
      <c r="AQ19" s="222" t="s">
        <v>285</v>
      </c>
      <c r="AR19" s="274" t="s">
        <v>201</v>
      </c>
      <c r="AS19" s="182" t="s">
        <v>202</v>
      </c>
      <c r="AT19" s="275" t="s">
        <v>201</v>
      </c>
      <c r="AU19" s="276" t="s">
        <v>202</v>
      </c>
      <c r="AV19" s="279" t="s">
        <v>65</v>
      </c>
      <c r="AW19" s="279" t="s">
        <v>441</v>
      </c>
      <c r="AX19" s="182" t="s">
        <v>127</v>
      </c>
      <c r="AY19" s="182" t="s">
        <v>290</v>
      </c>
      <c r="AZ19" s="182" t="s">
        <v>232</v>
      </c>
      <c r="BA19" s="279" t="s">
        <v>441</v>
      </c>
      <c r="BB19" s="182" t="s">
        <v>292</v>
      </c>
      <c r="BC19" s="182" t="s">
        <v>291</v>
      </c>
      <c r="BD19" s="182" t="s">
        <v>289</v>
      </c>
      <c r="BE19" s="182" t="s">
        <v>289</v>
      </c>
      <c r="BF19" s="267"/>
      <c r="BG19" s="170"/>
      <c r="BH19" s="268" t="s">
        <v>442</v>
      </c>
      <c r="BI19" s="241" t="s">
        <v>443</v>
      </c>
      <c r="BJ19" s="182"/>
      <c r="BK19" s="182"/>
      <c r="BL19" s="270"/>
      <c r="BM19" s="271"/>
      <c r="BN19" s="271"/>
      <c r="BO19" s="342"/>
      <c r="BP19" s="175"/>
    </row>
    <row r="20" spans="1:68" ht="17.25">
      <c r="A20" s="170"/>
      <c r="B20" s="280"/>
      <c r="C20" s="280"/>
      <c r="D20" s="280"/>
      <c r="E20" s="280"/>
      <c r="F20" s="281" t="s">
        <v>444</v>
      </c>
      <c r="G20" s="281" t="s">
        <v>444</v>
      </c>
      <c r="H20" s="281" t="s">
        <v>444</v>
      </c>
      <c r="I20" s="281" t="s">
        <v>444</v>
      </c>
      <c r="J20" s="175"/>
      <c r="K20" s="241" t="str">
        <f>IF(ISNUMBER(#REF!),#REF!,"")</f>
        <v/>
      </c>
      <c r="L20" s="170"/>
      <c r="M20" s="170"/>
      <c r="N20" s="278"/>
      <c r="O20" s="282"/>
      <c r="P20" s="283"/>
      <c r="Q20" s="279"/>
      <c r="R20" s="283"/>
      <c r="S20" s="284"/>
      <c r="T20" s="285"/>
      <c r="U20" s="283"/>
      <c r="V20" s="283"/>
      <c r="W20" s="286"/>
      <c r="X20" s="287"/>
      <c r="Y20" s="245" t="s">
        <v>123</v>
      </c>
      <c r="Z20" s="287"/>
      <c r="AA20" s="283"/>
      <c r="AB20" s="283" t="s">
        <v>294</v>
      </c>
      <c r="AC20" s="283"/>
      <c r="AD20" s="283" t="s">
        <v>294</v>
      </c>
      <c r="AE20" s="284" t="s">
        <v>294</v>
      </c>
      <c r="AF20" s="284" t="s">
        <v>294</v>
      </c>
      <c r="AG20" s="241" t="s">
        <v>294</v>
      </c>
      <c r="AH20" s="283" t="s">
        <v>294</v>
      </c>
      <c r="AI20" s="283" t="s">
        <v>294</v>
      </c>
      <c r="AJ20" s="283" t="s">
        <v>294</v>
      </c>
      <c r="AK20" s="283" t="s">
        <v>294</v>
      </c>
      <c r="AL20" s="283" t="s">
        <v>294</v>
      </c>
      <c r="AM20" s="283" t="s">
        <v>294</v>
      </c>
      <c r="AN20" s="283" t="s">
        <v>456</v>
      </c>
      <c r="AO20" s="283" t="s">
        <v>307</v>
      </c>
      <c r="AP20" s="283"/>
      <c r="AQ20" s="284"/>
      <c r="AR20" s="288" t="s">
        <v>294</v>
      </c>
      <c r="AS20" s="288" t="s">
        <v>294</v>
      </c>
      <c r="AT20" s="289" t="s">
        <v>294</v>
      </c>
      <c r="AU20" s="289" t="s">
        <v>294</v>
      </c>
      <c r="AV20" s="279" t="s">
        <v>445</v>
      </c>
      <c r="AW20" s="279"/>
      <c r="AX20" s="182" t="s">
        <v>152</v>
      </c>
      <c r="AY20" s="182"/>
      <c r="AZ20" s="182"/>
      <c r="BA20" s="279"/>
      <c r="BB20" s="182" t="s">
        <v>152</v>
      </c>
      <c r="BC20" s="182"/>
      <c r="BD20" s="182"/>
      <c r="BE20" s="182"/>
      <c r="BF20" s="267"/>
      <c r="BG20" s="170"/>
      <c r="BH20" s="267"/>
      <c r="BI20" s="170"/>
      <c r="BJ20" s="175"/>
      <c r="BK20" s="175"/>
      <c r="BL20" s="267"/>
      <c r="BM20" s="170"/>
      <c r="BN20" s="170"/>
      <c r="BO20" s="342"/>
      <c r="BP20" s="175"/>
    </row>
    <row r="21" spans="1:68" ht="15">
      <c r="A21" s="290">
        <v>0</v>
      </c>
      <c r="B21" s="291"/>
      <c r="C21" s="291"/>
      <c r="D21" s="291"/>
      <c r="E21" s="292"/>
      <c r="F21" s="292"/>
      <c r="G21" s="292"/>
      <c r="H21" s="292"/>
      <c r="I21" s="293"/>
      <c r="J21" s="294"/>
      <c r="K21" s="295">
        <f>IF(R2="","",R2)</f>
        <v>0</v>
      </c>
      <c r="L21" s="295"/>
      <c r="M21" s="295"/>
      <c r="N21" s="296"/>
      <c r="O21" s="295">
        <v>0</v>
      </c>
      <c r="P21" s="296"/>
      <c r="Q21" s="295"/>
      <c r="R21" s="296"/>
      <c r="S21" s="296"/>
      <c r="T21" s="296"/>
      <c r="U21" s="296"/>
      <c r="V21" s="296"/>
      <c r="W21" s="296"/>
      <c r="X21" s="296"/>
      <c r="Y21" s="296"/>
      <c r="Z21" s="296"/>
      <c r="AA21" s="296"/>
      <c r="AB21" s="296"/>
      <c r="AC21" s="296"/>
      <c r="AD21" s="297">
        <v>0</v>
      </c>
      <c r="AE21" s="297"/>
      <c r="AF21" s="298"/>
      <c r="AG21" s="298">
        <v>0</v>
      </c>
      <c r="AH21" s="297">
        <v>0</v>
      </c>
      <c r="AI21" s="297">
        <v>0</v>
      </c>
      <c r="AJ21" s="297">
        <v>0</v>
      </c>
      <c r="AK21" s="297">
        <v>0</v>
      </c>
      <c r="AL21" s="297">
        <v>0</v>
      </c>
      <c r="AM21" s="297">
        <v>0</v>
      </c>
      <c r="AN21" s="297"/>
      <c r="AO21" s="297"/>
      <c r="AP21" s="296"/>
      <c r="AQ21" s="296"/>
      <c r="AR21" s="296"/>
      <c r="AS21" s="297">
        <v>0</v>
      </c>
      <c r="AT21" s="297"/>
      <c r="AU21" s="297"/>
      <c r="AV21" s="296"/>
      <c r="AW21" s="296"/>
      <c r="AX21" s="296"/>
      <c r="AY21" s="296"/>
      <c r="AZ21" s="296"/>
      <c r="BA21" s="296"/>
      <c r="BB21" s="296"/>
      <c r="BC21" s="295">
        <v>0</v>
      </c>
      <c r="BD21" s="295"/>
      <c r="BE21" s="296"/>
      <c r="BF21" s="296"/>
      <c r="BG21" s="296"/>
      <c r="BH21" s="296"/>
      <c r="BI21" s="296"/>
      <c r="BJ21" s="296"/>
      <c r="BK21" s="296"/>
      <c r="BL21" s="296"/>
      <c r="BM21" s="296"/>
      <c r="BN21" s="296"/>
      <c r="BO21" s="296"/>
      <c r="BP21" s="296"/>
    </row>
    <row r="22" spans="1:68">
      <c r="A22" s="299">
        <f t="shared" ref="A22:A85" si="1">IF(B22&gt;K$12,0,IF(B22&gt;L$11,4,IF(B22&gt;=L$10,3,IF(B22&gt;L$9,2,IF(B22&gt;=K$8,1,0)))))</f>
        <v>0</v>
      </c>
      <c r="B22" s="300">
        <f>DATE(K2,1,1)</f>
        <v>37987</v>
      </c>
      <c r="C22" s="301" t="e">
        <f>VLOOKUP(B22,$L$8:$R$12,7,FALSE)</f>
        <v>#N/A</v>
      </c>
      <c r="D22" s="301" t="e">
        <f t="shared" ref="D22:D85" si="2">IF(ISNA(C22),#N/A,IF(Q22&lt;C22,Q22,C22))</f>
        <v>#N/A</v>
      </c>
      <c r="E22" s="299">
        <f t="shared" ref="E22:E85" si="3">B22-DATE(K$2-1,12,31)</f>
        <v>1</v>
      </c>
      <c r="F22" s="396">
        <f>Weather!M6</f>
        <v>0</v>
      </c>
      <c r="G22" s="301">
        <f>IF(Weather!C6="","",Weather!C6)</f>
        <v>0.2215792704707612</v>
      </c>
      <c r="H22" s="301">
        <f>IF(Weather!D6="","",Weather!D6)</f>
        <v>0.24825455305211253</v>
      </c>
      <c r="I22" s="502">
        <f>IF(Weather!E6="","",Weather!E6)</f>
        <v>0.24825455305211253</v>
      </c>
      <c r="J22" s="397">
        <f>IF(RnSplint!N50&lt;0,0,RnSplint!N50)</f>
        <v>21.789335254789577</v>
      </c>
      <c r="K22" s="302">
        <f>IF(AND($B22&gt;=L$8,$B22&lt;=L$9),Z$9,IF(AND($B22&gt;L$9,$B22&lt;=L$10),N21+AA$9,IF(AND($B22&gt;L$10,$B22&lt;=L$11),N21+AA$10,IF(AND($B22&gt;L$11,$B22&lt;=L$12),N21+AA$11,0))))</f>
        <v>0</v>
      </c>
      <c r="L22" s="303">
        <f>B22</f>
        <v>37987</v>
      </c>
      <c r="M22" s="346" t="str">
        <f t="shared" ref="M22:M85" si="4">IF(OR(MONTH(L23)&gt;MONTH(L22),MONTH(L23)&lt;MONTH(L22)),MONTH(L22),"")</f>
        <v/>
      </c>
      <c r="N22" s="304">
        <f>K22</f>
        <v>0</v>
      </c>
      <c r="O22" s="304">
        <f>IF($L$3&lt;3,0,IF($R$3=E22,R$2,IF($R$4=E21,0,IF($R$5=E22,R$2,IF($R$6=E21,0,O21)))))</f>
        <v>0</v>
      </c>
      <c r="P22" s="304">
        <f t="shared" ref="P22:P85" si="5">IF($N22+$O22&gt;K$6,$K$6,$N22+$O22)</f>
        <v>0</v>
      </c>
      <c r="Q22" s="304">
        <f t="shared" ref="Q22:Q85" si="6">AZ22</f>
        <v>1.2</v>
      </c>
      <c r="R22" s="304">
        <f t="shared" ref="R22:R85" si="7">IF(Q22&gt;P22,Q22,P22)</f>
        <v>1.2</v>
      </c>
      <c r="S22" s="305" t="e">
        <f>IF(N22=0,#N/A,R22)</f>
        <v>#N/A</v>
      </c>
      <c r="T22" s="304">
        <f t="shared" ref="T22:T85" si="8">BE22</f>
        <v>0</v>
      </c>
      <c r="U22" s="304">
        <f>IF(T22&gt;P22,T22,P22)</f>
        <v>0</v>
      </c>
      <c r="V22" s="305" t="e">
        <f t="shared" ref="V22:V85" si="9">IF(N22=0,#N/A,U22)</f>
        <v>#N/A</v>
      </c>
      <c r="W22" s="305" t="e">
        <f>IF(OR(P22=0,P22=""),#N/A,P22)</f>
        <v>#N/A</v>
      </c>
      <c r="X22" s="304">
        <f>IF($R22&gt;$U22,$R22,$U22)</f>
        <v>1.2</v>
      </c>
      <c r="Z22" s="304" t="str">
        <f>IF($A22=2,$X22,"")</f>
        <v/>
      </c>
      <c r="AA22" s="305" t="e">
        <f t="shared" ref="AA22:AA85" si="10">IF(N22=0,#N/A,X22)</f>
        <v>#N/A</v>
      </c>
      <c r="AB22" s="304">
        <f t="shared" ref="AB22:AB85" si="11">X22*AV22</f>
        <v>0.29790546366253501</v>
      </c>
      <c r="AC22" s="304" t="str">
        <f>IF($A22=4,$X22,"")</f>
        <v/>
      </c>
      <c r="AD22" s="306">
        <f t="shared" ref="AD22:AD85" si="12">IF(OR(AND(L$3=4,E22&gt;366),AND(L$3=2,E22&gt;366)),0,IF(A22=0,0,AD21+AB22))</f>
        <v>0</v>
      </c>
      <c r="AE22" s="307">
        <f>IF(AB22="",#N/A,AB22)</f>
        <v>0.29790546366253501</v>
      </c>
      <c r="AF22" s="308" t="e">
        <f t="shared" ref="AF22:AF85" si="13">IF(AD22=0,#N/A,AD22)</f>
        <v>#N/A</v>
      </c>
      <c r="AG22" s="306">
        <f>AG21+$I22</f>
        <v>0.24825455305211253</v>
      </c>
      <c r="AH22" s="306">
        <f t="shared" ref="AH22:AH85" si="14">IF($A22=1,I22,0)</f>
        <v>0</v>
      </c>
      <c r="AI22" s="306">
        <f>IF($A22=3,$I22,0)</f>
        <v>0</v>
      </c>
      <c r="AJ22" s="306">
        <f>IF($A22=4,$I22,0)</f>
        <v>0</v>
      </c>
      <c r="AK22" s="306">
        <f t="shared" ref="AK22:AK85" si="15">IF($A22=1,AE22,0)</f>
        <v>0</v>
      </c>
      <c r="AL22" s="306">
        <f>IF($A22=3,$AE22,0)</f>
        <v>0</v>
      </c>
      <c r="AM22" s="306">
        <f t="shared" ref="AM22:AM85" si="16">IF($A22=4,$AE22,0)</f>
        <v>0</v>
      </c>
      <c r="AN22" s="304">
        <f>KcSplint!$N51</f>
        <v>1.2093091675041161</v>
      </c>
      <c r="AO22" s="304" t="str">
        <f t="shared" ref="AO22:AO85" si="17">IF($A22=1,$AC$9,IF($A22=2,$AP21+$AD$9,IF($A22=3,$AC$10,IF($A22=4,$AP21+$AD$11,""))))</f>
        <v/>
      </c>
      <c r="AP22" s="304" t="str">
        <f>IF(OR($L$3=2,$L$3=4),AN22,AO22)</f>
        <v/>
      </c>
      <c r="AQ22" s="305" t="e">
        <f>IF(AP22="",#N/A,AP22)</f>
        <v>#N/A</v>
      </c>
      <c r="AR22" s="304" t="str">
        <f>IF(AP22="","",AP22*AV22)</f>
        <v/>
      </c>
      <c r="AS22" s="306">
        <f t="shared" ref="AS22:AS85" si="18">IF(OR(AND(L$3=4,E22&gt;366),AND(L$3=2,E22&gt;366)),0,IF(AR22="",0,AS21+AR22))</f>
        <v>0</v>
      </c>
      <c r="AT22" s="307" t="e">
        <f>IF(AR22="",#N/A,AR22)</f>
        <v>#N/A</v>
      </c>
      <c r="AU22" s="307" t="e">
        <f>IF(AS22=0,#N/A,AS22)</f>
        <v>#N/A</v>
      </c>
      <c r="AV22" s="304">
        <f t="shared" ref="AV22:AV85" si="19">IF(I22&lt;0,0,I22)</f>
        <v>0.24825455305211253</v>
      </c>
      <c r="AW22" s="309">
        <f t="shared" ref="AW22:AW85" si="20">IF(AV22="",0,IF(AY22=1,AV22,AW21+AV22))</f>
        <v>0.24825455305211253</v>
      </c>
      <c r="AX22" s="306">
        <f>IF(ISERROR(Weather!M6),#N/A,Weather!M6)</f>
        <v>0</v>
      </c>
      <c r="AY22" s="310">
        <f t="shared" ref="AY22:AY85" si="21">IF(AV22="",0,IF(AX22&gt;2*AV22,1,AY21+1))</f>
        <v>1</v>
      </c>
      <c r="AZ22" s="309">
        <f t="shared" ref="AZ22:AZ85" si="22">IF(2.725*$AW22^-0.516&gt;1.2,1.2,2.725*$AW22^-0.516)</f>
        <v>1.2</v>
      </c>
      <c r="BA22" s="309">
        <f t="shared" ref="BA22:BA85" si="23">IF($AV22="",0,IF(BC22=1,$AV22,BA21+$AV22))</f>
        <v>0.24825455305211253</v>
      </c>
      <c r="BB22" s="311">
        <f>Irrig!H24</f>
        <v>0</v>
      </c>
      <c r="BC22" s="310">
        <f t="shared" ref="BC22:BC85" si="24">IF(A22=0,0,IF(BB22="",0,IF(BB22&gt;2*AV22,1,IF(A21=0,2,BC21+1))))</f>
        <v>0</v>
      </c>
      <c r="BD22" s="309">
        <f t="shared" ref="BD22:BD85" si="25">IF($A22=0,0,IF(2.725*$BA22^-0.516&gt;1.2,IF($A21=0,$Q22,1.2),IF($A21=0,$Q22,2.725*$BA22^-0.516)))</f>
        <v>0</v>
      </c>
      <c r="BE22" s="309">
        <f t="shared" ref="BE22:BE85" si="26">(BE$18/100)*BD22</f>
        <v>0</v>
      </c>
      <c r="BF22" s="306">
        <f>DailyMet!H5</f>
        <v>0.33</v>
      </c>
      <c r="BG22" s="306">
        <f>DailyMet!I5</f>
        <v>-5</v>
      </c>
      <c r="BH22" s="306">
        <f t="shared" ref="BH22:BH85" si="27">IF(BF22&gt;$V$3,$V$3,BF22)</f>
        <v>0.33</v>
      </c>
      <c r="BI22" s="306">
        <f t="shared" ref="BI22:BI85" si="28">IF(BG22&lt;$V$4,$V$4,BG22)</f>
        <v>10</v>
      </c>
      <c r="BJ22" s="306">
        <f t="shared" ref="BJ22:BJ85" si="29">(BH22+BI22)/2-V$4</f>
        <v>-4.835</v>
      </c>
      <c r="BK22" s="306">
        <f>IF(AP22="",0,BJ22)</f>
        <v>0</v>
      </c>
      <c r="BL22" s="304">
        <f t="shared" ref="BL22:BL85" si="30">IF($BG22&gt;$V$3,($BG22+$BF22)/2-$V$3,IF($BF22&gt;$V$3,($BF22-$V$3)^2/(2*($BF22-$BG22)),0))</f>
        <v>0</v>
      </c>
      <c r="BM22" s="304">
        <f t="shared" ref="BM22:BM85" si="31">IF($BG22&gt;$V$4,($BG22+$BF22)/2-$V$4,IF($BF22&gt;$V$4,($BF22-$V$4)^2/(2*($BF22-$BG22)),0))</f>
        <v>0</v>
      </c>
      <c r="BN22" s="304">
        <f>BM22-BL22</f>
        <v>0</v>
      </c>
      <c r="BO22" s="306">
        <f>IF(AP22="",0,BN22)</f>
        <v>0</v>
      </c>
      <c r="BP22" s="306"/>
    </row>
    <row r="23" spans="1:68">
      <c r="A23" s="299">
        <f t="shared" si="1"/>
        <v>0</v>
      </c>
      <c r="B23" s="300">
        <f t="shared" ref="B23:B85" si="32">B22+1</f>
        <v>37988</v>
      </c>
      <c r="C23" s="301" t="e">
        <f t="shared" ref="C23:C86" si="33">VLOOKUP(B23,$L$8:$R$12,7,FALSE)</f>
        <v>#N/A</v>
      </c>
      <c r="D23" s="301" t="e">
        <f t="shared" si="2"/>
        <v>#N/A</v>
      </c>
      <c r="E23" s="299">
        <f t="shared" si="3"/>
        <v>2</v>
      </c>
      <c r="F23" s="396">
        <f>Weather!M7</f>
        <v>1.8</v>
      </c>
      <c r="G23" s="301">
        <f>IF(Weather!C7="","",Weather!C7)</f>
        <v>0.22831276230435454</v>
      </c>
      <c r="H23" s="301">
        <f>IF(Weather!D7="","",Weather!D7)</f>
        <v>0.26135759193647401</v>
      </c>
      <c r="I23" s="502">
        <f>IF(Weather!E7="","",Weather!E7)</f>
        <v>0.26135759193647401</v>
      </c>
      <c r="J23" s="397">
        <f>IF(RnSplint!N51&lt;0,0,RnSplint!N51)</f>
        <v>22.616311178750415</v>
      </c>
      <c r="K23" s="302">
        <f t="shared" ref="K23:K86" si="34">IF(AND($B23&gt;=L$8,$B23&lt;=L$9),Z$9,IF(AND($B23&gt;L$9,$B23&lt;=L$10),N22+AA$9,IF(AND($B23&gt;L$10,$B23&lt;=L$11),N22+AA$10,IF(AND($B23&gt;L$11,$B23&lt;=L$12),N22+AA$11,0))))</f>
        <v>0</v>
      </c>
      <c r="L23" s="303">
        <f t="shared" ref="L23:L86" si="35">B23</f>
        <v>37988</v>
      </c>
      <c r="M23" s="346" t="str">
        <f t="shared" si="4"/>
        <v/>
      </c>
      <c r="N23" s="304">
        <f t="shared" ref="N23:N86" si="36">K23</f>
        <v>0</v>
      </c>
      <c r="O23" s="304">
        <f t="shared" ref="O23:O86" si="37">IF($L$3&lt;3,0,IF($R$3=E23,R$2,IF($R$4=E22,0,IF($R$5=E23,R$2,IF($R$6=E22,0,O22)))))</f>
        <v>0</v>
      </c>
      <c r="P23" s="304">
        <f t="shared" si="5"/>
        <v>0</v>
      </c>
      <c r="Q23" s="304">
        <f t="shared" si="6"/>
        <v>1.2</v>
      </c>
      <c r="R23" s="304">
        <f t="shared" si="7"/>
        <v>1.2</v>
      </c>
      <c r="S23" s="305" t="e">
        <f t="shared" ref="S23:S86" si="38">IF(N23=0,#N/A,R23)</f>
        <v>#N/A</v>
      </c>
      <c r="T23" s="304">
        <f t="shared" si="8"/>
        <v>0</v>
      </c>
      <c r="U23" s="304">
        <f>IF(T23&gt;P23,T23,P23)</f>
        <v>0</v>
      </c>
      <c r="V23" s="305" t="e">
        <f t="shared" si="9"/>
        <v>#N/A</v>
      </c>
      <c r="W23" s="305" t="e">
        <f t="shared" ref="W23:W86" si="39">IF(OR(P23=0,P23=""),#N/A,P23)</f>
        <v>#N/A</v>
      </c>
      <c r="X23" s="304">
        <f t="shared" ref="X23:X86" si="40">IF(R23&gt;U23,R23,U23)</f>
        <v>1.2</v>
      </c>
      <c r="Z23" s="304" t="str">
        <f t="shared" ref="Z23:Z85" si="41">IF(A23=2,X23,"")</f>
        <v/>
      </c>
      <c r="AA23" s="305" t="e">
        <f t="shared" si="10"/>
        <v>#N/A</v>
      </c>
      <c r="AB23" s="304">
        <f t="shared" si="11"/>
        <v>0.31362911032376878</v>
      </c>
      <c r="AC23" s="304" t="str">
        <f t="shared" ref="AC23:AC86" si="42">IF($A23=4,$X23,"")</f>
        <v/>
      </c>
      <c r="AD23" s="306">
        <f t="shared" si="12"/>
        <v>0</v>
      </c>
      <c r="AE23" s="307">
        <f t="shared" ref="AE23:AE86" si="43">IF(AB23="",#N/A,AB23)</f>
        <v>0.31362911032376878</v>
      </c>
      <c r="AF23" s="308" t="e">
        <f t="shared" si="13"/>
        <v>#N/A</v>
      </c>
      <c r="AG23" s="306">
        <f t="shared" ref="AG23:AG86" si="44">AG22+$I23</f>
        <v>0.50961214498858654</v>
      </c>
      <c r="AH23" s="306">
        <f t="shared" si="14"/>
        <v>0</v>
      </c>
      <c r="AI23" s="306">
        <f t="shared" ref="AI23:AI86" si="45">IF($A23=3,I23,0)</f>
        <v>0</v>
      </c>
      <c r="AJ23" s="306">
        <f t="shared" ref="AJ23:AJ86" si="46">IF($A23=4,$I23,0)</f>
        <v>0</v>
      </c>
      <c r="AK23" s="306">
        <f t="shared" si="15"/>
        <v>0</v>
      </c>
      <c r="AL23" s="306">
        <f t="shared" ref="AL23:AL86" si="47">IF($A23=3,AE23,0)</f>
        <v>0</v>
      </c>
      <c r="AM23" s="306">
        <f t="shared" si="16"/>
        <v>0</v>
      </c>
      <c r="AN23" s="304">
        <f>KcSplint!$N52</f>
        <v>1.2064189269270837</v>
      </c>
      <c r="AO23" s="304" t="str">
        <f t="shared" si="17"/>
        <v/>
      </c>
      <c r="AP23" s="304" t="str">
        <f t="shared" ref="AP23:AP86" si="48">IF(OR($L$3=2,$L$3=4),AN23,AO23)</f>
        <v/>
      </c>
      <c r="AQ23" s="305" t="e">
        <f t="shared" ref="AQ23:AQ86" si="49">IF(AP23="",#N/A,AP23)</f>
        <v>#N/A</v>
      </c>
      <c r="AR23" s="304" t="str">
        <f t="shared" ref="AR23:AR86" si="50">IF(AP23="","",AP23*AV23)</f>
        <v/>
      </c>
      <c r="AS23" s="306">
        <f t="shared" si="18"/>
        <v>0</v>
      </c>
      <c r="AT23" s="307" t="e">
        <f t="shared" ref="AT23:AT86" si="51">IF(AR23="",#N/A,AR23)</f>
        <v>#N/A</v>
      </c>
      <c r="AU23" s="307" t="e">
        <f t="shared" ref="AU23:AU86" si="52">IF(AS23=0,#N/A,AS23)</f>
        <v>#N/A</v>
      </c>
      <c r="AV23" s="304">
        <f t="shared" si="19"/>
        <v>0.26135759193647401</v>
      </c>
      <c r="AW23" s="309">
        <f t="shared" si="20"/>
        <v>0.26135759193647401</v>
      </c>
      <c r="AX23" s="306">
        <f>IF(ISERROR(Weather!M7),#N/A,Weather!M7)</f>
        <v>1.8</v>
      </c>
      <c r="AY23" s="310">
        <f t="shared" si="21"/>
        <v>1</v>
      </c>
      <c r="AZ23" s="309">
        <f t="shared" si="22"/>
        <v>1.2</v>
      </c>
      <c r="BA23" s="309">
        <f t="shared" si="23"/>
        <v>0.50961214498858654</v>
      </c>
      <c r="BB23" s="311">
        <f>Irrig!H25</f>
        <v>0</v>
      </c>
      <c r="BC23" s="310">
        <f t="shared" si="24"/>
        <v>0</v>
      </c>
      <c r="BD23" s="309">
        <f t="shared" si="25"/>
        <v>0</v>
      </c>
      <c r="BE23" s="309">
        <f t="shared" si="26"/>
        <v>0</v>
      </c>
      <c r="BF23" s="306">
        <f>DailyMet!H6</f>
        <v>2.57</v>
      </c>
      <c r="BG23" s="306">
        <f>DailyMet!I6</f>
        <v>-2.2000000000000002</v>
      </c>
      <c r="BH23" s="306">
        <f t="shared" si="27"/>
        <v>2.57</v>
      </c>
      <c r="BI23" s="306">
        <f t="shared" si="28"/>
        <v>10</v>
      </c>
      <c r="BJ23" s="306">
        <f t="shared" si="29"/>
        <v>-3.7149999999999999</v>
      </c>
      <c r="BK23" s="306">
        <f t="shared" ref="BK23:BK85" si="53">IF(AP23="",0,BK22+BJ23)</f>
        <v>0</v>
      </c>
      <c r="BL23" s="304">
        <f t="shared" si="30"/>
        <v>0</v>
      </c>
      <c r="BM23" s="304">
        <f t="shared" si="31"/>
        <v>0</v>
      </c>
      <c r="BN23" s="304">
        <f>BM23-BL23</f>
        <v>0</v>
      </c>
      <c r="BO23" s="306">
        <f>IF(AP23="",0,BO22+BN23)</f>
        <v>0</v>
      </c>
      <c r="BP23" s="306"/>
    </row>
    <row r="24" spans="1:68">
      <c r="A24" s="299">
        <f t="shared" si="1"/>
        <v>0</v>
      </c>
      <c r="B24" s="300">
        <f t="shared" si="32"/>
        <v>37989</v>
      </c>
      <c r="C24" s="301" t="e">
        <f t="shared" si="33"/>
        <v>#N/A</v>
      </c>
      <c r="D24" s="301" t="e">
        <f t="shared" si="2"/>
        <v>#N/A</v>
      </c>
      <c r="E24" s="299">
        <f t="shared" si="3"/>
        <v>3</v>
      </c>
      <c r="F24" s="396">
        <f>Weather!M8</f>
        <v>1.2</v>
      </c>
      <c r="G24" s="301">
        <f>IF(Weather!C8="","",Weather!C8)</f>
        <v>0.23504625413794789</v>
      </c>
      <c r="H24" s="301">
        <f>IF(Weather!D8="","",Weather!D8)</f>
        <v>0.24892768940826782</v>
      </c>
      <c r="I24" s="502">
        <f>IF(Weather!E8="","",Weather!E8)</f>
        <v>0.24892768940826782</v>
      </c>
      <c r="J24" s="397">
        <f>IF(RnSplint!N52&lt;0,0,RnSplint!N52)</f>
        <v>23.443287102711253</v>
      </c>
      <c r="K24" s="302">
        <f t="shared" si="34"/>
        <v>0</v>
      </c>
      <c r="L24" s="303">
        <f t="shared" si="35"/>
        <v>37989</v>
      </c>
      <c r="M24" s="346" t="str">
        <f t="shared" si="4"/>
        <v/>
      </c>
      <c r="N24" s="304">
        <f t="shared" si="36"/>
        <v>0</v>
      </c>
      <c r="O24" s="304">
        <f t="shared" si="37"/>
        <v>0</v>
      </c>
      <c r="P24" s="304">
        <f t="shared" si="5"/>
        <v>0</v>
      </c>
      <c r="Q24" s="304">
        <f t="shared" si="6"/>
        <v>1.2</v>
      </c>
      <c r="R24" s="304">
        <f t="shared" si="7"/>
        <v>1.2</v>
      </c>
      <c r="S24" s="305" t="e">
        <f t="shared" si="38"/>
        <v>#N/A</v>
      </c>
      <c r="T24" s="304">
        <f t="shared" si="8"/>
        <v>0</v>
      </c>
      <c r="U24" s="304">
        <f t="shared" ref="U24:U87" si="54">IF(T24&gt;P24,T24,P24)</f>
        <v>0</v>
      </c>
      <c r="V24" s="305" t="e">
        <f t="shared" si="9"/>
        <v>#N/A</v>
      </c>
      <c r="W24" s="305" t="e">
        <f t="shared" si="39"/>
        <v>#N/A</v>
      </c>
      <c r="X24" s="304">
        <f t="shared" si="40"/>
        <v>1.2</v>
      </c>
      <c r="Z24" s="304" t="str">
        <f t="shared" si="41"/>
        <v/>
      </c>
      <c r="AA24" s="305" t="e">
        <f t="shared" si="10"/>
        <v>#N/A</v>
      </c>
      <c r="AB24" s="304">
        <f t="shared" si="11"/>
        <v>0.29871322728992139</v>
      </c>
      <c r="AC24" s="304" t="str">
        <f t="shared" si="42"/>
        <v/>
      </c>
      <c r="AD24" s="306">
        <f t="shared" si="12"/>
        <v>0</v>
      </c>
      <c r="AE24" s="307">
        <f t="shared" si="43"/>
        <v>0.29871322728992139</v>
      </c>
      <c r="AF24" s="308" t="e">
        <f t="shared" si="13"/>
        <v>#N/A</v>
      </c>
      <c r="AG24" s="306">
        <f t="shared" si="44"/>
        <v>0.75853983439685435</v>
      </c>
      <c r="AH24" s="306">
        <f t="shared" si="14"/>
        <v>0</v>
      </c>
      <c r="AI24" s="306">
        <f t="shared" si="45"/>
        <v>0</v>
      </c>
      <c r="AJ24" s="306">
        <f t="shared" si="46"/>
        <v>0</v>
      </c>
      <c r="AK24" s="306">
        <f t="shared" si="15"/>
        <v>0</v>
      </c>
      <c r="AL24" s="306">
        <f t="shared" si="47"/>
        <v>0</v>
      </c>
      <c r="AM24" s="306">
        <f t="shared" si="16"/>
        <v>0</v>
      </c>
      <c r="AN24" s="304">
        <f>KcSplint!$N53</f>
        <v>1.2035286863500514</v>
      </c>
      <c r="AO24" s="304" t="str">
        <f t="shared" si="17"/>
        <v/>
      </c>
      <c r="AP24" s="304" t="str">
        <f t="shared" si="48"/>
        <v/>
      </c>
      <c r="AQ24" s="305" t="e">
        <f t="shared" si="49"/>
        <v>#N/A</v>
      </c>
      <c r="AR24" s="304" t="str">
        <f t="shared" si="50"/>
        <v/>
      </c>
      <c r="AS24" s="306">
        <f t="shared" si="18"/>
        <v>0</v>
      </c>
      <c r="AT24" s="307" t="e">
        <f t="shared" si="51"/>
        <v>#N/A</v>
      </c>
      <c r="AU24" s="307" t="e">
        <f t="shared" si="52"/>
        <v>#N/A</v>
      </c>
      <c r="AV24" s="304">
        <f t="shared" si="19"/>
        <v>0.24892768940826782</v>
      </c>
      <c r="AW24" s="309">
        <f t="shared" si="20"/>
        <v>0.24892768940826782</v>
      </c>
      <c r="AX24" s="306">
        <f>IF(ISERROR(Weather!M8),#N/A,Weather!M8)</f>
        <v>1.2</v>
      </c>
      <c r="AY24" s="310">
        <f t="shared" si="21"/>
        <v>1</v>
      </c>
      <c r="AZ24" s="309">
        <f t="shared" si="22"/>
        <v>1.2</v>
      </c>
      <c r="BA24" s="309">
        <f t="shared" si="23"/>
        <v>0.75853983439685435</v>
      </c>
      <c r="BB24" s="311">
        <f>Irrig!H26</f>
        <v>0</v>
      </c>
      <c r="BC24" s="310">
        <f t="shared" si="24"/>
        <v>0</v>
      </c>
      <c r="BD24" s="309">
        <f t="shared" si="25"/>
        <v>0</v>
      </c>
      <c r="BE24" s="309">
        <f t="shared" si="26"/>
        <v>0</v>
      </c>
      <c r="BF24" s="306">
        <f>DailyMet!H7</f>
        <v>3.47</v>
      </c>
      <c r="BG24" s="306">
        <f>DailyMet!I7</f>
        <v>-0.8</v>
      </c>
      <c r="BH24" s="306">
        <f t="shared" si="27"/>
        <v>3.47</v>
      </c>
      <c r="BI24" s="306">
        <f t="shared" si="28"/>
        <v>10</v>
      </c>
      <c r="BJ24" s="306">
        <f t="shared" si="29"/>
        <v>-3.2649999999999997</v>
      </c>
      <c r="BK24" s="306">
        <f t="shared" si="53"/>
        <v>0</v>
      </c>
      <c r="BL24" s="304">
        <f t="shared" si="30"/>
        <v>0</v>
      </c>
      <c r="BM24" s="304">
        <f t="shared" si="31"/>
        <v>0</v>
      </c>
      <c r="BN24" s="304">
        <f t="shared" ref="BN24:BN87" si="55">BM24-BL24</f>
        <v>0</v>
      </c>
      <c r="BO24" s="306">
        <f t="shared" ref="BO24:BO87" si="56">IF(AP24="",0,BO23+BN24)</f>
        <v>0</v>
      </c>
      <c r="BP24" s="306"/>
    </row>
    <row r="25" spans="1:68">
      <c r="A25" s="299">
        <f t="shared" si="1"/>
        <v>0</v>
      </c>
      <c r="B25" s="300">
        <f t="shared" si="32"/>
        <v>37990</v>
      </c>
      <c r="C25" s="301" t="e">
        <f t="shared" si="33"/>
        <v>#N/A</v>
      </c>
      <c r="D25" s="301" t="e">
        <f t="shared" si="2"/>
        <v>#N/A</v>
      </c>
      <c r="E25" s="299">
        <f t="shared" si="3"/>
        <v>4</v>
      </c>
      <c r="F25" s="396">
        <f>Weather!M9</f>
        <v>0.2</v>
      </c>
      <c r="G25" s="301">
        <f>IF(Weather!C9="","",Weather!C9)</f>
        <v>0.24177974597154123</v>
      </c>
      <c r="H25" s="301">
        <f>IF(Weather!D9="","",Weather!D9)</f>
        <v>0.15123086696486165</v>
      </c>
      <c r="I25" s="502">
        <f>IF(Weather!E9="","",Weather!E9)</f>
        <v>0.15123086696486165</v>
      </c>
      <c r="J25" s="397">
        <f>IF(RnSplint!N53&lt;0,0,RnSplint!N53)</f>
        <v>24.27026302667209</v>
      </c>
      <c r="K25" s="302">
        <f t="shared" si="34"/>
        <v>0</v>
      </c>
      <c r="L25" s="303">
        <f t="shared" si="35"/>
        <v>37990</v>
      </c>
      <c r="M25" s="346" t="str">
        <f t="shared" si="4"/>
        <v/>
      </c>
      <c r="N25" s="304">
        <f t="shared" si="36"/>
        <v>0</v>
      </c>
      <c r="O25" s="304">
        <f t="shared" si="37"/>
        <v>0</v>
      </c>
      <c r="P25" s="304">
        <f t="shared" si="5"/>
        <v>0</v>
      </c>
      <c r="Q25" s="304">
        <f t="shared" si="6"/>
        <v>1.2</v>
      </c>
      <c r="R25" s="304">
        <f t="shared" si="7"/>
        <v>1.2</v>
      </c>
      <c r="S25" s="305" t="e">
        <f t="shared" si="38"/>
        <v>#N/A</v>
      </c>
      <c r="T25" s="304">
        <f t="shared" si="8"/>
        <v>0</v>
      </c>
      <c r="U25" s="304">
        <f t="shared" si="54"/>
        <v>0</v>
      </c>
      <c r="V25" s="305" t="e">
        <f t="shared" si="9"/>
        <v>#N/A</v>
      </c>
      <c r="W25" s="305" t="e">
        <f t="shared" si="39"/>
        <v>#N/A</v>
      </c>
      <c r="X25" s="304">
        <f t="shared" si="40"/>
        <v>1.2</v>
      </c>
      <c r="Z25" s="304" t="str">
        <f t="shared" si="41"/>
        <v/>
      </c>
      <c r="AA25" s="305" t="e">
        <f t="shared" si="10"/>
        <v>#N/A</v>
      </c>
      <c r="AB25" s="304">
        <f t="shared" si="11"/>
        <v>0.18147704035783399</v>
      </c>
      <c r="AC25" s="304" t="str">
        <f t="shared" si="42"/>
        <v/>
      </c>
      <c r="AD25" s="306">
        <f t="shared" si="12"/>
        <v>0</v>
      </c>
      <c r="AE25" s="307">
        <f t="shared" si="43"/>
        <v>0.18147704035783399</v>
      </c>
      <c r="AF25" s="308" t="e">
        <f t="shared" si="13"/>
        <v>#N/A</v>
      </c>
      <c r="AG25" s="306">
        <f t="shared" si="44"/>
        <v>0.90977070136171601</v>
      </c>
      <c r="AH25" s="306">
        <f t="shared" si="14"/>
        <v>0</v>
      </c>
      <c r="AI25" s="306">
        <f t="shared" si="45"/>
        <v>0</v>
      </c>
      <c r="AJ25" s="306">
        <f t="shared" si="46"/>
        <v>0</v>
      </c>
      <c r="AK25" s="306">
        <f t="shared" si="15"/>
        <v>0</v>
      </c>
      <c r="AL25" s="306">
        <f t="shared" si="47"/>
        <v>0</v>
      </c>
      <c r="AM25" s="306">
        <f t="shared" si="16"/>
        <v>0</v>
      </c>
      <c r="AN25" s="304">
        <f>KcSplint!$N54</f>
        <v>1.200638445773019</v>
      </c>
      <c r="AO25" s="304" t="str">
        <f t="shared" si="17"/>
        <v/>
      </c>
      <c r="AP25" s="304" t="str">
        <f t="shared" si="48"/>
        <v/>
      </c>
      <c r="AQ25" s="305" t="e">
        <f t="shared" si="49"/>
        <v>#N/A</v>
      </c>
      <c r="AR25" s="304" t="str">
        <f t="shared" si="50"/>
        <v/>
      </c>
      <c r="AS25" s="306">
        <f t="shared" si="18"/>
        <v>0</v>
      </c>
      <c r="AT25" s="307" t="e">
        <f t="shared" si="51"/>
        <v>#N/A</v>
      </c>
      <c r="AU25" s="307" t="e">
        <f t="shared" si="52"/>
        <v>#N/A</v>
      </c>
      <c r="AV25" s="304">
        <f t="shared" si="19"/>
        <v>0.15123086696486165</v>
      </c>
      <c r="AW25" s="309">
        <f t="shared" si="20"/>
        <v>0.40015855637312947</v>
      </c>
      <c r="AX25" s="306">
        <f>IF(ISERROR(Weather!M9),#N/A,Weather!M9)</f>
        <v>0.2</v>
      </c>
      <c r="AY25" s="310">
        <f t="shared" si="21"/>
        <v>2</v>
      </c>
      <c r="AZ25" s="309">
        <f t="shared" si="22"/>
        <v>1.2</v>
      </c>
      <c r="BA25" s="309">
        <f t="shared" si="23"/>
        <v>0.90977070136171601</v>
      </c>
      <c r="BB25" s="311">
        <f>Irrig!H27</f>
        <v>0</v>
      </c>
      <c r="BC25" s="310">
        <f t="shared" si="24"/>
        <v>0</v>
      </c>
      <c r="BD25" s="309">
        <f t="shared" si="25"/>
        <v>0</v>
      </c>
      <c r="BE25" s="309">
        <f t="shared" si="26"/>
        <v>0</v>
      </c>
      <c r="BF25" s="306">
        <f>DailyMet!H8</f>
        <v>0.04</v>
      </c>
      <c r="BG25" s="306">
        <f>DailyMet!I8</f>
        <v>-2</v>
      </c>
      <c r="BH25" s="306">
        <f t="shared" si="27"/>
        <v>0.04</v>
      </c>
      <c r="BI25" s="306">
        <f t="shared" si="28"/>
        <v>10</v>
      </c>
      <c r="BJ25" s="306">
        <f t="shared" si="29"/>
        <v>-4.9800000000000004</v>
      </c>
      <c r="BK25" s="306">
        <f t="shared" si="53"/>
        <v>0</v>
      </c>
      <c r="BL25" s="304">
        <f t="shared" si="30"/>
        <v>0</v>
      </c>
      <c r="BM25" s="304">
        <f t="shared" si="31"/>
        <v>0</v>
      </c>
      <c r="BN25" s="304">
        <f t="shared" si="55"/>
        <v>0</v>
      </c>
      <c r="BO25" s="306">
        <f t="shared" si="56"/>
        <v>0</v>
      </c>
      <c r="BP25" s="306"/>
    </row>
    <row r="26" spans="1:68">
      <c r="A26" s="299">
        <f t="shared" si="1"/>
        <v>0</v>
      </c>
      <c r="B26" s="300">
        <f t="shared" si="32"/>
        <v>37991</v>
      </c>
      <c r="C26" s="301" t="e">
        <f t="shared" si="33"/>
        <v>#N/A</v>
      </c>
      <c r="D26" s="301" t="e">
        <f t="shared" si="2"/>
        <v>#N/A</v>
      </c>
      <c r="E26" s="299">
        <f t="shared" si="3"/>
        <v>5</v>
      </c>
      <c r="F26" s="396">
        <f>Weather!M10</f>
        <v>2</v>
      </c>
      <c r="G26" s="301">
        <f>IF(Weather!C10="","",Weather!C10)</f>
        <v>0.24851323780513457</v>
      </c>
      <c r="H26" s="301">
        <f>IF(Weather!D10="","",Weather!D10)</f>
        <v>0.30270884965245604</v>
      </c>
      <c r="I26" s="502">
        <f>IF(Weather!E10="","",Weather!E10)</f>
        <v>0.30270884965245604</v>
      </c>
      <c r="J26" s="397">
        <f>IF(RnSplint!N54&lt;0,0,RnSplint!N54)</f>
        <v>25.097238950632928</v>
      </c>
      <c r="K26" s="302">
        <f t="shared" si="34"/>
        <v>0</v>
      </c>
      <c r="L26" s="303">
        <f t="shared" si="35"/>
        <v>37991</v>
      </c>
      <c r="M26" s="346" t="str">
        <f t="shared" si="4"/>
        <v/>
      </c>
      <c r="N26" s="304">
        <f t="shared" si="36"/>
        <v>0</v>
      </c>
      <c r="O26" s="304">
        <f t="shared" si="37"/>
        <v>0</v>
      </c>
      <c r="P26" s="304">
        <f t="shared" si="5"/>
        <v>0</v>
      </c>
      <c r="Q26" s="304">
        <f t="shared" si="6"/>
        <v>1.2</v>
      </c>
      <c r="R26" s="304">
        <f t="shared" si="7"/>
        <v>1.2</v>
      </c>
      <c r="S26" s="305" t="e">
        <f t="shared" si="38"/>
        <v>#N/A</v>
      </c>
      <c r="T26" s="304">
        <f t="shared" si="8"/>
        <v>0</v>
      </c>
      <c r="U26" s="304">
        <f t="shared" si="54"/>
        <v>0</v>
      </c>
      <c r="V26" s="305" t="e">
        <f t="shared" si="9"/>
        <v>#N/A</v>
      </c>
      <c r="W26" s="305" t="e">
        <f t="shared" si="39"/>
        <v>#N/A</v>
      </c>
      <c r="X26" s="304">
        <f t="shared" si="40"/>
        <v>1.2</v>
      </c>
      <c r="Z26" s="304" t="str">
        <f t="shared" si="41"/>
        <v/>
      </c>
      <c r="AA26" s="305" t="e">
        <f t="shared" si="10"/>
        <v>#N/A</v>
      </c>
      <c r="AB26" s="304">
        <f t="shared" si="11"/>
        <v>0.36325061958294724</v>
      </c>
      <c r="AC26" s="304" t="str">
        <f t="shared" si="42"/>
        <v/>
      </c>
      <c r="AD26" s="306">
        <f t="shared" si="12"/>
        <v>0</v>
      </c>
      <c r="AE26" s="307">
        <f t="shared" si="43"/>
        <v>0.36325061958294724</v>
      </c>
      <c r="AF26" s="308" t="e">
        <f t="shared" si="13"/>
        <v>#N/A</v>
      </c>
      <c r="AG26" s="306">
        <f t="shared" si="44"/>
        <v>1.2124795510141722</v>
      </c>
      <c r="AH26" s="306">
        <f t="shared" si="14"/>
        <v>0</v>
      </c>
      <c r="AI26" s="306">
        <f t="shared" si="45"/>
        <v>0</v>
      </c>
      <c r="AJ26" s="306">
        <f t="shared" si="46"/>
        <v>0</v>
      </c>
      <c r="AK26" s="306">
        <f t="shared" si="15"/>
        <v>0</v>
      </c>
      <c r="AL26" s="306">
        <f t="shared" si="47"/>
        <v>0</v>
      </c>
      <c r="AM26" s="306">
        <f t="shared" si="16"/>
        <v>0</v>
      </c>
      <c r="AN26" s="304">
        <f>KcSplint!$N55</f>
        <v>1.1977482051959869</v>
      </c>
      <c r="AO26" s="304" t="str">
        <f t="shared" si="17"/>
        <v/>
      </c>
      <c r="AP26" s="304" t="str">
        <f t="shared" si="48"/>
        <v/>
      </c>
      <c r="AQ26" s="305" t="e">
        <f t="shared" si="49"/>
        <v>#N/A</v>
      </c>
      <c r="AR26" s="304" t="str">
        <f t="shared" si="50"/>
        <v/>
      </c>
      <c r="AS26" s="306">
        <f t="shared" si="18"/>
        <v>0</v>
      </c>
      <c r="AT26" s="307" t="e">
        <f t="shared" si="51"/>
        <v>#N/A</v>
      </c>
      <c r="AU26" s="307" t="e">
        <f t="shared" si="52"/>
        <v>#N/A</v>
      </c>
      <c r="AV26" s="304">
        <f t="shared" si="19"/>
        <v>0.30270884965245604</v>
      </c>
      <c r="AW26" s="309">
        <f t="shared" si="20"/>
        <v>0.30270884965245604</v>
      </c>
      <c r="AX26" s="306">
        <f>IF(ISERROR(Weather!M10),#N/A,Weather!M10)</f>
        <v>2</v>
      </c>
      <c r="AY26" s="310">
        <f t="shared" si="21"/>
        <v>1</v>
      </c>
      <c r="AZ26" s="309">
        <f t="shared" si="22"/>
        <v>1.2</v>
      </c>
      <c r="BA26" s="309">
        <f t="shared" si="23"/>
        <v>1.2124795510141722</v>
      </c>
      <c r="BB26" s="311">
        <f>Irrig!H28</f>
        <v>0</v>
      </c>
      <c r="BC26" s="310">
        <f t="shared" si="24"/>
        <v>0</v>
      </c>
      <c r="BD26" s="309">
        <f t="shared" si="25"/>
        <v>0</v>
      </c>
      <c r="BE26" s="309">
        <f t="shared" si="26"/>
        <v>0</v>
      </c>
      <c r="BF26" s="306">
        <f>DailyMet!H9</f>
        <v>1.83</v>
      </c>
      <c r="BG26" s="306">
        <f>DailyMet!I9</f>
        <v>-1.5</v>
      </c>
      <c r="BH26" s="306">
        <f t="shared" si="27"/>
        <v>1.83</v>
      </c>
      <c r="BI26" s="306">
        <f t="shared" si="28"/>
        <v>10</v>
      </c>
      <c r="BJ26" s="306">
        <f t="shared" si="29"/>
        <v>-4.085</v>
      </c>
      <c r="BK26" s="306">
        <f t="shared" si="53"/>
        <v>0</v>
      </c>
      <c r="BL26" s="304">
        <f t="shared" si="30"/>
        <v>0</v>
      </c>
      <c r="BM26" s="304">
        <f t="shared" si="31"/>
        <v>0</v>
      </c>
      <c r="BN26" s="304">
        <f t="shared" si="55"/>
        <v>0</v>
      </c>
      <c r="BO26" s="306">
        <f t="shared" si="56"/>
        <v>0</v>
      </c>
      <c r="BP26" s="306"/>
    </row>
    <row r="27" spans="1:68">
      <c r="A27" s="299">
        <f t="shared" si="1"/>
        <v>0</v>
      </c>
      <c r="B27" s="300">
        <f t="shared" si="32"/>
        <v>37992</v>
      </c>
      <c r="C27" s="301" t="e">
        <f t="shared" si="33"/>
        <v>#N/A</v>
      </c>
      <c r="D27" s="301" t="e">
        <f t="shared" si="2"/>
        <v>#N/A</v>
      </c>
      <c r="E27" s="299">
        <f t="shared" si="3"/>
        <v>6</v>
      </c>
      <c r="F27" s="396">
        <f>Weather!M11</f>
        <v>0.2</v>
      </c>
      <c r="G27" s="301">
        <f>IF(Weather!C11="","",Weather!C11)</f>
        <v>0.25524672963872796</v>
      </c>
      <c r="H27" s="301">
        <f>IF(Weather!D11="","",Weather!D11)</f>
        <v>0.34935131767173</v>
      </c>
      <c r="I27" s="502">
        <f>IF(Weather!E11="","",Weather!E11)</f>
        <v>0.34935131767173</v>
      </c>
      <c r="J27" s="397">
        <f>IF(RnSplint!N55&lt;0,0,RnSplint!N55)</f>
        <v>25.924214874593766</v>
      </c>
      <c r="K27" s="302">
        <f t="shared" si="34"/>
        <v>0</v>
      </c>
      <c r="L27" s="303">
        <f t="shared" si="35"/>
        <v>37992</v>
      </c>
      <c r="M27" s="346" t="str">
        <f t="shared" si="4"/>
        <v/>
      </c>
      <c r="N27" s="304">
        <f t="shared" si="36"/>
        <v>0</v>
      </c>
      <c r="O27" s="304">
        <f t="shared" si="37"/>
        <v>0</v>
      </c>
      <c r="P27" s="304">
        <f t="shared" si="5"/>
        <v>0</v>
      </c>
      <c r="Q27" s="304">
        <f t="shared" si="6"/>
        <v>1.2</v>
      </c>
      <c r="R27" s="304">
        <f t="shared" si="7"/>
        <v>1.2</v>
      </c>
      <c r="S27" s="305" t="e">
        <f t="shared" si="38"/>
        <v>#N/A</v>
      </c>
      <c r="T27" s="304">
        <f t="shared" si="8"/>
        <v>0</v>
      </c>
      <c r="U27" s="304">
        <f t="shared" si="54"/>
        <v>0</v>
      </c>
      <c r="V27" s="305" t="e">
        <f t="shared" si="9"/>
        <v>#N/A</v>
      </c>
      <c r="W27" s="305" t="e">
        <f t="shared" si="39"/>
        <v>#N/A</v>
      </c>
      <c r="X27" s="304">
        <f t="shared" si="40"/>
        <v>1.2</v>
      </c>
      <c r="Z27" s="304" t="str">
        <f t="shared" si="41"/>
        <v/>
      </c>
      <c r="AA27" s="305" t="e">
        <f t="shared" si="10"/>
        <v>#N/A</v>
      </c>
      <c r="AB27" s="304">
        <f t="shared" si="11"/>
        <v>0.419221581206076</v>
      </c>
      <c r="AC27" s="304" t="str">
        <f t="shared" si="42"/>
        <v/>
      </c>
      <c r="AD27" s="306">
        <f t="shared" si="12"/>
        <v>0</v>
      </c>
      <c r="AE27" s="307">
        <f t="shared" si="43"/>
        <v>0.419221581206076</v>
      </c>
      <c r="AF27" s="308" t="e">
        <f t="shared" si="13"/>
        <v>#N/A</v>
      </c>
      <c r="AG27" s="306">
        <f t="shared" si="44"/>
        <v>1.5618308686859022</v>
      </c>
      <c r="AH27" s="306">
        <f t="shared" si="14"/>
        <v>0</v>
      </c>
      <c r="AI27" s="306">
        <f t="shared" si="45"/>
        <v>0</v>
      </c>
      <c r="AJ27" s="306">
        <f t="shared" si="46"/>
        <v>0</v>
      </c>
      <c r="AK27" s="306">
        <f t="shared" si="15"/>
        <v>0</v>
      </c>
      <c r="AL27" s="306">
        <f t="shared" si="47"/>
        <v>0</v>
      </c>
      <c r="AM27" s="306">
        <f t="shared" si="16"/>
        <v>0</v>
      </c>
      <c r="AN27" s="304">
        <f>KcSplint!$N56</f>
        <v>1.1948296301539147</v>
      </c>
      <c r="AO27" s="304" t="str">
        <f t="shared" si="17"/>
        <v/>
      </c>
      <c r="AP27" s="304" t="str">
        <f t="shared" si="48"/>
        <v/>
      </c>
      <c r="AQ27" s="305" t="e">
        <f t="shared" si="49"/>
        <v>#N/A</v>
      </c>
      <c r="AR27" s="304" t="str">
        <f t="shared" si="50"/>
        <v/>
      </c>
      <c r="AS27" s="306">
        <f t="shared" si="18"/>
        <v>0</v>
      </c>
      <c r="AT27" s="307" t="e">
        <f t="shared" si="51"/>
        <v>#N/A</v>
      </c>
      <c r="AU27" s="307" t="e">
        <f t="shared" si="52"/>
        <v>#N/A</v>
      </c>
      <c r="AV27" s="304">
        <f t="shared" si="19"/>
        <v>0.34935131767173</v>
      </c>
      <c r="AW27" s="309">
        <f t="shared" si="20"/>
        <v>0.65206016732418604</v>
      </c>
      <c r="AX27" s="306">
        <f>IF(ISERROR(Weather!M11),#N/A,Weather!M11)</f>
        <v>0.2</v>
      </c>
      <c r="AY27" s="310">
        <f t="shared" si="21"/>
        <v>2</v>
      </c>
      <c r="AZ27" s="309">
        <f t="shared" si="22"/>
        <v>1.2</v>
      </c>
      <c r="BA27" s="309">
        <f t="shared" si="23"/>
        <v>1.5618308686859022</v>
      </c>
      <c r="BB27" s="311">
        <f>Irrig!H29</f>
        <v>0</v>
      </c>
      <c r="BC27" s="310">
        <f t="shared" si="24"/>
        <v>0</v>
      </c>
      <c r="BD27" s="309">
        <f t="shared" si="25"/>
        <v>0</v>
      </c>
      <c r="BE27" s="309">
        <f t="shared" si="26"/>
        <v>0</v>
      </c>
      <c r="BF27" s="306">
        <f>DailyMet!H10</f>
        <v>5.2</v>
      </c>
      <c r="BG27" s="306">
        <f>DailyMet!I10</f>
        <v>0.3</v>
      </c>
      <c r="BH27" s="306">
        <f t="shared" si="27"/>
        <v>5.2</v>
      </c>
      <c r="BI27" s="306">
        <f t="shared" si="28"/>
        <v>10</v>
      </c>
      <c r="BJ27" s="306">
        <f t="shared" si="29"/>
        <v>-2.4000000000000004</v>
      </c>
      <c r="BK27" s="306">
        <f t="shared" si="53"/>
        <v>0</v>
      </c>
      <c r="BL27" s="304">
        <f t="shared" si="30"/>
        <v>0</v>
      </c>
      <c r="BM27" s="304">
        <f t="shared" si="31"/>
        <v>0</v>
      </c>
      <c r="BN27" s="304">
        <f t="shared" si="55"/>
        <v>0</v>
      </c>
      <c r="BO27" s="306">
        <f t="shared" si="56"/>
        <v>0</v>
      </c>
      <c r="BP27" s="306"/>
    </row>
    <row r="28" spans="1:68">
      <c r="A28" s="299">
        <f t="shared" si="1"/>
        <v>0</v>
      </c>
      <c r="B28" s="300">
        <f t="shared" si="32"/>
        <v>37993</v>
      </c>
      <c r="C28" s="301" t="e">
        <f t="shared" si="33"/>
        <v>#N/A</v>
      </c>
      <c r="D28" s="301" t="e">
        <f t="shared" si="2"/>
        <v>#N/A</v>
      </c>
      <c r="E28" s="299">
        <f t="shared" si="3"/>
        <v>7</v>
      </c>
      <c r="F28" s="396">
        <f>Weather!M12</f>
        <v>0</v>
      </c>
      <c r="G28" s="301">
        <f>IF(Weather!C12="","",Weather!C12)</f>
        <v>0.2602343339434332</v>
      </c>
      <c r="H28" s="301">
        <f>IF(Weather!D12="","",Weather!D12)</f>
        <v>0.74494176690550129</v>
      </c>
      <c r="I28" s="502">
        <f>IF(Weather!E12="","",Weather!E12)</f>
        <v>0.74494176690550129</v>
      </c>
      <c r="J28" s="397">
        <f>IF(RnSplint!N56&lt;0,0,RnSplint!N56)</f>
        <v>26.610082809962893</v>
      </c>
      <c r="K28" s="302">
        <f t="shared" si="34"/>
        <v>0</v>
      </c>
      <c r="L28" s="303">
        <f t="shared" si="35"/>
        <v>37993</v>
      </c>
      <c r="M28" s="346" t="str">
        <f t="shared" si="4"/>
        <v/>
      </c>
      <c r="N28" s="304">
        <f t="shared" si="36"/>
        <v>0</v>
      </c>
      <c r="O28" s="304">
        <f t="shared" si="37"/>
        <v>0</v>
      </c>
      <c r="P28" s="304">
        <f t="shared" si="5"/>
        <v>0</v>
      </c>
      <c r="Q28" s="304">
        <f t="shared" si="6"/>
        <v>1.2</v>
      </c>
      <c r="R28" s="304">
        <f t="shared" si="7"/>
        <v>1.2</v>
      </c>
      <c r="S28" s="305" t="e">
        <f t="shared" si="38"/>
        <v>#N/A</v>
      </c>
      <c r="T28" s="304">
        <f t="shared" si="8"/>
        <v>0</v>
      </c>
      <c r="U28" s="304">
        <f t="shared" si="54"/>
        <v>0</v>
      </c>
      <c r="V28" s="305" t="e">
        <f t="shared" si="9"/>
        <v>#N/A</v>
      </c>
      <c r="W28" s="305" t="e">
        <f t="shared" si="39"/>
        <v>#N/A</v>
      </c>
      <c r="X28" s="304">
        <f t="shared" si="40"/>
        <v>1.2</v>
      </c>
      <c r="Z28" s="304" t="str">
        <f t="shared" si="41"/>
        <v/>
      </c>
      <c r="AA28" s="305" t="e">
        <f t="shared" si="10"/>
        <v>#N/A</v>
      </c>
      <c r="AB28" s="304">
        <f t="shared" si="11"/>
        <v>0.89393012028660157</v>
      </c>
      <c r="AC28" s="304" t="str">
        <f t="shared" si="42"/>
        <v/>
      </c>
      <c r="AD28" s="306">
        <f t="shared" si="12"/>
        <v>0</v>
      </c>
      <c r="AE28" s="307">
        <f t="shared" si="43"/>
        <v>0.89393012028660157</v>
      </c>
      <c r="AF28" s="308" t="e">
        <f t="shared" si="13"/>
        <v>#N/A</v>
      </c>
      <c r="AG28" s="306">
        <f t="shared" si="44"/>
        <v>2.3067726355914036</v>
      </c>
      <c r="AH28" s="306">
        <f t="shared" si="14"/>
        <v>0</v>
      </c>
      <c r="AI28" s="306">
        <f t="shared" si="45"/>
        <v>0</v>
      </c>
      <c r="AJ28" s="306">
        <f t="shared" si="46"/>
        <v>0</v>
      </c>
      <c r="AK28" s="306">
        <f t="shared" si="15"/>
        <v>0</v>
      </c>
      <c r="AL28" s="306">
        <f t="shared" si="47"/>
        <v>0</v>
      </c>
      <c r="AM28" s="306">
        <f t="shared" si="16"/>
        <v>0</v>
      </c>
      <c r="AN28" s="304">
        <f>KcSplint!$N57</f>
        <v>1.1914703981421213</v>
      </c>
      <c r="AO28" s="304" t="str">
        <f t="shared" si="17"/>
        <v/>
      </c>
      <c r="AP28" s="304" t="str">
        <f t="shared" si="48"/>
        <v/>
      </c>
      <c r="AQ28" s="305" t="e">
        <f t="shared" si="49"/>
        <v>#N/A</v>
      </c>
      <c r="AR28" s="304" t="str">
        <f t="shared" si="50"/>
        <v/>
      </c>
      <c r="AS28" s="306">
        <f t="shared" si="18"/>
        <v>0</v>
      </c>
      <c r="AT28" s="307" t="e">
        <f t="shared" si="51"/>
        <v>#N/A</v>
      </c>
      <c r="AU28" s="307" t="e">
        <f t="shared" si="52"/>
        <v>#N/A</v>
      </c>
      <c r="AV28" s="304">
        <f t="shared" si="19"/>
        <v>0.74494176690550129</v>
      </c>
      <c r="AW28" s="309">
        <f t="shared" si="20"/>
        <v>1.3970019342296873</v>
      </c>
      <c r="AX28" s="306">
        <f>IF(ISERROR(Weather!M12),#N/A,Weather!M12)</f>
        <v>0</v>
      </c>
      <c r="AY28" s="310">
        <f t="shared" si="21"/>
        <v>3</v>
      </c>
      <c r="AZ28" s="309">
        <f t="shared" si="22"/>
        <v>1.2</v>
      </c>
      <c r="BA28" s="309">
        <f t="shared" si="23"/>
        <v>2.3067726355914036</v>
      </c>
      <c r="BB28" s="311">
        <f>Irrig!H30</f>
        <v>0</v>
      </c>
      <c r="BC28" s="310">
        <f t="shared" si="24"/>
        <v>0</v>
      </c>
      <c r="BD28" s="309">
        <f t="shared" si="25"/>
        <v>0</v>
      </c>
      <c r="BE28" s="309">
        <f t="shared" si="26"/>
        <v>0</v>
      </c>
      <c r="BF28" s="306">
        <f>DailyMet!H11</f>
        <v>5.41</v>
      </c>
      <c r="BG28" s="306">
        <f>DailyMet!I11</f>
        <v>1.8</v>
      </c>
      <c r="BH28" s="306">
        <f t="shared" si="27"/>
        <v>5.41</v>
      </c>
      <c r="BI28" s="306">
        <f t="shared" si="28"/>
        <v>10</v>
      </c>
      <c r="BJ28" s="306">
        <f t="shared" si="29"/>
        <v>-2.2949999999999999</v>
      </c>
      <c r="BK28" s="306">
        <f t="shared" si="53"/>
        <v>0</v>
      </c>
      <c r="BL28" s="304">
        <f t="shared" si="30"/>
        <v>0</v>
      </c>
      <c r="BM28" s="304">
        <f t="shared" si="31"/>
        <v>0</v>
      </c>
      <c r="BN28" s="304">
        <f t="shared" si="55"/>
        <v>0</v>
      </c>
      <c r="BO28" s="306">
        <f t="shared" si="56"/>
        <v>0</v>
      </c>
      <c r="BP28" s="306"/>
    </row>
    <row r="29" spans="1:68">
      <c r="A29" s="299">
        <f t="shared" si="1"/>
        <v>0</v>
      </c>
      <c r="B29" s="300">
        <f t="shared" si="32"/>
        <v>37994</v>
      </c>
      <c r="C29" s="301" t="e">
        <f t="shared" si="33"/>
        <v>#N/A</v>
      </c>
      <c r="D29" s="301" t="e">
        <f t="shared" si="2"/>
        <v>#N/A</v>
      </c>
      <c r="E29" s="299">
        <f t="shared" si="3"/>
        <v>8</v>
      </c>
      <c r="F29" s="396">
        <f>Weather!M13</f>
        <v>0</v>
      </c>
      <c r="G29" s="301">
        <f>IF(Weather!C13="","",Weather!C13)</f>
        <v>0.26506159337069896</v>
      </c>
      <c r="H29" s="301">
        <f>IF(Weather!D13="","",Weather!D13)</f>
        <v>0.26305806961331835</v>
      </c>
      <c r="I29" s="502">
        <f>IF(Weather!E13="","",Weather!E13)</f>
        <v>0.26305806961331835</v>
      </c>
      <c r="J29" s="397">
        <f>IF(RnSplint!N57&lt;0,0,RnSplint!N57)</f>
        <v>27.276618555825507</v>
      </c>
      <c r="K29" s="302">
        <f t="shared" si="34"/>
        <v>0</v>
      </c>
      <c r="L29" s="303">
        <f t="shared" si="35"/>
        <v>37994</v>
      </c>
      <c r="M29" s="346" t="str">
        <f t="shared" si="4"/>
        <v/>
      </c>
      <c r="N29" s="304">
        <f t="shared" si="36"/>
        <v>0</v>
      </c>
      <c r="O29" s="304">
        <f t="shared" si="37"/>
        <v>0</v>
      </c>
      <c r="P29" s="304">
        <f t="shared" si="5"/>
        <v>0</v>
      </c>
      <c r="Q29" s="304">
        <f t="shared" si="6"/>
        <v>1.2</v>
      </c>
      <c r="R29" s="304">
        <f t="shared" si="7"/>
        <v>1.2</v>
      </c>
      <c r="S29" s="305" t="e">
        <f t="shared" si="38"/>
        <v>#N/A</v>
      </c>
      <c r="T29" s="304">
        <f t="shared" si="8"/>
        <v>0</v>
      </c>
      <c r="U29" s="304">
        <f t="shared" si="54"/>
        <v>0</v>
      </c>
      <c r="V29" s="305" t="e">
        <f t="shared" si="9"/>
        <v>#N/A</v>
      </c>
      <c r="W29" s="305" t="e">
        <f t="shared" si="39"/>
        <v>#N/A</v>
      </c>
      <c r="X29" s="304">
        <f t="shared" si="40"/>
        <v>1.2</v>
      </c>
      <c r="Z29" s="304" t="str">
        <f t="shared" si="41"/>
        <v/>
      </c>
      <c r="AA29" s="305" t="e">
        <f t="shared" si="10"/>
        <v>#N/A</v>
      </c>
      <c r="AB29" s="304">
        <f t="shared" si="11"/>
        <v>0.31566968353598202</v>
      </c>
      <c r="AC29" s="304" t="str">
        <f t="shared" si="42"/>
        <v/>
      </c>
      <c r="AD29" s="306">
        <f t="shared" si="12"/>
        <v>0</v>
      </c>
      <c r="AE29" s="307">
        <f t="shared" si="43"/>
        <v>0.31566968353598202</v>
      </c>
      <c r="AF29" s="308" t="e">
        <f t="shared" si="13"/>
        <v>#N/A</v>
      </c>
      <c r="AG29" s="306">
        <f t="shared" si="44"/>
        <v>2.5698307052047218</v>
      </c>
      <c r="AH29" s="306">
        <f t="shared" si="14"/>
        <v>0</v>
      </c>
      <c r="AI29" s="306">
        <f t="shared" si="45"/>
        <v>0</v>
      </c>
      <c r="AJ29" s="306">
        <f t="shared" si="46"/>
        <v>0</v>
      </c>
      <c r="AK29" s="306">
        <f t="shared" si="15"/>
        <v>0</v>
      </c>
      <c r="AL29" s="306">
        <f t="shared" si="47"/>
        <v>0</v>
      </c>
      <c r="AM29" s="306">
        <f t="shared" si="16"/>
        <v>0</v>
      </c>
      <c r="AN29" s="304">
        <f>KcSplint!$N58</f>
        <v>1.1876468609413837</v>
      </c>
      <c r="AO29" s="304" t="str">
        <f t="shared" si="17"/>
        <v/>
      </c>
      <c r="AP29" s="304" t="str">
        <f t="shared" si="48"/>
        <v/>
      </c>
      <c r="AQ29" s="305" t="e">
        <f t="shared" si="49"/>
        <v>#N/A</v>
      </c>
      <c r="AR29" s="304" t="str">
        <f t="shared" si="50"/>
        <v/>
      </c>
      <c r="AS29" s="306">
        <f t="shared" si="18"/>
        <v>0</v>
      </c>
      <c r="AT29" s="307" t="e">
        <f t="shared" si="51"/>
        <v>#N/A</v>
      </c>
      <c r="AU29" s="307" t="e">
        <f t="shared" si="52"/>
        <v>#N/A</v>
      </c>
      <c r="AV29" s="304">
        <f t="shared" si="19"/>
        <v>0.26305806961331835</v>
      </c>
      <c r="AW29" s="309">
        <f t="shared" si="20"/>
        <v>1.6600600038430056</v>
      </c>
      <c r="AX29" s="306">
        <f>IF(ISERROR(Weather!M13),#N/A,Weather!M13)</f>
        <v>0</v>
      </c>
      <c r="AY29" s="310">
        <f t="shared" si="21"/>
        <v>4</v>
      </c>
      <c r="AZ29" s="309">
        <f t="shared" si="22"/>
        <v>1.2</v>
      </c>
      <c r="BA29" s="309">
        <f t="shared" si="23"/>
        <v>2.5698307052047218</v>
      </c>
      <c r="BB29" s="311">
        <f>Irrig!H31</f>
        <v>0</v>
      </c>
      <c r="BC29" s="310">
        <f t="shared" si="24"/>
        <v>0</v>
      </c>
      <c r="BD29" s="309">
        <f t="shared" si="25"/>
        <v>0</v>
      </c>
      <c r="BE29" s="309">
        <f t="shared" si="26"/>
        <v>0</v>
      </c>
      <c r="BF29" s="306">
        <f>DailyMet!H12</f>
        <v>2.75</v>
      </c>
      <c r="BG29" s="306">
        <f>DailyMet!I12</f>
        <v>-2.2000000000000002</v>
      </c>
      <c r="BH29" s="306">
        <f t="shared" si="27"/>
        <v>2.75</v>
      </c>
      <c r="BI29" s="306">
        <f t="shared" si="28"/>
        <v>10</v>
      </c>
      <c r="BJ29" s="306">
        <f t="shared" si="29"/>
        <v>-3.625</v>
      </c>
      <c r="BK29" s="306">
        <f t="shared" si="53"/>
        <v>0</v>
      </c>
      <c r="BL29" s="304">
        <f t="shared" si="30"/>
        <v>0</v>
      </c>
      <c r="BM29" s="304">
        <f t="shared" si="31"/>
        <v>0</v>
      </c>
      <c r="BN29" s="304">
        <f t="shared" si="55"/>
        <v>0</v>
      </c>
      <c r="BO29" s="306">
        <f t="shared" si="56"/>
        <v>0</v>
      </c>
      <c r="BP29" s="306"/>
    </row>
    <row r="30" spans="1:68">
      <c r="A30" s="299">
        <f t="shared" si="1"/>
        <v>0</v>
      </c>
      <c r="B30" s="300">
        <f t="shared" si="32"/>
        <v>37995</v>
      </c>
      <c r="C30" s="301" t="e">
        <f t="shared" si="33"/>
        <v>#N/A</v>
      </c>
      <c r="D30" s="301" t="e">
        <f t="shared" si="2"/>
        <v>#N/A</v>
      </c>
      <c r="E30" s="299">
        <f t="shared" si="3"/>
        <v>9</v>
      </c>
      <c r="F30" s="396">
        <f>Weather!M14</f>
        <v>0</v>
      </c>
      <c r="G30" s="301">
        <f>IF(Weather!C14="","",Weather!C14)</f>
        <v>0.26967657038727227</v>
      </c>
      <c r="H30" s="301">
        <f>IF(Weather!D14="","",Weather!D14)</f>
        <v>0.33856750769321325</v>
      </c>
      <c r="I30" s="502">
        <f>IF(Weather!E14="","",Weather!E14)</f>
        <v>0.33856750769321325</v>
      </c>
      <c r="J30" s="397">
        <f>IF(RnSplint!N58&lt;0,0,RnSplint!N58)</f>
        <v>27.919047499435397</v>
      </c>
      <c r="K30" s="302">
        <f t="shared" si="34"/>
        <v>0</v>
      </c>
      <c r="L30" s="303">
        <f t="shared" si="35"/>
        <v>37995</v>
      </c>
      <c r="M30" s="346" t="str">
        <f t="shared" si="4"/>
        <v/>
      </c>
      <c r="N30" s="304">
        <f t="shared" si="36"/>
        <v>0</v>
      </c>
      <c r="O30" s="304">
        <f t="shared" si="37"/>
        <v>0</v>
      </c>
      <c r="P30" s="304">
        <f t="shared" si="5"/>
        <v>0</v>
      </c>
      <c r="Q30" s="304">
        <f t="shared" si="6"/>
        <v>1.2</v>
      </c>
      <c r="R30" s="304">
        <f t="shared" si="7"/>
        <v>1.2</v>
      </c>
      <c r="S30" s="305" t="e">
        <f t="shared" si="38"/>
        <v>#N/A</v>
      </c>
      <c r="T30" s="304">
        <f t="shared" si="8"/>
        <v>0</v>
      </c>
      <c r="U30" s="304">
        <f t="shared" si="54"/>
        <v>0</v>
      </c>
      <c r="V30" s="305" t="e">
        <f t="shared" si="9"/>
        <v>#N/A</v>
      </c>
      <c r="W30" s="305" t="e">
        <f t="shared" si="39"/>
        <v>#N/A</v>
      </c>
      <c r="X30" s="304">
        <f t="shared" si="40"/>
        <v>1.2</v>
      </c>
      <c r="Z30" s="304" t="str">
        <f t="shared" si="41"/>
        <v/>
      </c>
      <c r="AA30" s="305" t="e">
        <f t="shared" si="10"/>
        <v>#N/A</v>
      </c>
      <c r="AB30" s="304">
        <f t="shared" si="11"/>
        <v>0.40628100923185589</v>
      </c>
      <c r="AC30" s="304" t="str">
        <f t="shared" si="42"/>
        <v/>
      </c>
      <c r="AD30" s="306">
        <f t="shared" si="12"/>
        <v>0</v>
      </c>
      <c r="AE30" s="307">
        <f t="shared" si="43"/>
        <v>0.40628100923185589</v>
      </c>
      <c r="AF30" s="308" t="e">
        <f t="shared" si="13"/>
        <v>#N/A</v>
      </c>
      <c r="AG30" s="306">
        <f t="shared" si="44"/>
        <v>2.9083982128979349</v>
      </c>
      <c r="AH30" s="306">
        <f t="shared" si="14"/>
        <v>0</v>
      </c>
      <c r="AI30" s="306">
        <f t="shared" si="45"/>
        <v>0</v>
      </c>
      <c r="AJ30" s="306">
        <f t="shared" si="46"/>
        <v>0</v>
      </c>
      <c r="AK30" s="306">
        <f t="shared" si="15"/>
        <v>0</v>
      </c>
      <c r="AL30" s="306">
        <f t="shared" si="47"/>
        <v>0</v>
      </c>
      <c r="AM30" s="306">
        <f t="shared" si="16"/>
        <v>0</v>
      </c>
      <c r="AN30" s="304">
        <f>KcSplint!$N59</f>
        <v>1.1833353703324783</v>
      </c>
      <c r="AO30" s="304" t="str">
        <f t="shared" si="17"/>
        <v/>
      </c>
      <c r="AP30" s="304" t="str">
        <f t="shared" si="48"/>
        <v/>
      </c>
      <c r="AQ30" s="305" t="e">
        <f t="shared" si="49"/>
        <v>#N/A</v>
      </c>
      <c r="AR30" s="304" t="str">
        <f t="shared" si="50"/>
        <v/>
      </c>
      <c r="AS30" s="306">
        <f t="shared" si="18"/>
        <v>0</v>
      </c>
      <c r="AT30" s="307" t="e">
        <f t="shared" si="51"/>
        <v>#N/A</v>
      </c>
      <c r="AU30" s="307" t="e">
        <f t="shared" si="52"/>
        <v>#N/A</v>
      </c>
      <c r="AV30" s="304">
        <f t="shared" si="19"/>
        <v>0.33856750769321325</v>
      </c>
      <c r="AW30" s="309">
        <f t="shared" si="20"/>
        <v>1.9986275115362189</v>
      </c>
      <c r="AX30" s="306">
        <f>IF(ISERROR(Weather!M14),#N/A,Weather!M14)</f>
        <v>0</v>
      </c>
      <c r="AY30" s="310">
        <f t="shared" si="21"/>
        <v>5</v>
      </c>
      <c r="AZ30" s="309">
        <f t="shared" si="22"/>
        <v>1.2</v>
      </c>
      <c r="BA30" s="309">
        <f t="shared" si="23"/>
        <v>2.9083982128979349</v>
      </c>
      <c r="BB30" s="311">
        <f>Irrig!H32</f>
        <v>0</v>
      </c>
      <c r="BC30" s="310">
        <f t="shared" si="24"/>
        <v>0</v>
      </c>
      <c r="BD30" s="309">
        <f t="shared" si="25"/>
        <v>0</v>
      </c>
      <c r="BE30" s="309">
        <f t="shared" si="26"/>
        <v>0</v>
      </c>
      <c r="BF30" s="306">
        <f>DailyMet!H13</f>
        <v>4.75</v>
      </c>
      <c r="BG30" s="306">
        <f>DailyMet!I13</f>
        <v>-0.9</v>
      </c>
      <c r="BH30" s="306">
        <f t="shared" si="27"/>
        <v>4.75</v>
      </c>
      <c r="BI30" s="306">
        <f t="shared" si="28"/>
        <v>10</v>
      </c>
      <c r="BJ30" s="306">
        <f t="shared" si="29"/>
        <v>-2.625</v>
      </c>
      <c r="BK30" s="306">
        <f t="shared" si="53"/>
        <v>0</v>
      </c>
      <c r="BL30" s="304">
        <f t="shared" si="30"/>
        <v>0</v>
      </c>
      <c r="BM30" s="304">
        <f t="shared" si="31"/>
        <v>0</v>
      </c>
      <c r="BN30" s="304">
        <f t="shared" si="55"/>
        <v>0</v>
      </c>
      <c r="BO30" s="306">
        <f t="shared" si="56"/>
        <v>0</v>
      </c>
      <c r="BP30" s="306"/>
    </row>
    <row r="31" spans="1:68">
      <c r="A31" s="299">
        <f t="shared" si="1"/>
        <v>0</v>
      </c>
      <c r="B31" s="300">
        <f t="shared" si="32"/>
        <v>37996</v>
      </c>
      <c r="C31" s="301" t="e">
        <f t="shared" si="33"/>
        <v>#N/A</v>
      </c>
      <c r="D31" s="301" t="e">
        <f t="shared" si="2"/>
        <v>#N/A</v>
      </c>
      <c r="E31" s="299">
        <f t="shared" si="3"/>
        <v>10</v>
      </c>
      <c r="F31" s="396">
        <f>Weather!M15</f>
        <v>0</v>
      </c>
      <c r="G31" s="301">
        <f>IF(Weather!C15="","",Weather!C15)</f>
        <v>0.27402732745990005</v>
      </c>
      <c r="H31" s="301">
        <f>IF(Weather!D15="","",Weather!D15)</f>
        <v>0.26807099555554398</v>
      </c>
      <c r="I31" s="502">
        <f>IF(Weather!E15="","",Weather!E15)</f>
        <v>0.26807099555554398</v>
      </c>
      <c r="J31" s="397">
        <f>IF(RnSplint!N59&lt;0,0,RnSplint!N59)</f>
        <v>28.532595028046355</v>
      </c>
      <c r="K31" s="302">
        <f t="shared" si="34"/>
        <v>0</v>
      </c>
      <c r="L31" s="303">
        <f t="shared" si="35"/>
        <v>37996</v>
      </c>
      <c r="M31" s="346" t="str">
        <f t="shared" si="4"/>
        <v/>
      </c>
      <c r="N31" s="304">
        <f t="shared" si="36"/>
        <v>0</v>
      </c>
      <c r="O31" s="304">
        <f t="shared" si="37"/>
        <v>0</v>
      </c>
      <c r="P31" s="304">
        <f t="shared" si="5"/>
        <v>0</v>
      </c>
      <c r="Q31" s="304">
        <f t="shared" si="6"/>
        <v>1.2</v>
      </c>
      <c r="R31" s="304">
        <f t="shared" si="7"/>
        <v>1.2</v>
      </c>
      <c r="S31" s="305" t="e">
        <f t="shared" si="38"/>
        <v>#N/A</v>
      </c>
      <c r="T31" s="304">
        <f t="shared" si="8"/>
        <v>0</v>
      </c>
      <c r="U31" s="304">
        <f t="shared" si="54"/>
        <v>0</v>
      </c>
      <c r="V31" s="305" t="e">
        <f t="shared" si="9"/>
        <v>#N/A</v>
      </c>
      <c r="W31" s="305" t="e">
        <f t="shared" si="39"/>
        <v>#N/A</v>
      </c>
      <c r="X31" s="304">
        <f t="shared" si="40"/>
        <v>1.2</v>
      </c>
      <c r="Z31" s="304" t="str">
        <f t="shared" si="41"/>
        <v/>
      </c>
      <c r="AA31" s="305" t="e">
        <f t="shared" si="10"/>
        <v>#N/A</v>
      </c>
      <c r="AB31" s="304">
        <f t="shared" si="11"/>
        <v>0.32168519466665274</v>
      </c>
      <c r="AC31" s="304" t="str">
        <f t="shared" si="42"/>
        <v/>
      </c>
      <c r="AD31" s="306">
        <f t="shared" si="12"/>
        <v>0</v>
      </c>
      <c r="AE31" s="307">
        <f t="shared" si="43"/>
        <v>0.32168519466665274</v>
      </c>
      <c r="AF31" s="308" t="e">
        <f t="shared" si="13"/>
        <v>#N/A</v>
      </c>
      <c r="AG31" s="306">
        <f t="shared" si="44"/>
        <v>3.1764692084534789</v>
      </c>
      <c r="AH31" s="306">
        <f t="shared" si="14"/>
        <v>0</v>
      </c>
      <c r="AI31" s="306">
        <f t="shared" si="45"/>
        <v>0</v>
      </c>
      <c r="AJ31" s="306">
        <f t="shared" si="46"/>
        <v>0</v>
      </c>
      <c r="AK31" s="306">
        <f t="shared" si="15"/>
        <v>0</v>
      </c>
      <c r="AL31" s="306">
        <f t="shared" si="47"/>
        <v>0</v>
      </c>
      <c r="AM31" s="306">
        <f t="shared" si="16"/>
        <v>0</v>
      </c>
      <c r="AN31" s="304">
        <f>KcSplint!$N60</f>
        <v>1.1785122780961819</v>
      </c>
      <c r="AO31" s="304" t="str">
        <f t="shared" si="17"/>
        <v/>
      </c>
      <c r="AP31" s="304" t="str">
        <f t="shared" si="48"/>
        <v/>
      </c>
      <c r="AQ31" s="305" t="e">
        <f t="shared" si="49"/>
        <v>#N/A</v>
      </c>
      <c r="AR31" s="304" t="str">
        <f t="shared" si="50"/>
        <v/>
      </c>
      <c r="AS31" s="306">
        <f t="shared" si="18"/>
        <v>0</v>
      </c>
      <c r="AT31" s="307" t="e">
        <f t="shared" si="51"/>
        <v>#N/A</v>
      </c>
      <c r="AU31" s="307" t="e">
        <f t="shared" si="52"/>
        <v>#N/A</v>
      </c>
      <c r="AV31" s="304">
        <f t="shared" si="19"/>
        <v>0.26807099555554398</v>
      </c>
      <c r="AW31" s="309">
        <f t="shared" si="20"/>
        <v>2.2666985070917627</v>
      </c>
      <c r="AX31" s="306">
        <f>IF(ISERROR(Weather!M15),#N/A,Weather!M15)</f>
        <v>0</v>
      </c>
      <c r="AY31" s="310">
        <f t="shared" si="21"/>
        <v>6</v>
      </c>
      <c r="AZ31" s="309">
        <f t="shared" si="22"/>
        <v>1.2</v>
      </c>
      <c r="BA31" s="309">
        <f t="shared" si="23"/>
        <v>3.1764692084534789</v>
      </c>
      <c r="BB31" s="311">
        <f>Irrig!H33</f>
        <v>0</v>
      </c>
      <c r="BC31" s="310">
        <f t="shared" si="24"/>
        <v>0</v>
      </c>
      <c r="BD31" s="309">
        <f t="shared" si="25"/>
        <v>0</v>
      </c>
      <c r="BE31" s="309">
        <f t="shared" si="26"/>
        <v>0</v>
      </c>
      <c r="BF31" s="306">
        <f>DailyMet!H14</f>
        <v>3.02</v>
      </c>
      <c r="BG31" s="306">
        <f>DailyMet!I14</f>
        <v>-3</v>
      </c>
      <c r="BH31" s="306">
        <f t="shared" si="27"/>
        <v>3.02</v>
      </c>
      <c r="BI31" s="306">
        <f t="shared" si="28"/>
        <v>10</v>
      </c>
      <c r="BJ31" s="306">
        <f t="shared" si="29"/>
        <v>-3.49</v>
      </c>
      <c r="BK31" s="306">
        <f t="shared" si="53"/>
        <v>0</v>
      </c>
      <c r="BL31" s="304">
        <f t="shared" si="30"/>
        <v>0</v>
      </c>
      <c r="BM31" s="304">
        <f t="shared" si="31"/>
        <v>0</v>
      </c>
      <c r="BN31" s="304">
        <f t="shared" si="55"/>
        <v>0</v>
      </c>
      <c r="BO31" s="306">
        <f t="shared" si="56"/>
        <v>0</v>
      </c>
      <c r="BP31" s="306"/>
    </row>
    <row r="32" spans="1:68">
      <c r="A32" s="299">
        <f t="shared" si="1"/>
        <v>0</v>
      </c>
      <c r="B32" s="300">
        <f t="shared" si="32"/>
        <v>37997</v>
      </c>
      <c r="C32" s="301" t="e">
        <f t="shared" si="33"/>
        <v>#N/A</v>
      </c>
      <c r="D32" s="301" t="e">
        <f t="shared" si="2"/>
        <v>#N/A</v>
      </c>
      <c r="E32" s="299">
        <f t="shared" si="3"/>
        <v>11</v>
      </c>
      <c r="F32" s="396">
        <f>Weather!M16</f>
        <v>0</v>
      </c>
      <c r="G32" s="301">
        <f>IF(Weather!C16="","",Weather!C16)</f>
        <v>0.27806192705532923</v>
      </c>
      <c r="H32" s="301">
        <f>IF(Weather!D16="","",Weather!D16)</f>
        <v>0.16986159983607474</v>
      </c>
      <c r="I32" s="502">
        <f>IF(Weather!E16="","",Weather!E16)</f>
        <v>0.16986159983607474</v>
      </c>
      <c r="J32" s="397">
        <f>IF(RnSplint!N60&lt;0,0,RnSplint!N60)</f>
        <v>29.112486528912175</v>
      </c>
      <c r="K32" s="302">
        <f t="shared" si="34"/>
        <v>0</v>
      </c>
      <c r="L32" s="303">
        <f t="shared" si="35"/>
        <v>37997</v>
      </c>
      <c r="M32" s="346" t="str">
        <f t="shared" si="4"/>
        <v/>
      </c>
      <c r="N32" s="304">
        <f t="shared" si="36"/>
        <v>0</v>
      </c>
      <c r="O32" s="304">
        <f t="shared" si="37"/>
        <v>0</v>
      </c>
      <c r="P32" s="304">
        <f t="shared" si="5"/>
        <v>0</v>
      </c>
      <c r="Q32" s="304">
        <f t="shared" si="6"/>
        <v>1.2</v>
      </c>
      <c r="R32" s="304">
        <f t="shared" si="7"/>
        <v>1.2</v>
      </c>
      <c r="S32" s="305" t="e">
        <f t="shared" si="38"/>
        <v>#N/A</v>
      </c>
      <c r="T32" s="304">
        <f t="shared" si="8"/>
        <v>0</v>
      </c>
      <c r="U32" s="304">
        <f t="shared" si="54"/>
        <v>0</v>
      </c>
      <c r="V32" s="305" t="e">
        <f t="shared" si="9"/>
        <v>#N/A</v>
      </c>
      <c r="W32" s="305" t="e">
        <f t="shared" si="39"/>
        <v>#N/A</v>
      </c>
      <c r="X32" s="304">
        <f t="shared" si="40"/>
        <v>1.2</v>
      </c>
      <c r="Z32" s="304" t="str">
        <f t="shared" si="41"/>
        <v/>
      </c>
      <c r="AA32" s="305" t="e">
        <f t="shared" si="10"/>
        <v>#N/A</v>
      </c>
      <c r="AB32" s="304">
        <f t="shared" si="11"/>
        <v>0.20383391980328969</v>
      </c>
      <c r="AC32" s="304" t="str">
        <f t="shared" si="42"/>
        <v/>
      </c>
      <c r="AD32" s="306">
        <f t="shared" si="12"/>
        <v>0</v>
      </c>
      <c r="AE32" s="307">
        <f t="shared" si="43"/>
        <v>0.20383391980328969</v>
      </c>
      <c r="AF32" s="308" t="e">
        <f t="shared" si="13"/>
        <v>#N/A</v>
      </c>
      <c r="AG32" s="306">
        <f t="shared" si="44"/>
        <v>3.3463308082895535</v>
      </c>
      <c r="AH32" s="306">
        <f t="shared" si="14"/>
        <v>0</v>
      </c>
      <c r="AI32" s="306">
        <f t="shared" si="45"/>
        <v>0</v>
      </c>
      <c r="AJ32" s="306">
        <f t="shared" si="46"/>
        <v>0</v>
      </c>
      <c r="AK32" s="306">
        <f t="shared" si="15"/>
        <v>0</v>
      </c>
      <c r="AL32" s="306">
        <f t="shared" si="47"/>
        <v>0</v>
      </c>
      <c r="AM32" s="306">
        <f t="shared" si="16"/>
        <v>0</v>
      </c>
      <c r="AN32" s="304">
        <f>KcSplint!$N61</f>
        <v>1.1731539360132712</v>
      </c>
      <c r="AO32" s="304" t="str">
        <f t="shared" si="17"/>
        <v/>
      </c>
      <c r="AP32" s="304" t="str">
        <f t="shared" si="48"/>
        <v/>
      </c>
      <c r="AQ32" s="305" t="e">
        <f t="shared" si="49"/>
        <v>#N/A</v>
      </c>
      <c r="AR32" s="304" t="str">
        <f t="shared" si="50"/>
        <v/>
      </c>
      <c r="AS32" s="306">
        <f t="shared" si="18"/>
        <v>0</v>
      </c>
      <c r="AT32" s="307" t="e">
        <f t="shared" si="51"/>
        <v>#N/A</v>
      </c>
      <c r="AU32" s="307" t="e">
        <f t="shared" si="52"/>
        <v>#N/A</v>
      </c>
      <c r="AV32" s="304">
        <f t="shared" si="19"/>
        <v>0.16986159983607474</v>
      </c>
      <c r="AW32" s="309">
        <f t="shared" si="20"/>
        <v>2.4365601069278373</v>
      </c>
      <c r="AX32" s="306">
        <f>IF(ISERROR(Weather!M16),#N/A,Weather!M16)</f>
        <v>0</v>
      </c>
      <c r="AY32" s="310">
        <f t="shared" si="21"/>
        <v>7</v>
      </c>
      <c r="AZ32" s="309">
        <f t="shared" si="22"/>
        <v>1.2</v>
      </c>
      <c r="BA32" s="309">
        <f t="shared" si="23"/>
        <v>3.3463308082895535</v>
      </c>
      <c r="BB32" s="311">
        <f>Irrig!H34</f>
        <v>0</v>
      </c>
      <c r="BC32" s="310">
        <f t="shared" si="24"/>
        <v>0</v>
      </c>
      <c r="BD32" s="309">
        <f t="shared" si="25"/>
        <v>0</v>
      </c>
      <c r="BE32" s="309">
        <f t="shared" si="26"/>
        <v>0</v>
      </c>
      <c r="BF32" s="306">
        <f>DailyMet!H15</f>
        <v>2.0099999999999998</v>
      </c>
      <c r="BG32" s="306">
        <f>DailyMet!I15</f>
        <v>-4.2</v>
      </c>
      <c r="BH32" s="306">
        <f t="shared" si="27"/>
        <v>2.0099999999999998</v>
      </c>
      <c r="BI32" s="306">
        <f t="shared" si="28"/>
        <v>10</v>
      </c>
      <c r="BJ32" s="306">
        <f t="shared" si="29"/>
        <v>-3.9950000000000001</v>
      </c>
      <c r="BK32" s="306">
        <f t="shared" si="53"/>
        <v>0</v>
      </c>
      <c r="BL32" s="304">
        <f t="shared" si="30"/>
        <v>0</v>
      </c>
      <c r="BM32" s="304">
        <f t="shared" si="31"/>
        <v>0</v>
      </c>
      <c r="BN32" s="304">
        <f t="shared" si="55"/>
        <v>0</v>
      </c>
      <c r="BO32" s="306">
        <f t="shared" si="56"/>
        <v>0</v>
      </c>
      <c r="BP32" s="306"/>
    </row>
    <row r="33" spans="1:68">
      <c r="A33" s="299">
        <f t="shared" si="1"/>
        <v>0</v>
      </c>
      <c r="B33" s="300">
        <f t="shared" si="32"/>
        <v>37998</v>
      </c>
      <c r="C33" s="301" t="e">
        <f t="shared" si="33"/>
        <v>#N/A</v>
      </c>
      <c r="D33" s="301" t="e">
        <f t="shared" si="2"/>
        <v>#N/A</v>
      </c>
      <c r="E33" s="299">
        <f t="shared" si="3"/>
        <v>12</v>
      </c>
      <c r="F33" s="396">
        <f>Weather!M17</f>
        <v>0</v>
      </c>
      <c r="G33" s="301">
        <f>IF(Weather!C17="","",Weather!C17)</f>
        <v>0.28172843164030686</v>
      </c>
      <c r="H33" s="301">
        <f>IF(Weather!D17="","",Weather!D17)</f>
        <v>0.23636606815417283</v>
      </c>
      <c r="I33" s="502">
        <f>IF(Weather!E17="","",Weather!E17)</f>
        <v>0.23636606815417283</v>
      </c>
      <c r="J33" s="397">
        <f>IF(RnSplint!N61&lt;0,0,RnSplint!N61)</f>
        <v>29.65394738928666</v>
      </c>
      <c r="K33" s="302">
        <f t="shared" si="34"/>
        <v>0</v>
      </c>
      <c r="L33" s="303">
        <f t="shared" si="35"/>
        <v>37998</v>
      </c>
      <c r="M33" s="346" t="str">
        <f t="shared" si="4"/>
        <v/>
      </c>
      <c r="N33" s="304">
        <f t="shared" si="36"/>
        <v>0</v>
      </c>
      <c r="O33" s="304">
        <f t="shared" si="37"/>
        <v>0</v>
      </c>
      <c r="P33" s="304">
        <f t="shared" si="5"/>
        <v>0</v>
      </c>
      <c r="Q33" s="304">
        <f t="shared" si="6"/>
        <v>1.2</v>
      </c>
      <c r="R33" s="304">
        <f t="shared" si="7"/>
        <v>1.2</v>
      </c>
      <c r="S33" s="305" t="e">
        <f t="shared" si="38"/>
        <v>#N/A</v>
      </c>
      <c r="T33" s="304">
        <f t="shared" si="8"/>
        <v>0</v>
      </c>
      <c r="U33" s="304">
        <f t="shared" si="54"/>
        <v>0</v>
      </c>
      <c r="V33" s="305" t="e">
        <f t="shared" si="9"/>
        <v>#N/A</v>
      </c>
      <c r="W33" s="305" t="e">
        <f t="shared" si="39"/>
        <v>#N/A</v>
      </c>
      <c r="X33" s="304">
        <f t="shared" si="40"/>
        <v>1.2</v>
      </c>
      <c r="Z33" s="304" t="str">
        <f t="shared" si="41"/>
        <v/>
      </c>
      <c r="AA33" s="305" t="e">
        <f t="shared" si="10"/>
        <v>#N/A</v>
      </c>
      <c r="AB33" s="304">
        <f t="shared" si="11"/>
        <v>0.28363928178500736</v>
      </c>
      <c r="AC33" s="304" t="str">
        <f t="shared" si="42"/>
        <v/>
      </c>
      <c r="AD33" s="306">
        <f t="shared" si="12"/>
        <v>0</v>
      </c>
      <c r="AE33" s="307">
        <f t="shared" si="43"/>
        <v>0.28363928178500736</v>
      </c>
      <c r="AF33" s="308" t="e">
        <f t="shared" si="13"/>
        <v>#N/A</v>
      </c>
      <c r="AG33" s="306">
        <f t="shared" si="44"/>
        <v>3.5826968764437264</v>
      </c>
      <c r="AH33" s="306">
        <f t="shared" si="14"/>
        <v>0</v>
      </c>
      <c r="AI33" s="306">
        <f t="shared" si="45"/>
        <v>0</v>
      </c>
      <c r="AJ33" s="306">
        <f t="shared" si="46"/>
        <v>0</v>
      </c>
      <c r="AK33" s="306">
        <f t="shared" si="15"/>
        <v>0</v>
      </c>
      <c r="AL33" s="306">
        <f t="shared" si="47"/>
        <v>0</v>
      </c>
      <c r="AM33" s="306">
        <f t="shared" si="16"/>
        <v>0</v>
      </c>
      <c r="AN33" s="304">
        <f>KcSplint!$N62</f>
        <v>1.1672366958645226</v>
      </c>
      <c r="AO33" s="304" t="str">
        <f t="shared" si="17"/>
        <v/>
      </c>
      <c r="AP33" s="304" t="str">
        <f t="shared" si="48"/>
        <v/>
      </c>
      <c r="AQ33" s="305" t="e">
        <f t="shared" si="49"/>
        <v>#N/A</v>
      </c>
      <c r="AR33" s="304" t="str">
        <f t="shared" si="50"/>
        <v/>
      </c>
      <c r="AS33" s="306">
        <f t="shared" si="18"/>
        <v>0</v>
      </c>
      <c r="AT33" s="307" t="e">
        <f t="shared" si="51"/>
        <v>#N/A</v>
      </c>
      <c r="AU33" s="307" t="e">
        <f t="shared" si="52"/>
        <v>#N/A</v>
      </c>
      <c r="AV33" s="304">
        <f t="shared" si="19"/>
        <v>0.23636606815417283</v>
      </c>
      <c r="AW33" s="309">
        <f t="shared" si="20"/>
        <v>2.6729261750820101</v>
      </c>
      <c r="AX33" s="306">
        <f>IF(ISERROR(Weather!M17),#N/A,Weather!M17)</f>
        <v>0</v>
      </c>
      <c r="AY33" s="310">
        <f t="shared" si="21"/>
        <v>8</v>
      </c>
      <c r="AZ33" s="309">
        <f t="shared" si="22"/>
        <v>1.2</v>
      </c>
      <c r="BA33" s="309">
        <f t="shared" si="23"/>
        <v>3.5826968764437264</v>
      </c>
      <c r="BB33" s="311">
        <f>Irrig!H35</f>
        <v>0</v>
      </c>
      <c r="BC33" s="310">
        <f t="shared" si="24"/>
        <v>0</v>
      </c>
      <c r="BD33" s="309">
        <f t="shared" si="25"/>
        <v>0</v>
      </c>
      <c r="BE33" s="309">
        <f t="shared" si="26"/>
        <v>0</v>
      </c>
      <c r="BF33" s="306">
        <f>DailyMet!H16</f>
        <v>2.65</v>
      </c>
      <c r="BG33" s="306">
        <f>DailyMet!I16</f>
        <v>-3.9</v>
      </c>
      <c r="BH33" s="306">
        <f t="shared" si="27"/>
        <v>2.65</v>
      </c>
      <c r="BI33" s="306">
        <f t="shared" si="28"/>
        <v>10</v>
      </c>
      <c r="BJ33" s="306">
        <f t="shared" si="29"/>
        <v>-3.6749999999999998</v>
      </c>
      <c r="BK33" s="306">
        <f t="shared" si="53"/>
        <v>0</v>
      </c>
      <c r="BL33" s="304">
        <f t="shared" si="30"/>
        <v>0</v>
      </c>
      <c r="BM33" s="304">
        <f t="shared" si="31"/>
        <v>0</v>
      </c>
      <c r="BN33" s="304">
        <f t="shared" si="55"/>
        <v>0</v>
      </c>
      <c r="BO33" s="306">
        <f t="shared" si="56"/>
        <v>0</v>
      </c>
      <c r="BP33" s="306"/>
    </row>
    <row r="34" spans="1:68">
      <c r="A34" s="299">
        <f t="shared" si="1"/>
        <v>0</v>
      </c>
      <c r="B34" s="300">
        <f t="shared" si="32"/>
        <v>37999</v>
      </c>
      <c r="C34" s="301" t="e">
        <f t="shared" si="33"/>
        <v>#N/A</v>
      </c>
      <c r="D34" s="301" t="e">
        <f t="shared" si="2"/>
        <v>#N/A</v>
      </c>
      <c r="E34" s="299">
        <f t="shared" si="3"/>
        <v>13</v>
      </c>
      <c r="F34" s="396">
        <f>Weather!M18</f>
        <v>0.2</v>
      </c>
      <c r="G34" s="301">
        <f>IF(Weather!C18="","",Weather!C18)</f>
        <v>0.28497490368157985</v>
      </c>
      <c r="H34" s="301">
        <f>IF(Weather!D18="","",Weather!D18)</f>
        <v>0.19150336319124778</v>
      </c>
      <c r="I34" s="502">
        <f>IF(Weather!E18="","",Weather!E18)</f>
        <v>0.19150336319124778</v>
      </c>
      <c r="J34" s="397">
        <f>IF(RnSplint!N62&lt;0,0,RnSplint!N62)</f>
        <v>30.1522029964236</v>
      </c>
      <c r="K34" s="302">
        <f t="shared" si="34"/>
        <v>0</v>
      </c>
      <c r="L34" s="303">
        <f t="shared" si="35"/>
        <v>37999</v>
      </c>
      <c r="M34" s="346" t="str">
        <f t="shared" si="4"/>
        <v/>
      </c>
      <c r="N34" s="304">
        <f t="shared" si="36"/>
        <v>0</v>
      </c>
      <c r="O34" s="304">
        <f t="shared" si="37"/>
        <v>0</v>
      </c>
      <c r="P34" s="304">
        <f t="shared" si="5"/>
        <v>0</v>
      </c>
      <c r="Q34" s="304">
        <f t="shared" si="6"/>
        <v>1.2</v>
      </c>
      <c r="R34" s="304">
        <f t="shared" si="7"/>
        <v>1.2</v>
      </c>
      <c r="S34" s="305" t="e">
        <f t="shared" si="38"/>
        <v>#N/A</v>
      </c>
      <c r="T34" s="304">
        <f t="shared" si="8"/>
        <v>0</v>
      </c>
      <c r="U34" s="304">
        <f t="shared" si="54"/>
        <v>0</v>
      </c>
      <c r="V34" s="305" t="e">
        <f t="shared" si="9"/>
        <v>#N/A</v>
      </c>
      <c r="W34" s="305" t="e">
        <f t="shared" si="39"/>
        <v>#N/A</v>
      </c>
      <c r="X34" s="304">
        <f t="shared" si="40"/>
        <v>1.2</v>
      </c>
      <c r="Z34" s="304" t="str">
        <f t="shared" si="41"/>
        <v/>
      </c>
      <c r="AA34" s="305" t="e">
        <f t="shared" si="10"/>
        <v>#N/A</v>
      </c>
      <c r="AB34" s="304">
        <f t="shared" si="11"/>
        <v>0.22980403582949732</v>
      </c>
      <c r="AC34" s="304" t="str">
        <f t="shared" si="42"/>
        <v/>
      </c>
      <c r="AD34" s="306">
        <f t="shared" si="12"/>
        <v>0</v>
      </c>
      <c r="AE34" s="307">
        <f t="shared" si="43"/>
        <v>0.22980403582949732</v>
      </c>
      <c r="AF34" s="308" t="e">
        <f t="shared" si="13"/>
        <v>#N/A</v>
      </c>
      <c r="AG34" s="306">
        <f t="shared" si="44"/>
        <v>3.7742002396349741</v>
      </c>
      <c r="AH34" s="306">
        <f t="shared" si="14"/>
        <v>0</v>
      </c>
      <c r="AI34" s="306">
        <f t="shared" si="45"/>
        <v>0</v>
      </c>
      <c r="AJ34" s="306">
        <f t="shared" si="46"/>
        <v>0</v>
      </c>
      <c r="AK34" s="306">
        <f t="shared" si="15"/>
        <v>0</v>
      </c>
      <c r="AL34" s="306">
        <f t="shared" si="47"/>
        <v>0</v>
      </c>
      <c r="AM34" s="306">
        <f t="shared" si="16"/>
        <v>0</v>
      </c>
      <c r="AN34" s="304">
        <f>KcSplint!$N63</f>
        <v>1.1607369094307132</v>
      </c>
      <c r="AO34" s="304" t="str">
        <f t="shared" si="17"/>
        <v/>
      </c>
      <c r="AP34" s="304" t="str">
        <f t="shared" si="48"/>
        <v/>
      </c>
      <c r="AQ34" s="305" t="e">
        <f t="shared" si="49"/>
        <v>#N/A</v>
      </c>
      <c r="AR34" s="304" t="str">
        <f t="shared" si="50"/>
        <v/>
      </c>
      <c r="AS34" s="306">
        <f t="shared" si="18"/>
        <v>0</v>
      </c>
      <c r="AT34" s="307" t="e">
        <f t="shared" si="51"/>
        <v>#N/A</v>
      </c>
      <c r="AU34" s="307" t="e">
        <f t="shared" si="52"/>
        <v>#N/A</v>
      </c>
      <c r="AV34" s="304">
        <f t="shared" si="19"/>
        <v>0.19150336319124778</v>
      </c>
      <c r="AW34" s="309">
        <f t="shared" si="20"/>
        <v>2.8644295382732579</v>
      </c>
      <c r="AX34" s="306">
        <f>IF(ISERROR(Weather!M18),#N/A,Weather!M18)</f>
        <v>0.2</v>
      </c>
      <c r="AY34" s="310">
        <f t="shared" si="21"/>
        <v>9</v>
      </c>
      <c r="AZ34" s="309">
        <f t="shared" si="22"/>
        <v>1.2</v>
      </c>
      <c r="BA34" s="309">
        <f t="shared" si="23"/>
        <v>3.7742002396349741</v>
      </c>
      <c r="BB34" s="311">
        <f>Irrig!H36</f>
        <v>0</v>
      </c>
      <c r="BC34" s="310">
        <f t="shared" si="24"/>
        <v>0</v>
      </c>
      <c r="BD34" s="309">
        <f t="shared" si="25"/>
        <v>0</v>
      </c>
      <c r="BE34" s="309">
        <f t="shared" si="26"/>
        <v>0</v>
      </c>
      <c r="BF34" s="306">
        <f>DailyMet!H17</f>
        <v>1.68</v>
      </c>
      <c r="BG34" s="306">
        <f>DailyMet!I17</f>
        <v>-3.4</v>
      </c>
      <c r="BH34" s="306">
        <f t="shared" si="27"/>
        <v>1.68</v>
      </c>
      <c r="BI34" s="306">
        <f t="shared" si="28"/>
        <v>10</v>
      </c>
      <c r="BJ34" s="306">
        <f t="shared" si="29"/>
        <v>-4.16</v>
      </c>
      <c r="BK34" s="306">
        <f t="shared" si="53"/>
        <v>0</v>
      </c>
      <c r="BL34" s="304">
        <f t="shared" si="30"/>
        <v>0</v>
      </c>
      <c r="BM34" s="304">
        <f t="shared" si="31"/>
        <v>0</v>
      </c>
      <c r="BN34" s="304">
        <f t="shared" si="55"/>
        <v>0</v>
      </c>
      <c r="BO34" s="306">
        <f t="shared" si="56"/>
        <v>0</v>
      </c>
      <c r="BP34" s="306"/>
    </row>
    <row r="35" spans="1:68">
      <c r="A35" s="299">
        <f t="shared" si="1"/>
        <v>0</v>
      </c>
      <c r="B35" s="300">
        <f t="shared" si="32"/>
        <v>38000</v>
      </c>
      <c r="C35" s="301" t="e">
        <f t="shared" si="33"/>
        <v>#N/A</v>
      </c>
      <c r="D35" s="301" t="e">
        <f t="shared" si="2"/>
        <v>#N/A</v>
      </c>
      <c r="E35" s="299">
        <f t="shared" si="3"/>
        <v>14</v>
      </c>
      <c r="F35" s="396">
        <f>Weather!M19</f>
        <v>0.2</v>
      </c>
      <c r="G35" s="301">
        <f>IF(Weather!C19="","",Weather!C19)</f>
        <v>0.28774940564589524</v>
      </c>
      <c r="H35" s="301">
        <f>IF(Weather!D19="","",Weather!D19)</f>
        <v>0.16723499167272959</v>
      </c>
      <c r="I35" s="502">
        <f>IF(Weather!E19="","",Weather!E19)</f>
        <v>0.16723499167272959</v>
      </c>
      <c r="J35" s="397">
        <f>IF(RnSplint!N63&lt;0,0,RnSplint!N63)</f>
        <v>30.602478737576778</v>
      </c>
      <c r="K35" s="302">
        <f t="shared" si="34"/>
        <v>0</v>
      </c>
      <c r="L35" s="303">
        <f t="shared" si="35"/>
        <v>38000</v>
      </c>
      <c r="M35" s="346" t="str">
        <f t="shared" si="4"/>
        <v/>
      </c>
      <c r="N35" s="304">
        <f t="shared" si="36"/>
        <v>0</v>
      </c>
      <c r="O35" s="304">
        <f t="shared" si="37"/>
        <v>0</v>
      </c>
      <c r="P35" s="304">
        <f t="shared" si="5"/>
        <v>0</v>
      </c>
      <c r="Q35" s="304">
        <f t="shared" si="6"/>
        <v>1.2</v>
      </c>
      <c r="R35" s="304">
        <f t="shared" si="7"/>
        <v>1.2</v>
      </c>
      <c r="S35" s="305" t="e">
        <f t="shared" si="38"/>
        <v>#N/A</v>
      </c>
      <c r="T35" s="304">
        <f t="shared" si="8"/>
        <v>0</v>
      </c>
      <c r="U35" s="304">
        <f t="shared" si="54"/>
        <v>0</v>
      </c>
      <c r="V35" s="305" t="e">
        <f t="shared" si="9"/>
        <v>#N/A</v>
      </c>
      <c r="W35" s="305" t="e">
        <f t="shared" si="39"/>
        <v>#N/A</v>
      </c>
      <c r="X35" s="304">
        <f t="shared" si="40"/>
        <v>1.2</v>
      </c>
      <c r="Z35" s="304" t="str">
        <f t="shared" si="41"/>
        <v/>
      </c>
      <c r="AA35" s="305" t="e">
        <f t="shared" si="10"/>
        <v>#N/A</v>
      </c>
      <c r="AB35" s="304">
        <f t="shared" si="11"/>
        <v>0.20068199000727552</v>
      </c>
      <c r="AC35" s="304" t="str">
        <f t="shared" si="42"/>
        <v/>
      </c>
      <c r="AD35" s="306">
        <f t="shared" si="12"/>
        <v>0</v>
      </c>
      <c r="AE35" s="307">
        <f t="shared" si="43"/>
        <v>0.20068199000727552</v>
      </c>
      <c r="AF35" s="308" t="e">
        <f t="shared" si="13"/>
        <v>#N/A</v>
      </c>
      <c r="AG35" s="306">
        <f t="shared" si="44"/>
        <v>3.9414352313077039</v>
      </c>
      <c r="AH35" s="306">
        <f t="shared" si="14"/>
        <v>0</v>
      </c>
      <c r="AI35" s="306">
        <f t="shared" si="45"/>
        <v>0</v>
      </c>
      <c r="AJ35" s="306">
        <f t="shared" si="46"/>
        <v>0</v>
      </c>
      <c r="AK35" s="306">
        <f t="shared" si="15"/>
        <v>0</v>
      </c>
      <c r="AL35" s="306">
        <f t="shared" si="47"/>
        <v>0</v>
      </c>
      <c r="AM35" s="306">
        <f t="shared" si="16"/>
        <v>0</v>
      </c>
      <c r="AN35" s="304">
        <f>KcSplint!$N64</f>
        <v>1.1536309284926189</v>
      </c>
      <c r="AO35" s="304" t="str">
        <f t="shared" si="17"/>
        <v/>
      </c>
      <c r="AP35" s="304" t="str">
        <f t="shared" si="48"/>
        <v/>
      </c>
      <c r="AQ35" s="305" t="e">
        <f t="shared" si="49"/>
        <v>#N/A</v>
      </c>
      <c r="AR35" s="304" t="str">
        <f t="shared" si="50"/>
        <v/>
      </c>
      <c r="AS35" s="306">
        <f t="shared" si="18"/>
        <v>0</v>
      </c>
      <c r="AT35" s="307" t="e">
        <f t="shared" si="51"/>
        <v>#N/A</v>
      </c>
      <c r="AU35" s="307" t="e">
        <f t="shared" si="52"/>
        <v>#N/A</v>
      </c>
      <c r="AV35" s="304">
        <f t="shared" si="19"/>
        <v>0.16723499167272959</v>
      </c>
      <c r="AW35" s="309">
        <f t="shared" si="20"/>
        <v>3.0316645299459877</v>
      </c>
      <c r="AX35" s="306">
        <f>IF(ISERROR(Weather!M19),#N/A,Weather!M19)</f>
        <v>0.2</v>
      </c>
      <c r="AY35" s="310">
        <f t="shared" si="21"/>
        <v>10</v>
      </c>
      <c r="AZ35" s="309">
        <f t="shared" si="22"/>
        <v>1.2</v>
      </c>
      <c r="BA35" s="309">
        <f t="shared" si="23"/>
        <v>3.9414352313077039</v>
      </c>
      <c r="BB35" s="311">
        <f>Irrig!H37</f>
        <v>0</v>
      </c>
      <c r="BC35" s="310">
        <f t="shared" si="24"/>
        <v>0</v>
      </c>
      <c r="BD35" s="309">
        <f t="shared" si="25"/>
        <v>0</v>
      </c>
      <c r="BE35" s="309">
        <f t="shared" si="26"/>
        <v>0</v>
      </c>
      <c r="BF35" s="306">
        <f>DailyMet!H18</f>
        <v>-1.81</v>
      </c>
      <c r="BG35" s="306">
        <f>DailyMet!I18</f>
        <v>-4.5999999999999996</v>
      </c>
      <c r="BH35" s="306">
        <f t="shared" si="27"/>
        <v>-1.81</v>
      </c>
      <c r="BI35" s="306">
        <f t="shared" si="28"/>
        <v>10</v>
      </c>
      <c r="BJ35" s="306">
        <f t="shared" si="29"/>
        <v>-5.9050000000000002</v>
      </c>
      <c r="BK35" s="306">
        <f t="shared" si="53"/>
        <v>0</v>
      </c>
      <c r="BL35" s="304">
        <f t="shared" si="30"/>
        <v>0</v>
      </c>
      <c r="BM35" s="304">
        <f t="shared" si="31"/>
        <v>0</v>
      </c>
      <c r="BN35" s="304">
        <f t="shared" si="55"/>
        <v>0</v>
      </c>
      <c r="BO35" s="306">
        <f t="shared" si="56"/>
        <v>0</v>
      </c>
      <c r="BP35" s="306"/>
    </row>
    <row r="36" spans="1:68">
      <c r="A36" s="299">
        <f t="shared" si="1"/>
        <v>0</v>
      </c>
      <c r="B36" s="300">
        <f t="shared" si="32"/>
        <v>38001</v>
      </c>
      <c r="C36" s="301" t="e">
        <f t="shared" si="33"/>
        <v>#N/A</v>
      </c>
      <c r="D36" s="301" t="e">
        <f t="shared" si="2"/>
        <v>#N/A</v>
      </c>
      <c r="E36" s="299">
        <f t="shared" si="3"/>
        <v>15</v>
      </c>
      <c r="F36" s="396">
        <f>Weather!M20</f>
        <v>0.2</v>
      </c>
      <c r="G36" s="301">
        <f>IF(Weather!C20="","",Weather!C20)</f>
        <v>0.28999999999999998</v>
      </c>
      <c r="H36" s="301">
        <f>IF(Weather!D20="","",Weather!D20)</f>
        <v>0.18422309026983519</v>
      </c>
      <c r="I36" s="502">
        <f>IF(Weather!E20="","",Weather!E20)</f>
        <v>0.18422309026983519</v>
      </c>
      <c r="J36" s="397">
        <f>IF(RnSplint!N64&lt;0,0,RnSplint!N64)</f>
        <v>31</v>
      </c>
      <c r="K36" s="302">
        <f t="shared" si="34"/>
        <v>0</v>
      </c>
      <c r="L36" s="303">
        <f t="shared" si="35"/>
        <v>38001</v>
      </c>
      <c r="M36" s="346" t="str">
        <f t="shared" si="4"/>
        <v/>
      </c>
      <c r="N36" s="304">
        <f t="shared" si="36"/>
        <v>0</v>
      </c>
      <c r="O36" s="304">
        <f t="shared" si="37"/>
        <v>0</v>
      </c>
      <c r="P36" s="304">
        <f t="shared" si="5"/>
        <v>0</v>
      </c>
      <c r="Q36" s="304">
        <f t="shared" si="6"/>
        <v>1.2</v>
      </c>
      <c r="R36" s="304">
        <f t="shared" si="7"/>
        <v>1.2</v>
      </c>
      <c r="S36" s="305" t="e">
        <f t="shared" si="38"/>
        <v>#N/A</v>
      </c>
      <c r="T36" s="304">
        <f t="shared" si="8"/>
        <v>0</v>
      </c>
      <c r="U36" s="304">
        <f t="shared" si="54"/>
        <v>0</v>
      </c>
      <c r="V36" s="305" t="e">
        <f t="shared" si="9"/>
        <v>#N/A</v>
      </c>
      <c r="W36" s="305" t="e">
        <f t="shared" si="39"/>
        <v>#N/A</v>
      </c>
      <c r="X36" s="304">
        <f t="shared" si="40"/>
        <v>1.2</v>
      </c>
      <c r="Z36" s="304" t="str">
        <f t="shared" si="41"/>
        <v/>
      </c>
      <c r="AA36" s="305" t="e">
        <f t="shared" si="10"/>
        <v>#N/A</v>
      </c>
      <c r="AB36" s="304">
        <f t="shared" si="11"/>
        <v>0.22106770832380221</v>
      </c>
      <c r="AC36" s="304" t="str">
        <f t="shared" si="42"/>
        <v/>
      </c>
      <c r="AD36" s="306">
        <f t="shared" si="12"/>
        <v>0</v>
      </c>
      <c r="AE36" s="307">
        <f t="shared" si="43"/>
        <v>0.22106770832380221</v>
      </c>
      <c r="AF36" s="308" t="e">
        <f t="shared" si="13"/>
        <v>#N/A</v>
      </c>
      <c r="AG36" s="306">
        <f t="shared" si="44"/>
        <v>4.1256583215775393</v>
      </c>
      <c r="AH36" s="306">
        <f t="shared" si="14"/>
        <v>0</v>
      </c>
      <c r="AI36" s="306">
        <f t="shared" si="45"/>
        <v>0</v>
      </c>
      <c r="AJ36" s="306">
        <f t="shared" si="46"/>
        <v>0</v>
      </c>
      <c r="AK36" s="306">
        <f t="shared" si="15"/>
        <v>0</v>
      </c>
      <c r="AL36" s="306">
        <f t="shared" si="47"/>
        <v>0</v>
      </c>
      <c r="AM36" s="306">
        <f t="shared" si="16"/>
        <v>0</v>
      </c>
      <c r="AN36" s="304">
        <f>KcSplint!$N65</f>
        <v>1.1459019955524703</v>
      </c>
      <c r="AO36" s="304" t="str">
        <f t="shared" si="17"/>
        <v/>
      </c>
      <c r="AP36" s="304" t="str">
        <f t="shared" si="48"/>
        <v/>
      </c>
      <c r="AQ36" s="305" t="e">
        <f t="shared" si="49"/>
        <v>#N/A</v>
      </c>
      <c r="AR36" s="304" t="str">
        <f t="shared" si="50"/>
        <v/>
      </c>
      <c r="AS36" s="306">
        <f t="shared" si="18"/>
        <v>0</v>
      </c>
      <c r="AT36" s="307" t="e">
        <f t="shared" si="51"/>
        <v>#N/A</v>
      </c>
      <c r="AU36" s="307" t="e">
        <f t="shared" si="52"/>
        <v>#N/A</v>
      </c>
      <c r="AV36" s="304">
        <f t="shared" si="19"/>
        <v>0.18422309026983519</v>
      </c>
      <c r="AW36" s="309">
        <f t="shared" si="20"/>
        <v>3.2158876202158231</v>
      </c>
      <c r="AX36" s="306">
        <f>IF(ISERROR(Weather!M20),#N/A,Weather!M20)</f>
        <v>0.2</v>
      </c>
      <c r="AY36" s="310">
        <f t="shared" si="21"/>
        <v>11</v>
      </c>
      <c r="AZ36" s="309">
        <f t="shared" si="22"/>
        <v>1.2</v>
      </c>
      <c r="BA36" s="309">
        <f t="shared" si="23"/>
        <v>4.1256583215775393</v>
      </c>
      <c r="BB36" s="311">
        <f>Irrig!H38</f>
        <v>0</v>
      </c>
      <c r="BC36" s="310">
        <f t="shared" si="24"/>
        <v>0</v>
      </c>
      <c r="BD36" s="309">
        <f t="shared" si="25"/>
        <v>0</v>
      </c>
      <c r="BE36" s="309">
        <f t="shared" si="26"/>
        <v>0</v>
      </c>
      <c r="BF36" s="306">
        <f>DailyMet!H19</f>
        <v>-0.92</v>
      </c>
      <c r="BG36" s="306">
        <f>DailyMet!I19</f>
        <v>-2.5</v>
      </c>
      <c r="BH36" s="306">
        <f t="shared" si="27"/>
        <v>-0.92</v>
      </c>
      <c r="BI36" s="306">
        <f t="shared" si="28"/>
        <v>10</v>
      </c>
      <c r="BJ36" s="306">
        <f t="shared" si="29"/>
        <v>-5.46</v>
      </c>
      <c r="BK36" s="306">
        <f t="shared" si="53"/>
        <v>0</v>
      </c>
      <c r="BL36" s="304">
        <f t="shared" si="30"/>
        <v>0</v>
      </c>
      <c r="BM36" s="304">
        <f t="shared" si="31"/>
        <v>0</v>
      </c>
      <c r="BN36" s="304">
        <f t="shared" si="55"/>
        <v>0</v>
      </c>
      <c r="BO36" s="306">
        <f t="shared" si="56"/>
        <v>0</v>
      </c>
      <c r="BP36" s="306"/>
    </row>
    <row r="37" spans="1:68">
      <c r="A37" s="299">
        <f t="shared" si="1"/>
        <v>0</v>
      </c>
      <c r="B37" s="300">
        <f t="shared" si="32"/>
        <v>38002</v>
      </c>
      <c r="C37" s="301" t="e">
        <f t="shared" si="33"/>
        <v>#N/A</v>
      </c>
      <c r="D37" s="301" t="e">
        <f t="shared" si="2"/>
        <v>#N/A</v>
      </c>
      <c r="E37" s="299">
        <f t="shared" si="3"/>
        <v>16</v>
      </c>
      <c r="F37" s="396">
        <f>Weather!M21</f>
        <v>0</v>
      </c>
      <c r="G37" s="301">
        <f>IF(Weather!C21="","",Weather!C21)</f>
        <v>0.29169662806993923</v>
      </c>
      <c r="H37" s="301">
        <f>IF(Weather!D21="","",Weather!D21)</f>
        <v>0.27350161522473587</v>
      </c>
      <c r="I37" s="502">
        <f>IF(Weather!E21="","",Weather!E21)</f>
        <v>0.27350161522473587</v>
      </c>
      <c r="J37" s="397">
        <f>IF(RnSplint!N65&lt;0,0,RnSplint!N65)</f>
        <v>31.341230576823268</v>
      </c>
      <c r="K37" s="302">
        <f t="shared" si="34"/>
        <v>0</v>
      </c>
      <c r="L37" s="303">
        <f t="shared" si="35"/>
        <v>38002</v>
      </c>
      <c r="M37" s="346" t="str">
        <f t="shared" si="4"/>
        <v/>
      </c>
      <c r="N37" s="304">
        <f t="shared" si="36"/>
        <v>0</v>
      </c>
      <c r="O37" s="304">
        <f t="shared" si="37"/>
        <v>0</v>
      </c>
      <c r="P37" s="304">
        <f t="shared" si="5"/>
        <v>0</v>
      </c>
      <c r="Q37" s="304">
        <f t="shared" si="6"/>
        <v>1.2</v>
      </c>
      <c r="R37" s="304">
        <f t="shared" si="7"/>
        <v>1.2</v>
      </c>
      <c r="S37" s="305" t="e">
        <f t="shared" si="38"/>
        <v>#N/A</v>
      </c>
      <c r="T37" s="304">
        <f t="shared" si="8"/>
        <v>0</v>
      </c>
      <c r="U37" s="304">
        <f t="shared" si="54"/>
        <v>0</v>
      </c>
      <c r="V37" s="305" t="e">
        <f t="shared" si="9"/>
        <v>#N/A</v>
      </c>
      <c r="W37" s="305" t="e">
        <f t="shared" si="39"/>
        <v>#N/A</v>
      </c>
      <c r="X37" s="304">
        <f t="shared" si="40"/>
        <v>1.2</v>
      </c>
      <c r="Z37" s="304" t="str">
        <f t="shared" si="41"/>
        <v/>
      </c>
      <c r="AA37" s="305" t="e">
        <f t="shared" si="10"/>
        <v>#N/A</v>
      </c>
      <c r="AB37" s="304">
        <f t="shared" si="11"/>
        <v>0.32820193826968302</v>
      </c>
      <c r="AC37" s="304" t="str">
        <f t="shared" si="42"/>
        <v/>
      </c>
      <c r="AD37" s="306">
        <f t="shared" si="12"/>
        <v>0</v>
      </c>
      <c r="AE37" s="307">
        <f t="shared" si="43"/>
        <v>0.32820193826968302</v>
      </c>
      <c r="AF37" s="308" t="e">
        <f t="shared" si="13"/>
        <v>#N/A</v>
      </c>
      <c r="AG37" s="306">
        <f t="shared" si="44"/>
        <v>4.3991599368022749</v>
      </c>
      <c r="AH37" s="306">
        <f t="shared" si="14"/>
        <v>0</v>
      </c>
      <c r="AI37" s="306">
        <f t="shared" si="45"/>
        <v>0</v>
      </c>
      <c r="AJ37" s="306">
        <f t="shared" si="46"/>
        <v>0</v>
      </c>
      <c r="AK37" s="306">
        <f t="shared" si="15"/>
        <v>0</v>
      </c>
      <c r="AL37" s="306">
        <f t="shared" si="47"/>
        <v>0</v>
      </c>
      <c r="AM37" s="306">
        <f t="shared" si="16"/>
        <v>0</v>
      </c>
      <c r="AN37" s="304">
        <f>KcSplint!$N66</f>
        <v>1.1375609159983093</v>
      </c>
      <c r="AO37" s="304" t="str">
        <f t="shared" si="17"/>
        <v/>
      </c>
      <c r="AP37" s="304" t="str">
        <f t="shared" si="48"/>
        <v/>
      </c>
      <c r="AQ37" s="305" t="e">
        <f t="shared" si="49"/>
        <v>#N/A</v>
      </c>
      <c r="AR37" s="304" t="str">
        <f t="shared" si="50"/>
        <v/>
      </c>
      <c r="AS37" s="306">
        <f t="shared" si="18"/>
        <v>0</v>
      </c>
      <c r="AT37" s="307" t="e">
        <f t="shared" si="51"/>
        <v>#N/A</v>
      </c>
      <c r="AU37" s="307" t="e">
        <f t="shared" si="52"/>
        <v>#N/A</v>
      </c>
      <c r="AV37" s="304">
        <f t="shared" si="19"/>
        <v>0.27350161522473587</v>
      </c>
      <c r="AW37" s="309">
        <f t="shared" si="20"/>
        <v>3.4893892354405591</v>
      </c>
      <c r="AX37" s="306">
        <f>IF(ISERROR(Weather!M21),#N/A,Weather!M21)</f>
        <v>0</v>
      </c>
      <c r="AY37" s="310">
        <f t="shared" si="21"/>
        <v>12</v>
      </c>
      <c r="AZ37" s="309">
        <f t="shared" si="22"/>
        <v>1.2</v>
      </c>
      <c r="BA37" s="309">
        <f t="shared" si="23"/>
        <v>4.3991599368022749</v>
      </c>
      <c r="BB37" s="311">
        <f>Irrig!H39</f>
        <v>0</v>
      </c>
      <c r="BC37" s="310">
        <f t="shared" si="24"/>
        <v>0</v>
      </c>
      <c r="BD37" s="309">
        <f t="shared" si="25"/>
        <v>0</v>
      </c>
      <c r="BE37" s="309">
        <f t="shared" si="26"/>
        <v>0</v>
      </c>
      <c r="BF37" s="306">
        <f>DailyMet!H20</f>
        <v>-0.28000000000000003</v>
      </c>
      <c r="BG37" s="306">
        <f>DailyMet!I20</f>
        <v>-1.9</v>
      </c>
      <c r="BH37" s="306">
        <f t="shared" si="27"/>
        <v>-0.28000000000000003</v>
      </c>
      <c r="BI37" s="306">
        <f t="shared" si="28"/>
        <v>10</v>
      </c>
      <c r="BJ37" s="306">
        <f t="shared" si="29"/>
        <v>-5.14</v>
      </c>
      <c r="BK37" s="306">
        <f t="shared" si="53"/>
        <v>0</v>
      </c>
      <c r="BL37" s="304">
        <f t="shared" si="30"/>
        <v>0</v>
      </c>
      <c r="BM37" s="304">
        <f t="shared" si="31"/>
        <v>0</v>
      </c>
      <c r="BN37" s="304">
        <f t="shared" si="55"/>
        <v>0</v>
      </c>
      <c r="BO37" s="306">
        <f t="shared" si="56"/>
        <v>0</v>
      </c>
      <c r="BP37" s="306"/>
    </row>
    <row r="38" spans="1:68">
      <c r="A38" s="299">
        <f t="shared" si="1"/>
        <v>0</v>
      </c>
      <c r="B38" s="300">
        <f t="shared" si="32"/>
        <v>38003</v>
      </c>
      <c r="C38" s="301" t="e">
        <f t="shared" si="33"/>
        <v>#N/A</v>
      </c>
      <c r="D38" s="301" t="e">
        <f t="shared" si="2"/>
        <v>#N/A</v>
      </c>
      <c r="E38" s="299">
        <f t="shared" si="3"/>
        <v>17</v>
      </c>
      <c r="F38" s="396">
        <f>Weather!M22</f>
        <v>0</v>
      </c>
      <c r="G38" s="301">
        <f>IF(Weather!C22="","",Weather!C22)</f>
        <v>0.29289674661895093</v>
      </c>
      <c r="H38" s="301">
        <f>IF(Weather!D22="","",Weather!D22)</f>
        <v>0.20161528149186347</v>
      </c>
      <c r="I38" s="502">
        <f>IF(Weather!E22="","",Weather!E22)</f>
        <v>0.20161528149186347</v>
      </c>
      <c r="J38" s="397">
        <f>IF(RnSplint!N66&lt;0,0,RnSplint!N66)</f>
        <v>31.627587884681439</v>
      </c>
      <c r="K38" s="302">
        <f t="shared" si="34"/>
        <v>0</v>
      </c>
      <c r="L38" s="303">
        <f t="shared" si="35"/>
        <v>38003</v>
      </c>
      <c r="M38" s="346" t="str">
        <f t="shared" si="4"/>
        <v/>
      </c>
      <c r="N38" s="304">
        <f t="shared" si="36"/>
        <v>0</v>
      </c>
      <c r="O38" s="304">
        <f t="shared" si="37"/>
        <v>0</v>
      </c>
      <c r="P38" s="304">
        <f t="shared" si="5"/>
        <v>0</v>
      </c>
      <c r="Q38" s="304">
        <f t="shared" si="6"/>
        <v>1.2</v>
      </c>
      <c r="R38" s="304">
        <f t="shared" si="7"/>
        <v>1.2</v>
      </c>
      <c r="S38" s="305" t="e">
        <f t="shared" si="38"/>
        <v>#N/A</v>
      </c>
      <c r="T38" s="304">
        <f t="shared" si="8"/>
        <v>0</v>
      </c>
      <c r="U38" s="304">
        <f t="shared" si="54"/>
        <v>0</v>
      </c>
      <c r="V38" s="305" t="e">
        <f t="shared" si="9"/>
        <v>#N/A</v>
      </c>
      <c r="W38" s="305" t="e">
        <f t="shared" si="39"/>
        <v>#N/A</v>
      </c>
      <c r="X38" s="304">
        <f t="shared" si="40"/>
        <v>1.2</v>
      </c>
      <c r="Z38" s="304" t="str">
        <f t="shared" si="41"/>
        <v/>
      </c>
      <c r="AA38" s="305" t="e">
        <f t="shared" si="10"/>
        <v>#N/A</v>
      </c>
      <c r="AB38" s="304">
        <f t="shared" si="11"/>
        <v>0.24193833779023616</v>
      </c>
      <c r="AC38" s="304" t="str">
        <f t="shared" si="42"/>
        <v/>
      </c>
      <c r="AD38" s="306">
        <f t="shared" si="12"/>
        <v>0</v>
      </c>
      <c r="AE38" s="307">
        <f t="shared" si="43"/>
        <v>0.24193833779023616</v>
      </c>
      <c r="AF38" s="308" t="e">
        <f t="shared" si="13"/>
        <v>#N/A</v>
      </c>
      <c r="AG38" s="306">
        <f t="shared" si="44"/>
        <v>4.6007752182941388</v>
      </c>
      <c r="AH38" s="306">
        <f t="shared" si="14"/>
        <v>0</v>
      </c>
      <c r="AI38" s="306">
        <f t="shared" si="45"/>
        <v>0</v>
      </c>
      <c r="AJ38" s="306">
        <f t="shared" si="46"/>
        <v>0</v>
      </c>
      <c r="AK38" s="306">
        <f t="shared" si="15"/>
        <v>0</v>
      </c>
      <c r="AL38" s="306">
        <f t="shared" si="47"/>
        <v>0</v>
      </c>
      <c r="AM38" s="306">
        <f t="shared" si="16"/>
        <v>0</v>
      </c>
      <c r="AN38" s="304">
        <f>KcSplint!$N67</f>
        <v>1.1286253859396327</v>
      </c>
      <c r="AO38" s="304" t="str">
        <f t="shared" si="17"/>
        <v/>
      </c>
      <c r="AP38" s="304" t="str">
        <f t="shared" si="48"/>
        <v/>
      </c>
      <c r="AQ38" s="305" t="e">
        <f t="shared" si="49"/>
        <v>#N/A</v>
      </c>
      <c r="AR38" s="304" t="str">
        <f t="shared" si="50"/>
        <v/>
      </c>
      <c r="AS38" s="306">
        <f t="shared" si="18"/>
        <v>0</v>
      </c>
      <c r="AT38" s="307" t="e">
        <f t="shared" si="51"/>
        <v>#N/A</v>
      </c>
      <c r="AU38" s="307" t="e">
        <f t="shared" si="52"/>
        <v>#N/A</v>
      </c>
      <c r="AV38" s="304">
        <f t="shared" si="19"/>
        <v>0.20161528149186347</v>
      </c>
      <c r="AW38" s="309">
        <f t="shared" si="20"/>
        <v>3.6910045169324226</v>
      </c>
      <c r="AX38" s="306">
        <f>IF(ISERROR(Weather!M22),#N/A,Weather!M22)</f>
        <v>0</v>
      </c>
      <c r="AY38" s="310">
        <f t="shared" si="21"/>
        <v>13</v>
      </c>
      <c r="AZ38" s="309">
        <f t="shared" si="22"/>
        <v>1.2</v>
      </c>
      <c r="BA38" s="309">
        <f t="shared" si="23"/>
        <v>4.6007752182941388</v>
      </c>
      <c r="BB38" s="311">
        <f>Irrig!H40</f>
        <v>0</v>
      </c>
      <c r="BC38" s="310">
        <f t="shared" si="24"/>
        <v>0</v>
      </c>
      <c r="BD38" s="309">
        <f t="shared" si="25"/>
        <v>0</v>
      </c>
      <c r="BE38" s="309">
        <f t="shared" si="26"/>
        <v>0</v>
      </c>
      <c r="BF38" s="306">
        <f>DailyMet!H21</f>
        <v>-1.5</v>
      </c>
      <c r="BG38" s="306">
        <f>DailyMet!I21</f>
        <v>-2.8</v>
      </c>
      <c r="BH38" s="306">
        <f t="shared" si="27"/>
        <v>-1.5</v>
      </c>
      <c r="BI38" s="306">
        <f t="shared" si="28"/>
        <v>10</v>
      </c>
      <c r="BJ38" s="306">
        <f t="shared" si="29"/>
        <v>-5.75</v>
      </c>
      <c r="BK38" s="306">
        <f t="shared" si="53"/>
        <v>0</v>
      </c>
      <c r="BL38" s="304">
        <f t="shared" si="30"/>
        <v>0</v>
      </c>
      <c r="BM38" s="304">
        <f t="shared" si="31"/>
        <v>0</v>
      </c>
      <c r="BN38" s="304">
        <f t="shared" si="55"/>
        <v>0</v>
      </c>
      <c r="BO38" s="306">
        <f t="shared" si="56"/>
        <v>0</v>
      </c>
      <c r="BP38" s="306"/>
    </row>
    <row r="39" spans="1:68">
      <c r="A39" s="299">
        <f t="shared" si="1"/>
        <v>0</v>
      </c>
      <c r="B39" s="300">
        <f t="shared" si="32"/>
        <v>38004</v>
      </c>
      <c r="C39" s="301" t="e">
        <f t="shared" si="33"/>
        <v>#N/A</v>
      </c>
      <c r="D39" s="301" t="e">
        <f t="shared" si="2"/>
        <v>#N/A</v>
      </c>
      <c r="E39" s="299">
        <f t="shared" si="3"/>
        <v>18</v>
      </c>
      <c r="F39" s="396">
        <f>Weather!M23</f>
        <v>0</v>
      </c>
      <c r="G39" s="301">
        <f>IF(Weather!C23="","",Weather!C23)</f>
        <v>0.29367969126957127</v>
      </c>
      <c r="H39" s="301">
        <f>IF(Weather!D23="","",Weather!D23)</f>
        <v>0.2290955615783985</v>
      </c>
      <c r="I39" s="502">
        <f>IF(Weather!E23="","",Weather!E23)</f>
        <v>0.2290955615783985</v>
      </c>
      <c r="J39" s="397">
        <f>IF(RnSplint!N67&lt;0,0,RnSplint!N67)</f>
        <v>31.861727746085581</v>
      </c>
      <c r="K39" s="302">
        <f t="shared" si="34"/>
        <v>0</v>
      </c>
      <c r="L39" s="303">
        <f t="shared" si="35"/>
        <v>38004</v>
      </c>
      <c r="M39" s="346" t="str">
        <f t="shared" si="4"/>
        <v/>
      </c>
      <c r="N39" s="304">
        <f t="shared" si="36"/>
        <v>0</v>
      </c>
      <c r="O39" s="304">
        <f t="shared" si="37"/>
        <v>0</v>
      </c>
      <c r="P39" s="304">
        <f t="shared" si="5"/>
        <v>0</v>
      </c>
      <c r="Q39" s="304">
        <f t="shared" si="6"/>
        <v>1.2</v>
      </c>
      <c r="R39" s="304">
        <f t="shared" si="7"/>
        <v>1.2</v>
      </c>
      <c r="S39" s="305" t="e">
        <f t="shared" si="38"/>
        <v>#N/A</v>
      </c>
      <c r="T39" s="304">
        <f t="shared" si="8"/>
        <v>0</v>
      </c>
      <c r="U39" s="304">
        <f t="shared" si="54"/>
        <v>0</v>
      </c>
      <c r="V39" s="305" t="e">
        <f t="shared" si="9"/>
        <v>#N/A</v>
      </c>
      <c r="W39" s="305" t="e">
        <f t="shared" si="39"/>
        <v>#N/A</v>
      </c>
      <c r="X39" s="304">
        <f t="shared" si="40"/>
        <v>1.2</v>
      </c>
      <c r="Z39" s="304" t="str">
        <f t="shared" si="41"/>
        <v/>
      </c>
      <c r="AA39" s="305" t="e">
        <f t="shared" si="10"/>
        <v>#N/A</v>
      </c>
      <c r="AB39" s="304">
        <f t="shared" si="11"/>
        <v>0.2749146738940782</v>
      </c>
      <c r="AC39" s="304" t="str">
        <f t="shared" si="42"/>
        <v/>
      </c>
      <c r="AD39" s="306">
        <f t="shared" si="12"/>
        <v>0</v>
      </c>
      <c r="AE39" s="307">
        <f t="shared" si="43"/>
        <v>0.2749146738940782</v>
      </c>
      <c r="AF39" s="308" t="e">
        <f t="shared" si="13"/>
        <v>#N/A</v>
      </c>
      <c r="AG39" s="306">
        <f t="shared" si="44"/>
        <v>4.8298707798725378</v>
      </c>
      <c r="AH39" s="306">
        <f t="shared" si="14"/>
        <v>0</v>
      </c>
      <c r="AI39" s="306">
        <f t="shared" si="45"/>
        <v>0</v>
      </c>
      <c r="AJ39" s="306">
        <f t="shared" si="46"/>
        <v>0</v>
      </c>
      <c r="AK39" s="306">
        <f t="shared" si="15"/>
        <v>0</v>
      </c>
      <c r="AL39" s="306">
        <f t="shared" si="47"/>
        <v>0</v>
      </c>
      <c r="AM39" s="306">
        <f t="shared" si="16"/>
        <v>0</v>
      </c>
      <c r="AN39" s="304">
        <f>KcSplint!$N68</f>
        <v>1.1191131014859355</v>
      </c>
      <c r="AO39" s="304" t="str">
        <f t="shared" si="17"/>
        <v/>
      </c>
      <c r="AP39" s="304" t="str">
        <f t="shared" si="48"/>
        <v/>
      </c>
      <c r="AQ39" s="305" t="e">
        <f t="shared" si="49"/>
        <v>#N/A</v>
      </c>
      <c r="AR39" s="304" t="str">
        <f t="shared" si="50"/>
        <v/>
      </c>
      <c r="AS39" s="306">
        <f t="shared" si="18"/>
        <v>0</v>
      </c>
      <c r="AT39" s="307" t="e">
        <f t="shared" si="51"/>
        <v>#N/A</v>
      </c>
      <c r="AU39" s="307" t="e">
        <f t="shared" si="52"/>
        <v>#N/A</v>
      </c>
      <c r="AV39" s="304">
        <f t="shared" si="19"/>
        <v>0.2290955615783985</v>
      </c>
      <c r="AW39" s="309">
        <f t="shared" si="20"/>
        <v>3.9201000785108211</v>
      </c>
      <c r="AX39" s="306">
        <f>IF(ISERROR(Weather!M23),#N/A,Weather!M23)</f>
        <v>0</v>
      </c>
      <c r="AY39" s="310">
        <f t="shared" si="21"/>
        <v>14</v>
      </c>
      <c r="AZ39" s="309">
        <f t="shared" si="22"/>
        <v>1.2</v>
      </c>
      <c r="BA39" s="309">
        <f t="shared" si="23"/>
        <v>4.8298707798725378</v>
      </c>
      <c r="BB39" s="311">
        <f>Irrig!H41</f>
        <v>0</v>
      </c>
      <c r="BC39" s="310">
        <f t="shared" si="24"/>
        <v>0</v>
      </c>
      <c r="BD39" s="309">
        <f t="shared" si="25"/>
        <v>0</v>
      </c>
      <c r="BE39" s="309">
        <f t="shared" si="26"/>
        <v>0</v>
      </c>
      <c r="BF39" s="306">
        <f>DailyMet!H22</f>
        <v>-2.78</v>
      </c>
      <c r="BG39" s="306">
        <f>DailyMet!I22</f>
        <v>-4</v>
      </c>
      <c r="BH39" s="306">
        <f t="shared" si="27"/>
        <v>-2.78</v>
      </c>
      <c r="BI39" s="306">
        <f t="shared" si="28"/>
        <v>10</v>
      </c>
      <c r="BJ39" s="306">
        <f t="shared" si="29"/>
        <v>-6.39</v>
      </c>
      <c r="BK39" s="306">
        <f t="shared" si="53"/>
        <v>0</v>
      </c>
      <c r="BL39" s="304">
        <f t="shared" si="30"/>
        <v>0</v>
      </c>
      <c r="BM39" s="304">
        <f t="shared" si="31"/>
        <v>0</v>
      </c>
      <c r="BN39" s="304">
        <f t="shared" si="55"/>
        <v>0</v>
      </c>
      <c r="BO39" s="306">
        <f t="shared" si="56"/>
        <v>0</v>
      </c>
      <c r="BP39" s="306"/>
    </row>
    <row r="40" spans="1:68">
      <c r="A40" s="299">
        <f t="shared" si="1"/>
        <v>0</v>
      </c>
      <c r="B40" s="300">
        <f t="shared" si="32"/>
        <v>38005</v>
      </c>
      <c r="C40" s="301" t="e">
        <f t="shared" si="33"/>
        <v>#N/A</v>
      </c>
      <c r="D40" s="301" t="e">
        <f t="shared" si="2"/>
        <v>#N/A</v>
      </c>
      <c r="E40" s="299">
        <f t="shared" si="3"/>
        <v>19</v>
      </c>
      <c r="F40" s="396">
        <f>Weather!M24</f>
        <v>0</v>
      </c>
      <c r="G40" s="301">
        <f>IF(Weather!C24="","",Weather!C24)</f>
        <v>0.2941247976443363</v>
      </c>
      <c r="H40" s="301">
        <f>IF(Weather!D24="","",Weather!D24)</f>
        <v>0.22358121107988677</v>
      </c>
      <c r="I40" s="502">
        <f>IF(Weather!E24="","",Weather!E24)</f>
        <v>0.22358121107988677</v>
      </c>
      <c r="J40" s="397">
        <f>IF(RnSplint!N68&lt;0,0,RnSplint!N68)</f>
        <v>32.046305983546759</v>
      </c>
      <c r="K40" s="302">
        <f t="shared" si="34"/>
        <v>0</v>
      </c>
      <c r="L40" s="303">
        <f t="shared" si="35"/>
        <v>38005</v>
      </c>
      <c r="M40" s="346" t="str">
        <f t="shared" si="4"/>
        <v/>
      </c>
      <c r="N40" s="304">
        <f t="shared" si="36"/>
        <v>0</v>
      </c>
      <c r="O40" s="304">
        <f t="shared" si="37"/>
        <v>0</v>
      </c>
      <c r="P40" s="304">
        <f t="shared" si="5"/>
        <v>0</v>
      </c>
      <c r="Q40" s="304">
        <f t="shared" si="6"/>
        <v>1.2</v>
      </c>
      <c r="R40" s="304">
        <f t="shared" si="7"/>
        <v>1.2</v>
      </c>
      <c r="S40" s="305" t="e">
        <f t="shared" si="38"/>
        <v>#N/A</v>
      </c>
      <c r="T40" s="304">
        <f t="shared" si="8"/>
        <v>0</v>
      </c>
      <c r="U40" s="304">
        <f t="shared" si="54"/>
        <v>0</v>
      </c>
      <c r="V40" s="305" t="e">
        <f t="shared" si="9"/>
        <v>#N/A</v>
      </c>
      <c r="W40" s="305" t="e">
        <f t="shared" si="39"/>
        <v>#N/A</v>
      </c>
      <c r="X40" s="304">
        <f t="shared" si="40"/>
        <v>1.2</v>
      </c>
      <c r="Z40" s="304" t="str">
        <f t="shared" si="41"/>
        <v/>
      </c>
      <c r="AA40" s="305" t="e">
        <f t="shared" si="10"/>
        <v>#N/A</v>
      </c>
      <c r="AB40" s="304">
        <f t="shared" si="11"/>
        <v>0.26829745329586413</v>
      </c>
      <c r="AC40" s="304" t="str">
        <f t="shared" si="42"/>
        <v/>
      </c>
      <c r="AD40" s="306">
        <f t="shared" si="12"/>
        <v>0</v>
      </c>
      <c r="AE40" s="307">
        <f t="shared" si="43"/>
        <v>0.26829745329586413</v>
      </c>
      <c r="AF40" s="308" t="e">
        <f t="shared" si="13"/>
        <v>#N/A</v>
      </c>
      <c r="AG40" s="306">
        <f t="shared" si="44"/>
        <v>5.0534519909524249</v>
      </c>
      <c r="AH40" s="306">
        <f t="shared" si="14"/>
        <v>0</v>
      </c>
      <c r="AI40" s="306">
        <f t="shared" si="45"/>
        <v>0</v>
      </c>
      <c r="AJ40" s="306">
        <f t="shared" si="46"/>
        <v>0</v>
      </c>
      <c r="AK40" s="306">
        <f t="shared" si="15"/>
        <v>0</v>
      </c>
      <c r="AL40" s="306">
        <f t="shared" si="47"/>
        <v>0</v>
      </c>
      <c r="AM40" s="306">
        <f t="shared" si="16"/>
        <v>0</v>
      </c>
      <c r="AN40" s="304">
        <f>KcSplint!$N69</f>
        <v>1.1090417587467136</v>
      </c>
      <c r="AO40" s="304" t="str">
        <f t="shared" si="17"/>
        <v/>
      </c>
      <c r="AP40" s="304" t="str">
        <f t="shared" si="48"/>
        <v/>
      </c>
      <c r="AQ40" s="305" t="e">
        <f t="shared" si="49"/>
        <v>#N/A</v>
      </c>
      <c r="AR40" s="304" t="str">
        <f t="shared" si="50"/>
        <v/>
      </c>
      <c r="AS40" s="306">
        <f t="shared" si="18"/>
        <v>0</v>
      </c>
      <c r="AT40" s="307" t="e">
        <f t="shared" si="51"/>
        <v>#N/A</v>
      </c>
      <c r="AU40" s="307" t="e">
        <f t="shared" si="52"/>
        <v>#N/A</v>
      </c>
      <c r="AV40" s="304">
        <f t="shared" si="19"/>
        <v>0.22358121107988677</v>
      </c>
      <c r="AW40" s="309">
        <f t="shared" si="20"/>
        <v>4.1436812895907078</v>
      </c>
      <c r="AX40" s="306">
        <f>IF(ISERROR(Weather!M24),#N/A,Weather!M24)</f>
        <v>0</v>
      </c>
      <c r="AY40" s="310">
        <f t="shared" si="21"/>
        <v>15</v>
      </c>
      <c r="AZ40" s="309">
        <f t="shared" si="22"/>
        <v>1.2</v>
      </c>
      <c r="BA40" s="309">
        <f t="shared" si="23"/>
        <v>5.0534519909524249</v>
      </c>
      <c r="BB40" s="311">
        <f>Irrig!H42</f>
        <v>0</v>
      </c>
      <c r="BC40" s="310">
        <f t="shared" si="24"/>
        <v>0</v>
      </c>
      <c r="BD40" s="309">
        <f t="shared" si="25"/>
        <v>0</v>
      </c>
      <c r="BE40" s="309">
        <f t="shared" si="26"/>
        <v>0</v>
      </c>
      <c r="BF40" s="306">
        <f>DailyMet!H23</f>
        <v>-2.23</v>
      </c>
      <c r="BG40" s="306">
        <f>DailyMet!I23</f>
        <v>-3.8</v>
      </c>
      <c r="BH40" s="306">
        <f t="shared" si="27"/>
        <v>-2.23</v>
      </c>
      <c r="BI40" s="306">
        <f t="shared" si="28"/>
        <v>10</v>
      </c>
      <c r="BJ40" s="306">
        <f t="shared" si="29"/>
        <v>-6.1150000000000002</v>
      </c>
      <c r="BK40" s="306">
        <f t="shared" si="53"/>
        <v>0</v>
      </c>
      <c r="BL40" s="304">
        <f t="shared" si="30"/>
        <v>0</v>
      </c>
      <c r="BM40" s="304">
        <f t="shared" si="31"/>
        <v>0</v>
      </c>
      <c r="BN40" s="304">
        <f t="shared" si="55"/>
        <v>0</v>
      </c>
      <c r="BO40" s="306">
        <f t="shared" si="56"/>
        <v>0</v>
      </c>
      <c r="BP40" s="306"/>
    </row>
    <row r="41" spans="1:68">
      <c r="A41" s="299">
        <f t="shared" si="1"/>
        <v>0</v>
      </c>
      <c r="B41" s="300">
        <f t="shared" si="32"/>
        <v>38006</v>
      </c>
      <c r="C41" s="301" t="e">
        <f t="shared" si="33"/>
        <v>#N/A</v>
      </c>
      <c r="D41" s="301" t="e">
        <f t="shared" si="2"/>
        <v>#N/A</v>
      </c>
      <c r="E41" s="299">
        <f t="shared" si="3"/>
        <v>20</v>
      </c>
      <c r="F41" s="396">
        <f>Weather!M25</f>
        <v>0.2</v>
      </c>
      <c r="G41" s="301">
        <f>IF(Weather!C25="","",Weather!C25)</f>
        <v>0.29431140136578215</v>
      </c>
      <c r="H41" s="301">
        <f>IF(Weather!D25="","",Weather!D25)</f>
        <v>0.26804063791324378</v>
      </c>
      <c r="I41" s="502">
        <f>IF(Weather!E25="","",Weather!E25)</f>
        <v>0.26804063791324378</v>
      </c>
      <c r="J41" s="397">
        <f>IF(RnSplint!N69&lt;0,0,RnSplint!N69)</f>
        <v>32.183978419576036</v>
      </c>
      <c r="K41" s="302">
        <f t="shared" si="34"/>
        <v>0</v>
      </c>
      <c r="L41" s="303">
        <f t="shared" si="35"/>
        <v>38006</v>
      </c>
      <c r="M41" s="346" t="str">
        <f t="shared" si="4"/>
        <v/>
      </c>
      <c r="N41" s="304">
        <f t="shared" si="36"/>
        <v>0</v>
      </c>
      <c r="O41" s="304">
        <f t="shared" si="37"/>
        <v>0</v>
      </c>
      <c r="P41" s="304">
        <f t="shared" si="5"/>
        <v>0</v>
      </c>
      <c r="Q41" s="304">
        <f t="shared" si="6"/>
        <v>1.2</v>
      </c>
      <c r="R41" s="304">
        <f t="shared" si="7"/>
        <v>1.2</v>
      </c>
      <c r="S41" s="305" t="e">
        <f t="shared" si="38"/>
        <v>#N/A</v>
      </c>
      <c r="T41" s="304">
        <f t="shared" si="8"/>
        <v>0</v>
      </c>
      <c r="U41" s="304">
        <f t="shared" si="54"/>
        <v>0</v>
      </c>
      <c r="V41" s="305" t="e">
        <f t="shared" si="9"/>
        <v>#N/A</v>
      </c>
      <c r="W41" s="305" t="e">
        <f t="shared" si="39"/>
        <v>#N/A</v>
      </c>
      <c r="X41" s="304">
        <f t="shared" si="40"/>
        <v>1.2</v>
      </c>
      <c r="Z41" s="304" t="str">
        <f t="shared" si="41"/>
        <v/>
      </c>
      <c r="AA41" s="305" t="e">
        <f t="shared" si="10"/>
        <v>#N/A</v>
      </c>
      <c r="AB41" s="304">
        <f t="shared" si="11"/>
        <v>0.32164876549589255</v>
      </c>
      <c r="AC41" s="304" t="str">
        <f t="shared" si="42"/>
        <v/>
      </c>
      <c r="AD41" s="306">
        <f t="shared" si="12"/>
        <v>0</v>
      </c>
      <c r="AE41" s="307">
        <f t="shared" si="43"/>
        <v>0.32164876549589255</v>
      </c>
      <c r="AF41" s="308" t="e">
        <f t="shared" si="13"/>
        <v>#N/A</v>
      </c>
      <c r="AG41" s="306">
        <f t="shared" si="44"/>
        <v>5.321492628865669</v>
      </c>
      <c r="AH41" s="306">
        <f t="shared" si="14"/>
        <v>0</v>
      </c>
      <c r="AI41" s="306">
        <f t="shared" si="45"/>
        <v>0</v>
      </c>
      <c r="AJ41" s="306">
        <f t="shared" si="46"/>
        <v>0</v>
      </c>
      <c r="AK41" s="306">
        <f t="shared" si="15"/>
        <v>0</v>
      </c>
      <c r="AL41" s="306">
        <f t="shared" si="47"/>
        <v>0</v>
      </c>
      <c r="AM41" s="306">
        <f t="shared" si="16"/>
        <v>0</v>
      </c>
      <c r="AN41" s="304">
        <f>KcSplint!$N70</f>
        <v>1.0984290538314629</v>
      </c>
      <c r="AO41" s="304" t="str">
        <f t="shared" si="17"/>
        <v/>
      </c>
      <c r="AP41" s="304" t="str">
        <f t="shared" si="48"/>
        <v/>
      </c>
      <c r="AQ41" s="305" t="e">
        <f t="shared" si="49"/>
        <v>#N/A</v>
      </c>
      <c r="AR41" s="304" t="str">
        <f t="shared" si="50"/>
        <v/>
      </c>
      <c r="AS41" s="306">
        <f t="shared" si="18"/>
        <v>0</v>
      </c>
      <c r="AT41" s="307" t="e">
        <f t="shared" si="51"/>
        <v>#N/A</v>
      </c>
      <c r="AU41" s="307" t="e">
        <f t="shared" si="52"/>
        <v>#N/A</v>
      </c>
      <c r="AV41" s="304">
        <f t="shared" si="19"/>
        <v>0.26804063791324378</v>
      </c>
      <c r="AW41" s="309">
        <f t="shared" si="20"/>
        <v>4.4117219275039519</v>
      </c>
      <c r="AX41" s="306">
        <f>IF(ISERROR(Weather!M25),#N/A,Weather!M25)</f>
        <v>0.2</v>
      </c>
      <c r="AY41" s="310">
        <f t="shared" si="21"/>
        <v>16</v>
      </c>
      <c r="AZ41" s="309">
        <f t="shared" si="22"/>
        <v>1.2</v>
      </c>
      <c r="BA41" s="309">
        <f t="shared" si="23"/>
        <v>5.321492628865669</v>
      </c>
      <c r="BB41" s="311">
        <f>Irrig!H43</f>
        <v>0</v>
      </c>
      <c r="BC41" s="310">
        <f t="shared" si="24"/>
        <v>0</v>
      </c>
      <c r="BD41" s="309">
        <f t="shared" si="25"/>
        <v>0</v>
      </c>
      <c r="BE41" s="309">
        <f t="shared" si="26"/>
        <v>0</v>
      </c>
      <c r="BF41" s="306">
        <f>DailyMet!H24</f>
        <v>-1.95</v>
      </c>
      <c r="BG41" s="306">
        <f>DailyMet!I24</f>
        <v>-4.8</v>
      </c>
      <c r="BH41" s="306">
        <f t="shared" si="27"/>
        <v>-1.95</v>
      </c>
      <c r="BI41" s="306">
        <f t="shared" si="28"/>
        <v>10</v>
      </c>
      <c r="BJ41" s="306">
        <f t="shared" si="29"/>
        <v>-5.9749999999999996</v>
      </c>
      <c r="BK41" s="306">
        <f t="shared" si="53"/>
        <v>0</v>
      </c>
      <c r="BL41" s="304">
        <f t="shared" si="30"/>
        <v>0</v>
      </c>
      <c r="BM41" s="304">
        <f t="shared" si="31"/>
        <v>0</v>
      </c>
      <c r="BN41" s="304">
        <f t="shared" si="55"/>
        <v>0</v>
      </c>
      <c r="BO41" s="306">
        <f t="shared" si="56"/>
        <v>0</v>
      </c>
      <c r="BP41" s="306"/>
    </row>
    <row r="42" spans="1:68">
      <c r="A42" s="299">
        <f t="shared" si="1"/>
        <v>0</v>
      </c>
      <c r="B42" s="300">
        <f t="shared" si="32"/>
        <v>38007</v>
      </c>
      <c r="C42" s="301" t="e">
        <f t="shared" si="33"/>
        <v>#N/A</v>
      </c>
      <c r="D42" s="301" t="e">
        <f t="shared" si="2"/>
        <v>#N/A</v>
      </c>
      <c r="E42" s="299">
        <f t="shared" si="3"/>
        <v>21</v>
      </c>
      <c r="F42" s="396">
        <f>Weather!M26</f>
        <v>0.2</v>
      </c>
      <c r="G42" s="301">
        <f>IF(Weather!C26="","",Weather!C26)</f>
        <v>0.29431883805644499</v>
      </c>
      <c r="H42" s="301">
        <f>IF(Weather!D26="","",Weather!D26)</f>
        <v>0.28864348777884957</v>
      </c>
      <c r="I42" s="502">
        <f>IF(Weather!E26="","",Weather!E26)</f>
        <v>0.28864348777884957</v>
      </c>
      <c r="J42" s="397">
        <f>IF(RnSplint!N70&lt;0,0,RnSplint!N70)</f>
        <v>32.277400876684489</v>
      </c>
      <c r="K42" s="302">
        <f t="shared" si="34"/>
        <v>0</v>
      </c>
      <c r="L42" s="303">
        <f t="shared" si="35"/>
        <v>38007</v>
      </c>
      <c r="M42" s="346" t="str">
        <f t="shared" si="4"/>
        <v/>
      </c>
      <c r="N42" s="304">
        <f t="shared" si="36"/>
        <v>0</v>
      </c>
      <c r="O42" s="304">
        <f t="shared" si="37"/>
        <v>0</v>
      </c>
      <c r="P42" s="304">
        <f t="shared" si="5"/>
        <v>0</v>
      </c>
      <c r="Q42" s="304">
        <f t="shared" si="6"/>
        <v>1.2</v>
      </c>
      <c r="R42" s="304">
        <f t="shared" si="7"/>
        <v>1.2</v>
      </c>
      <c r="S42" s="305" t="e">
        <f t="shared" si="38"/>
        <v>#N/A</v>
      </c>
      <c r="T42" s="304">
        <f t="shared" si="8"/>
        <v>0</v>
      </c>
      <c r="U42" s="304">
        <f t="shared" si="54"/>
        <v>0</v>
      </c>
      <c r="V42" s="305" t="e">
        <f t="shared" si="9"/>
        <v>#N/A</v>
      </c>
      <c r="W42" s="305" t="e">
        <f t="shared" si="39"/>
        <v>#N/A</v>
      </c>
      <c r="X42" s="304">
        <f t="shared" si="40"/>
        <v>1.2</v>
      </c>
      <c r="Z42" s="304" t="str">
        <f t="shared" si="41"/>
        <v/>
      </c>
      <c r="AA42" s="305" t="e">
        <f t="shared" si="10"/>
        <v>#N/A</v>
      </c>
      <c r="AB42" s="304">
        <f t="shared" si="11"/>
        <v>0.3463721853346195</v>
      </c>
      <c r="AC42" s="304" t="str">
        <f t="shared" si="42"/>
        <v/>
      </c>
      <c r="AD42" s="306">
        <f t="shared" si="12"/>
        <v>0</v>
      </c>
      <c r="AE42" s="307">
        <f t="shared" si="43"/>
        <v>0.3463721853346195</v>
      </c>
      <c r="AF42" s="308" t="e">
        <f t="shared" si="13"/>
        <v>#N/A</v>
      </c>
      <c r="AG42" s="306">
        <f t="shared" si="44"/>
        <v>5.6101361166445187</v>
      </c>
      <c r="AH42" s="306">
        <f t="shared" si="14"/>
        <v>0</v>
      </c>
      <c r="AI42" s="306">
        <f t="shared" si="45"/>
        <v>0</v>
      </c>
      <c r="AJ42" s="306">
        <f t="shared" si="46"/>
        <v>0</v>
      </c>
      <c r="AK42" s="306">
        <f t="shared" si="15"/>
        <v>0</v>
      </c>
      <c r="AL42" s="306">
        <f t="shared" si="47"/>
        <v>0</v>
      </c>
      <c r="AM42" s="306">
        <f t="shared" si="16"/>
        <v>0</v>
      </c>
      <c r="AN42" s="304">
        <f>KcSplint!$N71</f>
        <v>1.0872926828496796</v>
      </c>
      <c r="AO42" s="304" t="str">
        <f t="shared" si="17"/>
        <v/>
      </c>
      <c r="AP42" s="304" t="str">
        <f t="shared" si="48"/>
        <v/>
      </c>
      <c r="AQ42" s="305" t="e">
        <f t="shared" si="49"/>
        <v>#N/A</v>
      </c>
      <c r="AR42" s="304" t="str">
        <f t="shared" si="50"/>
        <v/>
      </c>
      <c r="AS42" s="306">
        <f t="shared" si="18"/>
        <v>0</v>
      </c>
      <c r="AT42" s="307" t="e">
        <f t="shared" si="51"/>
        <v>#N/A</v>
      </c>
      <c r="AU42" s="307" t="e">
        <f t="shared" si="52"/>
        <v>#N/A</v>
      </c>
      <c r="AV42" s="304">
        <f t="shared" si="19"/>
        <v>0.28864348777884957</v>
      </c>
      <c r="AW42" s="309">
        <f t="shared" si="20"/>
        <v>4.7003654152828016</v>
      </c>
      <c r="AX42" s="306">
        <f>IF(ISERROR(Weather!M26),#N/A,Weather!M26)</f>
        <v>0.2</v>
      </c>
      <c r="AY42" s="310">
        <f t="shared" si="21"/>
        <v>17</v>
      </c>
      <c r="AZ42" s="309">
        <f t="shared" si="22"/>
        <v>1.2</v>
      </c>
      <c r="BA42" s="309">
        <f t="shared" si="23"/>
        <v>5.6101361166445187</v>
      </c>
      <c r="BB42" s="311">
        <f>Irrig!H44</f>
        <v>0</v>
      </c>
      <c r="BC42" s="310">
        <f t="shared" si="24"/>
        <v>0</v>
      </c>
      <c r="BD42" s="309">
        <f t="shared" si="25"/>
        <v>0</v>
      </c>
      <c r="BE42" s="309">
        <f t="shared" si="26"/>
        <v>0</v>
      </c>
      <c r="BF42" s="306">
        <f>DailyMet!H25</f>
        <v>-0.25</v>
      </c>
      <c r="BG42" s="306">
        <f>DailyMet!I25</f>
        <v>-3.1</v>
      </c>
      <c r="BH42" s="306">
        <f t="shared" si="27"/>
        <v>-0.25</v>
      </c>
      <c r="BI42" s="306">
        <f t="shared" si="28"/>
        <v>10</v>
      </c>
      <c r="BJ42" s="306">
        <f t="shared" si="29"/>
        <v>-5.125</v>
      </c>
      <c r="BK42" s="306">
        <f t="shared" si="53"/>
        <v>0</v>
      </c>
      <c r="BL42" s="304">
        <f t="shared" si="30"/>
        <v>0</v>
      </c>
      <c r="BM42" s="304">
        <f t="shared" si="31"/>
        <v>0</v>
      </c>
      <c r="BN42" s="304">
        <f t="shared" si="55"/>
        <v>0</v>
      </c>
      <c r="BO42" s="306">
        <f t="shared" si="56"/>
        <v>0</v>
      </c>
      <c r="BP42" s="306"/>
    </row>
    <row r="43" spans="1:68">
      <c r="A43" s="299">
        <f t="shared" si="1"/>
        <v>0</v>
      </c>
      <c r="B43" s="300">
        <f t="shared" si="32"/>
        <v>38008</v>
      </c>
      <c r="C43" s="301" t="e">
        <f t="shared" si="33"/>
        <v>#N/A</v>
      </c>
      <c r="D43" s="301" t="e">
        <f t="shared" si="2"/>
        <v>#N/A</v>
      </c>
      <c r="E43" s="299">
        <f t="shared" si="3"/>
        <v>22</v>
      </c>
      <c r="F43" s="396">
        <f>Weather!M27</f>
        <v>0.2</v>
      </c>
      <c r="G43" s="301">
        <f>IF(Weather!C27="","",Weather!C27)</f>
        <v>0.294226443338861</v>
      </c>
      <c r="H43" s="301">
        <f>IF(Weather!D27="","",Weather!D27)</f>
        <v>0.24714464880057616</v>
      </c>
      <c r="I43" s="502">
        <f>IF(Weather!E27="","",Weather!E27)</f>
        <v>0.24714464880057616</v>
      </c>
      <c r="J43" s="397">
        <f>IF(RnSplint!N71&lt;0,0,RnSplint!N71)</f>
        <v>32.329229177383183</v>
      </c>
      <c r="K43" s="302">
        <f t="shared" si="34"/>
        <v>0</v>
      </c>
      <c r="L43" s="303">
        <f t="shared" si="35"/>
        <v>38008</v>
      </c>
      <c r="M43" s="346" t="str">
        <f t="shared" si="4"/>
        <v/>
      </c>
      <c r="N43" s="304">
        <f t="shared" si="36"/>
        <v>0</v>
      </c>
      <c r="O43" s="304">
        <f t="shared" si="37"/>
        <v>0</v>
      </c>
      <c r="P43" s="304">
        <f t="shared" si="5"/>
        <v>0</v>
      </c>
      <c r="Q43" s="304">
        <f t="shared" si="6"/>
        <v>1.1941612556785948</v>
      </c>
      <c r="R43" s="304">
        <f t="shared" si="7"/>
        <v>1.1941612556785948</v>
      </c>
      <c r="S43" s="305" t="e">
        <f t="shared" si="38"/>
        <v>#N/A</v>
      </c>
      <c r="T43" s="304">
        <f t="shared" si="8"/>
        <v>0</v>
      </c>
      <c r="U43" s="304">
        <f t="shared" si="54"/>
        <v>0</v>
      </c>
      <c r="V43" s="305" t="e">
        <f t="shared" si="9"/>
        <v>#N/A</v>
      </c>
      <c r="W43" s="305" t="e">
        <f t="shared" si="39"/>
        <v>#N/A</v>
      </c>
      <c r="X43" s="304">
        <f t="shared" si="40"/>
        <v>1.1941612556785948</v>
      </c>
      <c r="Z43" s="304" t="str">
        <f t="shared" si="41"/>
        <v/>
      </c>
      <c r="AA43" s="305" t="e">
        <f t="shared" si="10"/>
        <v>#N/A</v>
      </c>
      <c r="AB43" s="304">
        <f t="shared" si="11"/>
        <v>0.29513056414594135</v>
      </c>
      <c r="AC43" s="304" t="str">
        <f t="shared" si="42"/>
        <v/>
      </c>
      <c r="AD43" s="306">
        <f t="shared" si="12"/>
        <v>0</v>
      </c>
      <c r="AE43" s="307">
        <f t="shared" si="43"/>
        <v>0.29513056414594135</v>
      </c>
      <c r="AF43" s="308" t="e">
        <f t="shared" si="13"/>
        <v>#N/A</v>
      </c>
      <c r="AG43" s="306">
        <f t="shared" si="44"/>
        <v>5.8572807654450951</v>
      </c>
      <c r="AH43" s="306">
        <f t="shared" si="14"/>
        <v>0</v>
      </c>
      <c r="AI43" s="306">
        <f t="shared" si="45"/>
        <v>0</v>
      </c>
      <c r="AJ43" s="306">
        <f t="shared" si="46"/>
        <v>0</v>
      </c>
      <c r="AK43" s="306">
        <f t="shared" si="15"/>
        <v>0</v>
      </c>
      <c r="AL43" s="306">
        <f t="shared" si="47"/>
        <v>0</v>
      </c>
      <c r="AM43" s="306">
        <f t="shared" si="16"/>
        <v>0</v>
      </c>
      <c r="AN43" s="304">
        <f>KcSplint!$N72</f>
        <v>1.0756503419108587</v>
      </c>
      <c r="AO43" s="304" t="str">
        <f t="shared" si="17"/>
        <v/>
      </c>
      <c r="AP43" s="304" t="str">
        <f t="shared" si="48"/>
        <v/>
      </c>
      <c r="AQ43" s="305" t="e">
        <f t="shared" si="49"/>
        <v>#N/A</v>
      </c>
      <c r="AR43" s="304" t="str">
        <f t="shared" si="50"/>
        <v/>
      </c>
      <c r="AS43" s="306">
        <f t="shared" si="18"/>
        <v>0</v>
      </c>
      <c r="AT43" s="307" t="e">
        <f t="shared" si="51"/>
        <v>#N/A</v>
      </c>
      <c r="AU43" s="307" t="e">
        <f t="shared" si="52"/>
        <v>#N/A</v>
      </c>
      <c r="AV43" s="304">
        <f t="shared" si="19"/>
        <v>0.24714464880057616</v>
      </c>
      <c r="AW43" s="309">
        <f t="shared" si="20"/>
        <v>4.947510064083378</v>
      </c>
      <c r="AX43" s="306">
        <f>IF(ISERROR(Weather!M27),#N/A,Weather!M27)</f>
        <v>0.2</v>
      </c>
      <c r="AY43" s="310">
        <f t="shared" si="21"/>
        <v>18</v>
      </c>
      <c r="AZ43" s="309">
        <f t="shared" si="22"/>
        <v>1.1941612556785948</v>
      </c>
      <c r="BA43" s="309">
        <f t="shared" si="23"/>
        <v>5.8572807654450951</v>
      </c>
      <c r="BB43" s="311">
        <f>Irrig!H45</f>
        <v>0</v>
      </c>
      <c r="BC43" s="310">
        <f t="shared" si="24"/>
        <v>0</v>
      </c>
      <c r="BD43" s="309">
        <f t="shared" si="25"/>
        <v>0</v>
      </c>
      <c r="BE43" s="309">
        <f t="shared" si="26"/>
        <v>0</v>
      </c>
      <c r="BF43" s="306">
        <f>DailyMet!H26</f>
        <v>-0.85</v>
      </c>
      <c r="BG43" s="306">
        <f>DailyMet!I26</f>
        <v>-3.4</v>
      </c>
      <c r="BH43" s="306">
        <f t="shared" si="27"/>
        <v>-0.85</v>
      </c>
      <c r="BI43" s="306">
        <f t="shared" si="28"/>
        <v>10</v>
      </c>
      <c r="BJ43" s="306">
        <f t="shared" si="29"/>
        <v>-5.4249999999999998</v>
      </c>
      <c r="BK43" s="306">
        <f t="shared" si="53"/>
        <v>0</v>
      </c>
      <c r="BL43" s="304">
        <f t="shared" si="30"/>
        <v>0</v>
      </c>
      <c r="BM43" s="304">
        <f t="shared" si="31"/>
        <v>0</v>
      </c>
      <c r="BN43" s="304">
        <f t="shared" si="55"/>
        <v>0</v>
      </c>
      <c r="BO43" s="306">
        <f t="shared" si="56"/>
        <v>0</v>
      </c>
      <c r="BP43" s="306"/>
    </row>
    <row r="44" spans="1:68">
      <c r="A44" s="299">
        <f t="shared" si="1"/>
        <v>0</v>
      </c>
      <c r="B44" s="300">
        <f t="shared" si="32"/>
        <v>38009</v>
      </c>
      <c r="C44" s="301" t="e">
        <f t="shared" si="33"/>
        <v>#N/A</v>
      </c>
      <c r="D44" s="301" t="e">
        <f t="shared" si="2"/>
        <v>#N/A</v>
      </c>
      <c r="E44" s="299">
        <f t="shared" si="3"/>
        <v>23</v>
      </c>
      <c r="F44" s="396">
        <f>Weather!M28</f>
        <v>0</v>
      </c>
      <c r="G44" s="301">
        <f>IF(Weather!C28="","",Weather!C28)</f>
        <v>0.29411355283556617</v>
      </c>
      <c r="H44" s="301">
        <f>IF(Weather!D28="","",Weather!D28)</f>
        <v>0.26637772951772098</v>
      </c>
      <c r="I44" s="502">
        <f>IF(Weather!E28="","",Weather!E28)</f>
        <v>0.26637772951772098</v>
      </c>
      <c r="J44" s="397">
        <f>IF(RnSplint!N72&lt;0,0,RnSplint!N72)</f>
        <v>32.342119144183187</v>
      </c>
      <c r="K44" s="302">
        <f t="shared" si="34"/>
        <v>0</v>
      </c>
      <c r="L44" s="303">
        <f t="shared" si="35"/>
        <v>38009</v>
      </c>
      <c r="M44" s="346" t="str">
        <f t="shared" si="4"/>
        <v/>
      </c>
      <c r="N44" s="304">
        <f t="shared" si="36"/>
        <v>0</v>
      </c>
      <c r="O44" s="304">
        <f t="shared" si="37"/>
        <v>0</v>
      </c>
      <c r="P44" s="304">
        <f t="shared" si="5"/>
        <v>0</v>
      </c>
      <c r="Q44" s="304">
        <f t="shared" si="6"/>
        <v>1.1622808421925483</v>
      </c>
      <c r="R44" s="304">
        <f t="shared" si="7"/>
        <v>1.1622808421925483</v>
      </c>
      <c r="S44" s="305" t="e">
        <f t="shared" si="38"/>
        <v>#N/A</v>
      </c>
      <c r="T44" s="304">
        <f t="shared" si="8"/>
        <v>0</v>
      </c>
      <c r="U44" s="304">
        <f t="shared" si="54"/>
        <v>0</v>
      </c>
      <c r="V44" s="305" t="e">
        <f t="shared" si="9"/>
        <v>#N/A</v>
      </c>
      <c r="W44" s="305" t="e">
        <f t="shared" si="39"/>
        <v>#N/A</v>
      </c>
      <c r="X44" s="304">
        <f t="shared" si="40"/>
        <v>1.1622808421925483</v>
      </c>
      <c r="Z44" s="304" t="str">
        <f t="shared" si="41"/>
        <v/>
      </c>
      <c r="AA44" s="305" t="e">
        <f t="shared" si="10"/>
        <v>#N/A</v>
      </c>
      <c r="AB44" s="304">
        <f t="shared" si="11"/>
        <v>0.30960573180519557</v>
      </c>
      <c r="AC44" s="304" t="str">
        <f t="shared" si="42"/>
        <v/>
      </c>
      <c r="AD44" s="306">
        <f t="shared" si="12"/>
        <v>0</v>
      </c>
      <c r="AE44" s="307">
        <f t="shared" si="43"/>
        <v>0.30960573180519557</v>
      </c>
      <c r="AF44" s="308" t="e">
        <f t="shared" si="13"/>
        <v>#N/A</v>
      </c>
      <c r="AG44" s="306">
        <f t="shared" si="44"/>
        <v>6.1236584949628163</v>
      </c>
      <c r="AH44" s="306">
        <f t="shared" si="14"/>
        <v>0</v>
      </c>
      <c r="AI44" s="306">
        <f t="shared" si="45"/>
        <v>0</v>
      </c>
      <c r="AJ44" s="306">
        <f t="shared" si="46"/>
        <v>0</v>
      </c>
      <c r="AK44" s="306">
        <f t="shared" si="15"/>
        <v>0</v>
      </c>
      <c r="AL44" s="306">
        <f t="shared" si="47"/>
        <v>0</v>
      </c>
      <c r="AM44" s="306">
        <f t="shared" si="16"/>
        <v>0</v>
      </c>
      <c r="AN44" s="304">
        <f>KcSplint!$N73</f>
        <v>1.0635197271244967</v>
      </c>
      <c r="AO44" s="304" t="str">
        <f t="shared" si="17"/>
        <v/>
      </c>
      <c r="AP44" s="304" t="str">
        <f t="shared" si="48"/>
        <v/>
      </c>
      <c r="AQ44" s="305" t="e">
        <f t="shared" si="49"/>
        <v>#N/A</v>
      </c>
      <c r="AR44" s="304" t="str">
        <f t="shared" si="50"/>
        <v/>
      </c>
      <c r="AS44" s="306">
        <f t="shared" si="18"/>
        <v>0</v>
      </c>
      <c r="AT44" s="307" t="e">
        <f t="shared" si="51"/>
        <v>#N/A</v>
      </c>
      <c r="AU44" s="307" t="e">
        <f t="shared" si="52"/>
        <v>#N/A</v>
      </c>
      <c r="AV44" s="304">
        <f t="shared" si="19"/>
        <v>0.26637772951772098</v>
      </c>
      <c r="AW44" s="309">
        <f t="shared" si="20"/>
        <v>5.2138877936010992</v>
      </c>
      <c r="AX44" s="306">
        <f>IF(ISERROR(Weather!M28),#N/A,Weather!M28)</f>
        <v>0</v>
      </c>
      <c r="AY44" s="310">
        <f t="shared" si="21"/>
        <v>19</v>
      </c>
      <c r="AZ44" s="309">
        <f t="shared" si="22"/>
        <v>1.1622808421925483</v>
      </c>
      <c r="BA44" s="309">
        <f t="shared" si="23"/>
        <v>6.1236584949628163</v>
      </c>
      <c r="BB44" s="311">
        <f>Irrig!H46</f>
        <v>0</v>
      </c>
      <c r="BC44" s="310">
        <f t="shared" si="24"/>
        <v>0</v>
      </c>
      <c r="BD44" s="309">
        <f t="shared" si="25"/>
        <v>0</v>
      </c>
      <c r="BE44" s="309">
        <f t="shared" si="26"/>
        <v>0</v>
      </c>
      <c r="BF44" s="306">
        <f>DailyMet!H27</f>
        <v>1.3</v>
      </c>
      <c r="BG44" s="306">
        <f>DailyMet!I27</f>
        <v>-4.3</v>
      </c>
      <c r="BH44" s="306">
        <f t="shared" si="27"/>
        <v>1.3</v>
      </c>
      <c r="BI44" s="306">
        <f t="shared" si="28"/>
        <v>10</v>
      </c>
      <c r="BJ44" s="306">
        <f t="shared" si="29"/>
        <v>-4.3499999999999996</v>
      </c>
      <c r="BK44" s="306">
        <f t="shared" si="53"/>
        <v>0</v>
      </c>
      <c r="BL44" s="304">
        <f t="shared" si="30"/>
        <v>0</v>
      </c>
      <c r="BM44" s="304">
        <f t="shared" si="31"/>
        <v>0</v>
      </c>
      <c r="BN44" s="304">
        <f t="shared" si="55"/>
        <v>0</v>
      </c>
      <c r="BO44" s="306">
        <f t="shared" si="56"/>
        <v>0</v>
      </c>
      <c r="BP44" s="306"/>
    </row>
    <row r="45" spans="1:68">
      <c r="A45" s="299">
        <f t="shared" si="1"/>
        <v>0</v>
      </c>
      <c r="B45" s="300">
        <f t="shared" si="32"/>
        <v>38010</v>
      </c>
      <c r="C45" s="301" t="e">
        <f t="shared" si="33"/>
        <v>#N/A</v>
      </c>
      <c r="D45" s="301" t="e">
        <f t="shared" si="2"/>
        <v>#N/A</v>
      </c>
      <c r="E45" s="299">
        <f t="shared" si="3"/>
        <v>24</v>
      </c>
      <c r="F45" s="396">
        <f>Weather!M29</f>
        <v>0.4</v>
      </c>
      <c r="G45" s="301">
        <f>IF(Weather!C29="","",Weather!C29)</f>
        <v>0.29405950216909676</v>
      </c>
      <c r="H45" s="301">
        <f>IF(Weather!D29="","",Weather!D29)</f>
        <v>0.29309055308982468</v>
      </c>
      <c r="I45" s="502">
        <f>IF(Weather!E29="","",Weather!E29)</f>
        <v>0.29309055308982468</v>
      </c>
      <c r="J45" s="397">
        <f>IF(RnSplint!N73&lt;0,0,RnSplint!N73)</f>
        <v>32.318726599595564</v>
      </c>
      <c r="K45" s="302">
        <f t="shared" si="34"/>
        <v>0</v>
      </c>
      <c r="L45" s="303">
        <f t="shared" si="35"/>
        <v>38010</v>
      </c>
      <c r="M45" s="346" t="str">
        <f t="shared" si="4"/>
        <v/>
      </c>
      <c r="N45" s="304">
        <f t="shared" si="36"/>
        <v>0</v>
      </c>
      <c r="O45" s="304">
        <f t="shared" si="37"/>
        <v>0</v>
      </c>
      <c r="P45" s="304">
        <f t="shared" si="5"/>
        <v>0</v>
      </c>
      <c r="Q45" s="304">
        <f t="shared" si="6"/>
        <v>1.1299395454670347</v>
      </c>
      <c r="R45" s="304">
        <f t="shared" si="7"/>
        <v>1.1299395454670347</v>
      </c>
      <c r="S45" s="305" t="e">
        <f t="shared" si="38"/>
        <v>#N/A</v>
      </c>
      <c r="T45" s="304">
        <f t="shared" si="8"/>
        <v>0</v>
      </c>
      <c r="U45" s="304">
        <f t="shared" si="54"/>
        <v>0</v>
      </c>
      <c r="V45" s="305" t="e">
        <f t="shared" si="9"/>
        <v>#N/A</v>
      </c>
      <c r="W45" s="305" t="e">
        <f t="shared" si="39"/>
        <v>#N/A</v>
      </c>
      <c r="X45" s="304">
        <f t="shared" si="40"/>
        <v>1.1299395454670347</v>
      </c>
      <c r="Z45" s="304" t="str">
        <f t="shared" si="41"/>
        <v/>
      </c>
      <c r="AA45" s="305" t="e">
        <f t="shared" si="10"/>
        <v>#N/A</v>
      </c>
      <c r="AB45" s="304">
        <f t="shared" si="11"/>
        <v>0.33117460633899831</v>
      </c>
      <c r="AC45" s="304" t="str">
        <f t="shared" si="42"/>
        <v/>
      </c>
      <c r="AD45" s="306">
        <f t="shared" si="12"/>
        <v>0</v>
      </c>
      <c r="AE45" s="307">
        <f t="shared" si="43"/>
        <v>0.33117460633899831</v>
      </c>
      <c r="AF45" s="308" t="e">
        <f t="shared" si="13"/>
        <v>#N/A</v>
      </c>
      <c r="AG45" s="306">
        <f t="shared" si="44"/>
        <v>6.4167490480526412</v>
      </c>
      <c r="AH45" s="306">
        <f t="shared" si="14"/>
        <v>0</v>
      </c>
      <c r="AI45" s="306">
        <f t="shared" si="45"/>
        <v>0</v>
      </c>
      <c r="AJ45" s="306">
        <f t="shared" si="46"/>
        <v>0</v>
      </c>
      <c r="AK45" s="306">
        <f t="shared" si="15"/>
        <v>0</v>
      </c>
      <c r="AL45" s="306">
        <f t="shared" si="47"/>
        <v>0</v>
      </c>
      <c r="AM45" s="306">
        <f t="shared" si="16"/>
        <v>0</v>
      </c>
      <c r="AN45" s="304">
        <f>KcSplint!$N74</f>
        <v>1.0509185346000889</v>
      </c>
      <c r="AO45" s="304" t="str">
        <f t="shared" si="17"/>
        <v/>
      </c>
      <c r="AP45" s="304" t="str">
        <f t="shared" si="48"/>
        <v/>
      </c>
      <c r="AQ45" s="305" t="e">
        <f t="shared" si="49"/>
        <v>#N/A</v>
      </c>
      <c r="AR45" s="304" t="str">
        <f t="shared" si="50"/>
        <v/>
      </c>
      <c r="AS45" s="306">
        <f t="shared" si="18"/>
        <v>0</v>
      </c>
      <c r="AT45" s="307" t="e">
        <f t="shared" si="51"/>
        <v>#N/A</v>
      </c>
      <c r="AU45" s="307" t="e">
        <f t="shared" si="52"/>
        <v>#N/A</v>
      </c>
      <c r="AV45" s="304">
        <f t="shared" si="19"/>
        <v>0.29309055308982468</v>
      </c>
      <c r="AW45" s="309">
        <f t="shared" si="20"/>
        <v>5.5069783466909241</v>
      </c>
      <c r="AX45" s="306">
        <f>IF(ISERROR(Weather!M29),#N/A,Weather!M29)</f>
        <v>0.4</v>
      </c>
      <c r="AY45" s="310">
        <f t="shared" si="21"/>
        <v>20</v>
      </c>
      <c r="AZ45" s="309">
        <f t="shared" si="22"/>
        <v>1.1299395454670347</v>
      </c>
      <c r="BA45" s="309">
        <f t="shared" si="23"/>
        <v>6.4167490480526412</v>
      </c>
      <c r="BB45" s="311">
        <f>Irrig!H47</f>
        <v>0</v>
      </c>
      <c r="BC45" s="310">
        <f t="shared" si="24"/>
        <v>0</v>
      </c>
      <c r="BD45" s="309">
        <f t="shared" si="25"/>
        <v>0</v>
      </c>
      <c r="BE45" s="309">
        <f t="shared" si="26"/>
        <v>0</v>
      </c>
      <c r="BF45" s="306">
        <f>DailyMet!H28</f>
        <v>0.31</v>
      </c>
      <c r="BG45" s="306">
        <f>DailyMet!I28</f>
        <v>-4.4000000000000004</v>
      </c>
      <c r="BH45" s="306">
        <f t="shared" si="27"/>
        <v>0.31</v>
      </c>
      <c r="BI45" s="306">
        <f t="shared" si="28"/>
        <v>10</v>
      </c>
      <c r="BJ45" s="306">
        <f t="shared" si="29"/>
        <v>-4.8449999999999998</v>
      </c>
      <c r="BK45" s="306">
        <f t="shared" si="53"/>
        <v>0</v>
      </c>
      <c r="BL45" s="304">
        <f t="shared" si="30"/>
        <v>0</v>
      </c>
      <c r="BM45" s="304">
        <f t="shared" si="31"/>
        <v>0</v>
      </c>
      <c r="BN45" s="304">
        <f t="shared" si="55"/>
        <v>0</v>
      </c>
      <c r="BO45" s="306">
        <f t="shared" si="56"/>
        <v>0</v>
      </c>
      <c r="BP45" s="306"/>
    </row>
    <row r="46" spans="1:68">
      <c r="A46" s="299">
        <f t="shared" si="1"/>
        <v>0</v>
      </c>
      <c r="B46" s="300">
        <f t="shared" si="32"/>
        <v>38011</v>
      </c>
      <c r="C46" s="301" t="e">
        <f t="shared" si="33"/>
        <v>#N/A</v>
      </c>
      <c r="D46" s="301" t="e">
        <f t="shared" si="2"/>
        <v>#N/A</v>
      </c>
      <c r="E46" s="299">
        <f t="shared" si="3"/>
        <v>25</v>
      </c>
      <c r="F46" s="396">
        <f>Weather!M30</f>
        <v>0</v>
      </c>
      <c r="G46" s="301">
        <f>IF(Weather!C30="","",Weather!C30)</f>
        <v>0.29414362696198881</v>
      </c>
      <c r="H46" s="301">
        <f>IF(Weather!D30="","",Weather!D30)</f>
        <v>0.31307647208209932</v>
      </c>
      <c r="I46" s="502">
        <f>IF(Weather!E30="","",Weather!E30)</f>
        <v>0.31307647208209932</v>
      </c>
      <c r="J46" s="397">
        <f>IF(RnSplint!N74&lt;0,0,RnSplint!N74)</f>
        <v>32.26170736613139</v>
      </c>
      <c r="K46" s="302">
        <f t="shared" si="34"/>
        <v>0</v>
      </c>
      <c r="L46" s="303">
        <f t="shared" si="35"/>
        <v>38011</v>
      </c>
      <c r="M46" s="346" t="str">
        <f t="shared" si="4"/>
        <v/>
      </c>
      <c r="N46" s="304">
        <f t="shared" si="36"/>
        <v>0</v>
      </c>
      <c r="O46" s="304">
        <f t="shared" si="37"/>
        <v>0</v>
      </c>
      <c r="P46" s="304">
        <f t="shared" si="5"/>
        <v>0</v>
      </c>
      <c r="Q46" s="304">
        <f t="shared" si="6"/>
        <v>1.0981562452833342</v>
      </c>
      <c r="R46" s="304">
        <f t="shared" si="7"/>
        <v>1.0981562452833342</v>
      </c>
      <c r="S46" s="305" t="e">
        <f t="shared" si="38"/>
        <v>#N/A</v>
      </c>
      <c r="T46" s="304">
        <f t="shared" si="8"/>
        <v>0</v>
      </c>
      <c r="U46" s="304">
        <f t="shared" si="54"/>
        <v>0</v>
      </c>
      <c r="V46" s="305" t="e">
        <f t="shared" si="9"/>
        <v>#N/A</v>
      </c>
      <c r="W46" s="305" t="e">
        <f t="shared" si="39"/>
        <v>#N/A</v>
      </c>
      <c r="X46" s="304">
        <f t="shared" si="40"/>
        <v>1.0981562452833342</v>
      </c>
      <c r="Z46" s="304" t="str">
        <f t="shared" si="41"/>
        <v/>
      </c>
      <c r="AA46" s="305" t="e">
        <f t="shared" si="10"/>
        <v>#N/A</v>
      </c>
      <c r="AB46" s="304">
        <f t="shared" si="11"/>
        <v>0.34380688306823082</v>
      </c>
      <c r="AC46" s="304" t="str">
        <f t="shared" si="42"/>
        <v/>
      </c>
      <c r="AD46" s="306">
        <f t="shared" si="12"/>
        <v>0</v>
      </c>
      <c r="AE46" s="307">
        <f t="shared" si="43"/>
        <v>0.34380688306823082</v>
      </c>
      <c r="AF46" s="308" t="e">
        <f t="shared" si="13"/>
        <v>#N/A</v>
      </c>
      <c r="AG46" s="306">
        <f t="shared" si="44"/>
        <v>6.7298255201347406</v>
      </c>
      <c r="AH46" s="306">
        <f t="shared" si="14"/>
        <v>0</v>
      </c>
      <c r="AI46" s="306">
        <f t="shared" si="45"/>
        <v>0</v>
      </c>
      <c r="AJ46" s="306">
        <f t="shared" si="46"/>
        <v>0</v>
      </c>
      <c r="AK46" s="306">
        <f t="shared" si="15"/>
        <v>0</v>
      </c>
      <c r="AL46" s="306">
        <f t="shared" si="47"/>
        <v>0</v>
      </c>
      <c r="AM46" s="306">
        <f t="shared" si="16"/>
        <v>0</v>
      </c>
      <c r="AN46" s="304">
        <f>KcSplint!$N75</f>
        <v>1.0378644604471314</v>
      </c>
      <c r="AO46" s="304" t="str">
        <f t="shared" si="17"/>
        <v/>
      </c>
      <c r="AP46" s="304" t="str">
        <f t="shared" si="48"/>
        <v/>
      </c>
      <c r="AQ46" s="305" t="e">
        <f t="shared" si="49"/>
        <v>#N/A</v>
      </c>
      <c r="AR46" s="304" t="str">
        <f t="shared" si="50"/>
        <v/>
      </c>
      <c r="AS46" s="306">
        <f t="shared" si="18"/>
        <v>0</v>
      </c>
      <c r="AT46" s="307" t="e">
        <f t="shared" si="51"/>
        <v>#N/A</v>
      </c>
      <c r="AU46" s="307" t="e">
        <f t="shared" si="52"/>
        <v>#N/A</v>
      </c>
      <c r="AV46" s="304">
        <f t="shared" si="19"/>
        <v>0.31307647208209932</v>
      </c>
      <c r="AW46" s="309">
        <f t="shared" si="20"/>
        <v>5.8200548187730234</v>
      </c>
      <c r="AX46" s="306">
        <f>IF(ISERROR(Weather!M30),#N/A,Weather!M30)</f>
        <v>0</v>
      </c>
      <c r="AY46" s="310">
        <f t="shared" si="21"/>
        <v>21</v>
      </c>
      <c r="AZ46" s="309">
        <f t="shared" si="22"/>
        <v>1.0981562452833342</v>
      </c>
      <c r="BA46" s="309">
        <f t="shared" si="23"/>
        <v>6.7298255201347406</v>
      </c>
      <c r="BB46" s="311">
        <f>Irrig!H48</f>
        <v>0</v>
      </c>
      <c r="BC46" s="310">
        <f t="shared" si="24"/>
        <v>0</v>
      </c>
      <c r="BD46" s="309">
        <f t="shared" si="25"/>
        <v>0</v>
      </c>
      <c r="BE46" s="309">
        <f t="shared" si="26"/>
        <v>0</v>
      </c>
      <c r="BF46" s="306">
        <f>DailyMet!H29</f>
        <v>2.58</v>
      </c>
      <c r="BG46" s="306">
        <f>DailyMet!I29</f>
        <v>-4</v>
      </c>
      <c r="BH46" s="306">
        <f t="shared" si="27"/>
        <v>2.58</v>
      </c>
      <c r="BI46" s="306">
        <f t="shared" si="28"/>
        <v>10</v>
      </c>
      <c r="BJ46" s="306">
        <f t="shared" si="29"/>
        <v>-3.71</v>
      </c>
      <c r="BK46" s="306">
        <f t="shared" si="53"/>
        <v>0</v>
      </c>
      <c r="BL46" s="304">
        <f t="shared" si="30"/>
        <v>0</v>
      </c>
      <c r="BM46" s="304">
        <f t="shared" si="31"/>
        <v>0</v>
      </c>
      <c r="BN46" s="304">
        <f t="shared" si="55"/>
        <v>0</v>
      </c>
      <c r="BO46" s="306">
        <f t="shared" si="56"/>
        <v>0</v>
      </c>
      <c r="BP46" s="306"/>
    </row>
    <row r="47" spans="1:68">
      <c r="A47" s="299">
        <f t="shared" si="1"/>
        <v>0</v>
      </c>
      <c r="B47" s="300">
        <f t="shared" si="32"/>
        <v>38012</v>
      </c>
      <c r="C47" s="301" t="e">
        <f t="shared" si="33"/>
        <v>#N/A</v>
      </c>
      <c r="D47" s="301" t="e">
        <f t="shared" si="2"/>
        <v>#N/A</v>
      </c>
      <c r="E47" s="299">
        <f t="shared" si="3"/>
        <v>26</v>
      </c>
      <c r="F47" s="396">
        <v>0</v>
      </c>
      <c r="G47" s="301">
        <f>IF(Weather!C31="","",Weather!C31)</f>
        <v>0.29444526283677852</v>
      </c>
      <c r="H47" s="301">
        <f>IF(Weather!D31="","",Weather!D31)</f>
        <v>0.23124500724166852</v>
      </c>
      <c r="I47" s="502">
        <f>IF(Weather!E31="","",Weather!E31)</f>
        <v>0.23124500724166852</v>
      </c>
      <c r="J47" s="397">
        <f>IF(RnSplint!N75&lt;0,0,RnSplint!N75)</f>
        <v>32.173717266301729</v>
      </c>
      <c r="K47" s="302">
        <f t="shared" si="34"/>
        <v>0</v>
      </c>
      <c r="L47" s="303">
        <f t="shared" si="35"/>
        <v>38012</v>
      </c>
      <c r="M47" s="346" t="str">
        <f t="shared" si="4"/>
        <v/>
      </c>
      <c r="N47" s="304">
        <f t="shared" si="36"/>
        <v>0</v>
      </c>
      <c r="O47" s="304">
        <f t="shared" si="37"/>
        <v>0</v>
      </c>
      <c r="P47" s="304">
        <f t="shared" si="5"/>
        <v>0</v>
      </c>
      <c r="Q47" s="304">
        <f t="shared" si="6"/>
        <v>1.076298145715858</v>
      </c>
      <c r="R47" s="304">
        <f t="shared" si="7"/>
        <v>1.076298145715858</v>
      </c>
      <c r="S47" s="305" t="e">
        <f t="shared" si="38"/>
        <v>#N/A</v>
      </c>
      <c r="T47" s="304">
        <f t="shared" si="8"/>
        <v>0</v>
      </c>
      <c r="U47" s="304">
        <f t="shared" si="54"/>
        <v>0</v>
      </c>
      <c r="V47" s="305" t="e">
        <f t="shared" si="9"/>
        <v>#N/A</v>
      </c>
      <c r="W47" s="305" t="e">
        <f t="shared" si="39"/>
        <v>#N/A</v>
      </c>
      <c r="X47" s="304">
        <f t="shared" si="40"/>
        <v>1.076298145715858</v>
      </c>
      <c r="Z47" s="304" t="str">
        <f t="shared" si="41"/>
        <v/>
      </c>
      <c r="AA47" s="305" t="e">
        <f t="shared" si="10"/>
        <v>#N/A</v>
      </c>
      <c r="AB47" s="304">
        <f t="shared" si="11"/>
        <v>0.24888857250025798</v>
      </c>
      <c r="AC47" s="304" t="str">
        <f t="shared" si="42"/>
        <v/>
      </c>
      <c r="AD47" s="306">
        <f t="shared" si="12"/>
        <v>0</v>
      </c>
      <c r="AE47" s="307">
        <f t="shared" si="43"/>
        <v>0.24888857250025798</v>
      </c>
      <c r="AF47" s="308" t="e">
        <f t="shared" si="13"/>
        <v>#N/A</v>
      </c>
      <c r="AG47" s="306">
        <f t="shared" si="44"/>
        <v>6.9610705273764086</v>
      </c>
      <c r="AH47" s="306">
        <f t="shared" si="14"/>
        <v>0</v>
      </c>
      <c r="AI47" s="306">
        <f t="shared" si="45"/>
        <v>0</v>
      </c>
      <c r="AJ47" s="306">
        <f t="shared" si="46"/>
        <v>0</v>
      </c>
      <c r="AK47" s="306">
        <f t="shared" si="15"/>
        <v>0</v>
      </c>
      <c r="AL47" s="306">
        <f t="shared" si="47"/>
        <v>0</v>
      </c>
      <c r="AM47" s="306">
        <f t="shared" si="16"/>
        <v>0</v>
      </c>
      <c r="AN47" s="304">
        <f>KcSplint!$N76</f>
        <v>1.0243752007751201</v>
      </c>
      <c r="AO47" s="304" t="str">
        <f t="shared" si="17"/>
        <v/>
      </c>
      <c r="AP47" s="304" t="str">
        <f t="shared" si="48"/>
        <v/>
      </c>
      <c r="AQ47" s="305" t="e">
        <f t="shared" si="49"/>
        <v>#N/A</v>
      </c>
      <c r="AR47" s="304" t="str">
        <f t="shared" si="50"/>
        <v/>
      </c>
      <c r="AS47" s="306">
        <f t="shared" si="18"/>
        <v>0</v>
      </c>
      <c r="AT47" s="307" t="e">
        <f t="shared" si="51"/>
        <v>#N/A</v>
      </c>
      <c r="AU47" s="307" t="e">
        <f t="shared" si="52"/>
        <v>#N/A</v>
      </c>
      <c r="AV47" s="304">
        <f t="shared" si="19"/>
        <v>0.23124500724166852</v>
      </c>
      <c r="AW47" s="309">
        <f t="shared" si="20"/>
        <v>6.0512998260146915</v>
      </c>
      <c r="AX47" s="306">
        <f>IF(ISERROR(Weather!M31),#N/A,Weather!M31)</f>
        <v>0</v>
      </c>
      <c r="AY47" s="310">
        <f t="shared" si="21"/>
        <v>22</v>
      </c>
      <c r="AZ47" s="309">
        <f t="shared" si="22"/>
        <v>1.076298145715858</v>
      </c>
      <c r="BA47" s="309">
        <f t="shared" si="23"/>
        <v>6.9610705273764086</v>
      </c>
      <c r="BB47" s="311">
        <f>Irrig!H49</f>
        <v>0</v>
      </c>
      <c r="BC47" s="310">
        <f t="shared" si="24"/>
        <v>0</v>
      </c>
      <c r="BD47" s="309">
        <f t="shared" si="25"/>
        <v>0</v>
      </c>
      <c r="BE47" s="309">
        <f t="shared" si="26"/>
        <v>0</v>
      </c>
      <c r="BF47" s="306">
        <f>DailyMet!H30</f>
        <v>1.23</v>
      </c>
      <c r="BG47" s="306">
        <f>DailyMet!I30</f>
        <v>-6.6</v>
      </c>
      <c r="BH47" s="306">
        <f t="shared" si="27"/>
        <v>1.23</v>
      </c>
      <c r="BI47" s="306">
        <f t="shared" si="28"/>
        <v>10</v>
      </c>
      <c r="BJ47" s="306">
        <f t="shared" si="29"/>
        <v>-4.3849999999999998</v>
      </c>
      <c r="BK47" s="306">
        <f t="shared" si="53"/>
        <v>0</v>
      </c>
      <c r="BL47" s="304">
        <f t="shared" si="30"/>
        <v>0</v>
      </c>
      <c r="BM47" s="304">
        <f t="shared" si="31"/>
        <v>0</v>
      </c>
      <c r="BN47" s="304">
        <f t="shared" si="55"/>
        <v>0</v>
      </c>
      <c r="BO47" s="306">
        <f t="shared" si="56"/>
        <v>0</v>
      </c>
      <c r="BP47" s="306"/>
    </row>
    <row r="48" spans="1:68">
      <c r="A48" s="299">
        <f t="shared" si="1"/>
        <v>0</v>
      </c>
      <c r="B48" s="300">
        <f t="shared" si="32"/>
        <v>38013</v>
      </c>
      <c r="C48" s="301" t="e">
        <f t="shared" si="33"/>
        <v>#N/A</v>
      </c>
      <c r="D48" s="301" t="e">
        <f t="shared" si="2"/>
        <v>#N/A</v>
      </c>
      <c r="E48" s="299">
        <f t="shared" si="3"/>
        <v>27</v>
      </c>
      <c r="F48" s="396">
        <f>Weather!M32</f>
        <v>0</v>
      </c>
      <c r="G48" s="301">
        <f>IF(Weather!C32="","",Weather!C32)</f>
        <v>0.29504374541600198</v>
      </c>
      <c r="H48" s="301">
        <f>IF(Weather!D32="","",Weather!D32)</f>
        <v>0.2718053562480085</v>
      </c>
      <c r="I48" s="502">
        <f>IF(Weather!E32="","",Weather!E32)</f>
        <v>0.2718053562480085</v>
      </c>
      <c r="J48" s="397">
        <f>IF(RnSplint!N76&lt;0,0,RnSplint!N76)</f>
        <v>32.057412122617635</v>
      </c>
      <c r="K48" s="302">
        <f t="shared" si="34"/>
        <v>0</v>
      </c>
      <c r="L48" s="303">
        <f t="shared" si="35"/>
        <v>38013</v>
      </c>
      <c r="M48" s="346" t="str">
        <f t="shared" si="4"/>
        <v/>
      </c>
      <c r="N48" s="304">
        <f t="shared" si="36"/>
        <v>0</v>
      </c>
      <c r="O48" s="304">
        <f t="shared" si="37"/>
        <v>0</v>
      </c>
      <c r="P48" s="304">
        <f t="shared" si="5"/>
        <v>0</v>
      </c>
      <c r="Q48" s="304">
        <f t="shared" si="6"/>
        <v>1.0521712167022772</v>
      </c>
      <c r="R48" s="304">
        <f t="shared" si="7"/>
        <v>1.0521712167022772</v>
      </c>
      <c r="S48" s="305" t="e">
        <f t="shared" si="38"/>
        <v>#N/A</v>
      </c>
      <c r="T48" s="304">
        <f t="shared" si="8"/>
        <v>0</v>
      </c>
      <c r="U48" s="304">
        <f t="shared" si="54"/>
        <v>0</v>
      </c>
      <c r="V48" s="305" t="e">
        <f t="shared" si="9"/>
        <v>#N/A</v>
      </c>
      <c r="W48" s="305" t="e">
        <f t="shared" si="39"/>
        <v>#N/A</v>
      </c>
      <c r="X48" s="304">
        <f t="shared" si="40"/>
        <v>1.0521712167022772</v>
      </c>
      <c r="Z48" s="304" t="str">
        <f t="shared" si="41"/>
        <v/>
      </c>
      <c r="AA48" s="305" t="e">
        <f t="shared" si="10"/>
        <v>#N/A</v>
      </c>
      <c r="AB48" s="304">
        <f t="shared" si="11"/>
        <v>0.285985772389663</v>
      </c>
      <c r="AC48" s="304" t="str">
        <f t="shared" si="42"/>
        <v/>
      </c>
      <c r="AD48" s="306">
        <f t="shared" si="12"/>
        <v>0</v>
      </c>
      <c r="AE48" s="307">
        <f t="shared" si="43"/>
        <v>0.285985772389663</v>
      </c>
      <c r="AF48" s="308" t="e">
        <f t="shared" si="13"/>
        <v>#N/A</v>
      </c>
      <c r="AG48" s="306">
        <f t="shared" si="44"/>
        <v>7.2328758836244171</v>
      </c>
      <c r="AH48" s="306">
        <f t="shared" si="14"/>
        <v>0</v>
      </c>
      <c r="AI48" s="306">
        <f t="shared" si="45"/>
        <v>0</v>
      </c>
      <c r="AJ48" s="306">
        <f t="shared" si="46"/>
        <v>0</v>
      </c>
      <c r="AK48" s="306">
        <f t="shared" si="15"/>
        <v>0</v>
      </c>
      <c r="AL48" s="306">
        <f t="shared" si="47"/>
        <v>0</v>
      </c>
      <c r="AM48" s="306">
        <f t="shared" si="16"/>
        <v>0</v>
      </c>
      <c r="AN48" s="304">
        <f>KcSplint!$N77</f>
        <v>1.0104684516935509</v>
      </c>
      <c r="AO48" s="304" t="str">
        <f t="shared" si="17"/>
        <v/>
      </c>
      <c r="AP48" s="304" t="str">
        <f t="shared" si="48"/>
        <v/>
      </c>
      <c r="AQ48" s="305" t="e">
        <f t="shared" si="49"/>
        <v>#N/A</v>
      </c>
      <c r="AR48" s="304" t="str">
        <f t="shared" si="50"/>
        <v/>
      </c>
      <c r="AS48" s="306">
        <f t="shared" si="18"/>
        <v>0</v>
      </c>
      <c r="AT48" s="307" t="e">
        <f t="shared" si="51"/>
        <v>#N/A</v>
      </c>
      <c r="AU48" s="307" t="e">
        <f t="shared" si="52"/>
        <v>#N/A</v>
      </c>
      <c r="AV48" s="304">
        <f t="shared" si="19"/>
        <v>0.2718053562480085</v>
      </c>
      <c r="AW48" s="309">
        <f t="shared" si="20"/>
        <v>6.3231051822627</v>
      </c>
      <c r="AX48" s="306">
        <f>IF(ISERROR(Weather!M32),#N/A,Weather!M32)</f>
        <v>0</v>
      </c>
      <c r="AY48" s="310">
        <f t="shared" si="21"/>
        <v>23</v>
      </c>
      <c r="AZ48" s="309">
        <f t="shared" si="22"/>
        <v>1.0521712167022772</v>
      </c>
      <c r="BA48" s="309">
        <f t="shared" si="23"/>
        <v>7.2328758836244171</v>
      </c>
      <c r="BB48" s="311">
        <f>Irrig!H50</f>
        <v>0</v>
      </c>
      <c r="BC48" s="310">
        <f t="shared" si="24"/>
        <v>0</v>
      </c>
      <c r="BD48" s="309">
        <f t="shared" si="25"/>
        <v>0</v>
      </c>
      <c r="BE48" s="309">
        <f t="shared" si="26"/>
        <v>0</v>
      </c>
      <c r="BF48" s="306">
        <f>DailyMet!H31</f>
        <v>3.18</v>
      </c>
      <c r="BG48" s="306">
        <f>DailyMet!I31</f>
        <v>-1</v>
      </c>
      <c r="BH48" s="306">
        <f t="shared" si="27"/>
        <v>3.18</v>
      </c>
      <c r="BI48" s="306">
        <f t="shared" si="28"/>
        <v>10</v>
      </c>
      <c r="BJ48" s="306">
        <f t="shared" si="29"/>
        <v>-3.41</v>
      </c>
      <c r="BK48" s="306">
        <f t="shared" si="53"/>
        <v>0</v>
      </c>
      <c r="BL48" s="304">
        <f t="shared" si="30"/>
        <v>0</v>
      </c>
      <c r="BM48" s="304">
        <f t="shared" si="31"/>
        <v>0</v>
      </c>
      <c r="BN48" s="304">
        <f t="shared" si="55"/>
        <v>0</v>
      </c>
      <c r="BO48" s="306">
        <f t="shared" si="56"/>
        <v>0</v>
      </c>
      <c r="BP48" s="306"/>
    </row>
    <row r="49" spans="1:68">
      <c r="A49" s="299">
        <f t="shared" si="1"/>
        <v>0</v>
      </c>
      <c r="B49" s="300">
        <f t="shared" si="32"/>
        <v>38014</v>
      </c>
      <c r="C49" s="301" t="e">
        <f t="shared" si="33"/>
        <v>#N/A</v>
      </c>
      <c r="D49" s="301" t="e">
        <f t="shared" si="2"/>
        <v>#N/A</v>
      </c>
      <c r="E49" s="299">
        <f t="shared" si="3"/>
        <v>28</v>
      </c>
      <c r="F49" s="396">
        <f>Weather!M33</f>
        <v>0</v>
      </c>
      <c r="G49" s="301">
        <f>IF(Weather!C33="","",Weather!C33)</f>
        <v>0.29601841032219528</v>
      </c>
      <c r="H49" s="301">
        <f>IF(Weather!D33="","",Weather!D33)</f>
        <v>0.3157483417393101</v>
      </c>
      <c r="I49" s="502">
        <f>IF(Weather!E33="","",Weather!E33)</f>
        <v>0.3157483417393101</v>
      </c>
      <c r="J49" s="397">
        <f>IF(RnSplint!N77&lt;0,0,RnSplint!N77)</f>
        <v>31.915447757590194</v>
      </c>
      <c r="K49" s="302">
        <f t="shared" si="34"/>
        <v>0</v>
      </c>
      <c r="L49" s="303">
        <f t="shared" si="35"/>
        <v>38014</v>
      </c>
      <c r="M49" s="346" t="str">
        <f t="shared" si="4"/>
        <v/>
      </c>
      <c r="N49" s="304">
        <f t="shared" si="36"/>
        <v>0</v>
      </c>
      <c r="O49" s="304">
        <f t="shared" si="37"/>
        <v>0</v>
      </c>
      <c r="P49" s="304">
        <f t="shared" si="5"/>
        <v>0</v>
      </c>
      <c r="Q49" s="304">
        <f t="shared" si="6"/>
        <v>1.0260451547568075</v>
      </c>
      <c r="R49" s="304">
        <f t="shared" si="7"/>
        <v>1.0260451547568075</v>
      </c>
      <c r="S49" s="305" t="e">
        <f t="shared" si="38"/>
        <v>#N/A</v>
      </c>
      <c r="T49" s="304">
        <f t="shared" si="8"/>
        <v>0</v>
      </c>
      <c r="U49" s="304">
        <f t="shared" si="54"/>
        <v>0</v>
      </c>
      <c r="V49" s="305" t="e">
        <f t="shared" si="9"/>
        <v>#N/A</v>
      </c>
      <c r="W49" s="305" t="e">
        <f t="shared" si="39"/>
        <v>#N/A</v>
      </c>
      <c r="X49" s="304">
        <f t="shared" si="40"/>
        <v>1.0260451547568075</v>
      </c>
      <c r="Z49" s="304" t="str">
        <f t="shared" si="41"/>
        <v/>
      </c>
      <c r="AA49" s="305" t="e">
        <f t="shared" si="10"/>
        <v>#N/A</v>
      </c>
      <c r="AB49" s="304">
        <f t="shared" si="11"/>
        <v>0.32397205616411578</v>
      </c>
      <c r="AC49" s="304" t="str">
        <f t="shared" si="42"/>
        <v/>
      </c>
      <c r="AD49" s="306">
        <f t="shared" si="12"/>
        <v>0</v>
      </c>
      <c r="AE49" s="307">
        <f t="shared" si="43"/>
        <v>0.32397205616411578</v>
      </c>
      <c r="AF49" s="308" t="e">
        <f t="shared" si="13"/>
        <v>#N/A</v>
      </c>
      <c r="AG49" s="306">
        <f t="shared" si="44"/>
        <v>7.548624225363727</v>
      </c>
      <c r="AH49" s="306">
        <f t="shared" si="14"/>
        <v>0</v>
      </c>
      <c r="AI49" s="306">
        <f t="shared" si="45"/>
        <v>0</v>
      </c>
      <c r="AJ49" s="306">
        <f t="shared" si="46"/>
        <v>0</v>
      </c>
      <c r="AK49" s="306">
        <f t="shared" si="15"/>
        <v>0</v>
      </c>
      <c r="AL49" s="306">
        <f t="shared" si="47"/>
        <v>0</v>
      </c>
      <c r="AM49" s="306">
        <f t="shared" si="16"/>
        <v>0</v>
      </c>
      <c r="AN49" s="304">
        <f>KcSplint!$N78</f>
        <v>0.99616190931191906</v>
      </c>
      <c r="AO49" s="304" t="str">
        <f t="shared" si="17"/>
        <v/>
      </c>
      <c r="AP49" s="304" t="str">
        <f t="shared" si="48"/>
        <v/>
      </c>
      <c r="AQ49" s="305" t="e">
        <f t="shared" si="49"/>
        <v>#N/A</v>
      </c>
      <c r="AR49" s="304" t="str">
        <f t="shared" si="50"/>
        <v/>
      </c>
      <c r="AS49" s="306">
        <f t="shared" si="18"/>
        <v>0</v>
      </c>
      <c r="AT49" s="307" t="e">
        <f t="shared" si="51"/>
        <v>#N/A</v>
      </c>
      <c r="AU49" s="307" t="e">
        <f t="shared" si="52"/>
        <v>#N/A</v>
      </c>
      <c r="AV49" s="304">
        <f t="shared" si="19"/>
        <v>0.3157483417393101</v>
      </c>
      <c r="AW49" s="309">
        <f t="shared" si="20"/>
        <v>6.6388535240020099</v>
      </c>
      <c r="AX49" s="306">
        <f>IF(ISERROR(Weather!M33),#N/A,Weather!M33)</f>
        <v>0</v>
      </c>
      <c r="AY49" s="310">
        <f t="shared" si="21"/>
        <v>24</v>
      </c>
      <c r="AZ49" s="309">
        <f t="shared" si="22"/>
        <v>1.0260451547568075</v>
      </c>
      <c r="BA49" s="309">
        <f t="shared" si="23"/>
        <v>7.548624225363727</v>
      </c>
      <c r="BB49" s="311">
        <f>Irrig!H51</f>
        <v>0</v>
      </c>
      <c r="BC49" s="310">
        <f t="shared" si="24"/>
        <v>0</v>
      </c>
      <c r="BD49" s="309">
        <f t="shared" si="25"/>
        <v>0</v>
      </c>
      <c r="BE49" s="309">
        <f t="shared" si="26"/>
        <v>0</v>
      </c>
      <c r="BF49" s="306">
        <f>DailyMet!H32</f>
        <v>2.38</v>
      </c>
      <c r="BG49" s="306">
        <f>DailyMet!I32</f>
        <v>-2</v>
      </c>
      <c r="BH49" s="306">
        <f t="shared" si="27"/>
        <v>2.38</v>
      </c>
      <c r="BI49" s="306">
        <f t="shared" si="28"/>
        <v>10</v>
      </c>
      <c r="BJ49" s="306">
        <f t="shared" si="29"/>
        <v>-3.8100000000000005</v>
      </c>
      <c r="BK49" s="306">
        <f t="shared" si="53"/>
        <v>0</v>
      </c>
      <c r="BL49" s="304">
        <f t="shared" si="30"/>
        <v>0</v>
      </c>
      <c r="BM49" s="304">
        <f t="shared" si="31"/>
        <v>0</v>
      </c>
      <c r="BN49" s="304">
        <f t="shared" si="55"/>
        <v>0</v>
      </c>
      <c r="BO49" s="306">
        <f t="shared" si="56"/>
        <v>0</v>
      </c>
      <c r="BP49" s="306"/>
    </row>
    <row r="50" spans="1:68">
      <c r="A50" s="299">
        <f t="shared" si="1"/>
        <v>0</v>
      </c>
      <c r="B50" s="300">
        <f t="shared" si="32"/>
        <v>38015</v>
      </c>
      <c r="C50" s="301" t="e">
        <f t="shared" si="33"/>
        <v>#N/A</v>
      </c>
      <c r="D50" s="301" t="e">
        <f t="shared" si="2"/>
        <v>#N/A</v>
      </c>
      <c r="E50" s="299">
        <f t="shared" si="3"/>
        <v>29</v>
      </c>
      <c r="F50" s="396">
        <f>Weather!M34</f>
        <v>0</v>
      </c>
      <c r="G50" s="301">
        <f>IF(Weather!C34="","",Weather!C34)</f>
        <v>0.29744859317789463</v>
      </c>
      <c r="H50" s="301">
        <f>IF(Weather!D34="","",Weather!D34)</f>
        <v>0.7281902108347631</v>
      </c>
      <c r="I50" s="502">
        <f>IF(Weather!E34="","",Weather!E34)</f>
        <v>0.7281902108347631</v>
      </c>
      <c r="J50" s="397">
        <f>IF(RnSplint!N78&lt;0,0,RnSplint!N78)</f>
        <v>31.750479993730469</v>
      </c>
      <c r="K50" s="302">
        <f t="shared" si="34"/>
        <v>0</v>
      </c>
      <c r="L50" s="303">
        <f t="shared" si="35"/>
        <v>38015</v>
      </c>
      <c r="M50" s="346" t="str">
        <f t="shared" si="4"/>
        <v/>
      </c>
      <c r="N50" s="304">
        <f t="shared" si="36"/>
        <v>0</v>
      </c>
      <c r="O50" s="304">
        <f t="shared" si="37"/>
        <v>0</v>
      </c>
      <c r="P50" s="304">
        <f t="shared" si="5"/>
        <v>0</v>
      </c>
      <c r="Q50" s="304">
        <f t="shared" si="6"/>
        <v>0.9723960602827092</v>
      </c>
      <c r="R50" s="304">
        <f t="shared" si="7"/>
        <v>0.9723960602827092</v>
      </c>
      <c r="S50" s="305" t="e">
        <f t="shared" si="38"/>
        <v>#N/A</v>
      </c>
      <c r="T50" s="304">
        <f t="shared" si="8"/>
        <v>0</v>
      </c>
      <c r="U50" s="304">
        <f t="shared" si="54"/>
        <v>0</v>
      </c>
      <c r="V50" s="305" t="e">
        <f t="shared" si="9"/>
        <v>#N/A</v>
      </c>
      <c r="W50" s="305" t="e">
        <f t="shared" si="39"/>
        <v>#N/A</v>
      </c>
      <c r="X50" s="304">
        <f t="shared" si="40"/>
        <v>0.9723960602827092</v>
      </c>
      <c r="Z50" s="304" t="str">
        <f t="shared" si="41"/>
        <v/>
      </c>
      <c r="AA50" s="305" t="e">
        <f t="shared" si="10"/>
        <v>#N/A</v>
      </c>
      <c r="AB50" s="304">
        <f t="shared" si="11"/>
        <v>0.70808929215215899</v>
      </c>
      <c r="AC50" s="304" t="str">
        <f t="shared" si="42"/>
        <v/>
      </c>
      <c r="AD50" s="306">
        <f t="shared" si="12"/>
        <v>0</v>
      </c>
      <c r="AE50" s="307">
        <f t="shared" si="43"/>
        <v>0.70808929215215899</v>
      </c>
      <c r="AF50" s="308" t="e">
        <f t="shared" si="13"/>
        <v>#N/A</v>
      </c>
      <c r="AG50" s="306">
        <f t="shared" si="44"/>
        <v>8.2768144361984906</v>
      </c>
      <c r="AH50" s="306">
        <f t="shared" si="14"/>
        <v>0</v>
      </c>
      <c r="AI50" s="306">
        <f t="shared" si="45"/>
        <v>0</v>
      </c>
      <c r="AJ50" s="306">
        <f t="shared" si="46"/>
        <v>0</v>
      </c>
      <c r="AK50" s="306">
        <f t="shared" si="15"/>
        <v>0</v>
      </c>
      <c r="AL50" s="306">
        <f t="shared" si="47"/>
        <v>0</v>
      </c>
      <c r="AM50" s="306">
        <f t="shared" si="16"/>
        <v>0</v>
      </c>
      <c r="AN50" s="304">
        <f>KcSplint!$N79</f>
        <v>0.98147326973972082</v>
      </c>
      <c r="AO50" s="304" t="str">
        <f t="shared" si="17"/>
        <v/>
      </c>
      <c r="AP50" s="304" t="str">
        <f t="shared" si="48"/>
        <v/>
      </c>
      <c r="AQ50" s="305" t="e">
        <f t="shared" si="49"/>
        <v>#N/A</v>
      </c>
      <c r="AR50" s="304" t="str">
        <f t="shared" si="50"/>
        <v/>
      </c>
      <c r="AS50" s="306">
        <f t="shared" si="18"/>
        <v>0</v>
      </c>
      <c r="AT50" s="307" t="e">
        <f t="shared" si="51"/>
        <v>#N/A</v>
      </c>
      <c r="AU50" s="307" t="e">
        <f t="shared" si="52"/>
        <v>#N/A</v>
      </c>
      <c r="AV50" s="304">
        <f t="shared" si="19"/>
        <v>0.7281902108347631</v>
      </c>
      <c r="AW50" s="309">
        <f t="shared" si="20"/>
        <v>7.3670437348367734</v>
      </c>
      <c r="AX50" s="306">
        <f>IF(ISERROR(Weather!M34),#N/A,Weather!M34)</f>
        <v>0</v>
      </c>
      <c r="AY50" s="310">
        <f t="shared" si="21"/>
        <v>25</v>
      </c>
      <c r="AZ50" s="309">
        <f t="shared" si="22"/>
        <v>0.9723960602827092</v>
      </c>
      <c r="BA50" s="309">
        <f t="shared" si="23"/>
        <v>8.2768144361984906</v>
      </c>
      <c r="BB50" s="311">
        <f>Irrig!H52</f>
        <v>0</v>
      </c>
      <c r="BC50" s="310">
        <f t="shared" si="24"/>
        <v>0</v>
      </c>
      <c r="BD50" s="309">
        <f t="shared" si="25"/>
        <v>0</v>
      </c>
      <c r="BE50" s="309">
        <f t="shared" si="26"/>
        <v>0</v>
      </c>
      <c r="BF50" s="306">
        <f>DailyMet!H33</f>
        <v>2.69</v>
      </c>
      <c r="BG50" s="306">
        <f>DailyMet!I33</f>
        <v>-0.4</v>
      </c>
      <c r="BH50" s="306">
        <f t="shared" si="27"/>
        <v>2.69</v>
      </c>
      <c r="BI50" s="306">
        <f t="shared" si="28"/>
        <v>10</v>
      </c>
      <c r="BJ50" s="306">
        <f t="shared" si="29"/>
        <v>-3.6550000000000002</v>
      </c>
      <c r="BK50" s="306">
        <f t="shared" si="53"/>
        <v>0</v>
      </c>
      <c r="BL50" s="304">
        <f t="shared" si="30"/>
        <v>0</v>
      </c>
      <c r="BM50" s="304">
        <f t="shared" si="31"/>
        <v>0</v>
      </c>
      <c r="BN50" s="304">
        <f t="shared" si="55"/>
        <v>0</v>
      </c>
      <c r="BO50" s="306">
        <f t="shared" si="56"/>
        <v>0</v>
      </c>
      <c r="BP50" s="306"/>
    </row>
    <row r="51" spans="1:68">
      <c r="A51" s="299">
        <f t="shared" si="1"/>
        <v>0</v>
      </c>
      <c r="B51" s="300">
        <f t="shared" si="32"/>
        <v>38016</v>
      </c>
      <c r="C51" s="301" t="e">
        <f t="shared" si="33"/>
        <v>#N/A</v>
      </c>
      <c r="D51" s="301" t="e">
        <f t="shared" si="2"/>
        <v>#N/A</v>
      </c>
      <c r="E51" s="299">
        <f t="shared" si="3"/>
        <v>30</v>
      </c>
      <c r="F51" s="396">
        <f>Weather!M35</f>
        <v>0</v>
      </c>
      <c r="G51" s="301">
        <f>IF(Weather!C35="","",Weather!C35)</f>
        <v>0.29941362960563611</v>
      </c>
      <c r="H51" s="301">
        <f>IF(Weather!D35="","",Weather!D35)</f>
        <v>0.52118754722097038</v>
      </c>
      <c r="I51" s="502">
        <f>IF(Weather!E35="","",Weather!E35)</f>
        <v>0.52118754722097038</v>
      </c>
      <c r="J51" s="397">
        <f>IF(RnSplint!N79&lt;0,0,RnSplint!N79)</f>
        <v>31.565164653549523</v>
      </c>
      <c r="K51" s="302">
        <f t="shared" si="34"/>
        <v>0</v>
      </c>
      <c r="L51" s="303">
        <f t="shared" si="35"/>
        <v>38016</v>
      </c>
      <c r="M51" s="346" t="str">
        <f t="shared" si="4"/>
        <v/>
      </c>
      <c r="N51" s="304">
        <f t="shared" si="36"/>
        <v>0</v>
      </c>
      <c r="O51" s="304">
        <f t="shared" si="37"/>
        <v>0</v>
      </c>
      <c r="P51" s="304">
        <f t="shared" si="5"/>
        <v>0</v>
      </c>
      <c r="Q51" s="304">
        <f t="shared" si="6"/>
        <v>0.93869610247257984</v>
      </c>
      <c r="R51" s="304">
        <f t="shared" si="7"/>
        <v>0.93869610247257984</v>
      </c>
      <c r="S51" s="305" t="e">
        <f t="shared" si="38"/>
        <v>#N/A</v>
      </c>
      <c r="T51" s="304">
        <f t="shared" si="8"/>
        <v>0</v>
      </c>
      <c r="U51" s="304">
        <f t="shared" si="54"/>
        <v>0</v>
      </c>
      <c r="V51" s="305" t="e">
        <f t="shared" si="9"/>
        <v>#N/A</v>
      </c>
      <c r="W51" s="305" t="e">
        <f t="shared" si="39"/>
        <v>#N/A</v>
      </c>
      <c r="X51" s="304">
        <f t="shared" si="40"/>
        <v>0.93869610247257984</v>
      </c>
      <c r="Z51" s="304" t="str">
        <f t="shared" si="41"/>
        <v/>
      </c>
      <c r="AA51" s="305" t="e">
        <f t="shared" si="10"/>
        <v>#N/A</v>
      </c>
      <c r="AB51" s="304">
        <f t="shared" si="11"/>
        <v>0.48923671923356854</v>
      </c>
      <c r="AC51" s="304" t="str">
        <f t="shared" si="42"/>
        <v/>
      </c>
      <c r="AD51" s="306">
        <f t="shared" si="12"/>
        <v>0</v>
      </c>
      <c r="AE51" s="307">
        <f t="shared" si="43"/>
        <v>0.48923671923356854</v>
      </c>
      <c r="AF51" s="308" t="e">
        <f t="shared" si="13"/>
        <v>#N/A</v>
      </c>
      <c r="AG51" s="306">
        <f t="shared" si="44"/>
        <v>8.7980019834194607</v>
      </c>
      <c r="AH51" s="306">
        <f t="shared" si="14"/>
        <v>0</v>
      </c>
      <c r="AI51" s="306">
        <f t="shared" si="45"/>
        <v>0</v>
      </c>
      <c r="AJ51" s="306">
        <f t="shared" si="46"/>
        <v>0</v>
      </c>
      <c r="AK51" s="306">
        <f t="shared" si="15"/>
        <v>0</v>
      </c>
      <c r="AL51" s="306">
        <f t="shared" si="47"/>
        <v>0</v>
      </c>
      <c r="AM51" s="306">
        <f t="shared" si="16"/>
        <v>0</v>
      </c>
      <c r="AN51" s="304">
        <f>KcSplint!$N80</f>
        <v>0.96642022908645187</v>
      </c>
      <c r="AO51" s="304" t="str">
        <f t="shared" si="17"/>
        <v/>
      </c>
      <c r="AP51" s="304" t="str">
        <f t="shared" si="48"/>
        <v/>
      </c>
      <c r="AQ51" s="305" t="e">
        <f t="shared" si="49"/>
        <v>#N/A</v>
      </c>
      <c r="AR51" s="304" t="str">
        <f t="shared" si="50"/>
        <v/>
      </c>
      <c r="AS51" s="306">
        <f t="shared" si="18"/>
        <v>0</v>
      </c>
      <c r="AT51" s="307" t="e">
        <f t="shared" si="51"/>
        <v>#N/A</v>
      </c>
      <c r="AU51" s="307" t="e">
        <f t="shared" si="52"/>
        <v>#N/A</v>
      </c>
      <c r="AV51" s="304">
        <f t="shared" si="19"/>
        <v>0.52118754722097038</v>
      </c>
      <c r="AW51" s="309">
        <f t="shared" si="20"/>
        <v>7.8882312820577436</v>
      </c>
      <c r="AX51" s="306">
        <f>IF(ISERROR(Weather!M35),#N/A,Weather!M35)</f>
        <v>0</v>
      </c>
      <c r="AY51" s="310">
        <f t="shared" si="21"/>
        <v>26</v>
      </c>
      <c r="AZ51" s="309">
        <f t="shared" si="22"/>
        <v>0.93869610247257984</v>
      </c>
      <c r="BA51" s="309">
        <f t="shared" si="23"/>
        <v>8.7980019834194607</v>
      </c>
      <c r="BB51" s="311">
        <f>Irrig!H53</f>
        <v>0</v>
      </c>
      <c r="BC51" s="310">
        <f t="shared" si="24"/>
        <v>0</v>
      </c>
      <c r="BD51" s="309">
        <f t="shared" si="25"/>
        <v>0</v>
      </c>
      <c r="BE51" s="309">
        <f t="shared" si="26"/>
        <v>0</v>
      </c>
      <c r="BF51" s="306">
        <f>DailyMet!H34</f>
        <v>-0.6</v>
      </c>
      <c r="BG51" s="306">
        <f>DailyMet!I34</f>
        <v>-4.7</v>
      </c>
      <c r="BH51" s="306">
        <f t="shared" si="27"/>
        <v>-0.6</v>
      </c>
      <c r="BI51" s="306">
        <f t="shared" si="28"/>
        <v>10</v>
      </c>
      <c r="BJ51" s="306">
        <f t="shared" si="29"/>
        <v>-5.3</v>
      </c>
      <c r="BK51" s="306">
        <f t="shared" si="53"/>
        <v>0</v>
      </c>
      <c r="BL51" s="304">
        <f t="shared" si="30"/>
        <v>0</v>
      </c>
      <c r="BM51" s="304">
        <f t="shared" si="31"/>
        <v>0</v>
      </c>
      <c r="BN51" s="304">
        <f t="shared" si="55"/>
        <v>0</v>
      </c>
      <c r="BO51" s="306">
        <f t="shared" si="56"/>
        <v>0</v>
      </c>
      <c r="BP51" s="306"/>
    </row>
    <row r="52" spans="1:68">
      <c r="A52" s="299">
        <f t="shared" si="1"/>
        <v>0</v>
      </c>
      <c r="B52" s="300">
        <f t="shared" si="32"/>
        <v>38017</v>
      </c>
      <c r="C52" s="301" t="e">
        <f t="shared" si="33"/>
        <v>#N/A</v>
      </c>
      <c r="D52" s="301" t="e">
        <f t="shared" si="2"/>
        <v>#N/A</v>
      </c>
      <c r="E52" s="299">
        <f t="shared" si="3"/>
        <v>31</v>
      </c>
      <c r="F52" s="396">
        <f>Weather!M36</f>
        <v>0</v>
      </c>
      <c r="G52" s="301">
        <f>IF(Weather!C36="","",Weather!C36)</f>
        <v>0.30199285522795583</v>
      </c>
      <c r="H52" s="301">
        <f>IF(Weather!D36="","",Weather!D36)</f>
        <v>0.4462916169068708</v>
      </c>
      <c r="I52" s="502">
        <f>IF(Weather!E36="","",Weather!E36)</f>
        <v>0.4462916169068708</v>
      </c>
      <c r="J52" s="397">
        <f>IF(RnSplint!N80&lt;0,0,RnSplint!N80)</f>
        <v>31.36215755955843</v>
      </c>
      <c r="K52" s="302">
        <f t="shared" si="34"/>
        <v>0</v>
      </c>
      <c r="L52" s="303">
        <f t="shared" si="35"/>
        <v>38017</v>
      </c>
      <c r="M52" s="346">
        <f t="shared" si="4"/>
        <v>1</v>
      </c>
      <c r="N52" s="304">
        <f t="shared" si="36"/>
        <v>0</v>
      </c>
      <c r="O52" s="304">
        <f t="shared" si="37"/>
        <v>0</v>
      </c>
      <c r="P52" s="304">
        <f t="shared" si="5"/>
        <v>0</v>
      </c>
      <c r="Q52" s="304">
        <f t="shared" si="6"/>
        <v>0.91241421471945783</v>
      </c>
      <c r="R52" s="304">
        <f t="shared" si="7"/>
        <v>0.91241421471945783</v>
      </c>
      <c r="S52" s="305" t="e">
        <f t="shared" si="38"/>
        <v>#N/A</v>
      </c>
      <c r="T52" s="304">
        <f t="shared" si="8"/>
        <v>0</v>
      </c>
      <c r="U52" s="304">
        <f t="shared" si="54"/>
        <v>0</v>
      </c>
      <c r="V52" s="305" t="e">
        <f t="shared" si="9"/>
        <v>#N/A</v>
      </c>
      <c r="W52" s="305" t="e">
        <f t="shared" si="39"/>
        <v>#N/A</v>
      </c>
      <c r="X52" s="304">
        <f t="shared" si="40"/>
        <v>0.91241421471945783</v>
      </c>
      <c r="Y52" s="304">
        <f>AVERAGE(X22:X52)</f>
        <v>1.1536309284926189</v>
      </c>
      <c r="Z52" s="304" t="str">
        <f t="shared" si="41"/>
        <v/>
      </c>
      <c r="AA52" s="305" t="e">
        <f t="shared" si="10"/>
        <v>#N/A</v>
      </c>
      <c r="AB52" s="304">
        <f t="shared" si="11"/>
        <v>0.40720281517595963</v>
      </c>
      <c r="AC52" s="304" t="str">
        <f t="shared" si="42"/>
        <v/>
      </c>
      <c r="AD52" s="306">
        <f t="shared" si="12"/>
        <v>0</v>
      </c>
      <c r="AE52" s="307">
        <f t="shared" si="43"/>
        <v>0.40720281517595963</v>
      </c>
      <c r="AF52" s="308" t="e">
        <f t="shared" si="13"/>
        <v>#N/A</v>
      </c>
      <c r="AG52" s="306">
        <f t="shared" si="44"/>
        <v>9.2442936003263316</v>
      </c>
      <c r="AH52" s="306">
        <f t="shared" si="14"/>
        <v>0</v>
      </c>
      <c r="AI52" s="306">
        <f t="shared" si="45"/>
        <v>0</v>
      </c>
      <c r="AJ52" s="306">
        <f t="shared" si="46"/>
        <v>0</v>
      </c>
      <c r="AK52" s="306">
        <f t="shared" si="15"/>
        <v>0</v>
      </c>
      <c r="AL52" s="306">
        <f t="shared" si="47"/>
        <v>0</v>
      </c>
      <c r="AM52" s="306">
        <f t="shared" si="16"/>
        <v>0</v>
      </c>
      <c r="AN52" s="304">
        <f>KcSplint!$N81</f>
        <v>0.95102048346160806</v>
      </c>
      <c r="AO52" s="304" t="str">
        <f t="shared" si="17"/>
        <v/>
      </c>
      <c r="AP52" s="304" t="str">
        <f t="shared" si="48"/>
        <v/>
      </c>
      <c r="AQ52" s="305" t="e">
        <f t="shared" si="49"/>
        <v>#N/A</v>
      </c>
      <c r="AR52" s="304" t="str">
        <f t="shared" si="50"/>
        <v/>
      </c>
      <c r="AS52" s="306">
        <f t="shared" si="18"/>
        <v>0</v>
      </c>
      <c r="AT52" s="307" t="e">
        <f t="shared" si="51"/>
        <v>#N/A</v>
      </c>
      <c r="AU52" s="307" t="e">
        <f t="shared" si="52"/>
        <v>#N/A</v>
      </c>
      <c r="AV52" s="304">
        <f t="shared" si="19"/>
        <v>0.4462916169068708</v>
      </c>
      <c r="AW52" s="309">
        <f t="shared" si="20"/>
        <v>8.3345228989646145</v>
      </c>
      <c r="AX52" s="306">
        <f>IF(ISERROR(Weather!M36),#N/A,Weather!M36)</f>
        <v>0</v>
      </c>
      <c r="AY52" s="310">
        <f t="shared" si="21"/>
        <v>27</v>
      </c>
      <c r="AZ52" s="309">
        <f t="shared" si="22"/>
        <v>0.91241421471945783</v>
      </c>
      <c r="BA52" s="309">
        <f t="shared" si="23"/>
        <v>9.2442936003263316</v>
      </c>
      <c r="BB52" s="311">
        <f>Irrig!H54</f>
        <v>0</v>
      </c>
      <c r="BC52" s="310">
        <f t="shared" si="24"/>
        <v>0</v>
      </c>
      <c r="BD52" s="309">
        <f t="shared" si="25"/>
        <v>0</v>
      </c>
      <c r="BE52" s="309">
        <f t="shared" si="26"/>
        <v>0</v>
      </c>
      <c r="BF52" s="306">
        <f>DailyMet!H35</f>
        <v>-0.75</v>
      </c>
      <c r="BG52" s="306">
        <f>DailyMet!I35</f>
        <v>-3.4</v>
      </c>
      <c r="BH52" s="306">
        <f t="shared" si="27"/>
        <v>-0.75</v>
      </c>
      <c r="BI52" s="306">
        <f t="shared" si="28"/>
        <v>10</v>
      </c>
      <c r="BJ52" s="306">
        <f t="shared" si="29"/>
        <v>-5.375</v>
      </c>
      <c r="BK52" s="306">
        <f t="shared" si="53"/>
        <v>0</v>
      </c>
      <c r="BL52" s="304">
        <f t="shared" si="30"/>
        <v>0</v>
      </c>
      <c r="BM52" s="304">
        <f t="shared" si="31"/>
        <v>0</v>
      </c>
      <c r="BN52" s="304">
        <f t="shared" si="55"/>
        <v>0</v>
      </c>
      <c r="BO52" s="306">
        <f t="shared" si="56"/>
        <v>0</v>
      </c>
      <c r="BP52" s="306"/>
    </row>
    <row r="53" spans="1:68">
      <c r="A53" s="299">
        <f t="shared" si="1"/>
        <v>0</v>
      </c>
      <c r="B53" s="300">
        <f t="shared" si="32"/>
        <v>38018</v>
      </c>
      <c r="C53" s="301" t="e">
        <f t="shared" si="33"/>
        <v>#N/A</v>
      </c>
      <c r="D53" s="301" t="e">
        <f t="shared" si="2"/>
        <v>#N/A</v>
      </c>
      <c r="E53" s="299">
        <f t="shared" si="3"/>
        <v>32</v>
      </c>
      <c r="F53" s="396">
        <f>Weather!M37</f>
        <v>0</v>
      </c>
      <c r="G53" s="301">
        <f>IF(Weather!C37="","",Weather!C37)</f>
        <v>0.30526560566738997</v>
      </c>
      <c r="H53" s="301">
        <f>IF(Weather!D37="","",Weather!D37)</f>
        <v>0.34063662232689529</v>
      </c>
      <c r="I53" s="502">
        <f>IF(Weather!E37="","",Weather!E37)</f>
        <v>0.34063662232689529</v>
      </c>
      <c r="J53" s="397">
        <f>IF(RnSplint!N81&lt;0,0,RnSplint!N81)</f>
        <v>31.144114534268247</v>
      </c>
      <c r="K53" s="302">
        <f t="shared" si="34"/>
        <v>0</v>
      </c>
      <c r="L53" s="303">
        <f t="shared" si="35"/>
        <v>38018</v>
      </c>
      <c r="M53" s="346" t="str">
        <f t="shared" si="4"/>
        <v/>
      </c>
      <c r="N53" s="304">
        <f t="shared" si="36"/>
        <v>0</v>
      </c>
      <c r="O53" s="304">
        <f t="shared" si="37"/>
        <v>0</v>
      </c>
      <c r="P53" s="304">
        <f t="shared" si="5"/>
        <v>0</v>
      </c>
      <c r="Q53" s="304">
        <f t="shared" si="6"/>
        <v>0.89374851326409566</v>
      </c>
      <c r="R53" s="304">
        <f t="shared" si="7"/>
        <v>0.89374851326409566</v>
      </c>
      <c r="S53" s="305" t="e">
        <f t="shared" si="38"/>
        <v>#N/A</v>
      </c>
      <c r="T53" s="304">
        <f t="shared" si="8"/>
        <v>0</v>
      </c>
      <c r="U53" s="304">
        <f t="shared" si="54"/>
        <v>0</v>
      </c>
      <c r="V53" s="305" t="e">
        <f t="shared" si="9"/>
        <v>#N/A</v>
      </c>
      <c r="W53" s="305" t="e">
        <f t="shared" si="39"/>
        <v>#N/A</v>
      </c>
      <c r="X53" s="304">
        <f t="shared" si="40"/>
        <v>0.89374851326409566</v>
      </c>
      <c r="Z53" s="304" t="str">
        <f t="shared" si="41"/>
        <v/>
      </c>
      <c r="AA53" s="305" t="e">
        <f t="shared" si="10"/>
        <v>#N/A</v>
      </c>
      <c r="AB53" s="304">
        <f t="shared" si="11"/>
        <v>0.3044434747679659</v>
      </c>
      <c r="AC53" s="304" t="str">
        <f t="shared" si="42"/>
        <v/>
      </c>
      <c r="AD53" s="306">
        <f t="shared" si="12"/>
        <v>0</v>
      </c>
      <c r="AE53" s="307">
        <f t="shared" si="43"/>
        <v>0.3044434747679659</v>
      </c>
      <c r="AF53" s="308" t="e">
        <f t="shared" si="13"/>
        <v>#N/A</v>
      </c>
      <c r="AG53" s="306">
        <f t="shared" si="44"/>
        <v>9.5849302226532274</v>
      </c>
      <c r="AH53" s="306">
        <f t="shared" si="14"/>
        <v>0</v>
      </c>
      <c r="AI53" s="306">
        <f t="shared" si="45"/>
        <v>0</v>
      </c>
      <c r="AJ53" s="306">
        <f t="shared" si="46"/>
        <v>0</v>
      </c>
      <c r="AK53" s="306">
        <f t="shared" si="15"/>
        <v>0</v>
      </c>
      <c r="AL53" s="306">
        <f t="shared" si="47"/>
        <v>0</v>
      </c>
      <c r="AM53" s="306">
        <f t="shared" si="16"/>
        <v>0</v>
      </c>
      <c r="AN53" s="304">
        <f>KcSplint!$N82</f>
        <v>0.93529172897468504</v>
      </c>
      <c r="AO53" s="304" t="str">
        <f t="shared" si="17"/>
        <v/>
      </c>
      <c r="AP53" s="304" t="str">
        <f t="shared" si="48"/>
        <v/>
      </c>
      <c r="AQ53" s="305" t="e">
        <f t="shared" si="49"/>
        <v>#N/A</v>
      </c>
      <c r="AR53" s="304" t="str">
        <f t="shared" si="50"/>
        <v/>
      </c>
      <c r="AS53" s="306">
        <f t="shared" si="18"/>
        <v>0</v>
      </c>
      <c r="AT53" s="307" t="e">
        <f t="shared" si="51"/>
        <v>#N/A</v>
      </c>
      <c r="AU53" s="307" t="e">
        <f t="shared" si="52"/>
        <v>#N/A</v>
      </c>
      <c r="AV53" s="304">
        <f t="shared" si="19"/>
        <v>0.34063662232689529</v>
      </c>
      <c r="AW53" s="309">
        <f t="shared" si="20"/>
        <v>8.6751595212915102</v>
      </c>
      <c r="AX53" s="306">
        <f>IF(ISERROR(Weather!M37),#N/A,Weather!M37)</f>
        <v>0</v>
      </c>
      <c r="AY53" s="310">
        <f t="shared" si="21"/>
        <v>28</v>
      </c>
      <c r="AZ53" s="309">
        <f t="shared" si="22"/>
        <v>0.89374851326409566</v>
      </c>
      <c r="BA53" s="309">
        <f t="shared" si="23"/>
        <v>9.5849302226532274</v>
      </c>
      <c r="BB53" s="311">
        <f>Irrig!H55</f>
        <v>0</v>
      </c>
      <c r="BC53" s="310">
        <f t="shared" si="24"/>
        <v>0</v>
      </c>
      <c r="BD53" s="309">
        <f t="shared" si="25"/>
        <v>0</v>
      </c>
      <c r="BE53" s="309">
        <f t="shared" si="26"/>
        <v>0</v>
      </c>
      <c r="BF53" s="306">
        <f>DailyMet!H36</f>
        <v>-1.7</v>
      </c>
      <c r="BG53" s="306">
        <f>DailyMet!I36</f>
        <v>-2.7</v>
      </c>
      <c r="BH53" s="306">
        <f t="shared" si="27"/>
        <v>-1.7</v>
      </c>
      <c r="BI53" s="306">
        <f t="shared" si="28"/>
        <v>10</v>
      </c>
      <c r="BJ53" s="306">
        <f t="shared" si="29"/>
        <v>-5.85</v>
      </c>
      <c r="BK53" s="306">
        <f t="shared" si="53"/>
        <v>0</v>
      </c>
      <c r="BL53" s="304">
        <f t="shared" si="30"/>
        <v>0</v>
      </c>
      <c r="BM53" s="304">
        <f t="shared" si="31"/>
        <v>0</v>
      </c>
      <c r="BN53" s="304">
        <f t="shared" si="55"/>
        <v>0</v>
      </c>
      <c r="BO53" s="306">
        <f t="shared" si="56"/>
        <v>0</v>
      </c>
      <c r="BP53" s="306"/>
    </row>
    <row r="54" spans="1:68">
      <c r="A54" s="299">
        <f t="shared" si="1"/>
        <v>0</v>
      </c>
      <c r="B54" s="300">
        <f t="shared" si="32"/>
        <v>38019</v>
      </c>
      <c r="C54" s="301" t="e">
        <f t="shared" si="33"/>
        <v>#N/A</v>
      </c>
      <c r="D54" s="301" t="e">
        <f t="shared" si="2"/>
        <v>#N/A</v>
      </c>
      <c r="E54" s="299">
        <f t="shared" si="3"/>
        <v>33</v>
      </c>
      <c r="F54" s="396">
        <f>Weather!M38</f>
        <v>0.2</v>
      </c>
      <c r="G54" s="301">
        <f>IF(Weather!C38="","",Weather!C38)</f>
        <v>0.3093112165464747</v>
      </c>
      <c r="H54" s="301">
        <f>IF(Weather!D38="","",Weather!D38)</f>
        <v>0.58582927143330044</v>
      </c>
      <c r="I54" s="502">
        <f>IF(Weather!E38="","",Weather!E38)</f>
        <v>0.58582927143330044</v>
      </c>
      <c r="J54" s="397">
        <f>IF(RnSplint!N82&lt;0,0,RnSplint!N82)</f>
        <v>30.913691400190057</v>
      </c>
      <c r="K54" s="302">
        <f t="shared" si="34"/>
        <v>0</v>
      </c>
      <c r="L54" s="303">
        <f t="shared" si="35"/>
        <v>38019</v>
      </c>
      <c r="M54" s="346" t="str">
        <f t="shared" si="4"/>
        <v/>
      </c>
      <c r="N54" s="304">
        <f t="shared" si="36"/>
        <v>0</v>
      </c>
      <c r="O54" s="304">
        <f t="shared" si="37"/>
        <v>0</v>
      </c>
      <c r="P54" s="304">
        <f t="shared" si="5"/>
        <v>0</v>
      </c>
      <c r="Q54" s="304">
        <f t="shared" si="6"/>
        <v>0.86411453346412725</v>
      </c>
      <c r="R54" s="304">
        <f t="shared" si="7"/>
        <v>0.86411453346412725</v>
      </c>
      <c r="S54" s="305" t="e">
        <f t="shared" si="38"/>
        <v>#N/A</v>
      </c>
      <c r="T54" s="304">
        <f t="shared" si="8"/>
        <v>0</v>
      </c>
      <c r="U54" s="304">
        <f t="shared" si="54"/>
        <v>0</v>
      </c>
      <c r="V54" s="305" t="e">
        <f t="shared" si="9"/>
        <v>#N/A</v>
      </c>
      <c r="W54" s="305" t="e">
        <f t="shared" si="39"/>
        <v>#N/A</v>
      </c>
      <c r="X54" s="304">
        <f t="shared" si="40"/>
        <v>0.86411453346412725</v>
      </c>
      <c r="Z54" s="304" t="str">
        <f t="shared" si="41"/>
        <v/>
      </c>
      <c r="AA54" s="305" t="e">
        <f t="shared" si="10"/>
        <v>#N/A</v>
      </c>
      <c r="AB54" s="304">
        <f t="shared" si="11"/>
        <v>0.50622358757421593</v>
      </c>
      <c r="AC54" s="304" t="str">
        <f t="shared" si="42"/>
        <v/>
      </c>
      <c r="AD54" s="306">
        <f t="shared" si="12"/>
        <v>0</v>
      </c>
      <c r="AE54" s="307">
        <f t="shared" si="43"/>
        <v>0.50622358757421593</v>
      </c>
      <c r="AF54" s="308" t="e">
        <f t="shared" si="13"/>
        <v>#N/A</v>
      </c>
      <c r="AG54" s="306">
        <f t="shared" si="44"/>
        <v>10.170759494086528</v>
      </c>
      <c r="AH54" s="306">
        <f t="shared" si="14"/>
        <v>0</v>
      </c>
      <c r="AI54" s="306">
        <f t="shared" si="45"/>
        <v>0</v>
      </c>
      <c r="AJ54" s="306">
        <f t="shared" si="46"/>
        <v>0</v>
      </c>
      <c r="AK54" s="306">
        <f t="shared" si="15"/>
        <v>0</v>
      </c>
      <c r="AL54" s="306">
        <f t="shared" si="47"/>
        <v>0</v>
      </c>
      <c r="AM54" s="306">
        <f t="shared" si="16"/>
        <v>0</v>
      </c>
      <c r="AN54" s="304">
        <f>KcSplint!$N83</f>
        <v>0.91925166173517892</v>
      </c>
      <c r="AO54" s="304" t="str">
        <f t="shared" si="17"/>
        <v/>
      </c>
      <c r="AP54" s="304" t="str">
        <f t="shared" si="48"/>
        <v/>
      </c>
      <c r="AQ54" s="305" t="e">
        <f t="shared" si="49"/>
        <v>#N/A</v>
      </c>
      <c r="AR54" s="304" t="str">
        <f t="shared" si="50"/>
        <v/>
      </c>
      <c r="AS54" s="306">
        <f t="shared" si="18"/>
        <v>0</v>
      </c>
      <c r="AT54" s="307" t="e">
        <f t="shared" si="51"/>
        <v>#N/A</v>
      </c>
      <c r="AU54" s="307" t="e">
        <f t="shared" si="52"/>
        <v>#N/A</v>
      </c>
      <c r="AV54" s="304">
        <f t="shared" si="19"/>
        <v>0.58582927143330044</v>
      </c>
      <c r="AW54" s="309">
        <f t="shared" si="20"/>
        <v>9.2609887927248113</v>
      </c>
      <c r="AX54" s="306">
        <f>IF(ISERROR(Weather!M38),#N/A,Weather!M38)</f>
        <v>0.2</v>
      </c>
      <c r="AY54" s="310">
        <f t="shared" si="21"/>
        <v>29</v>
      </c>
      <c r="AZ54" s="309">
        <f t="shared" si="22"/>
        <v>0.86411453346412725</v>
      </c>
      <c r="BA54" s="309">
        <f t="shared" si="23"/>
        <v>10.170759494086528</v>
      </c>
      <c r="BB54" s="311">
        <f>Irrig!H56</f>
        <v>0</v>
      </c>
      <c r="BC54" s="310">
        <f t="shared" si="24"/>
        <v>0</v>
      </c>
      <c r="BD54" s="309">
        <f t="shared" si="25"/>
        <v>0</v>
      </c>
      <c r="BE54" s="309">
        <f t="shared" si="26"/>
        <v>0</v>
      </c>
      <c r="BF54" s="306">
        <f>DailyMet!H37</f>
        <v>-2.08</v>
      </c>
      <c r="BG54" s="306">
        <f>DailyMet!I37</f>
        <v>-9.8000000000000007</v>
      </c>
      <c r="BH54" s="306">
        <f t="shared" si="27"/>
        <v>-2.08</v>
      </c>
      <c r="BI54" s="306">
        <f t="shared" si="28"/>
        <v>10</v>
      </c>
      <c r="BJ54" s="306">
        <f t="shared" si="29"/>
        <v>-6.04</v>
      </c>
      <c r="BK54" s="306">
        <f t="shared" si="53"/>
        <v>0</v>
      </c>
      <c r="BL54" s="304">
        <f t="shared" si="30"/>
        <v>0</v>
      </c>
      <c r="BM54" s="304">
        <f t="shared" si="31"/>
        <v>0</v>
      </c>
      <c r="BN54" s="304">
        <f t="shared" si="55"/>
        <v>0</v>
      </c>
      <c r="BO54" s="306">
        <f t="shared" si="56"/>
        <v>0</v>
      </c>
      <c r="BP54" s="306"/>
    </row>
    <row r="55" spans="1:68">
      <c r="A55" s="299">
        <f t="shared" si="1"/>
        <v>0</v>
      </c>
      <c r="B55" s="300">
        <f t="shared" si="32"/>
        <v>38020</v>
      </c>
      <c r="C55" s="301" t="e">
        <f t="shared" si="33"/>
        <v>#N/A</v>
      </c>
      <c r="D55" s="301" t="e">
        <f t="shared" si="2"/>
        <v>#N/A</v>
      </c>
      <c r="E55" s="299">
        <f t="shared" si="3"/>
        <v>34</v>
      </c>
      <c r="F55" s="396">
        <f>Weather!M39</f>
        <v>0.2</v>
      </c>
      <c r="G55" s="301">
        <f>IF(Weather!C39="","",Weather!C39)</f>
        <v>0.31420902348774604</v>
      </c>
      <c r="H55" s="301">
        <f>IF(Weather!D39="","",Weather!D39)</f>
        <v>0.43557071163111061</v>
      </c>
      <c r="I55" s="502">
        <f>IF(Weather!E39="","",Weather!E39)</f>
        <v>0.43557071163111061</v>
      </c>
      <c r="J55" s="397">
        <f>IF(RnSplint!N83&lt;0,0,RnSplint!N83)</f>
        <v>30.673543979834918</v>
      </c>
      <c r="K55" s="302">
        <f t="shared" si="34"/>
        <v>0</v>
      </c>
      <c r="L55" s="303">
        <f t="shared" si="35"/>
        <v>38020</v>
      </c>
      <c r="M55" s="346" t="str">
        <f t="shared" si="4"/>
        <v/>
      </c>
      <c r="N55" s="304">
        <f t="shared" si="36"/>
        <v>0</v>
      </c>
      <c r="O55" s="304">
        <f t="shared" si="37"/>
        <v>0</v>
      </c>
      <c r="P55" s="304">
        <f t="shared" si="5"/>
        <v>0</v>
      </c>
      <c r="Q55" s="304">
        <f t="shared" si="6"/>
        <v>0.84386269931074487</v>
      </c>
      <c r="R55" s="304">
        <f t="shared" si="7"/>
        <v>0.84386269931074487</v>
      </c>
      <c r="S55" s="305" t="e">
        <f t="shared" si="38"/>
        <v>#N/A</v>
      </c>
      <c r="T55" s="304">
        <f t="shared" si="8"/>
        <v>0</v>
      </c>
      <c r="U55" s="304">
        <f t="shared" si="54"/>
        <v>0</v>
      </c>
      <c r="V55" s="305" t="e">
        <f t="shared" si="9"/>
        <v>#N/A</v>
      </c>
      <c r="W55" s="305" t="e">
        <f t="shared" si="39"/>
        <v>#N/A</v>
      </c>
      <c r="X55" s="304">
        <f t="shared" si="40"/>
        <v>0.84386269931074487</v>
      </c>
      <c r="Z55" s="304" t="str">
        <f t="shared" si="41"/>
        <v/>
      </c>
      <c r="AA55" s="305" t="e">
        <f t="shared" si="10"/>
        <v>#N/A</v>
      </c>
      <c r="AB55" s="304">
        <f t="shared" si="11"/>
        <v>0.36756187645773103</v>
      </c>
      <c r="AC55" s="304" t="str">
        <f t="shared" si="42"/>
        <v/>
      </c>
      <c r="AD55" s="306">
        <f t="shared" si="12"/>
        <v>0</v>
      </c>
      <c r="AE55" s="307">
        <f t="shared" si="43"/>
        <v>0.36756187645773103</v>
      </c>
      <c r="AF55" s="308" t="e">
        <f t="shared" si="13"/>
        <v>#N/A</v>
      </c>
      <c r="AG55" s="306">
        <f t="shared" si="44"/>
        <v>10.606330205717638</v>
      </c>
      <c r="AH55" s="306">
        <f t="shared" si="14"/>
        <v>0</v>
      </c>
      <c r="AI55" s="306">
        <f t="shared" si="45"/>
        <v>0</v>
      </c>
      <c r="AJ55" s="306">
        <f t="shared" si="46"/>
        <v>0</v>
      </c>
      <c r="AK55" s="306">
        <f t="shared" si="15"/>
        <v>0</v>
      </c>
      <c r="AL55" s="306">
        <f t="shared" si="47"/>
        <v>0</v>
      </c>
      <c r="AM55" s="306">
        <f t="shared" si="16"/>
        <v>0</v>
      </c>
      <c r="AN55" s="304">
        <f>KcSplint!$N84</f>
        <v>0.90291797785258521</v>
      </c>
      <c r="AO55" s="304" t="str">
        <f t="shared" si="17"/>
        <v/>
      </c>
      <c r="AP55" s="304" t="str">
        <f t="shared" si="48"/>
        <v/>
      </c>
      <c r="AQ55" s="305" t="e">
        <f t="shared" si="49"/>
        <v>#N/A</v>
      </c>
      <c r="AR55" s="304" t="str">
        <f t="shared" si="50"/>
        <v/>
      </c>
      <c r="AS55" s="306">
        <f t="shared" si="18"/>
        <v>0</v>
      </c>
      <c r="AT55" s="307" t="e">
        <f t="shared" si="51"/>
        <v>#N/A</v>
      </c>
      <c r="AU55" s="307" t="e">
        <f t="shared" si="52"/>
        <v>#N/A</v>
      </c>
      <c r="AV55" s="304">
        <f t="shared" si="19"/>
        <v>0.43557071163111061</v>
      </c>
      <c r="AW55" s="309">
        <f t="shared" si="20"/>
        <v>9.6965595043559212</v>
      </c>
      <c r="AX55" s="306">
        <f>IF(ISERROR(Weather!M39),#N/A,Weather!M39)</f>
        <v>0.2</v>
      </c>
      <c r="AY55" s="310">
        <f t="shared" si="21"/>
        <v>30</v>
      </c>
      <c r="AZ55" s="309">
        <f t="shared" si="22"/>
        <v>0.84386269931074487</v>
      </c>
      <c r="BA55" s="309">
        <f t="shared" si="23"/>
        <v>10.606330205717638</v>
      </c>
      <c r="BB55" s="311">
        <f>Irrig!H57</f>
        <v>0</v>
      </c>
      <c r="BC55" s="310">
        <f t="shared" si="24"/>
        <v>0</v>
      </c>
      <c r="BD55" s="309">
        <f t="shared" si="25"/>
        <v>0</v>
      </c>
      <c r="BE55" s="309">
        <f t="shared" si="26"/>
        <v>0</v>
      </c>
      <c r="BF55" s="306">
        <f>DailyMet!H38</f>
        <v>-6.13</v>
      </c>
      <c r="BG55" s="306">
        <f>DailyMet!I38</f>
        <v>-11.8</v>
      </c>
      <c r="BH55" s="306">
        <f t="shared" si="27"/>
        <v>-6.13</v>
      </c>
      <c r="BI55" s="306">
        <f t="shared" si="28"/>
        <v>10</v>
      </c>
      <c r="BJ55" s="306">
        <f t="shared" si="29"/>
        <v>-8.0649999999999995</v>
      </c>
      <c r="BK55" s="306">
        <f t="shared" si="53"/>
        <v>0</v>
      </c>
      <c r="BL55" s="304">
        <f t="shared" si="30"/>
        <v>0</v>
      </c>
      <c r="BM55" s="304">
        <f t="shared" si="31"/>
        <v>0</v>
      </c>
      <c r="BN55" s="304">
        <f t="shared" si="55"/>
        <v>0</v>
      </c>
      <c r="BO55" s="306">
        <f t="shared" si="56"/>
        <v>0</v>
      </c>
      <c r="BP55" s="306"/>
    </row>
    <row r="56" spans="1:68">
      <c r="A56" s="299">
        <f t="shared" si="1"/>
        <v>0</v>
      </c>
      <c r="B56" s="300">
        <f t="shared" si="32"/>
        <v>38021</v>
      </c>
      <c r="C56" s="301" t="e">
        <f t="shared" si="33"/>
        <v>#N/A</v>
      </c>
      <c r="D56" s="301" t="e">
        <f t="shared" si="2"/>
        <v>#N/A</v>
      </c>
      <c r="E56" s="299">
        <f t="shared" si="3"/>
        <v>35</v>
      </c>
      <c r="F56" s="396">
        <f>Weather!M40</f>
        <v>0.2</v>
      </c>
      <c r="G56" s="301">
        <f>IF(Weather!C40="","",Weather!C40)</f>
        <v>0.3200383621137402</v>
      </c>
      <c r="H56" s="301">
        <f>IF(Weather!D40="","",Weather!D40)</f>
        <v>0.29668482018556935</v>
      </c>
      <c r="I56" s="502">
        <f>IF(Weather!E40="","",Weather!E40)</f>
        <v>0.29668482018556935</v>
      </c>
      <c r="J56" s="397">
        <f>IF(RnSplint!N84&lt;0,0,RnSplint!N84)</f>
        <v>30.426328095713899</v>
      </c>
      <c r="K56" s="302">
        <f t="shared" si="34"/>
        <v>0</v>
      </c>
      <c r="L56" s="303">
        <f t="shared" si="35"/>
        <v>38021</v>
      </c>
      <c r="M56" s="346" t="str">
        <f t="shared" si="4"/>
        <v/>
      </c>
      <c r="N56" s="304">
        <f t="shared" si="36"/>
        <v>0</v>
      </c>
      <c r="O56" s="304">
        <f t="shared" si="37"/>
        <v>0</v>
      </c>
      <c r="P56" s="304">
        <f t="shared" si="5"/>
        <v>0</v>
      </c>
      <c r="Q56" s="304">
        <f t="shared" si="6"/>
        <v>0.83084105729461932</v>
      </c>
      <c r="R56" s="304">
        <f t="shared" si="7"/>
        <v>0.83084105729461932</v>
      </c>
      <c r="S56" s="305" t="e">
        <f t="shared" si="38"/>
        <v>#N/A</v>
      </c>
      <c r="T56" s="304">
        <f t="shared" si="8"/>
        <v>0</v>
      </c>
      <c r="U56" s="304">
        <f t="shared" si="54"/>
        <v>0</v>
      </c>
      <c r="V56" s="305" t="e">
        <f t="shared" si="9"/>
        <v>#N/A</v>
      </c>
      <c r="W56" s="305" t="e">
        <f t="shared" si="39"/>
        <v>#N/A</v>
      </c>
      <c r="X56" s="304">
        <f t="shared" si="40"/>
        <v>0.83084105729461932</v>
      </c>
      <c r="Z56" s="304" t="str">
        <f t="shared" si="41"/>
        <v/>
      </c>
      <c r="AA56" s="305" t="e">
        <f t="shared" si="10"/>
        <v>#N/A</v>
      </c>
      <c r="AB56" s="304">
        <f t="shared" si="11"/>
        <v>0.24649792968624246</v>
      </c>
      <c r="AC56" s="304" t="str">
        <f t="shared" si="42"/>
        <v/>
      </c>
      <c r="AD56" s="306">
        <f t="shared" si="12"/>
        <v>0</v>
      </c>
      <c r="AE56" s="307">
        <f t="shared" si="43"/>
        <v>0.24649792968624246</v>
      </c>
      <c r="AF56" s="308" t="e">
        <f t="shared" si="13"/>
        <v>#N/A</v>
      </c>
      <c r="AG56" s="306">
        <f t="shared" si="44"/>
        <v>10.903015025903208</v>
      </c>
      <c r="AH56" s="306">
        <f t="shared" si="14"/>
        <v>0</v>
      </c>
      <c r="AI56" s="306">
        <f t="shared" si="45"/>
        <v>0</v>
      </c>
      <c r="AJ56" s="306">
        <f t="shared" si="46"/>
        <v>0</v>
      </c>
      <c r="AK56" s="306">
        <f t="shared" si="15"/>
        <v>0</v>
      </c>
      <c r="AL56" s="306">
        <f t="shared" si="47"/>
        <v>0</v>
      </c>
      <c r="AM56" s="306">
        <f t="shared" si="16"/>
        <v>0</v>
      </c>
      <c r="AN56" s="304">
        <f>KcSplint!$N85</f>
        <v>0.88630837343639968</v>
      </c>
      <c r="AO56" s="304" t="str">
        <f t="shared" si="17"/>
        <v/>
      </c>
      <c r="AP56" s="304" t="str">
        <f t="shared" si="48"/>
        <v/>
      </c>
      <c r="AQ56" s="305" t="e">
        <f t="shared" si="49"/>
        <v>#N/A</v>
      </c>
      <c r="AR56" s="304" t="str">
        <f t="shared" si="50"/>
        <v/>
      </c>
      <c r="AS56" s="306">
        <f t="shared" si="18"/>
        <v>0</v>
      </c>
      <c r="AT56" s="307" t="e">
        <f t="shared" si="51"/>
        <v>#N/A</v>
      </c>
      <c r="AU56" s="307" t="e">
        <f t="shared" si="52"/>
        <v>#N/A</v>
      </c>
      <c r="AV56" s="304">
        <f t="shared" si="19"/>
        <v>0.29668482018556935</v>
      </c>
      <c r="AW56" s="309">
        <f t="shared" si="20"/>
        <v>9.9932443245414913</v>
      </c>
      <c r="AX56" s="306">
        <f>IF(ISERROR(Weather!M40),#N/A,Weather!M40)</f>
        <v>0.2</v>
      </c>
      <c r="AY56" s="310">
        <f t="shared" si="21"/>
        <v>31</v>
      </c>
      <c r="AZ56" s="309">
        <f t="shared" si="22"/>
        <v>0.83084105729461932</v>
      </c>
      <c r="BA56" s="309">
        <f t="shared" si="23"/>
        <v>10.903015025903208</v>
      </c>
      <c r="BB56" s="311">
        <f>Irrig!H58</f>
        <v>0</v>
      </c>
      <c r="BC56" s="310">
        <f t="shared" si="24"/>
        <v>0</v>
      </c>
      <c r="BD56" s="309">
        <f t="shared" si="25"/>
        <v>0</v>
      </c>
      <c r="BE56" s="309">
        <f t="shared" si="26"/>
        <v>0</v>
      </c>
      <c r="BF56" s="306">
        <f>DailyMet!H39</f>
        <v>-5.27</v>
      </c>
      <c r="BG56" s="306">
        <f>DailyMet!I39</f>
        <v>-9.1</v>
      </c>
      <c r="BH56" s="306">
        <f t="shared" si="27"/>
        <v>-5.27</v>
      </c>
      <c r="BI56" s="306">
        <f t="shared" si="28"/>
        <v>10</v>
      </c>
      <c r="BJ56" s="306">
        <f t="shared" si="29"/>
        <v>-7.6349999999999998</v>
      </c>
      <c r="BK56" s="306">
        <f t="shared" si="53"/>
        <v>0</v>
      </c>
      <c r="BL56" s="304">
        <f t="shared" si="30"/>
        <v>0</v>
      </c>
      <c r="BM56" s="304">
        <f t="shared" si="31"/>
        <v>0</v>
      </c>
      <c r="BN56" s="304">
        <f t="shared" si="55"/>
        <v>0</v>
      </c>
      <c r="BO56" s="306">
        <f t="shared" si="56"/>
        <v>0</v>
      </c>
      <c r="BP56" s="306"/>
    </row>
    <row r="57" spans="1:68">
      <c r="A57" s="299">
        <f t="shared" si="1"/>
        <v>0</v>
      </c>
      <c r="B57" s="300">
        <f t="shared" si="32"/>
        <v>38022</v>
      </c>
      <c r="C57" s="301" t="e">
        <f t="shared" si="33"/>
        <v>#N/A</v>
      </c>
      <c r="D57" s="301" t="e">
        <f t="shared" si="2"/>
        <v>#N/A</v>
      </c>
      <c r="E57" s="299">
        <f t="shared" si="3"/>
        <v>36</v>
      </c>
      <c r="F57" s="396">
        <f>Weather!M41</f>
        <v>0</v>
      </c>
      <c r="G57" s="301">
        <f>IF(Weather!C41="","",Weather!C41)</f>
        <v>0.32687856804699328</v>
      </c>
      <c r="H57" s="301">
        <f>IF(Weather!D41="","",Weather!D41)</f>
        <v>0.29163966521745566</v>
      </c>
      <c r="I57" s="502">
        <f>IF(Weather!E41="","",Weather!E41)</f>
        <v>0.29163966521745566</v>
      </c>
      <c r="J57" s="397">
        <f>IF(RnSplint!N85&lt;0,0,RnSplint!N85)</f>
        <v>30.174699570338067</v>
      </c>
      <c r="K57" s="302">
        <f t="shared" si="34"/>
        <v>0</v>
      </c>
      <c r="L57" s="303">
        <f t="shared" si="35"/>
        <v>38022</v>
      </c>
      <c r="M57" s="346" t="str">
        <f t="shared" si="4"/>
        <v/>
      </c>
      <c r="N57" s="304">
        <f t="shared" si="36"/>
        <v>0</v>
      </c>
      <c r="O57" s="304">
        <f t="shared" si="37"/>
        <v>0</v>
      </c>
      <c r="P57" s="304">
        <f t="shared" si="5"/>
        <v>0</v>
      </c>
      <c r="Q57" s="304">
        <f t="shared" si="6"/>
        <v>0.81859976866449546</v>
      </c>
      <c r="R57" s="304">
        <f t="shared" si="7"/>
        <v>0.81859976866449546</v>
      </c>
      <c r="S57" s="305" t="e">
        <f t="shared" si="38"/>
        <v>#N/A</v>
      </c>
      <c r="T57" s="304">
        <f t="shared" si="8"/>
        <v>0</v>
      </c>
      <c r="U57" s="304">
        <f t="shared" si="54"/>
        <v>0</v>
      </c>
      <c r="V57" s="305" t="e">
        <f t="shared" si="9"/>
        <v>#N/A</v>
      </c>
      <c r="W57" s="305" t="e">
        <f t="shared" si="39"/>
        <v>#N/A</v>
      </c>
      <c r="X57" s="304">
        <f t="shared" si="40"/>
        <v>0.81859976866449546</v>
      </c>
      <c r="Z57" s="304" t="str">
        <f t="shared" si="41"/>
        <v/>
      </c>
      <c r="AA57" s="305" t="e">
        <f t="shared" si="10"/>
        <v>#N/A</v>
      </c>
      <c r="AB57" s="304">
        <f t="shared" si="11"/>
        <v>0.23873616248040011</v>
      </c>
      <c r="AC57" s="304" t="str">
        <f t="shared" si="42"/>
        <v/>
      </c>
      <c r="AD57" s="306">
        <f t="shared" si="12"/>
        <v>0</v>
      </c>
      <c r="AE57" s="307">
        <f t="shared" si="43"/>
        <v>0.23873616248040011</v>
      </c>
      <c r="AF57" s="308" t="e">
        <f t="shared" si="13"/>
        <v>#N/A</v>
      </c>
      <c r="AG57" s="306">
        <f t="shared" si="44"/>
        <v>11.194654691120665</v>
      </c>
      <c r="AH57" s="306">
        <f t="shared" si="14"/>
        <v>0</v>
      </c>
      <c r="AI57" s="306">
        <f t="shared" si="45"/>
        <v>0</v>
      </c>
      <c r="AJ57" s="306">
        <f t="shared" si="46"/>
        <v>0</v>
      </c>
      <c r="AK57" s="306">
        <f t="shared" si="15"/>
        <v>0</v>
      </c>
      <c r="AL57" s="306">
        <f t="shared" si="47"/>
        <v>0</v>
      </c>
      <c r="AM57" s="306">
        <f t="shared" si="16"/>
        <v>0</v>
      </c>
      <c r="AN57" s="304">
        <f>KcSplint!$N86</f>
        <v>0.86944054459611864</v>
      </c>
      <c r="AO57" s="304" t="str">
        <f t="shared" si="17"/>
        <v/>
      </c>
      <c r="AP57" s="304" t="str">
        <f t="shared" si="48"/>
        <v/>
      </c>
      <c r="AQ57" s="305" t="e">
        <f t="shared" si="49"/>
        <v>#N/A</v>
      </c>
      <c r="AR57" s="304" t="str">
        <f t="shared" si="50"/>
        <v/>
      </c>
      <c r="AS57" s="306">
        <f t="shared" si="18"/>
        <v>0</v>
      </c>
      <c r="AT57" s="307" t="e">
        <f t="shared" si="51"/>
        <v>#N/A</v>
      </c>
      <c r="AU57" s="307" t="e">
        <f t="shared" si="52"/>
        <v>#N/A</v>
      </c>
      <c r="AV57" s="304">
        <f t="shared" si="19"/>
        <v>0.29163966521745566</v>
      </c>
      <c r="AW57" s="309">
        <f t="shared" si="20"/>
        <v>10.284883989758947</v>
      </c>
      <c r="AX57" s="306">
        <f>IF(ISERROR(Weather!M41),#N/A,Weather!M41)</f>
        <v>0</v>
      </c>
      <c r="AY57" s="310">
        <f t="shared" si="21"/>
        <v>32</v>
      </c>
      <c r="AZ57" s="309">
        <f t="shared" si="22"/>
        <v>0.81859976866449546</v>
      </c>
      <c r="BA57" s="309">
        <f t="shared" si="23"/>
        <v>11.194654691120665</v>
      </c>
      <c r="BB57" s="311">
        <f>Irrig!H59</f>
        <v>0</v>
      </c>
      <c r="BC57" s="310">
        <f t="shared" si="24"/>
        <v>0</v>
      </c>
      <c r="BD57" s="309">
        <f t="shared" si="25"/>
        <v>0</v>
      </c>
      <c r="BE57" s="309">
        <f t="shared" si="26"/>
        <v>0</v>
      </c>
      <c r="BF57" s="306">
        <f>DailyMet!H40</f>
        <v>-6.22</v>
      </c>
      <c r="BG57" s="306">
        <f>DailyMet!I40</f>
        <v>-10.9</v>
      </c>
      <c r="BH57" s="306">
        <f t="shared" si="27"/>
        <v>-6.22</v>
      </c>
      <c r="BI57" s="306">
        <f t="shared" si="28"/>
        <v>10</v>
      </c>
      <c r="BJ57" s="306">
        <f t="shared" si="29"/>
        <v>-8.11</v>
      </c>
      <c r="BK57" s="306">
        <f t="shared" si="53"/>
        <v>0</v>
      </c>
      <c r="BL57" s="304">
        <f t="shared" si="30"/>
        <v>0</v>
      </c>
      <c r="BM57" s="304">
        <f t="shared" si="31"/>
        <v>0</v>
      </c>
      <c r="BN57" s="304">
        <f t="shared" si="55"/>
        <v>0</v>
      </c>
      <c r="BO57" s="306">
        <f t="shared" si="56"/>
        <v>0</v>
      </c>
      <c r="BP57" s="306"/>
    </row>
    <row r="58" spans="1:68">
      <c r="A58" s="299">
        <f t="shared" si="1"/>
        <v>0</v>
      </c>
      <c r="B58" s="300">
        <f t="shared" si="32"/>
        <v>38023</v>
      </c>
      <c r="C58" s="301" t="e">
        <f t="shared" si="33"/>
        <v>#N/A</v>
      </c>
      <c r="D58" s="301" t="e">
        <f t="shared" si="2"/>
        <v>#N/A</v>
      </c>
      <c r="E58" s="299">
        <f t="shared" si="3"/>
        <v>37</v>
      </c>
      <c r="F58" s="396">
        <f>Weather!M42</f>
        <v>0.4</v>
      </c>
      <c r="G58" s="301">
        <f>IF(Weather!C42="","",Weather!C42)</f>
        <v>0.33480897691004141</v>
      </c>
      <c r="H58" s="301">
        <f>IF(Weather!D42="","",Weather!D42)</f>
        <v>0.28112812573389639</v>
      </c>
      <c r="I58" s="502">
        <f>IF(Weather!E42="","",Weather!E42)</f>
        <v>0.28112812573389639</v>
      </c>
      <c r="J58" s="397">
        <f>IF(RnSplint!N86&lt;0,0,RnSplint!N86)</f>
        <v>29.921314226218492</v>
      </c>
      <c r="K58" s="302">
        <f t="shared" si="34"/>
        <v>0</v>
      </c>
      <c r="L58" s="303">
        <f t="shared" si="35"/>
        <v>38023</v>
      </c>
      <c r="M58" s="346" t="str">
        <f t="shared" si="4"/>
        <v/>
      </c>
      <c r="N58" s="304">
        <f t="shared" si="36"/>
        <v>0</v>
      </c>
      <c r="O58" s="304">
        <f t="shared" si="37"/>
        <v>0</v>
      </c>
      <c r="P58" s="304">
        <f t="shared" si="5"/>
        <v>0</v>
      </c>
      <c r="Q58" s="304">
        <f t="shared" si="6"/>
        <v>0.80728777666225882</v>
      </c>
      <c r="R58" s="304">
        <f t="shared" si="7"/>
        <v>0.80728777666225882</v>
      </c>
      <c r="S58" s="305" t="e">
        <f t="shared" si="38"/>
        <v>#N/A</v>
      </c>
      <c r="T58" s="304">
        <f t="shared" si="8"/>
        <v>0</v>
      </c>
      <c r="U58" s="304">
        <f t="shared" si="54"/>
        <v>0</v>
      </c>
      <c r="V58" s="305" t="e">
        <f t="shared" si="9"/>
        <v>#N/A</v>
      </c>
      <c r="W58" s="305" t="e">
        <f t="shared" si="39"/>
        <v>#N/A</v>
      </c>
      <c r="X58" s="304">
        <f t="shared" si="40"/>
        <v>0.80728777666225882</v>
      </c>
      <c r="Z58" s="304" t="str">
        <f t="shared" si="41"/>
        <v/>
      </c>
      <c r="AA58" s="305" t="e">
        <f t="shared" si="10"/>
        <v>#N/A</v>
      </c>
      <c r="AB58" s="304">
        <f t="shared" si="11"/>
        <v>0.22695129958094518</v>
      </c>
      <c r="AC58" s="304" t="str">
        <f t="shared" si="42"/>
        <v/>
      </c>
      <c r="AD58" s="306">
        <f t="shared" si="12"/>
        <v>0</v>
      </c>
      <c r="AE58" s="307">
        <f t="shared" si="43"/>
        <v>0.22695129958094518</v>
      </c>
      <c r="AF58" s="308" t="e">
        <f t="shared" si="13"/>
        <v>#N/A</v>
      </c>
      <c r="AG58" s="306">
        <f t="shared" si="44"/>
        <v>11.475782816854561</v>
      </c>
      <c r="AH58" s="306">
        <f t="shared" si="14"/>
        <v>0</v>
      </c>
      <c r="AI58" s="306">
        <f t="shared" si="45"/>
        <v>0</v>
      </c>
      <c r="AJ58" s="306">
        <f t="shared" si="46"/>
        <v>0</v>
      </c>
      <c r="AK58" s="306">
        <f t="shared" si="15"/>
        <v>0</v>
      </c>
      <c r="AL58" s="306">
        <f t="shared" si="47"/>
        <v>0</v>
      </c>
      <c r="AM58" s="306">
        <f t="shared" si="16"/>
        <v>0</v>
      </c>
      <c r="AN58" s="304">
        <f>KcSplint!$N87</f>
        <v>0.85233218744123729</v>
      </c>
      <c r="AO58" s="304" t="str">
        <f t="shared" si="17"/>
        <v/>
      </c>
      <c r="AP58" s="304" t="str">
        <f t="shared" si="48"/>
        <v/>
      </c>
      <c r="AQ58" s="305" t="e">
        <f t="shared" si="49"/>
        <v>#N/A</v>
      </c>
      <c r="AR58" s="304" t="str">
        <f t="shared" si="50"/>
        <v/>
      </c>
      <c r="AS58" s="306">
        <f t="shared" si="18"/>
        <v>0</v>
      </c>
      <c r="AT58" s="307" t="e">
        <f t="shared" si="51"/>
        <v>#N/A</v>
      </c>
      <c r="AU58" s="307" t="e">
        <f t="shared" si="52"/>
        <v>#N/A</v>
      </c>
      <c r="AV58" s="304">
        <f t="shared" si="19"/>
        <v>0.28112812573389639</v>
      </c>
      <c r="AW58" s="309">
        <f t="shared" si="20"/>
        <v>10.566012115492844</v>
      </c>
      <c r="AX58" s="306">
        <f>IF(ISERROR(Weather!M42),#N/A,Weather!M42)</f>
        <v>0.4</v>
      </c>
      <c r="AY58" s="310">
        <f t="shared" si="21"/>
        <v>33</v>
      </c>
      <c r="AZ58" s="309">
        <f t="shared" si="22"/>
        <v>0.80728777666225882</v>
      </c>
      <c r="BA58" s="309">
        <f t="shared" si="23"/>
        <v>11.475782816854561</v>
      </c>
      <c r="BB58" s="311">
        <f>Irrig!H60</f>
        <v>0</v>
      </c>
      <c r="BC58" s="310">
        <f t="shared" si="24"/>
        <v>0</v>
      </c>
      <c r="BD58" s="309">
        <f t="shared" si="25"/>
        <v>0</v>
      </c>
      <c r="BE58" s="309">
        <f t="shared" si="26"/>
        <v>0</v>
      </c>
      <c r="BF58" s="306">
        <f>DailyMet!H41</f>
        <v>-7.96</v>
      </c>
      <c r="BG58" s="306">
        <f>DailyMet!I41</f>
        <v>-15.4</v>
      </c>
      <c r="BH58" s="306">
        <f t="shared" si="27"/>
        <v>-7.96</v>
      </c>
      <c r="BI58" s="306">
        <f t="shared" si="28"/>
        <v>10</v>
      </c>
      <c r="BJ58" s="306">
        <f t="shared" si="29"/>
        <v>-8.98</v>
      </c>
      <c r="BK58" s="306">
        <f t="shared" si="53"/>
        <v>0</v>
      </c>
      <c r="BL58" s="304">
        <f t="shared" si="30"/>
        <v>0</v>
      </c>
      <c r="BM58" s="304">
        <f t="shared" si="31"/>
        <v>0</v>
      </c>
      <c r="BN58" s="304">
        <f t="shared" si="55"/>
        <v>0</v>
      </c>
      <c r="BO58" s="306">
        <f t="shared" si="56"/>
        <v>0</v>
      </c>
      <c r="BP58" s="306"/>
    </row>
    <row r="59" spans="1:68">
      <c r="A59" s="299">
        <f t="shared" si="1"/>
        <v>0</v>
      </c>
      <c r="B59" s="300">
        <f t="shared" si="32"/>
        <v>38024</v>
      </c>
      <c r="C59" s="301" t="e">
        <f t="shared" si="33"/>
        <v>#N/A</v>
      </c>
      <c r="D59" s="301" t="e">
        <f t="shared" si="2"/>
        <v>#N/A</v>
      </c>
      <c r="E59" s="299">
        <f t="shared" si="3"/>
        <v>38</v>
      </c>
      <c r="F59" s="396">
        <f>Weather!M43</f>
        <v>0</v>
      </c>
      <c r="G59" s="301">
        <f>IF(Weather!C43="","",Weather!C43)</f>
        <v>0.34390892432542064</v>
      </c>
      <c r="H59" s="301">
        <f>IF(Weather!D43="","",Weather!D43)</f>
        <v>0.37718204673649641</v>
      </c>
      <c r="I59" s="502">
        <f>IF(Weather!E43="","",Weather!E43)</f>
        <v>0.37718204673649641</v>
      </c>
      <c r="J59" s="397">
        <f>IF(RnSplint!N87&lt;0,0,RnSplint!N87)</f>
        <v>29.668827885866239</v>
      </c>
      <c r="K59" s="302">
        <f t="shared" si="34"/>
        <v>0</v>
      </c>
      <c r="L59" s="303">
        <f t="shared" si="35"/>
        <v>38024</v>
      </c>
      <c r="M59" s="346" t="str">
        <f t="shared" si="4"/>
        <v/>
      </c>
      <c r="N59" s="304">
        <f t="shared" si="36"/>
        <v>0</v>
      </c>
      <c r="O59" s="304">
        <f t="shared" si="37"/>
        <v>0</v>
      </c>
      <c r="P59" s="304">
        <f t="shared" si="5"/>
        <v>0</v>
      </c>
      <c r="Q59" s="304">
        <f t="shared" si="6"/>
        <v>0.79280822757068892</v>
      </c>
      <c r="R59" s="304">
        <f t="shared" si="7"/>
        <v>0.79280822757068892</v>
      </c>
      <c r="S59" s="305" t="e">
        <f t="shared" si="38"/>
        <v>#N/A</v>
      </c>
      <c r="T59" s="304">
        <f t="shared" si="8"/>
        <v>0</v>
      </c>
      <c r="U59" s="304">
        <f t="shared" si="54"/>
        <v>0</v>
      </c>
      <c r="V59" s="305" t="e">
        <f t="shared" si="9"/>
        <v>#N/A</v>
      </c>
      <c r="W59" s="305" t="e">
        <f t="shared" si="39"/>
        <v>#N/A</v>
      </c>
      <c r="X59" s="304">
        <f t="shared" si="40"/>
        <v>0.79280822757068892</v>
      </c>
      <c r="Z59" s="304" t="str">
        <f t="shared" si="41"/>
        <v/>
      </c>
      <c r="AA59" s="305" t="e">
        <f t="shared" si="10"/>
        <v>#N/A</v>
      </c>
      <c r="AB59" s="304">
        <f t="shared" si="11"/>
        <v>0.29903302994464648</v>
      </c>
      <c r="AC59" s="304" t="str">
        <f t="shared" si="42"/>
        <v/>
      </c>
      <c r="AD59" s="306">
        <f t="shared" si="12"/>
        <v>0</v>
      </c>
      <c r="AE59" s="307">
        <f t="shared" si="43"/>
        <v>0.29903302994464648</v>
      </c>
      <c r="AF59" s="308" t="e">
        <f t="shared" si="13"/>
        <v>#N/A</v>
      </c>
      <c r="AG59" s="306">
        <f t="shared" si="44"/>
        <v>11.852964863591058</v>
      </c>
      <c r="AH59" s="306">
        <f t="shared" si="14"/>
        <v>0</v>
      </c>
      <c r="AI59" s="306">
        <f t="shared" si="45"/>
        <v>0</v>
      </c>
      <c r="AJ59" s="306">
        <f t="shared" si="46"/>
        <v>0</v>
      </c>
      <c r="AK59" s="306">
        <f t="shared" si="15"/>
        <v>0</v>
      </c>
      <c r="AL59" s="306">
        <f t="shared" si="47"/>
        <v>0</v>
      </c>
      <c r="AM59" s="306">
        <f t="shared" si="16"/>
        <v>0</v>
      </c>
      <c r="AN59" s="304">
        <f>KcSplint!$N88</f>
        <v>0.83500099808125172</v>
      </c>
      <c r="AO59" s="304" t="str">
        <f t="shared" si="17"/>
        <v/>
      </c>
      <c r="AP59" s="304" t="str">
        <f t="shared" si="48"/>
        <v/>
      </c>
      <c r="AQ59" s="305" t="e">
        <f t="shared" si="49"/>
        <v>#N/A</v>
      </c>
      <c r="AR59" s="304" t="str">
        <f t="shared" si="50"/>
        <v/>
      </c>
      <c r="AS59" s="306">
        <f t="shared" si="18"/>
        <v>0</v>
      </c>
      <c r="AT59" s="307" t="e">
        <f t="shared" si="51"/>
        <v>#N/A</v>
      </c>
      <c r="AU59" s="307" t="e">
        <f t="shared" si="52"/>
        <v>#N/A</v>
      </c>
      <c r="AV59" s="304">
        <f t="shared" si="19"/>
        <v>0.37718204673649641</v>
      </c>
      <c r="AW59" s="309">
        <f t="shared" si="20"/>
        <v>10.943194162229341</v>
      </c>
      <c r="AX59" s="306">
        <f>IF(ISERROR(Weather!M43),#N/A,Weather!M43)</f>
        <v>0</v>
      </c>
      <c r="AY59" s="310">
        <f t="shared" si="21"/>
        <v>34</v>
      </c>
      <c r="AZ59" s="309">
        <f t="shared" si="22"/>
        <v>0.79280822757068892</v>
      </c>
      <c r="BA59" s="309">
        <f t="shared" si="23"/>
        <v>11.852964863591058</v>
      </c>
      <c r="BB59" s="311">
        <f>Irrig!H61</f>
        <v>0</v>
      </c>
      <c r="BC59" s="310">
        <f t="shared" si="24"/>
        <v>0</v>
      </c>
      <c r="BD59" s="309">
        <f t="shared" si="25"/>
        <v>0</v>
      </c>
      <c r="BE59" s="309">
        <f t="shared" si="26"/>
        <v>0</v>
      </c>
      <c r="BF59" s="306">
        <f>DailyMet!H42</f>
        <v>-3.45</v>
      </c>
      <c r="BG59" s="306">
        <f>DailyMet!I42</f>
        <v>-8.1</v>
      </c>
      <c r="BH59" s="306">
        <f t="shared" si="27"/>
        <v>-3.45</v>
      </c>
      <c r="BI59" s="306">
        <f t="shared" si="28"/>
        <v>10</v>
      </c>
      <c r="BJ59" s="306">
        <f t="shared" si="29"/>
        <v>-6.7249999999999996</v>
      </c>
      <c r="BK59" s="306">
        <f t="shared" si="53"/>
        <v>0</v>
      </c>
      <c r="BL59" s="304">
        <f t="shared" si="30"/>
        <v>0</v>
      </c>
      <c r="BM59" s="304">
        <f t="shared" si="31"/>
        <v>0</v>
      </c>
      <c r="BN59" s="304">
        <f t="shared" si="55"/>
        <v>0</v>
      </c>
      <c r="BO59" s="306">
        <f t="shared" si="56"/>
        <v>0</v>
      </c>
      <c r="BP59" s="306"/>
    </row>
    <row r="60" spans="1:68">
      <c r="A60" s="299">
        <f t="shared" si="1"/>
        <v>0</v>
      </c>
      <c r="B60" s="300">
        <f t="shared" si="32"/>
        <v>38025</v>
      </c>
      <c r="C60" s="301" t="e">
        <f t="shared" si="33"/>
        <v>#N/A</v>
      </c>
      <c r="D60" s="301" t="e">
        <f t="shared" si="2"/>
        <v>#N/A</v>
      </c>
      <c r="E60" s="299">
        <f t="shared" si="3"/>
        <v>39</v>
      </c>
      <c r="F60" s="396">
        <f>Weather!M44</f>
        <v>0</v>
      </c>
      <c r="G60" s="301">
        <f>IF(Weather!C44="","",Weather!C44)</f>
        <v>0.35425774591566722</v>
      </c>
      <c r="H60" s="301">
        <f>IF(Weather!D44="","",Weather!D44)</f>
        <v>0.40184909694054805</v>
      </c>
      <c r="I60" s="502">
        <f>IF(Weather!E44="","",Weather!E44)</f>
        <v>0.40184909694054805</v>
      </c>
      <c r="J60" s="397">
        <f>IF(RnSplint!N88&lt;0,0,RnSplint!N88)</f>
        <v>29.41989637179238</v>
      </c>
      <c r="K60" s="302">
        <f t="shared" si="34"/>
        <v>0</v>
      </c>
      <c r="L60" s="303">
        <f t="shared" si="35"/>
        <v>38025</v>
      </c>
      <c r="M60" s="346" t="str">
        <f t="shared" si="4"/>
        <v/>
      </c>
      <c r="N60" s="304">
        <f t="shared" si="36"/>
        <v>0</v>
      </c>
      <c r="O60" s="304">
        <f t="shared" si="37"/>
        <v>0</v>
      </c>
      <c r="P60" s="304">
        <f t="shared" si="5"/>
        <v>0</v>
      </c>
      <c r="Q60" s="304">
        <f t="shared" si="6"/>
        <v>0.77819158459372206</v>
      </c>
      <c r="R60" s="304">
        <f t="shared" si="7"/>
        <v>0.77819158459372206</v>
      </c>
      <c r="S60" s="305" t="e">
        <f t="shared" si="38"/>
        <v>#N/A</v>
      </c>
      <c r="T60" s="304">
        <f t="shared" si="8"/>
        <v>0</v>
      </c>
      <c r="U60" s="304">
        <f t="shared" si="54"/>
        <v>0</v>
      </c>
      <c r="V60" s="305" t="e">
        <f t="shared" si="9"/>
        <v>#N/A</v>
      </c>
      <c r="W60" s="305" t="e">
        <f t="shared" si="39"/>
        <v>#N/A</v>
      </c>
      <c r="X60" s="304">
        <f t="shared" si="40"/>
        <v>0.77819158459372206</v>
      </c>
      <c r="Z60" s="304" t="str">
        <f t="shared" si="41"/>
        <v/>
      </c>
      <c r="AA60" s="305" t="e">
        <f t="shared" si="10"/>
        <v>#N/A</v>
      </c>
      <c r="AB60" s="304">
        <f t="shared" si="11"/>
        <v>0.31271558551572132</v>
      </c>
      <c r="AC60" s="304" t="str">
        <f t="shared" si="42"/>
        <v/>
      </c>
      <c r="AD60" s="306">
        <f t="shared" si="12"/>
        <v>0</v>
      </c>
      <c r="AE60" s="307">
        <f t="shared" si="43"/>
        <v>0.31271558551572132</v>
      </c>
      <c r="AF60" s="308" t="e">
        <f t="shared" si="13"/>
        <v>#N/A</v>
      </c>
      <c r="AG60" s="306">
        <f t="shared" si="44"/>
        <v>12.254813960531607</v>
      </c>
      <c r="AH60" s="306">
        <f t="shared" si="14"/>
        <v>0</v>
      </c>
      <c r="AI60" s="306">
        <f t="shared" si="45"/>
        <v>0</v>
      </c>
      <c r="AJ60" s="306">
        <f t="shared" si="46"/>
        <v>0</v>
      </c>
      <c r="AK60" s="306">
        <f t="shared" si="15"/>
        <v>0</v>
      </c>
      <c r="AL60" s="306">
        <f t="shared" si="47"/>
        <v>0</v>
      </c>
      <c r="AM60" s="306">
        <f t="shared" si="16"/>
        <v>0</v>
      </c>
      <c r="AN60" s="304">
        <f>KcSplint!$N89</f>
        <v>0.8174646726256577</v>
      </c>
      <c r="AO60" s="304" t="str">
        <f t="shared" si="17"/>
        <v/>
      </c>
      <c r="AP60" s="304" t="str">
        <f t="shared" si="48"/>
        <v/>
      </c>
      <c r="AQ60" s="305" t="e">
        <f t="shared" si="49"/>
        <v>#N/A</v>
      </c>
      <c r="AR60" s="304" t="str">
        <f t="shared" si="50"/>
        <v/>
      </c>
      <c r="AS60" s="306">
        <f t="shared" si="18"/>
        <v>0</v>
      </c>
      <c r="AT60" s="307" t="e">
        <f t="shared" si="51"/>
        <v>#N/A</v>
      </c>
      <c r="AU60" s="307" t="e">
        <f t="shared" si="52"/>
        <v>#N/A</v>
      </c>
      <c r="AV60" s="304">
        <f t="shared" si="19"/>
        <v>0.40184909694054805</v>
      </c>
      <c r="AW60" s="309">
        <f t="shared" si="20"/>
        <v>11.34504325916989</v>
      </c>
      <c r="AX60" s="306">
        <f>IF(ISERROR(Weather!M44),#N/A,Weather!M44)</f>
        <v>0</v>
      </c>
      <c r="AY60" s="310">
        <f t="shared" si="21"/>
        <v>35</v>
      </c>
      <c r="AZ60" s="309">
        <f t="shared" si="22"/>
        <v>0.77819158459372206</v>
      </c>
      <c r="BA60" s="309">
        <f t="shared" si="23"/>
        <v>12.254813960531607</v>
      </c>
      <c r="BB60" s="311">
        <f>Irrig!H62</f>
        <v>0</v>
      </c>
      <c r="BC60" s="310">
        <f t="shared" si="24"/>
        <v>0</v>
      </c>
      <c r="BD60" s="309">
        <f t="shared" si="25"/>
        <v>0</v>
      </c>
      <c r="BE60" s="309">
        <f t="shared" si="26"/>
        <v>0</v>
      </c>
      <c r="BF60" s="306">
        <f>DailyMet!H43</f>
        <v>-1.28</v>
      </c>
      <c r="BG60" s="306">
        <f>DailyMet!I43</f>
        <v>-6</v>
      </c>
      <c r="BH60" s="306">
        <f t="shared" si="27"/>
        <v>-1.28</v>
      </c>
      <c r="BI60" s="306">
        <f t="shared" si="28"/>
        <v>10</v>
      </c>
      <c r="BJ60" s="306">
        <f t="shared" si="29"/>
        <v>-5.64</v>
      </c>
      <c r="BK60" s="306">
        <f t="shared" si="53"/>
        <v>0</v>
      </c>
      <c r="BL60" s="304">
        <f t="shared" si="30"/>
        <v>0</v>
      </c>
      <c r="BM60" s="304">
        <f t="shared" si="31"/>
        <v>0</v>
      </c>
      <c r="BN60" s="304">
        <f t="shared" si="55"/>
        <v>0</v>
      </c>
      <c r="BO60" s="306">
        <f t="shared" si="56"/>
        <v>0</v>
      </c>
      <c r="BP60" s="306"/>
    </row>
    <row r="61" spans="1:68">
      <c r="A61" s="299">
        <f t="shared" si="1"/>
        <v>0</v>
      </c>
      <c r="B61" s="300">
        <f t="shared" si="32"/>
        <v>38026</v>
      </c>
      <c r="C61" s="301" t="e">
        <f t="shared" si="33"/>
        <v>#N/A</v>
      </c>
      <c r="D61" s="301" t="e">
        <f t="shared" si="2"/>
        <v>#N/A</v>
      </c>
      <c r="E61" s="299">
        <f t="shared" si="3"/>
        <v>40</v>
      </c>
      <c r="F61" s="396">
        <f>Weather!M45</f>
        <v>0</v>
      </c>
      <c r="G61" s="301">
        <f>IF(Weather!C45="","",Weather!C45)</f>
        <v>0.36593477730331719</v>
      </c>
      <c r="H61" s="301">
        <f>IF(Weather!D45="","",Weather!D45)</f>
        <v>0.35697698080417573</v>
      </c>
      <c r="I61" s="502">
        <f>IF(Weather!E45="","",Weather!E45)</f>
        <v>0.35697698080417573</v>
      </c>
      <c r="J61" s="397">
        <f>IF(RnSplint!N89&lt;0,0,RnSplint!N89)</f>
        <v>29.177175506507975</v>
      </c>
      <c r="K61" s="302">
        <f t="shared" si="34"/>
        <v>0</v>
      </c>
      <c r="L61" s="303">
        <f t="shared" si="35"/>
        <v>38026</v>
      </c>
      <c r="M61" s="346" t="str">
        <f t="shared" si="4"/>
        <v/>
      </c>
      <c r="N61" s="304">
        <f t="shared" si="36"/>
        <v>0</v>
      </c>
      <c r="O61" s="304">
        <f t="shared" si="37"/>
        <v>0</v>
      </c>
      <c r="P61" s="304">
        <f t="shared" si="5"/>
        <v>0</v>
      </c>
      <c r="Q61" s="304">
        <f t="shared" si="6"/>
        <v>0.76585034198616775</v>
      </c>
      <c r="R61" s="304">
        <f t="shared" si="7"/>
        <v>0.76585034198616775</v>
      </c>
      <c r="S61" s="305" t="e">
        <f t="shared" si="38"/>
        <v>#N/A</v>
      </c>
      <c r="T61" s="304">
        <f t="shared" si="8"/>
        <v>0</v>
      </c>
      <c r="U61" s="304">
        <f t="shared" si="54"/>
        <v>0</v>
      </c>
      <c r="V61" s="305" t="e">
        <f t="shared" si="9"/>
        <v>#N/A</v>
      </c>
      <c r="W61" s="305" t="e">
        <f t="shared" si="39"/>
        <v>#N/A</v>
      </c>
      <c r="X61" s="304">
        <f t="shared" si="40"/>
        <v>0.76585034198616775</v>
      </c>
      <c r="Z61" s="304" t="str">
        <f t="shared" si="41"/>
        <v/>
      </c>
      <c r="AA61" s="305" t="e">
        <f t="shared" si="10"/>
        <v>#N/A</v>
      </c>
      <c r="AB61" s="304">
        <f t="shared" si="11"/>
        <v>0.2733909428300676</v>
      </c>
      <c r="AC61" s="304" t="str">
        <f t="shared" si="42"/>
        <v/>
      </c>
      <c r="AD61" s="306">
        <f t="shared" si="12"/>
        <v>0</v>
      </c>
      <c r="AE61" s="307">
        <f t="shared" si="43"/>
        <v>0.2733909428300676</v>
      </c>
      <c r="AF61" s="308" t="e">
        <f t="shared" si="13"/>
        <v>#N/A</v>
      </c>
      <c r="AG61" s="306">
        <f t="shared" si="44"/>
        <v>12.611790941335782</v>
      </c>
      <c r="AH61" s="306">
        <f t="shared" si="14"/>
        <v>0</v>
      </c>
      <c r="AI61" s="306">
        <f t="shared" si="45"/>
        <v>0</v>
      </c>
      <c r="AJ61" s="306">
        <f t="shared" si="46"/>
        <v>0</v>
      </c>
      <c r="AK61" s="306">
        <f t="shared" si="15"/>
        <v>0</v>
      </c>
      <c r="AL61" s="306">
        <f t="shared" si="47"/>
        <v>0</v>
      </c>
      <c r="AM61" s="306">
        <f t="shared" si="16"/>
        <v>0</v>
      </c>
      <c r="AN61" s="304">
        <f>KcSplint!$N90</f>
        <v>0.79974090718395119</v>
      </c>
      <c r="AO61" s="304" t="str">
        <f t="shared" si="17"/>
        <v/>
      </c>
      <c r="AP61" s="304" t="str">
        <f t="shared" si="48"/>
        <v/>
      </c>
      <c r="AQ61" s="305" t="e">
        <f t="shared" si="49"/>
        <v>#N/A</v>
      </c>
      <c r="AR61" s="304" t="str">
        <f t="shared" si="50"/>
        <v/>
      </c>
      <c r="AS61" s="306">
        <f t="shared" si="18"/>
        <v>0</v>
      </c>
      <c r="AT61" s="307" t="e">
        <f t="shared" si="51"/>
        <v>#N/A</v>
      </c>
      <c r="AU61" s="307" t="e">
        <f t="shared" si="52"/>
        <v>#N/A</v>
      </c>
      <c r="AV61" s="304">
        <f t="shared" si="19"/>
        <v>0.35697698080417573</v>
      </c>
      <c r="AW61" s="309">
        <f t="shared" si="20"/>
        <v>11.702020239974065</v>
      </c>
      <c r="AX61" s="306">
        <f>IF(ISERROR(Weather!M45),#N/A,Weather!M45)</f>
        <v>0</v>
      </c>
      <c r="AY61" s="310">
        <f t="shared" si="21"/>
        <v>36</v>
      </c>
      <c r="AZ61" s="309">
        <f t="shared" si="22"/>
        <v>0.76585034198616775</v>
      </c>
      <c r="BA61" s="309">
        <f t="shared" si="23"/>
        <v>12.611790941335782</v>
      </c>
      <c r="BB61" s="311">
        <f>Irrig!H63</f>
        <v>0</v>
      </c>
      <c r="BC61" s="310">
        <f t="shared" si="24"/>
        <v>0</v>
      </c>
      <c r="BD61" s="309">
        <f t="shared" si="25"/>
        <v>0</v>
      </c>
      <c r="BE61" s="309">
        <f t="shared" si="26"/>
        <v>0</v>
      </c>
      <c r="BF61" s="306">
        <f>DailyMet!H44</f>
        <v>-3.12</v>
      </c>
      <c r="BG61" s="306">
        <f>DailyMet!I44</f>
        <v>-10.5</v>
      </c>
      <c r="BH61" s="306">
        <f t="shared" si="27"/>
        <v>-3.12</v>
      </c>
      <c r="BI61" s="306">
        <f t="shared" si="28"/>
        <v>10</v>
      </c>
      <c r="BJ61" s="306">
        <f t="shared" si="29"/>
        <v>-6.5600000000000005</v>
      </c>
      <c r="BK61" s="306">
        <f t="shared" si="53"/>
        <v>0</v>
      </c>
      <c r="BL61" s="304">
        <f t="shared" si="30"/>
        <v>0</v>
      </c>
      <c r="BM61" s="304">
        <f t="shared" si="31"/>
        <v>0</v>
      </c>
      <c r="BN61" s="304">
        <f t="shared" si="55"/>
        <v>0</v>
      </c>
      <c r="BO61" s="306">
        <f t="shared" si="56"/>
        <v>0</v>
      </c>
      <c r="BP61" s="306"/>
    </row>
    <row r="62" spans="1:68">
      <c r="A62" s="299">
        <f t="shared" si="1"/>
        <v>0</v>
      </c>
      <c r="B62" s="300">
        <f t="shared" si="32"/>
        <v>38027</v>
      </c>
      <c r="C62" s="301" t="e">
        <f t="shared" si="33"/>
        <v>#N/A</v>
      </c>
      <c r="D62" s="301" t="e">
        <f t="shared" si="2"/>
        <v>#N/A</v>
      </c>
      <c r="E62" s="299">
        <f t="shared" si="3"/>
        <v>41</v>
      </c>
      <c r="F62" s="396">
        <f>Weather!M46</f>
        <v>0</v>
      </c>
      <c r="G62" s="301">
        <f>IF(Weather!C46="","",Weather!C46)</f>
        <v>0.37901935411090687</v>
      </c>
      <c r="H62" s="301">
        <f>IF(Weather!D46="","",Weather!D46)</f>
        <v>0.40150119165400022</v>
      </c>
      <c r="I62" s="502">
        <f>IF(Weather!E46="","",Weather!E46)</f>
        <v>0.40150119165400022</v>
      </c>
      <c r="J62" s="397">
        <f>IF(RnSplint!N90&lt;0,0,RnSplint!N90)</f>
        <v>28.943321112524107</v>
      </c>
      <c r="K62" s="302">
        <f t="shared" si="34"/>
        <v>0</v>
      </c>
      <c r="L62" s="303">
        <f t="shared" si="35"/>
        <v>38027</v>
      </c>
      <c r="M62" s="346" t="str">
        <f t="shared" si="4"/>
        <v/>
      </c>
      <c r="N62" s="304">
        <f t="shared" si="36"/>
        <v>0</v>
      </c>
      <c r="O62" s="304">
        <f t="shared" si="37"/>
        <v>0</v>
      </c>
      <c r="P62" s="304">
        <f t="shared" si="5"/>
        <v>0</v>
      </c>
      <c r="Q62" s="304">
        <f t="shared" si="6"/>
        <v>0.75263436984456777</v>
      </c>
      <c r="R62" s="304">
        <f t="shared" si="7"/>
        <v>0.75263436984456777</v>
      </c>
      <c r="S62" s="305" t="e">
        <f t="shared" si="38"/>
        <v>#N/A</v>
      </c>
      <c r="T62" s="304">
        <f t="shared" si="8"/>
        <v>0</v>
      </c>
      <c r="U62" s="304">
        <f t="shared" si="54"/>
        <v>0</v>
      </c>
      <c r="V62" s="305" t="e">
        <f t="shared" si="9"/>
        <v>#N/A</v>
      </c>
      <c r="W62" s="305" t="e">
        <f t="shared" si="39"/>
        <v>#N/A</v>
      </c>
      <c r="X62" s="304">
        <f t="shared" si="40"/>
        <v>0.75263436984456777</v>
      </c>
      <c r="Z62" s="304" t="str">
        <f t="shared" si="41"/>
        <v/>
      </c>
      <c r="AA62" s="305" t="e">
        <f t="shared" si="10"/>
        <v>#N/A</v>
      </c>
      <c r="AB62" s="304">
        <f t="shared" si="11"/>
        <v>0.30218359637235148</v>
      </c>
      <c r="AC62" s="304" t="str">
        <f t="shared" si="42"/>
        <v/>
      </c>
      <c r="AD62" s="306">
        <f t="shared" si="12"/>
        <v>0</v>
      </c>
      <c r="AE62" s="307">
        <f t="shared" si="43"/>
        <v>0.30218359637235148</v>
      </c>
      <c r="AF62" s="308" t="e">
        <f t="shared" si="13"/>
        <v>#N/A</v>
      </c>
      <c r="AG62" s="306">
        <f t="shared" si="44"/>
        <v>13.013292132989783</v>
      </c>
      <c r="AH62" s="306">
        <f t="shared" si="14"/>
        <v>0</v>
      </c>
      <c r="AI62" s="306">
        <f t="shared" si="45"/>
        <v>0</v>
      </c>
      <c r="AJ62" s="306">
        <f t="shared" si="46"/>
        <v>0</v>
      </c>
      <c r="AK62" s="306">
        <f t="shared" si="15"/>
        <v>0</v>
      </c>
      <c r="AL62" s="306">
        <f t="shared" si="47"/>
        <v>0</v>
      </c>
      <c r="AM62" s="306">
        <f t="shared" si="16"/>
        <v>0</v>
      </c>
      <c r="AN62" s="304">
        <f>KcSplint!$N91</f>
        <v>0.78184739786562774</v>
      </c>
      <c r="AO62" s="304" t="str">
        <f t="shared" si="17"/>
        <v/>
      </c>
      <c r="AP62" s="304" t="str">
        <f t="shared" si="48"/>
        <v/>
      </c>
      <c r="AQ62" s="305" t="e">
        <f t="shared" si="49"/>
        <v>#N/A</v>
      </c>
      <c r="AR62" s="304" t="str">
        <f t="shared" si="50"/>
        <v/>
      </c>
      <c r="AS62" s="306">
        <f t="shared" si="18"/>
        <v>0</v>
      </c>
      <c r="AT62" s="307" t="e">
        <f t="shared" si="51"/>
        <v>#N/A</v>
      </c>
      <c r="AU62" s="307" t="e">
        <f t="shared" si="52"/>
        <v>#N/A</v>
      </c>
      <c r="AV62" s="304">
        <f t="shared" si="19"/>
        <v>0.40150119165400022</v>
      </c>
      <c r="AW62" s="309">
        <f t="shared" si="20"/>
        <v>12.103521431628065</v>
      </c>
      <c r="AX62" s="306">
        <f>IF(ISERROR(Weather!M46),#N/A,Weather!M46)</f>
        <v>0</v>
      </c>
      <c r="AY62" s="310">
        <f t="shared" si="21"/>
        <v>37</v>
      </c>
      <c r="AZ62" s="309">
        <f t="shared" si="22"/>
        <v>0.75263436984456777</v>
      </c>
      <c r="BA62" s="309">
        <f t="shared" si="23"/>
        <v>13.013292132989783</v>
      </c>
      <c r="BB62" s="311">
        <f>Irrig!H64</f>
        <v>0</v>
      </c>
      <c r="BC62" s="310">
        <f t="shared" si="24"/>
        <v>0</v>
      </c>
      <c r="BD62" s="309">
        <f t="shared" si="25"/>
        <v>0</v>
      </c>
      <c r="BE62" s="309">
        <f t="shared" si="26"/>
        <v>0</v>
      </c>
      <c r="BF62" s="306">
        <f>DailyMet!H45</f>
        <v>-1.85</v>
      </c>
      <c r="BG62" s="306">
        <f>DailyMet!I45</f>
        <v>-4.7</v>
      </c>
      <c r="BH62" s="306">
        <f t="shared" si="27"/>
        <v>-1.85</v>
      </c>
      <c r="BI62" s="306">
        <f t="shared" si="28"/>
        <v>10</v>
      </c>
      <c r="BJ62" s="306">
        <f t="shared" si="29"/>
        <v>-5.9249999999999998</v>
      </c>
      <c r="BK62" s="306">
        <f t="shared" si="53"/>
        <v>0</v>
      </c>
      <c r="BL62" s="304">
        <f t="shared" si="30"/>
        <v>0</v>
      </c>
      <c r="BM62" s="304">
        <f t="shared" si="31"/>
        <v>0</v>
      </c>
      <c r="BN62" s="304">
        <f t="shared" si="55"/>
        <v>0</v>
      </c>
      <c r="BO62" s="306">
        <f t="shared" si="56"/>
        <v>0</v>
      </c>
      <c r="BP62" s="306"/>
    </row>
    <row r="63" spans="1:68">
      <c r="A63" s="299">
        <f t="shared" si="1"/>
        <v>0</v>
      </c>
      <c r="B63" s="300">
        <f t="shared" si="32"/>
        <v>38028</v>
      </c>
      <c r="C63" s="301" t="e">
        <f t="shared" si="33"/>
        <v>#N/A</v>
      </c>
      <c r="D63" s="301" t="e">
        <f t="shared" si="2"/>
        <v>#N/A</v>
      </c>
      <c r="E63" s="299">
        <f t="shared" si="3"/>
        <v>42</v>
      </c>
      <c r="F63" s="396">
        <f>Weather!M47</f>
        <v>0</v>
      </c>
      <c r="G63" s="301">
        <f>IF(Weather!C47="","",Weather!C47)</f>
        <v>0.39359081196097212</v>
      </c>
      <c r="H63" s="301">
        <f>IF(Weather!D47="","",Weather!D47)</f>
        <v>0.52184810169343809</v>
      </c>
      <c r="I63" s="502">
        <f>IF(Weather!E47="","",Weather!E47)</f>
        <v>0.52184810169343809</v>
      </c>
      <c r="J63" s="397">
        <f>IF(RnSplint!N91&lt;0,0,RnSplint!N91)</f>
        <v>28.720989012351822</v>
      </c>
      <c r="K63" s="302">
        <f t="shared" si="34"/>
        <v>0</v>
      </c>
      <c r="L63" s="303">
        <f t="shared" si="35"/>
        <v>38028</v>
      </c>
      <c r="M63" s="346" t="str">
        <f t="shared" si="4"/>
        <v/>
      </c>
      <c r="N63" s="304">
        <f t="shared" si="36"/>
        <v>0</v>
      </c>
      <c r="O63" s="304">
        <f t="shared" si="37"/>
        <v>0</v>
      </c>
      <c r="P63" s="304">
        <f t="shared" si="5"/>
        <v>0</v>
      </c>
      <c r="Q63" s="304">
        <f t="shared" si="6"/>
        <v>0.73641826550453549</v>
      </c>
      <c r="R63" s="304">
        <f t="shared" si="7"/>
        <v>0.73641826550453549</v>
      </c>
      <c r="S63" s="305" t="e">
        <f t="shared" si="38"/>
        <v>#N/A</v>
      </c>
      <c r="T63" s="304">
        <f t="shared" si="8"/>
        <v>0</v>
      </c>
      <c r="U63" s="304">
        <f t="shared" si="54"/>
        <v>0</v>
      </c>
      <c r="V63" s="305" t="e">
        <f t="shared" si="9"/>
        <v>#N/A</v>
      </c>
      <c r="W63" s="305" t="e">
        <f t="shared" si="39"/>
        <v>#N/A</v>
      </c>
      <c r="X63" s="304">
        <f t="shared" si="40"/>
        <v>0.73641826550453549</v>
      </c>
      <c r="Z63" s="304" t="str">
        <f t="shared" si="41"/>
        <v/>
      </c>
      <c r="AA63" s="305" t="e">
        <f t="shared" si="10"/>
        <v>#N/A</v>
      </c>
      <c r="AB63" s="304">
        <f t="shared" si="11"/>
        <v>0.38429847390591615</v>
      </c>
      <c r="AC63" s="304" t="str">
        <f t="shared" si="42"/>
        <v/>
      </c>
      <c r="AD63" s="306">
        <f t="shared" si="12"/>
        <v>0</v>
      </c>
      <c r="AE63" s="307">
        <f t="shared" si="43"/>
        <v>0.38429847390591615</v>
      </c>
      <c r="AF63" s="308" t="e">
        <f t="shared" si="13"/>
        <v>#N/A</v>
      </c>
      <c r="AG63" s="306">
        <f t="shared" si="44"/>
        <v>13.535140234683221</v>
      </c>
      <c r="AH63" s="306">
        <f t="shared" si="14"/>
        <v>0</v>
      </c>
      <c r="AI63" s="306">
        <f t="shared" si="45"/>
        <v>0</v>
      </c>
      <c r="AJ63" s="306">
        <f t="shared" si="46"/>
        <v>0</v>
      </c>
      <c r="AK63" s="306">
        <f t="shared" si="15"/>
        <v>0</v>
      </c>
      <c r="AL63" s="306">
        <f t="shared" si="47"/>
        <v>0</v>
      </c>
      <c r="AM63" s="306">
        <f t="shared" si="16"/>
        <v>0</v>
      </c>
      <c r="AN63" s="304">
        <f>KcSplint!$N92</f>
        <v>0.76380184078018321</v>
      </c>
      <c r="AO63" s="304" t="str">
        <f t="shared" si="17"/>
        <v/>
      </c>
      <c r="AP63" s="304" t="str">
        <f t="shared" si="48"/>
        <v/>
      </c>
      <c r="AQ63" s="305" t="e">
        <f t="shared" si="49"/>
        <v>#N/A</v>
      </c>
      <c r="AR63" s="304" t="str">
        <f t="shared" si="50"/>
        <v/>
      </c>
      <c r="AS63" s="306">
        <f t="shared" si="18"/>
        <v>0</v>
      </c>
      <c r="AT63" s="307" t="e">
        <f t="shared" si="51"/>
        <v>#N/A</v>
      </c>
      <c r="AU63" s="307" t="e">
        <f t="shared" si="52"/>
        <v>#N/A</v>
      </c>
      <c r="AV63" s="304">
        <f t="shared" si="19"/>
        <v>0.52184810169343809</v>
      </c>
      <c r="AW63" s="309">
        <f t="shared" si="20"/>
        <v>12.625369533321503</v>
      </c>
      <c r="AX63" s="306">
        <f>IF(ISERROR(Weather!M47),#N/A,Weather!M47)</f>
        <v>0</v>
      </c>
      <c r="AY63" s="310">
        <f t="shared" si="21"/>
        <v>38</v>
      </c>
      <c r="AZ63" s="309">
        <f t="shared" si="22"/>
        <v>0.73641826550453549</v>
      </c>
      <c r="BA63" s="309">
        <f t="shared" si="23"/>
        <v>13.535140234683221</v>
      </c>
      <c r="BB63" s="311">
        <f>Irrig!H65</f>
        <v>0</v>
      </c>
      <c r="BC63" s="310">
        <f t="shared" si="24"/>
        <v>0</v>
      </c>
      <c r="BD63" s="309">
        <f t="shared" si="25"/>
        <v>0</v>
      </c>
      <c r="BE63" s="309">
        <f t="shared" si="26"/>
        <v>0</v>
      </c>
      <c r="BF63" s="306">
        <f>DailyMet!H46</f>
        <v>-3.71</v>
      </c>
      <c r="BG63" s="306">
        <f>DailyMet!I46</f>
        <v>-8</v>
      </c>
      <c r="BH63" s="306">
        <f t="shared" si="27"/>
        <v>-3.71</v>
      </c>
      <c r="BI63" s="306">
        <f t="shared" si="28"/>
        <v>10</v>
      </c>
      <c r="BJ63" s="306">
        <f t="shared" si="29"/>
        <v>-6.8550000000000004</v>
      </c>
      <c r="BK63" s="306">
        <f t="shared" si="53"/>
        <v>0</v>
      </c>
      <c r="BL63" s="304">
        <f t="shared" si="30"/>
        <v>0</v>
      </c>
      <c r="BM63" s="304">
        <f t="shared" si="31"/>
        <v>0</v>
      </c>
      <c r="BN63" s="304">
        <f t="shared" si="55"/>
        <v>0</v>
      </c>
      <c r="BO63" s="306">
        <f t="shared" si="56"/>
        <v>0</v>
      </c>
      <c r="BP63" s="306"/>
    </row>
    <row r="64" spans="1:68">
      <c r="A64" s="299">
        <f t="shared" si="1"/>
        <v>0</v>
      </c>
      <c r="B64" s="300">
        <f t="shared" si="32"/>
        <v>38029</v>
      </c>
      <c r="C64" s="301" t="e">
        <f t="shared" si="33"/>
        <v>#N/A</v>
      </c>
      <c r="D64" s="301" t="e">
        <f t="shared" si="2"/>
        <v>#N/A</v>
      </c>
      <c r="E64" s="299">
        <f t="shared" si="3"/>
        <v>43</v>
      </c>
      <c r="F64" s="396">
        <f>Weather!M48</f>
        <v>0</v>
      </c>
      <c r="G64" s="301">
        <f>IF(Weather!C48="","",Weather!C48)</f>
        <v>0.40972848647604926</v>
      </c>
      <c r="H64" s="301">
        <f>IF(Weather!D48="","",Weather!D48)</f>
        <v>0.36790181555226631</v>
      </c>
      <c r="I64" s="502">
        <f>IF(Weather!E48="","",Weather!E48)</f>
        <v>0.36790181555226631</v>
      </c>
      <c r="J64" s="397">
        <f>IF(RnSplint!N92&lt;0,0,RnSplint!N92)</f>
        <v>28.512835028502206</v>
      </c>
      <c r="K64" s="302">
        <f t="shared" si="34"/>
        <v>0</v>
      </c>
      <c r="L64" s="303">
        <f t="shared" si="35"/>
        <v>38029</v>
      </c>
      <c r="M64" s="346" t="str">
        <f t="shared" si="4"/>
        <v/>
      </c>
      <c r="N64" s="304">
        <f t="shared" si="36"/>
        <v>0</v>
      </c>
      <c r="O64" s="304">
        <f t="shared" si="37"/>
        <v>0</v>
      </c>
      <c r="P64" s="304">
        <f t="shared" si="5"/>
        <v>0</v>
      </c>
      <c r="Q64" s="304">
        <f t="shared" si="6"/>
        <v>0.72558409841706561</v>
      </c>
      <c r="R64" s="304">
        <f t="shared" si="7"/>
        <v>0.72558409841706561</v>
      </c>
      <c r="S64" s="305" t="e">
        <f t="shared" si="38"/>
        <v>#N/A</v>
      </c>
      <c r="T64" s="304">
        <f t="shared" si="8"/>
        <v>0</v>
      </c>
      <c r="U64" s="304">
        <f t="shared" si="54"/>
        <v>0</v>
      </c>
      <c r="V64" s="305" t="e">
        <f t="shared" si="9"/>
        <v>#N/A</v>
      </c>
      <c r="W64" s="305" t="e">
        <f t="shared" si="39"/>
        <v>#N/A</v>
      </c>
      <c r="X64" s="304">
        <f t="shared" si="40"/>
        <v>0.72558409841706561</v>
      </c>
      <c r="Z64" s="304" t="str">
        <f t="shared" si="41"/>
        <v/>
      </c>
      <c r="AA64" s="305" t="e">
        <f t="shared" si="10"/>
        <v>#N/A</v>
      </c>
      <c r="AB64" s="304">
        <f t="shared" si="11"/>
        <v>0.26694370714349269</v>
      </c>
      <c r="AC64" s="304" t="str">
        <f t="shared" si="42"/>
        <v/>
      </c>
      <c r="AD64" s="306">
        <f t="shared" si="12"/>
        <v>0</v>
      </c>
      <c r="AE64" s="307">
        <f t="shared" si="43"/>
        <v>0.26694370714349269</v>
      </c>
      <c r="AF64" s="308" t="e">
        <f t="shared" si="13"/>
        <v>#N/A</v>
      </c>
      <c r="AG64" s="306">
        <f t="shared" si="44"/>
        <v>13.903042050235486</v>
      </c>
      <c r="AH64" s="306">
        <f t="shared" si="14"/>
        <v>0</v>
      </c>
      <c r="AI64" s="306">
        <f t="shared" si="45"/>
        <v>0</v>
      </c>
      <c r="AJ64" s="306">
        <f t="shared" si="46"/>
        <v>0</v>
      </c>
      <c r="AK64" s="306">
        <f t="shared" si="15"/>
        <v>0</v>
      </c>
      <c r="AL64" s="306">
        <f t="shared" si="47"/>
        <v>0</v>
      </c>
      <c r="AM64" s="306">
        <f t="shared" si="16"/>
        <v>0</v>
      </c>
      <c r="AN64" s="304">
        <f>KcSplint!$N93</f>
        <v>0.74562193203711358</v>
      </c>
      <c r="AO64" s="304" t="str">
        <f t="shared" si="17"/>
        <v/>
      </c>
      <c r="AP64" s="304" t="str">
        <f t="shared" si="48"/>
        <v/>
      </c>
      <c r="AQ64" s="305" t="e">
        <f t="shared" si="49"/>
        <v>#N/A</v>
      </c>
      <c r="AR64" s="304" t="str">
        <f t="shared" si="50"/>
        <v/>
      </c>
      <c r="AS64" s="306">
        <f t="shared" si="18"/>
        <v>0</v>
      </c>
      <c r="AT64" s="307" t="e">
        <f t="shared" si="51"/>
        <v>#N/A</v>
      </c>
      <c r="AU64" s="307" t="e">
        <f t="shared" si="52"/>
        <v>#N/A</v>
      </c>
      <c r="AV64" s="304">
        <f t="shared" si="19"/>
        <v>0.36790181555226631</v>
      </c>
      <c r="AW64" s="309">
        <f t="shared" si="20"/>
        <v>12.993271348873769</v>
      </c>
      <c r="AX64" s="306">
        <f>IF(ISERROR(Weather!M48),#N/A,Weather!M48)</f>
        <v>0</v>
      </c>
      <c r="AY64" s="310">
        <f t="shared" si="21"/>
        <v>39</v>
      </c>
      <c r="AZ64" s="309">
        <f t="shared" si="22"/>
        <v>0.72558409841706561</v>
      </c>
      <c r="BA64" s="309">
        <f t="shared" si="23"/>
        <v>13.903042050235486</v>
      </c>
      <c r="BB64" s="311">
        <f>Irrig!H66</f>
        <v>0</v>
      </c>
      <c r="BC64" s="310">
        <f t="shared" si="24"/>
        <v>0</v>
      </c>
      <c r="BD64" s="309">
        <f t="shared" si="25"/>
        <v>0</v>
      </c>
      <c r="BE64" s="309">
        <f t="shared" si="26"/>
        <v>0</v>
      </c>
      <c r="BF64" s="306">
        <f>DailyMet!H47</f>
        <v>-5.6</v>
      </c>
      <c r="BG64" s="306">
        <f>DailyMet!I47</f>
        <v>-9.9</v>
      </c>
      <c r="BH64" s="306">
        <f t="shared" si="27"/>
        <v>-5.6</v>
      </c>
      <c r="BI64" s="306">
        <f t="shared" si="28"/>
        <v>10</v>
      </c>
      <c r="BJ64" s="306">
        <f t="shared" si="29"/>
        <v>-7.8</v>
      </c>
      <c r="BK64" s="306">
        <f t="shared" si="53"/>
        <v>0</v>
      </c>
      <c r="BL64" s="304">
        <f t="shared" si="30"/>
        <v>0</v>
      </c>
      <c r="BM64" s="304">
        <f t="shared" si="31"/>
        <v>0</v>
      </c>
      <c r="BN64" s="304">
        <f t="shared" si="55"/>
        <v>0</v>
      </c>
      <c r="BO64" s="306">
        <f t="shared" si="56"/>
        <v>0</v>
      </c>
      <c r="BP64" s="306"/>
    </row>
    <row r="65" spans="1:68">
      <c r="A65" s="299">
        <f t="shared" si="1"/>
        <v>0</v>
      </c>
      <c r="B65" s="300">
        <f t="shared" si="32"/>
        <v>38030</v>
      </c>
      <c r="C65" s="301" t="e">
        <f t="shared" si="33"/>
        <v>#N/A</v>
      </c>
      <c r="D65" s="301" t="e">
        <f t="shared" si="2"/>
        <v>#N/A</v>
      </c>
      <c r="E65" s="299">
        <f t="shared" si="3"/>
        <v>44</v>
      </c>
      <c r="F65" s="396">
        <f>Weather!M49</f>
        <v>0</v>
      </c>
      <c r="G65" s="301">
        <f>IF(Weather!C49="","",Weather!C49)</f>
        <v>0.42751171327867432</v>
      </c>
      <c r="H65" s="301">
        <f>IF(Weather!D49="","",Weather!D49)</f>
        <v>0.41322020685184946</v>
      </c>
      <c r="I65" s="502">
        <f>IF(Weather!E49="","",Weather!E49)</f>
        <v>0.41322020685184946</v>
      </c>
      <c r="J65" s="397">
        <f>IF(RnSplint!N93&lt;0,0,RnSplint!N93)</f>
        <v>28.321514983486313</v>
      </c>
      <c r="K65" s="302">
        <f t="shared" si="34"/>
        <v>0</v>
      </c>
      <c r="L65" s="303">
        <f t="shared" si="35"/>
        <v>38030</v>
      </c>
      <c r="M65" s="346" t="str">
        <f t="shared" si="4"/>
        <v/>
      </c>
      <c r="N65" s="304">
        <f t="shared" si="36"/>
        <v>0</v>
      </c>
      <c r="O65" s="304">
        <f t="shared" si="37"/>
        <v>0</v>
      </c>
      <c r="P65" s="304">
        <f t="shared" si="5"/>
        <v>0</v>
      </c>
      <c r="Q65" s="304">
        <f t="shared" si="6"/>
        <v>0.71395673516545777</v>
      </c>
      <c r="R65" s="304">
        <f t="shared" si="7"/>
        <v>0.71395673516545777</v>
      </c>
      <c r="S65" s="305" t="e">
        <f t="shared" si="38"/>
        <v>#N/A</v>
      </c>
      <c r="T65" s="304">
        <f t="shared" si="8"/>
        <v>0</v>
      </c>
      <c r="U65" s="304">
        <f t="shared" si="54"/>
        <v>0</v>
      </c>
      <c r="V65" s="305" t="e">
        <f t="shared" si="9"/>
        <v>#N/A</v>
      </c>
      <c r="W65" s="305" t="e">
        <f t="shared" si="39"/>
        <v>#N/A</v>
      </c>
      <c r="X65" s="304">
        <f t="shared" si="40"/>
        <v>0.71395673516545777</v>
      </c>
      <c r="Z65" s="304" t="str">
        <f t="shared" si="41"/>
        <v/>
      </c>
      <c r="AA65" s="305" t="e">
        <f t="shared" si="10"/>
        <v>#N/A</v>
      </c>
      <c r="AB65" s="304">
        <f t="shared" si="11"/>
        <v>0.29502134978834155</v>
      </c>
      <c r="AC65" s="304" t="str">
        <f t="shared" si="42"/>
        <v/>
      </c>
      <c r="AD65" s="306">
        <f t="shared" si="12"/>
        <v>0</v>
      </c>
      <c r="AE65" s="307">
        <f t="shared" si="43"/>
        <v>0.29502134978834155</v>
      </c>
      <c r="AF65" s="308" t="e">
        <f t="shared" si="13"/>
        <v>#N/A</v>
      </c>
      <c r="AG65" s="306">
        <f t="shared" si="44"/>
        <v>14.316262257087336</v>
      </c>
      <c r="AH65" s="306">
        <f t="shared" si="14"/>
        <v>0</v>
      </c>
      <c r="AI65" s="306">
        <f t="shared" si="45"/>
        <v>0</v>
      </c>
      <c r="AJ65" s="306">
        <f t="shared" si="46"/>
        <v>0</v>
      </c>
      <c r="AK65" s="306">
        <f t="shared" si="15"/>
        <v>0</v>
      </c>
      <c r="AL65" s="306">
        <f t="shared" si="47"/>
        <v>0</v>
      </c>
      <c r="AM65" s="306">
        <f t="shared" si="16"/>
        <v>0</v>
      </c>
      <c r="AN65" s="304">
        <f>KcSplint!$N94</f>
        <v>0.7273253677459145</v>
      </c>
      <c r="AO65" s="304" t="str">
        <f t="shared" si="17"/>
        <v/>
      </c>
      <c r="AP65" s="304" t="str">
        <f t="shared" si="48"/>
        <v/>
      </c>
      <c r="AQ65" s="305" t="e">
        <f t="shared" si="49"/>
        <v>#N/A</v>
      </c>
      <c r="AR65" s="304" t="str">
        <f t="shared" si="50"/>
        <v/>
      </c>
      <c r="AS65" s="306">
        <f t="shared" si="18"/>
        <v>0</v>
      </c>
      <c r="AT65" s="307" t="e">
        <f t="shared" si="51"/>
        <v>#N/A</v>
      </c>
      <c r="AU65" s="307" t="e">
        <f t="shared" si="52"/>
        <v>#N/A</v>
      </c>
      <c r="AV65" s="304">
        <f t="shared" si="19"/>
        <v>0.41322020685184946</v>
      </c>
      <c r="AW65" s="309">
        <f t="shared" si="20"/>
        <v>13.406491555725619</v>
      </c>
      <c r="AX65" s="306">
        <f>IF(ISERROR(Weather!M49),#N/A,Weather!M49)</f>
        <v>0</v>
      </c>
      <c r="AY65" s="310">
        <f t="shared" si="21"/>
        <v>40</v>
      </c>
      <c r="AZ65" s="309">
        <f t="shared" si="22"/>
        <v>0.71395673516545777</v>
      </c>
      <c r="BA65" s="309">
        <f t="shared" si="23"/>
        <v>14.316262257087336</v>
      </c>
      <c r="BB65" s="311">
        <f>Irrig!H67</f>
        <v>0</v>
      </c>
      <c r="BC65" s="310">
        <f t="shared" si="24"/>
        <v>0</v>
      </c>
      <c r="BD65" s="309">
        <f t="shared" si="25"/>
        <v>0</v>
      </c>
      <c r="BE65" s="309">
        <f t="shared" si="26"/>
        <v>0</v>
      </c>
      <c r="BF65" s="306">
        <f>DailyMet!H48</f>
        <v>-4.28</v>
      </c>
      <c r="BG65" s="306">
        <f>DailyMet!I48</f>
        <v>-8.4</v>
      </c>
      <c r="BH65" s="306">
        <f t="shared" si="27"/>
        <v>-4.28</v>
      </c>
      <c r="BI65" s="306">
        <f t="shared" si="28"/>
        <v>10</v>
      </c>
      <c r="BJ65" s="306">
        <f t="shared" si="29"/>
        <v>-7.1400000000000006</v>
      </c>
      <c r="BK65" s="306">
        <f t="shared" si="53"/>
        <v>0</v>
      </c>
      <c r="BL65" s="304">
        <f t="shared" si="30"/>
        <v>0</v>
      </c>
      <c r="BM65" s="304">
        <f t="shared" si="31"/>
        <v>0</v>
      </c>
      <c r="BN65" s="304">
        <f t="shared" si="55"/>
        <v>0</v>
      </c>
      <c r="BO65" s="306">
        <f t="shared" si="56"/>
        <v>0</v>
      </c>
      <c r="BP65" s="306"/>
    </row>
    <row r="66" spans="1:68">
      <c r="A66" s="299">
        <f t="shared" si="1"/>
        <v>0</v>
      </c>
      <c r="B66" s="300">
        <f t="shared" si="32"/>
        <v>38031</v>
      </c>
      <c r="C66" s="301" t="e">
        <f t="shared" si="33"/>
        <v>#N/A</v>
      </c>
      <c r="D66" s="301" t="e">
        <f t="shared" si="2"/>
        <v>#N/A</v>
      </c>
      <c r="E66" s="299">
        <f t="shared" si="3"/>
        <v>45</v>
      </c>
      <c r="F66" s="396">
        <f>Weather!M50</f>
        <v>0.2</v>
      </c>
      <c r="G66" s="301">
        <f>IF(Weather!C50="","",Weather!C50)</f>
        <v>0.44701982799138351</v>
      </c>
      <c r="H66" s="301">
        <f>IF(Weather!D50="","",Weather!D50)</f>
        <v>0.39576125991328082</v>
      </c>
      <c r="I66" s="502">
        <f>IF(Weather!E50="","",Weather!E50)</f>
        <v>0.39576125991328082</v>
      </c>
      <c r="J66" s="397">
        <f>IF(RnSplint!N94&lt;0,0,RnSplint!N94)</f>
        <v>28.149684699815229</v>
      </c>
      <c r="K66" s="302">
        <f t="shared" si="34"/>
        <v>0</v>
      </c>
      <c r="L66" s="303">
        <f t="shared" si="35"/>
        <v>38031</v>
      </c>
      <c r="M66" s="346" t="str">
        <f t="shared" si="4"/>
        <v/>
      </c>
      <c r="N66" s="304">
        <f t="shared" si="36"/>
        <v>0</v>
      </c>
      <c r="O66" s="304">
        <f t="shared" si="37"/>
        <v>0</v>
      </c>
      <c r="P66" s="304">
        <f t="shared" si="5"/>
        <v>0</v>
      </c>
      <c r="Q66" s="304">
        <f t="shared" si="6"/>
        <v>0.70331894813263274</v>
      </c>
      <c r="R66" s="304">
        <f t="shared" si="7"/>
        <v>0.70331894813263274</v>
      </c>
      <c r="S66" s="305" t="e">
        <f t="shared" si="38"/>
        <v>#N/A</v>
      </c>
      <c r="T66" s="304">
        <f t="shared" si="8"/>
        <v>0</v>
      </c>
      <c r="U66" s="304">
        <f t="shared" si="54"/>
        <v>0</v>
      </c>
      <c r="V66" s="305" t="e">
        <f t="shared" si="9"/>
        <v>#N/A</v>
      </c>
      <c r="W66" s="305" t="e">
        <f t="shared" si="39"/>
        <v>#N/A</v>
      </c>
      <c r="X66" s="304">
        <f t="shared" si="40"/>
        <v>0.70331894813263274</v>
      </c>
      <c r="Z66" s="304" t="str">
        <f t="shared" si="41"/>
        <v/>
      </c>
      <c r="AA66" s="305" t="e">
        <f t="shared" si="10"/>
        <v>#N/A</v>
      </c>
      <c r="AB66" s="304">
        <f t="shared" si="11"/>
        <v>0.27834639303385411</v>
      </c>
      <c r="AC66" s="304" t="str">
        <f t="shared" si="42"/>
        <v/>
      </c>
      <c r="AD66" s="306">
        <f t="shared" si="12"/>
        <v>0</v>
      </c>
      <c r="AE66" s="307">
        <f t="shared" si="43"/>
        <v>0.27834639303385411</v>
      </c>
      <c r="AF66" s="308" t="e">
        <f t="shared" si="13"/>
        <v>#N/A</v>
      </c>
      <c r="AG66" s="306">
        <f t="shared" si="44"/>
        <v>14.712023517000617</v>
      </c>
      <c r="AH66" s="306">
        <f t="shared" si="14"/>
        <v>0</v>
      </c>
      <c r="AI66" s="306">
        <f t="shared" si="45"/>
        <v>0</v>
      </c>
      <c r="AJ66" s="306">
        <f t="shared" si="46"/>
        <v>0</v>
      </c>
      <c r="AK66" s="306">
        <f t="shared" si="15"/>
        <v>0</v>
      </c>
      <c r="AL66" s="306">
        <f t="shared" si="47"/>
        <v>0</v>
      </c>
      <c r="AM66" s="306">
        <f t="shared" si="16"/>
        <v>0</v>
      </c>
      <c r="AN66" s="304">
        <f>KcSplint!$N95</f>
        <v>0.70892984401608183</v>
      </c>
      <c r="AO66" s="304" t="str">
        <f t="shared" si="17"/>
        <v/>
      </c>
      <c r="AP66" s="304" t="str">
        <f t="shared" si="48"/>
        <v/>
      </c>
      <c r="AQ66" s="305" t="e">
        <f t="shared" si="49"/>
        <v>#N/A</v>
      </c>
      <c r="AR66" s="304" t="str">
        <f t="shared" si="50"/>
        <v/>
      </c>
      <c r="AS66" s="306">
        <f t="shared" si="18"/>
        <v>0</v>
      </c>
      <c r="AT66" s="307" t="e">
        <f t="shared" si="51"/>
        <v>#N/A</v>
      </c>
      <c r="AU66" s="307" t="e">
        <f t="shared" si="52"/>
        <v>#N/A</v>
      </c>
      <c r="AV66" s="304">
        <f t="shared" si="19"/>
        <v>0.39576125991328082</v>
      </c>
      <c r="AW66" s="309">
        <f t="shared" si="20"/>
        <v>13.8022528156389</v>
      </c>
      <c r="AX66" s="306">
        <f>IF(ISERROR(Weather!M50),#N/A,Weather!M50)</f>
        <v>0.2</v>
      </c>
      <c r="AY66" s="310">
        <f t="shared" si="21"/>
        <v>41</v>
      </c>
      <c r="AZ66" s="309">
        <f t="shared" si="22"/>
        <v>0.70331894813263274</v>
      </c>
      <c r="BA66" s="309">
        <f t="shared" si="23"/>
        <v>14.712023517000617</v>
      </c>
      <c r="BB66" s="311">
        <f>Irrig!H68</f>
        <v>0</v>
      </c>
      <c r="BC66" s="310">
        <f t="shared" si="24"/>
        <v>0</v>
      </c>
      <c r="BD66" s="309">
        <f t="shared" si="25"/>
        <v>0</v>
      </c>
      <c r="BE66" s="309">
        <f t="shared" si="26"/>
        <v>0</v>
      </c>
      <c r="BF66" s="306">
        <f>DailyMet!H49</f>
        <v>-4.6399999999999997</v>
      </c>
      <c r="BG66" s="306">
        <f>DailyMet!I49</f>
        <v>-9.1999999999999993</v>
      </c>
      <c r="BH66" s="306">
        <f t="shared" si="27"/>
        <v>-4.6399999999999997</v>
      </c>
      <c r="BI66" s="306">
        <f t="shared" si="28"/>
        <v>10</v>
      </c>
      <c r="BJ66" s="306">
        <f t="shared" si="29"/>
        <v>-7.32</v>
      </c>
      <c r="BK66" s="306">
        <f t="shared" si="53"/>
        <v>0</v>
      </c>
      <c r="BL66" s="304">
        <f t="shared" si="30"/>
        <v>0</v>
      </c>
      <c r="BM66" s="304">
        <f t="shared" si="31"/>
        <v>0</v>
      </c>
      <c r="BN66" s="304">
        <f t="shared" si="55"/>
        <v>0</v>
      </c>
      <c r="BO66" s="306">
        <f t="shared" si="56"/>
        <v>0</v>
      </c>
      <c r="BP66" s="306"/>
    </row>
    <row r="67" spans="1:68">
      <c r="A67" s="299">
        <f t="shared" si="1"/>
        <v>0</v>
      </c>
      <c r="B67" s="300">
        <f t="shared" si="32"/>
        <v>38032</v>
      </c>
      <c r="C67" s="301" t="e">
        <f t="shared" si="33"/>
        <v>#N/A</v>
      </c>
      <c r="D67" s="301" t="e">
        <f t="shared" si="2"/>
        <v>#N/A</v>
      </c>
      <c r="E67" s="299">
        <f t="shared" si="3"/>
        <v>46</v>
      </c>
      <c r="F67" s="396">
        <f>Weather!M51</f>
        <v>0</v>
      </c>
      <c r="G67" s="301">
        <f>IF(Weather!C51="","",Weather!C51)</f>
        <v>0.46833216623671287</v>
      </c>
      <c r="H67" s="301">
        <f>IF(Weather!D51="","",Weather!D51)</f>
        <v>0.2110792416261621</v>
      </c>
      <c r="I67" s="502">
        <f>IF(Weather!E51="","",Weather!E51)</f>
        <v>0.2110792416261621</v>
      </c>
      <c r="J67" s="397">
        <f>IF(RnSplint!N95&lt;0,0,RnSplint!N95)</f>
        <v>28</v>
      </c>
      <c r="K67" s="302">
        <f t="shared" si="34"/>
        <v>0</v>
      </c>
      <c r="L67" s="303">
        <f t="shared" si="35"/>
        <v>38032</v>
      </c>
      <c r="M67" s="346" t="str">
        <f t="shared" si="4"/>
        <v/>
      </c>
      <c r="N67" s="304">
        <f t="shared" si="36"/>
        <v>0</v>
      </c>
      <c r="O67" s="304">
        <f t="shared" si="37"/>
        <v>0</v>
      </c>
      <c r="P67" s="304">
        <f t="shared" si="5"/>
        <v>0</v>
      </c>
      <c r="Q67" s="304">
        <f t="shared" si="6"/>
        <v>0.69783241254702233</v>
      </c>
      <c r="R67" s="304">
        <f t="shared" si="7"/>
        <v>0.69783241254702233</v>
      </c>
      <c r="S67" s="305" t="e">
        <f t="shared" si="38"/>
        <v>#N/A</v>
      </c>
      <c r="T67" s="304">
        <f t="shared" si="8"/>
        <v>0</v>
      </c>
      <c r="U67" s="304">
        <f t="shared" si="54"/>
        <v>0</v>
      </c>
      <c r="V67" s="305" t="e">
        <f t="shared" si="9"/>
        <v>#N/A</v>
      </c>
      <c r="W67" s="305" t="e">
        <f t="shared" si="39"/>
        <v>#N/A</v>
      </c>
      <c r="X67" s="304">
        <f t="shared" si="40"/>
        <v>0.69783241254702233</v>
      </c>
      <c r="Z67" s="304" t="str">
        <f t="shared" si="41"/>
        <v/>
      </c>
      <c r="AA67" s="305" t="e">
        <f t="shared" si="10"/>
        <v>#N/A</v>
      </c>
      <c r="AB67" s="304">
        <f t="shared" si="11"/>
        <v>0.14729793642258054</v>
      </c>
      <c r="AC67" s="304" t="str">
        <f t="shared" si="42"/>
        <v/>
      </c>
      <c r="AD67" s="306">
        <f t="shared" si="12"/>
        <v>0</v>
      </c>
      <c r="AE67" s="307">
        <f t="shared" si="43"/>
        <v>0.14729793642258054</v>
      </c>
      <c r="AF67" s="308" t="e">
        <f t="shared" si="13"/>
        <v>#N/A</v>
      </c>
      <c r="AG67" s="306">
        <f t="shared" si="44"/>
        <v>14.923102758626779</v>
      </c>
      <c r="AH67" s="306">
        <f t="shared" si="14"/>
        <v>0</v>
      </c>
      <c r="AI67" s="306">
        <f t="shared" si="45"/>
        <v>0</v>
      </c>
      <c r="AJ67" s="306">
        <f t="shared" si="46"/>
        <v>0</v>
      </c>
      <c r="AK67" s="306">
        <f t="shared" si="15"/>
        <v>0</v>
      </c>
      <c r="AL67" s="306">
        <f t="shared" si="47"/>
        <v>0</v>
      </c>
      <c r="AM67" s="306">
        <f t="shared" si="16"/>
        <v>0</v>
      </c>
      <c r="AN67" s="304">
        <f>KcSplint!$N96</f>
        <v>0.69046090387645154</v>
      </c>
      <c r="AO67" s="304" t="str">
        <f t="shared" si="17"/>
        <v/>
      </c>
      <c r="AP67" s="304" t="str">
        <f t="shared" si="48"/>
        <v/>
      </c>
      <c r="AQ67" s="305" t="e">
        <f t="shared" si="49"/>
        <v>#N/A</v>
      </c>
      <c r="AR67" s="304" t="str">
        <f t="shared" si="50"/>
        <v/>
      </c>
      <c r="AS67" s="306">
        <f t="shared" si="18"/>
        <v>0</v>
      </c>
      <c r="AT67" s="307" t="e">
        <f t="shared" si="51"/>
        <v>#N/A</v>
      </c>
      <c r="AU67" s="307" t="e">
        <f t="shared" si="52"/>
        <v>#N/A</v>
      </c>
      <c r="AV67" s="304">
        <f t="shared" si="19"/>
        <v>0.2110792416261621</v>
      </c>
      <c r="AW67" s="309">
        <f t="shared" si="20"/>
        <v>14.013332057265062</v>
      </c>
      <c r="AX67" s="306">
        <f>IF(ISERROR(Weather!M51),#N/A,Weather!M51)</f>
        <v>0</v>
      </c>
      <c r="AY67" s="310">
        <f t="shared" si="21"/>
        <v>42</v>
      </c>
      <c r="AZ67" s="309">
        <f t="shared" si="22"/>
        <v>0.69783241254702233</v>
      </c>
      <c r="BA67" s="309">
        <f t="shared" si="23"/>
        <v>14.923102758626779</v>
      </c>
      <c r="BB67" s="311">
        <f>Irrig!H69</f>
        <v>0</v>
      </c>
      <c r="BC67" s="310">
        <f t="shared" si="24"/>
        <v>0</v>
      </c>
      <c r="BD67" s="309">
        <f t="shared" si="25"/>
        <v>0</v>
      </c>
      <c r="BE67" s="309">
        <f t="shared" si="26"/>
        <v>0</v>
      </c>
      <c r="BF67" s="306">
        <f>DailyMet!H50</f>
        <v>-1.38</v>
      </c>
      <c r="BG67" s="306">
        <f>DailyMet!I50</f>
        <v>-7.6</v>
      </c>
      <c r="BH67" s="306">
        <f t="shared" si="27"/>
        <v>-1.38</v>
      </c>
      <c r="BI67" s="306">
        <f t="shared" si="28"/>
        <v>10</v>
      </c>
      <c r="BJ67" s="306">
        <f t="shared" si="29"/>
        <v>-5.6899999999999995</v>
      </c>
      <c r="BK67" s="306">
        <f t="shared" si="53"/>
        <v>0</v>
      </c>
      <c r="BL67" s="304">
        <f t="shared" si="30"/>
        <v>0</v>
      </c>
      <c r="BM67" s="304">
        <f t="shared" si="31"/>
        <v>0</v>
      </c>
      <c r="BN67" s="304">
        <f t="shared" si="55"/>
        <v>0</v>
      </c>
      <c r="BO67" s="306">
        <f t="shared" si="56"/>
        <v>0</v>
      </c>
      <c r="BP67" s="306"/>
    </row>
    <row r="68" spans="1:68">
      <c r="A68" s="299">
        <f t="shared" si="1"/>
        <v>0</v>
      </c>
      <c r="B68" s="300">
        <f t="shared" si="32"/>
        <v>38033</v>
      </c>
      <c r="C68" s="301" t="e">
        <f t="shared" si="33"/>
        <v>#N/A</v>
      </c>
      <c r="D68" s="301" t="e">
        <f t="shared" si="2"/>
        <v>#N/A</v>
      </c>
      <c r="E68" s="299">
        <f t="shared" si="3"/>
        <v>47</v>
      </c>
      <c r="F68" s="396">
        <f>Weather!M52</f>
        <v>0</v>
      </c>
      <c r="G68" s="301">
        <f>IF(Weather!C52="","",Weather!C52)</f>
        <v>0.4914907237823789</v>
      </c>
      <c r="H68" s="301">
        <f>IF(Weather!D52="","",Weather!D52)</f>
        <v>0.16164582054947796</v>
      </c>
      <c r="I68" s="502">
        <f>IF(Weather!E52="","",Weather!E52)</f>
        <v>0.16164582054947796</v>
      </c>
      <c r="J68" s="397">
        <f>IF(RnSplint!N96&lt;0,0,RnSplint!N96)</f>
        <v>27.87452485339788</v>
      </c>
      <c r="K68" s="302">
        <f t="shared" si="34"/>
        <v>0</v>
      </c>
      <c r="L68" s="303">
        <f t="shared" si="35"/>
        <v>38033</v>
      </c>
      <c r="M68" s="346" t="str">
        <f t="shared" si="4"/>
        <v/>
      </c>
      <c r="N68" s="304">
        <f t="shared" si="36"/>
        <v>0</v>
      </c>
      <c r="O68" s="304">
        <f t="shared" si="37"/>
        <v>0</v>
      </c>
      <c r="P68" s="304">
        <f t="shared" si="5"/>
        <v>0</v>
      </c>
      <c r="Q68" s="304">
        <f t="shared" si="6"/>
        <v>0.6937147895644219</v>
      </c>
      <c r="R68" s="304">
        <f t="shared" si="7"/>
        <v>0.6937147895644219</v>
      </c>
      <c r="S68" s="305" t="e">
        <f t="shared" si="38"/>
        <v>#N/A</v>
      </c>
      <c r="T68" s="304">
        <f t="shared" si="8"/>
        <v>0</v>
      </c>
      <c r="U68" s="304">
        <f t="shared" si="54"/>
        <v>0</v>
      </c>
      <c r="V68" s="305" t="e">
        <f t="shared" si="9"/>
        <v>#N/A</v>
      </c>
      <c r="W68" s="305" t="e">
        <f t="shared" si="39"/>
        <v>#N/A</v>
      </c>
      <c r="X68" s="304">
        <f t="shared" si="40"/>
        <v>0.6937147895644219</v>
      </c>
      <c r="Z68" s="304" t="str">
        <f t="shared" si="41"/>
        <v/>
      </c>
      <c r="AA68" s="305" t="e">
        <f t="shared" si="10"/>
        <v>#N/A</v>
      </c>
      <c r="AB68" s="304">
        <f t="shared" si="11"/>
        <v>0.1121360963864494</v>
      </c>
      <c r="AC68" s="304" t="str">
        <f t="shared" si="42"/>
        <v/>
      </c>
      <c r="AD68" s="306">
        <f t="shared" si="12"/>
        <v>0</v>
      </c>
      <c r="AE68" s="307">
        <f t="shared" si="43"/>
        <v>0.1121360963864494</v>
      </c>
      <c r="AF68" s="308" t="e">
        <f t="shared" si="13"/>
        <v>#N/A</v>
      </c>
      <c r="AG68" s="306">
        <f t="shared" si="44"/>
        <v>15.084748579176257</v>
      </c>
      <c r="AH68" s="306">
        <f t="shared" si="14"/>
        <v>0</v>
      </c>
      <c r="AI68" s="306">
        <f t="shared" si="45"/>
        <v>0</v>
      </c>
      <c r="AJ68" s="306">
        <f t="shared" si="46"/>
        <v>0</v>
      </c>
      <c r="AK68" s="306">
        <f t="shared" si="15"/>
        <v>0</v>
      </c>
      <c r="AL68" s="306">
        <f t="shared" si="47"/>
        <v>0</v>
      </c>
      <c r="AM68" s="306">
        <f t="shared" si="16"/>
        <v>0</v>
      </c>
      <c r="AN68" s="304">
        <f>KcSplint!$N97</f>
        <v>0.67197547803322</v>
      </c>
      <c r="AO68" s="304" t="str">
        <f t="shared" si="17"/>
        <v/>
      </c>
      <c r="AP68" s="304" t="str">
        <f t="shared" si="48"/>
        <v/>
      </c>
      <c r="AQ68" s="305" t="e">
        <f t="shared" si="49"/>
        <v>#N/A</v>
      </c>
      <c r="AR68" s="304" t="str">
        <f t="shared" si="50"/>
        <v/>
      </c>
      <c r="AS68" s="306">
        <f t="shared" si="18"/>
        <v>0</v>
      </c>
      <c r="AT68" s="307" t="e">
        <f t="shared" si="51"/>
        <v>#N/A</v>
      </c>
      <c r="AU68" s="307" t="e">
        <f t="shared" si="52"/>
        <v>#N/A</v>
      </c>
      <c r="AV68" s="304">
        <f t="shared" si="19"/>
        <v>0.16164582054947796</v>
      </c>
      <c r="AW68" s="309">
        <f t="shared" si="20"/>
        <v>14.174977877814539</v>
      </c>
      <c r="AX68" s="306">
        <f>IF(ISERROR(Weather!M52),#N/A,Weather!M52)</f>
        <v>0</v>
      </c>
      <c r="AY68" s="310">
        <f t="shared" si="21"/>
        <v>43</v>
      </c>
      <c r="AZ68" s="309">
        <f t="shared" si="22"/>
        <v>0.6937147895644219</v>
      </c>
      <c r="BA68" s="309">
        <f t="shared" si="23"/>
        <v>15.084748579176257</v>
      </c>
      <c r="BB68" s="311">
        <f>Irrig!H70</f>
        <v>0</v>
      </c>
      <c r="BC68" s="310">
        <f t="shared" si="24"/>
        <v>0</v>
      </c>
      <c r="BD68" s="309">
        <f t="shared" si="25"/>
        <v>0</v>
      </c>
      <c r="BE68" s="309">
        <f t="shared" si="26"/>
        <v>0</v>
      </c>
      <c r="BF68" s="306">
        <f>DailyMet!H51</f>
        <v>0.11</v>
      </c>
      <c r="BG68" s="306">
        <f>DailyMet!I51</f>
        <v>-7</v>
      </c>
      <c r="BH68" s="306">
        <f t="shared" si="27"/>
        <v>0.11</v>
      </c>
      <c r="BI68" s="306">
        <f t="shared" si="28"/>
        <v>10</v>
      </c>
      <c r="BJ68" s="306">
        <f t="shared" si="29"/>
        <v>-4.9450000000000003</v>
      </c>
      <c r="BK68" s="306">
        <f t="shared" si="53"/>
        <v>0</v>
      </c>
      <c r="BL68" s="304">
        <f t="shared" si="30"/>
        <v>0</v>
      </c>
      <c r="BM68" s="304">
        <f t="shared" si="31"/>
        <v>0</v>
      </c>
      <c r="BN68" s="304">
        <f t="shared" si="55"/>
        <v>0</v>
      </c>
      <c r="BO68" s="306">
        <f t="shared" si="56"/>
        <v>0</v>
      </c>
      <c r="BP68" s="306"/>
    </row>
    <row r="69" spans="1:68">
      <c r="A69" s="299">
        <f t="shared" si="1"/>
        <v>0</v>
      </c>
      <c r="B69" s="300">
        <f t="shared" si="32"/>
        <v>38034</v>
      </c>
      <c r="C69" s="301" t="e">
        <f t="shared" si="33"/>
        <v>#N/A</v>
      </c>
      <c r="D69" s="301" t="e">
        <f t="shared" si="2"/>
        <v>#N/A</v>
      </c>
      <c r="E69" s="299">
        <f t="shared" si="3"/>
        <v>48</v>
      </c>
      <c r="F69" s="396">
        <f>Weather!M53</f>
        <v>0</v>
      </c>
      <c r="G69" s="301">
        <f>IF(Weather!C53="","",Weather!C53)</f>
        <v>0.51638813697681918</v>
      </c>
      <c r="H69" s="301">
        <f>IF(Weather!D53="","",Weather!D53)</f>
        <v>0.42844195262703466</v>
      </c>
      <c r="I69" s="502">
        <f>IF(Weather!E53="","",Weather!E53)</f>
        <v>0.42844195262703466</v>
      </c>
      <c r="J69" s="397">
        <f>IF(RnSplint!N97&lt;0,0,RnSplint!N97)</f>
        <v>27.772955816750773</v>
      </c>
      <c r="K69" s="302">
        <f t="shared" si="34"/>
        <v>0</v>
      </c>
      <c r="L69" s="303">
        <f t="shared" si="35"/>
        <v>38034</v>
      </c>
      <c r="M69" s="346" t="str">
        <f t="shared" si="4"/>
        <v/>
      </c>
      <c r="N69" s="304">
        <f t="shared" si="36"/>
        <v>0</v>
      </c>
      <c r="O69" s="304">
        <f t="shared" si="37"/>
        <v>0</v>
      </c>
      <c r="P69" s="304">
        <f t="shared" si="5"/>
        <v>0</v>
      </c>
      <c r="Q69" s="304">
        <f t="shared" si="6"/>
        <v>0.68313722002890864</v>
      </c>
      <c r="R69" s="304">
        <f t="shared" si="7"/>
        <v>0.68313722002890864</v>
      </c>
      <c r="S69" s="305" t="e">
        <f t="shared" si="38"/>
        <v>#N/A</v>
      </c>
      <c r="T69" s="304">
        <f t="shared" si="8"/>
        <v>0</v>
      </c>
      <c r="U69" s="304">
        <f t="shared" si="54"/>
        <v>0</v>
      </c>
      <c r="V69" s="305" t="e">
        <f t="shared" si="9"/>
        <v>#N/A</v>
      </c>
      <c r="W69" s="305" t="e">
        <f t="shared" si="39"/>
        <v>#N/A</v>
      </c>
      <c r="X69" s="304">
        <f t="shared" si="40"/>
        <v>0.68313722002890864</v>
      </c>
      <c r="Z69" s="304" t="str">
        <f t="shared" si="41"/>
        <v/>
      </c>
      <c r="AA69" s="305" t="e">
        <f t="shared" si="10"/>
        <v>#N/A</v>
      </c>
      <c r="AB69" s="304">
        <f t="shared" si="11"/>
        <v>0.29268464446138981</v>
      </c>
      <c r="AC69" s="304" t="str">
        <f t="shared" si="42"/>
        <v/>
      </c>
      <c r="AD69" s="306">
        <f t="shared" si="12"/>
        <v>0</v>
      </c>
      <c r="AE69" s="307">
        <f t="shared" si="43"/>
        <v>0.29268464446138981</v>
      </c>
      <c r="AF69" s="308" t="e">
        <f t="shared" si="13"/>
        <v>#N/A</v>
      </c>
      <c r="AG69" s="306">
        <f t="shared" si="44"/>
        <v>15.513190531803291</v>
      </c>
      <c r="AH69" s="306">
        <f t="shared" si="14"/>
        <v>0</v>
      </c>
      <c r="AI69" s="306">
        <f t="shared" si="45"/>
        <v>0</v>
      </c>
      <c r="AJ69" s="306">
        <f t="shared" si="46"/>
        <v>0</v>
      </c>
      <c r="AK69" s="306">
        <f t="shared" si="15"/>
        <v>0</v>
      </c>
      <c r="AL69" s="306">
        <f t="shared" si="47"/>
        <v>0</v>
      </c>
      <c r="AM69" s="306">
        <f t="shared" si="16"/>
        <v>0</v>
      </c>
      <c r="AN69" s="304">
        <f>KcSplint!$N98</f>
        <v>0.65353834411192402</v>
      </c>
      <c r="AO69" s="304" t="str">
        <f t="shared" si="17"/>
        <v/>
      </c>
      <c r="AP69" s="304" t="str">
        <f t="shared" si="48"/>
        <v/>
      </c>
      <c r="AQ69" s="305" t="e">
        <f t="shared" si="49"/>
        <v>#N/A</v>
      </c>
      <c r="AR69" s="304" t="str">
        <f t="shared" si="50"/>
        <v/>
      </c>
      <c r="AS69" s="306">
        <f t="shared" si="18"/>
        <v>0</v>
      </c>
      <c r="AT69" s="307" t="e">
        <f t="shared" si="51"/>
        <v>#N/A</v>
      </c>
      <c r="AU69" s="307" t="e">
        <f t="shared" si="52"/>
        <v>#N/A</v>
      </c>
      <c r="AV69" s="304">
        <f t="shared" si="19"/>
        <v>0.42844195262703466</v>
      </c>
      <c r="AW69" s="309">
        <f t="shared" si="20"/>
        <v>14.603419830441574</v>
      </c>
      <c r="AX69" s="306">
        <f>IF(ISERROR(Weather!M53),#N/A,Weather!M53)</f>
        <v>0</v>
      </c>
      <c r="AY69" s="310">
        <f t="shared" si="21"/>
        <v>44</v>
      </c>
      <c r="AZ69" s="309">
        <f t="shared" si="22"/>
        <v>0.68313722002890864</v>
      </c>
      <c r="BA69" s="309">
        <f t="shared" si="23"/>
        <v>15.513190531803291</v>
      </c>
      <c r="BB69" s="311">
        <f>Irrig!H71</f>
        <v>0</v>
      </c>
      <c r="BC69" s="310">
        <f t="shared" si="24"/>
        <v>0</v>
      </c>
      <c r="BD69" s="309">
        <f t="shared" si="25"/>
        <v>0</v>
      </c>
      <c r="BE69" s="309">
        <f t="shared" si="26"/>
        <v>0</v>
      </c>
      <c r="BF69" s="306">
        <f>DailyMet!H52</f>
        <v>0.98</v>
      </c>
      <c r="BG69" s="306">
        <f>DailyMet!I52</f>
        <v>-4.3</v>
      </c>
      <c r="BH69" s="306">
        <f t="shared" si="27"/>
        <v>0.98</v>
      </c>
      <c r="BI69" s="306">
        <f t="shared" si="28"/>
        <v>10</v>
      </c>
      <c r="BJ69" s="306">
        <f t="shared" si="29"/>
        <v>-4.51</v>
      </c>
      <c r="BK69" s="306">
        <f t="shared" si="53"/>
        <v>0</v>
      </c>
      <c r="BL69" s="304">
        <f t="shared" si="30"/>
        <v>0</v>
      </c>
      <c r="BM69" s="304">
        <f t="shared" si="31"/>
        <v>0</v>
      </c>
      <c r="BN69" s="304">
        <f t="shared" si="55"/>
        <v>0</v>
      </c>
      <c r="BO69" s="306">
        <f t="shared" si="56"/>
        <v>0</v>
      </c>
      <c r="BP69" s="306"/>
    </row>
    <row r="70" spans="1:68">
      <c r="A70" s="299">
        <f t="shared" si="1"/>
        <v>0</v>
      </c>
      <c r="B70" s="300">
        <f t="shared" si="32"/>
        <v>38035</v>
      </c>
      <c r="C70" s="301" t="e">
        <f t="shared" si="33"/>
        <v>#N/A</v>
      </c>
      <c r="D70" s="301" t="e">
        <f t="shared" si="2"/>
        <v>#N/A</v>
      </c>
      <c r="E70" s="299">
        <f t="shared" si="3"/>
        <v>49</v>
      </c>
      <c r="F70" s="396">
        <f>Weather!M54</f>
        <v>0</v>
      </c>
      <c r="G70" s="301">
        <f>IF(Weather!C54="","",Weather!C54)</f>
        <v>0.54287970231365179</v>
      </c>
      <c r="H70" s="301">
        <f>IF(Weather!D54="","",Weather!D54)</f>
        <v>0.27012829790668447</v>
      </c>
      <c r="I70" s="502">
        <f>IF(Weather!E54="","",Weather!E54)</f>
        <v>0.27012829790668447</v>
      </c>
      <c r="J70" s="397">
        <f>IF(RnSplint!N98&lt;0,0,RnSplint!N98)</f>
        <v>27.694397593646777</v>
      </c>
      <c r="K70" s="302">
        <f t="shared" si="34"/>
        <v>0</v>
      </c>
      <c r="L70" s="303">
        <f t="shared" si="35"/>
        <v>38035</v>
      </c>
      <c r="M70" s="346" t="str">
        <f t="shared" si="4"/>
        <v/>
      </c>
      <c r="N70" s="304">
        <f t="shared" si="36"/>
        <v>0</v>
      </c>
      <c r="O70" s="304">
        <f t="shared" si="37"/>
        <v>0</v>
      </c>
      <c r="P70" s="304">
        <f t="shared" si="5"/>
        <v>0</v>
      </c>
      <c r="Q70" s="304">
        <f t="shared" si="6"/>
        <v>0.6767068641168964</v>
      </c>
      <c r="R70" s="304">
        <f t="shared" si="7"/>
        <v>0.6767068641168964</v>
      </c>
      <c r="S70" s="305" t="e">
        <f t="shared" si="38"/>
        <v>#N/A</v>
      </c>
      <c r="T70" s="304">
        <f t="shared" si="8"/>
        <v>0</v>
      </c>
      <c r="U70" s="304">
        <f t="shared" si="54"/>
        <v>0</v>
      </c>
      <c r="V70" s="305" t="e">
        <f t="shared" si="9"/>
        <v>#N/A</v>
      </c>
      <c r="W70" s="305" t="e">
        <f t="shared" si="39"/>
        <v>#N/A</v>
      </c>
      <c r="X70" s="304">
        <f t="shared" si="40"/>
        <v>0.6767068641168964</v>
      </c>
      <c r="Z70" s="304" t="str">
        <f t="shared" si="41"/>
        <v/>
      </c>
      <c r="AA70" s="305" t="e">
        <f t="shared" si="10"/>
        <v>#N/A</v>
      </c>
      <c r="AB70" s="304">
        <f t="shared" si="11"/>
        <v>0.18279767338566724</v>
      </c>
      <c r="AC70" s="304" t="str">
        <f t="shared" si="42"/>
        <v/>
      </c>
      <c r="AD70" s="306">
        <f t="shared" si="12"/>
        <v>0</v>
      </c>
      <c r="AE70" s="307">
        <f t="shared" si="43"/>
        <v>0.18279767338566724</v>
      </c>
      <c r="AF70" s="308" t="e">
        <f t="shared" si="13"/>
        <v>#N/A</v>
      </c>
      <c r="AG70" s="306">
        <f t="shared" si="44"/>
        <v>15.783318829709975</v>
      </c>
      <c r="AH70" s="306">
        <f t="shared" si="14"/>
        <v>0</v>
      </c>
      <c r="AI70" s="306">
        <f t="shared" si="45"/>
        <v>0</v>
      </c>
      <c r="AJ70" s="306">
        <f t="shared" si="46"/>
        <v>0</v>
      </c>
      <c r="AK70" s="306">
        <f t="shared" si="15"/>
        <v>0</v>
      </c>
      <c r="AL70" s="306">
        <f t="shared" si="47"/>
        <v>0</v>
      </c>
      <c r="AM70" s="306">
        <f t="shared" si="16"/>
        <v>0</v>
      </c>
      <c r="AN70" s="304">
        <f>KcSplint!$N99</f>
        <v>0.63521427973810041</v>
      </c>
      <c r="AO70" s="304" t="str">
        <f t="shared" si="17"/>
        <v/>
      </c>
      <c r="AP70" s="304" t="str">
        <f t="shared" si="48"/>
        <v/>
      </c>
      <c r="AQ70" s="305" t="e">
        <f t="shared" si="49"/>
        <v>#N/A</v>
      </c>
      <c r="AR70" s="304" t="str">
        <f t="shared" si="50"/>
        <v/>
      </c>
      <c r="AS70" s="306">
        <f t="shared" si="18"/>
        <v>0</v>
      </c>
      <c r="AT70" s="307" t="e">
        <f t="shared" si="51"/>
        <v>#N/A</v>
      </c>
      <c r="AU70" s="307" t="e">
        <f t="shared" si="52"/>
        <v>#N/A</v>
      </c>
      <c r="AV70" s="304">
        <f t="shared" si="19"/>
        <v>0.27012829790668447</v>
      </c>
      <c r="AW70" s="309">
        <f t="shared" si="20"/>
        <v>14.873548128348258</v>
      </c>
      <c r="AX70" s="306">
        <f>IF(ISERROR(Weather!M54),#N/A,Weather!M54)</f>
        <v>0</v>
      </c>
      <c r="AY70" s="310">
        <f t="shared" si="21"/>
        <v>45</v>
      </c>
      <c r="AZ70" s="309">
        <f t="shared" si="22"/>
        <v>0.6767068641168964</v>
      </c>
      <c r="BA70" s="309">
        <f t="shared" si="23"/>
        <v>15.783318829709975</v>
      </c>
      <c r="BB70" s="311">
        <f>Irrig!H72</f>
        <v>0</v>
      </c>
      <c r="BC70" s="310">
        <f t="shared" si="24"/>
        <v>0</v>
      </c>
      <c r="BD70" s="309">
        <f t="shared" si="25"/>
        <v>0</v>
      </c>
      <c r="BE70" s="309">
        <f t="shared" si="26"/>
        <v>0</v>
      </c>
      <c r="BF70" s="306">
        <f>DailyMet!H53</f>
        <v>2.46</v>
      </c>
      <c r="BG70" s="306">
        <f>DailyMet!I53</f>
        <v>-2.7</v>
      </c>
      <c r="BH70" s="306">
        <f t="shared" si="27"/>
        <v>2.46</v>
      </c>
      <c r="BI70" s="306">
        <f t="shared" si="28"/>
        <v>10</v>
      </c>
      <c r="BJ70" s="306">
        <f t="shared" si="29"/>
        <v>-3.7699999999999996</v>
      </c>
      <c r="BK70" s="306">
        <f t="shared" si="53"/>
        <v>0</v>
      </c>
      <c r="BL70" s="304">
        <f t="shared" si="30"/>
        <v>0</v>
      </c>
      <c r="BM70" s="304">
        <f t="shared" si="31"/>
        <v>0</v>
      </c>
      <c r="BN70" s="304">
        <f t="shared" si="55"/>
        <v>0</v>
      </c>
      <c r="BO70" s="306">
        <f t="shared" si="56"/>
        <v>0</v>
      </c>
      <c r="BP70" s="306"/>
    </row>
    <row r="71" spans="1:68">
      <c r="A71" s="299">
        <f t="shared" si="1"/>
        <v>0</v>
      </c>
      <c r="B71" s="300">
        <f t="shared" si="32"/>
        <v>38036</v>
      </c>
      <c r="C71" s="301" t="e">
        <f t="shared" si="33"/>
        <v>#N/A</v>
      </c>
      <c r="D71" s="301" t="e">
        <f t="shared" si="2"/>
        <v>#N/A</v>
      </c>
      <c r="E71" s="299">
        <f t="shared" si="3"/>
        <v>50</v>
      </c>
      <c r="F71" s="396">
        <f>Weather!M55</f>
        <v>0</v>
      </c>
      <c r="G71" s="301">
        <f>IF(Weather!C55="","",Weather!C55)</f>
        <v>0.57082071628649456</v>
      </c>
      <c r="H71" s="301">
        <f>IF(Weather!D55="","",Weather!D55)</f>
        <v>0.20151220317447621</v>
      </c>
      <c r="I71" s="502">
        <f>IF(Weather!E55="","",Weather!E55)</f>
        <v>0.20151220317447621</v>
      </c>
      <c r="J71" s="397">
        <f>IF(RnSplint!N99&lt;0,0,RnSplint!N99)</f>
        <v>27.637954887673967</v>
      </c>
      <c r="K71" s="302">
        <f t="shared" si="34"/>
        <v>0</v>
      </c>
      <c r="L71" s="303">
        <f t="shared" si="35"/>
        <v>38036</v>
      </c>
      <c r="M71" s="346" t="str">
        <f t="shared" si="4"/>
        <v/>
      </c>
      <c r="N71" s="304">
        <f t="shared" si="36"/>
        <v>0</v>
      </c>
      <c r="O71" s="304">
        <f t="shared" si="37"/>
        <v>0</v>
      </c>
      <c r="P71" s="304">
        <f t="shared" si="5"/>
        <v>0</v>
      </c>
      <c r="Q71" s="304">
        <f t="shared" si="6"/>
        <v>0.67202407571219658</v>
      </c>
      <c r="R71" s="304">
        <f t="shared" si="7"/>
        <v>0.67202407571219658</v>
      </c>
      <c r="S71" s="305" t="e">
        <f t="shared" si="38"/>
        <v>#N/A</v>
      </c>
      <c r="T71" s="304">
        <f t="shared" si="8"/>
        <v>0</v>
      </c>
      <c r="U71" s="304">
        <f t="shared" si="54"/>
        <v>0</v>
      </c>
      <c r="V71" s="305" t="e">
        <f t="shared" si="9"/>
        <v>#N/A</v>
      </c>
      <c r="W71" s="305" t="e">
        <f t="shared" si="39"/>
        <v>#N/A</v>
      </c>
      <c r="X71" s="304">
        <f t="shared" si="40"/>
        <v>0.67202407571219658</v>
      </c>
      <c r="Z71" s="304" t="str">
        <f t="shared" si="41"/>
        <v/>
      </c>
      <c r="AA71" s="305" t="e">
        <f t="shared" si="10"/>
        <v>#N/A</v>
      </c>
      <c r="AB71" s="304">
        <f t="shared" si="11"/>
        <v>0.13542105208305574</v>
      </c>
      <c r="AC71" s="304" t="str">
        <f t="shared" si="42"/>
        <v/>
      </c>
      <c r="AD71" s="306">
        <f t="shared" si="12"/>
        <v>0</v>
      </c>
      <c r="AE71" s="307">
        <f t="shared" si="43"/>
        <v>0.13542105208305574</v>
      </c>
      <c r="AF71" s="308" t="e">
        <f t="shared" si="13"/>
        <v>#N/A</v>
      </c>
      <c r="AG71" s="306">
        <f t="shared" si="44"/>
        <v>15.984831032884451</v>
      </c>
      <c r="AH71" s="306">
        <f t="shared" si="14"/>
        <v>0</v>
      </c>
      <c r="AI71" s="306">
        <f t="shared" si="45"/>
        <v>0</v>
      </c>
      <c r="AJ71" s="306">
        <f t="shared" si="46"/>
        <v>0</v>
      </c>
      <c r="AK71" s="306">
        <f t="shared" si="15"/>
        <v>0</v>
      </c>
      <c r="AL71" s="306">
        <f t="shared" si="47"/>
        <v>0</v>
      </c>
      <c r="AM71" s="306">
        <f t="shared" si="16"/>
        <v>0</v>
      </c>
      <c r="AN71" s="304">
        <f>KcSplint!$N100</f>
        <v>0.6170680625372853</v>
      </c>
      <c r="AO71" s="304" t="str">
        <f t="shared" si="17"/>
        <v/>
      </c>
      <c r="AP71" s="304" t="str">
        <f t="shared" si="48"/>
        <v/>
      </c>
      <c r="AQ71" s="305" t="e">
        <f t="shared" si="49"/>
        <v>#N/A</v>
      </c>
      <c r="AR71" s="304" t="str">
        <f t="shared" si="50"/>
        <v/>
      </c>
      <c r="AS71" s="306">
        <f t="shared" si="18"/>
        <v>0</v>
      </c>
      <c r="AT71" s="307" t="e">
        <f t="shared" si="51"/>
        <v>#N/A</v>
      </c>
      <c r="AU71" s="307" t="e">
        <f t="shared" si="52"/>
        <v>#N/A</v>
      </c>
      <c r="AV71" s="304">
        <f t="shared" si="19"/>
        <v>0.20151220317447621</v>
      </c>
      <c r="AW71" s="309">
        <f t="shared" si="20"/>
        <v>15.075060331522733</v>
      </c>
      <c r="AX71" s="306">
        <f>IF(ISERROR(Weather!M55),#N/A,Weather!M55)</f>
        <v>0</v>
      </c>
      <c r="AY71" s="310">
        <f t="shared" si="21"/>
        <v>46</v>
      </c>
      <c r="AZ71" s="309">
        <f t="shared" si="22"/>
        <v>0.67202407571219658</v>
      </c>
      <c r="BA71" s="309">
        <f t="shared" si="23"/>
        <v>15.984831032884451</v>
      </c>
      <c r="BB71" s="311">
        <f>Irrig!H73</f>
        <v>0</v>
      </c>
      <c r="BC71" s="310">
        <f t="shared" si="24"/>
        <v>0</v>
      </c>
      <c r="BD71" s="309">
        <f t="shared" si="25"/>
        <v>0</v>
      </c>
      <c r="BE71" s="309">
        <f t="shared" si="26"/>
        <v>0</v>
      </c>
      <c r="BF71" s="306">
        <f>DailyMet!H54</f>
        <v>3.48</v>
      </c>
      <c r="BG71" s="306">
        <f>DailyMet!I54</f>
        <v>1.3</v>
      </c>
      <c r="BH71" s="306">
        <f t="shared" si="27"/>
        <v>3.48</v>
      </c>
      <c r="BI71" s="306">
        <f t="shared" si="28"/>
        <v>10</v>
      </c>
      <c r="BJ71" s="306">
        <f t="shared" si="29"/>
        <v>-3.26</v>
      </c>
      <c r="BK71" s="306">
        <f t="shared" si="53"/>
        <v>0</v>
      </c>
      <c r="BL71" s="304">
        <f t="shared" si="30"/>
        <v>0</v>
      </c>
      <c r="BM71" s="304">
        <f t="shared" si="31"/>
        <v>0</v>
      </c>
      <c r="BN71" s="304">
        <f t="shared" si="55"/>
        <v>0</v>
      </c>
      <c r="BO71" s="306">
        <f t="shared" si="56"/>
        <v>0</v>
      </c>
      <c r="BP71" s="306"/>
    </row>
    <row r="72" spans="1:68">
      <c r="A72" s="299">
        <f t="shared" si="1"/>
        <v>0</v>
      </c>
      <c r="B72" s="300">
        <f t="shared" si="32"/>
        <v>38037</v>
      </c>
      <c r="C72" s="301" t="e">
        <f t="shared" si="33"/>
        <v>#N/A</v>
      </c>
      <c r="D72" s="301" t="e">
        <f t="shared" si="2"/>
        <v>#N/A</v>
      </c>
      <c r="E72" s="299">
        <f t="shared" si="3"/>
        <v>51</v>
      </c>
      <c r="F72" s="396">
        <f>Weather!M56</f>
        <v>0</v>
      </c>
      <c r="G72" s="301">
        <f>IF(Weather!C56="","",Weather!C56)</f>
        <v>0.60006647538896551</v>
      </c>
      <c r="H72" s="301">
        <f>IF(Weather!D56="","",Weather!D56)</f>
        <v>0.40302323288783826</v>
      </c>
      <c r="I72" s="502">
        <f>IF(Weather!E56="","",Weather!E56)</f>
        <v>0.40302323288783826</v>
      </c>
      <c r="J72" s="397">
        <f>IF(RnSplint!N100&lt;0,0,RnSplint!N100)</f>
        <v>27.60273240242044</v>
      </c>
      <c r="K72" s="302">
        <f t="shared" si="34"/>
        <v>0</v>
      </c>
      <c r="L72" s="303">
        <f t="shared" si="35"/>
        <v>38037</v>
      </c>
      <c r="M72" s="346" t="str">
        <f t="shared" si="4"/>
        <v/>
      </c>
      <c r="N72" s="304">
        <f t="shared" si="36"/>
        <v>0</v>
      </c>
      <c r="O72" s="304">
        <f t="shared" si="37"/>
        <v>0</v>
      </c>
      <c r="P72" s="304">
        <f t="shared" si="5"/>
        <v>0</v>
      </c>
      <c r="Q72" s="304">
        <f t="shared" si="6"/>
        <v>0.6629372739391397</v>
      </c>
      <c r="R72" s="304">
        <f t="shared" si="7"/>
        <v>0.6629372739391397</v>
      </c>
      <c r="S72" s="305" t="e">
        <f t="shared" si="38"/>
        <v>#N/A</v>
      </c>
      <c r="T72" s="304">
        <f t="shared" si="8"/>
        <v>0</v>
      </c>
      <c r="U72" s="304">
        <f t="shared" si="54"/>
        <v>0</v>
      </c>
      <c r="V72" s="305" t="e">
        <f t="shared" si="9"/>
        <v>#N/A</v>
      </c>
      <c r="W72" s="305" t="e">
        <f t="shared" si="39"/>
        <v>#N/A</v>
      </c>
      <c r="X72" s="304">
        <f t="shared" si="40"/>
        <v>0.6629372739391397</v>
      </c>
      <c r="Z72" s="304" t="str">
        <f t="shared" si="41"/>
        <v/>
      </c>
      <c r="AA72" s="305" t="e">
        <f t="shared" si="10"/>
        <v>#N/A</v>
      </c>
      <c r="AB72" s="304">
        <f t="shared" si="11"/>
        <v>0.26717912334480254</v>
      </c>
      <c r="AC72" s="304" t="str">
        <f t="shared" si="42"/>
        <v/>
      </c>
      <c r="AD72" s="306">
        <f t="shared" si="12"/>
        <v>0</v>
      </c>
      <c r="AE72" s="307">
        <f t="shared" si="43"/>
        <v>0.26717912334480254</v>
      </c>
      <c r="AF72" s="308" t="e">
        <f t="shared" si="13"/>
        <v>#N/A</v>
      </c>
      <c r="AG72" s="306">
        <f t="shared" si="44"/>
        <v>16.38785426577229</v>
      </c>
      <c r="AH72" s="306">
        <f t="shared" si="14"/>
        <v>0</v>
      </c>
      <c r="AI72" s="306">
        <f t="shared" si="45"/>
        <v>0</v>
      </c>
      <c r="AJ72" s="306">
        <f t="shared" si="46"/>
        <v>0</v>
      </c>
      <c r="AK72" s="306">
        <f t="shared" si="15"/>
        <v>0</v>
      </c>
      <c r="AL72" s="306">
        <f t="shared" si="47"/>
        <v>0</v>
      </c>
      <c r="AM72" s="306">
        <f t="shared" si="16"/>
        <v>0</v>
      </c>
      <c r="AN72" s="304">
        <f>KcSplint!$N101</f>
        <v>0.59916447013501561</v>
      </c>
      <c r="AO72" s="304" t="str">
        <f t="shared" si="17"/>
        <v/>
      </c>
      <c r="AP72" s="304" t="str">
        <f t="shared" si="48"/>
        <v/>
      </c>
      <c r="AQ72" s="305" t="e">
        <f t="shared" si="49"/>
        <v>#N/A</v>
      </c>
      <c r="AR72" s="304" t="str">
        <f t="shared" si="50"/>
        <v/>
      </c>
      <c r="AS72" s="306">
        <f t="shared" si="18"/>
        <v>0</v>
      </c>
      <c r="AT72" s="307" t="e">
        <f t="shared" si="51"/>
        <v>#N/A</v>
      </c>
      <c r="AU72" s="307" t="e">
        <f t="shared" si="52"/>
        <v>#N/A</v>
      </c>
      <c r="AV72" s="304">
        <f t="shared" si="19"/>
        <v>0.40302323288783826</v>
      </c>
      <c r="AW72" s="309">
        <f t="shared" si="20"/>
        <v>15.478083564410571</v>
      </c>
      <c r="AX72" s="306">
        <f>IF(ISERROR(Weather!M56),#N/A,Weather!M56)</f>
        <v>0</v>
      </c>
      <c r="AY72" s="310">
        <f t="shared" si="21"/>
        <v>47</v>
      </c>
      <c r="AZ72" s="309">
        <f t="shared" si="22"/>
        <v>0.6629372739391397</v>
      </c>
      <c r="BA72" s="309">
        <f t="shared" si="23"/>
        <v>16.38785426577229</v>
      </c>
      <c r="BB72" s="311">
        <f>Irrig!H74</f>
        <v>0</v>
      </c>
      <c r="BC72" s="310">
        <f t="shared" si="24"/>
        <v>0</v>
      </c>
      <c r="BD72" s="309">
        <f t="shared" si="25"/>
        <v>0</v>
      </c>
      <c r="BE72" s="309">
        <f t="shared" si="26"/>
        <v>0</v>
      </c>
      <c r="BF72" s="306">
        <f>DailyMet!H55</f>
        <v>3.03</v>
      </c>
      <c r="BG72" s="306">
        <f>DailyMet!I55</f>
        <v>0.6</v>
      </c>
      <c r="BH72" s="306">
        <f t="shared" si="27"/>
        <v>3.03</v>
      </c>
      <c r="BI72" s="306">
        <f t="shared" si="28"/>
        <v>10</v>
      </c>
      <c r="BJ72" s="306">
        <f t="shared" si="29"/>
        <v>-3.4850000000000003</v>
      </c>
      <c r="BK72" s="306">
        <f t="shared" si="53"/>
        <v>0</v>
      </c>
      <c r="BL72" s="304">
        <f t="shared" si="30"/>
        <v>0</v>
      </c>
      <c r="BM72" s="304">
        <f t="shared" si="31"/>
        <v>0</v>
      </c>
      <c r="BN72" s="304">
        <f t="shared" si="55"/>
        <v>0</v>
      </c>
      <c r="BO72" s="306">
        <f t="shared" si="56"/>
        <v>0</v>
      </c>
      <c r="BP72" s="306"/>
    </row>
    <row r="73" spans="1:68">
      <c r="A73" s="299">
        <f t="shared" si="1"/>
        <v>0</v>
      </c>
      <c r="B73" s="300">
        <f t="shared" si="32"/>
        <v>38038</v>
      </c>
      <c r="C73" s="301" t="e">
        <f t="shared" si="33"/>
        <v>#N/A</v>
      </c>
      <c r="D73" s="301" t="e">
        <f t="shared" si="2"/>
        <v>#N/A</v>
      </c>
      <c r="E73" s="299">
        <f t="shared" si="3"/>
        <v>52</v>
      </c>
      <c r="F73" s="396">
        <f>Weather!M57</f>
        <v>0</v>
      </c>
      <c r="G73" s="301">
        <f>IF(Weather!C57="","",Weather!C57)</f>
        <v>0.63047227611468248</v>
      </c>
      <c r="H73" s="301">
        <f>IF(Weather!D57="","",Weather!D57)</f>
        <v>0.52880251796818045</v>
      </c>
      <c r="I73" s="502">
        <f>IF(Weather!E57="","",Weather!E57)</f>
        <v>0.52880251796818045</v>
      </c>
      <c r="J73" s="397">
        <f>IF(RnSplint!N101&lt;0,0,RnSplint!N101)</f>
        <v>27.587834841474276</v>
      </c>
      <c r="K73" s="302">
        <f t="shared" si="34"/>
        <v>0</v>
      </c>
      <c r="L73" s="303">
        <f t="shared" si="35"/>
        <v>38038</v>
      </c>
      <c r="M73" s="346" t="str">
        <f t="shared" si="4"/>
        <v/>
      </c>
      <c r="N73" s="304">
        <f t="shared" si="36"/>
        <v>0</v>
      </c>
      <c r="O73" s="304">
        <f t="shared" si="37"/>
        <v>0</v>
      </c>
      <c r="P73" s="304">
        <f t="shared" si="5"/>
        <v>0</v>
      </c>
      <c r="Q73" s="304">
        <f t="shared" si="6"/>
        <v>0.65154463023948583</v>
      </c>
      <c r="R73" s="304">
        <f t="shared" si="7"/>
        <v>0.65154463023948583</v>
      </c>
      <c r="S73" s="305" t="e">
        <f t="shared" si="38"/>
        <v>#N/A</v>
      </c>
      <c r="T73" s="304">
        <f t="shared" si="8"/>
        <v>0</v>
      </c>
      <c r="U73" s="304">
        <f t="shared" si="54"/>
        <v>0</v>
      </c>
      <c r="V73" s="305" t="e">
        <f t="shared" si="9"/>
        <v>#N/A</v>
      </c>
      <c r="W73" s="305" t="e">
        <f t="shared" si="39"/>
        <v>#N/A</v>
      </c>
      <c r="X73" s="304">
        <f t="shared" si="40"/>
        <v>0.65154463023948583</v>
      </c>
      <c r="Z73" s="304" t="str">
        <f t="shared" si="41"/>
        <v/>
      </c>
      <c r="AA73" s="305" t="e">
        <f t="shared" si="10"/>
        <v>#N/A</v>
      </c>
      <c r="AB73" s="304">
        <f t="shared" si="11"/>
        <v>0.34453844103928721</v>
      </c>
      <c r="AC73" s="304" t="str">
        <f t="shared" si="42"/>
        <v/>
      </c>
      <c r="AD73" s="306">
        <f t="shared" si="12"/>
        <v>0</v>
      </c>
      <c r="AE73" s="307">
        <f t="shared" si="43"/>
        <v>0.34453844103928721</v>
      </c>
      <c r="AF73" s="308" t="e">
        <f t="shared" si="13"/>
        <v>#N/A</v>
      </c>
      <c r="AG73" s="306">
        <f t="shared" si="44"/>
        <v>16.916656783740471</v>
      </c>
      <c r="AH73" s="306">
        <f t="shared" si="14"/>
        <v>0</v>
      </c>
      <c r="AI73" s="306">
        <f t="shared" si="45"/>
        <v>0</v>
      </c>
      <c r="AJ73" s="306">
        <f t="shared" si="46"/>
        <v>0</v>
      </c>
      <c r="AK73" s="306">
        <f t="shared" si="15"/>
        <v>0</v>
      </c>
      <c r="AL73" s="306">
        <f t="shared" si="47"/>
        <v>0</v>
      </c>
      <c r="AM73" s="306">
        <f t="shared" si="16"/>
        <v>0</v>
      </c>
      <c r="AN73" s="304">
        <f>KcSplint!$N102</f>
        <v>0.58156828015682827</v>
      </c>
      <c r="AO73" s="304" t="str">
        <f t="shared" si="17"/>
        <v/>
      </c>
      <c r="AP73" s="304" t="str">
        <f t="shared" si="48"/>
        <v/>
      </c>
      <c r="AQ73" s="305" t="e">
        <f t="shared" si="49"/>
        <v>#N/A</v>
      </c>
      <c r="AR73" s="304" t="str">
        <f t="shared" si="50"/>
        <v/>
      </c>
      <c r="AS73" s="306">
        <f t="shared" si="18"/>
        <v>0</v>
      </c>
      <c r="AT73" s="307" t="e">
        <f t="shared" si="51"/>
        <v>#N/A</v>
      </c>
      <c r="AU73" s="307" t="e">
        <f t="shared" si="52"/>
        <v>#N/A</v>
      </c>
      <c r="AV73" s="304">
        <f t="shared" si="19"/>
        <v>0.52880251796818045</v>
      </c>
      <c r="AW73" s="309">
        <f t="shared" si="20"/>
        <v>16.006886082378752</v>
      </c>
      <c r="AX73" s="306">
        <f>IF(ISERROR(Weather!M57),#N/A,Weather!M57)</f>
        <v>0</v>
      </c>
      <c r="AY73" s="310">
        <f t="shared" si="21"/>
        <v>48</v>
      </c>
      <c r="AZ73" s="309">
        <f t="shared" si="22"/>
        <v>0.65154463023948583</v>
      </c>
      <c r="BA73" s="309">
        <f t="shared" si="23"/>
        <v>16.916656783740471</v>
      </c>
      <c r="BB73" s="311">
        <f>Irrig!H75</f>
        <v>0</v>
      </c>
      <c r="BC73" s="310">
        <f t="shared" si="24"/>
        <v>0</v>
      </c>
      <c r="BD73" s="309">
        <f t="shared" si="25"/>
        <v>0</v>
      </c>
      <c r="BE73" s="309">
        <f t="shared" si="26"/>
        <v>0</v>
      </c>
      <c r="BF73" s="306">
        <f>DailyMet!H56</f>
        <v>4.3499999999999996</v>
      </c>
      <c r="BG73" s="306">
        <f>DailyMet!I56</f>
        <v>-0.7</v>
      </c>
      <c r="BH73" s="306">
        <f t="shared" si="27"/>
        <v>4.3499999999999996</v>
      </c>
      <c r="BI73" s="306">
        <f t="shared" si="28"/>
        <v>10</v>
      </c>
      <c r="BJ73" s="306">
        <f t="shared" si="29"/>
        <v>-2.8250000000000002</v>
      </c>
      <c r="BK73" s="306">
        <f t="shared" si="53"/>
        <v>0</v>
      </c>
      <c r="BL73" s="304">
        <f t="shared" si="30"/>
        <v>0</v>
      </c>
      <c r="BM73" s="304">
        <f t="shared" si="31"/>
        <v>0</v>
      </c>
      <c r="BN73" s="304">
        <f t="shared" si="55"/>
        <v>0</v>
      </c>
      <c r="BO73" s="306">
        <f t="shared" si="56"/>
        <v>0</v>
      </c>
      <c r="BP73" s="306"/>
    </row>
    <row r="74" spans="1:68">
      <c r="A74" s="299">
        <f t="shared" si="1"/>
        <v>0</v>
      </c>
      <c r="B74" s="300">
        <f t="shared" si="32"/>
        <v>38039</v>
      </c>
      <c r="C74" s="301" t="e">
        <f t="shared" si="33"/>
        <v>#N/A</v>
      </c>
      <c r="D74" s="301" t="e">
        <f t="shared" si="2"/>
        <v>#N/A</v>
      </c>
      <c r="E74" s="299">
        <f t="shared" si="3"/>
        <v>53</v>
      </c>
      <c r="F74" s="396">
        <f>Weather!M58</f>
        <v>0</v>
      </c>
      <c r="G74" s="301">
        <f>IF(Weather!C58="","",Weather!C58)</f>
        <v>0.66189341495726361</v>
      </c>
      <c r="H74" s="301">
        <f>IF(Weather!D58="","",Weather!D58)</f>
        <v>0.35968353967974764</v>
      </c>
      <c r="I74" s="502">
        <f>IF(Weather!E58="","",Weather!E58)</f>
        <v>0.35968353967974764</v>
      </c>
      <c r="J74" s="397">
        <f>IF(RnSplint!N102&lt;0,0,RnSplint!N102)</f>
        <v>27.592366908423564</v>
      </c>
      <c r="K74" s="302">
        <f t="shared" si="34"/>
        <v>0</v>
      </c>
      <c r="L74" s="303">
        <f t="shared" si="35"/>
        <v>38039</v>
      </c>
      <c r="M74" s="346" t="str">
        <f t="shared" si="4"/>
        <v/>
      </c>
      <c r="N74" s="304">
        <f t="shared" si="36"/>
        <v>0</v>
      </c>
      <c r="O74" s="304">
        <f t="shared" si="37"/>
        <v>0</v>
      </c>
      <c r="P74" s="304">
        <f t="shared" si="5"/>
        <v>0</v>
      </c>
      <c r="Q74" s="304">
        <f t="shared" si="6"/>
        <v>0.6441163939208342</v>
      </c>
      <c r="R74" s="304">
        <f t="shared" si="7"/>
        <v>0.6441163939208342</v>
      </c>
      <c r="S74" s="305" t="e">
        <f t="shared" si="38"/>
        <v>#N/A</v>
      </c>
      <c r="T74" s="304">
        <f t="shared" si="8"/>
        <v>0</v>
      </c>
      <c r="U74" s="304">
        <f t="shared" si="54"/>
        <v>0</v>
      </c>
      <c r="V74" s="305" t="e">
        <f t="shared" si="9"/>
        <v>#N/A</v>
      </c>
      <c r="W74" s="305" t="e">
        <f t="shared" si="39"/>
        <v>#N/A</v>
      </c>
      <c r="X74" s="304">
        <f t="shared" si="40"/>
        <v>0.6441163939208342</v>
      </c>
      <c r="Z74" s="304" t="str">
        <f t="shared" si="41"/>
        <v/>
      </c>
      <c r="AA74" s="305" t="e">
        <f t="shared" si="10"/>
        <v>#N/A</v>
      </c>
      <c r="AB74" s="304">
        <f t="shared" si="11"/>
        <v>0.23167806453120032</v>
      </c>
      <c r="AC74" s="304" t="str">
        <f t="shared" si="42"/>
        <v/>
      </c>
      <c r="AD74" s="306">
        <f t="shared" si="12"/>
        <v>0</v>
      </c>
      <c r="AE74" s="307">
        <f t="shared" si="43"/>
        <v>0.23167806453120032</v>
      </c>
      <c r="AF74" s="308" t="e">
        <f t="shared" si="13"/>
        <v>#N/A</v>
      </c>
      <c r="AG74" s="306">
        <f t="shared" si="44"/>
        <v>17.276340323420218</v>
      </c>
      <c r="AH74" s="306">
        <f t="shared" si="14"/>
        <v>0</v>
      </c>
      <c r="AI74" s="306">
        <f t="shared" si="45"/>
        <v>0</v>
      </c>
      <c r="AJ74" s="306">
        <f t="shared" si="46"/>
        <v>0</v>
      </c>
      <c r="AK74" s="306">
        <f t="shared" si="15"/>
        <v>0</v>
      </c>
      <c r="AL74" s="306">
        <f t="shared" si="47"/>
        <v>0</v>
      </c>
      <c r="AM74" s="306">
        <f t="shared" si="16"/>
        <v>0</v>
      </c>
      <c r="AN74" s="304">
        <f>KcSplint!$N103</f>
        <v>0.56434427022825939</v>
      </c>
      <c r="AO74" s="304" t="str">
        <f t="shared" si="17"/>
        <v/>
      </c>
      <c r="AP74" s="304" t="str">
        <f t="shared" si="48"/>
        <v/>
      </c>
      <c r="AQ74" s="305" t="e">
        <f t="shared" si="49"/>
        <v>#N/A</v>
      </c>
      <c r="AR74" s="304" t="str">
        <f t="shared" si="50"/>
        <v/>
      </c>
      <c r="AS74" s="306">
        <f t="shared" si="18"/>
        <v>0</v>
      </c>
      <c r="AT74" s="307" t="e">
        <f t="shared" si="51"/>
        <v>#N/A</v>
      </c>
      <c r="AU74" s="307" t="e">
        <f t="shared" si="52"/>
        <v>#N/A</v>
      </c>
      <c r="AV74" s="304">
        <f t="shared" si="19"/>
        <v>0.35968353967974764</v>
      </c>
      <c r="AW74" s="309">
        <f t="shared" si="20"/>
        <v>16.366569622058499</v>
      </c>
      <c r="AX74" s="306">
        <f>IF(ISERROR(Weather!M58),#N/A,Weather!M58)</f>
        <v>0</v>
      </c>
      <c r="AY74" s="310">
        <f t="shared" si="21"/>
        <v>49</v>
      </c>
      <c r="AZ74" s="309">
        <f t="shared" si="22"/>
        <v>0.6441163939208342</v>
      </c>
      <c r="BA74" s="309">
        <f t="shared" si="23"/>
        <v>17.276340323420218</v>
      </c>
      <c r="BB74" s="311">
        <f>Irrig!H76</f>
        <v>0</v>
      </c>
      <c r="BC74" s="310">
        <f t="shared" si="24"/>
        <v>0</v>
      </c>
      <c r="BD74" s="309">
        <f t="shared" si="25"/>
        <v>0</v>
      </c>
      <c r="BE74" s="309">
        <f t="shared" si="26"/>
        <v>0</v>
      </c>
      <c r="BF74" s="306">
        <f>DailyMet!H57</f>
        <v>4.3600000000000003</v>
      </c>
      <c r="BG74" s="306">
        <f>DailyMet!I57</f>
        <v>-1.2</v>
      </c>
      <c r="BH74" s="306">
        <f t="shared" si="27"/>
        <v>4.3600000000000003</v>
      </c>
      <c r="BI74" s="306">
        <f t="shared" si="28"/>
        <v>10</v>
      </c>
      <c r="BJ74" s="306">
        <f t="shared" si="29"/>
        <v>-2.8200000000000003</v>
      </c>
      <c r="BK74" s="306">
        <f t="shared" si="53"/>
        <v>0</v>
      </c>
      <c r="BL74" s="304">
        <f t="shared" si="30"/>
        <v>0</v>
      </c>
      <c r="BM74" s="304">
        <f t="shared" si="31"/>
        <v>0</v>
      </c>
      <c r="BN74" s="304">
        <f t="shared" si="55"/>
        <v>0</v>
      </c>
      <c r="BO74" s="306">
        <f t="shared" si="56"/>
        <v>0</v>
      </c>
      <c r="BP74" s="306"/>
    </row>
    <row r="75" spans="1:68">
      <c r="A75" s="299">
        <f t="shared" si="1"/>
        <v>0</v>
      </c>
      <c r="B75" s="300">
        <f t="shared" si="32"/>
        <v>38040</v>
      </c>
      <c r="C75" s="301" t="e">
        <f t="shared" si="33"/>
        <v>#N/A</v>
      </c>
      <c r="D75" s="301" t="e">
        <f t="shared" si="2"/>
        <v>#N/A</v>
      </c>
      <c r="E75" s="299">
        <f t="shared" si="3"/>
        <v>54</v>
      </c>
      <c r="F75" s="396">
        <f>Weather!M59</f>
        <v>0</v>
      </c>
      <c r="G75" s="301">
        <f>IF(Weather!C59="","",Weather!C59)</f>
        <v>0.69418518841032661</v>
      </c>
      <c r="H75" s="301">
        <f>IF(Weather!D59="","",Weather!D59)</f>
        <v>0.83176917696877539</v>
      </c>
      <c r="I75" s="502">
        <f>IF(Weather!E59="","",Weather!E59)</f>
        <v>0.83176917696877539</v>
      </c>
      <c r="J75" s="397">
        <f>IF(RnSplint!N103&lt;0,0,RnSplint!N103)</f>
        <v>27.615433306856382</v>
      </c>
      <c r="K75" s="302">
        <f t="shared" si="34"/>
        <v>0</v>
      </c>
      <c r="L75" s="303">
        <f t="shared" si="35"/>
        <v>38040</v>
      </c>
      <c r="M75" s="346" t="str">
        <f t="shared" si="4"/>
        <v/>
      </c>
      <c r="N75" s="304">
        <f t="shared" si="36"/>
        <v>0</v>
      </c>
      <c r="O75" s="304">
        <f t="shared" si="37"/>
        <v>0</v>
      </c>
      <c r="P75" s="304">
        <f t="shared" si="5"/>
        <v>0</v>
      </c>
      <c r="Q75" s="304">
        <f t="shared" si="6"/>
        <v>0.62784938410928248</v>
      </c>
      <c r="R75" s="304">
        <f t="shared" si="7"/>
        <v>0.62784938410928248</v>
      </c>
      <c r="S75" s="305" t="e">
        <f t="shared" si="38"/>
        <v>#N/A</v>
      </c>
      <c r="T75" s="304">
        <f t="shared" si="8"/>
        <v>0</v>
      </c>
      <c r="U75" s="304">
        <f t="shared" si="54"/>
        <v>0</v>
      </c>
      <c r="V75" s="305" t="e">
        <f t="shared" si="9"/>
        <v>#N/A</v>
      </c>
      <c r="W75" s="305" t="e">
        <f t="shared" si="39"/>
        <v>#N/A</v>
      </c>
      <c r="X75" s="304">
        <f t="shared" si="40"/>
        <v>0.62784938410928248</v>
      </c>
      <c r="Z75" s="304" t="str">
        <f t="shared" si="41"/>
        <v/>
      </c>
      <c r="AA75" s="305" t="e">
        <f t="shared" si="10"/>
        <v>#N/A</v>
      </c>
      <c r="AB75" s="304">
        <f t="shared" si="11"/>
        <v>0.52222576548093047</v>
      </c>
      <c r="AC75" s="304" t="str">
        <f t="shared" si="42"/>
        <v/>
      </c>
      <c r="AD75" s="306">
        <f t="shared" si="12"/>
        <v>0</v>
      </c>
      <c r="AE75" s="307">
        <f t="shared" si="43"/>
        <v>0.52222576548093047</v>
      </c>
      <c r="AF75" s="308" t="e">
        <f t="shared" si="13"/>
        <v>#N/A</v>
      </c>
      <c r="AG75" s="306">
        <f t="shared" si="44"/>
        <v>18.108109500388995</v>
      </c>
      <c r="AH75" s="306">
        <f t="shared" si="14"/>
        <v>0</v>
      </c>
      <c r="AI75" s="306">
        <f t="shared" si="45"/>
        <v>0</v>
      </c>
      <c r="AJ75" s="306">
        <f t="shared" si="46"/>
        <v>0</v>
      </c>
      <c r="AK75" s="306">
        <f t="shared" si="15"/>
        <v>0</v>
      </c>
      <c r="AL75" s="306">
        <f t="shared" si="47"/>
        <v>0</v>
      </c>
      <c r="AM75" s="306">
        <f t="shared" si="16"/>
        <v>0</v>
      </c>
      <c r="AN75" s="304">
        <f>KcSplint!$N104</f>
        <v>0.54755721797484602</v>
      </c>
      <c r="AO75" s="304" t="str">
        <f t="shared" si="17"/>
        <v/>
      </c>
      <c r="AP75" s="304" t="str">
        <f t="shared" si="48"/>
        <v/>
      </c>
      <c r="AQ75" s="305" t="e">
        <f t="shared" si="49"/>
        <v>#N/A</v>
      </c>
      <c r="AR75" s="304" t="str">
        <f t="shared" si="50"/>
        <v/>
      </c>
      <c r="AS75" s="306">
        <f t="shared" si="18"/>
        <v>0</v>
      </c>
      <c r="AT75" s="307" t="e">
        <f t="shared" si="51"/>
        <v>#N/A</v>
      </c>
      <c r="AU75" s="307" t="e">
        <f t="shared" si="52"/>
        <v>#N/A</v>
      </c>
      <c r="AV75" s="304">
        <f t="shared" si="19"/>
        <v>0.83176917696877539</v>
      </c>
      <c r="AW75" s="309">
        <f t="shared" si="20"/>
        <v>17.198338799027276</v>
      </c>
      <c r="AX75" s="306">
        <f>IF(ISERROR(Weather!M59),#N/A,Weather!M59)</f>
        <v>0</v>
      </c>
      <c r="AY75" s="310">
        <f t="shared" si="21"/>
        <v>50</v>
      </c>
      <c r="AZ75" s="309">
        <f t="shared" si="22"/>
        <v>0.62784938410928248</v>
      </c>
      <c r="BA75" s="309">
        <f t="shared" si="23"/>
        <v>18.108109500388995</v>
      </c>
      <c r="BB75" s="311">
        <f>Irrig!H77</f>
        <v>0</v>
      </c>
      <c r="BC75" s="310">
        <f t="shared" si="24"/>
        <v>0</v>
      </c>
      <c r="BD75" s="309">
        <f t="shared" si="25"/>
        <v>0</v>
      </c>
      <c r="BE75" s="309">
        <f t="shared" si="26"/>
        <v>0</v>
      </c>
      <c r="BF75" s="306">
        <f>DailyMet!H58</f>
        <v>6.97</v>
      </c>
      <c r="BG75" s="306">
        <f>DailyMet!I58</f>
        <v>-0.4</v>
      </c>
      <c r="BH75" s="306">
        <f t="shared" si="27"/>
        <v>6.97</v>
      </c>
      <c r="BI75" s="306">
        <f t="shared" si="28"/>
        <v>10</v>
      </c>
      <c r="BJ75" s="306">
        <f t="shared" si="29"/>
        <v>-1.5150000000000006</v>
      </c>
      <c r="BK75" s="306">
        <f t="shared" si="53"/>
        <v>0</v>
      </c>
      <c r="BL75" s="304">
        <f t="shared" si="30"/>
        <v>0</v>
      </c>
      <c r="BM75" s="304">
        <f t="shared" si="31"/>
        <v>0</v>
      </c>
      <c r="BN75" s="304">
        <f t="shared" si="55"/>
        <v>0</v>
      </c>
      <c r="BO75" s="306">
        <f t="shared" si="56"/>
        <v>0</v>
      </c>
      <c r="BP75" s="306"/>
    </row>
    <row r="76" spans="1:68">
      <c r="A76" s="299">
        <f t="shared" si="1"/>
        <v>0</v>
      </c>
      <c r="B76" s="300">
        <f t="shared" si="32"/>
        <v>38041</v>
      </c>
      <c r="C76" s="301" t="e">
        <f t="shared" si="33"/>
        <v>#N/A</v>
      </c>
      <c r="D76" s="301" t="e">
        <f t="shared" si="2"/>
        <v>#N/A</v>
      </c>
      <c r="E76" s="299">
        <f t="shared" si="3"/>
        <v>55</v>
      </c>
      <c r="F76" s="396">
        <f>Weather!M60</f>
        <v>0</v>
      </c>
      <c r="G76" s="301">
        <f>IF(Weather!C60="","",Weather!C60)</f>
        <v>0.72720289296748974</v>
      </c>
      <c r="H76" s="301">
        <f>IF(Weather!D60="","",Weather!D60)</f>
        <v>0.65738291518508896</v>
      </c>
      <c r="I76" s="502">
        <f>IF(Weather!E60="","",Weather!E60)</f>
        <v>0.65738291518508896</v>
      </c>
      <c r="J76" s="397">
        <f>IF(RnSplint!N104&lt;0,0,RnSplint!N104)</f>
        <v>27.656138740360827</v>
      </c>
      <c r="K76" s="302">
        <f t="shared" si="34"/>
        <v>0</v>
      </c>
      <c r="L76" s="303">
        <f t="shared" si="35"/>
        <v>38041</v>
      </c>
      <c r="M76" s="346" t="str">
        <f t="shared" si="4"/>
        <v/>
      </c>
      <c r="N76" s="304">
        <f t="shared" si="36"/>
        <v>0</v>
      </c>
      <c r="O76" s="304">
        <f t="shared" si="37"/>
        <v>0</v>
      </c>
      <c r="P76" s="304">
        <f t="shared" si="5"/>
        <v>0</v>
      </c>
      <c r="Q76" s="304">
        <f t="shared" si="6"/>
        <v>0.61581372451942351</v>
      </c>
      <c r="R76" s="304">
        <f t="shared" si="7"/>
        <v>0.61581372451942351</v>
      </c>
      <c r="S76" s="305" t="e">
        <f t="shared" si="38"/>
        <v>#N/A</v>
      </c>
      <c r="T76" s="304">
        <f t="shared" si="8"/>
        <v>0</v>
      </c>
      <c r="U76" s="304">
        <f t="shared" si="54"/>
        <v>0</v>
      </c>
      <c r="V76" s="305" t="e">
        <f t="shared" si="9"/>
        <v>#N/A</v>
      </c>
      <c r="W76" s="305" t="e">
        <f t="shared" si="39"/>
        <v>#N/A</v>
      </c>
      <c r="X76" s="304">
        <f t="shared" si="40"/>
        <v>0.61581372451942351</v>
      </c>
      <c r="Z76" s="304" t="str">
        <f t="shared" si="41"/>
        <v/>
      </c>
      <c r="AA76" s="305" t="e">
        <f t="shared" si="10"/>
        <v>#N/A</v>
      </c>
      <c r="AB76" s="304">
        <f t="shared" si="11"/>
        <v>0.40482542143556594</v>
      </c>
      <c r="AC76" s="304" t="str">
        <f t="shared" si="42"/>
        <v/>
      </c>
      <c r="AD76" s="306">
        <f t="shared" si="12"/>
        <v>0</v>
      </c>
      <c r="AE76" s="307">
        <f t="shared" si="43"/>
        <v>0.40482542143556594</v>
      </c>
      <c r="AF76" s="308" t="e">
        <f t="shared" si="13"/>
        <v>#N/A</v>
      </c>
      <c r="AG76" s="306">
        <f t="shared" si="44"/>
        <v>18.765492415574084</v>
      </c>
      <c r="AH76" s="306">
        <f t="shared" si="14"/>
        <v>0</v>
      </c>
      <c r="AI76" s="306">
        <f t="shared" si="45"/>
        <v>0</v>
      </c>
      <c r="AJ76" s="306">
        <f t="shared" si="46"/>
        <v>0</v>
      </c>
      <c r="AK76" s="306">
        <f t="shared" si="15"/>
        <v>0</v>
      </c>
      <c r="AL76" s="306">
        <f t="shared" si="47"/>
        <v>0</v>
      </c>
      <c r="AM76" s="306">
        <f t="shared" si="16"/>
        <v>0</v>
      </c>
      <c r="AN76" s="304">
        <f>KcSplint!$N105</f>
        <v>0.53127190102212463</v>
      </c>
      <c r="AO76" s="304" t="str">
        <f t="shared" si="17"/>
        <v/>
      </c>
      <c r="AP76" s="304" t="str">
        <f t="shared" si="48"/>
        <v/>
      </c>
      <c r="AQ76" s="305" t="e">
        <f t="shared" si="49"/>
        <v>#N/A</v>
      </c>
      <c r="AR76" s="304" t="str">
        <f t="shared" si="50"/>
        <v/>
      </c>
      <c r="AS76" s="306">
        <f t="shared" si="18"/>
        <v>0</v>
      </c>
      <c r="AT76" s="307" t="e">
        <f t="shared" si="51"/>
        <v>#N/A</v>
      </c>
      <c r="AU76" s="307" t="e">
        <f t="shared" si="52"/>
        <v>#N/A</v>
      </c>
      <c r="AV76" s="304">
        <f t="shared" si="19"/>
        <v>0.65738291518508896</v>
      </c>
      <c r="AW76" s="309">
        <f t="shared" si="20"/>
        <v>17.855721714212365</v>
      </c>
      <c r="AX76" s="306">
        <f>IF(ISERROR(Weather!M60),#N/A,Weather!M60)</f>
        <v>0</v>
      </c>
      <c r="AY76" s="310">
        <f t="shared" si="21"/>
        <v>51</v>
      </c>
      <c r="AZ76" s="309">
        <f t="shared" si="22"/>
        <v>0.61581372451942351</v>
      </c>
      <c r="BA76" s="309">
        <f t="shared" si="23"/>
        <v>18.765492415574084</v>
      </c>
      <c r="BB76" s="311">
        <f>Irrig!H78</f>
        <v>0</v>
      </c>
      <c r="BC76" s="310">
        <f t="shared" si="24"/>
        <v>0</v>
      </c>
      <c r="BD76" s="309">
        <f t="shared" si="25"/>
        <v>0</v>
      </c>
      <c r="BE76" s="309">
        <f t="shared" si="26"/>
        <v>0</v>
      </c>
      <c r="BF76" s="306">
        <f>DailyMet!H59</f>
        <v>9.52</v>
      </c>
      <c r="BG76" s="306">
        <f>DailyMet!I59</f>
        <v>2.8</v>
      </c>
      <c r="BH76" s="306">
        <f t="shared" si="27"/>
        <v>9.52</v>
      </c>
      <c r="BI76" s="306">
        <f t="shared" si="28"/>
        <v>10</v>
      </c>
      <c r="BJ76" s="306">
        <f t="shared" si="29"/>
        <v>-0.24000000000000021</v>
      </c>
      <c r="BK76" s="306">
        <f t="shared" si="53"/>
        <v>0</v>
      </c>
      <c r="BL76" s="304">
        <f t="shared" si="30"/>
        <v>0</v>
      </c>
      <c r="BM76" s="304">
        <f t="shared" si="31"/>
        <v>0</v>
      </c>
      <c r="BN76" s="304">
        <f t="shared" si="55"/>
        <v>0</v>
      </c>
      <c r="BO76" s="306">
        <f t="shared" si="56"/>
        <v>0</v>
      </c>
      <c r="BP76" s="306"/>
    </row>
    <row r="77" spans="1:68">
      <c r="A77" s="299">
        <f t="shared" si="1"/>
        <v>0</v>
      </c>
      <c r="B77" s="300">
        <f t="shared" si="32"/>
        <v>38042</v>
      </c>
      <c r="C77" s="301" t="e">
        <f t="shared" si="33"/>
        <v>#N/A</v>
      </c>
      <c r="D77" s="301" t="e">
        <f t="shared" si="2"/>
        <v>#N/A</v>
      </c>
      <c r="E77" s="299">
        <f t="shared" si="3"/>
        <v>56</v>
      </c>
      <c r="F77" s="396">
        <f>Weather!M61</f>
        <v>0</v>
      </c>
      <c r="G77" s="301">
        <f>IF(Weather!C61="","",Weather!C61)</f>
        <v>0.76080182512237071</v>
      </c>
      <c r="H77" s="301">
        <f>IF(Weather!D61="","",Weather!D61)</f>
        <v>0.63911787151342603</v>
      </c>
      <c r="I77" s="502">
        <f>IF(Weather!E61="","",Weather!E61)</f>
        <v>0.63911787151342603</v>
      </c>
      <c r="J77" s="397">
        <f>IF(RnSplint!N105&lt;0,0,RnSplint!N105)</f>
        <v>27.713587912524982</v>
      </c>
      <c r="K77" s="302">
        <f t="shared" si="34"/>
        <v>0</v>
      </c>
      <c r="L77" s="303">
        <f t="shared" si="35"/>
        <v>38042</v>
      </c>
      <c r="M77" s="346" t="str">
        <f t="shared" si="4"/>
        <v/>
      </c>
      <c r="N77" s="304">
        <f t="shared" si="36"/>
        <v>0</v>
      </c>
      <c r="O77" s="304">
        <f t="shared" si="37"/>
        <v>0</v>
      </c>
      <c r="P77" s="304">
        <f t="shared" si="5"/>
        <v>0</v>
      </c>
      <c r="Q77" s="304">
        <f t="shared" si="6"/>
        <v>0.60473960664235793</v>
      </c>
      <c r="R77" s="304">
        <f t="shared" si="7"/>
        <v>0.60473960664235793</v>
      </c>
      <c r="S77" s="305" t="e">
        <f t="shared" si="38"/>
        <v>#N/A</v>
      </c>
      <c r="T77" s="304">
        <f t="shared" si="8"/>
        <v>0</v>
      </c>
      <c r="U77" s="304">
        <f t="shared" si="54"/>
        <v>0</v>
      </c>
      <c r="V77" s="305" t="e">
        <f t="shared" si="9"/>
        <v>#N/A</v>
      </c>
      <c r="W77" s="305" t="e">
        <f t="shared" si="39"/>
        <v>#N/A</v>
      </c>
      <c r="X77" s="304">
        <f t="shared" si="40"/>
        <v>0.60473960664235793</v>
      </c>
      <c r="Z77" s="304" t="str">
        <f t="shared" si="41"/>
        <v/>
      </c>
      <c r="AA77" s="305" t="e">
        <f t="shared" si="10"/>
        <v>#N/A</v>
      </c>
      <c r="AB77" s="304">
        <f t="shared" si="11"/>
        <v>0.38649989021713033</v>
      </c>
      <c r="AC77" s="304" t="str">
        <f t="shared" si="42"/>
        <v/>
      </c>
      <c r="AD77" s="306">
        <f t="shared" si="12"/>
        <v>0</v>
      </c>
      <c r="AE77" s="307">
        <f t="shared" si="43"/>
        <v>0.38649989021713033</v>
      </c>
      <c r="AF77" s="308" t="e">
        <f t="shared" si="13"/>
        <v>#N/A</v>
      </c>
      <c r="AG77" s="306">
        <f t="shared" si="44"/>
        <v>19.404610287087511</v>
      </c>
      <c r="AH77" s="306">
        <f t="shared" si="14"/>
        <v>0</v>
      </c>
      <c r="AI77" s="306">
        <f t="shared" si="45"/>
        <v>0</v>
      </c>
      <c r="AJ77" s="306">
        <f t="shared" si="46"/>
        <v>0</v>
      </c>
      <c r="AK77" s="306">
        <f t="shared" si="15"/>
        <v>0</v>
      </c>
      <c r="AL77" s="306">
        <f t="shared" si="47"/>
        <v>0</v>
      </c>
      <c r="AM77" s="306">
        <f t="shared" si="16"/>
        <v>0</v>
      </c>
      <c r="AN77" s="304">
        <f>KcSplint!$N106</f>
        <v>0.51555309699563212</v>
      </c>
      <c r="AO77" s="304" t="str">
        <f t="shared" si="17"/>
        <v/>
      </c>
      <c r="AP77" s="304" t="str">
        <f t="shared" si="48"/>
        <v/>
      </c>
      <c r="AQ77" s="305" t="e">
        <f t="shared" si="49"/>
        <v>#N/A</v>
      </c>
      <c r="AR77" s="304" t="str">
        <f t="shared" si="50"/>
        <v/>
      </c>
      <c r="AS77" s="306">
        <f t="shared" si="18"/>
        <v>0</v>
      </c>
      <c r="AT77" s="307" t="e">
        <f t="shared" si="51"/>
        <v>#N/A</v>
      </c>
      <c r="AU77" s="307" t="e">
        <f t="shared" si="52"/>
        <v>#N/A</v>
      </c>
      <c r="AV77" s="304">
        <f t="shared" si="19"/>
        <v>0.63911787151342603</v>
      </c>
      <c r="AW77" s="309">
        <f t="shared" si="20"/>
        <v>18.494839585725792</v>
      </c>
      <c r="AX77" s="306">
        <f>IF(ISERROR(Weather!M61),#N/A,Weather!M61)</f>
        <v>0</v>
      </c>
      <c r="AY77" s="310">
        <f t="shared" si="21"/>
        <v>52</v>
      </c>
      <c r="AZ77" s="309">
        <f t="shared" si="22"/>
        <v>0.60473960664235793</v>
      </c>
      <c r="BA77" s="309">
        <f t="shared" si="23"/>
        <v>19.404610287087511</v>
      </c>
      <c r="BB77" s="311">
        <f>Irrig!H79</f>
        <v>0</v>
      </c>
      <c r="BC77" s="310">
        <f t="shared" si="24"/>
        <v>0</v>
      </c>
      <c r="BD77" s="309">
        <f t="shared" si="25"/>
        <v>0</v>
      </c>
      <c r="BE77" s="309">
        <f t="shared" si="26"/>
        <v>0</v>
      </c>
      <c r="BF77" s="306">
        <f>DailyMet!H60</f>
        <v>9.39</v>
      </c>
      <c r="BG77" s="306">
        <f>DailyMet!I60</f>
        <v>2.9</v>
      </c>
      <c r="BH77" s="306">
        <f t="shared" si="27"/>
        <v>9.39</v>
      </c>
      <c r="BI77" s="306">
        <f t="shared" si="28"/>
        <v>10</v>
      </c>
      <c r="BJ77" s="306">
        <f t="shared" si="29"/>
        <v>-0.30499999999999972</v>
      </c>
      <c r="BK77" s="306">
        <f t="shared" si="53"/>
        <v>0</v>
      </c>
      <c r="BL77" s="304">
        <f t="shared" si="30"/>
        <v>0</v>
      </c>
      <c r="BM77" s="304">
        <f t="shared" si="31"/>
        <v>0</v>
      </c>
      <c r="BN77" s="304">
        <f t="shared" si="55"/>
        <v>0</v>
      </c>
      <c r="BO77" s="306">
        <f t="shared" si="56"/>
        <v>0</v>
      </c>
      <c r="BP77" s="306"/>
    </row>
    <row r="78" spans="1:68">
      <c r="A78" s="299">
        <f t="shared" si="1"/>
        <v>0</v>
      </c>
      <c r="B78" s="300">
        <f t="shared" si="32"/>
        <v>38043</v>
      </c>
      <c r="C78" s="301" t="e">
        <f t="shared" si="33"/>
        <v>#N/A</v>
      </c>
      <c r="D78" s="301" t="e">
        <f t="shared" si="2"/>
        <v>#N/A</v>
      </c>
      <c r="E78" s="299">
        <f t="shared" si="3"/>
        <v>57</v>
      </c>
      <c r="F78" s="396">
        <f>Weather!M62</f>
        <v>0</v>
      </c>
      <c r="G78" s="301">
        <f>IF(Weather!C62="","",Weather!C62)</f>
        <v>0.79483728136858767</v>
      </c>
      <c r="H78" s="301">
        <f>IF(Weather!D62="","",Weather!D62)</f>
        <v>0.79120631579769019</v>
      </c>
      <c r="I78" s="502">
        <f>IF(Weather!E62="","",Weather!E62)</f>
        <v>0.79120631579769019</v>
      </c>
      <c r="J78" s="397">
        <f>IF(RnSplint!N106&lt;0,0,RnSplint!N106)</f>
        <v>27.786885526936938</v>
      </c>
      <c r="K78" s="302">
        <f t="shared" si="34"/>
        <v>0</v>
      </c>
      <c r="L78" s="303">
        <f t="shared" si="35"/>
        <v>38043</v>
      </c>
      <c r="M78" s="346" t="str">
        <f t="shared" si="4"/>
        <v/>
      </c>
      <c r="N78" s="304">
        <f t="shared" si="36"/>
        <v>0</v>
      </c>
      <c r="O78" s="304">
        <f t="shared" si="37"/>
        <v>0</v>
      </c>
      <c r="P78" s="304">
        <f t="shared" si="5"/>
        <v>0</v>
      </c>
      <c r="Q78" s="304">
        <f t="shared" si="6"/>
        <v>0.59180825322970121</v>
      </c>
      <c r="R78" s="304">
        <f t="shared" si="7"/>
        <v>0.59180825322970121</v>
      </c>
      <c r="S78" s="305" t="e">
        <f t="shared" si="38"/>
        <v>#N/A</v>
      </c>
      <c r="T78" s="304">
        <f t="shared" si="8"/>
        <v>0</v>
      </c>
      <c r="U78" s="304">
        <f t="shared" si="54"/>
        <v>0</v>
      </c>
      <c r="V78" s="305" t="e">
        <f t="shared" si="9"/>
        <v>#N/A</v>
      </c>
      <c r="W78" s="305" t="e">
        <f t="shared" si="39"/>
        <v>#N/A</v>
      </c>
      <c r="X78" s="304">
        <f t="shared" si="40"/>
        <v>0.59180825322970121</v>
      </c>
      <c r="Z78" s="304" t="str">
        <f t="shared" si="41"/>
        <v/>
      </c>
      <c r="AA78" s="305" t="e">
        <f t="shared" si="10"/>
        <v>#N/A</v>
      </c>
      <c r="AB78" s="304">
        <f t="shared" si="11"/>
        <v>0.4682424276965384</v>
      </c>
      <c r="AC78" s="304" t="str">
        <f t="shared" si="42"/>
        <v/>
      </c>
      <c r="AD78" s="306">
        <f t="shared" si="12"/>
        <v>0</v>
      </c>
      <c r="AE78" s="307">
        <f t="shared" si="43"/>
        <v>0.4682424276965384</v>
      </c>
      <c r="AF78" s="308" t="e">
        <f t="shared" si="13"/>
        <v>#N/A</v>
      </c>
      <c r="AG78" s="306">
        <f t="shared" si="44"/>
        <v>20.195816602885202</v>
      </c>
      <c r="AH78" s="306">
        <f t="shared" si="14"/>
        <v>0</v>
      </c>
      <c r="AI78" s="306">
        <f t="shared" si="45"/>
        <v>0</v>
      </c>
      <c r="AJ78" s="306">
        <f t="shared" si="46"/>
        <v>0</v>
      </c>
      <c r="AK78" s="306">
        <f t="shared" si="15"/>
        <v>0</v>
      </c>
      <c r="AL78" s="306">
        <f t="shared" si="47"/>
        <v>0</v>
      </c>
      <c r="AM78" s="306">
        <f t="shared" si="16"/>
        <v>0</v>
      </c>
      <c r="AN78" s="304">
        <f>KcSplint!$N107</f>
        <v>0.50046558352090476</v>
      </c>
      <c r="AO78" s="304" t="str">
        <f t="shared" si="17"/>
        <v/>
      </c>
      <c r="AP78" s="304" t="str">
        <f t="shared" si="48"/>
        <v/>
      </c>
      <c r="AQ78" s="305" t="e">
        <f t="shared" si="49"/>
        <v>#N/A</v>
      </c>
      <c r="AR78" s="304" t="str">
        <f t="shared" si="50"/>
        <v/>
      </c>
      <c r="AS78" s="306">
        <f t="shared" si="18"/>
        <v>0</v>
      </c>
      <c r="AT78" s="307" t="e">
        <f t="shared" si="51"/>
        <v>#N/A</v>
      </c>
      <c r="AU78" s="307" t="e">
        <f t="shared" si="52"/>
        <v>#N/A</v>
      </c>
      <c r="AV78" s="304">
        <f t="shared" si="19"/>
        <v>0.79120631579769019</v>
      </c>
      <c r="AW78" s="309">
        <f t="shared" si="20"/>
        <v>19.286045901523483</v>
      </c>
      <c r="AX78" s="306">
        <f>IF(ISERROR(Weather!M62),#N/A,Weather!M62)</f>
        <v>0</v>
      </c>
      <c r="AY78" s="310">
        <f t="shared" si="21"/>
        <v>53</v>
      </c>
      <c r="AZ78" s="309">
        <f t="shared" si="22"/>
        <v>0.59180825322970121</v>
      </c>
      <c r="BA78" s="309">
        <f t="shared" si="23"/>
        <v>20.195816602885202</v>
      </c>
      <c r="BB78" s="311">
        <f>Irrig!H80</f>
        <v>0</v>
      </c>
      <c r="BC78" s="310">
        <f t="shared" si="24"/>
        <v>0</v>
      </c>
      <c r="BD78" s="309">
        <f t="shared" si="25"/>
        <v>0</v>
      </c>
      <c r="BE78" s="309">
        <f t="shared" si="26"/>
        <v>0</v>
      </c>
      <c r="BF78" s="306">
        <f>DailyMet!H61</f>
        <v>7.15</v>
      </c>
      <c r="BG78" s="306">
        <f>DailyMet!I61</f>
        <v>2.1</v>
      </c>
      <c r="BH78" s="306">
        <f t="shared" si="27"/>
        <v>7.15</v>
      </c>
      <c r="BI78" s="306">
        <f t="shared" si="28"/>
        <v>10</v>
      </c>
      <c r="BJ78" s="306">
        <f t="shared" si="29"/>
        <v>-1.4250000000000007</v>
      </c>
      <c r="BK78" s="306">
        <f t="shared" si="53"/>
        <v>0</v>
      </c>
      <c r="BL78" s="304">
        <f t="shared" si="30"/>
        <v>0</v>
      </c>
      <c r="BM78" s="304">
        <f t="shared" si="31"/>
        <v>0</v>
      </c>
      <c r="BN78" s="304">
        <f t="shared" si="55"/>
        <v>0</v>
      </c>
      <c r="BO78" s="306">
        <f t="shared" si="56"/>
        <v>0</v>
      </c>
      <c r="BP78" s="306"/>
    </row>
    <row r="79" spans="1:68">
      <c r="A79" s="299">
        <f t="shared" si="1"/>
        <v>0</v>
      </c>
      <c r="B79" s="300">
        <f t="shared" si="32"/>
        <v>38044</v>
      </c>
      <c r="C79" s="301" t="e">
        <f t="shared" si="33"/>
        <v>#N/A</v>
      </c>
      <c r="D79" s="301" t="e">
        <f t="shared" si="2"/>
        <v>#N/A</v>
      </c>
      <c r="E79" s="299">
        <f t="shared" si="3"/>
        <v>58</v>
      </c>
      <c r="F79" s="396">
        <f>Weather!M63</f>
        <v>0.2</v>
      </c>
      <c r="G79" s="301">
        <f>IF(Weather!C63="","",Weather!C63)</f>
        <v>0.82916455819975843</v>
      </c>
      <c r="H79" s="301">
        <f>IF(Weather!D63="","",Weather!D63)</f>
        <v>0.50865297494834683</v>
      </c>
      <c r="I79" s="502">
        <f>IF(Weather!E63="","",Weather!E63)</f>
        <v>0.50865297494834683</v>
      </c>
      <c r="J79" s="397">
        <f>IF(RnSplint!N107&lt;0,0,RnSplint!N107)</f>
        <v>27.875136287184773</v>
      </c>
      <c r="K79" s="302">
        <f t="shared" si="34"/>
        <v>0</v>
      </c>
      <c r="L79" s="303">
        <f t="shared" si="35"/>
        <v>38044</v>
      </c>
      <c r="M79" s="346" t="str">
        <f t="shared" si="4"/>
        <v/>
      </c>
      <c r="N79" s="304">
        <f t="shared" si="36"/>
        <v>0</v>
      </c>
      <c r="O79" s="304">
        <f t="shared" si="37"/>
        <v>0</v>
      </c>
      <c r="P79" s="304">
        <f t="shared" si="5"/>
        <v>0</v>
      </c>
      <c r="Q79" s="304">
        <f t="shared" si="6"/>
        <v>0.58391183048470263</v>
      </c>
      <c r="R79" s="304">
        <f t="shared" si="7"/>
        <v>0.58391183048470263</v>
      </c>
      <c r="S79" s="305" t="e">
        <f t="shared" si="38"/>
        <v>#N/A</v>
      </c>
      <c r="T79" s="304">
        <f t="shared" si="8"/>
        <v>0</v>
      </c>
      <c r="U79" s="304">
        <f t="shared" si="54"/>
        <v>0</v>
      </c>
      <c r="V79" s="305" t="e">
        <f t="shared" si="9"/>
        <v>#N/A</v>
      </c>
      <c r="W79" s="305" t="e">
        <f t="shared" si="39"/>
        <v>#N/A</v>
      </c>
      <c r="X79" s="304">
        <f t="shared" si="40"/>
        <v>0.58391183048470263</v>
      </c>
      <c r="Z79" s="304" t="str">
        <f t="shared" si="41"/>
        <v/>
      </c>
      <c r="AA79" s="305" t="e">
        <f t="shared" si="10"/>
        <v>#N/A</v>
      </c>
      <c r="AB79" s="304">
        <f t="shared" si="11"/>
        <v>0.29700848968357879</v>
      </c>
      <c r="AC79" s="304" t="str">
        <f t="shared" si="42"/>
        <v/>
      </c>
      <c r="AD79" s="306">
        <f t="shared" si="12"/>
        <v>0</v>
      </c>
      <c r="AE79" s="307">
        <f t="shared" si="43"/>
        <v>0.29700848968357879</v>
      </c>
      <c r="AF79" s="308" t="e">
        <f t="shared" si="13"/>
        <v>#N/A</v>
      </c>
      <c r="AG79" s="306">
        <f t="shared" si="44"/>
        <v>20.704469577833549</v>
      </c>
      <c r="AH79" s="306">
        <f t="shared" si="14"/>
        <v>0</v>
      </c>
      <c r="AI79" s="306">
        <f t="shared" si="45"/>
        <v>0</v>
      </c>
      <c r="AJ79" s="306">
        <f t="shared" si="46"/>
        <v>0</v>
      </c>
      <c r="AK79" s="306">
        <f t="shared" si="15"/>
        <v>0</v>
      </c>
      <c r="AL79" s="306">
        <f t="shared" si="47"/>
        <v>0</v>
      </c>
      <c r="AM79" s="306">
        <f t="shared" si="16"/>
        <v>0</v>
      </c>
      <c r="AN79" s="304">
        <f>KcSplint!$N108</f>
        <v>0.48607413822347939</v>
      </c>
      <c r="AO79" s="304" t="str">
        <f t="shared" si="17"/>
        <v/>
      </c>
      <c r="AP79" s="304" t="str">
        <f t="shared" si="48"/>
        <v/>
      </c>
      <c r="AQ79" s="305" t="e">
        <f t="shared" si="49"/>
        <v>#N/A</v>
      </c>
      <c r="AR79" s="304" t="str">
        <f t="shared" si="50"/>
        <v/>
      </c>
      <c r="AS79" s="306">
        <f t="shared" si="18"/>
        <v>0</v>
      </c>
      <c r="AT79" s="307" t="e">
        <f t="shared" si="51"/>
        <v>#N/A</v>
      </c>
      <c r="AU79" s="307" t="e">
        <f t="shared" si="52"/>
        <v>#N/A</v>
      </c>
      <c r="AV79" s="304">
        <f t="shared" si="19"/>
        <v>0.50865297494834683</v>
      </c>
      <c r="AW79" s="309">
        <f t="shared" si="20"/>
        <v>19.794698876471831</v>
      </c>
      <c r="AX79" s="306">
        <f>IF(ISERROR(Weather!M63),#N/A,Weather!M63)</f>
        <v>0.2</v>
      </c>
      <c r="AY79" s="310">
        <f t="shared" si="21"/>
        <v>54</v>
      </c>
      <c r="AZ79" s="309">
        <f t="shared" si="22"/>
        <v>0.58391183048470263</v>
      </c>
      <c r="BA79" s="309">
        <f t="shared" si="23"/>
        <v>20.704469577833549</v>
      </c>
      <c r="BB79" s="311">
        <f>Irrig!H81</f>
        <v>0</v>
      </c>
      <c r="BC79" s="310">
        <f t="shared" si="24"/>
        <v>0</v>
      </c>
      <c r="BD79" s="309">
        <f t="shared" si="25"/>
        <v>0</v>
      </c>
      <c r="BE79" s="309">
        <f t="shared" si="26"/>
        <v>0</v>
      </c>
      <c r="BF79" s="306">
        <f>DailyMet!H62</f>
        <v>6.47</v>
      </c>
      <c r="BG79" s="306">
        <f>DailyMet!I62</f>
        <v>0.7</v>
      </c>
      <c r="BH79" s="306">
        <f t="shared" si="27"/>
        <v>6.47</v>
      </c>
      <c r="BI79" s="306">
        <f t="shared" si="28"/>
        <v>10</v>
      </c>
      <c r="BJ79" s="306">
        <f t="shared" si="29"/>
        <v>-1.7650000000000006</v>
      </c>
      <c r="BK79" s="306">
        <f t="shared" si="53"/>
        <v>0</v>
      </c>
      <c r="BL79" s="304">
        <f t="shared" si="30"/>
        <v>0</v>
      </c>
      <c r="BM79" s="304">
        <f t="shared" si="31"/>
        <v>0</v>
      </c>
      <c r="BN79" s="304">
        <f t="shared" si="55"/>
        <v>0</v>
      </c>
      <c r="BO79" s="306">
        <f t="shared" si="56"/>
        <v>0</v>
      </c>
      <c r="BP79" s="306"/>
    </row>
    <row r="80" spans="1:68">
      <c r="A80" s="299">
        <f t="shared" si="1"/>
        <v>0</v>
      </c>
      <c r="B80" s="300">
        <f t="shared" si="32"/>
        <v>38045</v>
      </c>
      <c r="C80" s="301" t="e">
        <f t="shared" si="33"/>
        <v>#N/A</v>
      </c>
      <c r="D80" s="301" t="e">
        <f t="shared" si="2"/>
        <v>#N/A</v>
      </c>
      <c r="E80" s="299">
        <f t="shared" si="3"/>
        <v>59</v>
      </c>
      <c r="F80" s="396">
        <f>Weather!M64</f>
        <v>0</v>
      </c>
      <c r="G80" s="301">
        <f>IF(Weather!C64="","",Weather!C64)</f>
        <v>0.86363895210950103</v>
      </c>
      <c r="H80" s="301">
        <f>IF(Weather!D64="","",Weather!D64)</f>
        <v>0.83577336875360686</v>
      </c>
      <c r="I80" s="502">
        <f>IF(Weather!E64="","",Weather!E64)</f>
        <v>0.83577336875360686</v>
      </c>
      <c r="J80" s="397">
        <f>IF(RnSplint!N108&lt;0,0,RnSplint!N108)</f>
        <v>27.977444896856575</v>
      </c>
      <c r="K80" s="302">
        <f t="shared" si="34"/>
        <v>0</v>
      </c>
      <c r="L80" s="303">
        <f t="shared" si="35"/>
        <v>38045</v>
      </c>
      <c r="M80" s="346" t="str">
        <f t="shared" si="4"/>
        <v/>
      </c>
      <c r="N80" s="304">
        <f t="shared" si="36"/>
        <v>0</v>
      </c>
      <c r="O80" s="304">
        <f t="shared" si="37"/>
        <v>0</v>
      </c>
      <c r="P80" s="304">
        <f t="shared" si="5"/>
        <v>0</v>
      </c>
      <c r="Q80" s="304">
        <f t="shared" si="6"/>
        <v>0.57158362077858915</v>
      </c>
      <c r="R80" s="304">
        <f t="shared" si="7"/>
        <v>0.57158362077858915</v>
      </c>
      <c r="S80" s="305" t="e">
        <f t="shared" si="38"/>
        <v>#N/A</v>
      </c>
      <c r="T80" s="304">
        <f t="shared" si="8"/>
        <v>0</v>
      </c>
      <c r="U80" s="304">
        <f t="shared" si="54"/>
        <v>0</v>
      </c>
      <c r="V80" s="305" t="e">
        <f t="shared" si="9"/>
        <v>#N/A</v>
      </c>
      <c r="W80" s="305" t="e">
        <f t="shared" si="39"/>
        <v>#N/A</v>
      </c>
      <c r="X80" s="304">
        <f t="shared" si="40"/>
        <v>0.57158362077858915</v>
      </c>
      <c r="Y80" s="304">
        <f>AVERAGE(X53:X80)</f>
        <v>0.71446203570386224</v>
      </c>
      <c r="Z80" s="304" t="str">
        <f t="shared" si="41"/>
        <v/>
      </c>
      <c r="AA80" s="305" t="e">
        <f t="shared" si="10"/>
        <v>#N/A</v>
      </c>
      <c r="AB80" s="304">
        <f t="shared" si="11"/>
        <v>0.47771436826250557</v>
      </c>
      <c r="AC80" s="304" t="str">
        <f t="shared" si="42"/>
        <v/>
      </c>
      <c r="AD80" s="306">
        <f t="shared" si="12"/>
        <v>0</v>
      </c>
      <c r="AE80" s="307">
        <f t="shared" si="43"/>
        <v>0.47771436826250557</v>
      </c>
      <c r="AF80" s="308" t="e">
        <f t="shared" si="13"/>
        <v>#N/A</v>
      </c>
      <c r="AG80" s="306">
        <f t="shared" si="44"/>
        <v>21.540242946587156</v>
      </c>
      <c r="AH80" s="306">
        <f t="shared" si="14"/>
        <v>0</v>
      </c>
      <c r="AI80" s="306">
        <f t="shared" si="45"/>
        <v>0</v>
      </c>
      <c r="AJ80" s="306">
        <f t="shared" si="46"/>
        <v>0</v>
      </c>
      <c r="AK80" s="306">
        <f t="shared" si="15"/>
        <v>0</v>
      </c>
      <c r="AL80" s="306">
        <f t="shared" si="47"/>
        <v>0</v>
      </c>
      <c r="AM80" s="306">
        <f t="shared" si="16"/>
        <v>0</v>
      </c>
      <c r="AN80" s="304">
        <f>KcSplint!$N109</f>
        <v>0.47244353872889261</v>
      </c>
      <c r="AO80" s="304" t="str">
        <f t="shared" si="17"/>
        <v/>
      </c>
      <c r="AP80" s="304" t="str">
        <f t="shared" si="48"/>
        <v/>
      </c>
      <c r="AQ80" s="305" t="e">
        <f t="shared" si="49"/>
        <v>#N/A</v>
      </c>
      <c r="AR80" s="304" t="str">
        <f t="shared" si="50"/>
        <v/>
      </c>
      <c r="AS80" s="306">
        <f t="shared" si="18"/>
        <v>0</v>
      </c>
      <c r="AT80" s="307" t="e">
        <f t="shared" si="51"/>
        <v>#N/A</v>
      </c>
      <c r="AU80" s="307" t="e">
        <f t="shared" si="52"/>
        <v>#N/A</v>
      </c>
      <c r="AV80" s="304">
        <f t="shared" si="19"/>
        <v>0.83577336875360686</v>
      </c>
      <c r="AW80" s="309">
        <f t="shared" si="20"/>
        <v>20.630472245225437</v>
      </c>
      <c r="AX80" s="306">
        <f>IF(ISERROR(Weather!M64),#N/A,Weather!M64)</f>
        <v>0</v>
      </c>
      <c r="AY80" s="310">
        <f t="shared" si="21"/>
        <v>55</v>
      </c>
      <c r="AZ80" s="309">
        <f t="shared" si="22"/>
        <v>0.57158362077858915</v>
      </c>
      <c r="BA80" s="309">
        <f t="shared" si="23"/>
        <v>21.540242946587156</v>
      </c>
      <c r="BB80" s="311">
        <f>Irrig!H82</f>
        <v>0</v>
      </c>
      <c r="BC80" s="310">
        <f t="shared" si="24"/>
        <v>0</v>
      </c>
      <c r="BD80" s="309">
        <f t="shared" si="25"/>
        <v>0</v>
      </c>
      <c r="BE80" s="309">
        <f t="shared" si="26"/>
        <v>0</v>
      </c>
      <c r="BF80" s="306">
        <f>DailyMet!H63</f>
        <v>7.32</v>
      </c>
      <c r="BG80" s="306">
        <f>DailyMet!I63</f>
        <v>-0.2</v>
      </c>
      <c r="BH80" s="306">
        <f t="shared" si="27"/>
        <v>7.32</v>
      </c>
      <c r="BI80" s="306">
        <f t="shared" si="28"/>
        <v>10</v>
      </c>
      <c r="BJ80" s="306">
        <f t="shared" si="29"/>
        <v>-1.3399999999999999</v>
      </c>
      <c r="BK80" s="306">
        <f t="shared" si="53"/>
        <v>0</v>
      </c>
      <c r="BL80" s="304">
        <f t="shared" si="30"/>
        <v>0</v>
      </c>
      <c r="BM80" s="304">
        <f t="shared" si="31"/>
        <v>0</v>
      </c>
      <c r="BN80" s="304">
        <f t="shared" si="55"/>
        <v>0</v>
      </c>
      <c r="BO80" s="306">
        <f t="shared" si="56"/>
        <v>0</v>
      </c>
      <c r="BP80" s="306"/>
    </row>
    <row r="81" spans="1:68">
      <c r="A81" s="299">
        <f t="shared" si="1"/>
        <v>0</v>
      </c>
      <c r="B81" s="300">
        <f t="shared" si="32"/>
        <v>38046</v>
      </c>
      <c r="C81" s="301" t="e">
        <f t="shared" si="33"/>
        <v>#N/A</v>
      </c>
      <c r="D81" s="301" t="e">
        <f t="shared" si="2"/>
        <v>#N/A</v>
      </c>
      <c r="E81" s="299">
        <f t="shared" si="3"/>
        <v>60</v>
      </c>
      <c r="F81" s="396">
        <f>Weather!M65</f>
        <v>0</v>
      </c>
      <c r="G81" s="301">
        <f>IF(Weather!C65="","",Weather!C65)</f>
        <v>0.8981157595914333</v>
      </c>
      <c r="H81" s="301">
        <f>IF(Weather!D65="","",Weather!D65)</f>
        <v>1.2856834746038537</v>
      </c>
      <c r="I81" s="502">
        <f>IF(Weather!E65="","",Weather!E65)</f>
        <v>1.2856834746038537</v>
      </c>
      <c r="J81" s="397">
        <f>IF(RnSplint!N109&lt;0,0,RnSplint!N109)</f>
        <v>28.092916059540428</v>
      </c>
      <c r="K81" s="302">
        <f t="shared" si="34"/>
        <v>0</v>
      </c>
      <c r="L81" s="303">
        <f t="shared" si="35"/>
        <v>38046</v>
      </c>
      <c r="M81" s="346">
        <f t="shared" si="4"/>
        <v>2</v>
      </c>
      <c r="N81" s="304">
        <f t="shared" si="36"/>
        <v>0</v>
      </c>
      <c r="O81" s="304">
        <f t="shared" si="37"/>
        <v>0</v>
      </c>
      <c r="P81" s="304">
        <f t="shared" si="5"/>
        <v>0</v>
      </c>
      <c r="Q81" s="304">
        <f t="shared" si="6"/>
        <v>0.55402847675823153</v>
      </c>
      <c r="R81" s="304">
        <f t="shared" si="7"/>
        <v>0.55402847675823153</v>
      </c>
      <c r="S81" s="305" t="e">
        <f t="shared" si="38"/>
        <v>#N/A</v>
      </c>
      <c r="T81" s="304">
        <f t="shared" si="8"/>
        <v>0</v>
      </c>
      <c r="U81" s="304">
        <f t="shared" si="54"/>
        <v>0</v>
      </c>
      <c r="V81" s="305" t="e">
        <f t="shared" si="9"/>
        <v>#N/A</v>
      </c>
      <c r="W81" s="305" t="e">
        <f t="shared" si="39"/>
        <v>#N/A</v>
      </c>
      <c r="X81" s="304">
        <f t="shared" si="40"/>
        <v>0.55402847675823153</v>
      </c>
      <c r="Y81" s="304">
        <f>AVERAGE(X53:X81)</f>
        <v>0.70892984401608183</v>
      </c>
      <c r="Z81" s="304" t="str">
        <f t="shared" si="41"/>
        <v/>
      </c>
      <c r="AA81" s="305" t="e">
        <f t="shared" si="10"/>
        <v>#N/A</v>
      </c>
      <c r="AB81" s="304">
        <f t="shared" si="11"/>
        <v>0.71230525702800351</v>
      </c>
      <c r="AC81" s="304" t="str">
        <f t="shared" si="42"/>
        <v/>
      </c>
      <c r="AD81" s="306">
        <f t="shared" si="12"/>
        <v>0</v>
      </c>
      <c r="AE81" s="307">
        <f t="shared" si="43"/>
        <v>0.71230525702800351</v>
      </c>
      <c r="AF81" s="308" t="e">
        <f t="shared" si="13"/>
        <v>#N/A</v>
      </c>
      <c r="AG81" s="306">
        <f t="shared" si="44"/>
        <v>22.82592642119101</v>
      </c>
      <c r="AH81" s="306">
        <f t="shared" si="14"/>
        <v>0</v>
      </c>
      <c r="AI81" s="306">
        <f t="shared" si="45"/>
        <v>0</v>
      </c>
      <c r="AJ81" s="306">
        <f t="shared" si="46"/>
        <v>0</v>
      </c>
      <c r="AK81" s="306">
        <f t="shared" si="15"/>
        <v>0</v>
      </c>
      <c r="AL81" s="306">
        <f t="shared" si="47"/>
        <v>0</v>
      </c>
      <c r="AM81" s="306">
        <f t="shared" si="16"/>
        <v>0</v>
      </c>
      <c r="AN81" s="304">
        <f>KcSplint!$N110</f>
        <v>0.4596385626626811</v>
      </c>
      <c r="AO81" s="304" t="str">
        <f t="shared" si="17"/>
        <v/>
      </c>
      <c r="AP81" s="304" t="str">
        <f t="shared" si="48"/>
        <v/>
      </c>
      <c r="AQ81" s="305" t="e">
        <f t="shared" si="49"/>
        <v>#N/A</v>
      </c>
      <c r="AR81" s="304" t="str">
        <f t="shared" si="50"/>
        <v/>
      </c>
      <c r="AS81" s="306">
        <f t="shared" si="18"/>
        <v>0</v>
      </c>
      <c r="AT81" s="307" t="e">
        <f t="shared" si="51"/>
        <v>#N/A</v>
      </c>
      <c r="AU81" s="307" t="e">
        <f t="shared" si="52"/>
        <v>#N/A</v>
      </c>
      <c r="AV81" s="304">
        <f t="shared" si="19"/>
        <v>1.2856834746038537</v>
      </c>
      <c r="AW81" s="309">
        <f t="shared" si="20"/>
        <v>21.916155719829291</v>
      </c>
      <c r="AX81" s="306">
        <f>IF(ISERROR(Weather!M65),#N/A,Weather!M65)</f>
        <v>0</v>
      </c>
      <c r="AY81" s="310">
        <f t="shared" si="21"/>
        <v>56</v>
      </c>
      <c r="AZ81" s="309">
        <f t="shared" si="22"/>
        <v>0.55402847675823153</v>
      </c>
      <c r="BA81" s="309">
        <f t="shared" si="23"/>
        <v>22.82592642119101</v>
      </c>
      <c r="BB81" s="311">
        <f>Irrig!H83</f>
        <v>0</v>
      </c>
      <c r="BC81" s="310">
        <f t="shared" si="24"/>
        <v>0</v>
      </c>
      <c r="BD81" s="309">
        <f t="shared" si="25"/>
        <v>0</v>
      </c>
      <c r="BE81" s="309">
        <f t="shared" si="26"/>
        <v>0</v>
      </c>
      <c r="BF81" s="306">
        <f>DailyMet!H64</f>
        <v>10.33</v>
      </c>
      <c r="BG81" s="306">
        <f>DailyMet!I64</f>
        <v>4.8</v>
      </c>
      <c r="BH81" s="306">
        <f t="shared" si="27"/>
        <v>10.33</v>
      </c>
      <c r="BI81" s="306">
        <f t="shared" si="28"/>
        <v>10</v>
      </c>
      <c r="BJ81" s="306">
        <f t="shared" si="29"/>
        <v>0.16499999999999915</v>
      </c>
      <c r="BK81" s="306">
        <f t="shared" si="53"/>
        <v>0</v>
      </c>
      <c r="BL81" s="304">
        <f t="shared" si="30"/>
        <v>0</v>
      </c>
      <c r="BM81" s="304">
        <f t="shared" si="31"/>
        <v>9.846292947558774E-3</v>
      </c>
      <c r="BN81" s="304">
        <f t="shared" si="55"/>
        <v>9.846292947558774E-3</v>
      </c>
      <c r="BO81" s="306">
        <f t="shared" si="56"/>
        <v>0</v>
      </c>
      <c r="BP81" s="306"/>
    </row>
    <row r="82" spans="1:68">
      <c r="A82" s="299">
        <f t="shared" si="1"/>
        <v>0</v>
      </c>
      <c r="B82" s="300">
        <f t="shared" si="32"/>
        <v>38047</v>
      </c>
      <c r="C82" s="301" t="e">
        <f t="shared" si="33"/>
        <v>#N/A</v>
      </c>
      <c r="D82" s="301" t="e">
        <f t="shared" si="2"/>
        <v>#N/A</v>
      </c>
      <c r="E82" s="299">
        <f t="shared" si="3"/>
        <v>61</v>
      </c>
      <c r="F82" s="396">
        <f>Weather!M66</f>
        <v>0</v>
      </c>
      <c r="G82" s="301">
        <f>IF(Weather!C66="","",Weather!C66)</f>
        <v>0.93245027713917328</v>
      </c>
      <c r="H82" s="301">
        <f>IF(Weather!D66="","",Weather!D66)</f>
        <v>0.92411704693883201</v>
      </c>
      <c r="I82" s="502">
        <f>IF(Weather!E66="","",Weather!E66)</f>
        <v>0.92411704693883201</v>
      </c>
      <c r="J82" s="397">
        <f>IF(RnSplint!N110&lt;0,0,RnSplint!N110)</f>
        <v>28.220654478824429</v>
      </c>
      <c r="K82" s="302">
        <f t="shared" si="34"/>
        <v>0</v>
      </c>
      <c r="L82" s="303">
        <f t="shared" si="35"/>
        <v>38047</v>
      </c>
      <c r="M82" s="346" t="str">
        <f t="shared" si="4"/>
        <v/>
      </c>
      <c r="N82" s="304">
        <f t="shared" si="36"/>
        <v>0</v>
      </c>
      <c r="O82" s="304">
        <f t="shared" si="37"/>
        <v>0</v>
      </c>
      <c r="P82" s="304">
        <f t="shared" si="5"/>
        <v>0</v>
      </c>
      <c r="Q82" s="304">
        <f t="shared" si="6"/>
        <v>0.54234625170511996</v>
      </c>
      <c r="R82" s="304">
        <f t="shared" si="7"/>
        <v>0.54234625170511996</v>
      </c>
      <c r="S82" s="305" t="e">
        <f t="shared" si="38"/>
        <v>#N/A</v>
      </c>
      <c r="T82" s="304">
        <f t="shared" si="8"/>
        <v>0</v>
      </c>
      <c r="U82" s="304">
        <f t="shared" si="54"/>
        <v>0</v>
      </c>
      <c r="V82" s="305" t="e">
        <f t="shared" si="9"/>
        <v>#N/A</v>
      </c>
      <c r="W82" s="305" t="e">
        <f t="shared" si="39"/>
        <v>#N/A</v>
      </c>
      <c r="X82" s="304">
        <f t="shared" si="40"/>
        <v>0.54234625170511996</v>
      </c>
      <c r="Z82" s="304" t="str">
        <f t="shared" si="41"/>
        <v/>
      </c>
      <c r="AA82" s="305" t="e">
        <f t="shared" si="10"/>
        <v>#N/A</v>
      </c>
      <c r="AB82" s="304">
        <f t="shared" si="11"/>
        <v>0.50119141654407995</v>
      </c>
      <c r="AC82" s="304" t="str">
        <f t="shared" si="42"/>
        <v/>
      </c>
      <c r="AD82" s="306">
        <f t="shared" si="12"/>
        <v>0</v>
      </c>
      <c r="AE82" s="307">
        <f t="shared" si="43"/>
        <v>0.50119141654407995</v>
      </c>
      <c r="AF82" s="308" t="e">
        <f t="shared" si="13"/>
        <v>#N/A</v>
      </c>
      <c r="AG82" s="306">
        <f t="shared" si="44"/>
        <v>23.750043468129842</v>
      </c>
      <c r="AH82" s="306">
        <f t="shared" si="14"/>
        <v>0</v>
      </c>
      <c r="AI82" s="306">
        <f t="shared" si="45"/>
        <v>0</v>
      </c>
      <c r="AJ82" s="306">
        <f t="shared" si="46"/>
        <v>0</v>
      </c>
      <c r="AK82" s="306">
        <f t="shared" si="15"/>
        <v>0</v>
      </c>
      <c r="AL82" s="306">
        <f t="shared" si="47"/>
        <v>0</v>
      </c>
      <c r="AM82" s="306">
        <f t="shared" si="16"/>
        <v>0</v>
      </c>
      <c r="AN82" s="304">
        <f>KcSplint!$N111</f>
        <v>0.44772398765038163</v>
      </c>
      <c r="AO82" s="304" t="str">
        <f t="shared" si="17"/>
        <v/>
      </c>
      <c r="AP82" s="304" t="str">
        <f t="shared" si="48"/>
        <v/>
      </c>
      <c r="AQ82" s="305" t="e">
        <f t="shared" si="49"/>
        <v>#N/A</v>
      </c>
      <c r="AR82" s="304" t="str">
        <f t="shared" si="50"/>
        <v/>
      </c>
      <c r="AS82" s="306">
        <f t="shared" si="18"/>
        <v>0</v>
      </c>
      <c r="AT82" s="307" t="e">
        <f t="shared" si="51"/>
        <v>#N/A</v>
      </c>
      <c r="AU82" s="307" t="e">
        <f t="shared" si="52"/>
        <v>#N/A</v>
      </c>
      <c r="AV82" s="304">
        <f t="shared" si="19"/>
        <v>0.92411704693883201</v>
      </c>
      <c r="AW82" s="309">
        <f t="shared" si="20"/>
        <v>22.840272766768123</v>
      </c>
      <c r="AX82" s="306">
        <f>IF(ISERROR(Weather!M66),#N/A,Weather!M66)</f>
        <v>0</v>
      </c>
      <c r="AY82" s="310">
        <f t="shared" si="21"/>
        <v>57</v>
      </c>
      <c r="AZ82" s="309">
        <f t="shared" si="22"/>
        <v>0.54234625170511996</v>
      </c>
      <c r="BA82" s="309">
        <f t="shared" si="23"/>
        <v>23.750043468129842</v>
      </c>
      <c r="BB82" s="311">
        <f>Irrig!H84</f>
        <v>0</v>
      </c>
      <c r="BC82" s="310">
        <f t="shared" si="24"/>
        <v>0</v>
      </c>
      <c r="BD82" s="309">
        <f t="shared" si="25"/>
        <v>0</v>
      </c>
      <c r="BE82" s="309">
        <f t="shared" si="26"/>
        <v>0</v>
      </c>
      <c r="BF82" s="306">
        <f>DailyMet!H65</f>
        <v>9.5500000000000007</v>
      </c>
      <c r="BG82" s="306">
        <f>DailyMet!I65</f>
        <v>1.2</v>
      </c>
      <c r="BH82" s="306">
        <f t="shared" si="27"/>
        <v>9.5500000000000007</v>
      </c>
      <c r="BI82" s="306">
        <f t="shared" si="28"/>
        <v>10</v>
      </c>
      <c r="BJ82" s="306">
        <f t="shared" si="29"/>
        <v>-0.22499999999999964</v>
      </c>
      <c r="BK82" s="306">
        <f t="shared" si="53"/>
        <v>0</v>
      </c>
      <c r="BL82" s="304">
        <f t="shared" si="30"/>
        <v>0</v>
      </c>
      <c r="BM82" s="304">
        <f t="shared" si="31"/>
        <v>0</v>
      </c>
      <c r="BN82" s="304">
        <f t="shared" si="55"/>
        <v>0</v>
      </c>
      <c r="BO82" s="306">
        <f t="shared" si="56"/>
        <v>0</v>
      </c>
      <c r="BP82" s="306"/>
    </row>
    <row r="83" spans="1:68">
      <c r="A83" s="299">
        <f t="shared" si="1"/>
        <v>0</v>
      </c>
      <c r="B83" s="300">
        <f t="shared" si="32"/>
        <v>38048</v>
      </c>
      <c r="C83" s="301" t="e">
        <f t="shared" si="33"/>
        <v>#N/A</v>
      </c>
      <c r="D83" s="301" t="e">
        <f t="shared" si="2"/>
        <v>#N/A</v>
      </c>
      <c r="E83" s="299">
        <f t="shared" si="3"/>
        <v>62</v>
      </c>
      <c r="F83" s="396">
        <f>Weather!M67</f>
        <v>0</v>
      </c>
      <c r="G83" s="301">
        <f>IF(Weather!C67="","",Weather!C67)</f>
        <v>0.96649780124633888</v>
      </c>
      <c r="H83" s="301">
        <f>IF(Weather!D67="","",Weather!D67)</f>
        <v>1.0608928706242404</v>
      </c>
      <c r="I83" s="502">
        <f>IF(Weather!E67="","",Weather!E67)</f>
        <v>1.0608928706242404</v>
      </c>
      <c r="J83" s="397">
        <f>IF(RnSplint!N111&lt;0,0,RnSplint!N111)</f>
        <v>28.35976485829665</v>
      </c>
      <c r="K83" s="302">
        <f t="shared" si="34"/>
        <v>0</v>
      </c>
      <c r="L83" s="303">
        <f t="shared" si="35"/>
        <v>38048</v>
      </c>
      <c r="M83" s="346" t="str">
        <f t="shared" si="4"/>
        <v/>
      </c>
      <c r="N83" s="304">
        <f t="shared" si="36"/>
        <v>0</v>
      </c>
      <c r="O83" s="304">
        <f t="shared" si="37"/>
        <v>0</v>
      </c>
      <c r="P83" s="304">
        <f t="shared" si="5"/>
        <v>0</v>
      </c>
      <c r="Q83" s="304">
        <f t="shared" si="6"/>
        <v>0.52978817499532449</v>
      </c>
      <c r="R83" s="304">
        <f t="shared" si="7"/>
        <v>0.52978817499532449</v>
      </c>
      <c r="S83" s="305" t="e">
        <f t="shared" si="38"/>
        <v>#N/A</v>
      </c>
      <c r="T83" s="304">
        <f t="shared" si="8"/>
        <v>0</v>
      </c>
      <c r="U83" s="304">
        <f t="shared" si="54"/>
        <v>0</v>
      </c>
      <c r="V83" s="305" t="e">
        <f t="shared" si="9"/>
        <v>#N/A</v>
      </c>
      <c r="W83" s="305" t="e">
        <f t="shared" si="39"/>
        <v>#N/A</v>
      </c>
      <c r="X83" s="304">
        <f t="shared" si="40"/>
        <v>0.52978817499532449</v>
      </c>
      <c r="Z83" s="304" t="str">
        <f t="shared" si="41"/>
        <v/>
      </c>
      <c r="AA83" s="305" t="e">
        <f t="shared" si="10"/>
        <v>#N/A</v>
      </c>
      <c r="AB83" s="304">
        <f t="shared" si="11"/>
        <v>0.56204849779356725</v>
      </c>
      <c r="AC83" s="304" t="str">
        <f t="shared" si="42"/>
        <v/>
      </c>
      <c r="AD83" s="306">
        <f t="shared" si="12"/>
        <v>0</v>
      </c>
      <c r="AE83" s="307">
        <f t="shared" si="43"/>
        <v>0.56204849779356725</v>
      </c>
      <c r="AF83" s="308" t="e">
        <f t="shared" si="13"/>
        <v>#N/A</v>
      </c>
      <c r="AG83" s="306">
        <f t="shared" si="44"/>
        <v>24.810936338754082</v>
      </c>
      <c r="AH83" s="306">
        <f t="shared" si="14"/>
        <v>0</v>
      </c>
      <c r="AI83" s="306">
        <f t="shared" si="45"/>
        <v>0</v>
      </c>
      <c r="AJ83" s="306">
        <f t="shared" si="46"/>
        <v>0</v>
      </c>
      <c r="AK83" s="306">
        <f t="shared" si="15"/>
        <v>0</v>
      </c>
      <c r="AL83" s="306">
        <f t="shared" si="47"/>
        <v>0</v>
      </c>
      <c r="AM83" s="306">
        <f t="shared" si="16"/>
        <v>0</v>
      </c>
      <c r="AN83" s="304">
        <f>KcSplint!$N112</f>
        <v>0.43676459131753059</v>
      </c>
      <c r="AO83" s="304" t="str">
        <f t="shared" si="17"/>
        <v/>
      </c>
      <c r="AP83" s="304" t="str">
        <f t="shared" si="48"/>
        <v/>
      </c>
      <c r="AQ83" s="305" t="e">
        <f t="shared" si="49"/>
        <v>#N/A</v>
      </c>
      <c r="AR83" s="304" t="str">
        <f t="shared" si="50"/>
        <v/>
      </c>
      <c r="AS83" s="306">
        <f t="shared" si="18"/>
        <v>0</v>
      </c>
      <c r="AT83" s="307" t="e">
        <f t="shared" si="51"/>
        <v>#N/A</v>
      </c>
      <c r="AU83" s="307" t="e">
        <f t="shared" si="52"/>
        <v>#N/A</v>
      </c>
      <c r="AV83" s="304">
        <f t="shared" si="19"/>
        <v>1.0608928706242404</v>
      </c>
      <c r="AW83" s="309">
        <f t="shared" si="20"/>
        <v>23.901165637392364</v>
      </c>
      <c r="AX83" s="306">
        <f>IF(ISERROR(Weather!M67),#N/A,Weather!M67)</f>
        <v>0</v>
      </c>
      <c r="AY83" s="310">
        <f t="shared" si="21"/>
        <v>58</v>
      </c>
      <c r="AZ83" s="309">
        <f t="shared" si="22"/>
        <v>0.52978817499532449</v>
      </c>
      <c r="BA83" s="309">
        <f t="shared" si="23"/>
        <v>24.810936338754082</v>
      </c>
      <c r="BB83" s="311">
        <f>Irrig!H85</f>
        <v>0</v>
      </c>
      <c r="BC83" s="310">
        <f t="shared" si="24"/>
        <v>0</v>
      </c>
      <c r="BD83" s="309">
        <f t="shared" si="25"/>
        <v>0</v>
      </c>
      <c r="BE83" s="309">
        <f t="shared" si="26"/>
        <v>0</v>
      </c>
      <c r="BF83" s="306">
        <f>DailyMet!H66</f>
        <v>11.25</v>
      </c>
      <c r="BG83" s="306">
        <f>DailyMet!I66</f>
        <v>2.7</v>
      </c>
      <c r="BH83" s="306">
        <f t="shared" si="27"/>
        <v>11.25</v>
      </c>
      <c r="BI83" s="306">
        <f t="shared" si="28"/>
        <v>10</v>
      </c>
      <c r="BJ83" s="306">
        <f t="shared" si="29"/>
        <v>0.625</v>
      </c>
      <c r="BK83" s="306">
        <f t="shared" si="53"/>
        <v>0</v>
      </c>
      <c r="BL83" s="304">
        <f t="shared" si="30"/>
        <v>0</v>
      </c>
      <c r="BM83" s="304">
        <f t="shared" si="31"/>
        <v>9.1374269005847941E-2</v>
      </c>
      <c r="BN83" s="304">
        <f t="shared" si="55"/>
        <v>9.1374269005847941E-2</v>
      </c>
      <c r="BO83" s="306">
        <f t="shared" si="56"/>
        <v>0</v>
      </c>
      <c r="BP83" s="306"/>
    </row>
    <row r="84" spans="1:68">
      <c r="A84" s="299">
        <f t="shared" si="1"/>
        <v>0</v>
      </c>
      <c r="B84" s="300">
        <f t="shared" si="32"/>
        <v>38049</v>
      </c>
      <c r="C84" s="301" t="e">
        <f t="shared" si="33"/>
        <v>#N/A</v>
      </c>
      <c r="D84" s="301" t="e">
        <f t="shared" si="2"/>
        <v>#N/A</v>
      </c>
      <c r="E84" s="299">
        <f t="shared" si="3"/>
        <v>63</v>
      </c>
      <c r="F84" s="396">
        <f>Weather!M68</f>
        <v>0</v>
      </c>
      <c r="G84" s="301">
        <f>IF(Weather!C68="","",Weather!C68)</f>
        <v>1.0001136284065482</v>
      </c>
      <c r="H84" s="301">
        <f>IF(Weather!D68="","",Weather!D68)</f>
        <v>0.96808272715190891</v>
      </c>
      <c r="I84" s="502">
        <f>IF(Weather!E68="","",Weather!E68)</f>
        <v>0.96808272715190891</v>
      </c>
      <c r="J84" s="397">
        <f>IF(RnSplint!N112&lt;0,0,RnSplint!N112)</f>
        <v>28.509351901545191</v>
      </c>
      <c r="K84" s="302">
        <f t="shared" si="34"/>
        <v>0</v>
      </c>
      <c r="L84" s="303">
        <f t="shared" si="35"/>
        <v>38049</v>
      </c>
      <c r="M84" s="346" t="str">
        <f t="shared" si="4"/>
        <v/>
      </c>
      <c r="N84" s="304">
        <f t="shared" si="36"/>
        <v>0</v>
      </c>
      <c r="O84" s="304">
        <f t="shared" si="37"/>
        <v>0</v>
      </c>
      <c r="P84" s="304">
        <f t="shared" si="5"/>
        <v>0</v>
      </c>
      <c r="Q84" s="304">
        <f t="shared" si="6"/>
        <v>0.51904447708308654</v>
      </c>
      <c r="R84" s="304">
        <f t="shared" si="7"/>
        <v>0.51904447708308654</v>
      </c>
      <c r="S84" s="305" t="e">
        <f t="shared" si="38"/>
        <v>#N/A</v>
      </c>
      <c r="T84" s="304">
        <f t="shared" si="8"/>
        <v>0</v>
      </c>
      <c r="U84" s="304">
        <f t="shared" si="54"/>
        <v>0</v>
      </c>
      <c r="V84" s="305" t="e">
        <f t="shared" si="9"/>
        <v>#N/A</v>
      </c>
      <c r="W84" s="305" t="e">
        <f t="shared" si="39"/>
        <v>#N/A</v>
      </c>
      <c r="X84" s="304">
        <f t="shared" si="40"/>
        <v>0.51904447708308654</v>
      </c>
      <c r="Z84" s="304" t="str">
        <f t="shared" si="41"/>
        <v/>
      </c>
      <c r="AA84" s="305" t="e">
        <f t="shared" si="10"/>
        <v>#N/A</v>
      </c>
      <c r="AB84" s="304">
        <f t="shared" si="11"/>
        <v>0.50247799288773087</v>
      </c>
      <c r="AC84" s="304" t="str">
        <f t="shared" si="42"/>
        <v/>
      </c>
      <c r="AD84" s="306">
        <f t="shared" si="12"/>
        <v>0</v>
      </c>
      <c r="AE84" s="307">
        <f t="shared" si="43"/>
        <v>0.50247799288773087</v>
      </c>
      <c r="AF84" s="308" t="e">
        <f t="shared" si="13"/>
        <v>#N/A</v>
      </c>
      <c r="AG84" s="306">
        <f t="shared" si="44"/>
        <v>25.779019065905992</v>
      </c>
      <c r="AH84" s="306">
        <f t="shared" si="14"/>
        <v>0</v>
      </c>
      <c r="AI84" s="306">
        <f t="shared" si="45"/>
        <v>0</v>
      </c>
      <c r="AJ84" s="306">
        <f t="shared" si="46"/>
        <v>0</v>
      </c>
      <c r="AK84" s="306">
        <f t="shared" si="15"/>
        <v>0</v>
      </c>
      <c r="AL84" s="306">
        <f t="shared" si="47"/>
        <v>0</v>
      </c>
      <c r="AM84" s="306">
        <f t="shared" si="16"/>
        <v>0</v>
      </c>
      <c r="AN84" s="304">
        <f>KcSplint!$N113</f>
        <v>0.42682515128966481</v>
      </c>
      <c r="AO84" s="304" t="str">
        <f t="shared" si="17"/>
        <v/>
      </c>
      <c r="AP84" s="304" t="str">
        <f t="shared" si="48"/>
        <v/>
      </c>
      <c r="AQ84" s="305" t="e">
        <f t="shared" si="49"/>
        <v>#N/A</v>
      </c>
      <c r="AR84" s="304" t="str">
        <f t="shared" si="50"/>
        <v/>
      </c>
      <c r="AS84" s="306">
        <f t="shared" si="18"/>
        <v>0</v>
      </c>
      <c r="AT84" s="307" t="e">
        <f t="shared" si="51"/>
        <v>#N/A</v>
      </c>
      <c r="AU84" s="307" t="e">
        <f t="shared" si="52"/>
        <v>#N/A</v>
      </c>
      <c r="AV84" s="304">
        <f t="shared" si="19"/>
        <v>0.96808272715190891</v>
      </c>
      <c r="AW84" s="309">
        <f t="shared" si="20"/>
        <v>24.869248364544273</v>
      </c>
      <c r="AX84" s="306">
        <f>IF(ISERROR(Weather!M68),#N/A,Weather!M68)</f>
        <v>0</v>
      </c>
      <c r="AY84" s="310">
        <f t="shared" si="21"/>
        <v>59</v>
      </c>
      <c r="AZ84" s="309">
        <f t="shared" si="22"/>
        <v>0.51904447708308654</v>
      </c>
      <c r="BA84" s="309">
        <f t="shared" si="23"/>
        <v>25.779019065905992</v>
      </c>
      <c r="BB84" s="311">
        <f>Irrig!H86</f>
        <v>0</v>
      </c>
      <c r="BC84" s="310">
        <f t="shared" si="24"/>
        <v>0</v>
      </c>
      <c r="BD84" s="309">
        <f t="shared" si="25"/>
        <v>0</v>
      </c>
      <c r="BE84" s="309">
        <f t="shared" si="26"/>
        <v>0</v>
      </c>
      <c r="BF84" s="306">
        <f>DailyMet!H67</f>
        <v>10.8</v>
      </c>
      <c r="BG84" s="306">
        <f>DailyMet!I67</f>
        <v>2.6</v>
      </c>
      <c r="BH84" s="306">
        <f t="shared" si="27"/>
        <v>10.8</v>
      </c>
      <c r="BI84" s="306">
        <f t="shared" si="28"/>
        <v>10</v>
      </c>
      <c r="BJ84" s="306">
        <f t="shared" si="29"/>
        <v>0.40000000000000036</v>
      </c>
      <c r="BK84" s="306">
        <f t="shared" si="53"/>
        <v>0</v>
      </c>
      <c r="BL84" s="304">
        <f t="shared" si="30"/>
        <v>0</v>
      </c>
      <c r="BM84" s="304">
        <f t="shared" si="31"/>
        <v>3.9024390243902501E-2</v>
      </c>
      <c r="BN84" s="304">
        <f t="shared" si="55"/>
        <v>3.9024390243902501E-2</v>
      </c>
      <c r="BO84" s="306">
        <f t="shared" si="56"/>
        <v>0</v>
      </c>
      <c r="BP84" s="306"/>
    </row>
    <row r="85" spans="1:68">
      <c r="A85" s="299">
        <f t="shared" si="1"/>
        <v>0</v>
      </c>
      <c r="B85" s="300">
        <f t="shared" si="32"/>
        <v>38050</v>
      </c>
      <c r="C85" s="301" t="e">
        <f t="shared" si="33"/>
        <v>#N/A</v>
      </c>
      <c r="D85" s="301" t="e">
        <f t="shared" si="2"/>
        <v>#N/A</v>
      </c>
      <c r="E85" s="299">
        <f t="shared" si="3"/>
        <v>64</v>
      </c>
      <c r="F85" s="396">
        <f>Weather!M69</f>
        <v>0</v>
      </c>
      <c r="G85" s="301">
        <f>IF(Weather!C69="","",Weather!C69)</f>
        <v>1.0331530551134189</v>
      </c>
      <c r="H85" s="301">
        <f>IF(Weather!D69="","",Weather!D69)</f>
        <v>0.98359335507564682</v>
      </c>
      <c r="I85" s="502">
        <f>IF(Weather!E69="","",Weather!E69)</f>
        <v>0.98359335507564682</v>
      </c>
      <c r="J85" s="397">
        <f>IF(RnSplint!N113&lt;0,0,RnSplint!N113)</f>
        <v>28.66852031215813</v>
      </c>
      <c r="K85" s="302">
        <f t="shared" si="34"/>
        <v>0</v>
      </c>
      <c r="L85" s="303">
        <f t="shared" si="35"/>
        <v>38050</v>
      </c>
      <c r="M85" s="346" t="str">
        <f t="shared" si="4"/>
        <v/>
      </c>
      <c r="N85" s="304">
        <f t="shared" si="36"/>
        <v>0</v>
      </c>
      <c r="O85" s="304">
        <f t="shared" si="37"/>
        <v>0</v>
      </c>
      <c r="P85" s="304">
        <f t="shared" si="5"/>
        <v>0</v>
      </c>
      <c r="Q85" s="304">
        <f t="shared" si="6"/>
        <v>0.50875914684985934</v>
      </c>
      <c r="R85" s="304">
        <f t="shared" si="7"/>
        <v>0.50875914684985934</v>
      </c>
      <c r="S85" s="305" t="e">
        <f t="shared" si="38"/>
        <v>#N/A</v>
      </c>
      <c r="T85" s="304">
        <f t="shared" si="8"/>
        <v>0</v>
      </c>
      <c r="U85" s="304">
        <f t="shared" si="54"/>
        <v>0</v>
      </c>
      <c r="V85" s="305" t="e">
        <f t="shared" si="9"/>
        <v>#N/A</v>
      </c>
      <c r="W85" s="305" t="e">
        <f t="shared" si="39"/>
        <v>#N/A</v>
      </c>
      <c r="X85" s="304">
        <f t="shared" si="40"/>
        <v>0.50875914684985934</v>
      </c>
      <c r="Z85" s="304" t="str">
        <f t="shared" si="41"/>
        <v/>
      </c>
      <c r="AA85" s="305" t="e">
        <f t="shared" si="10"/>
        <v>#N/A</v>
      </c>
      <c r="AB85" s="304">
        <f t="shared" si="11"/>
        <v>0.50041211617547687</v>
      </c>
      <c r="AC85" s="304" t="str">
        <f t="shared" si="42"/>
        <v/>
      </c>
      <c r="AD85" s="306">
        <f t="shared" si="12"/>
        <v>0</v>
      </c>
      <c r="AE85" s="307">
        <f t="shared" si="43"/>
        <v>0.50041211617547687</v>
      </c>
      <c r="AF85" s="308" t="e">
        <f t="shared" si="13"/>
        <v>#N/A</v>
      </c>
      <c r="AG85" s="306">
        <f t="shared" si="44"/>
        <v>26.76261242098164</v>
      </c>
      <c r="AH85" s="306">
        <f t="shared" si="14"/>
        <v>0</v>
      </c>
      <c r="AI85" s="306">
        <f t="shared" si="45"/>
        <v>0</v>
      </c>
      <c r="AJ85" s="306">
        <f t="shared" si="46"/>
        <v>0</v>
      </c>
      <c r="AK85" s="306">
        <f t="shared" si="15"/>
        <v>0</v>
      </c>
      <c r="AL85" s="306">
        <f t="shared" si="47"/>
        <v>0</v>
      </c>
      <c r="AM85" s="306">
        <f t="shared" si="16"/>
        <v>0</v>
      </c>
      <c r="AN85" s="304">
        <f>KcSplint!$N114</f>
        <v>0.41797044519232068</v>
      </c>
      <c r="AO85" s="304" t="str">
        <f t="shared" si="17"/>
        <v/>
      </c>
      <c r="AP85" s="304" t="str">
        <f t="shared" si="48"/>
        <v/>
      </c>
      <c r="AQ85" s="305" t="e">
        <f t="shared" si="49"/>
        <v>#N/A</v>
      </c>
      <c r="AR85" s="304" t="str">
        <f t="shared" si="50"/>
        <v/>
      </c>
      <c r="AS85" s="306">
        <f t="shared" si="18"/>
        <v>0</v>
      </c>
      <c r="AT85" s="307" t="e">
        <f t="shared" si="51"/>
        <v>#N/A</v>
      </c>
      <c r="AU85" s="307" t="e">
        <f t="shared" si="52"/>
        <v>#N/A</v>
      </c>
      <c r="AV85" s="304">
        <f t="shared" si="19"/>
        <v>0.98359335507564682</v>
      </c>
      <c r="AW85" s="309">
        <f t="shared" si="20"/>
        <v>25.852841719619921</v>
      </c>
      <c r="AX85" s="306">
        <f>IF(ISERROR(Weather!M69),#N/A,Weather!M69)</f>
        <v>0</v>
      </c>
      <c r="AY85" s="310">
        <f t="shared" si="21"/>
        <v>60</v>
      </c>
      <c r="AZ85" s="309">
        <f t="shared" si="22"/>
        <v>0.50875914684985934</v>
      </c>
      <c r="BA85" s="309">
        <f t="shared" si="23"/>
        <v>26.76261242098164</v>
      </c>
      <c r="BB85" s="311">
        <f>Irrig!H87</f>
        <v>0</v>
      </c>
      <c r="BC85" s="310">
        <f t="shared" si="24"/>
        <v>0</v>
      </c>
      <c r="BD85" s="309">
        <f t="shared" si="25"/>
        <v>0</v>
      </c>
      <c r="BE85" s="309">
        <f t="shared" si="26"/>
        <v>0</v>
      </c>
      <c r="BF85" s="306">
        <f>DailyMet!H68</f>
        <v>11.15</v>
      </c>
      <c r="BG85" s="306">
        <f>DailyMet!I68</f>
        <v>6.7</v>
      </c>
      <c r="BH85" s="306">
        <f t="shared" si="27"/>
        <v>11.15</v>
      </c>
      <c r="BI85" s="306">
        <f t="shared" si="28"/>
        <v>10</v>
      </c>
      <c r="BJ85" s="306">
        <f t="shared" si="29"/>
        <v>0.57499999999999929</v>
      </c>
      <c r="BK85" s="306">
        <f t="shared" si="53"/>
        <v>0</v>
      </c>
      <c r="BL85" s="304">
        <f t="shared" si="30"/>
        <v>0</v>
      </c>
      <c r="BM85" s="304">
        <f t="shared" si="31"/>
        <v>0.14859550561797763</v>
      </c>
      <c r="BN85" s="304">
        <f t="shared" si="55"/>
        <v>0.14859550561797763</v>
      </c>
      <c r="BO85" s="306">
        <f t="shared" si="56"/>
        <v>0</v>
      </c>
      <c r="BP85" s="306"/>
    </row>
    <row r="86" spans="1:68">
      <c r="A86" s="299">
        <f t="shared" ref="A86:A149" si="57">IF(B86&gt;K$12,0,IF(B86&gt;L$11,4,IF(B86&gt;=L$10,3,IF(B86&gt;L$9,2,IF(B86&gt;=K$8,1,0)))))</f>
        <v>0</v>
      </c>
      <c r="B86" s="300">
        <f t="shared" ref="B86:B149" si="58">B85+1</f>
        <v>38051</v>
      </c>
      <c r="C86" s="301" t="e">
        <f t="shared" si="33"/>
        <v>#N/A</v>
      </c>
      <c r="D86" s="301" t="e">
        <f t="shared" ref="D86:D149" si="59">IF(ISNA(C86),#N/A,IF(Q86&lt;C86,Q86,C86))</f>
        <v>#N/A</v>
      </c>
      <c r="E86" s="299">
        <f t="shared" ref="E86:E149" si="60">B86-DATE(K$2-1,12,31)</f>
        <v>65</v>
      </c>
      <c r="F86" s="396">
        <f>Weather!M70</f>
        <v>0</v>
      </c>
      <c r="G86" s="301">
        <f>IF(Weather!C70="","",Weather!C70)</f>
        <v>1.0654713778605693</v>
      </c>
      <c r="H86" s="301">
        <f>IF(Weather!D70="","",Weather!D70)</f>
        <v>1.2950054322307294</v>
      </c>
      <c r="I86" s="502">
        <f>IF(Weather!E70="","",Weather!E70)</f>
        <v>1.2950054322307294</v>
      </c>
      <c r="J86" s="397">
        <f>IF(RnSplint!N114&lt;0,0,RnSplint!N114)</f>
        <v>28.836374793723554</v>
      </c>
      <c r="K86" s="302">
        <f t="shared" si="34"/>
        <v>0</v>
      </c>
      <c r="L86" s="303">
        <f t="shared" si="35"/>
        <v>38051</v>
      </c>
      <c r="M86" s="346" t="str">
        <f t="shared" ref="M86:M149" si="61">IF(OR(MONTH(L87)&gt;MONTH(L86),MONTH(L87)&lt;MONTH(L86)),MONTH(L86),"")</f>
        <v/>
      </c>
      <c r="N86" s="304">
        <f t="shared" si="36"/>
        <v>0</v>
      </c>
      <c r="O86" s="304">
        <f t="shared" si="37"/>
        <v>0</v>
      </c>
      <c r="P86" s="304">
        <f t="shared" ref="P86:P149" si="62">IF($N86+$O86&gt;K$6,$K$6,$N86+$O86)</f>
        <v>0</v>
      </c>
      <c r="Q86" s="304">
        <f t="shared" ref="Q86:Q149" si="63">AZ86</f>
        <v>0.49608836633820408</v>
      </c>
      <c r="R86" s="304">
        <f t="shared" ref="R86:R149" si="64">IF(Q86&gt;P86,Q86,P86)</f>
        <v>0.49608836633820408</v>
      </c>
      <c r="S86" s="305" t="e">
        <f t="shared" si="38"/>
        <v>#N/A</v>
      </c>
      <c r="T86" s="304">
        <f t="shared" ref="T86:T149" si="65">BE86</f>
        <v>0</v>
      </c>
      <c r="U86" s="304">
        <f t="shared" si="54"/>
        <v>0</v>
      </c>
      <c r="V86" s="305" t="e">
        <f t="shared" ref="V86:V149" si="66">IF(N86=0,#N/A,U86)</f>
        <v>#N/A</v>
      </c>
      <c r="W86" s="305" t="e">
        <f t="shared" si="39"/>
        <v>#N/A</v>
      </c>
      <c r="X86" s="304">
        <f t="shared" si="40"/>
        <v>0.49608836633820408</v>
      </c>
      <c r="Z86" s="304" t="str">
        <f t="shared" ref="Z86:Z149" si="67">IF(A86=2,X86,"")</f>
        <v/>
      </c>
      <c r="AA86" s="305" t="e">
        <f t="shared" ref="AA86:AA149" si="68">IF(N86=0,#N/A,X86)</f>
        <v>#N/A</v>
      </c>
      <c r="AB86" s="304">
        <f t="shared" ref="AB86:AB149" si="69">X86*AV86</f>
        <v>0.64243712927444241</v>
      </c>
      <c r="AC86" s="304" t="str">
        <f t="shared" si="42"/>
        <v/>
      </c>
      <c r="AD86" s="306">
        <f t="shared" ref="AD86:AD149" si="70">IF(OR(AND(L$3=4,E86&gt;366),AND(L$3=2,E86&gt;366)),0,IF(A86=0,0,AD85+AB86))</f>
        <v>0</v>
      </c>
      <c r="AE86" s="307">
        <f t="shared" si="43"/>
        <v>0.64243712927444241</v>
      </c>
      <c r="AF86" s="308" t="e">
        <f t="shared" ref="AF86:AF149" si="71">IF(AD86=0,#N/A,AD86)</f>
        <v>#N/A</v>
      </c>
      <c r="AG86" s="306">
        <f t="shared" si="44"/>
        <v>28.057617853212371</v>
      </c>
      <c r="AH86" s="306">
        <f t="shared" ref="AH86:AH149" si="72">IF($A86=1,I86,0)</f>
        <v>0</v>
      </c>
      <c r="AI86" s="306">
        <f t="shared" si="45"/>
        <v>0</v>
      </c>
      <c r="AJ86" s="306">
        <f t="shared" si="46"/>
        <v>0</v>
      </c>
      <c r="AK86" s="306">
        <f t="shared" ref="AK86:AK149" si="73">IF($A86=1,AE86,0)</f>
        <v>0</v>
      </c>
      <c r="AL86" s="306">
        <f t="shared" si="47"/>
        <v>0</v>
      </c>
      <c r="AM86" s="306">
        <f t="shared" ref="AM86:AM149" si="74">IF($A86=4,$AE86,0)</f>
        <v>0</v>
      </c>
      <c r="AN86" s="304">
        <f>KcSplint!$N115</f>
        <v>0.41026525065103536</v>
      </c>
      <c r="AO86" s="304" t="str">
        <f t="shared" ref="AO86:AO149" si="75">IF($A86=1,$AC$9,IF($A86=2,$AP85+$AD$9,IF($A86=3,$AC$10,IF($A86=4,$AP85+$AD$11,""))))</f>
        <v/>
      </c>
      <c r="AP86" s="304" t="str">
        <f t="shared" si="48"/>
        <v/>
      </c>
      <c r="AQ86" s="305" t="e">
        <f t="shared" si="49"/>
        <v>#N/A</v>
      </c>
      <c r="AR86" s="304" t="str">
        <f t="shared" si="50"/>
        <v/>
      </c>
      <c r="AS86" s="306">
        <f t="shared" ref="AS86:AS149" si="76">IF(OR(AND(L$3=4,E86&gt;366),AND(L$3=2,E86&gt;366)),0,IF(AR86="",0,AS85+AR86))</f>
        <v>0</v>
      </c>
      <c r="AT86" s="307" t="e">
        <f t="shared" si="51"/>
        <v>#N/A</v>
      </c>
      <c r="AU86" s="307" t="e">
        <f t="shared" si="52"/>
        <v>#N/A</v>
      </c>
      <c r="AV86" s="304">
        <f t="shared" ref="AV86:AV149" si="77">IF(I86&lt;0,0,I86)</f>
        <v>1.2950054322307294</v>
      </c>
      <c r="AW86" s="309">
        <f t="shared" ref="AW86:AW149" si="78">IF(AV86="",0,IF(AY86=1,AV86,AW85+AV86))</f>
        <v>27.147847151850652</v>
      </c>
      <c r="AX86" s="306">
        <f>IF(ISERROR(Weather!M70),#N/A,Weather!M70)</f>
        <v>0</v>
      </c>
      <c r="AY86" s="310">
        <f t="shared" ref="AY86:AY149" si="79">IF(AV86="",0,IF(AX86&gt;2*AV86,1,AY85+1))</f>
        <v>61</v>
      </c>
      <c r="AZ86" s="309">
        <f t="shared" ref="AZ86:AZ149" si="80">IF(2.725*$AW86^-0.516&gt;1.2,1.2,2.725*$AW86^-0.516)</f>
        <v>0.49608836633820408</v>
      </c>
      <c r="BA86" s="309">
        <f t="shared" ref="BA86:BA149" si="81">IF($AV86="",0,IF(BC86=1,$AV86,BA85+$AV86))</f>
        <v>28.057617853212371</v>
      </c>
      <c r="BB86" s="311">
        <f>Irrig!H88</f>
        <v>0</v>
      </c>
      <c r="BC86" s="310">
        <f t="shared" ref="BC86:BC149" si="82">IF(A86=0,0,IF(BB86="",0,IF(BB86&gt;2*AV86,1,IF(A85=0,2,BC85+1))))</f>
        <v>0</v>
      </c>
      <c r="BD86" s="309">
        <f t="shared" ref="BD86:BD149" si="83">IF($A86=0,0,IF(2.725*$BA86^-0.516&gt;1.2,IF($A85=0,$Q86,1.2),IF($A85=0,$Q86,2.725*$BA86^-0.516)))</f>
        <v>0</v>
      </c>
      <c r="BE86" s="309">
        <f t="shared" ref="BE86:BE149" si="84">(BE$18/100)*BD86</f>
        <v>0</v>
      </c>
      <c r="BF86" s="306">
        <f>DailyMet!H69</f>
        <v>9.5500000000000007</v>
      </c>
      <c r="BG86" s="306">
        <f>DailyMet!I69</f>
        <v>4.4000000000000004</v>
      </c>
      <c r="BH86" s="306">
        <f t="shared" ref="BH86:BH149" si="85">IF(BF86&gt;$V$3,$V$3,BF86)</f>
        <v>9.5500000000000007</v>
      </c>
      <c r="BI86" s="306">
        <f t="shared" ref="BI86:BI149" si="86">IF(BG86&lt;$V$4,$V$4,BG86)</f>
        <v>10</v>
      </c>
      <c r="BJ86" s="306">
        <f t="shared" ref="BJ86:BJ149" si="87">(BH86+BI86)/2-V$4</f>
        <v>-0.22499999999999964</v>
      </c>
      <c r="BK86" s="306">
        <f t="shared" ref="BK86:BK134" si="88">IF(AP86="",0,BK85+BJ86)</f>
        <v>0</v>
      </c>
      <c r="BL86" s="304">
        <f t="shared" ref="BL86:BL149" si="89">IF($BG86&gt;$V$3,($BG86+$BF86)/2-$V$3,IF($BF86&gt;$V$3,($BF86-$V$3)^2/(2*($BF86-$BG86)),0))</f>
        <v>0</v>
      </c>
      <c r="BM86" s="304">
        <f t="shared" ref="BM86:BM149" si="90">IF($BG86&gt;$V$4,($BG86+$BF86)/2-$V$4,IF($BF86&gt;$V$4,($BF86-$V$4)^2/(2*($BF86-$BG86)),0))</f>
        <v>0</v>
      </c>
      <c r="BN86" s="304">
        <f t="shared" si="55"/>
        <v>0</v>
      </c>
      <c r="BO86" s="306">
        <f t="shared" si="56"/>
        <v>0</v>
      </c>
      <c r="BP86" s="306"/>
    </row>
    <row r="87" spans="1:68">
      <c r="A87" s="299">
        <f t="shared" si="57"/>
        <v>0</v>
      </c>
      <c r="B87" s="300">
        <f t="shared" si="58"/>
        <v>38052</v>
      </c>
      <c r="C87" s="301" t="e">
        <f t="shared" ref="C87:C150" si="91">VLOOKUP(B87,$L$8:$R$12,7,FALSE)</f>
        <v>#N/A</v>
      </c>
      <c r="D87" s="301" t="e">
        <f t="shared" si="59"/>
        <v>#N/A</v>
      </c>
      <c r="E87" s="299">
        <f t="shared" si="60"/>
        <v>66</v>
      </c>
      <c r="F87" s="396">
        <f>Weather!M71</f>
        <v>0</v>
      </c>
      <c r="G87" s="301">
        <f>IF(Weather!C71="","",Weather!C71)</f>
        <v>1.096923893141617</v>
      </c>
      <c r="H87" s="301">
        <f>IF(Weather!D71="","",Weather!D71)</f>
        <v>1.5724939236484043</v>
      </c>
      <c r="I87" s="502">
        <f>IF(Weather!E71="","",Weather!E71)</f>
        <v>1.5724939236484043</v>
      </c>
      <c r="J87" s="397">
        <f>IF(RnSplint!N115&lt;0,0,RnSplint!N115)</f>
        <v>29.012020049829552</v>
      </c>
      <c r="K87" s="302">
        <f t="shared" ref="K87:K150" si="92">IF(AND($B87&gt;=L$8,$B87&lt;=L$9),Z$9,IF(AND($B87&gt;L$9,$B87&lt;=L$10),N86+AA$9,IF(AND($B87&gt;L$10,$B87&lt;=L$11),N86+AA$10,IF(AND($B87&gt;L$11,$B87&lt;=L$12),N86+AA$11,0))))</f>
        <v>0</v>
      </c>
      <c r="L87" s="303">
        <f t="shared" ref="L87:L150" si="93">B87</f>
        <v>38052</v>
      </c>
      <c r="M87" s="346" t="str">
        <f t="shared" si="61"/>
        <v/>
      </c>
      <c r="N87" s="304">
        <f t="shared" ref="N87:N150" si="94">K87</f>
        <v>0</v>
      </c>
      <c r="O87" s="304">
        <f t="shared" ref="O87:O150" si="95">IF($L$3&lt;3,0,IF($R$3=E87,R$2,IF($R$4=E86,0,IF($R$5=E87,R$2,IF($R$6=E86,0,O86)))))</f>
        <v>0</v>
      </c>
      <c r="P87" s="304">
        <f t="shared" si="62"/>
        <v>0</v>
      </c>
      <c r="Q87" s="304">
        <f t="shared" si="63"/>
        <v>0.48188196934159794</v>
      </c>
      <c r="R87" s="304">
        <f t="shared" si="64"/>
        <v>0.48188196934159794</v>
      </c>
      <c r="S87" s="305" t="e">
        <f t="shared" ref="S87:S150" si="96">IF(N87=0,#N/A,R87)</f>
        <v>#N/A</v>
      </c>
      <c r="T87" s="304">
        <f t="shared" si="65"/>
        <v>0</v>
      </c>
      <c r="U87" s="304">
        <f t="shared" si="54"/>
        <v>0</v>
      </c>
      <c r="V87" s="305" t="e">
        <f t="shared" si="66"/>
        <v>#N/A</v>
      </c>
      <c r="W87" s="305" t="e">
        <f t="shared" ref="W87:W150" si="97">IF(OR(P87=0,P87=""),#N/A,P87)</f>
        <v>#N/A</v>
      </c>
      <c r="X87" s="304">
        <f t="shared" ref="X87:X150" si="98">IF(R87&gt;U87,R87,U87)</f>
        <v>0.48188196934159794</v>
      </c>
      <c r="Z87" s="304" t="str">
        <f t="shared" si="67"/>
        <v/>
      </c>
      <c r="AA87" s="305" t="e">
        <f t="shared" si="68"/>
        <v>#N/A</v>
      </c>
      <c r="AB87" s="304">
        <f t="shared" si="69"/>
        <v>0.75775646870538949</v>
      </c>
      <c r="AC87" s="304" t="str">
        <f t="shared" ref="AC87:AC150" si="99">IF($A87=4,$X87,"")</f>
        <v/>
      </c>
      <c r="AD87" s="306">
        <f t="shared" si="70"/>
        <v>0</v>
      </c>
      <c r="AE87" s="307">
        <f t="shared" ref="AE87:AE150" si="100">IF(AB87="",#N/A,AB87)</f>
        <v>0.75775646870538949</v>
      </c>
      <c r="AF87" s="308" t="e">
        <f t="shared" si="71"/>
        <v>#N/A</v>
      </c>
      <c r="AG87" s="306">
        <f t="shared" ref="AG87:AG150" si="101">AG86+$I87</f>
        <v>29.630111776860776</v>
      </c>
      <c r="AH87" s="306">
        <f t="shared" si="72"/>
        <v>0</v>
      </c>
      <c r="AI87" s="306">
        <f t="shared" ref="AI87:AI150" si="102">IF($A87=3,I87,0)</f>
        <v>0</v>
      </c>
      <c r="AJ87" s="306">
        <f t="shared" ref="AJ87:AJ150" si="103">IF($A87=4,$I87,0)</f>
        <v>0</v>
      </c>
      <c r="AK87" s="306">
        <f t="shared" si="73"/>
        <v>0</v>
      </c>
      <c r="AL87" s="306">
        <f t="shared" ref="AL87:AL150" si="104">IF($A87=3,AE87,0)</f>
        <v>0</v>
      </c>
      <c r="AM87" s="306">
        <f t="shared" si="74"/>
        <v>0</v>
      </c>
      <c r="AN87" s="304">
        <f>KcSplint!$N116</f>
        <v>0.40377434529134487</v>
      </c>
      <c r="AO87" s="304" t="str">
        <f t="shared" si="75"/>
        <v/>
      </c>
      <c r="AP87" s="304" t="str">
        <f t="shared" ref="AP87:AP150" si="105">IF(OR($L$3=2,$L$3=4),AN87,AO87)</f>
        <v/>
      </c>
      <c r="AQ87" s="305" t="e">
        <f t="shared" ref="AQ87:AQ150" si="106">IF(AP87="",#N/A,AP87)</f>
        <v>#N/A</v>
      </c>
      <c r="AR87" s="304" t="str">
        <f t="shared" ref="AR87:AR150" si="107">IF(AP87="","",AP87*AV87)</f>
        <v/>
      </c>
      <c r="AS87" s="306">
        <f t="shared" si="76"/>
        <v>0</v>
      </c>
      <c r="AT87" s="307" t="e">
        <f t="shared" ref="AT87:AT150" si="108">IF(AR87="",#N/A,AR87)</f>
        <v>#N/A</v>
      </c>
      <c r="AU87" s="307" t="e">
        <f t="shared" ref="AU87:AU150" si="109">IF(AS87=0,#N/A,AS87)</f>
        <v>#N/A</v>
      </c>
      <c r="AV87" s="304">
        <f t="shared" si="77"/>
        <v>1.5724939236484043</v>
      </c>
      <c r="AW87" s="309">
        <f t="shared" si="78"/>
        <v>28.720341075499057</v>
      </c>
      <c r="AX87" s="306">
        <f>IF(ISERROR(Weather!M71),#N/A,Weather!M71)</f>
        <v>0</v>
      </c>
      <c r="AY87" s="310">
        <f t="shared" si="79"/>
        <v>62</v>
      </c>
      <c r="AZ87" s="309">
        <f t="shared" si="80"/>
        <v>0.48188196934159794</v>
      </c>
      <c r="BA87" s="309">
        <f t="shared" si="81"/>
        <v>29.630111776860776</v>
      </c>
      <c r="BB87" s="311">
        <f>Irrig!H89</f>
        <v>0</v>
      </c>
      <c r="BC87" s="310">
        <f t="shared" si="82"/>
        <v>0</v>
      </c>
      <c r="BD87" s="309">
        <f t="shared" si="83"/>
        <v>0</v>
      </c>
      <c r="BE87" s="309">
        <f t="shared" si="84"/>
        <v>0</v>
      </c>
      <c r="BF87" s="306">
        <f>DailyMet!H70</f>
        <v>7.85</v>
      </c>
      <c r="BG87" s="306">
        <f>DailyMet!I70</f>
        <v>2.1</v>
      </c>
      <c r="BH87" s="306">
        <f t="shared" si="85"/>
        <v>7.85</v>
      </c>
      <c r="BI87" s="306">
        <f t="shared" si="86"/>
        <v>10</v>
      </c>
      <c r="BJ87" s="306">
        <f t="shared" si="87"/>
        <v>-1.0749999999999993</v>
      </c>
      <c r="BK87" s="306">
        <f t="shared" si="88"/>
        <v>0</v>
      </c>
      <c r="BL87" s="304">
        <f t="shared" si="89"/>
        <v>0</v>
      </c>
      <c r="BM87" s="304">
        <f t="shared" si="90"/>
        <v>0</v>
      </c>
      <c r="BN87" s="304">
        <f t="shared" si="55"/>
        <v>0</v>
      </c>
      <c r="BO87" s="306">
        <f t="shared" si="56"/>
        <v>0</v>
      </c>
      <c r="BP87" s="306"/>
    </row>
    <row r="88" spans="1:68">
      <c r="A88" s="299">
        <f t="shared" si="57"/>
        <v>0</v>
      </c>
      <c r="B88" s="300">
        <f t="shared" si="58"/>
        <v>38053</v>
      </c>
      <c r="C88" s="301" t="e">
        <f t="shared" si="91"/>
        <v>#N/A</v>
      </c>
      <c r="D88" s="301" t="e">
        <f t="shared" si="59"/>
        <v>#N/A</v>
      </c>
      <c r="E88" s="299">
        <f t="shared" si="60"/>
        <v>67</v>
      </c>
      <c r="F88" s="396">
        <f>Weather!M72</f>
        <v>0</v>
      </c>
      <c r="G88" s="301">
        <f>IF(Weather!C72="","",Weather!C72)</f>
        <v>1.1273658974501801</v>
      </c>
      <c r="H88" s="301">
        <f>IF(Weather!D72="","",Weather!D72)</f>
        <v>1.0836619209021265</v>
      </c>
      <c r="I88" s="502">
        <f>IF(Weather!E72="","",Weather!E72)</f>
        <v>1.0836619209021265</v>
      </c>
      <c r="J88" s="397">
        <f>IF(RnSplint!N116&lt;0,0,RnSplint!N116)</f>
        <v>29.194560784064212</v>
      </c>
      <c r="K88" s="302">
        <f t="shared" si="92"/>
        <v>0</v>
      </c>
      <c r="L88" s="303">
        <f t="shared" si="93"/>
        <v>38053</v>
      </c>
      <c r="M88" s="346" t="str">
        <f t="shared" si="61"/>
        <v/>
      </c>
      <c r="N88" s="304">
        <f t="shared" si="94"/>
        <v>0</v>
      </c>
      <c r="O88" s="304">
        <f t="shared" si="95"/>
        <v>0</v>
      </c>
      <c r="P88" s="304">
        <f t="shared" si="62"/>
        <v>0</v>
      </c>
      <c r="Q88" s="304">
        <f t="shared" si="63"/>
        <v>0.47276009782704204</v>
      </c>
      <c r="R88" s="304">
        <f t="shared" si="64"/>
        <v>0.47276009782704204</v>
      </c>
      <c r="S88" s="305" t="e">
        <f t="shared" si="96"/>
        <v>#N/A</v>
      </c>
      <c r="T88" s="304">
        <f t="shared" si="65"/>
        <v>0</v>
      </c>
      <c r="U88" s="304">
        <f t="shared" ref="U88:U151" si="110">IF(T88&gt;P88,T88,P88)</f>
        <v>0</v>
      </c>
      <c r="V88" s="305" t="e">
        <f t="shared" si="66"/>
        <v>#N/A</v>
      </c>
      <c r="W88" s="305" t="e">
        <f t="shared" si="97"/>
        <v>#N/A</v>
      </c>
      <c r="X88" s="304">
        <f t="shared" si="98"/>
        <v>0.47276009782704204</v>
      </c>
      <c r="Z88" s="304" t="str">
        <f t="shared" si="67"/>
        <v/>
      </c>
      <c r="AA88" s="305" t="e">
        <f t="shared" si="68"/>
        <v>#N/A</v>
      </c>
      <c r="AB88" s="304">
        <f t="shared" si="69"/>
        <v>0.51231211573712965</v>
      </c>
      <c r="AC88" s="304" t="str">
        <f t="shared" si="99"/>
        <v/>
      </c>
      <c r="AD88" s="306">
        <f t="shared" si="70"/>
        <v>0</v>
      </c>
      <c r="AE88" s="307">
        <f t="shared" si="100"/>
        <v>0.51231211573712965</v>
      </c>
      <c r="AF88" s="308" t="e">
        <f t="shared" si="71"/>
        <v>#N/A</v>
      </c>
      <c r="AG88" s="306">
        <f t="shared" si="101"/>
        <v>30.713773697762903</v>
      </c>
      <c r="AH88" s="306">
        <f t="shared" si="72"/>
        <v>0</v>
      </c>
      <c r="AI88" s="306">
        <f t="shared" si="102"/>
        <v>0</v>
      </c>
      <c r="AJ88" s="306">
        <f t="shared" si="103"/>
        <v>0</v>
      </c>
      <c r="AK88" s="306">
        <f t="shared" si="73"/>
        <v>0</v>
      </c>
      <c r="AL88" s="306">
        <f t="shared" si="104"/>
        <v>0</v>
      </c>
      <c r="AM88" s="306">
        <f t="shared" si="74"/>
        <v>0</v>
      </c>
      <c r="AN88" s="304">
        <f>KcSplint!$N117</f>
        <v>0.3985625067387864</v>
      </c>
      <c r="AO88" s="304" t="str">
        <f t="shared" si="75"/>
        <v/>
      </c>
      <c r="AP88" s="304" t="str">
        <f t="shared" si="105"/>
        <v/>
      </c>
      <c r="AQ88" s="305" t="e">
        <f t="shared" si="106"/>
        <v>#N/A</v>
      </c>
      <c r="AR88" s="304" t="str">
        <f t="shared" si="107"/>
        <v/>
      </c>
      <c r="AS88" s="306">
        <f t="shared" si="76"/>
        <v>0</v>
      </c>
      <c r="AT88" s="307" t="e">
        <f t="shared" si="108"/>
        <v>#N/A</v>
      </c>
      <c r="AU88" s="307" t="e">
        <f t="shared" si="109"/>
        <v>#N/A</v>
      </c>
      <c r="AV88" s="304">
        <f t="shared" si="77"/>
        <v>1.0836619209021265</v>
      </c>
      <c r="AW88" s="309">
        <f t="shared" si="78"/>
        <v>29.804002996401184</v>
      </c>
      <c r="AX88" s="306">
        <f>IF(ISERROR(Weather!M72),#N/A,Weather!M72)</f>
        <v>0</v>
      </c>
      <c r="AY88" s="310">
        <f t="shared" si="79"/>
        <v>63</v>
      </c>
      <c r="AZ88" s="309">
        <f t="shared" si="80"/>
        <v>0.47276009782704204</v>
      </c>
      <c r="BA88" s="309">
        <f t="shared" si="81"/>
        <v>30.713773697762903</v>
      </c>
      <c r="BB88" s="311">
        <f>Irrig!H90</f>
        <v>0</v>
      </c>
      <c r="BC88" s="310">
        <f t="shared" si="82"/>
        <v>0</v>
      </c>
      <c r="BD88" s="309">
        <f t="shared" si="83"/>
        <v>0</v>
      </c>
      <c r="BE88" s="309">
        <f t="shared" si="84"/>
        <v>0</v>
      </c>
      <c r="BF88" s="306">
        <f>DailyMet!H71</f>
        <v>6.05</v>
      </c>
      <c r="BG88" s="306">
        <f>DailyMet!I71</f>
        <v>-0.8</v>
      </c>
      <c r="BH88" s="306">
        <f t="shared" si="85"/>
        <v>6.05</v>
      </c>
      <c r="BI88" s="306">
        <f t="shared" si="86"/>
        <v>10</v>
      </c>
      <c r="BJ88" s="306">
        <f t="shared" si="87"/>
        <v>-1.9749999999999996</v>
      </c>
      <c r="BK88" s="306">
        <f t="shared" si="88"/>
        <v>0</v>
      </c>
      <c r="BL88" s="304">
        <f t="shared" si="89"/>
        <v>0</v>
      </c>
      <c r="BM88" s="304">
        <f t="shared" si="90"/>
        <v>0</v>
      </c>
      <c r="BN88" s="304">
        <f t="shared" ref="BN88:BN151" si="111">BM88-BL88</f>
        <v>0</v>
      </c>
      <c r="BO88" s="306">
        <f t="shared" ref="BO88:BO151" si="112">IF(AP88="",0,BO87+BN88)</f>
        <v>0</v>
      </c>
      <c r="BP88" s="306"/>
    </row>
    <row r="89" spans="1:68">
      <c r="A89" s="299">
        <f t="shared" si="57"/>
        <v>0</v>
      </c>
      <c r="B89" s="300">
        <f t="shared" si="58"/>
        <v>38054</v>
      </c>
      <c r="C89" s="301" t="e">
        <f t="shared" si="91"/>
        <v>#N/A</v>
      </c>
      <c r="D89" s="301" t="e">
        <f t="shared" si="59"/>
        <v>#N/A</v>
      </c>
      <c r="E89" s="299">
        <f t="shared" si="60"/>
        <v>68</v>
      </c>
      <c r="F89" s="396">
        <f>Weather!M73</f>
        <v>0</v>
      </c>
      <c r="G89" s="301">
        <f>IF(Weather!C73="","",Weather!C73)</f>
        <v>1.1566526872798768</v>
      </c>
      <c r="H89" s="301">
        <f>IF(Weather!D73="","",Weather!D73)</f>
        <v>1.1424230304692966</v>
      </c>
      <c r="I89" s="502">
        <f>IF(Weather!E73="","",Weather!E73)</f>
        <v>1.1424230304692966</v>
      </c>
      <c r="J89" s="397">
        <f>IF(RnSplint!N117&lt;0,0,RnSplint!N117)</f>
        <v>29.383101700015608</v>
      </c>
      <c r="K89" s="302">
        <f t="shared" si="92"/>
        <v>0</v>
      </c>
      <c r="L89" s="303">
        <f t="shared" si="93"/>
        <v>38054</v>
      </c>
      <c r="M89" s="346" t="str">
        <f t="shared" si="61"/>
        <v/>
      </c>
      <c r="N89" s="304">
        <f t="shared" si="94"/>
        <v>0</v>
      </c>
      <c r="O89" s="304">
        <f t="shared" si="95"/>
        <v>0</v>
      </c>
      <c r="P89" s="304">
        <f t="shared" si="62"/>
        <v>0</v>
      </c>
      <c r="Q89" s="304">
        <f t="shared" si="63"/>
        <v>0.46367265968794108</v>
      </c>
      <c r="R89" s="304">
        <f t="shared" si="64"/>
        <v>0.46367265968794108</v>
      </c>
      <c r="S89" s="305" t="e">
        <f t="shared" si="96"/>
        <v>#N/A</v>
      </c>
      <c r="T89" s="304">
        <f t="shared" si="65"/>
        <v>0</v>
      </c>
      <c r="U89" s="304">
        <f t="shared" si="110"/>
        <v>0</v>
      </c>
      <c r="V89" s="305" t="e">
        <f t="shared" si="66"/>
        <v>#N/A</v>
      </c>
      <c r="W89" s="305" t="e">
        <f t="shared" si="97"/>
        <v>#N/A</v>
      </c>
      <c r="X89" s="304">
        <f t="shared" si="98"/>
        <v>0.46367265968794108</v>
      </c>
      <c r="Z89" s="304" t="str">
        <f t="shared" si="67"/>
        <v/>
      </c>
      <c r="AA89" s="305" t="e">
        <f t="shared" si="68"/>
        <v>#N/A</v>
      </c>
      <c r="AB89" s="304">
        <f t="shared" si="69"/>
        <v>0.52971032502645654</v>
      </c>
      <c r="AC89" s="304" t="str">
        <f t="shared" si="99"/>
        <v/>
      </c>
      <c r="AD89" s="306">
        <f t="shared" si="70"/>
        <v>0</v>
      </c>
      <c r="AE89" s="307">
        <f t="shared" si="100"/>
        <v>0.52971032502645654</v>
      </c>
      <c r="AF89" s="308" t="e">
        <f t="shared" si="71"/>
        <v>#N/A</v>
      </c>
      <c r="AG89" s="306">
        <f t="shared" si="101"/>
        <v>31.856196728232199</v>
      </c>
      <c r="AH89" s="306">
        <f t="shared" si="72"/>
        <v>0</v>
      </c>
      <c r="AI89" s="306">
        <f t="shared" si="102"/>
        <v>0</v>
      </c>
      <c r="AJ89" s="306">
        <f t="shared" si="103"/>
        <v>0</v>
      </c>
      <c r="AK89" s="306">
        <f t="shared" si="73"/>
        <v>0</v>
      </c>
      <c r="AL89" s="306">
        <f t="shared" si="104"/>
        <v>0</v>
      </c>
      <c r="AM89" s="306">
        <f t="shared" si="74"/>
        <v>0</v>
      </c>
      <c r="AN89" s="304">
        <f>KcSplint!$N118</f>
        <v>0.39469451261889632</v>
      </c>
      <c r="AO89" s="304" t="str">
        <f t="shared" si="75"/>
        <v/>
      </c>
      <c r="AP89" s="304" t="str">
        <f t="shared" si="105"/>
        <v/>
      </c>
      <c r="AQ89" s="305" t="e">
        <f t="shared" si="106"/>
        <v>#N/A</v>
      </c>
      <c r="AR89" s="304" t="str">
        <f t="shared" si="107"/>
        <v/>
      </c>
      <c r="AS89" s="306">
        <f t="shared" si="76"/>
        <v>0</v>
      </c>
      <c r="AT89" s="307" t="e">
        <f t="shared" si="108"/>
        <v>#N/A</v>
      </c>
      <c r="AU89" s="307" t="e">
        <f>IF(AS89=0,#N/A,AS89)</f>
        <v>#N/A</v>
      </c>
      <c r="AV89" s="304">
        <f t="shared" si="77"/>
        <v>1.1424230304692966</v>
      </c>
      <c r="AW89" s="309">
        <f t="shared" si="78"/>
        <v>30.94642602687048</v>
      </c>
      <c r="AX89" s="306">
        <f>IF(ISERROR(Weather!M73),#N/A,Weather!M73)</f>
        <v>0</v>
      </c>
      <c r="AY89" s="310">
        <f t="shared" si="79"/>
        <v>64</v>
      </c>
      <c r="AZ89" s="309">
        <f t="shared" si="80"/>
        <v>0.46367265968794108</v>
      </c>
      <c r="BA89" s="309">
        <f t="shared" si="81"/>
        <v>31.856196728232199</v>
      </c>
      <c r="BB89" s="311">
        <f>Irrig!H91</f>
        <v>0</v>
      </c>
      <c r="BC89" s="310">
        <f t="shared" si="82"/>
        <v>0</v>
      </c>
      <c r="BD89" s="309">
        <f t="shared" si="83"/>
        <v>0</v>
      </c>
      <c r="BE89" s="309">
        <f t="shared" si="84"/>
        <v>0</v>
      </c>
      <c r="BF89" s="306">
        <f>DailyMet!H72</f>
        <v>6.23</v>
      </c>
      <c r="BG89" s="306">
        <f>DailyMet!I72</f>
        <v>-0.4</v>
      </c>
      <c r="BH89" s="306">
        <f t="shared" si="85"/>
        <v>6.23</v>
      </c>
      <c r="BI89" s="306">
        <f t="shared" si="86"/>
        <v>10</v>
      </c>
      <c r="BJ89" s="306">
        <f t="shared" si="87"/>
        <v>-1.8849999999999998</v>
      </c>
      <c r="BK89" s="306">
        <f t="shared" si="88"/>
        <v>0</v>
      </c>
      <c r="BL89" s="304">
        <f t="shared" si="89"/>
        <v>0</v>
      </c>
      <c r="BM89" s="304">
        <f t="shared" si="90"/>
        <v>0</v>
      </c>
      <c r="BN89" s="304">
        <f t="shared" si="111"/>
        <v>0</v>
      </c>
      <c r="BO89" s="306">
        <f t="shared" si="112"/>
        <v>0</v>
      </c>
      <c r="BP89" s="306"/>
    </row>
    <row r="90" spans="1:68">
      <c r="A90" s="299">
        <f t="shared" si="57"/>
        <v>0</v>
      </c>
      <c r="B90" s="300">
        <f t="shared" si="58"/>
        <v>38055</v>
      </c>
      <c r="C90" s="301" t="e">
        <f t="shared" si="91"/>
        <v>#N/A</v>
      </c>
      <c r="D90" s="301" t="e">
        <f t="shared" si="59"/>
        <v>#N/A</v>
      </c>
      <c r="E90" s="299">
        <f t="shared" si="60"/>
        <v>69</v>
      </c>
      <c r="F90" s="396">
        <f>Weather!M74</f>
        <v>0</v>
      </c>
      <c r="G90" s="301">
        <f>IF(Weather!C74="","",Weather!C74)</f>
        <v>1.1846395591243248</v>
      </c>
      <c r="H90" s="301">
        <f>IF(Weather!D74="","",Weather!D74)</f>
        <v>1.3410329982487244</v>
      </c>
      <c r="I90" s="502">
        <f>IF(Weather!E74="","",Weather!E74)</f>
        <v>1.3410329982487244</v>
      </c>
      <c r="J90" s="397">
        <f>IF(RnSplint!N118&lt;0,0,RnSplint!N118)</f>
        <v>29.576747501271846</v>
      </c>
      <c r="K90" s="302">
        <f t="shared" si="92"/>
        <v>0</v>
      </c>
      <c r="L90" s="303">
        <f t="shared" si="93"/>
        <v>38055</v>
      </c>
      <c r="M90" s="346" t="str">
        <f t="shared" si="61"/>
        <v/>
      </c>
      <c r="N90" s="304">
        <f t="shared" si="94"/>
        <v>0</v>
      </c>
      <c r="O90" s="304">
        <f t="shared" si="95"/>
        <v>0</v>
      </c>
      <c r="P90" s="304">
        <f t="shared" si="62"/>
        <v>0</v>
      </c>
      <c r="Q90" s="304">
        <f t="shared" si="63"/>
        <v>0.45363340786099643</v>
      </c>
      <c r="R90" s="304">
        <f t="shared" si="64"/>
        <v>0.45363340786099643</v>
      </c>
      <c r="S90" s="305" t="e">
        <f t="shared" si="96"/>
        <v>#N/A</v>
      </c>
      <c r="T90" s="304">
        <f t="shared" si="65"/>
        <v>0</v>
      </c>
      <c r="U90" s="304">
        <f t="shared" si="110"/>
        <v>0</v>
      </c>
      <c r="V90" s="305" t="e">
        <f t="shared" si="66"/>
        <v>#N/A</v>
      </c>
      <c r="W90" s="305" t="e">
        <f t="shared" si="97"/>
        <v>#N/A</v>
      </c>
      <c r="X90" s="304">
        <f t="shared" si="98"/>
        <v>0.45363340786099643</v>
      </c>
      <c r="Z90" s="304" t="str">
        <f t="shared" si="67"/>
        <v/>
      </c>
      <c r="AA90" s="305" t="e">
        <f t="shared" si="68"/>
        <v>#N/A</v>
      </c>
      <c r="AB90" s="304">
        <f t="shared" si="69"/>
        <v>0.60833736904961844</v>
      </c>
      <c r="AC90" s="304" t="str">
        <f t="shared" si="99"/>
        <v/>
      </c>
      <c r="AD90" s="306">
        <f t="shared" si="70"/>
        <v>0</v>
      </c>
      <c r="AE90" s="307">
        <f t="shared" si="100"/>
        <v>0.60833736904961844</v>
      </c>
      <c r="AF90" s="308" t="e">
        <f t="shared" si="71"/>
        <v>#N/A</v>
      </c>
      <c r="AG90" s="306">
        <f t="shared" si="101"/>
        <v>33.19722972648092</v>
      </c>
      <c r="AH90" s="306">
        <f t="shared" si="72"/>
        <v>0</v>
      </c>
      <c r="AI90" s="306">
        <f t="shared" si="102"/>
        <v>0</v>
      </c>
      <c r="AJ90" s="306">
        <f t="shared" si="103"/>
        <v>0</v>
      </c>
      <c r="AK90" s="306">
        <f t="shared" si="73"/>
        <v>0</v>
      </c>
      <c r="AL90" s="306">
        <f t="shared" si="104"/>
        <v>0</v>
      </c>
      <c r="AM90" s="306">
        <f t="shared" si="74"/>
        <v>0</v>
      </c>
      <c r="AN90" s="304">
        <f>KcSplint!$N119</f>
        <v>0.39223514055721131</v>
      </c>
      <c r="AO90" s="304" t="str">
        <f t="shared" si="75"/>
        <v/>
      </c>
      <c r="AP90" s="304" t="str">
        <f t="shared" si="105"/>
        <v/>
      </c>
      <c r="AQ90" s="305" t="e">
        <f t="shared" si="106"/>
        <v>#N/A</v>
      </c>
      <c r="AR90" s="304" t="str">
        <f t="shared" si="107"/>
        <v/>
      </c>
      <c r="AS90" s="306">
        <f t="shared" si="76"/>
        <v>0</v>
      </c>
      <c r="AT90" s="307" t="e">
        <f t="shared" si="108"/>
        <v>#N/A</v>
      </c>
      <c r="AU90" s="307" t="e">
        <f>IF(AS90=0,#N/A,AS90)</f>
        <v>#N/A</v>
      </c>
      <c r="AV90" s="304">
        <f t="shared" si="77"/>
        <v>1.3410329982487244</v>
      </c>
      <c r="AW90" s="309">
        <f t="shared" si="78"/>
        <v>32.287459025119205</v>
      </c>
      <c r="AX90" s="306">
        <f>IF(ISERROR(Weather!M74),#N/A,Weather!M74)</f>
        <v>0</v>
      </c>
      <c r="AY90" s="310">
        <f t="shared" si="79"/>
        <v>65</v>
      </c>
      <c r="AZ90" s="309">
        <f t="shared" si="80"/>
        <v>0.45363340786099643</v>
      </c>
      <c r="BA90" s="309">
        <f t="shared" si="81"/>
        <v>33.19722972648092</v>
      </c>
      <c r="BB90" s="311">
        <f>Irrig!H92</f>
        <v>0</v>
      </c>
      <c r="BC90" s="310">
        <f t="shared" si="82"/>
        <v>0</v>
      </c>
      <c r="BD90" s="309">
        <f t="shared" si="83"/>
        <v>0</v>
      </c>
      <c r="BE90" s="309">
        <f t="shared" si="84"/>
        <v>0</v>
      </c>
      <c r="BF90" s="306">
        <f>DailyMet!H73</f>
        <v>7.98</v>
      </c>
      <c r="BG90" s="306">
        <f>DailyMet!I73</f>
        <v>-0.2</v>
      </c>
      <c r="BH90" s="306">
        <f t="shared" si="85"/>
        <v>7.98</v>
      </c>
      <c r="BI90" s="306">
        <f t="shared" si="86"/>
        <v>10</v>
      </c>
      <c r="BJ90" s="306">
        <f t="shared" si="87"/>
        <v>-1.0099999999999998</v>
      </c>
      <c r="BK90" s="306">
        <f t="shared" si="88"/>
        <v>0</v>
      </c>
      <c r="BL90" s="304">
        <f t="shared" si="89"/>
        <v>0</v>
      </c>
      <c r="BM90" s="304">
        <f t="shared" si="90"/>
        <v>0</v>
      </c>
      <c r="BN90" s="304">
        <f t="shared" si="111"/>
        <v>0</v>
      </c>
      <c r="BO90" s="306">
        <f t="shared" si="112"/>
        <v>0</v>
      </c>
      <c r="BP90" s="306"/>
    </row>
    <row r="91" spans="1:68">
      <c r="A91" s="299">
        <f t="shared" si="57"/>
        <v>0</v>
      </c>
      <c r="B91" s="300">
        <f t="shared" si="58"/>
        <v>38056</v>
      </c>
      <c r="C91" s="301" t="e">
        <f t="shared" si="91"/>
        <v>#N/A</v>
      </c>
      <c r="D91" s="301" t="e">
        <f t="shared" si="59"/>
        <v>#N/A</v>
      </c>
      <c r="E91" s="299">
        <f t="shared" si="60"/>
        <v>70</v>
      </c>
      <c r="F91" s="396">
        <f>Weather!M75</f>
        <v>0</v>
      </c>
      <c r="G91" s="301">
        <f>IF(Weather!C75="","",Weather!C75)</f>
        <v>1.211181809477142</v>
      </c>
      <c r="H91" s="301">
        <f>IF(Weather!D75="","",Weather!D75)</f>
        <v>1.1150450964331124</v>
      </c>
      <c r="I91" s="502">
        <f>IF(Weather!E75="","",Weather!E75)</f>
        <v>1.1150450964331124</v>
      </c>
      <c r="J91" s="397">
        <f>IF(RnSplint!N119&lt;0,0,RnSplint!N119)</f>
        <v>29.774602891420997</v>
      </c>
      <c r="K91" s="302">
        <f t="shared" si="92"/>
        <v>0</v>
      </c>
      <c r="L91" s="303">
        <f t="shared" si="93"/>
        <v>38056</v>
      </c>
      <c r="M91" s="346" t="str">
        <f t="shared" si="61"/>
        <v/>
      </c>
      <c r="N91" s="304">
        <f t="shared" si="94"/>
        <v>0</v>
      </c>
      <c r="O91" s="304">
        <f t="shared" si="95"/>
        <v>0</v>
      </c>
      <c r="P91" s="304">
        <f t="shared" si="62"/>
        <v>0</v>
      </c>
      <c r="Q91" s="304">
        <f t="shared" si="63"/>
        <v>0.44575531381048356</v>
      </c>
      <c r="R91" s="304">
        <f t="shared" si="64"/>
        <v>0.44575531381048356</v>
      </c>
      <c r="S91" s="305" t="e">
        <f t="shared" si="96"/>
        <v>#N/A</v>
      </c>
      <c r="T91" s="304">
        <f t="shared" si="65"/>
        <v>0</v>
      </c>
      <c r="U91" s="304">
        <f t="shared" si="110"/>
        <v>0</v>
      </c>
      <c r="V91" s="305" t="e">
        <f t="shared" si="66"/>
        <v>#N/A</v>
      </c>
      <c r="W91" s="305" t="e">
        <f t="shared" si="97"/>
        <v>#N/A</v>
      </c>
      <c r="X91" s="304">
        <f t="shared" si="98"/>
        <v>0.44575531381048356</v>
      </c>
      <c r="Z91" s="304" t="str">
        <f t="shared" si="67"/>
        <v/>
      </c>
      <c r="AA91" s="305" t="e">
        <f t="shared" si="68"/>
        <v>#N/A</v>
      </c>
      <c r="AB91" s="304">
        <f t="shared" si="69"/>
        <v>0.49703727687338295</v>
      </c>
      <c r="AC91" s="304" t="str">
        <f t="shared" si="99"/>
        <v/>
      </c>
      <c r="AD91" s="306">
        <f t="shared" si="70"/>
        <v>0</v>
      </c>
      <c r="AE91" s="307">
        <f t="shared" si="100"/>
        <v>0.49703727687338295</v>
      </c>
      <c r="AF91" s="308" t="e">
        <f t="shared" si="71"/>
        <v>#N/A</v>
      </c>
      <c r="AG91" s="306">
        <f t="shared" si="101"/>
        <v>34.312274822914034</v>
      </c>
      <c r="AH91" s="306">
        <f t="shared" si="72"/>
        <v>0</v>
      </c>
      <c r="AI91" s="306">
        <f t="shared" si="102"/>
        <v>0</v>
      </c>
      <c r="AJ91" s="306">
        <f t="shared" si="103"/>
        <v>0</v>
      </c>
      <c r="AK91" s="306">
        <f t="shared" si="73"/>
        <v>0</v>
      </c>
      <c r="AL91" s="306">
        <f t="shared" si="104"/>
        <v>0</v>
      </c>
      <c r="AM91" s="306">
        <f t="shared" si="74"/>
        <v>0</v>
      </c>
      <c r="AN91" s="304">
        <f>KcSplint!$N120</f>
        <v>0.39124916817926803</v>
      </c>
      <c r="AO91" s="304" t="str">
        <f t="shared" si="75"/>
        <v/>
      </c>
      <c r="AP91" s="304" t="str">
        <f t="shared" si="105"/>
        <v/>
      </c>
      <c r="AQ91" s="305" t="e">
        <f t="shared" si="106"/>
        <v>#N/A</v>
      </c>
      <c r="AR91" s="304" t="str">
        <f t="shared" si="107"/>
        <v/>
      </c>
      <c r="AS91" s="306">
        <f t="shared" si="76"/>
        <v>0</v>
      </c>
      <c r="AT91" s="307" t="e">
        <f t="shared" si="108"/>
        <v>#N/A</v>
      </c>
      <c r="AU91" s="307" t="e">
        <f>IF(AS91=0,#N/A,AS91)</f>
        <v>#N/A</v>
      </c>
      <c r="AV91" s="304">
        <f t="shared" si="77"/>
        <v>1.1150450964331124</v>
      </c>
      <c r="AW91" s="309">
        <f t="shared" si="78"/>
        <v>33.402504121552319</v>
      </c>
      <c r="AX91" s="306">
        <f>IF(ISERROR(Weather!M75),#N/A,Weather!M75)</f>
        <v>0</v>
      </c>
      <c r="AY91" s="310">
        <f t="shared" si="79"/>
        <v>66</v>
      </c>
      <c r="AZ91" s="309">
        <f t="shared" si="80"/>
        <v>0.44575531381048356</v>
      </c>
      <c r="BA91" s="309">
        <f t="shared" si="81"/>
        <v>34.312274822914034</v>
      </c>
      <c r="BB91" s="311">
        <f>Irrig!H93</f>
        <v>0</v>
      </c>
      <c r="BC91" s="310">
        <f t="shared" si="82"/>
        <v>0</v>
      </c>
      <c r="BD91" s="309">
        <f t="shared" si="83"/>
        <v>0</v>
      </c>
      <c r="BE91" s="309">
        <f t="shared" si="84"/>
        <v>0</v>
      </c>
      <c r="BF91" s="306">
        <f>DailyMet!H74</f>
        <v>6.14</v>
      </c>
      <c r="BG91" s="306">
        <f>DailyMet!I74</f>
        <v>-1.7</v>
      </c>
      <c r="BH91" s="306">
        <f t="shared" si="85"/>
        <v>6.14</v>
      </c>
      <c r="BI91" s="306">
        <f t="shared" si="86"/>
        <v>10</v>
      </c>
      <c r="BJ91" s="306">
        <f t="shared" si="87"/>
        <v>-1.9299999999999997</v>
      </c>
      <c r="BK91" s="306">
        <f t="shared" si="88"/>
        <v>0</v>
      </c>
      <c r="BL91" s="304">
        <f t="shared" si="89"/>
        <v>0</v>
      </c>
      <c r="BM91" s="304">
        <f t="shared" si="90"/>
        <v>0</v>
      </c>
      <c r="BN91" s="304">
        <f t="shared" si="111"/>
        <v>0</v>
      </c>
      <c r="BO91" s="306">
        <f t="shared" si="112"/>
        <v>0</v>
      </c>
      <c r="BP91" s="306"/>
    </row>
    <row r="92" spans="1:68">
      <c r="A92" s="299">
        <f t="shared" si="57"/>
        <v>0</v>
      </c>
      <c r="B92" s="300">
        <f t="shared" si="58"/>
        <v>38057</v>
      </c>
      <c r="C92" s="301" t="e">
        <f t="shared" si="91"/>
        <v>#N/A</v>
      </c>
      <c r="D92" s="301" t="e">
        <f t="shared" si="59"/>
        <v>#N/A</v>
      </c>
      <c r="E92" s="299">
        <f t="shared" si="60"/>
        <v>71</v>
      </c>
      <c r="F92" s="396">
        <f>Weather!M76</f>
        <v>0</v>
      </c>
      <c r="G92" s="301">
        <f>IF(Weather!C76="","",Weather!C76)</f>
        <v>1.2361347348319465</v>
      </c>
      <c r="H92" s="301">
        <f>IF(Weather!D76="","",Weather!D76)</f>
        <v>1.6884894294026032</v>
      </c>
      <c r="I92" s="502">
        <f>IF(Weather!E76="","",Weather!E76)</f>
        <v>1.6884894294026032</v>
      </c>
      <c r="J92" s="397">
        <f>IF(RnSplint!N120&lt;0,0,RnSplint!N120)</f>
        <v>29.975772574051149</v>
      </c>
      <c r="K92" s="302">
        <f t="shared" si="92"/>
        <v>0</v>
      </c>
      <c r="L92" s="303">
        <f t="shared" si="93"/>
        <v>38057</v>
      </c>
      <c r="M92" s="346" t="str">
        <f t="shared" si="61"/>
        <v/>
      </c>
      <c r="N92" s="304">
        <f t="shared" si="94"/>
        <v>0</v>
      </c>
      <c r="O92" s="304">
        <f t="shared" si="95"/>
        <v>0</v>
      </c>
      <c r="P92" s="304">
        <f t="shared" si="62"/>
        <v>0</v>
      </c>
      <c r="Q92" s="304">
        <f t="shared" si="63"/>
        <v>0.43455579275478146</v>
      </c>
      <c r="R92" s="304">
        <f t="shared" si="64"/>
        <v>0.43455579275478146</v>
      </c>
      <c r="S92" s="305" t="e">
        <f t="shared" si="96"/>
        <v>#N/A</v>
      </c>
      <c r="T92" s="304">
        <f t="shared" si="65"/>
        <v>0</v>
      </c>
      <c r="U92" s="304">
        <f t="shared" si="110"/>
        <v>0</v>
      </c>
      <c r="V92" s="305" t="e">
        <f t="shared" si="66"/>
        <v>#N/A</v>
      </c>
      <c r="W92" s="305" t="e">
        <f t="shared" si="97"/>
        <v>#N/A</v>
      </c>
      <c r="X92" s="304">
        <f t="shared" si="98"/>
        <v>0.43455579275478146</v>
      </c>
      <c r="Z92" s="304" t="str">
        <f t="shared" si="67"/>
        <v/>
      </c>
      <c r="AA92" s="305" t="e">
        <f t="shared" si="68"/>
        <v>#N/A</v>
      </c>
      <c r="AB92" s="304">
        <f t="shared" si="69"/>
        <v>0.73374286255211685</v>
      </c>
      <c r="AC92" s="304" t="str">
        <f t="shared" si="99"/>
        <v/>
      </c>
      <c r="AD92" s="306">
        <f t="shared" si="70"/>
        <v>0</v>
      </c>
      <c r="AE92" s="307">
        <f t="shared" si="100"/>
        <v>0.73374286255211685</v>
      </c>
      <c r="AF92" s="308" t="e">
        <f t="shared" si="71"/>
        <v>#N/A</v>
      </c>
      <c r="AG92" s="306">
        <f t="shared" si="101"/>
        <v>36.000764252316635</v>
      </c>
      <c r="AH92" s="306">
        <f t="shared" si="72"/>
        <v>0</v>
      </c>
      <c r="AI92" s="306">
        <f t="shared" si="102"/>
        <v>0</v>
      </c>
      <c r="AJ92" s="306">
        <f t="shared" si="103"/>
        <v>0</v>
      </c>
      <c r="AK92" s="306">
        <f t="shared" si="73"/>
        <v>0</v>
      </c>
      <c r="AL92" s="306">
        <f t="shared" si="104"/>
        <v>0</v>
      </c>
      <c r="AM92" s="306">
        <f t="shared" si="74"/>
        <v>0</v>
      </c>
      <c r="AN92" s="304">
        <f>KcSplint!$N121</f>
        <v>0.39180137311060309</v>
      </c>
      <c r="AO92" s="304" t="str">
        <f t="shared" si="75"/>
        <v/>
      </c>
      <c r="AP92" s="304" t="str">
        <f t="shared" si="105"/>
        <v/>
      </c>
      <c r="AQ92" s="305" t="e">
        <f t="shared" si="106"/>
        <v>#N/A</v>
      </c>
      <c r="AR92" s="304" t="str">
        <f t="shared" si="107"/>
        <v/>
      </c>
      <c r="AS92" s="306">
        <f t="shared" si="76"/>
        <v>0</v>
      </c>
      <c r="AT92" s="307" t="e">
        <f t="shared" si="108"/>
        <v>#N/A</v>
      </c>
      <c r="AU92" s="307" t="e">
        <f t="shared" si="109"/>
        <v>#N/A</v>
      </c>
      <c r="AV92" s="304">
        <f t="shared" si="77"/>
        <v>1.6884894294026032</v>
      </c>
      <c r="AW92" s="309">
        <f t="shared" si="78"/>
        <v>35.09099355095492</v>
      </c>
      <c r="AX92" s="306">
        <f>IF(ISERROR(Weather!M76),#N/A,Weather!M76)</f>
        <v>0</v>
      </c>
      <c r="AY92" s="310">
        <f t="shared" si="79"/>
        <v>67</v>
      </c>
      <c r="AZ92" s="309">
        <f t="shared" si="80"/>
        <v>0.43455579275478146</v>
      </c>
      <c r="BA92" s="309">
        <f t="shared" si="81"/>
        <v>36.000764252316635</v>
      </c>
      <c r="BB92" s="311">
        <f>Irrig!H94</f>
        <v>0</v>
      </c>
      <c r="BC92" s="310">
        <f t="shared" si="82"/>
        <v>0</v>
      </c>
      <c r="BD92" s="309">
        <f t="shared" si="83"/>
        <v>0</v>
      </c>
      <c r="BE92" s="309">
        <f t="shared" si="84"/>
        <v>0</v>
      </c>
      <c r="BF92" s="306">
        <f>DailyMet!H75</f>
        <v>8.26</v>
      </c>
      <c r="BG92" s="306">
        <f>DailyMet!I75</f>
        <v>0</v>
      </c>
      <c r="BH92" s="306">
        <f t="shared" si="85"/>
        <v>8.26</v>
      </c>
      <c r="BI92" s="306">
        <f t="shared" si="86"/>
        <v>10</v>
      </c>
      <c r="BJ92" s="306">
        <f t="shared" si="87"/>
        <v>-0.87000000000000099</v>
      </c>
      <c r="BK92" s="306">
        <f t="shared" si="88"/>
        <v>0</v>
      </c>
      <c r="BL92" s="304">
        <f t="shared" si="89"/>
        <v>0</v>
      </c>
      <c r="BM92" s="304">
        <f t="shared" si="90"/>
        <v>0</v>
      </c>
      <c r="BN92" s="304">
        <f t="shared" si="111"/>
        <v>0</v>
      </c>
      <c r="BO92" s="306">
        <f t="shared" si="112"/>
        <v>0</v>
      </c>
      <c r="BP92" s="306"/>
    </row>
    <row r="93" spans="1:68">
      <c r="A93" s="299">
        <f t="shared" si="57"/>
        <v>0</v>
      </c>
      <c r="B93" s="300">
        <f t="shared" si="58"/>
        <v>38058</v>
      </c>
      <c r="C93" s="301" t="e">
        <f t="shared" si="91"/>
        <v>#N/A</v>
      </c>
      <c r="D93" s="301" t="e">
        <f t="shared" si="59"/>
        <v>#N/A</v>
      </c>
      <c r="E93" s="299">
        <f t="shared" si="60"/>
        <v>72</v>
      </c>
      <c r="F93" s="396">
        <f>Weather!M77</f>
        <v>0</v>
      </c>
      <c r="G93" s="301">
        <f>IF(Weather!C77="","",Weather!C77)</f>
        <v>1.2593536316823561</v>
      </c>
      <c r="H93" s="301">
        <f>IF(Weather!D77="","",Weather!D77)</f>
        <v>1.5557057936289045</v>
      </c>
      <c r="I93" s="502">
        <f>IF(Weather!E77="","",Weather!E77)</f>
        <v>1.5557057936289045</v>
      </c>
      <c r="J93" s="397">
        <f>IF(RnSplint!N121&lt;0,0,RnSplint!N121)</f>
        <v>30.179361252750393</v>
      </c>
      <c r="K93" s="302">
        <f t="shared" si="92"/>
        <v>0</v>
      </c>
      <c r="L93" s="303">
        <f t="shared" si="93"/>
        <v>38058</v>
      </c>
      <c r="M93" s="346" t="str">
        <f t="shared" si="61"/>
        <v/>
      </c>
      <c r="N93" s="304">
        <f t="shared" si="94"/>
        <v>0</v>
      </c>
      <c r="O93" s="304">
        <f t="shared" si="95"/>
        <v>0</v>
      </c>
      <c r="P93" s="304">
        <f t="shared" si="62"/>
        <v>0</v>
      </c>
      <c r="Q93" s="304">
        <f t="shared" si="63"/>
        <v>0.42493696935115022</v>
      </c>
      <c r="R93" s="304">
        <f t="shared" si="64"/>
        <v>0.42493696935115022</v>
      </c>
      <c r="S93" s="305" t="e">
        <f t="shared" si="96"/>
        <v>#N/A</v>
      </c>
      <c r="T93" s="304">
        <f t="shared" si="65"/>
        <v>0</v>
      </c>
      <c r="U93" s="304">
        <f t="shared" si="110"/>
        <v>0</v>
      </c>
      <c r="V93" s="305" t="e">
        <f t="shared" si="66"/>
        <v>#N/A</v>
      </c>
      <c r="W93" s="305" t="e">
        <f t="shared" si="97"/>
        <v>#N/A</v>
      </c>
      <c r="X93" s="304">
        <f t="shared" si="98"/>
        <v>0.42493696935115022</v>
      </c>
      <c r="Z93" s="304" t="str">
        <f t="shared" si="67"/>
        <v/>
      </c>
      <c r="AA93" s="305" t="e">
        <f t="shared" si="68"/>
        <v>#N/A</v>
      </c>
      <c r="AB93" s="304">
        <f t="shared" si="69"/>
        <v>0.66107690514669259</v>
      </c>
      <c r="AC93" s="304" t="str">
        <f t="shared" si="99"/>
        <v/>
      </c>
      <c r="AD93" s="306">
        <f t="shared" si="70"/>
        <v>0</v>
      </c>
      <c r="AE93" s="307">
        <f t="shared" si="100"/>
        <v>0.66107690514669259</v>
      </c>
      <c r="AF93" s="308" t="e">
        <f t="shared" si="71"/>
        <v>#N/A</v>
      </c>
      <c r="AG93" s="306">
        <f t="shared" si="101"/>
        <v>37.556470045945538</v>
      </c>
      <c r="AH93" s="306">
        <f t="shared" si="72"/>
        <v>0</v>
      </c>
      <c r="AI93" s="306">
        <f t="shared" si="102"/>
        <v>0</v>
      </c>
      <c r="AJ93" s="306">
        <f t="shared" si="103"/>
        <v>0</v>
      </c>
      <c r="AK93" s="306">
        <f t="shared" si="73"/>
        <v>0</v>
      </c>
      <c r="AL93" s="306">
        <f t="shared" si="104"/>
        <v>0</v>
      </c>
      <c r="AM93" s="306">
        <f t="shared" si="74"/>
        <v>0</v>
      </c>
      <c r="AN93" s="304">
        <f>KcSplint!$N122</f>
        <v>0.3939565329767532</v>
      </c>
      <c r="AO93" s="304" t="str">
        <f t="shared" si="75"/>
        <v/>
      </c>
      <c r="AP93" s="304" t="str">
        <f t="shared" si="105"/>
        <v/>
      </c>
      <c r="AQ93" s="305" t="e">
        <f t="shared" si="106"/>
        <v>#N/A</v>
      </c>
      <c r="AR93" s="304" t="str">
        <f t="shared" si="107"/>
        <v/>
      </c>
      <c r="AS93" s="306">
        <f t="shared" si="76"/>
        <v>0</v>
      </c>
      <c r="AT93" s="307" t="e">
        <f t="shared" si="108"/>
        <v>#N/A</v>
      </c>
      <c r="AU93" s="307" t="e">
        <f t="shared" si="109"/>
        <v>#N/A</v>
      </c>
      <c r="AV93" s="304">
        <f t="shared" si="77"/>
        <v>1.5557057936289045</v>
      </c>
      <c r="AW93" s="309">
        <f t="shared" si="78"/>
        <v>36.646699344583823</v>
      </c>
      <c r="AX93" s="306">
        <f>IF(ISERROR(Weather!M77),#N/A,Weather!M77)</f>
        <v>0</v>
      </c>
      <c r="AY93" s="310">
        <f t="shared" si="79"/>
        <v>68</v>
      </c>
      <c r="AZ93" s="309">
        <f t="shared" si="80"/>
        <v>0.42493696935115022</v>
      </c>
      <c r="BA93" s="309">
        <f t="shared" si="81"/>
        <v>37.556470045945538</v>
      </c>
      <c r="BB93" s="311">
        <f>Irrig!H95</f>
        <v>0</v>
      </c>
      <c r="BC93" s="310">
        <f t="shared" si="82"/>
        <v>0</v>
      </c>
      <c r="BD93" s="309">
        <f t="shared" si="83"/>
        <v>0</v>
      </c>
      <c r="BE93" s="309">
        <f t="shared" si="84"/>
        <v>0</v>
      </c>
      <c r="BF93" s="306">
        <f>DailyMet!H76</f>
        <v>9.66</v>
      </c>
      <c r="BG93" s="306">
        <f>DailyMet!I76</f>
        <v>-1.2</v>
      </c>
      <c r="BH93" s="306">
        <f t="shared" si="85"/>
        <v>9.66</v>
      </c>
      <c r="BI93" s="306">
        <f t="shared" si="86"/>
        <v>10</v>
      </c>
      <c r="BJ93" s="306">
        <f t="shared" si="87"/>
        <v>-0.16999999999999993</v>
      </c>
      <c r="BK93" s="306">
        <f t="shared" si="88"/>
        <v>0</v>
      </c>
      <c r="BL93" s="304">
        <f t="shared" si="89"/>
        <v>0</v>
      </c>
      <c r="BM93" s="304">
        <f t="shared" si="90"/>
        <v>0</v>
      </c>
      <c r="BN93" s="304">
        <f t="shared" si="111"/>
        <v>0</v>
      </c>
      <c r="BO93" s="306">
        <f t="shared" si="112"/>
        <v>0</v>
      </c>
      <c r="BP93" s="306"/>
    </row>
    <row r="94" spans="1:68">
      <c r="A94" s="299">
        <f t="shared" si="57"/>
        <v>0</v>
      </c>
      <c r="B94" s="300">
        <f t="shared" si="58"/>
        <v>38059</v>
      </c>
      <c r="C94" s="301" t="e">
        <f t="shared" si="91"/>
        <v>#N/A</v>
      </c>
      <c r="D94" s="301" t="e">
        <f t="shared" si="59"/>
        <v>#N/A</v>
      </c>
      <c r="E94" s="299">
        <f t="shared" si="60"/>
        <v>73</v>
      </c>
      <c r="F94" s="396">
        <f>Weather!M78</f>
        <v>0</v>
      </c>
      <c r="G94" s="301">
        <f>IF(Weather!C78="","",Weather!C78)</f>
        <v>1.2806937965219891</v>
      </c>
      <c r="H94" s="301">
        <f>IF(Weather!D78="","",Weather!D78)</f>
        <v>1.3808451880317716</v>
      </c>
      <c r="I94" s="502">
        <f>IF(Weather!E78="","",Weather!E78)</f>
        <v>1.3808451880317716</v>
      </c>
      <c r="J94" s="397">
        <f>IF(RnSplint!N122&lt;0,0,RnSplint!N122)</f>
        <v>30.384473631106818</v>
      </c>
      <c r="K94" s="302">
        <f t="shared" si="92"/>
        <v>0</v>
      </c>
      <c r="L94" s="303">
        <f t="shared" si="93"/>
        <v>38059</v>
      </c>
      <c r="M94" s="346" t="str">
        <f t="shared" si="61"/>
        <v/>
      </c>
      <c r="N94" s="304">
        <f t="shared" si="94"/>
        <v>0</v>
      </c>
      <c r="O94" s="304">
        <f t="shared" si="95"/>
        <v>0</v>
      </c>
      <c r="P94" s="304">
        <f t="shared" si="62"/>
        <v>0</v>
      </c>
      <c r="Q94" s="304">
        <f t="shared" si="63"/>
        <v>0.41690374107938399</v>
      </c>
      <c r="R94" s="304">
        <f t="shared" si="64"/>
        <v>0.41690374107938399</v>
      </c>
      <c r="S94" s="305" t="e">
        <f t="shared" si="96"/>
        <v>#N/A</v>
      </c>
      <c r="T94" s="304">
        <f t="shared" si="65"/>
        <v>0</v>
      </c>
      <c r="U94" s="304">
        <f t="shared" si="110"/>
        <v>0</v>
      </c>
      <c r="V94" s="305" t="e">
        <f t="shared" si="66"/>
        <v>#N/A</v>
      </c>
      <c r="W94" s="305" t="e">
        <f t="shared" si="97"/>
        <v>#N/A</v>
      </c>
      <c r="X94" s="304">
        <f t="shared" si="98"/>
        <v>0.41690374107938399</v>
      </c>
      <c r="Z94" s="304" t="str">
        <f t="shared" si="67"/>
        <v/>
      </c>
      <c r="AA94" s="305" t="e">
        <f t="shared" si="68"/>
        <v>#N/A</v>
      </c>
      <c r="AB94" s="304">
        <f t="shared" si="69"/>
        <v>0.57567952474191098</v>
      </c>
      <c r="AC94" s="304" t="str">
        <f t="shared" si="99"/>
        <v/>
      </c>
      <c r="AD94" s="306">
        <f t="shared" si="70"/>
        <v>0</v>
      </c>
      <c r="AE94" s="307">
        <f t="shared" si="100"/>
        <v>0.57567952474191098</v>
      </c>
      <c r="AF94" s="308" t="e">
        <f t="shared" si="71"/>
        <v>#N/A</v>
      </c>
      <c r="AG94" s="306">
        <f t="shared" si="101"/>
        <v>38.937315233977309</v>
      </c>
      <c r="AH94" s="306">
        <f t="shared" si="72"/>
        <v>0</v>
      </c>
      <c r="AI94" s="306">
        <f t="shared" si="102"/>
        <v>0</v>
      </c>
      <c r="AJ94" s="306">
        <f t="shared" si="103"/>
        <v>0</v>
      </c>
      <c r="AK94" s="306">
        <f t="shared" si="73"/>
        <v>0</v>
      </c>
      <c r="AL94" s="306">
        <f t="shared" si="104"/>
        <v>0</v>
      </c>
      <c r="AM94" s="306">
        <f t="shared" si="74"/>
        <v>0</v>
      </c>
      <c r="AN94" s="304">
        <f>KcSplint!$N123</f>
        <v>0.397779425403255</v>
      </c>
      <c r="AO94" s="304" t="str">
        <f t="shared" si="75"/>
        <v/>
      </c>
      <c r="AP94" s="304" t="str">
        <f t="shared" si="105"/>
        <v/>
      </c>
      <c r="AQ94" s="305" t="e">
        <f t="shared" si="106"/>
        <v>#N/A</v>
      </c>
      <c r="AR94" s="304" t="str">
        <f t="shared" si="107"/>
        <v/>
      </c>
      <c r="AS94" s="306">
        <f t="shared" si="76"/>
        <v>0</v>
      </c>
      <c r="AT94" s="307" t="e">
        <f t="shared" si="108"/>
        <v>#N/A</v>
      </c>
      <c r="AU94" s="307" t="e">
        <f t="shared" si="109"/>
        <v>#N/A</v>
      </c>
      <c r="AV94" s="304">
        <f t="shared" si="77"/>
        <v>1.3808451880317716</v>
      </c>
      <c r="AW94" s="309">
        <f t="shared" si="78"/>
        <v>38.027544532615593</v>
      </c>
      <c r="AX94" s="306">
        <f>IF(ISERROR(Weather!M78),#N/A,Weather!M78)</f>
        <v>0</v>
      </c>
      <c r="AY94" s="310">
        <f t="shared" si="79"/>
        <v>69</v>
      </c>
      <c r="AZ94" s="309">
        <f t="shared" si="80"/>
        <v>0.41690374107938399</v>
      </c>
      <c r="BA94" s="309">
        <f t="shared" si="81"/>
        <v>38.937315233977309</v>
      </c>
      <c r="BB94" s="311">
        <f>Irrig!H96</f>
        <v>0</v>
      </c>
      <c r="BC94" s="310">
        <f t="shared" si="82"/>
        <v>0</v>
      </c>
      <c r="BD94" s="309">
        <f t="shared" si="83"/>
        <v>0</v>
      </c>
      <c r="BE94" s="309">
        <f t="shared" si="84"/>
        <v>0</v>
      </c>
      <c r="BF94" s="306">
        <f>DailyMet!H77</f>
        <v>9.9700000000000006</v>
      </c>
      <c r="BG94" s="306">
        <f>DailyMet!I77</f>
        <v>0.9</v>
      </c>
      <c r="BH94" s="306">
        <f t="shared" si="85"/>
        <v>9.9700000000000006</v>
      </c>
      <c r="BI94" s="306">
        <f t="shared" si="86"/>
        <v>10</v>
      </c>
      <c r="BJ94" s="306">
        <f t="shared" si="87"/>
        <v>-1.5000000000000568E-2</v>
      </c>
      <c r="BK94" s="306">
        <f t="shared" si="88"/>
        <v>0</v>
      </c>
      <c r="BL94" s="304">
        <f t="shared" si="89"/>
        <v>0</v>
      </c>
      <c r="BM94" s="304">
        <f t="shared" si="90"/>
        <v>0</v>
      </c>
      <c r="BN94" s="304">
        <f t="shared" si="111"/>
        <v>0</v>
      </c>
      <c r="BO94" s="306">
        <f t="shared" si="112"/>
        <v>0</v>
      </c>
      <c r="BP94" s="306"/>
    </row>
    <row r="95" spans="1:68">
      <c r="A95" s="299">
        <f t="shared" si="57"/>
        <v>0</v>
      </c>
      <c r="B95" s="300">
        <f t="shared" si="58"/>
        <v>38060</v>
      </c>
      <c r="C95" s="301" t="e">
        <f t="shared" si="91"/>
        <v>#N/A</v>
      </c>
      <c r="D95" s="301" t="e">
        <f t="shared" si="59"/>
        <v>#N/A</v>
      </c>
      <c r="E95" s="299">
        <f t="shared" si="60"/>
        <v>74</v>
      </c>
      <c r="F95" s="396">
        <f>Weather!M79</f>
        <v>0</v>
      </c>
      <c r="G95" s="301">
        <f>IF(Weather!C79="","",Weather!C79)</f>
        <v>1.3000105258444627</v>
      </c>
      <c r="H95" s="301">
        <f>IF(Weather!D79="","",Weather!D79)</f>
        <v>1.4003264529478212</v>
      </c>
      <c r="I95" s="502">
        <f>IF(Weather!E79="","",Weather!E79)</f>
        <v>1.4003264529478212</v>
      </c>
      <c r="J95" s="397">
        <f>IF(RnSplint!N123&lt;0,0,RnSplint!N123)</f>
        <v>30.590214412708498</v>
      </c>
      <c r="K95" s="302">
        <f t="shared" si="92"/>
        <v>0</v>
      </c>
      <c r="L95" s="303">
        <f t="shared" si="93"/>
        <v>38060</v>
      </c>
      <c r="M95" s="346" t="str">
        <f t="shared" si="61"/>
        <v/>
      </c>
      <c r="N95" s="304">
        <f t="shared" si="94"/>
        <v>0</v>
      </c>
      <c r="O95" s="304">
        <f t="shared" si="95"/>
        <v>0</v>
      </c>
      <c r="P95" s="304">
        <f t="shared" si="62"/>
        <v>0</v>
      </c>
      <c r="Q95" s="304">
        <f t="shared" si="63"/>
        <v>0.40919657499845885</v>
      </c>
      <c r="R95" s="304">
        <f t="shared" si="64"/>
        <v>0.40919657499845885</v>
      </c>
      <c r="S95" s="305" t="e">
        <f t="shared" si="96"/>
        <v>#N/A</v>
      </c>
      <c r="T95" s="304">
        <f t="shared" si="65"/>
        <v>0</v>
      </c>
      <c r="U95" s="304">
        <f t="shared" si="110"/>
        <v>0</v>
      </c>
      <c r="V95" s="305" t="e">
        <f t="shared" si="66"/>
        <v>#N/A</v>
      </c>
      <c r="W95" s="305" t="e">
        <f t="shared" si="97"/>
        <v>#N/A</v>
      </c>
      <c r="X95" s="304">
        <f t="shared" si="98"/>
        <v>0.40919657499845885</v>
      </c>
      <c r="Z95" s="304" t="str">
        <f t="shared" si="67"/>
        <v/>
      </c>
      <c r="AA95" s="305" t="e">
        <f t="shared" si="68"/>
        <v>#N/A</v>
      </c>
      <c r="AB95" s="304">
        <f t="shared" si="69"/>
        <v>0.57300878842598901</v>
      </c>
      <c r="AC95" s="304" t="str">
        <f t="shared" si="99"/>
        <v/>
      </c>
      <c r="AD95" s="306">
        <f t="shared" si="70"/>
        <v>0</v>
      </c>
      <c r="AE95" s="307">
        <f t="shared" si="100"/>
        <v>0.57300878842598901</v>
      </c>
      <c r="AF95" s="308" t="e">
        <f t="shared" si="71"/>
        <v>#N/A</v>
      </c>
      <c r="AG95" s="306">
        <f t="shared" si="101"/>
        <v>40.337641686925132</v>
      </c>
      <c r="AH95" s="306">
        <f t="shared" si="72"/>
        <v>0</v>
      </c>
      <c r="AI95" s="306">
        <f t="shared" si="102"/>
        <v>0</v>
      </c>
      <c r="AJ95" s="306">
        <f t="shared" si="103"/>
        <v>0</v>
      </c>
      <c r="AK95" s="306">
        <f t="shared" si="73"/>
        <v>0</v>
      </c>
      <c r="AL95" s="306">
        <f t="shared" si="104"/>
        <v>0</v>
      </c>
      <c r="AM95" s="306">
        <f t="shared" si="74"/>
        <v>0</v>
      </c>
      <c r="AN95" s="304">
        <f>KcSplint!$N124</f>
        <v>0.40333482801564507</v>
      </c>
      <c r="AO95" s="304" t="str">
        <f t="shared" si="75"/>
        <v/>
      </c>
      <c r="AP95" s="304" t="str">
        <f t="shared" si="105"/>
        <v/>
      </c>
      <c r="AQ95" s="305" t="e">
        <f t="shared" si="106"/>
        <v>#N/A</v>
      </c>
      <c r="AR95" s="304" t="str">
        <f t="shared" si="107"/>
        <v/>
      </c>
      <c r="AS95" s="306">
        <f t="shared" si="76"/>
        <v>0</v>
      </c>
      <c r="AT95" s="307" t="e">
        <f t="shared" si="108"/>
        <v>#N/A</v>
      </c>
      <c r="AU95" s="307" t="e">
        <f t="shared" si="109"/>
        <v>#N/A</v>
      </c>
      <c r="AV95" s="304">
        <f t="shared" si="77"/>
        <v>1.4003264529478212</v>
      </c>
      <c r="AW95" s="309">
        <f t="shared" si="78"/>
        <v>39.427870985563416</v>
      </c>
      <c r="AX95" s="306">
        <f>IF(ISERROR(Weather!M79),#N/A,Weather!M79)</f>
        <v>0</v>
      </c>
      <c r="AY95" s="310">
        <f t="shared" si="79"/>
        <v>70</v>
      </c>
      <c r="AZ95" s="309">
        <f t="shared" si="80"/>
        <v>0.40919657499845885</v>
      </c>
      <c r="BA95" s="309">
        <f t="shared" si="81"/>
        <v>40.337641686925132</v>
      </c>
      <c r="BB95" s="311">
        <f>Irrig!H97</f>
        <v>0</v>
      </c>
      <c r="BC95" s="310">
        <f t="shared" si="82"/>
        <v>0</v>
      </c>
      <c r="BD95" s="309">
        <f t="shared" si="83"/>
        <v>0</v>
      </c>
      <c r="BE95" s="309">
        <f t="shared" si="84"/>
        <v>0</v>
      </c>
      <c r="BF95" s="306">
        <f>DailyMet!H78</f>
        <v>10.53</v>
      </c>
      <c r="BG95" s="306">
        <f>DailyMet!I78</f>
        <v>0.4</v>
      </c>
      <c r="BH95" s="306">
        <f t="shared" si="85"/>
        <v>10.53</v>
      </c>
      <c r="BI95" s="306">
        <f t="shared" si="86"/>
        <v>10</v>
      </c>
      <c r="BJ95" s="306">
        <f t="shared" si="87"/>
        <v>0.26500000000000057</v>
      </c>
      <c r="BK95" s="306">
        <f t="shared" si="88"/>
        <v>0</v>
      </c>
      <c r="BL95" s="304">
        <f t="shared" si="89"/>
        <v>0</v>
      </c>
      <c r="BM95" s="304">
        <f t="shared" si="90"/>
        <v>1.3864758144126325E-2</v>
      </c>
      <c r="BN95" s="304">
        <f t="shared" si="111"/>
        <v>1.3864758144126325E-2</v>
      </c>
      <c r="BO95" s="306">
        <f t="shared" si="112"/>
        <v>0</v>
      </c>
      <c r="BP95" s="306"/>
    </row>
    <row r="96" spans="1:68">
      <c r="A96" s="299">
        <f t="shared" si="57"/>
        <v>0</v>
      </c>
      <c r="B96" s="300">
        <f t="shared" si="58"/>
        <v>38061</v>
      </c>
      <c r="C96" s="301" t="e">
        <f t="shared" si="91"/>
        <v>#N/A</v>
      </c>
      <c r="D96" s="301" t="e">
        <f t="shared" si="59"/>
        <v>#N/A</v>
      </c>
      <c r="E96" s="299">
        <f t="shared" si="60"/>
        <v>75</v>
      </c>
      <c r="F96" s="396">
        <f>Weather!M80</f>
        <v>0</v>
      </c>
      <c r="G96" s="301">
        <f>IF(Weather!C80="","",Weather!C80)</f>
        <v>1.3171591161433958</v>
      </c>
      <c r="H96" s="301">
        <f>IF(Weather!D80="","",Weather!D80)</f>
        <v>0.98386499581817932</v>
      </c>
      <c r="I96" s="502">
        <f>IF(Weather!E80="","",Weather!E80)</f>
        <v>0.98386499581817932</v>
      </c>
      <c r="J96" s="397">
        <f>IF(RnSplint!N124&lt;0,0,RnSplint!N124)</f>
        <v>30.795688301143535</v>
      </c>
      <c r="K96" s="302">
        <f t="shared" si="92"/>
        <v>0</v>
      </c>
      <c r="L96" s="303">
        <f t="shared" si="93"/>
        <v>38061</v>
      </c>
      <c r="M96" s="346" t="str">
        <f t="shared" si="61"/>
        <v/>
      </c>
      <c r="N96" s="304">
        <f t="shared" si="94"/>
        <v>0</v>
      </c>
      <c r="O96" s="304">
        <f t="shared" si="95"/>
        <v>0</v>
      </c>
      <c r="P96" s="304">
        <f t="shared" si="62"/>
        <v>0</v>
      </c>
      <c r="Q96" s="304">
        <f t="shared" si="63"/>
        <v>0.40402536660417865</v>
      </c>
      <c r="R96" s="304">
        <f t="shared" si="64"/>
        <v>0.40402536660417865</v>
      </c>
      <c r="S96" s="305" t="e">
        <f t="shared" si="96"/>
        <v>#N/A</v>
      </c>
      <c r="T96" s="304">
        <f t="shared" si="65"/>
        <v>0</v>
      </c>
      <c r="U96" s="304">
        <f t="shared" si="110"/>
        <v>0</v>
      </c>
      <c r="V96" s="305" t="e">
        <f t="shared" si="66"/>
        <v>#N/A</v>
      </c>
      <c r="W96" s="305" t="e">
        <f t="shared" si="97"/>
        <v>#N/A</v>
      </c>
      <c r="X96" s="304">
        <f t="shared" si="98"/>
        <v>0.40402536660417865</v>
      </c>
      <c r="Z96" s="304" t="str">
        <f t="shared" si="67"/>
        <v/>
      </c>
      <c r="AA96" s="305" t="e">
        <f t="shared" si="68"/>
        <v>#N/A</v>
      </c>
      <c r="AB96" s="304">
        <f t="shared" si="69"/>
        <v>0.3975064156244586</v>
      </c>
      <c r="AC96" s="304" t="str">
        <f t="shared" si="99"/>
        <v/>
      </c>
      <c r="AD96" s="306">
        <f t="shared" si="70"/>
        <v>0</v>
      </c>
      <c r="AE96" s="307">
        <f t="shared" si="100"/>
        <v>0.3975064156244586</v>
      </c>
      <c r="AF96" s="308" t="e">
        <f t="shared" si="71"/>
        <v>#N/A</v>
      </c>
      <c r="AG96" s="306">
        <f t="shared" si="101"/>
        <v>41.321506682743312</v>
      </c>
      <c r="AH96" s="306">
        <f t="shared" si="72"/>
        <v>0</v>
      </c>
      <c r="AI96" s="306">
        <f t="shared" si="102"/>
        <v>0</v>
      </c>
      <c r="AJ96" s="306">
        <f t="shared" si="103"/>
        <v>0</v>
      </c>
      <c r="AK96" s="306">
        <f t="shared" si="73"/>
        <v>0</v>
      </c>
      <c r="AL96" s="306">
        <f t="shared" si="104"/>
        <v>0</v>
      </c>
      <c r="AM96" s="306">
        <f t="shared" si="74"/>
        <v>0</v>
      </c>
      <c r="AN96" s="304">
        <f>KcSplint!$N125</f>
        <v>0.41068751843946011</v>
      </c>
      <c r="AO96" s="304" t="str">
        <f t="shared" si="75"/>
        <v/>
      </c>
      <c r="AP96" s="304" t="str">
        <f t="shared" si="105"/>
        <v/>
      </c>
      <c r="AQ96" s="305" t="e">
        <f t="shared" si="106"/>
        <v>#N/A</v>
      </c>
      <c r="AR96" s="304" t="str">
        <f t="shared" si="107"/>
        <v/>
      </c>
      <c r="AS96" s="306">
        <f t="shared" si="76"/>
        <v>0</v>
      </c>
      <c r="AT96" s="307" t="e">
        <f t="shared" si="108"/>
        <v>#N/A</v>
      </c>
      <c r="AU96" s="307" t="e">
        <f t="shared" si="109"/>
        <v>#N/A</v>
      </c>
      <c r="AV96" s="304">
        <f t="shared" si="77"/>
        <v>0.98386499581817932</v>
      </c>
      <c r="AW96" s="309">
        <f t="shared" si="78"/>
        <v>40.411735981381597</v>
      </c>
      <c r="AX96" s="306">
        <f>IF(ISERROR(Weather!M80),#N/A,Weather!M80)</f>
        <v>0</v>
      </c>
      <c r="AY96" s="310">
        <f t="shared" si="79"/>
        <v>71</v>
      </c>
      <c r="AZ96" s="309">
        <f t="shared" si="80"/>
        <v>0.40402536660417865</v>
      </c>
      <c r="BA96" s="309">
        <f t="shared" si="81"/>
        <v>41.321506682743312</v>
      </c>
      <c r="BB96" s="311">
        <f>Irrig!H98</f>
        <v>0</v>
      </c>
      <c r="BC96" s="310">
        <f t="shared" si="82"/>
        <v>0</v>
      </c>
      <c r="BD96" s="309">
        <f t="shared" si="83"/>
        <v>0</v>
      </c>
      <c r="BE96" s="309">
        <f t="shared" si="84"/>
        <v>0</v>
      </c>
      <c r="BF96" s="306">
        <f>DailyMet!H79</f>
        <v>11.39</v>
      </c>
      <c r="BG96" s="306">
        <f>DailyMet!I79</f>
        <v>1.4</v>
      </c>
      <c r="BH96" s="306">
        <f t="shared" si="85"/>
        <v>11.39</v>
      </c>
      <c r="BI96" s="306">
        <f t="shared" si="86"/>
        <v>10</v>
      </c>
      <c r="BJ96" s="306">
        <f t="shared" si="87"/>
        <v>0.69500000000000028</v>
      </c>
      <c r="BK96" s="306">
        <f t="shared" si="88"/>
        <v>0</v>
      </c>
      <c r="BL96" s="304">
        <f t="shared" si="89"/>
        <v>0</v>
      </c>
      <c r="BM96" s="304">
        <f t="shared" si="90"/>
        <v>9.6701701701701767E-2</v>
      </c>
      <c r="BN96" s="304">
        <f t="shared" si="111"/>
        <v>9.6701701701701767E-2</v>
      </c>
      <c r="BO96" s="306">
        <f t="shared" si="112"/>
        <v>0</v>
      </c>
      <c r="BP96" s="306"/>
    </row>
    <row r="97" spans="1:68">
      <c r="A97" s="299">
        <f t="shared" si="57"/>
        <v>0</v>
      </c>
      <c r="B97" s="300">
        <f t="shared" si="58"/>
        <v>38062</v>
      </c>
      <c r="C97" s="301" t="e">
        <f t="shared" si="91"/>
        <v>#N/A</v>
      </c>
      <c r="D97" s="301" t="e">
        <f t="shared" si="59"/>
        <v>#N/A</v>
      </c>
      <c r="E97" s="299">
        <f t="shared" si="60"/>
        <v>76</v>
      </c>
      <c r="F97" s="396">
        <f>Weather!M81</f>
        <v>0</v>
      </c>
      <c r="G97" s="301">
        <f>IF(Weather!C81="","",Weather!C81)</f>
        <v>1.3319948639124057</v>
      </c>
      <c r="H97" s="301">
        <f>IF(Weather!D81="","",Weather!D81)</f>
        <v>1.3348911220504578</v>
      </c>
      <c r="I97" s="502">
        <f>IF(Weather!E81="","",Weather!E81)</f>
        <v>1.3348911220504578</v>
      </c>
      <c r="J97" s="397">
        <f>IF(RnSplint!N125&lt;0,0,RnSplint!N125)</f>
        <v>31</v>
      </c>
      <c r="K97" s="302">
        <f t="shared" si="92"/>
        <v>0</v>
      </c>
      <c r="L97" s="303">
        <f t="shared" si="93"/>
        <v>38062</v>
      </c>
      <c r="M97" s="346" t="str">
        <f t="shared" si="61"/>
        <v/>
      </c>
      <c r="N97" s="304">
        <f t="shared" si="94"/>
        <v>0</v>
      </c>
      <c r="O97" s="304">
        <f t="shared" si="95"/>
        <v>0</v>
      </c>
      <c r="P97" s="304">
        <f t="shared" si="62"/>
        <v>0</v>
      </c>
      <c r="Q97" s="304">
        <f t="shared" si="63"/>
        <v>0.39730668092167531</v>
      </c>
      <c r="R97" s="304">
        <f t="shared" si="64"/>
        <v>0.39730668092167531</v>
      </c>
      <c r="S97" s="305" t="e">
        <f t="shared" si="96"/>
        <v>#N/A</v>
      </c>
      <c r="T97" s="304">
        <f t="shared" si="65"/>
        <v>0</v>
      </c>
      <c r="U97" s="304">
        <f t="shared" si="110"/>
        <v>0</v>
      </c>
      <c r="V97" s="305" t="e">
        <f t="shared" si="66"/>
        <v>#N/A</v>
      </c>
      <c r="W97" s="305" t="e">
        <f t="shared" si="97"/>
        <v>#N/A</v>
      </c>
      <c r="X97" s="304">
        <f t="shared" si="98"/>
        <v>0.39730668092167531</v>
      </c>
      <c r="Z97" s="304" t="str">
        <f t="shared" si="67"/>
        <v/>
      </c>
      <c r="AA97" s="305" t="e">
        <f t="shared" si="68"/>
        <v>#N/A</v>
      </c>
      <c r="AB97" s="304">
        <f t="shared" si="69"/>
        <v>0.53036116109367837</v>
      </c>
      <c r="AC97" s="304" t="str">
        <f t="shared" si="99"/>
        <v/>
      </c>
      <c r="AD97" s="306">
        <f t="shared" si="70"/>
        <v>0</v>
      </c>
      <c r="AE97" s="307">
        <f t="shared" si="100"/>
        <v>0.53036116109367837</v>
      </c>
      <c r="AF97" s="308" t="e">
        <f t="shared" si="71"/>
        <v>#N/A</v>
      </c>
      <c r="AG97" s="306">
        <f t="shared" si="101"/>
        <v>42.65639780479377</v>
      </c>
      <c r="AH97" s="306">
        <f t="shared" si="72"/>
        <v>0</v>
      </c>
      <c r="AI97" s="306">
        <f t="shared" si="102"/>
        <v>0</v>
      </c>
      <c r="AJ97" s="306">
        <f t="shared" si="103"/>
        <v>0</v>
      </c>
      <c r="AK97" s="306">
        <f t="shared" si="73"/>
        <v>0</v>
      </c>
      <c r="AL97" s="306">
        <f t="shared" si="104"/>
        <v>0</v>
      </c>
      <c r="AM97" s="306">
        <f t="shared" si="74"/>
        <v>0</v>
      </c>
      <c r="AN97" s="304">
        <f>KcSplint!$N126</f>
        <v>0.41987058715151276</v>
      </c>
      <c r="AO97" s="304" t="str">
        <f t="shared" si="75"/>
        <v/>
      </c>
      <c r="AP97" s="304" t="str">
        <f t="shared" si="105"/>
        <v/>
      </c>
      <c r="AQ97" s="305" t="e">
        <f t="shared" si="106"/>
        <v>#N/A</v>
      </c>
      <c r="AR97" s="304" t="str">
        <f t="shared" si="107"/>
        <v/>
      </c>
      <c r="AS97" s="306">
        <f t="shared" si="76"/>
        <v>0</v>
      </c>
      <c r="AT97" s="307" t="e">
        <f t="shared" si="108"/>
        <v>#N/A</v>
      </c>
      <c r="AU97" s="307" t="e">
        <f t="shared" si="109"/>
        <v>#N/A</v>
      </c>
      <c r="AV97" s="304">
        <f t="shared" si="77"/>
        <v>1.3348911220504578</v>
      </c>
      <c r="AW97" s="309">
        <f t="shared" si="78"/>
        <v>41.746627103432054</v>
      </c>
      <c r="AX97" s="306">
        <f>IF(ISERROR(Weather!M81),#N/A,Weather!M81)</f>
        <v>0</v>
      </c>
      <c r="AY97" s="310">
        <f t="shared" si="79"/>
        <v>72</v>
      </c>
      <c r="AZ97" s="309">
        <f t="shared" si="80"/>
        <v>0.39730668092167531</v>
      </c>
      <c r="BA97" s="309">
        <f t="shared" si="81"/>
        <v>42.65639780479377</v>
      </c>
      <c r="BB97" s="311">
        <f>Irrig!H99</f>
        <v>0</v>
      </c>
      <c r="BC97" s="310">
        <f t="shared" si="82"/>
        <v>0</v>
      </c>
      <c r="BD97" s="309">
        <f t="shared" si="83"/>
        <v>0</v>
      </c>
      <c r="BE97" s="309">
        <f t="shared" si="84"/>
        <v>0</v>
      </c>
      <c r="BF97" s="306">
        <f>DailyMet!H80</f>
        <v>11.01</v>
      </c>
      <c r="BG97" s="306">
        <f>DailyMet!I80</f>
        <v>2.2999999999999998</v>
      </c>
      <c r="BH97" s="306">
        <f t="shared" si="85"/>
        <v>11.01</v>
      </c>
      <c r="BI97" s="306">
        <f t="shared" si="86"/>
        <v>10</v>
      </c>
      <c r="BJ97" s="306">
        <f t="shared" si="87"/>
        <v>0.50499999999999901</v>
      </c>
      <c r="BK97" s="306">
        <f t="shared" si="88"/>
        <v>0</v>
      </c>
      <c r="BL97" s="304">
        <f t="shared" si="89"/>
        <v>0</v>
      </c>
      <c r="BM97" s="304">
        <f t="shared" si="90"/>
        <v>5.8559127439724426E-2</v>
      </c>
      <c r="BN97" s="304">
        <f t="shared" si="111"/>
        <v>5.8559127439724426E-2</v>
      </c>
      <c r="BO97" s="306">
        <f t="shared" si="112"/>
        <v>0</v>
      </c>
      <c r="BP97" s="306"/>
    </row>
    <row r="98" spans="1:68">
      <c r="A98" s="299">
        <f t="shared" si="57"/>
        <v>0</v>
      </c>
      <c r="B98" s="300">
        <f t="shared" si="58"/>
        <v>38063</v>
      </c>
      <c r="C98" s="301" t="e">
        <f t="shared" si="91"/>
        <v>#N/A</v>
      </c>
      <c r="D98" s="301" t="e">
        <f t="shared" si="59"/>
        <v>#N/A</v>
      </c>
      <c r="E98" s="299">
        <f t="shared" si="60"/>
        <v>77</v>
      </c>
      <c r="F98" s="396">
        <f>Weather!M82</f>
        <v>0</v>
      </c>
      <c r="G98" s="301">
        <f>IF(Weather!C82="","",Weather!C82)</f>
        <v>1.3444261383962139</v>
      </c>
      <c r="H98" s="301">
        <f>IF(Weather!D82="","",Weather!D82)</f>
        <v>1.3733747862333849</v>
      </c>
      <c r="I98" s="502">
        <f>IF(Weather!E82="","",Weather!E82)</f>
        <v>1.3733747862333849</v>
      </c>
      <c r="J98" s="397">
        <f>IF(RnSplint!N126&lt;0,0,RnSplint!N126)</f>
        <v>31.202191359003745</v>
      </c>
      <c r="K98" s="302">
        <f t="shared" si="92"/>
        <v>0</v>
      </c>
      <c r="L98" s="303">
        <f t="shared" si="93"/>
        <v>38063</v>
      </c>
      <c r="M98" s="346" t="str">
        <f t="shared" si="61"/>
        <v/>
      </c>
      <c r="N98" s="304">
        <f t="shared" si="94"/>
        <v>0</v>
      </c>
      <c r="O98" s="304">
        <f t="shared" si="95"/>
        <v>0</v>
      </c>
      <c r="P98" s="304">
        <f t="shared" si="62"/>
        <v>0</v>
      </c>
      <c r="Q98" s="304">
        <f t="shared" si="63"/>
        <v>0.3907259543978604</v>
      </c>
      <c r="R98" s="304">
        <f t="shared" si="64"/>
        <v>0.3907259543978604</v>
      </c>
      <c r="S98" s="305" t="e">
        <f t="shared" si="96"/>
        <v>#N/A</v>
      </c>
      <c r="T98" s="304">
        <f t="shared" si="65"/>
        <v>0</v>
      </c>
      <c r="U98" s="304">
        <f t="shared" si="110"/>
        <v>0</v>
      </c>
      <c r="V98" s="305" t="e">
        <f t="shared" si="66"/>
        <v>#N/A</v>
      </c>
      <c r="W98" s="305" t="e">
        <f t="shared" si="97"/>
        <v>#N/A</v>
      </c>
      <c r="X98" s="304">
        <f t="shared" si="98"/>
        <v>0.3907259543978604</v>
      </c>
      <c r="Z98" s="304" t="str">
        <f t="shared" si="67"/>
        <v/>
      </c>
      <c r="AA98" s="305" t="e">
        <f t="shared" si="68"/>
        <v>#N/A</v>
      </c>
      <c r="AB98" s="304">
        <f t="shared" si="69"/>
        <v>0.53661317409699683</v>
      </c>
      <c r="AC98" s="304" t="str">
        <f t="shared" si="99"/>
        <v/>
      </c>
      <c r="AD98" s="306">
        <f t="shared" si="70"/>
        <v>0</v>
      </c>
      <c r="AE98" s="307">
        <f t="shared" si="100"/>
        <v>0.53661317409699683</v>
      </c>
      <c r="AF98" s="308" t="e">
        <f t="shared" si="71"/>
        <v>#N/A</v>
      </c>
      <c r="AG98" s="306">
        <f t="shared" si="101"/>
        <v>44.029772591027154</v>
      </c>
      <c r="AH98" s="306">
        <f t="shared" si="72"/>
        <v>0</v>
      </c>
      <c r="AI98" s="306">
        <f t="shared" si="102"/>
        <v>0</v>
      </c>
      <c r="AJ98" s="306">
        <f t="shared" si="103"/>
        <v>0</v>
      </c>
      <c r="AK98" s="306">
        <f t="shared" si="73"/>
        <v>0</v>
      </c>
      <c r="AL98" s="306">
        <f t="shared" si="104"/>
        <v>0</v>
      </c>
      <c r="AM98" s="306">
        <f t="shared" si="74"/>
        <v>0</v>
      </c>
      <c r="AN98" s="304">
        <f>KcSplint!$N127</f>
        <v>0.43079037603371934</v>
      </c>
      <c r="AO98" s="304" t="str">
        <f t="shared" si="75"/>
        <v/>
      </c>
      <c r="AP98" s="304" t="str">
        <f t="shared" si="105"/>
        <v/>
      </c>
      <c r="AQ98" s="305" t="e">
        <f t="shared" si="106"/>
        <v>#N/A</v>
      </c>
      <c r="AR98" s="304" t="str">
        <f t="shared" si="107"/>
        <v/>
      </c>
      <c r="AS98" s="306">
        <f t="shared" si="76"/>
        <v>0</v>
      </c>
      <c r="AT98" s="307" t="e">
        <f t="shared" si="108"/>
        <v>#N/A</v>
      </c>
      <c r="AU98" s="307" t="e">
        <f t="shared" si="109"/>
        <v>#N/A</v>
      </c>
      <c r="AV98" s="304">
        <f t="shared" si="77"/>
        <v>1.3733747862333849</v>
      </c>
      <c r="AW98" s="309">
        <f t="shared" si="78"/>
        <v>43.120001889665438</v>
      </c>
      <c r="AX98" s="306">
        <f>IF(ISERROR(Weather!M82),#N/A,Weather!M82)</f>
        <v>0</v>
      </c>
      <c r="AY98" s="310">
        <f t="shared" si="79"/>
        <v>73</v>
      </c>
      <c r="AZ98" s="309">
        <f t="shared" si="80"/>
        <v>0.3907259543978604</v>
      </c>
      <c r="BA98" s="309">
        <f t="shared" si="81"/>
        <v>44.029772591027154</v>
      </c>
      <c r="BB98" s="311">
        <f>Irrig!H100</f>
        <v>0</v>
      </c>
      <c r="BC98" s="310">
        <f t="shared" si="82"/>
        <v>0</v>
      </c>
      <c r="BD98" s="309">
        <f t="shared" si="83"/>
        <v>0</v>
      </c>
      <c r="BE98" s="309">
        <f t="shared" si="84"/>
        <v>0</v>
      </c>
      <c r="BF98" s="306">
        <f>DailyMet!H81</f>
        <v>10.25</v>
      </c>
      <c r="BG98" s="306">
        <f>DailyMet!I81</f>
        <v>5.2</v>
      </c>
      <c r="BH98" s="306">
        <f t="shared" si="85"/>
        <v>10.25</v>
      </c>
      <c r="BI98" s="306">
        <f t="shared" si="86"/>
        <v>10</v>
      </c>
      <c r="BJ98" s="306">
        <f t="shared" si="87"/>
        <v>0.125</v>
      </c>
      <c r="BK98" s="306">
        <f t="shared" si="88"/>
        <v>0</v>
      </c>
      <c r="BL98" s="304">
        <f t="shared" si="89"/>
        <v>0</v>
      </c>
      <c r="BM98" s="304">
        <f t="shared" si="90"/>
        <v>6.1881188118811884E-3</v>
      </c>
      <c r="BN98" s="304">
        <f t="shared" si="111"/>
        <v>6.1881188118811884E-3</v>
      </c>
      <c r="BO98" s="306">
        <f t="shared" si="112"/>
        <v>0</v>
      </c>
      <c r="BP98" s="306"/>
    </row>
    <row r="99" spans="1:68">
      <c r="A99" s="299">
        <f t="shared" si="57"/>
        <v>0</v>
      </c>
      <c r="B99" s="300">
        <f t="shared" si="58"/>
        <v>38064</v>
      </c>
      <c r="C99" s="301" t="e">
        <f t="shared" si="91"/>
        <v>#N/A</v>
      </c>
      <c r="D99" s="301" t="e">
        <f t="shared" si="59"/>
        <v>#N/A</v>
      </c>
      <c r="E99" s="299">
        <f t="shared" si="60"/>
        <v>78</v>
      </c>
      <c r="F99" s="396">
        <f>Weather!M83</f>
        <v>0.2</v>
      </c>
      <c r="G99" s="301">
        <f>IF(Weather!C83="","",Weather!C83)</f>
        <v>1.3545735998439545</v>
      </c>
      <c r="H99" s="301">
        <f>IF(Weather!D83="","",Weather!D83)</f>
        <v>1.5527441502753514</v>
      </c>
      <c r="I99" s="502">
        <f>IF(Weather!E83="","",Weather!E83)</f>
        <v>1.5527441502753514</v>
      </c>
      <c r="J99" s="397">
        <f>IF(RnSplint!N127&lt;0,0,RnSplint!N127)</f>
        <v>31.401052812431619</v>
      </c>
      <c r="K99" s="302">
        <f t="shared" si="92"/>
        <v>0</v>
      </c>
      <c r="L99" s="303">
        <f t="shared" si="93"/>
        <v>38064</v>
      </c>
      <c r="M99" s="346" t="str">
        <f t="shared" si="61"/>
        <v/>
      </c>
      <c r="N99" s="304">
        <f t="shared" si="94"/>
        <v>0</v>
      </c>
      <c r="O99" s="304">
        <f t="shared" si="95"/>
        <v>0</v>
      </c>
      <c r="P99" s="304">
        <f t="shared" si="62"/>
        <v>0</v>
      </c>
      <c r="Q99" s="304">
        <f t="shared" si="63"/>
        <v>0.3836582129060242</v>
      </c>
      <c r="R99" s="304">
        <f t="shared" si="64"/>
        <v>0.3836582129060242</v>
      </c>
      <c r="S99" s="305" t="e">
        <f t="shared" si="96"/>
        <v>#N/A</v>
      </c>
      <c r="T99" s="304">
        <f t="shared" si="65"/>
        <v>0</v>
      </c>
      <c r="U99" s="304">
        <f t="shared" si="110"/>
        <v>0</v>
      </c>
      <c r="V99" s="305" t="e">
        <f t="shared" si="66"/>
        <v>#N/A</v>
      </c>
      <c r="W99" s="305" t="e">
        <f t="shared" si="97"/>
        <v>#N/A</v>
      </c>
      <c r="X99" s="304">
        <f t="shared" si="98"/>
        <v>0.3836582129060242</v>
      </c>
      <c r="Z99" s="304" t="str">
        <f t="shared" si="67"/>
        <v/>
      </c>
      <c r="AA99" s="305" t="e">
        <f t="shared" si="68"/>
        <v>#N/A</v>
      </c>
      <c r="AB99" s="304">
        <f t="shared" si="69"/>
        <v>0.59572304579492441</v>
      </c>
      <c r="AC99" s="304" t="str">
        <f t="shared" si="99"/>
        <v/>
      </c>
      <c r="AD99" s="306">
        <f t="shared" si="70"/>
        <v>0</v>
      </c>
      <c r="AE99" s="307">
        <f t="shared" si="100"/>
        <v>0.59572304579492441</v>
      </c>
      <c r="AF99" s="308" t="e">
        <f t="shared" si="71"/>
        <v>#N/A</v>
      </c>
      <c r="AG99" s="306">
        <f t="shared" si="101"/>
        <v>45.582516741302506</v>
      </c>
      <c r="AH99" s="306">
        <f t="shared" si="72"/>
        <v>0</v>
      </c>
      <c r="AI99" s="306">
        <f t="shared" si="102"/>
        <v>0</v>
      </c>
      <c r="AJ99" s="306">
        <f t="shared" si="103"/>
        <v>0</v>
      </c>
      <c r="AK99" s="306">
        <f t="shared" si="73"/>
        <v>0</v>
      </c>
      <c r="AL99" s="306">
        <f t="shared" si="104"/>
        <v>0</v>
      </c>
      <c r="AM99" s="306">
        <f t="shared" si="74"/>
        <v>0</v>
      </c>
      <c r="AN99" s="304">
        <f>KcSplint!$N128</f>
        <v>0.4433215398192723</v>
      </c>
      <c r="AO99" s="304" t="str">
        <f t="shared" si="75"/>
        <v/>
      </c>
      <c r="AP99" s="304" t="str">
        <f t="shared" si="105"/>
        <v/>
      </c>
      <c r="AQ99" s="305" t="e">
        <f t="shared" si="106"/>
        <v>#N/A</v>
      </c>
      <c r="AR99" s="304" t="str">
        <f t="shared" si="107"/>
        <v/>
      </c>
      <c r="AS99" s="306">
        <f t="shared" si="76"/>
        <v>0</v>
      </c>
      <c r="AT99" s="307" t="e">
        <f t="shared" si="108"/>
        <v>#N/A</v>
      </c>
      <c r="AU99" s="307" t="e">
        <f t="shared" si="109"/>
        <v>#N/A</v>
      </c>
      <c r="AV99" s="304">
        <f t="shared" si="77"/>
        <v>1.5527441502753514</v>
      </c>
      <c r="AW99" s="309">
        <f t="shared" si="78"/>
        <v>44.67274603994079</v>
      </c>
      <c r="AX99" s="306">
        <f>IF(ISERROR(Weather!M83),#N/A,Weather!M83)</f>
        <v>0.2</v>
      </c>
      <c r="AY99" s="310">
        <f t="shared" si="79"/>
        <v>74</v>
      </c>
      <c r="AZ99" s="309">
        <f t="shared" si="80"/>
        <v>0.3836582129060242</v>
      </c>
      <c r="BA99" s="309">
        <f t="shared" si="81"/>
        <v>45.582516741302506</v>
      </c>
      <c r="BB99" s="311">
        <f>Irrig!H101</f>
        <v>0</v>
      </c>
      <c r="BC99" s="310">
        <f t="shared" si="82"/>
        <v>0</v>
      </c>
      <c r="BD99" s="309">
        <f t="shared" si="83"/>
        <v>0</v>
      </c>
      <c r="BE99" s="309">
        <f t="shared" si="84"/>
        <v>0</v>
      </c>
      <c r="BF99" s="306">
        <f>DailyMet!H82</f>
        <v>12.83</v>
      </c>
      <c r="BG99" s="306">
        <f>DailyMet!I82</f>
        <v>5.6</v>
      </c>
      <c r="BH99" s="306">
        <f t="shared" si="85"/>
        <v>12.83</v>
      </c>
      <c r="BI99" s="306">
        <f t="shared" si="86"/>
        <v>10</v>
      </c>
      <c r="BJ99" s="306">
        <f t="shared" si="87"/>
        <v>1.4149999999999991</v>
      </c>
      <c r="BK99" s="306">
        <f t="shared" si="88"/>
        <v>0</v>
      </c>
      <c r="BL99" s="304">
        <f t="shared" si="89"/>
        <v>0</v>
      </c>
      <c r="BM99" s="304">
        <f t="shared" si="90"/>
        <v>0.55386583679114798</v>
      </c>
      <c r="BN99" s="304">
        <f t="shared" si="111"/>
        <v>0.55386583679114798</v>
      </c>
      <c r="BO99" s="306">
        <f t="shared" si="112"/>
        <v>0</v>
      </c>
      <c r="BP99" s="306"/>
    </row>
    <row r="100" spans="1:68">
      <c r="A100" s="299">
        <f t="shared" si="57"/>
        <v>0</v>
      </c>
      <c r="B100" s="300">
        <f t="shared" si="58"/>
        <v>38065</v>
      </c>
      <c r="C100" s="301" t="e">
        <f t="shared" si="91"/>
        <v>#N/A</v>
      </c>
      <c r="D100" s="301" t="e">
        <f t="shared" si="59"/>
        <v>#N/A</v>
      </c>
      <c r="E100" s="299">
        <f t="shared" si="60"/>
        <v>79</v>
      </c>
      <c r="F100" s="396">
        <f>Weather!M84</f>
        <v>1.2</v>
      </c>
      <c r="G100" s="301">
        <f>IF(Weather!C84="","",Weather!C84)</f>
        <v>1.3626109812558653</v>
      </c>
      <c r="H100" s="301">
        <f>IF(Weather!D84="","",Weather!D84)</f>
        <v>1.2539160732494974</v>
      </c>
      <c r="I100" s="502">
        <f>IF(Weather!E84="","",Weather!E84)</f>
        <v>1.2539160732494974</v>
      </c>
      <c r="J100" s="397">
        <f>IF(RnSplint!N128&lt;0,0,RnSplint!N128)</f>
        <v>31.595311940698227</v>
      </c>
      <c r="K100" s="302">
        <f t="shared" si="92"/>
        <v>0</v>
      </c>
      <c r="L100" s="303">
        <f t="shared" si="93"/>
        <v>38065</v>
      </c>
      <c r="M100" s="346" t="str">
        <f t="shared" si="61"/>
        <v/>
      </c>
      <c r="N100" s="304">
        <f t="shared" si="94"/>
        <v>0</v>
      </c>
      <c r="O100" s="304">
        <f t="shared" si="95"/>
        <v>0</v>
      </c>
      <c r="P100" s="304">
        <f t="shared" si="62"/>
        <v>0</v>
      </c>
      <c r="Q100" s="304">
        <f t="shared" si="63"/>
        <v>0.37821698403486836</v>
      </c>
      <c r="R100" s="304">
        <f t="shared" si="64"/>
        <v>0.37821698403486836</v>
      </c>
      <c r="S100" s="305" t="e">
        <f t="shared" si="96"/>
        <v>#N/A</v>
      </c>
      <c r="T100" s="304">
        <f t="shared" si="65"/>
        <v>0</v>
      </c>
      <c r="U100" s="304">
        <f t="shared" si="110"/>
        <v>0</v>
      </c>
      <c r="V100" s="305" t="e">
        <f t="shared" si="66"/>
        <v>#N/A</v>
      </c>
      <c r="W100" s="305" t="e">
        <f t="shared" si="97"/>
        <v>#N/A</v>
      </c>
      <c r="X100" s="304">
        <f t="shared" si="98"/>
        <v>0.37821698403486836</v>
      </c>
      <c r="Z100" s="304" t="str">
        <f t="shared" si="67"/>
        <v/>
      </c>
      <c r="AA100" s="305" t="e">
        <f t="shared" si="68"/>
        <v>#N/A</v>
      </c>
      <c r="AB100" s="304">
        <f t="shared" si="69"/>
        <v>0.47425235545726996</v>
      </c>
      <c r="AC100" s="304" t="str">
        <f t="shared" si="99"/>
        <v/>
      </c>
      <c r="AD100" s="306">
        <f t="shared" si="70"/>
        <v>0</v>
      </c>
      <c r="AE100" s="307">
        <f t="shared" si="100"/>
        <v>0.47425235545726996</v>
      </c>
      <c r="AF100" s="308" t="e">
        <f t="shared" si="71"/>
        <v>#N/A</v>
      </c>
      <c r="AG100" s="306">
        <f t="shared" si="101"/>
        <v>46.836432814552005</v>
      </c>
      <c r="AH100" s="306">
        <f t="shared" si="72"/>
        <v>0</v>
      </c>
      <c r="AI100" s="306">
        <f t="shared" si="102"/>
        <v>0</v>
      </c>
      <c r="AJ100" s="306">
        <f t="shared" si="103"/>
        <v>0</v>
      </c>
      <c r="AK100" s="306">
        <f t="shared" si="73"/>
        <v>0</v>
      </c>
      <c r="AL100" s="306">
        <f t="shared" si="104"/>
        <v>0</v>
      </c>
      <c r="AM100" s="306">
        <f t="shared" si="74"/>
        <v>0</v>
      </c>
      <c r="AN100" s="304">
        <f>KcSplint!$N129</f>
        <v>0.45733873324136415</v>
      </c>
      <c r="AO100" s="304" t="str">
        <f t="shared" si="75"/>
        <v/>
      </c>
      <c r="AP100" s="304" t="str">
        <f t="shared" si="105"/>
        <v/>
      </c>
      <c r="AQ100" s="305" t="e">
        <f t="shared" si="106"/>
        <v>#N/A</v>
      </c>
      <c r="AR100" s="304" t="str">
        <f t="shared" si="107"/>
        <v/>
      </c>
      <c r="AS100" s="306">
        <f t="shared" si="76"/>
        <v>0</v>
      </c>
      <c r="AT100" s="307" t="e">
        <f t="shared" si="108"/>
        <v>#N/A</v>
      </c>
      <c r="AU100" s="307" t="e">
        <f t="shared" si="109"/>
        <v>#N/A</v>
      </c>
      <c r="AV100" s="304">
        <f t="shared" si="77"/>
        <v>1.2539160732494974</v>
      </c>
      <c r="AW100" s="309">
        <f t="shared" si="78"/>
        <v>45.926662113190289</v>
      </c>
      <c r="AX100" s="306">
        <f>IF(ISERROR(Weather!M84),#N/A,Weather!M84)</f>
        <v>1.2</v>
      </c>
      <c r="AY100" s="310">
        <f t="shared" si="79"/>
        <v>75</v>
      </c>
      <c r="AZ100" s="309">
        <f t="shared" si="80"/>
        <v>0.37821698403486836</v>
      </c>
      <c r="BA100" s="309">
        <f t="shared" si="81"/>
        <v>46.836432814552005</v>
      </c>
      <c r="BB100" s="311">
        <f>Irrig!H102</f>
        <v>0</v>
      </c>
      <c r="BC100" s="310">
        <f t="shared" si="82"/>
        <v>0</v>
      </c>
      <c r="BD100" s="309">
        <f t="shared" si="83"/>
        <v>0</v>
      </c>
      <c r="BE100" s="309">
        <f t="shared" si="84"/>
        <v>0</v>
      </c>
      <c r="BF100" s="306">
        <f>DailyMet!H83</f>
        <v>11.43</v>
      </c>
      <c r="BG100" s="306">
        <f>DailyMet!I83</f>
        <v>4.7</v>
      </c>
      <c r="BH100" s="306">
        <f t="shared" si="85"/>
        <v>11.43</v>
      </c>
      <c r="BI100" s="306">
        <f t="shared" si="86"/>
        <v>10</v>
      </c>
      <c r="BJ100" s="306">
        <f t="shared" si="87"/>
        <v>0.71499999999999986</v>
      </c>
      <c r="BK100" s="306">
        <f t="shared" si="88"/>
        <v>0</v>
      </c>
      <c r="BL100" s="304">
        <f t="shared" si="89"/>
        <v>0</v>
      </c>
      <c r="BM100" s="304">
        <f t="shared" si="90"/>
        <v>0.1519242199108469</v>
      </c>
      <c r="BN100" s="304">
        <f t="shared" si="111"/>
        <v>0.1519242199108469</v>
      </c>
      <c r="BO100" s="306">
        <f t="shared" si="112"/>
        <v>0</v>
      </c>
      <c r="BP100" s="306"/>
    </row>
    <row r="101" spans="1:68">
      <c r="A101" s="299">
        <f t="shared" si="57"/>
        <v>0</v>
      </c>
      <c r="B101" s="300">
        <f t="shared" si="58"/>
        <v>38066</v>
      </c>
      <c r="C101" s="301" t="e">
        <f t="shared" si="91"/>
        <v>#N/A</v>
      </c>
      <c r="D101" s="301" t="e">
        <f t="shared" si="59"/>
        <v>#N/A</v>
      </c>
      <c r="E101" s="299">
        <f t="shared" si="60"/>
        <v>80</v>
      </c>
      <c r="F101" s="396">
        <f>Weather!M85</f>
        <v>0.2</v>
      </c>
      <c r="G101" s="301">
        <f>IF(Weather!C85="","",Weather!C85)</f>
        <v>1.3687120156321837</v>
      </c>
      <c r="H101" s="301">
        <f>IF(Weather!D85="","",Weather!D85)</f>
        <v>0.47253029285191905</v>
      </c>
      <c r="I101" s="502">
        <f>IF(Weather!E85="","",Weather!E85)</f>
        <v>0.47253029285191905</v>
      </c>
      <c r="J101" s="397">
        <f>IF(RnSplint!N129&lt;0,0,RnSplint!N129)</f>
        <v>31.783696324218187</v>
      </c>
      <c r="K101" s="302">
        <f t="shared" si="92"/>
        <v>0</v>
      </c>
      <c r="L101" s="303">
        <f t="shared" si="93"/>
        <v>38066</v>
      </c>
      <c r="M101" s="346" t="str">
        <f t="shared" si="61"/>
        <v/>
      </c>
      <c r="N101" s="304">
        <f t="shared" si="94"/>
        <v>0</v>
      </c>
      <c r="O101" s="304">
        <f t="shared" si="95"/>
        <v>0</v>
      </c>
      <c r="P101" s="304">
        <f t="shared" si="62"/>
        <v>0</v>
      </c>
      <c r="Q101" s="304">
        <f t="shared" si="63"/>
        <v>0.376224547981236</v>
      </c>
      <c r="R101" s="304">
        <f t="shared" si="64"/>
        <v>0.376224547981236</v>
      </c>
      <c r="S101" s="305" t="e">
        <f t="shared" si="96"/>
        <v>#N/A</v>
      </c>
      <c r="T101" s="304">
        <f t="shared" si="65"/>
        <v>0</v>
      </c>
      <c r="U101" s="304">
        <f t="shared" si="110"/>
        <v>0</v>
      </c>
      <c r="V101" s="305" t="e">
        <f t="shared" si="66"/>
        <v>#N/A</v>
      </c>
      <c r="W101" s="305" t="e">
        <f t="shared" si="97"/>
        <v>#N/A</v>
      </c>
      <c r="X101" s="304">
        <f t="shared" si="98"/>
        <v>0.376224547981236</v>
      </c>
      <c r="Z101" s="304" t="str">
        <f t="shared" si="67"/>
        <v/>
      </c>
      <c r="AA101" s="305" t="e">
        <f t="shared" si="68"/>
        <v>#N/A</v>
      </c>
      <c r="AB101" s="304">
        <f t="shared" si="69"/>
        <v>0.17777749583565433</v>
      </c>
      <c r="AC101" s="304" t="str">
        <f t="shared" si="99"/>
        <v/>
      </c>
      <c r="AD101" s="306">
        <f t="shared" si="70"/>
        <v>0</v>
      </c>
      <c r="AE101" s="307">
        <f t="shared" si="100"/>
        <v>0.17777749583565433</v>
      </c>
      <c r="AF101" s="308" t="e">
        <f t="shared" si="71"/>
        <v>#N/A</v>
      </c>
      <c r="AG101" s="306">
        <f t="shared" si="101"/>
        <v>47.308963107403926</v>
      </c>
      <c r="AH101" s="306">
        <f t="shared" si="72"/>
        <v>0</v>
      </c>
      <c r="AI101" s="306">
        <f t="shared" si="102"/>
        <v>0</v>
      </c>
      <c r="AJ101" s="306">
        <f t="shared" si="103"/>
        <v>0</v>
      </c>
      <c r="AK101" s="306">
        <f t="shared" si="73"/>
        <v>0</v>
      </c>
      <c r="AL101" s="306">
        <f t="shared" si="104"/>
        <v>0</v>
      </c>
      <c r="AM101" s="306">
        <f t="shared" si="74"/>
        <v>0</v>
      </c>
      <c r="AN101" s="304">
        <f>KcSplint!$N130</f>
        <v>0.47271661103318713</v>
      </c>
      <c r="AO101" s="304" t="str">
        <f t="shared" si="75"/>
        <v/>
      </c>
      <c r="AP101" s="304" t="str">
        <f t="shared" si="105"/>
        <v/>
      </c>
      <c r="AQ101" s="305" t="e">
        <f t="shared" si="106"/>
        <v>#N/A</v>
      </c>
      <c r="AR101" s="304" t="str">
        <f t="shared" si="107"/>
        <v/>
      </c>
      <c r="AS101" s="306">
        <f t="shared" si="76"/>
        <v>0</v>
      </c>
      <c r="AT101" s="307" t="e">
        <f t="shared" si="108"/>
        <v>#N/A</v>
      </c>
      <c r="AU101" s="307" t="e">
        <f t="shared" si="109"/>
        <v>#N/A</v>
      </c>
      <c r="AV101" s="304">
        <f t="shared" si="77"/>
        <v>0.47253029285191905</v>
      </c>
      <c r="AW101" s="309">
        <f t="shared" si="78"/>
        <v>46.399192406042211</v>
      </c>
      <c r="AX101" s="306">
        <f>IF(ISERROR(Weather!M85),#N/A,Weather!M85)</f>
        <v>0.2</v>
      </c>
      <c r="AY101" s="310">
        <f t="shared" si="79"/>
        <v>76</v>
      </c>
      <c r="AZ101" s="309">
        <f t="shared" si="80"/>
        <v>0.376224547981236</v>
      </c>
      <c r="BA101" s="309">
        <f t="shared" si="81"/>
        <v>47.308963107403926</v>
      </c>
      <c r="BB101" s="311">
        <f>Irrig!H103</f>
        <v>0</v>
      </c>
      <c r="BC101" s="310">
        <f t="shared" si="82"/>
        <v>0</v>
      </c>
      <c r="BD101" s="309">
        <f t="shared" si="83"/>
        <v>0</v>
      </c>
      <c r="BE101" s="309">
        <f t="shared" si="84"/>
        <v>0</v>
      </c>
      <c r="BF101" s="306">
        <f>DailyMet!H84</f>
        <v>10.64</v>
      </c>
      <c r="BG101" s="306">
        <f>DailyMet!I84</f>
        <v>4.8</v>
      </c>
      <c r="BH101" s="306">
        <f t="shared" si="85"/>
        <v>10.64</v>
      </c>
      <c r="BI101" s="306">
        <f t="shared" si="86"/>
        <v>10</v>
      </c>
      <c r="BJ101" s="306">
        <f t="shared" si="87"/>
        <v>0.32000000000000028</v>
      </c>
      <c r="BK101" s="306">
        <f t="shared" si="88"/>
        <v>0</v>
      </c>
      <c r="BL101" s="304">
        <f t="shared" si="89"/>
        <v>0</v>
      </c>
      <c r="BM101" s="304">
        <f t="shared" si="90"/>
        <v>3.5068493150684991E-2</v>
      </c>
      <c r="BN101" s="304">
        <f t="shared" si="111"/>
        <v>3.5068493150684991E-2</v>
      </c>
      <c r="BO101" s="306">
        <f t="shared" si="112"/>
        <v>0</v>
      </c>
      <c r="BP101" s="306"/>
    </row>
    <row r="102" spans="1:68">
      <c r="A102" s="299">
        <f t="shared" si="57"/>
        <v>0</v>
      </c>
      <c r="B102" s="300">
        <f t="shared" si="58"/>
        <v>38067</v>
      </c>
      <c r="C102" s="301" t="e">
        <f t="shared" si="91"/>
        <v>#N/A</v>
      </c>
      <c r="D102" s="301" t="e">
        <f t="shared" si="59"/>
        <v>#N/A</v>
      </c>
      <c r="E102" s="299">
        <f t="shared" si="60"/>
        <v>81</v>
      </c>
      <c r="F102" s="396">
        <f>Weather!M86</f>
        <v>0</v>
      </c>
      <c r="G102" s="301">
        <f>IF(Weather!C86="","",Weather!C86)</f>
        <v>1.3730504359731475</v>
      </c>
      <c r="H102" s="301">
        <f>IF(Weather!D86="","",Weather!D86)</f>
        <v>1.4014913229730439</v>
      </c>
      <c r="I102" s="502">
        <f>IF(Weather!E86="","",Weather!E86)</f>
        <v>1.4014913229730439</v>
      </c>
      <c r="J102" s="397">
        <f>IF(RnSplint!N130&lt;0,0,RnSplint!N130)</f>
        <v>31.964933543406101</v>
      </c>
      <c r="K102" s="302">
        <f t="shared" si="92"/>
        <v>0</v>
      </c>
      <c r="L102" s="303">
        <f t="shared" si="93"/>
        <v>38067</v>
      </c>
      <c r="M102" s="346" t="str">
        <f t="shared" si="61"/>
        <v/>
      </c>
      <c r="N102" s="304">
        <f t="shared" si="94"/>
        <v>0</v>
      </c>
      <c r="O102" s="304">
        <f t="shared" si="95"/>
        <v>0</v>
      </c>
      <c r="P102" s="304">
        <f t="shared" si="62"/>
        <v>0</v>
      </c>
      <c r="Q102" s="304">
        <f t="shared" si="63"/>
        <v>0.37049172000769603</v>
      </c>
      <c r="R102" s="304">
        <f t="shared" si="64"/>
        <v>0.37049172000769603</v>
      </c>
      <c r="S102" s="305" t="e">
        <f t="shared" si="96"/>
        <v>#N/A</v>
      </c>
      <c r="T102" s="304">
        <f t="shared" si="65"/>
        <v>0</v>
      </c>
      <c r="U102" s="304">
        <f t="shared" si="110"/>
        <v>0</v>
      </c>
      <c r="V102" s="305" t="e">
        <f t="shared" si="66"/>
        <v>#N/A</v>
      </c>
      <c r="W102" s="305" t="e">
        <f t="shared" si="97"/>
        <v>#N/A</v>
      </c>
      <c r="X102" s="304">
        <f t="shared" si="98"/>
        <v>0.37049172000769603</v>
      </c>
      <c r="Z102" s="304" t="str">
        <f t="shared" si="67"/>
        <v/>
      </c>
      <c r="AA102" s="305" t="e">
        <f t="shared" si="68"/>
        <v>#N/A</v>
      </c>
      <c r="AB102" s="304">
        <f t="shared" si="69"/>
        <v>0.51924093082414446</v>
      </c>
      <c r="AC102" s="304" t="str">
        <f t="shared" si="99"/>
        <v/>
      </c>
      <c r="AD102" s="306">
        <f t="shared" si="70"/>
        <v>0</v>
      </c>
      <c r="AE102" s="307">
        <f t="shared" si="100"/>
        <v>0.51924093082414446</v>
      </c>
      <c r="AF102" s="308" t="e">
        <f t="shared" si="71"/>
        <v>#N/A</v>
      </c>
      <c r="AG102" s="306">
        <f t="shared" si="101"/>
        <v>48.71045443037697</v>
      </c>
      <c r="AH102" s="306">
        <f t="shared" si="72"/>
        <v>0</v>
      </c>
      <c r="AI102" s="306">
        <f t="shared" si="102"/>
        <v>0</v>
      </c>
      <c r="AJ102" s="306">
        <f t="shared" si="103"/>
        <v>0</v>
      </c>
      <c r="AK102" s="306">
        <f t="shared" si="73"/>
        <v>0</v>
      </c>
      <c r="AL102" s="306">
        <f t="shared" si="104"/>
        <v>0</v>
      </c>
      <c r="AM102" s="306">
        <f t="shared" si="74"/>
        <v>0</v>
      </c>
      <c r="AN102" s="304">
        <f>KcSplint!$N131</f>
        <v>0.48932982792793361</v>
      </c>
      <c r="AO102" s="304" t="str">
        <f t="shared" si="75"/>
        <v/>
      </c>
      <c r="AP102" s="304" t="str">
        <f t="shared" si="105"/>
        <v/>
      </c>
      <c r="AQ102" s="305" t="e">
        <f t="shared" si="106"/>
        <v>#N/A</v>
      </c>
      <c r="AR102" s="304" t="str">
        <f t="shared" si="107"/>
        <v/>
      </c>
      <c r="AS102" s="306">
        <f t="shared" si="76"/>
        <v>0</v>
      </c>
      <c r="AT102" s="307" t="e">
        <f t="shared" si="108"/>
        <v>#N/A</v>
      </c>
      <c r="AU102" s="307" t="e">
        <f t="shared" si="109"/>
        <v>#N/A</v>
      </c>
      <c r="AV102" s="304">
        <f t="shared" si="77"/>
        <v>1.4014913229730439</v>
      </c>
      <c r="AW102" s="309">
        <f t="shared" si="78"/>
        <v>47.800683729015255</v>
      </c>
      <c r="AX102" s="306">
        <f>IF(ISERROR(Weather!M86),#N/A,Weather!M86)</f>
        <v>0</v>
      </c>
      <c r="AY102" s="310">
        <f t="shared" si="79"/>
        <v>77</v>
      </c>
      <c r="AZ102" s="309">
        <f t="shared" si="80"/>
        <v>0.37049172000769603</v>
      </c>
      <c r="BA102" s="309">
        <f t="shared" si="81"/>
        <v>48.71045443037697</v>
      </c>
      <c r="BB102" s="311">
        <f>Irrig!H104</f>
        <v>0</v>
      </c>
      <c r="BC102" s="310">
        <f t="shared" si="82"/>
        <v>0</v>
      </c>
      <c r="BD102" s="309">
        <f t="shared" si="83"/>
        <v>0</v>
      </c>
      <c r="BE102" s="309">
        <f t="shared" si="84"/>
        <v>0</v>
      </c>
      <c r="BF102" s="306">
        <f>DailyMet!H85</f>
        <v>13.36</v>
      </c>
      <c r="BG102" s="306">
        <f>DailyMet!I85</f>
        <v>5.3</v>
      </c>
      <c r="BH102" s="306">
        <f t="shared" si="85"/>
        <v>13.36</v>
      </c>
      <c r="BI102" s="306">
        <f t="shared" si="86"/>
        <v>10</v>
      </c>
      <c r="BJ102" s="306">
        <f t="shared" si="87"/>
        <v>1.6799999999999997</v>
      </c>
      <c r="BK102" s="306">
        <f t="shared" si="88"/>
        <v>0</v>
      </c>
      <c r="BL102" s="304">
        <f t="shared" si="89"/>
        <v>0</v>
      </c>
      <c r="BM102" s="304">
        <f t="shared" si="90"/>
        <v>0.70034739454094286</v>
      </c>
      <c r="BN102" s="304">
        <f t="shared" si="111"/>
        <v>0.70034739454094286</v>
      </c>
      <c r="BO102" s="306">
        <f t="shared" si="112"/>
        <v>0</v>
      </c>
      <c r="BP102" s="306"/>
    </row>
    <row r="103" spans="1:68">
      <c r="A103" s="299">
        <f t="shared" si="57"/>
        <v>0</v>
      </c>
      <c r="B103" s="300">
        <f t="shared" si="58"/>
        <v>38068</v>
      </c>
      <c r="C103" s="301" t="e">
        <f t="shared" si="91"/>
        <v>#N/A</v>
      </c>
      <c r="D103" s="301" t="e">
        <f t="shared" si="59"/>
        <v>#N/A</v>
      </c>
      <c r="E103" s="299">
        <f t="shared" si="60"/>
        <v>82</v>
      </c>
      <c r="F103" s="396">
        <f>Weather!M87</f>
        <v>0</v>
      </c>
      <c r="G103" s="301">
        <f>IF(Weather!C87="","",Weather!C87)</f>
        <v>1.3757999752789938</v>
      </c>
      <c r="H103" s="301">
        <f>IF(Weather!D87="","",Weather!D87)</f>
        <v>1.8243026445582893</v>
      </c>
      <c r="I103" s="502">
        <f>IF(Weather!E87="","",Weather!E87)</f>
        <v>1.8243026445582893</v>
      </c>
      <c r="J103" s="397">
        <f>IF(RnSplint!N131&lt;0,0,RnSplint!N131)</f>
        <v>32.137751178676574</v>
      </c>
      <c r="K103" s="302">
        <f t="shared" si="92"/>
        <v>0</v>
      </c>
      <c r="L103" s="303">
        <f t="shared" si="93"/>
        <v>38068</v>
      </c>
      <c r="M103" s="346" t="str">
        <f t="shared" si="61"/>
        <v/>
      </c>
      <c r="N103" s="304">
        <f t="shared" si="94"/>
        <v>0</v>
      </c>
      <c r="O103" s="304">
        <f t="shared" si="95"/>
        <v>0</v>
      </c>
      <c r="P103" s="304">
        <f t="shared" si="62"/>
        <v>0</v>
      </c>
      <c r="Q103" s="304">
        <f t="shared" si="63"/>
        <v>0.36340014808366755</v>
      </c>
      <c r="R103" s="304">
        <f t="shared" si="64"/>
        <v>0.36340014808366755</v>
      </c>
      <c r="S103" s="305" t="e">
        <f t="shared" si="96"/>
        <v>#N/A</v>
      </c>
      <c r="T103" s="304">
        <f t="shared" si="65"/>
        <v>0</v>
      </c>
      <c r="U103" s="304">
        <f t="shared" si="110"/>
        <v>0</v>
      </c>
      <c r="V103" s="305" t="e">
        <f t="shared" si="66"/>
        <v>#N/A</v>
      </c>
      <c r="W103" s="305" t="e">
        <f t="shared" si="97"/>
        <v>#N/A</v>
      </c>
      <c r="X103" s="304">
        <f t="shared" si="98"/>
        <v>0.36340014808366755</v>
      </c>
      <c r="Z103" s="304" t="str">
        <f t="shared" si="67"/>
        <v/>
      </c>
      <c r="AA103" s="305" t="e">
        <f t="shared" si="68"/>
        <v>#N/A</v>
      </c>
      <c r="AB103" s="304">
        <f t="shared" si="69"/>
        <v>0.66295185118190869</v>
      </c>
      <c r="AC103" s="304" t="str">
        <f t="shared" si="99"/>
        <v/>
      </c>
      <c r="AD103" s="306">
        <f t="shared" si="70"/>
        <v>0</v>
      </c>
      <c r="AE103" s="307">
        <f t="shared" si="100"/>
        <v>0.66295185118190869</v>
      </c>
      <c r="AF103" s="308" t="e">
        <f t="shared" si="71"/>
        <v>#N/A</v>
      </c>
      <c r="AG103" s="306">
        <f t="shared" si="101"/>
        <v>50.534757074935257</v>
      </c>
      <c r="AH103" s="306">
        <f t="shared" si="72"/>
        <v>0</v>
      </c>
      <c r="AI103" s="306">
        <f t="shared" si="102"/>
        <v>0</v>
      </c>
      <c r="AJ103" s="306">
        <f t="shared" si="103"/>
        <v>0</v>
      </c>
      <c r="AK103" s="306">
        <f t="shared" si="73"/>
        <v>0</v>
      </c>
      <c r="AL103" s="306">
        <f t="shared" si="104"/>
        <v>0</v>
      </c>
      <c r="AM103" s="306">
        <f t="shared" si="74"/>
        <v>0</v>
      </c>
      <c r="AN103" s="304">
        <f>KcSplint!$N132</f>
        <v>0.50705303865879603</v>
      </c>
      <c r="AO103" s="304" t="str">
        <f t="shared" si="75"/>
        <v/>
      </c>
      <c r="AP103" s="304" t="str">
        <f t="shared" si="105"/>
        <v/>
      </c>
      <c r="AQ103" s="305" t="e">
        <f t="shared" si="106"/>
        <v>#N/A</v>
      </c>
      <c r="AR103" s="304" t="str">
        <f t="shared" si="107"/>
        <v/>
      </c>
      <c r="AS103" s="306">
        <f t="shared" si="76"/>
        <v>0</v>
      </c>
      <c r="AT103" s="307" t="e">
        <f t="shared" si="108"/>
        <v>#N/A</v>
      </c>
      <c r="AU103" s="307" t="e">
        <f t="shared" si="109"/>
        <v>#N/A</v>
      </c>
      <c r="AV103" s="304">
        <f t="shared" si="77"/>
        <v>1.8243026445582893</v>
      </c>
      <c r="AW103" s="309">
        <f t="shared" si="78"/>
        <v>49.624986373573542</v>
      </c>
      <c r="AX103" s="306">
        <f>IF(ISERROR(Weather!M87),#N/A,Weather!M87)</f>
        <v>0</v>
      </c>
      <c r="AY103" s="310">
        <f t="shared" si="79"/>
        <v>78</v>
      </c>
      <c r="AZ103" s="309">
        <f t="shared" si="80"/>
        <v>0.36340014808366755</v>
      </c>
      <c r="BA103" s="309">
        <f t="shared" si="81"/>
        <v>50.534757074935257</v>
      </c>
      <c r="BB103" s="311">
        <f>Irrig!H105</f>
        <v>0</v>
      </c>
      <c r="BC103" s="310">
        <f t="shared" si="82"/>
        <v>0</v>
      </c>
      <c r="BD103" s="309">
        <f t="shared" si="83"/>
        <v>0</v>
      </c>
      <c r="BE103" s="309">
        <f t="shared" si="84"/>
        <v>0</v>
      </c>
      <c r="BF103" s="306">
        <f>DailyMet!H86</f>
        <v>13.86</v>
      </c>
      <c r="BG103" s="306">
        <f>DailyMet!I86</f>
        <v>6.2</v>
      </c>
      <c r="BH103" s="306">
        <f t="shared" si="85"/>
        <v>13.86</v>
      </c>
      <c r="BI103" s="306">
        <f t="shared" si="86"/>
        <v>10</v>
      </c>
      <c r="BJ103" s="306">
        <f t="shared" si="87"/>
        <v>1.9299999999999997</v>
      </c>
      <c r="BK103" s="306">
        <f t="shared" si="88"/>
        <v>0</v>
      </c>
      <c r="BL103" s="304">
        <f t="shared" si="89"/>
        <v>0</v>
      </c>
      <c r="BM103" s="304">
        <f t="shared" si="90"/>
        <v>0.97255874673629228</v>
      </c>
      <c r="BN103" s="304">
        <f t="shared" si="111"/>
        <v>0.97255874673629228</v>
      </c>
      <c r="BO103" s="306">
        <f t="shared" si="112"/>
        <v>0</v>
      </c>
      <c r="BP103" s="306"/>
    </row>
    <row r="104" spans="1:68">
      <c r="A104" s="299">
        <f t="shared" si="57"/>
        <v>0</v>
      </c>
      <c r="B104" s="300">
        <f t="shared" si="58"/>
        <v>38069</v>
      </c>
      <c r="C104" s="301" t="e">
        <f t="shared" si="91"/>
        <v>#N/A</v>
      </c>
      <c r="D104" s="301" t="e">
        <f t="shared" si="59"/>
        <v>#N/A</v>
      </c>
      <c r="E104" s="299">
        <f t="shared" si="60"/>
        <v>83</v>
      </c>
      <c r="F104" s="396">
        <f>Weather!M88</f>
        <v>0</v>
      </c>
      <c r="G104" s="301">
        <f>IF(Weather!C88="","",Weather!C88)</f>
        <v>1.3771343665499607</v>
      </c>
      <c r="H104" s="301">
        <f>IF(Weather!D88="","",Weather!D88)</f>
        <v>0.49590084445667348</v>
      </c>
      <c r="I104" s="502">
        <f>IF(Weather!E88="","",Weather!E88)</f>
        <v>0.49590084445667348</v>
      </c>
      <c r="J104" s="397">
        <f>IF(RnSplint!N132&lt;0,0,RnSplint!N132)</f>
        <v>32.300876810444223</v>
      </c>
      <c r="K104" s="302">
        <f t="shared" si="92"/>
        <v>0</v>
      </c>
      <c r="L104" s="303">
        <f t="shared" si="93"/>
        <v>38069</v>
      </c>
      <c r="M104" s="346" t="str">
        <f t="shared" si="61"/>
        <v/>
      </c>
      <c r="N104" s="304">
        <f t="shared" si="94"/>
        <v>0</v>
      </c>
      <c r="O104" s="304">
        <f t="shared" si="95"/>
        <v>0</v>
      </c>
      <c r="P104" s="304">
        <f t="shared" si="62"/>
        <v>0</v>
      </c>
      <c r="Q104" s="304">
        <f t="shared" si="63"/>
        <v>0.36154039782763908</v>
      </c>
      <c r="R104" s="304">
        <f t="shared" si="64"/>
        <v>0.36154039782763908</v>
      </c>
      <c r="S104" s="305" t="e">
        <f t="shared" si="96"/>
        <v>#N/A</v>
      </c>
      <c r="T104" s="304">
        <f t="shared" si="65"/>
        <v>0</v>
      </c>
      <c r="U104" s="304">
        <f t="shared" si="110"/>
        <v>0</v>
      </c>
      <c r="V104" s="305" t="e">
        <f t="shared" si="66"/>
        <v>#N/A</v>
      </c>
      <c r="W104" s="305" t="e">
        <f t="shared" si="97"/>
        <v>#N/A</v>
      </c>
      <c r="X104" s="304">
        <f t="shared" si="98"/>
        <v>0.36154039782763908</v>
      </c>
      <c r="Z104" s="304" t="str">
        <f t="shared" si="67"/>
        <v/>
      </c>
      <c r="AA104" s="305" t="e">
        <f t="shared" si="68"/>
        <v>#N/A</v>
      </c>
      <c r="AB104" s="304">
        <f t="shared" si="69"/>
        <v>0.17928818858792789</v>
      </c>
      <c r="AC104" s="304" t="str">
        <f t="shared" si="99"/>
        <v/>
      </c>
      <c r="AD104" s="306">
        <f t="shared" si="70"/>
        <v>0</v>
      </c>
      <c r="AE104" s="307">
        <f t="shared" si="100"/>
        <v>0.17928818858792789</v>
      </c>
      <c r="AF104" s="308" t="e">
        <f t="shared" si="71"/>
        <v>#N/A</v>
      </c>
      <c r="AG104" s="306">
        <f t="shared" si="101"/>
        <v>51.030657919391928</v>
      </c>
      <c r="AH104" s="306">
        <f t="shared" si="72"/>
        <v>0</v>
      </c>
      <c r="AI104" s="306">
        <f t="shared" si="102"/>
        <v>0</v>
      </c>
      <c r="AJ104" s="306">
        <f t="shared" si="103"/>
        <v>0</v>
      </c>
      <c r="AK104" s="306">
        <f t="shared" si="73"/>
        <v>0</v>
      </c>
      <c r="AL104" s="306">
        <f t="shared" si="104"/>
        <v>0</v>
      </c>
      <c r="AM104" s="306">
        <f t="shared" si="74"/>
        <v>0</v>
      </c>
      <c r="AN104" s="304">
        <f>KcSplint!$N133</f>
        <v>0.52576089795896697</v>
      </c>
      <c r="AO104" s="304" t="str">
        <f t="shared" si="75"/>
        <v/>
      </c>
      <c r="AP104" s="304" t="str">
        <f t="shared" si="105"/>
        <v/>
      </c>
      <c r="AQ104" s="305" t="e">
        <f t="shared" si="106"/>
        <v>#N/A</v>
      </c>
      <c r="AR104" s="304" t="str">
        <f t="shared" si="107"/>
        <v/>
      </c>
      <c r="AS104" s="306">
        <f t="shared" si="76"/>
        <v>0</v>
      </c>
      <c r="AT104" s="307" t="e">
        <f t="shared" si="108"/>
        <v>#N/A</v>
      </c>
      <c r="AU104" s="307" t="e">
        <f t="shared" si="109"/>
        <v>#N/A</v>
      </c>
      <c r="AV104" s="304">
        <f t="shared" si="77"/>
        <v>0.49590084445667348</v>
      </c>
      <c r="AW104" s="309">
        <f t="shared" si="78"/>
        <v>50.120887218030212</v>
      </c>
      <c r="AX104" s="306">
        <f>IF(ISERROR(Weather!M88),#N/A,Weather!M88)</f>
        <v>0</v>
      </c>
      <c r="AY104" s="310">
        <f t="shared" si="79"/>
        <v>79</v>
      </c>
      <c r="AZ104" s="309">
        <f t="shared" si="80"/>
        <v>0.36154039782763908</v>
      </c>
      <c r="BA104" s="309">
        <f t="shared" si="81"/>
        <v>51.030657919391928</v>
      </c>
      <c r="BB104" s="311">
        <f>Irrig!H106</f>
        <v>0</v>
      </c>
      <c r="BC104" s="310">
        <f t="shared" si="82"/>
        <v>0</v>
      </c>
      <c r="BD104" s="309">
        <f t="shared" si="83"/>
        <v>0</v>
      </c>
      <c r="BE104" s="309">
        <f t="shared" si="84"/>
        <v>0</v>
      </c>
      <c r="BF104" s="306">
        <f>DailyMet!H87</f>
        <v>13.17</v>
      </c>
      <c r="BG104" s="306">
        <f>DailyMet!I87</f>
        <v>3.7</v>
      </c>
      <c r="BH104" s="306">
        <f t="shared" si="85"/>
        <v>13.17</v>
      </c>
      <c r="BI104" s="306">
        <f t="shared" si="86"/>
        <v>10</v>
      </c>
      <c r="BJ104" s="306">
        <f t="shared" si="87"/>
        <v>1.5850000000000009</v>
      </c>
      <c r="BK104" s="306">
        <f t="shared" si="88"/>
        <v>0</v>
      </c>
      <c r="BL104" s="304">
        <f t="shared" si="89"/>
        <v>0</v>
      </c>
      <c r="BM104" s="304">
        <f t="shared" si="90"/>
        <v>0.53056494192185855</v>
      </c>
      <c r="BN104" s="304">
        <f t="shared" si="111"/>
        <v>0.53056494192185855</v>
      </c>
      <c r="BO104" s="306">
        <f t="shared" si="112"/>
        <v>0</v>
      </c>
      <c r="BP104" s="306"/>
    </row>
    <row r="105" spans="1:68">
      <c r="A105" s="299">
        <f t="shared" si="57"/>
        <v>0</v>
      </c>
      <c r="B105" s="300">
        <f t="shared" si="58"/>
        <v>38070</v>
      </c>
      <c r="C105" s="301" t="e">
        <f t="shared" si="91"/>
        <v>#N/A</v>
      </c>
      <c r="D105" s="301" t="e">
        <f t="shared" si="59"/>
        <v>#N/A</v>
      </c>
      <c r="E105" s="299">
        <f t="shared" si="60"/>
        <v>84</v>
      </c>
      <c r="F105" s="396">
        <f>Weather!M89</f>
        <v>0</v>
      </c>
      <c r="G105" s="301">
        <f>IF(Weather!C89="","",Weather!C89)</f>
        <v>1.3772273427862851</v>
      </c>
      <c r="H105" s="301">
        <f>IF(Weather!D89="","",Weather!D89)</f>
        <v>1.5357753584385381</v>
      </c>
      <c r="I105" s="502">
        <f>IF(Weather!E89="","",Weather!E89)</f>
        <v>1.5357753584385381</v>
      </c>
      <c r="J105" s="397">
        <f>IF(RnSplint!N133&lt;0,0,RnSplint!N133)</f>
        <v>32.453038019123646</v>
      </c>
      <c r="K105" s="302">
        <f t="shared" si="92"/>
        <v>0</v>
      </c>
      <c r="L105" s="303">
        <f t="shared" si="93"/>
        <v>38070</v>
      </c>
      <c r="M105" s="346" t="str">
        <f t="shared" si="61"/>
        <v/>
      </c>
      <c r="N105" s="304">
        <f t="shared" si="94"/>
        <v>0</v>
      </c>
      <c r="O105" s="304">
        <f t="shared" si="95"/>
        <v>0</v>
      </c>
      <c r="P105" s="304">
        <f t="shared" si="62"/>
        <v>0</v>
      </c>
      <c r="Q105" s="304">
        <f t="shared" si="63"/>
        <v>0.35595353732797685</v>
      </c>
      <c r="R105" s="304">
        <f t="shared" si="64"/>
        <v>0.35595353732797685</v>
      </c>
      <c r="S105" s="305" t="e">
        <f t="shared" si="96"/>
        <v>#N/A</v>
      </c>
      <c r="T105" s="304">
        <f t="shared" si="65"/>
        <v>0</v>
      </c>
      <c r="U105" s="304">
        <f t="shared" si="110"/>
        <v>0</v>
      </c>
      <c r="V105" s="305" t="e">
        <f t="shared" si="66"/>
        <v>#N/A</v>
      </c>
      <c r="W105" s="305" t="e">
        <f t="shared" si="97"/>
        <v>#N/A</v>
      </c>
      <c r="X105" s="304">
        <f t="shared" si="98"/>
        <v>0.35595353732797685</v>
      </c>
      <c r="Z105" s="304" t="str">
        <f t="shared" si="67"/>
        <v/>
      </c>
      <c r="AA105" s="305" t="e">
        <f t="shared" si="68"/>
        <v>#N/A</v>
      </c>
      <c r="AB105" s="304">
        <f t="shared" si="69"/>
        <v>0.54666467137733921</v>
      </c>
      <c r="AC105" s="304" t="str">
        <f t="shared" si="99"/>
        <v/>
      </c>
      <c r="AD105" s="306">
        <f t="shared" si="70"/>
        <v>0</v>
      </c>
      <c r="AE105" s="307">
        <f t="shared" si="100"/>
        <v>0.54666467137733921</v>
      </c>
      <c r="AF105" s="308" t="e">
        <f t="shared" si="71"/>
        <v>#N/A</v>
      </c>
      <c r="AG105" s="306">
        <f t="shared" si="101"/>
        <v>52.566433277830463</v>
      </c>
      <c r="AH105" s="306">
        <f t="shared" si="72"/>
        <v>0</v>
      </c>
      <c r="AI105" s="306">
        <f t="shared" si="102"/>
        <v>0</v>
      </c>
      <c r="AJ105" s="306">
        <f t="shared" si="103"/>
        <v>0</v>
      </c>
      <c r="AK105" s="306">
        <f t="shared" si="73"/>
        <v>0</v>
      </c>
      <c r="AL105" s="306">
        <f t="shared" si="104"/>
        <v>0</v>
      </c>
      <c r="AM105" s="306">
        <f t="shared" si="74"/>
        <v>0</v>
      </c>
      <c r="AN105" s="304">
        <f>KcSplint!$N134</f>
        <v>0.54532806056163852</v>
      </c>
      <c r="AO105" s="304" t="str">
        <f t="shared" si="75"/>
        <v/>
      </c>
      <c r="AP105" s="304" t="str">
        <f t="shared" si="105"/>
        <v/>
      </c>
      <c r="AQ105" s="305" t="e">
        <f t="shared" si="106"/>
        <v>#N/A</v>
      </c>
      <c r="AR105" s="304" t="str">
        <f t="shared" si="107"/>
        <v/>
      </c>
      <c r="AS105" s="306">
        <f t="shared" si="76"/>
        <v>0</v>
      </c>
      <c r="AT105" s="307" t="e">
        <f t="shared" si="108"/>
        <v>#N/A</v>
      </c>
      <c r="AU105" s="307" t="e">
        <f t="shared" si="109"/>
        <v>#N/A</v>
      </c>
      <c r="AV105" s="304">
        <f t="shared" si="77"/>
        <v>1.5357753584385381</v>
      </c>
      <c r="AW105" s="309">
        <f t="shared" si="78"/>
        <v>51.656662576468747</v>
      </c>
      <c r="AX105" s="306">
        <f>IF(ISERROR(Weather!M89),#N/A,Weather!M89)</f>
        <v>0</v>
      </c>
      <c r="AY105" s="310">
        <f t="shared" si="79"/>
        <v>80</v>
      </c>
      <c r="AZ105" s="309">
        <f t="shared" si="80"/>
        <v>0.35595353732797685</v>
      </c>
      <c r="BA105" s="309">
        <f t="shared" si="81"/>
        <v>52.566433277830463</v>
      </c>
      <c r="BB105" s="311">
        <f>Irrig!H107</f>
        <v>0</v>
      </c>
      <c r="BC105" s="310">
        <f t="shared" si="82"/>
        <v>0</v>
      </c>
      <c r="BD105" s="309">
        <f t="shared" si="83"/>
        <v>0</v>
      </c>
      <c r="BE105" s="309">
        <f t="shared" si="84"/>
        <v>0</v>
      </c>
      <c r="BF105" s="306">
        <f>DailyMet!H88</f>
        <v>13.04</v>
      </c>
      <c r="BG105" s="306">
        <f>DailyMet!I88</f>
        <v>4.5999999999999996</v>
      </c>
      <c r="BH105" s="306">
        <f t="shared" si="85"/>
        <v>13.04</v>
      </c>
      <c r="BI105" s="306">
        <f t="shared" si="86"/>
        <v>10</v>
      </c>
      <c r="BJ105" s="306">
        <f t="shared" si="87"/>
        <v>1.5199999999999996</v>
      </c>
      <c r="BK105" s="306">
        <f t="shared" si="88"/>
        <v>0</v>
      </c>
      <c r="BL105" s="304">
        <f t="shared" si="89"/>
        <v>0</v>
      </c>
      <c r="BM105" s="304">
        <f t="shared" si="90"/>
        <v>0.54748815165876752</v>
      </c>
      <c r="BN105" s="304">
        <f t="shared" si="111"/>
        <v>0.54748815165876752</v>
      </c>
      <c r="BO105" s="306">
        <f t="shared" si="112"/>
        <v>0</v>
      </c>
      <c r="BP105" s="306"/>
    </row>
    <row r="106" spans="1:68">
      <c r="A106" s="299">
        <f t="shared" si="57"/>
        <v>0</v>
      </c>
      <c r="B106" s="300">
        <f t="shared" si="58"/>
        <v>38071</v>
      </c>
      <c r="C106" s="301" t="e">
        <f t="shared" si="91"/>
        <v>#N/A</v>
      </c>
      <c r="D106" s="301" t="e">
        <f t="shared" si="59"/>
        <v>#N/A</v>
      </c>
      <c r="E106" s="299">
        <f t="shared" si="60"/>
        <v>85</v>
      </c>
      <c r="F106" s="396">
        <f>Weather!M90</f>
        <v>0</v>
      </c>
      <c r="G106" s="301">
        <f>IF(Weather!C90="","",Weather!C90)</f>
        <v>1.3762526369882051</v>
      </c>
      <c r="H106" s="301">
        <f>IF(Weather!D90="","",Weather!D90)</f>
        <v>1.8042864664435185</v>
      </c>
      <c r="I106" s="502">
        <f>IF(Weather!E90="","",Weather!E90)</f>
        <v>1.8042864664435185</v>
      </c>
      <c r="J106" s="397">
        <f>IF(RnSplint!N134&lt;0,0,RnSplint!N134)</f>
        <v>32.592962385129454</v>
      </c>
      <c r="K106" s="302">
        <f t="shared" si="92"/>
        <v>0</v>
      </c>
      <c r="L106" s="303">
        <f t="shared" si="93"/>
        <v>38071</v>
      </c>
      <c r="M106" s="346" t="str">
        <f t="shared" si="61"/>
        <v/>
      </c>
      <c r="N106" s="304">
        <f t="shared" si="94"/>
        <v>0</v>
      </c>
      <c r="O106" s="304">
        <f t="shared" si="95"/>
        <v>0</v>
      </c>
      <c r="P106" s="304">
        <f t="shared" si="62"/>
        <v>0</v>
      </c>
      <c r="Q106" s="304">
        <f t="shared" si="63"/>
        <v>0.34970318513384113</v>
      </c>
      <c r="R106" s="304">
        <f t="shared" si="64"/>
        <v>0.34970318513384113</v>
      </c>
      <c r="S106" s="305" t="e">
        <f t="shared" si="96"/>
        <v>#N/A</v>
      </c>
      <c r="T106" s="304">
        <f t="shared" si="65"/>
        <v>0</v>
      </c>
      <c r="U106" s="304">
        <f t="shared" si="110"/>
        <v>0</v>
      </c>
      <c r="V106" s="305" t="e">
        <f t="shared" si="66"/>
        <v>#N/A</v>
      </c>
      <c r="W106" s="305" t="e">
        <f t="shared" si="97"/>
        <v>#N/A</v>
      </c>
      <c r="X106" s="304">
        <f t="shared" si="98"/>
        <v>0.34970318513384113</v>
      </c>
      <c r="Z106" s="304" t="str">
        <f t="shared" si="67"/>
        <v/>
      </c>
      <c r="AA106" s="305" t="e">
        <f t="shared" si="68"/>
        <v>#N/A</v>
      </c>
      <c r="AB106" s="304">
        <f t="shared" si="69"/>
        <v>0.63096472420918182</v>
      </c>
      <c r="AC106" s="304" t="str">
        <f t="shared" si="99"/>
        <v/>
      </c>
      <c r="AD106" s="306">
        <f t="shared" si="70"/>
        <v>0</v>
      </c>
      <c r="AE106" s="307">
        <f t="shared" si="100"/>
        <v>0.63096472420918182</v>
      </c>
      <c r="AF106" s="308" t="e">
        <f t="shared" si="71"/>
        <v>#N/A</v>
      </c>
      <c r="AG106" s="306">
        <f t="shared" si="101"/>
        <v>54.370719744273984</v>
      </c>
      <c r="AH106" s="306">
        <f t="shared" si="72"/>
        <v>0</v>
      </c>
      <c r="AI106" s="306">
        <f t="shared" si="102"/>
        <v>0</v>
      </c>
      <c r="AJ106" s="306">
        <f t="shared" si="103"/>
        <v>0</v>
      </c>
      <c r="AK106" s="306">
        <f t="shared" si="73"/>
        <v>0</v>
      </c>
      <c r="AL106" s="306">
        <f t="shared" si="104"/>
        <v>0</v>
      </c>
      <c r="AM106" s="306">
        <f t="shared" si="74"/>
        <v>0</v>
      </c>
      <c r="AN106" s="304">
        <f>KcSplint!$N135</f>
        <v>0.56562918120000316</v>
      </c>
      <c r="AO106" s="304" t="str">
        <f t="shared" si="75"/>
        <v/>
      </c>
      <c r="AP106" s="304" t="str">
        <f t="shared" si="105"/>
        <v/>
      </c>
      <c r="AQ106" s="305" t="e">
        <f t="shared" si="106"/>
        <v>#N/A</v>
      </c>
      <c r="AR106" s="304" t="str">
        <f t="shared" si="107"/>
        <v/>
      </c>
      <c r="AS106" s="306">
        <f t="shared" si="76"/>
        <v>0</v>
      </c>
      <c r="AT106" s="307" t="e">
        <f t="shared" si="108"/>
        <v>#N/A</v>
      </c>
      <c r="AU106" s="307" t="e">
        <f t="shared" si="109"/>
        <v>#N/A</v>
      </c>
      <c r="AV106" s="304">
        <f t="shared" si="77"/>
        <v>1.8042864664435185</v>
      </c>
      <c r="AW106" s="309">
        <f t="shared" si="78"/>
        <v>53.460949042912269</v>
      </c>
      <c r="AX106" s="306">
        <f>IF(ISERROR(Weather!M90),#N/A,Weather!M90)</f>
        <v>0</v>
      </c>
      <c r="AY106" s="310">
        <f t="shared" si="79"/>
        <v>81</v>
      </c>
      <c r="AZ106" s="309">
        <f t="shared" si="80"/>
        <v>0.34970318513384113</v>
      </c>
      <c r="BA106" s="309">
        <f t="shared" si="81"/>
        <v>54.370719744273984</v>
      </c>
      <c r="BB106" s="311">
        <f>Irrig!H108</f>
        <v>0</v>
      </c>
      <c r="BC106" s="310">
        <f t="shared" si="82"/>
        <v>0</v>
      </c>
      <c r="BD106" s="309">
        <f t="shared" si="83"/>
        <v>0</v>
      </c>
      <c r="BE106" s="309">
        <f t="shared" si="84"/>
        <v>0</v>
      </c>
      <c r="BF106" s="306">
        <f>DailyMet!H89</f>
        <v>13.91</v>
      </c>
      <c r="BG106" s="306">
        <f>DailyMet!I89</f>
        <v>5.9</v>
      </c>
      <c r="BH106" s="306">
        <f t="shared" si="85"/>
        <v>13.91</v>
      </c>
      <c r="BI106" s="306">
        <f t="shared" si="86"/>
        <v>10</v>
      </c>
      <c r="BJ106" s="306">
        <f t="shared" si="87"/>
        <v>1.9550000000000001</v>
      </c>
      <c r="BK106" s="306">
        <f t="shared" si="88"/>
        <v>0</v>
      </c>
      <c r="BL106" s="304">
        <f t="shared" si="89"/>
        <v>0</v>
      </c>
      <c r="BM106" s="304">
        <f t="shared" si="90"/>
        <v>0.95431335830212249</v>
      </c>
      <c r="BN106" s="304">
        <f t="shared" si="111"/>
        <v>0.95431335830212249</v>
      </c>
      <c r="BO106" s="306">
        <f t="shared" si="112"/>
        <v>0</v>
      </c>
      <c r="BP106" s="306"/>
    </row>
    <row r="107" spans="1:68">
      <c r="A107" s="299">
        <f t="shared" si="57"/>
        <v>0</v>
      </c>
      <c r="B107" s="300">
        <f t="shared" si="58"/>
        <v>38072</v>
      </c>
      <c r="C107" s="301" t="e">
        <f t="shared" si="91"/>
        <v>#N/A</v>
      </c>
      <c r="D107" s="301" t="e">
        <f t="shared" si="59"/>
        <v>#N/A</v>
      </c>
      <c r="E107" s="299">
        <f t="shared" si="60"/>
        <v>86</v>
      </c>
      <c r="F107" s="396">
        <f>Weather!M91</f>
        <v>0</v>
      </c>
      <c r="G107" s="301">
        <f>IF(Weather!C91="","",Weather!C91)</f>
        <v>1.3743839821559578</v>
      </c>
      <c r="H107" s="301">
        <f>IF(Weather!D91="","",Weather!D91)</f>
        <v>1.0646170170755511</v>
      </c>
      <c r="I107" s="502">
        <f>IF(Weather!E91="","",Weather!E91)</f>
        <v>1.0646170170755511</v>
      </c>
      <c r="J107" s="397">
        <f>IF(RnSplint!N135&lt;0,0,RnSplint!N135)</f>
        <v>32.719377488876262</v>
      </c>
      <c r="K107" s="302">
        <f t="shared" si="92"/>
        <v>0</v>
      </c>
      <c r="L107" s="303">
        <f t="shared" si="93"/>
        <v>38072</v>
      </c>
      <c r="M107" s="346" t="str">
        <f t="shared" si="61"/>
        <v/>
      </c>
      <c r="N107" s="304">
        <f t="shared" si="94"/>
        <v>0</v>
      </c>
      <c r="O107" s="304">
        <f t="shared" si="95"/>
        <v>0</v>
      </c>
      <c r="P107" s="304">
        <f t="shared" si="62"/>
        <v>0</v>
      </c>
      <c r="Q107" s="304">
        <f t="shared" si="63"/>
        <v>0.34616313249733893</v>
      </c>
      <c r="R107" s="304">
        <f t="shared" si="64"/>
        <v>0.34616313249733893</v>
      </c>
      <c r="S107" s="305" t="e">
        <f t="shared" si="96"/>
        <v>#N/A</v>
      </c>
      <c r="T107" s="304">
        <f t="shared" si="65"/>
        <v>0</v>
      </c>
      <c r="U107" s="304">
        <f t="shared" si="110"/>
        <v>0</v>
      </c>
      <c r="V107" s="305" t="e">
        <f t="shared" si="66"/>
        <v>#N/A</v>
      </c>
      <c r="W107" s="305" t="e">
        <f t="shared" si="97"/>
        <v>#N/A</v>
      </c>
      <c r="X107" s="304">
        <f t="shared" si="98"/>
        <v>0.34616313249733893</v>
      </c>
      <c r="Z107" s="304" t="str">
        <f t="shared" si="67"/>
        <v/>
      </c>
      <c r="AA107" s="305" t="e">
        <f t="shared" si="68"/>
        <v>#N/A</v>
      </c>
      <c r="AB107" s="304">
        <f t="shared" si="69"/>
        <v>0.36853116154084575</v>
      </c>
      <c r="AC107" s="304" t="str">
        <f t="shared" si="99"/>
        <v/>
      </c>
      <c r="AD107" s="306">
        <f t="shared" si="70"/>
        <v>0</v>
      </c>
      <c r="AE107" s="307">
        <f t="shared" si="100"/>
        <v>0.36853116154084575</v>
      </c>
      <c r="AF107" s="308" t="e">
        <f t="shared" si="71"/>
        <v>#N/A</v>
      </c>
      <c r="AG107" s="306">
        <f t="shared" si="101"/>
        <v>55.435336761349532</v>
      </c>
      <c r="AH107" s="306">
        <f t="shared" si="72"/>
        <v>0</v>
      </c>
      <c r="AI107" s="306">
        <f t="shared" si="102"/>
        <v>0</v>
      </c>
      <c r="AJ107" s="306">
        <f t="shared" si="103"/>
        <v>0</v>
      </c>
      <c r="AK107" s="306">
        <f t="shared" si="73"/>
        <v>0</v>
      </c>
      <c r="AL107" s="306">
        <f t="shared" si="104"/>
        <v>0</v>
      </c>
      <c r="AM107" s="306">
        <f t="shared" si="74"/>
        <v>0</v>
      </c>
      <c r="AN107" s="304">
        <f>KcSplint!$N136</f>
        <v>0.58653891460725338</v>
      </c>
      <c r="AO107" s="304" t="str">
        <f t="shared" si="75"/>
        <v/>
      </c>
      <c r="AP107" s="304" t="str">
        <f t="shared" si="105"/>
        <v/>
      </c>
      <c r="AQ107" s="305" t="e">
        <f t="shared" si="106"/>
        <v>#N/A</v>
      </c>
      <c r="AR107" s="304" t="str">
        <f t="shared" si="107"/>
        <v/>
      </c>
      <c r="AS107" s="306">
        <f t="shared" si="76"/>
        <v>0</v>
      </c>
      <c r="AT107" s="307" t="e">
        <f t="shared" si="108"/>
        <v>#N/A</v>
      </c>
      <c r="AU107" s="307" t="e">
        <f t="shared" si="109"/>
        <v>#N/A</v>
      </c>
      <c r="AV107" s="304">
        <f t="shared" si="77"/>
        <v>1.0646170170755511</v>
      </c>
      <c r="AW107" s="309">
        <f t="shared" si="78"/>
        <v>54.525566059987817</v>
      </c>
      <c r="AX107" s="306">
        <f>IF(ISERROR(Weather!M91),#N/A,Weather!M91)</f>
        <v>0</v>
      </c>
      <c r="AY107" s="310">
        <f t="shared" si="79"/>
        <v>82</v>
      </c>
      <c r="AZ107" s="309">
        <f t="shared" si="80"/>
        <v>0.34616313249733893</v>
      </c>
      <c r="BA107" s="309">
        <f t="shared" si="81"/>
        <v>55.435336761349532</v>
      </c>
      <c r="BB107" s="311">
        <f>Irrig!H109</f>
        <v>0</v>
      </c>
      <c r="BC107" s="310">
        <f t="shared" si="82"/>
        <v>0</v>
      </c>
      <c r="BD107" s="309">
        <f t="shared" si="83"/>
        <v>0</v>
      </c>
      <c r="BE107" s="309">
        <f t="shared" si="84"/>
        <v>0</v>
      </c>
      <c r="BF107" s="306">
        <f>DailyMet!H90</f>
        <v>14.98</v>
      </c>
      <c r="BG107" s="306">
        <f>DailyMet!I90</f>
        <v>8.6</v>
      </c>
      <c r="BH107" s="306">
        <f t="shared" si="85"/>
        <v>14.98</v>
      </c>
      <c r="BI107" s="306">
        <f t="shared" si="86"/>
        <v>10</v>
      </c>
      <c r="BJ107" s="306">
        <f t="shared" si="87"/>
        <v>2.4900000000000002</v>
      </c>
      <c r="BK107" s="306">
        <f t="shared" si="88"/>
        <v>0</v>
      </c>
      <c r="BL107" s="304">
        <f t="shared" si="89"/>
        <v>0</v>
      </c>
      <c r="BM107" s="304">
        <f t="shared" si="90"/>
        <v>1.9436050156739813</v>
      </c>
      <c r="BN107" s="304">
        <f t="shared" si="111"/>
        <v>1.9436050156739813</v>
      </c>
      <c r="BO107" s="306">
        <f t="shared" si="112"/>
        <v>0</v>
      </c>
      <c r="BP107" s="306"/>
    </row>
    <row r="108" spans="1:68">
      <c r="A108" s="299">
        <f t="shared" si="57"/>
        <v>0</v>
      </c>
      <c r="B108" s="300">
        <f t="shared" si="58"/>
        <v>38073</v>
      </c>
      <c r="C108" s="301" t="e">
        <f t="shared" si="91"/>
        <v>#N/A</v>
      </c>
      <c r="D108" s="301" t="e">
        <f t="shared" si="59"/>
        <v>#N/A</v>
      </c>
      <c r="E108" s="299">
        <f t="shared" si="60"/>
        <v>87</v>
      </c>
      <c r="F108" s="396">
        <f>Weather!M92</f>
        <v>0</v>
      </c>
      <c r="G108" s="301">
        <f>IF(Weather!C92="","",Weather!C92)</f>
        <v>1.3717951112897815</v>
      </c>
      <c r="H108" s="301">
        <f>IF(Weather!D92="","",Weather!D92)</f>
        <v>0.68732022495647926</v>
      </c>
      <c r="I108" s="502">
        <f>IF(Weather!E92="","",Weather!E92)</f>
        <v>0.68732022495647926</v>
      </c>
      <c r="J108" s="397">
        <f>IF(RnSplint!N136&lt;0,0,RnSplint!N136)</f>
        <v>32.831010910778673</v>
      </c>
      <c r="K108" s="302">
        <f t="shared" si="92"/>
        <v>0</v>
      </c>
      <c r="L108" s="303">
        <f t="shared" si="93"/>
        <v>38073</v>
      </c>
      <c r="M108" s="346" t="str">
        <f t="shared" si="61"/>
        <v/>
      </c>
      <c r="N108" s="304">
        <f t="shared" si="94"/>
        <v>0</v>
      </c>
      <c r="O108" s="304">
        <f t="shared" si="95"/>
        <v>0</v>
      </c>
      <c r="P108" s="304">
        <f t="shared" si="62"/>
        <v>0</v>
      </c>
      <c r="Q108" s="304">
        <f t="shared" si="63"/>
        <v>0.34393283062989832</v>
      </c>
      <c r="R108" s="304">
        <f t="shared" si="64"/>
        <v>0.34393283062989832</v>
      </c>
      <c r="S108" s="305" t="e">
        <f t="shared" si="96"/>
        <v>#N/A</v>
      </c>
      <c r="T108" s="304">
        <f t="shared" si="65"/>
        <v>0</v>
      </c>
      <c r="U108" s="304">
        <f t="shared" si="110"/>
        <v>0</v>
      </c>
      <c r="V108" s="305" t="e">
        <f t="shared" si="66"/>
        <v>#N/A</v>
      </c>
      <c r="W108" s="305" t="e">
        <f t="shared" si="97"/>
        <v>#N/A</v>
      </c>
      <c r="X108" s="304">
        <f t="shared" si="98"/>
        <v>0.34393283062989832</v>
      </c>
      <c r="Z108" s="304" t="str">
        <f t="shared" si="67"/>
        <v/>
      </c>
      <c r="AA108" s="305" t="e">
        <f t="shared" si="68"/>
        <v>#N/A</v>
      </c>
      <c r="AB108" s="304">
        <f t="shared" si="69"/>
        <v>0.23639199051846041</v>
      </c>
      <c r="AC108" s="304" t="str">
        <f t="shared" si="99"/>
        <v/>
      </c>
      <c r="AD108" s="306">
        <f t="shared" si="70"/>
        <v>0</v>
      </c>
      <c r="AE108" s="307">
        <f t="shared" si="100"/>
        <v>0.23639199051846041</v>
      </c>
      <c r="AF108" s="308" t="e">
        <f t="shared" si="71"/>
        <v>#N/A</v>
      </c>
      <c r="AG108" s="306">
        <f t="shared" si="101"/>
        <v>56.122656986306012</v>
      </c>
      <c r="AH108" s="306">
        <f t="shared" si="72"/>
        <v>0</v>
      </c>
      <c r="AI108" s="306">
        <f t="shared" si="102"/>
        <v>0</v>
      </c>
      <c r="AJ108" s="306">
        <f t="shared" si="103"/>
        <v>0</v>
      </c>
      <c r="AK108" s="306">
        <f t="shared" si="73"/>
        <v>0</v>
      </c>
      <c r="AL108" s="306">
        <f t="shared" si="104"/>
        <v>0</v>
      </c>
      <c r="AM108" s="306">
        <f t="shared" si="74"/>
        <v>0</v>
      </c>
      <c r="AN108" s="304">
        <f>KcSplint!$N137</f>
        <v>0.60793191551658143</v>
      </c>
      <c r="AO108" s="304" t="str">
        <f t="shared" si="75"/>
        <v/>
      </c>
      <c r="AP108" s="304" t="str">
        <f t="shared" si="105"/>
        <v/>
      </c>
      <c r="AQ108" s="305" t="e">
        <f t="shared" si="106"/>
        <v>#N/A</v>
      </c>
      <c r="AR108" s="304" t="str">
        <f t="shared" si="107"/>
        <v/>
      </c>
      <c r="AS108" s="306">
        <f t="shared" si="76"/>
        <v>0</v>
      </c>
      <c r="AT108" s="307" t="e">
        <f t="shared" si="108"/>
        <v>#N/A</v>
      </c>
      <c r="AU108" s="307" t="e">
        <f t="shared" si="109"/>
        <v>#N/A</v>
      </c>
      <c r="AV108" s="304">
        <f t="shared" si="77"/>
        <v>0.68732022495647926</v>
      </c>
      <c r="AW108" s="309">
        <f t="shared" si="78"/>
        <v>55.212886284944297</v>
      </c>
      <c r="AX108" s="306">
        <f>IF(ISERROR(Weather!M92),#N/A,Weather!M92)</f>
        <v>0</v>
      </c>
      <c r="AY108" s="310">
        <f t="shared" si="79"/>
        <v>83</v>
      </c>
      <c r="AZ108" s="309">
        <f t="shared" si="80"/>
        <v>0.34393283062989832</v>
      </c>
      <c r="BA108" s="309">
        <f t="shared" si="81"/>
        <v>56.122656986306012</v>
      </c>
      <c r="BB108" s="311">
        <f>Irrig!H110</f>
        <v>0</v>
      </c>
      <c r="BC108" s="310">
        <f t="shared" si="82"/>
        <v>0</v>
      </c>
      <c r="BD108" s="309">
        <f t="shared" si="83"/>
        <v>0</v>
      </c>
      <c r="BE108" s="309">
        <f t="shared" si="84"/>
        <v>0</v>
      </c>
      <c r="BF108" s="306">
        <f>DailyMet!H91</f>
        <v>14.03</v>
      </c>
      <c r="BG108" s="306">
        <f>DailyMet!I91</f>
        <v>3.3</v>
      </c>
      <c r="BH108" s="306">
        <f t="shared" si="85"/>
        <v>14.03</v>
      </c>
      <c r="BI108" s="306">
        <f t="shared" si="86"/>
        <v>10</v>
      </c>
      <c r="BJ108" s="306">
        <f t="shared" si="87"/>
        <v>2.0150000000000006</v>
      </c>
      <c r="BK108" s="306">
        <f t="shared" si="88"/>
        <v>0</v>
      </c>
      <c r="BL108" s="304">
        <f t="shared" si="89"/>
        <v>0</v>
      </c>
      <c r="BM108" s="304">
        <f t="shared" si="90"/>
        <v>0.75679869524697085</v>
      </c>
      <c r="BN108" s="304">
        <f t="shared" si="111"/>
        <v>0.75679869524697085</v>
      </c>
      <c r="BO108" s="306">
        <f t="shared" si="112"/>
        <v>0</v>
      </c>
      <c r="BP108" s="306"/>
    </row>
    <row r="109" spans="1:68">
      <c r="A109" s="299">
        <f t="shared" si="57"/>
        <v>0</v>
      </c>
      <c r="B109" s="300">
        <f t="shared" si="58"/>
        <v>38074</v>
      </c>
      <c r="C109" s="301" t="e">
        <f t="shared" si="91"/>
        <v>#N/A</v>
      </c>
      <c r="D109" s="301" t="e">
        <f t="shared" si="59"/>
        <v>#N/A</v>
      </c>
      <c r="E109" s="299">
        <f t="shared" si="60"/>
        <v>88</v>
      </c>
      <c r="F109" s="396">
        <f>Weather!M93</f>
        <v>0</v>
      </c>
      <c r="G109" s="301">
        <f>IF(Weather!C93="","",Weather!C93)</f>
        <v>1.3686597573899133</v>
      </c>
      <c r="H109" s="301">
        <f>IF(Weather!D93="","",Weather!D93)</f>
        <v>2.3931185072781882</v>
      </c>
      <c r="I109" s="502">
        <f>IF(Weather!E93="","",Weather!E93)</f>
        <v>2.3931185072781882</v>
      </c>
      <c r="J109" s="397">
        <f>IF(RnSplint!N137&lt;0,0,RnSplint!N137)</f>
        <v>32.926590231251289</v>
      </c>
      <c r="K109" s="302">
        <f t="shared" si="92"/>
        <v>0</v>
      </c>
      <c r="L109" s="303">
        <f t="shared" si="93"/>
        <v>38074</v>
      </c>
      <c r="M109" s="346" t="str">
        <f t="shared" si="61"/>
        <v/>
      </c>
      <c r="N109" s="304">
        <f t="shared" si="94"/>
        <v>0</v>
      </c>
      <c r="O109" s="304">
        <f t="shared" si="95"/>
        <v>0</v>
      </c>
      <c r="P109" s="304">
        <f t="shared" si="62"/>
        <v>0</v>
      </c>
      <c r="Q109" s="304">
        <f t="shared" si="63"/>
        <v>0.33648456272740557</v>
      </c>
      <c r="R109" s="304">
        <f t="shared" si="64"/>
        <v>0.33648456272740557</v>
      </c>
      <c r="S109" s="305" t="e">
        <f t="shared" si="96"/>
        <v>#N/A</v>
      </c>
      <c r="T109" s="304">
        <f t="shared" si="65"/>
        <v>0</v>
      </c>
      <c r="U109" s="304">
        <f t="shared" si="110"/>
        <v>0</v>
      </c>
      <c r="V109" s="305" t="e">
        <f t="shared" si="66"/>
        <v>#N/A</v>
      </c>
      <c r="W109" s="305" t="e">
        <f t="shared" si="97"/>
        <v>#N/A</v>
      </c>
      <c r="X109" s="304">
        <f t="shared" si="98"/>
        <v>0.33648456272740557</v>
      </c>
      <c r="Z109" s="304" t="str">
        <f t="shared" si="67"/>
        <v/>
      </c>
      <c r="AA109" s="305" t="e">
        <f t="shared" si="68"/>
        <v>#N/A</v>
      </c>
      <c r="AB109" s="304">
        <f t="shared" si="69"/>
        <v>0.80524743447636271</v>
      </c>
      <c r="AC109" s="304" t="str">
        <f t="shared" si="99"/>
        <v/>
      </c>
      <c r="AD109" s="306">
        <f t="shared" si="70"/>
        <v>0</v>
      </c>
      <c r="AE109" s="307">
        <f t="shared" si="100"/>
        <v>0.80524743447636271</v>
      </c>
      <c r="AF109" s="308" t="e">
        <f t="shared" si="71"/>
        <v>#N/A</v>
      </c>
      <c r="AG109" s="306">
        <f t="shared" si="101"/>
        <v>58.515775493584201</v>
      </c>
      <c r="AH109" s="306">
        <f t="shared" si="72"/>
        <v>0</v>
      </c>
      <c r="AI109" s="306">
        <f t="shared" si="102"/>
        <v>0</v>
      </c>
      <c r="AJ109" s="306">
        <f t="shared" si="103"/>
        <v>0</v>
      </c>
      <c r="AK109" s="306">
        <f t="shared" si="73"/>
        <v>0</v>
      </c>
      <c r="AL109" s="306">
        <f t="shared" si="104"/>
        <v>0</v>
      </c>
      <c r="AM109" s="306">
        <f t="shared" si="74"/>
        <v>0</v>
      </c>
      <c r="AN109" s="304">
        <f>KcSplint!$N138</f>
        <v>0.6296828386611798</v>
      </c>
      <c r="AO109" s="304" t="str">
        <f t="shared" si="75"/>
        <v/>
      </c>
      <c r="AP109" s="304" t="str">
        <f t="shared" si="105"/>
        <v/>
      </c>
      <c r="AQ109" s="305" t="e">
        <f t="shared" si="106"/>
        <v>#N/A</v>
      </c>
      <c r="AR109" s="304" t="str">
        <f t="shared" si="107"/>
        <v/>
      </c>
      <c r="AS109" s="306">
        <f t="shared" si="76"/>
        <v>0</v>
      </c>
      <c r="AT109" s="307" t="e">
        <f t="shared" si="108"/>
        <v>#N/A</v>
      </c>
      <c r="AU109" s="307" t="e">
        <f t="shared" si="109"/>
        <v>#N/A</v>
      </c>
      <c r="AV109" s="304">
        <f t="shared" si="77"/>
        <v>2.3931185072781882</v>
      </c>
      <c r="AW109" s="309">
        <f t="shared" si="78"/>
        <v>57.606004792222485</v>
      </c>
      <c r="AX109" s="306">
        <f>IF(ISERROR(Weather!M93),#N/A,Weather!M93)</f>
        <v>0</v>
      </c>
      <c r="AY109" s="310">
        <f t="shared" si="79"/>
        <v>84</v>
      </c>
      <c r="AZ109" s="309">
        <f t="shared" si="80"/>
        <v>0.33648456272740557</v>
      </c>
      <c r="BA109" s="309">
        <f t="shared" si="81"/>
        <v>58.515775493584201</v>
      </c>
      <c r="BB109" s="311">
        <f>Irrig!H111</f>
        <v>0</v>
      </c>
      <c r="BC109" s="310">
        <f t="shared" si="82"/>
        <v>0</v>
      </c>
      <c r="BD109" s="309">
        <f t="shared" si="83"/>
        <v>0</v>
      </c>
      <c r="BE109" s="309">
        <f t="shared" si="84"/>
        <v>0</v>
      </c>
      <c r="BF109" s="306">
        <f>DailyMet!H92</f>
        <v>15.86</v>
      </c>
      <c r="BG109" s="306">
        <f>DailyMet!I92</f>
        <v>6.5</v>
      </c>
      <c r="BH109" s="306">
        <f t="shared" si="85"/>
        <v>15.86</v>
      </c>
      <c r="BI109" s="306">
        <f t="shared" si="86"/>
        <v>10</v>
      </c>
      <c r="BJ109" s="306">
        <f t="shared" si="87"/>
        <v>2.9299999999999997</v>
      </c>
      <c r="BK109" s="306">
        <f t="shared" si="88"/>
        <v>0</v>
      </c>
      <c r="BL109" s="304">
        <f t="shared" si="89"/>
        <v>0</v>
      </c>
      <c r="BM109" s="304">
        <f t="shared" si="90"/>
        <v>1.8343803418803415</v>
      </c>
      <c r="BN109" s="304">
        <f t="shared" si="111"/>
        <v>1.8343803418803415</v>
      </c>
      <c r="BO109" s="306">
        <f t="shared" si="112"/>
        <v>0</v>
      </c>
      <c r="BP109" s="306"/>
    </row>
    <row r="110" spans="1:68">
      <c r="A110" s="299">
        <f t="shared" si="57"/>
        <v>0</v>
      </c>
      <c r="B110" s="300">
        <f t="shared" si="58"/>
        <v>38075</v>
      </c>
      <c r="C110" s="301" t="e">
        <f t="shared" si="91"/>
        <v>#N/A</v>
      </c>
      <c r="D110" s="301" t="e">
        <f t="shared" si="59"/>
        <v>#N/A</v>
      </c>
      <c r="E110" s="299">
        <f t="shared" si="60"/>
        <v>89</v>
      </c>
      <c r="F110" s="396">
        <f>Weather!M94</f>
        <v>0</v>
      </c>
      <c r="G110" s="301">
        <f>IF(Weather!C94="","",Weather!C94)</f>
        <v>1.3651516534565904</v>
      </c>
      <c r="H110" s="301">
        <f>IF(Weather!D94="","",Weather!D94)</f>
        <v>2.1526092770776621</v>
      </c>
      <c r="I110" s="502">
        <f>IF(Weather!E94="","",Weather!E94)</f>
        <v>2.1526092770776621</v>
      </c>
      <c r="J110" s="397">
        <f>IF(RnSplint!N138&lt;0,0,RnSplint!N138)</f>
        <v>33.004843030708727</v>
      </c>
      <c r="K110" s="302">
        <f t="shared" si="92"/>
        <v>0</v>
      </c>
      <c r="L110" s="303">
        <f t="shared" si="93"/>
        <v>38075</v>
      </c>
      <c r="M110" s="346" t="str">
        <f t="shared" si="61"/>
        <v/>
      </c>
      <c r="N110" s="304">
        <f t="shared" si="94"/>
        <v>0</v>
      </c>
      <c r="O110" s="304">
        <f t="shared" si="95"/>
        <v>0</v>
      </c>
      <c r="P110" s="304">
        <f t="shared" si="62"/>
        <v>0</v>
      </c>
      <c r="Q110" s="304">
        <f t="shared" si="63"/>
        <v>0.33017473655752538</v>
      </c>
      <c r="R110" s="304">
        <f t="shared" si="64"/>
        <v>0.33017473655752538</v>
      </c>
      <c r="S110" s="305" t="e">
        <f t="shared" si="96"/>
        <v>#N/A</v>
      </c>
      <c r="T110" s="304">
        <f t="shared" si="65"/>
        <v>0</v>
      </c>
      <c r="U110" s="304">
        <f t="shared" si="110"/>
        <v>0</v>
      </c>
      <c r="V110" s="305" t="e">
        <f t="shared" si="66"/>
        <v>#N/A</v>
      </c>
      <c r="W110" s="305" t="e">
        <f t="shared" si="97"/>
        <v>#N/A</v>
      </c>
      <c r="X110" s="304">
        <f t="shared" si="98"/>
        <v>0.33017473655752538</v>
      </c>
      <c r="Z110" s="304" t="str">
        <f t="shared" si="67"/>
        <v/>
      </c>
      <c r="AA110" s="305" t="e">
        <f t="shared" si="68"/>
        <v>#N/A</v>
      </c>
      <c r="AB110" s="304">
        <f t="shared" si="69"/>
        <v>0.71073720097040227</v>
      </c>
      <c r="AC110" s="304" t="str">
        <f t="shared" si="99"/>
        <v/>
      </c>
      <c r="AD110" s="306">
        <f t="shared" si="70"/>
        <v>0</v>
      </c>
      <c r="AE110" s="307">
        <f t="shared" si="100"/>
        <v>0.71073720097040227</v>
      </c>
      <c r="AF110" s="308" t="e">
        <f t="shared" si="71"/>
        <v>#N/A</v>
      </c>
      <c r="AG110" s="306">
        <f t="shared" si="101"/>
        <v>60.668384770661859</v>
      </c>
      <c r="AH110" s="306">
        <f t="shared" si="72"/>
        <v>0</v>
      </c>
      <c r="AI110" s="306">
        <f t="shared" si="102"/>
        <v>0</v>
      </c>
      <c r="AJ110" s="306">
        <f t="shared" si="103"/>
        <v>0</v>
      </c>
      <c r="AK110" s="306">
        <f t="shared" si="73"/>
        <v>0</v>
      </c>
      <c r="AL110" s="306">
        <f t="shared" si="104"/>
        <v>0</v>
      </c>
      <c r="AM110" s="306">
        <f t="shared" si="74"/>
        <v>0</v>
      </c>
      <c r="AN110" s="304">
        <f>KcSplint!$N139</f>
        <v>0.65166633877424074</v>
      </c>
      <c r="AO110" s="304" t="str">
        <f t="shared" si="75"/>
        <v/>
      </c>
      <c r="AP110" s="304" t="str">
        <f t="shared" si="105"/>
        <v/>
      </c>
      <c r="AQ110" s="305" t="e">
        <f t="shared" si="106"/>
        <v>#N/A</v>
      </c>
      <c r="AR110" s="304" t="str">
        <f t="shared" si="107"/>
        <v/>
      </c>
      <c r="AS110" s="306">
        <f t="shared" si="76"/>
        <v>0</v>
      </c>
      <c r="AT110" s="307" t="e">
        <f t="shared" si="108"/>
        <v>#N/A</v>
      </c>
      <c r="AU110" s="307" t="e">
        <f t="shared" si="109"/>
        <v>#N/A</v>
      </c>
      <c r="AV110" s="304">
        <f t="shared" si="77"/>
        <v>2.1526092770776621</v>
      </c>
      <c r="AW110" s="309">
        <f t="shared" si="78"/>
        <v>59.758614069300151</v>
      </c>
      <c r="AX110" s="306">
        <f>IF(ISERROR(Weather!M94),#N/A,Weather!M94)</f>
        <v>0</v>
      </c>
      <c r="AY110" s="310">
        <f t="shared" si="79"/>
        <v>85</v>
      </c>
      <c r="AZ110" s="309">
        <f t="shared" si="80"/>
        <v>0.33017473655752538</v>
      </c>
      <c r="BA110" s="309">
        <f t="shared" si="81"/>
        <v>60.668384770661859</v>
      </c>
      <c r="BB110" s="311">
        <f>Irrig!H112</f>
        <v>0</v>
      </c>
      <c r="BC110" s="310">
        <f t="shared" si="82"/>
        <v>0</v>
      </c>
      <c r="BD110" s="309">
        <f t="shared" si="83"/>
        <v>0</v>
      </c>
      <c r="BE110" s="309">
        <f t="shared" si="84"/>
        <v>0</v>
      </c>
      <c r="BF110" s="306">
        <f>DailyMet!H93</f>
        <v>17.48</v>
      </c>
      <c r="BG110" s="306">
        <f>DailyMet!I93</f>
        <v>6</v>
      </c>
      <c r="BH110" s="306">
        <f t="shared" si="85"/>
        <v>17.48</v>
      </c>
      <c r="BI110" s="306">
        <f t="shared" si="86"/>
        <v>10</v>
      </c>
      <c r="BJ110" s="306">
        <f t="shared" si="87"/>
        <v>3.74</v>
      </c>
      <c r="BK110" s="306">
        <f t="shared" si="88"/>
        <v>0</v>
      </c>
      <c r="BL110" s="304">
        <f t="shared" si="89"/>
        <v>0</v>
      </c>
      <c r="BM110" s="304">
        <f t="shared" si="90"/>
        <v>2.4368641114982581</v>
      </c>
      <c r="BN110" s="304">
        <f t="shared" si="111"/>
        <v>2.4368641114982581</v>
      </c>
      <c r="BO110" s="306">
        <f t="shared" si="112"/>
        <v>0</v>
      </c>
      <c r="BP110" s="306"/>
    </row>
    <row r="111" spans="1:68">
      <c r="A111" s="299">
        <f t="shared" si="57"/>
        <v>0</v>
      </c>
      <c r="B111" s="300">
        <f t="shared" si="58"/>
        <v>38076</v>
      </c>
      <c r="C111" s="301" t="e">
        <f t="shared" si="91"/>
        <v>#N/A</v>
      </c>
      <c r="D111" s="301" t="e">
        <f t="shared" si="59"/>
        <v>#N/A</v>
      </c>
      <c r="E111" s="299">
        <f t="shared" si="60"/>
        <v>90</v>
      </c>
      <c r="F111" s="396">
        <f>Weather!M95</f>
        <v>0</v>
      </c>
      <c r="G111" s="301">
        <f>IF(Weather!C95="","",Weather!C95)</f>
        <v>1.3614445324900508</v>
      </c>
      <c r="H111" s="301">
        <f>IF(Weather!D95="","",Weather!D95)</f>
        <v>2.5106888403813876</v>
      </c>
      <c r="I111" s="502">
        <f>IF(Weather!E95="","",Weather!E95)</f>
        <v>2.5106888403813876</v>
      </c>
      <c r="J111" s="397">
        <f>IF(RnSplint!N139&lt;0,0,RnSplint!N139)</f>
        <v>33.064496889565589</v>
      </c>
      <c r="K111" s="302">
        <f t="shared" si="92"/>
        <v>0</v>
      </c>
      <c r="L111" s="303">
        <f t="shared" si="93"/>
        <v>38076</v>
      </c>
      <c r="M111" s="346" t="str">
        <f t="shared" si="61"/>
        <v/>
      </c>
      <c r="N111" s="304">
        <f t="shared" si="94"/>
        <v>0</v>
      </c>
      <c r="O111" s="304">
        <f t="shared" si="95"/>
        <v>0</v>
      </c>
      <c r="P111" s="304">
        <f t="shared" si="62"/>
        <v>0</v>
      </c>
      <c r="Q111" s="304">
        <f t="shared" si="63"/>
        <v>0.32323703960548683</v>
      </c>
      <c r="R111" s="304">
        <f t="shared" si="64"/>
        <v>0.32323703960548683</v>
      </c>
      <c r="S111" s="305" t="e">
        <f t="shared" si="96"/>
        <v>#N/A</v>
      </c>
      <c r="T111" s="304">
        <f t="shared" si="65"/>
        <v>0</v>
      </c>
      <c r="U111" s="304">
        <f t="shared" si="110"/>
        <v>0</v>
      </c>
      <c r="V111" s="305" t="e">
        <f t="shared" si="66"/>
        <v>#N/A</v>
      </c>
      <c r="W111" s="305" t="e">
        <f t="shared" si="97"/>
        <v>#N/A</v>
      </c>
      <c r="X111" s="304">
        <f t="shared" si="98"/>
        <v>0.32323703960548683</v>
      </c>
      <c r="Y111" s="304">
        <f>AVERAGE(X81:X111)</f>
        <v>0.41821259540922517</v>
      </c>
      <c r="Z111" s="304" t="str">
        <f t="shared" si="67"/>
        <v/>
      </c>
      <c r="AA111" s="305" t="e">
        <f t="shared" si="68"/>
        <v>#N/A</v>
      </c>
      <c r="AB111" s="304">
        <f t="shared" si="69"/>
        <v>0.81154762813541237</v>
      </c>
      <c r="AC111" s="304" t="str">
        <f t="shared" si="99"/>
        <v/>
      </c>
      <c r="AD111" s="306">
        <f t="shared" si="70"/>
        <v>0</v>
      </c>
      <c r="AE111" s="307">
        <f t="shared" si="100"/>
        <v>0.81154762813541237</v>
      </c>
      <c r="AF111" s="308" t="e">
        <f t="shared" si="71"/>
        <v>#N/A</v>
      </c>
      <c r="AG111" s="306">
        <f t="shared" si="101"/>
        <v>63.17907361104325</v>
      </c>
      <c r="AH111" s="306">
        <f t="shared" si="72"/>
        <v>0</v>
      </c>
      <c r="AI111" s="306">
        <f t="shared" si="102"/>
        <v>0</v>
      </c>
      <c r="AJ111" s="306">
        <f t="shared" si="103"/>
        <v>0</v>
      </c>
      <c r="AK111" s="306">
        <f t="shared" si="73"/>
        <v>0</v>
      </c>
      <c r="AL111" s="306">
        <f t="shared" si="104"/>
        <v>0</v>
      </c>
      <c r="AM111" s="306">
        <f t="shared" si="74"/>
        <v>0</v>
      </c>
      <c r="AN111" s="304">
        <f>KcSplint!$N140</f>
        <v>0.67375707058895695</v>
      </c>
      <c r="AO111" s="304" t="str">
        <f t="shared" si="75"/>
        <v/>
      </c>
      <c r="AP111" s="304" t="str">
        <f t="shared" si="105"/>
        <v/>
      </c>
      <c r="AQ111" s="305" t="e">
        <f t="shared" si="106"/>
        <v>#N/A</v>
      </c>
      <c r="AR111" s="304" t="str">
        <f t="shared" si="107"/>
        <v/>
      </c>
      <c r="AS111" s="306">
        <f t="shared" si="76"/>
        <v>0</v>
      </c>
      <c r="AT111" s="307" t="e">
        <f t="shared" si="108"/>
        <v>#N/A</v>
      </c>
      <c r="AU111" s="307" t="e">
        <f t="shared" si="109"/>
        <v>#N/A</v>
      </c>
      <c r="AV111" s="304">
        <f t="shared" si="77"/>
        <v>2.5106888403813876</v>
      </c>
      <c r="AW111" s="309">
        <f t="shared" si="78"/>
        <v>62.269302909681542</v>
      </c>
      <c r="AX111" s="306">
        <f>IF(ISERROR(Weather!M95),#N/A,Weather!M95)</f>
        <v>0</v>
      </c>
      <c r="AY111" s="310">
        <f t="shared" si="79"/>
        <v>86</v>
      </c>
      <c r="AZ111" s="309">
        <f t="shared" si="80"/>
        <v>0.32323703960548683</v>
      </c>
      <c r="BA111" s="309">
        <f t="shared" si="81"/>
        <v>63.17907361104325</v>
      </c>
      <c r="BB111" s="311">
        <f>Irrig!H113</f>
        <v>0</v>
      </c>
      <c r="BC111" s="310">
        <f t="shared" si="82"/>
        <v>0</v>
      </c>
      <c r="BD111" s="309">
        <f t="shared" si="83"/>
        <v>0</v>
      </c>
      <c r="BE111" s="309">
        <f t="shared" si="84"/>
        <v>0</v>
      </c>
      <c r="BF111" s="306">
        <f>DailyMet!H94</f>
        <v>18.34</v>
      </c>
      <c r="BG111" s="306">
        <f>DailyMet!I94</f>
        <v>11</v>
      </c>
      <c r="BH111" s="306">
        <f t="shared" si="85"/>
        <v>18.34</v>
      </c>
      <c r="BI111" s="306">
        <f t="shared" si="86"/>
        <v>11</v>
      </c>
      <c r="BJ111" s="306">
        <f t="shared" si="87"/>
        <v>4.67</v>
      </c>
      <c r="BK111" s="306">
        <f t="shared" si="88"/>
        <v>0</v>
      </c>
      <c r="BL111" s="304">
        <f t="shared" si="89"/>
        <v>0</v>
      </c>
      <c r="BM111" s="304">
        <f t="shared" si="90"/>
        <v>4.67</v>
      </c>
      <c r="BN111" s="304">
        <f t="shared" si="111"/>
        <v>4.67</v>
      </c>
      <c r="BO111" s="306">
        <f t="shared" si="112"/>
        <v>0</v>
      </c>
      <c r="BP111" s="306"/>
    </row>
    <row r="112" spans="1:68">
      <c r="A112" s="299">
        <f t="shared" si="57"/>
        <v>0</v>
      </c>
      <c r="B112" s="300">
        <f t="shared" si="58"/>
        <v>38077</v>
      </c>
      <c r="C112" s="301" t="e">
        <f t="shared" si="91"/>
        <v>#N/A</v>
      </c>
      <c r="D112" s="301" t="e">
        <f t="shared" si="59"/>
        <v>#N/A</v>
      </c>
      <c r="E112" s="299">
        <f t="shared" si="60"/>
        <v>91</v>
      </c>
      <c r="F112" s="396">
        <f>Weather!M96</f>
        <v>0</v>
      </c>
      <c r="G112" s="301">
        <f>IF(Weather!C96="","",Weather!C96)</f>
        <v>1.3577121274905322</v>
      </c>
      <c r="H112" s="301">
        <f>IF(Weather!D96="","",Weather!D96)</f>
        <v>0.93869359143232689</v>
      </c>
      <c r="I112" s="502">
        <f>IF(Weather!E96="","",Weather!E96)</f>
        <v>0.93869359143232689</v>
      </c>
      <c r="J112" s="397">
        <f>IF(RnSplint!N140&lt;0,0,RnSplint!N140)</f>
        <v>33.104279388236492</v>
      </c>
      <c r="K112" s="302">
        <f t="shared" si="92"/>
        <v>0</v>
      </c>
      <c r="L112" s="303">
        <f t="shared" si="93"/>
        <v>38077</v>
      </c>
      <c r="M112" s="346">
        <f t="shared" si="61"/>
        <v>3</v>
      </c>
      <c r="N112" s="304">
        <f t="shared" si="94"/>
        <v>0</v>
      </c>
      <c r="O112" s="304">
        <f t="shared" si="95"/>
        <v>0</v>
      </c>
      <c r="P112" s="304">
        <f t="shared" si="62"/>
        <v>0</v>
      </c>
      <c r="Q112" s="304">
        <f t="shared" si="63"/>
        <v>0.32075109069551705</v>
      </c>
      <c r="R112" s="304">
        <f t="shared" si="64"/>
        <v>0.32075109069551705</v>
      </c>
      <c r="S112" s="305" t="e">
        <f t="shared" si="96"/>
        <v>#N/A</v>
      </c>
      <c r="T112" s="304">
        <f t="shared" si="65"/>
        <v>0</v>
      </c>
      <c r="U112" s="304">
        <f t="shared" si="110"/>
        <v>0</v>
      </c>
      <c r="V112" s="305" t="e">
        <f t="shared" si="66"/>
        <v>#N/A</v>
      </c>
      <c r="W112" s="305" t="e">
        <f t="shared" si="97"/>
        <v>#N/A</v>
      </c>
      <c r="X112" s="304">
        <f t="shared" si="98"/>
        <v>0.32075109069551705</v>
      </c>
      <c r="Y112" s="304">
        <f>AVERAGE(X82:X112)</f>
        <v>0.41068751843946011</v>
      </c>
      <c r="Z112" s="304" t="str">
        <f t="shared" si="67"/>
        <v/>
      </c>
      <c r="AA112" s="305" t="e">
        <f t="shared" si="68"/>
        <v>#N/A</v>
      </c>
      <c r="AB112" s="304">
        <f t="shared" si="69"/>
        <v>0.3010869932808109</v>
      </c>
      <c r="AC112" s="304" t="str">
        <f t="shared" si="99"/>
        <v/>
      </c>
      <c r="AD112" s="306">
        <f t="shared" si="70"/>
        <v>0</v>
      </c>
      <c r="AE112" s="307">
        <f t="shared" si="100"/>
        <v>0.3010869932808109</v>
      </c>
      <c r="AF112" s="308" t="e">
        <f t="shared" si="71"/>
        <v>#N/A</v>
      </c>
      <c r="AG112" s="306">
        <f t="shared" si="101"/>
        <v>64.117767202475576</v>
      </c>
      <c r="AH112" s="306">
        <f t="shared" si="72"/>
        <v>0</v>
      </c>
      <c r="AI112" s="306">
        <f t="shared" si="102"/>
        <v>0</v>
      </c>
      <c r="AJ112" s="306">
        <f t="shared" si="103"/>
        <v>0</v>
      </c>
      <c r="AK112" s="306">
        <f t="shared" si="73"/>
        <v>0</v>
      </c>
      <c r="AL112" s="306">
        <f t="shared" si="104"/>
        <v>0</v>
      </c>
      <c r="AM112" s="306">
        <f t="shared" si="74"/>
        <v>0</v>
      </c>
      <c r="AN112" s="304">
        <f>KcSplint!$N141</f>
        <v>0.69582968883852048</v>
      </c>
      <c r="AO112" s="304" t="str">
        <f t="shared" si="75"/>
        <v/>
      </c>
      <c r="AP112" s="304" t="str">
        <f t="shared" si="105"/>
        <v/>
      </c>
      <c r="AQ112" s="305" t="e">
        <f t="shared" si="106"/>
        <v>#N/A</v>
      </c>
      <c r="AR112" s="304" t="str">
        <f t="shared" si="107"/>
        <v/>
      </c>
      <c r="AS112" s="306">
        <f t="shared" si="76"/>
        <v>0</v>
      </c>
      <c r="AT112" s="307" t="e">
        <f t="shared" si="108"/>
        <v>#N/A</v>
      </c>
      <c r="AU112" s="307" t="e">
        <f t="shared" si="109"/>
        <v>#N/A</v>
      </c>
      <c r="AV112" s="304">
        <f t="shared" si="77"/>
        <v>0.93869359143232689</v>
      </c>
      <c r="AW112" s="309">
        <f t="shared" si="78"/>
        <v>63.207996501113868</v>
      </c>
      <c r="AX112" s="306">
        <f>IF(ISERROR(Weather!M96),#N/A,Weather!M96)</f>
        <v>0</v>
      </c>
      <c r="AY112" s="310">
        <f t="shared" si="79"/>
        <v>87</v>
      </c>
      <c r="AZ112" s="309">
        <f t="shared" si="80"/>
        <v>0.32075109069551705</v>
      </c>
      <c r="BA112" s="309">
        <f t="shared" si="81"/>
        <v>64.117767202475576</v>
      </c>
      <c r="BB112" s="311">
        <f>Irrig!H114</f>
        <v>0</v>
      </c>
      <c r="BC112" s="310">
        <f t="shared" si="82"/>
        <v>0</v>
      </c>
      <c r="BD112" s="309">
        <f t="shared" si="83"/>
        <v>0</v>
      </c>
      <c r="BE112" s="309">
        <f t="shared" si="84"/>
        <v>0</v>
      </c>
      <c r="BF112" s="306">
        <f>DailyMet!H95</f>
        <v>15.09</v>
      </c>
      <c r="BG112" s="306">
        <f>DailyMet!I95</f>
        <v>6.6</v>
      </c>
      <c r="BH112" s="306">
        <f t="shared" si="85"/>
        <v>15.09</v>
      </c>
      <c r="BI112" s="306">
        <f t="shared" si="86"/>
        <v>10</v>
      </c>
      <c r="BJ112" s="306">
        <f t="shared" si="87"/>
        <v>2.5449999999999999</v>
      </c>
      <c r="BK112" s="306">
        <f t="shared" si="88"/>
        <v>0</v>
      </c>
      <c r="BL112" s="304">
        <f t="shared" si="89"/>
        <v>0</v>
      </c>
      <c r="BM112" s="304">
        <f t="shared" si="90"/>
        <v>1.5258009422850409</v>
      </c>
      <c r="BN112" s="304">
        <f t="shared" si="111"/>
        <v>1.5258009422850409</v>
      </c>
      <c r="BO112" s="306">
        <f t="shared" si="112"/>
        <v>0</v>
      </c>
      <c r="BP112" s="306"/>
    </row>
    <row r="113" spans="1:68">
      <c r="A113" s="299">
        <f t="shared" si="57"/>
        <v>0</v>
      </c>
      <c r="B113" s="300">
        <f t="shared" si="58"/>
        <v>38078</v>
      </c>
      <c r="C113" s="301" t="e">
        <f t="shared" si="91"/>
        <v>#N/A</v>
      </c>
      <c r="D113" s="301" t="e">
        <f t="shared" si="59"/>
        <v>#N/A</v>
      </c>
      <c r="E113" s="299">
        <f t="shared" si="60"/>
        <v>92</v>
      </c>
      <c r="F113" s="396">
        <f>Weather!M97</f>
        <v>0</v>
      </c>
      <c r="G113" s="301">
        <f>IF(Weather!C97="","",Weather!C97)</f>
        <v>1.3541281714582716</v>
      </c>
      <c r="H113" s="301">
        <f>IF(Weather!D97="","",Weather!D97)</f>
        <v>1.6167318103592816</v>
      </c>
      <c r="I113" s="502">
        <f>IF(Weather!E97="","",Weather!E97)</f>
        <v>1.6167318103592816</v>
      </c>
      <c r="J113" s="397">
        <f>IF(RnSplint!N141&lt;0,0,RnSplint!N141)</f>
        <v>33.122918107136044</v>
      </c>
      <c r="K113" s="302">
        <f t="shared" si="92"/>
        <v>0</v>
      </c>
      <c r="L113" s="303">
        <f t="shared" si="93"/>
        <v>38078</v>
      </c>
      <c r="M113" s="346" t="str">
        <f t="shared" si="61"/>
        <v/>
      </c>
      <c r="N113" s="304">
        <f t="shared" si="94"/>
        <v>0</v>
      </c>
      <c r="O113" s="304">
        <f t="shared" si="95"/>
        <v>0</v>
      </c>
      <c r="P113" s="304">
        <f t="shared" si="62"/>
        <v>0</v>
      </c>
      <c r="Q113" s="304">
        <f t="shared" si="63"/>
        <v>0.31659809890221891</v>
      </c>
      <c r="R113" s="304">
        <f t="shared" si="64"/>
        <v>0.31659809890221891</v>
      </c>
      <c r="S113" s="305" t="e">
        <f t="shared" si="96"/>
        <v>#N/A</v>
      </c>
      <c r="T113" s="304">
        <f t="shared" si="65"/>
        <v>0</v>
      </c>
      <c r="U113" s="304">
        <f t="shared" si="110"/>
        <v>0</v>
      </c>
      <c r="V113" s="305" t="e">
        <f t="shared" si="66"/>
        <v>#N/A</v>
      </c>
      <c r="W113" s="305" t="e">
        <f t="shared" si="97"/>
        <v>#N/A</v>
      </c>
      <c r="X113" s="304">
        <f t="shared" si="98"/>
        <v>0.31659809890221891</v>
      </c>
      <c r="Z113" s="304" t="str">
        <f t="shared" si="67"/>
        <v/>
      </c>
      <c r="AA113" s="305" t="e">
        <f t="shared" si="68"/>
        <v>#N/A</v>
      </c>
      <c r="AB113" s="304">
        <f t="shared" si="69"/>
        <v>0.51185421759449123</v>
      </c>
      <c r="AC113" s="304" t="str">
        <f t="shared" si="99"/>
        <v/>
      </c>
      <c r="AD113" s="306">
        <f t="shared" si="70"/>
        <v>0</v>
      </c>
      <c r="AE113" s="307">
        <f t="shared" si="100"/>
        <v>0.51185421759449123</v>
      </c>
      <c r="AF113" s="308" t="e">
        <f t="shared" si="71"/>
        <v>#N/A</v>
      </c>
      <c r="AG113" s="306">
        <f t="shared" si="101"/>
        <v>65.73449901283486</v>
      </c>
      <c r="AH113" s="306">
        <f t="shared" si="72"/>
        <v>0</v>
      </c>
      <c r="AI113" s="306">
        <f t="shared" si="102"/>
        <v>0</v>
      </c>
      <c r="AJ113" s="306">
        <f t="shared" si="103"/>
        <v>0</v>
      </c>
      <c r="AK113" s="306">
        <f t="shared" si="73"/>
        <v>0</v>
      </c>
      <c r="AL113" s="306">
        <f t="shared" si="104"/>
        <v>0</v>
      </c>
      <c r="AM113" s="306">
        <f t="shared" si="74"/>
        <v>0</v>
      </c>
      <c r="AN113" s="304">
        <f>KcSplint!$N142</f>
        <v>0.7177588482561239</v>
      </c>
      <c r="AO113" s="304" t="str">
        <f t="shared" si="75"/>
        <v/>
      </c>
      <c r="AP113" s="304" t="str">
        <f t="shared" si="105"/>
        <v/>
      </c>
      <c r="AQ113" s="305" t="e">
        <f t="shared" si="106"/>
        <v>#N/A</v>
      </c>
      <c r="AR113" s="304" t="str">
        <f t="shared" si="107"/>
        <v/>
      </c>
      <c r="AS113" s="306">
        <f t="shared" si="76"/>
        <v>0</v>
      </c>
      <c r="AT113" s="307" t="e">
        <f t="shared" si="108"/>
        <v>#N/A</v>
      </c>
      <c r="AU113" s="307" t="e">
        <f t="shared" si="109"/>
        <v>#N/A</v>
      </c>
      <c r="AV113" s="304">
        <f t="shared" si="77"/>
        <v>1.6167318103592816</v>
      </c>
      <c r="AW113" s="309">
        <f t="shared" si="78"/>
        <v>64.824728311473152</v>
      </c>
      <c r="AX113" s="306">
        <f>IF(ISERROR(Weather!M97),#N/A,Weather!M97)</f>
        <v>0</v>
      </c>
      <c r="AY113" s="310">
        <f t="shared" si="79"/>
        <v>88</v>
      </c>
      <c r="AZ113" s="309">
        <f t="shared" si="80"/>
        <v>0.31659809890221891</v>
      </c>
      <c r="BA113" s="309">
        <f t="shared" si="81"/>
        <v>65.73449901283486</v>
      </c>
      <c r="BB113" s="311">
        <f>Irrig!H115</f>
        <v>0</v>
      </c>
      <c r="BC113" s="310">
        <f t="shared" si="82"/>
        <v>0</v>
      </c>
      <c r="BD113" s="309">
        <f t="shared" si="83"/>
        <v>0</v>
      </c>
      <c r="BE113" s="309">
        <f t="shared" si="84"/>
        <v>0</v>
      </c>
      <c r="BF113" s="306">
        <f>DailyMet!H96</f>
        <v>10.37</v>
      </c>
      <c r="BG113" s="306">
        <f>DailyMet!I96</f>
        <v>4.7</v>
      </c>
      <c r="BH113" s="306">
        <f t="shared" si="85"/>
        <v>10.37</v>
      </c>
      <c r="BI113" s="306">
        <f t="shared" si="86"/>
        <v>10</v>
      </c>
      <c r="BJ113" s="306">
        <f t="shared" si="87"/>
        <v>0.18499999999999872</v>
      </c>
      <c r="BK113" s="306">
        <f t="shared" si="88"/>
        <v>0</v>
      </c>
      <c r="BL113" s="304">
        <f t="shared" si="89"/>
        <v>0</v>
      </c>
      <c r="BM113" s="304">
        <f t="shared" si="90"/>
        <v>1.207231040564369E-2</v>
      </c>
      <c r="BN113" s="304">
        <f t="shared" si="111"/>
        <v>1.207231040564369E-2</v>
      </c>
      <c r="BO113" s="306">
        <f t="shared" si="112"/>
        <v>0</v>
      </c>
      <c r="BP113" s="306"/>
    </row>
    <row r="114" spans="1:68">
      <c r="A114" s="299">
        <f t="shared" si="57"/>
        <v>0</v>
      </c>
      <c r="B114" s="300">
        <f t="shared" si="58"/>
        <v>38079</v>
      </c>
      <c r="C114" s="301" t="e">
        <f t="shared" si="91"/>
        <v>#N/A</v>
      </c>
      <c r="D114" s="301" t="e">
        <f t="shared" si="59"/>
        <v>#N/A</v>
      </c>
      <c r="E114" s="299">
        <f t="shared" si="60"/>
        <v>93</v>
      </c>
      <c r="F114" s="396">
        <f>Weather!M98</f>
        <v>0</v>
      </c>
      <c r="G114" s="301">
        <f>IF(Weather!C98="","",Weather!C98)</f>
        <v>1.3508663973935069</v>
      </c>
      <c r="H114" s="301">
        <f>IF(Weather!D98="","",Weather!D98)</f>
        <v>1.8984918973670475</v>
      </c>
      <c r="I114" s="502">
        <f>IF(Weather!E98="","",Weather!E98)</f>
        <v>1.8984918973670475</v>
      </c>
      <c r="J114" s="397">
        <f>IF(RnSplint!N142&lt;0,0,RnSplint!N142)</f>
        <v>33.119140626678835</v>
      </c>
      <c r="K114" s="302">
        <f t="shared" si="92"/>
        <v>0</v>
      </c>
      <c r="L114" s="303">
        <f t="shared" si="93"/>
        <v>38079</v>
      </c>
      <c r="M114" s="346" t="str">
        <f t="shared" si="61"/>
        <v/>
      </c>
      <c r="N114" s="304">
        <f t="shared" si="94"/>
        <v>0</v>
      </c>
      <c r="O114" s="304">
        <f t="shared" si="95"/>
        <v>0</v>
      </c>
      <c r="P114" s="304">
        <f t="shared" si="62"/>
        <v>0</v>
      </c>
      <c r="Q114" s="304">
        <f t="shared" si="63"/>
        <v>0.31191738093638144</v>
      </c>
      <c r="R114" s="304">
        <f t="shared" si="64"/>
        <v>0.31191738093638144</v>
      </c>
      <c r="S114" s="305" t="e">
        <f t="shared" si="96"/>
        <v>#N/A</v>
      </c>
      <c r="T114" s="304">
        <f t="shared" si="65"/>
        <v>0</v>
      </c>
      <c r="U114" s="304">
        <f t="shared" si="110"/>
        <v>0</v>
      </c>
      <c r="V114" s="305" t="e">
        <f t="shared" si="66"/>
        <v>#N/A</v>
      </c>
      <c r="W114" s="305" t="e">
        <f t="shared" si="97"/>
        <v>#N/A</v>
      </c>
      <c r="X114" s="304">
        <f t="shared" si="98"/>
        <v>0.31191738093638144</v>
      </c>
      <c r="Z114" s="304" t="str">
        <f t="shared" si="67"/>
        <v/>
      </c>
      <c r="AA114" s="305" t="e">
        <f t="shared" si="68"/>
        <v>#N/A</v>
      </c>
      <c r="AB114" s="304">
        <f t="shared" si="69"/>
        <v>0.59217262035567098</v>
      </c>
      <c r="AC114" s="304" t="str">
        <f t="shared" si="99"/>
        <v/>
      </c>
      <c r="AD114" s="306">
        <f t="shared" si="70"/>
        <v>0</v>
      </c>
      <c r="AE114" s="307">
        <f t="shared" si="100"/>
        <v>0.59217262035567098</v>
      </c>
      <c r="AF114" s="308" t="e">
        <f t="shared" si="71"/>
        <v>#N/A</v>
      </c>
      <c r="AG114" s="306">
        <f t="shared" si="101"/>
        <v>67.632990910201912</v>
      </c>
      <c r="AH114" s="306">
        <f t="shared" si="72"/>
        <v>0</v>
      </c>
      <c r="AI114" s="306">
        <f t="shared" si="102"/>
        <v>0</v>
      </c>
      <c r="AJ114" s="306">
        <f t="shared" si="103"/>
        <v>0</v>
      </c>
      <c r="AK114" s="306">
        <f t="shared" si="73"/>
        <v>0</v>
      </c>
      <c r="AL114" s="306">
        <f t="shared" si="104"/>
        <v>0</v>
      </c>
      <c r="AM114" s="306">
        <f t="shared" si="74"/>
        <v>0</v>
      </c>
      <c r="AN114" s="304">
        <f>KcSplint!$N143</f>
        <v>0.7394192035749596</v>
      </c>
      <c r="AO114" s="304" t="str">
        <f t="shared" si="75"/>
        <v/>
      </c>
      <c r="AP114" s="304" t="str">
        <f t="shared" si="105"/>
        <v/>
      </c>
      <c r="AQ114" s="305" t="e">
        <f t="shared" si="106"/>
        <v>#N/A</v>
      </c>
      <c r="AR114" s="304" t="str">
        <f t="shared" si="107"/>
        <v/>
      </c>
      <c r="AS114" s="306">
        <f t="shared" si="76"/>
        <v>0</v>
      </c>
      <c r="AT114" s="307" t="e">
        <f t="shared" si="108"/>
        <v>#N/A</v>
      </c>
      <c r="AU114" s="307" t="e">
        <f t="shared" si="109"/>
        <v>#N/A</v>
      </c>
      <c r="AV114" s="304">
        <f t="shared" si="77"/>
        <v>1.8984918973670475</v>
      </c>
      <c r="AW114" s="309">
        <f t="shared" si="78"/>
        <v>66.723220208840203</v>
      </c>
      <c r="AX114" s="306">
        <f>IF(ISERROR(Weather!M98),#N/A,Weather!M98)</f>
        <v>0</v>
      </c>
      <c r="AY114" s="310">
        <f t="shared" si="79"/>
        <v>89</v>
      </c>
      <c r="AZ114" s="309">
        <f t="shared" si="80"/>
        <v>0.31191738093638144</v>
      </c>
      <c r="BA114" s="309">
        <f t="shared" si="81"/>
        <v>67.632990910201912</v>
      </c>
      <c r="BB114" s="311">
        <f>Irrig!H116</f>
        <v>0</v>
      </c>
      <c r="BC114" s="310">
        <f t="shared" si="82"/>
        <v>0</v>
      </c>
      <c r="BD114" s="309">
        <f t="shared" si="83"/>
        <v>0</v>
      </c>
      <c r="BE114" s="309">
        <f t="shared" si="84"/>
        <v>0</v>
      </c>
      <c r="BF114" s="306">
        <f>DailyMet!H97</f>
        <v>10.85</v>
      </c>
      <c r="BG114" s="306">
        <f>DailyMet!I97</f>
        <v>1.7</v>
      </c>
      <c r="BH114" s="306">
        <f t="shared" si="85"/>
        <v>10.85</v>
      </c>
      <c r="BI114" s="306">
        <f t="shared" si="86"/>
        <v>10</v>
      </c>
      <c r="BJ114" s="306">
        <f t="shared" si="87"/>
        <v>0.42500000000000071</v>
      </c>
      <c r="BK114" s="306">
        <f t="shared" si="88"/>
        <v>0</v>
      </c>
      <c r="BL114" s="304">
        <f t="shared" si="89"/>
        <v>0</v>
      </c>
      <c r="BM114" s="304">
        <f t="shared" si="90"/>
        <v>3.9480874316939855E-2</v>
      </c>
      <c r="BN114" s="304">
        <f t="shared" si="111"/>
        <v>3.9480874316939855E-2</v>
      </c>
      <c r="BO114" s="306">
        <f t="shared" si="112"/>
        <v>0</v>
      </c>
      <c r="BP114" s="306"/>
    </row>
    <row r="115" spans="1:68">
      <c r="A115" s="299">
        <f t="shared" si="57"/>
        <v>0</v>
      </c>
      <c r="B115" s="300">
        <f t="shared" si="58"/>
        <v>38080</v>
      </c>
      <c r="C115" s="301" t="e">
        <f t="shared" si="91"/>
        <v>#N/A</v>
      </c>
      <c r="D115" s="301" t="e">
        <f t="shared" si="59"/>
        <v>#N/A</v>
      </c>
      <c r="E115" s="299">
        <f t="shared" si="60"/>
        <v>94</v>
      </c>
      <c r="F115" s="396">
        <f>Weather!M99</f>
        <v>2</v>
      </c>
      <c r="G115" s="301">
        <f>IF(Weather!C99="","",Weather!C99)</f>
        <v>1.3481005382964759</v>
      </c>
      <c r="H115" s="301">
        <f>IF(Weather!D99="","",Weather!D99)</f>
        <v>2.1128725013730758</v>
      </c>
      <c r="I115" s="502">
        <f>IF(Weather!E99="","",Weather!E99)</f>
        <v>2.1128725013730758</v>
      </c>
      <c r="J115" s="397">
        <f>IF(RnSplint!N143&lt;0,0,RnSplint!N143)</f>
        <v>33.091674527279494</v>
      </c>
      <c r="K115" s="302">
        <f t="shared" si="92"/>
        <v>0</v>
      </c>
      <c r="L115" s="303">
        <f t="shared" si="93"/>
        <v>38080</v>
      </c>
      <c r="M115" s="346" t="str">
        <f t="shared" si="61"/>
        <v/>
      </c>
      <c r="N115" s="304">
        <f t="shared" si="94"/>
        <v>0</v>
      </c>
      <c r="O115" s="304">
        <f t="shared" si="95"/>
        <v>0</v>
      </c>
      <c r="P115" s="304">
        <f t="shared" si="62"/>
        <v>0</v>
      </c>
      <c r="Q115" s="304">
        <f t="shared" si="63"/>
        <v>0.30693989613585942</v>
      </c>
      <c r="R115" s="304">
        <f t="shared" si="64"/>
        <v>0.30693989613585942</v>
      </c>
      <c r="S115" s="305" t="e">
        <f t="shared" si="96"/>
        <v>#N/A</v>
      </c>
      <c r="T115" s="304">
        <f t="shared" si="65"/>
        <v>0</v>
      </c>
      <c r="U115" s="304">
        <f t="shared" si="110"/>
        <v>0</v>
      </c>
      <c r="V115" s="305" t="e">
        <f t="shared" si="66"/>
        <v>#N/A</v>
      </c>
      <c r="W115" s="305" t="e">
        <f t="shared" si="97"/>
        <v>#N/A</v>
      </c>
      <c r="X115" s="304">
        <f t="shared" si="98"/>
        <v>0.30693989613585942</v>
      </c>
      <c r="Z115" s="304" t="str">
        <f t="shared" si="67"/>
        <v/>
      </c>
      <c r="AA115" s="305" t="e">
        <f t="shared" si="68"/>
        <v>#N/A</v>
      </c>
      <c r="AB115" s="304">
        <f t="shared" si="69"/>
        <v>0.64852486611976534</v>
      </c>
      <c r="AC115" s="304" t="str">
        <f t="shared" si="99"/>
        <v/>
      </c>
      <c r="AD115" s="306">
        <f t="shared" si="70"/>
        <v>0</v>
      </c>
      <c r="AE115" s="307">
        <f t="shared" si="100"/>
        <v>0.64852486611976534</v>
      </c>
      <c r="AF115" s="308" t="e">
        <f t="shared" si="71"/>
        <v>#N/A</v>
      </c>
      <c r="AG115" s="306">
        <f t="shared" si="101"/>
        <v>69.745863411574987</v>
      </c>
      <c r="AH115" s="306">
        <f t="shared" si="72"/>
        <v>0</v>
      </c>
      <c r="AI115" s="306">
        <f t="shared" si="102"/>
        <v>0</v>
      </c>
      <c r="AJ115" s="306">
        <f t="shared" si="103"/>
        <v>0</v>
      </c>
      <c r="AK115" s="306">
        <f t="shared" si="73"/>
        <v>0</v>
      </c>
      <c r="AL115" s="306">
        <f t="shared" si="104"/>
        <v>0</v>
      </c>
      <c r="AM115" s="306">
        <f t="shared" si="74"/>
        <v>0</v>
      </c>
      <c r="AN115" s="304">
        <f>KcSplint!$N144</f>
        <v>0.76068540952821995</v>
      </c>
      <c r="AO115" s="304" t="str">
        <f t="shared" si="75"/>
        <v/>
      </c>
      <c r="AP115" s="304" t="str">
        <f t="shared" si="105"/>
        <v/>
      </c>
      <c r="AQ115" s="305" t="e">
        <f t="shared" si="106"/>
        <v>#N/A</v>
      </c>
      <c r="AR115" s="304" t="str">
        <f t="shared" si="107"/>
        <v/>
      </c>
      <c r="AS115" s="306">
        <f t="shared" si="76"/>
        <v>0</v>
      </c>
      <c r="AT115" s="307" t="e">
        <f t="shared" si="108"/>
        <v>#N/A</v>
      </c>
      <c r="AU115" s="307" t="e">
        <f t="shared" si="109"/>
        <v>#N/A</v>
      </c>
      <c r="AV115" s="304">
        <f t="shared" si="77"/>
        <v>2.1128725013730758</v>
      </c>
      <c r="AW115" s="309">
        <f t="shared" si="78"/>
        <v>68.836092710213279</v>
      </c>
      <c r="AX115" s="306">
        <f>IF(ISERROR(Weather!M99),#N/A,Weather!M99)</f>
        <v>2</v>
      </c>
      <c r="AY115" s="310">
        <f t="shared" si="79"/>
        <v>90</v>
      </c>
      <c r="AZ115" s="309">
        <f t="shared" si="80"/>
        <v>0.30693989613585942</v>
      </c>
      <c r="BA115" s="309">
        <f t="shared" si="81"/>
        <v>69.745863411574987</v>
      </c>
      <c r="BB115" s="311">
        <f>Irrig!H117</f>
        <v>0</v>
      </c>
      <c r="BC115" s="310">
        <f t="shared" si="82"/>
        <v>0</v>
      </c>
      <c r="BD115" s="309">
        <f t="shared" si="83"/>
        <v>0</v>
      </c>
      <c r="BE115" s="309">
        <f t="shared" si="84"/>
        <v>0</v>
      </c>
      <c r="BF115" s="306">
        <f>DailyMet!H98</f>
        <v>11.95</v>
      </c>
      <c r="BG115" s="306">
        <f>DailyMet!I98</f>
        <v>6.3</v>
      </c>
      <c r="BH115" s="306">
        <f t="shared" si="85"/>
        <v>11.95</v>
      </c>
      <c r="BI115" s="306">
        <f t="shared" si="86"/>
        <v>10</v>
      </c>
      <c r="BJ115" s="306">
        <f t="shared" si="87"/>
        <v>0.97499999999999964</v>
      </c>
      <c r="BK115" s="306">
        <f t="shared" si="88"/>
        <v>0</v>
      </c>
      <c r="BL115" s="304">
        <f t="shared" si="89"/>
        <v>0</v>
      </c>
      <c r="BM115" s="304">
        <f t="shared" si="90"/>
        <v>0.33650442477876086</v>
      </c>
      <c r="BN115" s="304">
        <f t="shared" si="111"/>
        <v>0.33650442477876086</v>
      </c>
      <c r="BO115" s="306">
        <f t="shared" si="112"/>
        <v>0</v>
      </c>
      <c r="BP115" s="306"/>
    </row>
    <row r="116" spans="1:68">
      <c r="A116" s="299">
        <f t="shared" si="57"/>
        <v>0</v>
      </c>
      <c r="B116" s="300">
        <f t="shared" si="58"/>
        <v>38081</v>
      </c>
      <c r="C116" s="301" t="e">
        <f t="shared" si="91"/>
        <v>#N/A</v>
      </c>
      <c r="D116" s="301" t="e">
        <f t="shared" si="59"/>
        <v>#N/A</v>
      </c>
      <c r="E116" s="299">
        <f t="shared" si="60"/>
        <v>95</v>
      </c>
      <c r="F116" s="396">
        <f>Weather!M100</f>
        <v>2.4</v>
      </c>
      <c r="G116" s="301">
        <f>IF(Weather!C100="","",Weather!C100)</f>
        <v>1.3460043271674156</v>
      </c>
      <c r="H116" s="301">
        <f>IF(Weather!D100="","",Weather!D100)</f>
        <v>0.44427184411836929</v>
      </c>
      <c r="I116" s="502">
        <f>IF(Weather!E100="","",Weather!E100)</f>
        <v>0.44427184411836929</v>
      </c>
      <c r="J116" s="397">
        <f>IF(RnSplint!N144&lt;0,0,RnSplint!N144)</f>
        <v>33.039247389352624</v>
      </c>
      <c r="K116" s="302">
        <f t="shared" si="92"/>
        <v>0</v>
      </c>
      <c r="L116" s="303">
        <f t="shared" si="93"/>
        <v>38081</v>
      </c>
      <c r="M116" s="346" t="str">
        <f t="shared" si="61"/>
        <v/>
      </c>
      <c r="N116" s="304">
        <f t="shared" si="94"/>
        <v>0</v>
      </c>
      <c r="O116" s="304">
        <f t="shared" si="95"/>
        <v>0</v>
      </c>
      <c r="P116" s="304">
        <f t="shared" si="62"/>
        <v>0</v>
      </c>
      <c r="Q116" s="304">
        <f t="shared" si="63"/>
        <v>1.2</v>
      </c>
      <c r="R116" s="304">
        <f t="shared" si="64"/>
        <v>1.2</v>
      </c>
      <c r="S116" s="305" t="e">
        <f t="shared" si="96"/>
        <v>#N/A</v>
      </c>
      <c r="T116" s="304">
        <f t="shared" si="65"/>
        <v>0</v>
      </c>
      <c r="U116" s="304">
        <f t="shared" si="110"/>
        <v>0</v>
      </c>
      <c r="V116" s="305" t="e">
        <f t="shared" si="66"/>
        <v>#N/A</v>
      </c>
      <c r="W116" s="305" t="e">
        <f t="shared" si="97"/>
        <v>#N/A</v>
      </c>
      <c r="X116" s="304">
        <f t="shared" si="98"/>
        <v>1.2</v>
      </c>
      <c r="Z116" s="304" t="str">
        <f t="shared" si="67"/>
        <v/>
      </c>
      <c r="AA116" s="305" t="e">
        <f t="shared" si="68"/>
        <v>#N/A</v>
      </c>
      <c r="AB116" s="304">
        <f t="shared" si="69"/>
        <v>0.5331262129420431</v>
      </c>
      <c r="AC116" s="304" t="str">
        <f t="shared" si="99"/>
        <v/>
      </c>
      <c r="AD116" s="306">
        <f t="shared" si="70"/>
        <v>0</v>
      </c>
      <c r="AE116" s="307">
        <f t="shared" si="100"/>
        <v>0.5331262129420431</v>
      </c>
      <c r="AF116" s="308" t="e">
        <f t="shared" si="71"/>
        <v>#N/A</v>
      </c>
      <c r="AG116" s="306">
        <f t="shared" si="101"/>
        <v>70.190135255693363</v>
      </c>
      <c r="AH116" s="306">
        <f t="shared" si="72"/>
        <v>0</v>
      </c>
      <c r="AI116" s="306">
        <f t="shared" si="102"/>
        <v>0</v>
      </c>
      <c r="AJ116" s="306">
        <f t="shared" si="103"/>
        <v>0</v>
      </c>
      <c r="AK116" s="306">
        <f t="shared" si="73"/>
        <v>0</v>
      </c>
      <c r="AL116" s="306">
        <f t="shared" si="104"/>
        <v>0</v>
      </c>
      <c r="AM116" s="306">
        <f t="shared" si="74"/>
        <v>0</v>
      </c>
      <c r="AN116" s="304">
        <f>KcSplint!$N145</f>
        <v>0.7814321208490973</v>
      </c>
      <c r="AO116" s="304" t="str">
        <f t="shared" si="75"/>
        <v/>
      </c>
      <c r="AP116" s="304" t="str">
        <f t="shared" si="105"/>
        <v/>
      </c>
      <c r="AQ116" s="305" t="e">
        <f t="shared" si="106"/>
        <v>#N/A</v>
      </c>
      <c r="AR116" s="304" t="str">
        <f t="shared" si="107"/>
        <v/>
      </c>
      <c r="AS116" s="306">
        <f t="shared" si="76"/>
        <v>0</v>
      </c>
      <c r="AT116" s="307" t="e">
        <f t="shared" si="108"/>
        <v>#N/A</v>
      </c>
      <c r="AU116" s="307" t="e">
        <f t="shared" si="109"/>
        <v>#N/A</v>
      </c>
      <c r="AV116" s="304">
        <f t="shared" si="77"/>
        <v>0.44427184411836929</v>
      </c>
      <c r="AW116" s="309">
        <f t="shared" si="78"/>
        <v>0.44427184411836929</v>
      </c>
      <c r="AX116" s="306">
        <f>IF(ISERROR(Weather!M100),#N/A,Weather!M100)</f>
        <v>2.4</v>
      </c>
      <c r="AY116" s="310">
        <f t="shared" si="79"/>
        <v>1</v>
      </c>
      <c r="AZ116" s="309">
        <f t="shared" si="80"/>
        <v>1.2</v>
      </c>
      <c r="BA116" s="309">
        <f t="shared" si="81"/>
        <v>70.190135255693363</v>
      </c>
      <c r="BB116" s="311">
        <f>Irrig!H118</f>
        <v>0</v>
      </c>
      <c r="BC116" s="310">
        <f t="shared" si="82"/>
        <v>0</v>
      </c>
      <c r="BD116" s="309">
        <f t="shared" si="83"/>
        <v>0</v>
      </c>
      <c r="BE116" s="309">
        <f t="shared" si="84"/>
        <v>0</v>
      </c>
      <c r="BF116" s="306">
        <f>DailyMet!H99</f>
        <v>13.88</v>
      </c>
      <c r="BG116" s="306">
        <f>DailyMet!I99</f>
        <v>11.9</v>
      </c>
      <c r="BH116" s="306">
        <f t="shared" si="85"/>
        <v>13.88</v>
      </c>
      <c r="BI116" s="306">
        <f t="shared" si="86"/>
        <v>11.9</v>
      </c>
      <c r="BJ116" s="306">
        <f t="shared" si="87"/>
        <v>2.8900000000000006</v>
      </c>
      <c r="BK116" s="306">
        <f t="shared" si="88"/>
        <v>0</v>
      </c>
      <c r="BL116" s="304">
        <f t="shared" si="89"/>
        <v>0</v>
      </c>
      <c r="BM116" s="304">
        <f t="shared" si="90"/>
        <v>2.8900000000000006</v>
      </c>
      <c r="BN116" s="304">
        <f t="shared" si="111"/>
        <v>2.8900000000000006</v>
      </c>
      <c r="BO116" s="306">
        <f t="shared" si="112"/>
        <v>0</v>
      </c>
      <c r="BP116" s="306"/>
    </row>
    <row r="117" spans="1:68">
      <c r="A117" s="299">
        <f t="shared" si="57"/>
        <v>0</v>
      </c>
      <c r="B117" s="300">
        <f t="shared" si="58"/>
        <v>38082</v>
      </c>
      <c r="C117" s="301" t="e">
        <f t="shared" si="91"/>
        <v>#N/A</v>
      </c>
      <c r="D117" s="301" t="e">
        <f t="shared" si="59"/>
        <v>#N/A</v>
      </c>
      <c r="E117" s="299">
        <f t="shared" si="60"/>
        <v>96</v>
      </c>
      <c r="F117" s="396">
        <f>Weather!M101</f>
        <v>4</v>
      </c>
      <c r="G117" s="301">
        <f>IF(Weather!C101="","",Weather!C101)</f>
        <v>1.3447514970065642</v>
      </c>
      <c r="H117" s="301">
        <f>IF(Weather!D101="","",Weather!D101)</f>
        <v>1.2870475400541517</v>
      </c>
      <c r="I117" s="502">
        <f>IF(Weather!E101="","",Weather!E101)</f>
        <v>1.2870475400541517</v>
      </c>
      <c r="J117" s="397">
        <f>IF(RnSplint!N145&lt;0,0,RnSplint!N145)</f>
        <v>32.960586793312821</v>
      </c>
      <c r="K117" s="302">
        <f t="shared" si="92"/>
        <v>0</v>
      </c>
      <c r="L117" s="303">
        <f t="shared" si="93"/>
        <v>38082</v>
      </c>
      <c r="M117" s="346" t="str">
        <f t="shared" si="61"/>
        <v/>
      </c>
      <c r="N117" s="304">
        <f t="shared" si="94"/>
        <v>0</v>
      </c>
      <c r="O117" s="304">
        <f t="shared" si="95"/>
        <v>0</v>
      </c>
      <c r="P117" s="304">
        <f t="shared" si="62"/>
        <v>0</v>
      </c>
      <c r="Q117" s="304">
        <f t="shared" si="63"/>
        <v>1.2</v>
      </c>
      <c r="R117" s="304">
        <f t="shared" si="64"/>
        <v>1.2</v>
      </c>
      <c r="S117" s="305" t="e">
        <f t="shared" si="96"/>
        <v>#N/A</v>
      </c>
      <c r="T117" s="304">
        <f t="shared" si="65"/>
        <v>0</v>
      </c>
      <c r="U117" s="304">
        <f t="shared" si="110"/>
        <v>0</v>
      </c>
      <c r="V117" s="305" t="e">
        <f t="shared" si="66"/>
        <v>#N/A</v>
      </c>
      <c r="W117" s="305" t="e">
        <f t="shared" si="97"/>
        <v>#N/A</v>
      </c>
      <c r="X117" s="304">
        <f t="shared" si="98"/>
        <v>1.2</v>
      </c>
      <c r="Z117" s="304" t="str">
        <f t="shared" si="67"/>
        <v/>
      </c>
      <c r="AA117" s="305" t="e">
        <f t="shared" si="68"/>
        <v>#N/A</v>
      </c>
      <c r="AB117" s="304">
        <f t="shared" si="69"/>
        <v>1.544457048064982</v>
      </c>
      <c r="AC117" s="304" t="str">
        <f t="shared" si="99"/>
        <v/>
      </c>
      <c r="AD117" s="306">
        <f t="shared" si="70"/>
        <v>0</v>
      </c>
      <c r="AE117" s="307">
        <f t="shared" si="100"/>
        <v>1.544457048064982</v>
      </c>
      <c r="AF117" s="308" t="e">
        <f t="shared" si="71"/>
        <v>#N/A</v>
      </c>
      <c r="AG117" s="306">
        <f t="shared" si="101"/>
        <v>71.47718279574751</v>
      </c>
      <c r="AH117" s="306">
        <f t="shared" si="72"/>
        <v>0</v>
      </c>
      <c r="AI117" s="306">
        <f t="shared" si="102"/>
        <v>0</v>
      </c>
      <c r="AJ117" s="306">
        <f t="shared" si="103"/>
        <v>0</v>
      </c>
      <c r="AK117" s="306">
        <f t="shared" si="73"/>
        <v>0</v>
      </c>
      <c r="AL117" s="306">
        <f t="shared" si="104"/>
        <v>0</v>
      </c>
      <c r="AM117" s="306">
        <f t="shared" si="74"/>
        <v>0</v>
      </c>
      <c r="AN117" s="304">
        <f>KcSplint!$N146</f>
        <v>0.80153399227078403</v>
      </c>
      <c r="AO117" s="304" t="str">
        <f t="shared" si="75"/>
        <v/>
      </c>
      <c r="AP117" s="304" t="str">
        <f t="shared" si="105"/>
        <v/>
      </c>
      <c r="AQ117" s="305" t="e">
        <f t="shared" si="106"/>
        <v>#N/A</v>
      </c>
      <c r="AR117" s="304" t="str">
        <f t="shared" si="107"/>
        <v/>
      </c>
      <c r="AS117" s="306">
        <f t="shared" si="76"/>
        <v>0</v>
      </c>
      <c r="AT117" s="307" t="e">
        <f t="shared" si="108"/>
        <v>#N/A</v>
      </c>
      <c r="AU117" s="307" t="e">
        <f t="shared" si="109"/>
        <v>#N/A</v>
      </c>
      <c r="AV117" s="304">
        <f t="shared" si="77"/>
        <v>1.2870475400541517</v>
      </c>
      <c r="AW117" s="309">
        <f t="shared" si="78"/>
        <v>1.2870475400541517</v>
      </c>
      <c r="AX117" s="306">
        <f>IF(ISERROR(Weather!M101),#N/A,Weather!M101)</f>
        <v>4</v>
      </c>
      <c r="AY117" s="310">
        <f t="shared" si="79"/>
        <v>1</v>
      </c>
      <c r="AZ117" s="309">
        <f t="shared" si="80"/>
        <v>1.2</v>
      </c>
      <c r="BA117" s="309">
        <f t="shared" si="81"/>
        <v>71.47718279574751</v>
      </c>
      <c r="BB117" s="311">
        <f>Irrig!H119</f>
        <v>0</v>
      </c>
      <c r="BC117" s="310">
        <f t="shared" si="82"/>
        <v>0</v>
      </c>
      <c r="BD117" s="309">
        <f t="shared" si="83"/>
        <v>0</v>
      </c>
      <c r="BE117" s="309">
        <f t="shared" si="84"/>
        <v>0</v>
      </c>
      <c r="BF117" s="306">
        <f>DailyMet!H100</f>
        <v>13.86</v>
      </c>
      <c r="BG117" s="306">
        <f>DailyMet!I100</f>
        <v>8.1999999999999993</v>
      </c>
      <c r="BH117" s="306">
        <f t="shared" si="85"/>
        <v>13.86</v>
      </c>
      <c r="BI117" s="306">
        <f t="shared" si="86"/>
        <v>10</v>
      </c>
      <c r="BJ117" s="306">
        <f t="shared" si="87"/>
        <v>1.9299999999999997</v>
      </c>
      <c r="BK117" s="306">
        <f t="shared" si="88"/>
        <v>0</v>
      </c>
      <c r="BL117" s="304">
        <f t="shared" si="89"/>
        <v>0</v>
      </c>
      <c r="BM117" s="304">
        <f t="shared" si="90"/>
        <v>1.3162190812720844</v>
      </c>
      <c r="BN117" s="304">
        <f t="shared" si="111"/>
        <v>1.3162190812720844</v>
      </c>
      <c r="BO117" s="306">
        <f t="shared" si="112"/>
        <v>0</v>
      </c>
      <c r="BP117" s="306"/>
    </row>
    <row r="118" spans="1:68">
      <c r="A118" s="299">
        <f t="shared" si="57"/>
        <v>0</v>
      </c>
      <c r="B118" s="300">
        <f t="shared" si="58"/>
        <v>38083</v>
      </c>
      <c r="C118" s="301" t="e">
        <f t="shared" si="91"/>
        <v>#N/A</v>
      </c>
      <c r="D118" s="301" t="e">
        <f t="shared" si="59"/>
        <v>#N/A</v>
      </c>
      <c r="E118" s="299">
        <f t="shared" si="60"/>
        <v>97</v>
      </c>
      <c r="F118" s="396">
        <f>Weather!M102</f>
        <v>0.8</v>
      </c>
      <c r="G118" s="301">
        <f>IF(Weather!C102="","",Weather!C102)</f>
        <v>1.3445157808141583</v>
      </c>
      <c r="H118" s="301">
        <f>IF(Weather!D102="","",Weather!D102)</f>
        <v>1.8718532351116166</v>
      </c>
      <c r="I118" s="502">
        <f>IF(Weather!E102="","",Weather!E102)</f>
        <v>1.8718532351116166</v>
      </c>
      <c r="J118" s="397">
        <f>IF(RnSplint!N146&lt;0,0,RnSplint!N146)</f>
        <v>32.854420319574707</v>
      </c>
      <c r="K118" s="302">
        <f t="shared" si="92"/>
        <v>0</v>
      </c>
      <c r="L118" s="303">
        <f t="shared" si="93"/>
        <v>38083</v>
      </c>
      <c r="M118" s="346" t="str">
        <f t="shared" si="61"/>
        <v/>
      </c>
      <c r="N118" s="304">
        <f t="shared" si="94"/>
        <v>0</v>
      </c>
      <c r="O118" s="304">
        <f t="shared" si="95"/>
        <v>0</v>
      </c>
      <c r="P118" s="304">
        <f t="shared" si="62"/>
        <v>0</v>
      </c>
      <c r="Q118" s="304">
        <f t="shared" si="63"/>
        <v>1.2</v>
      </c>
      <c r="R118" s="304">
        <f t="shared" si="64"/>
        <v>1.2</v>
      </c>
      <c r="S118" s="305" t="e">
        <f t="shared" si="96"/>
        <v>#N/A</v>
      </c>
      <c r="T118" s="304">
        <f t="shared" si="65"/>
        <v>0</v>
      </c>
      <c r="U118" s="304">
        <f t="shared" si="110"/>
        <v>0</v>
      </c>
      <c r="V118" s="305" t="e">
        <f t="shared" si="66"/>
        <v>#N/A</v>
      </c>
      <c r="W118" s="305" t="e">
        <f t="shared" si="97"/>
        <v>#N/A</v>
      </c>
      <c r="X118" s="304">
        <f t="shared" si="98"/>
        <v>1.2</v>
      </c>
      <c r="Z118" s="304" t="str">
        <f t="shared" si="67"/>
        <v/>
      </c>
      <c r="AA118" s="305" t="e">
        <f t="shared" si="68"/>
        <v>#N/A</v>
      </c>
      <c r="AB118" s="304">
        <f t="shared" si="69"/>
        <v>2.2462238821339398</v>
      </c>
      <c r="AC118" s="304" t="str">
        <f t="shared" si="99"/>
        <v/>
      </c>
      <c r="AD118" s="306">
        <f t="shared" si="70"/>
        <v>0</v>
      </c>
      <c r="AE118" s="307">
        <f t="shared" si="100"/>
        <v>2.2462238821339398</v>
      </c>
      <c r="AF118" s="308" t="e">
        <f t="shared" si="71"/>
        <v>#N/A</v>
      </c>
      <c r="AG118" s="306">
        <f t="shared" si="101"/>
        <v>73.349036030859125</v>
      </c>
      <c r="AH118" s="306">
        <f t="shared" si="72"/>
        <v>0</v>
      </c>
      <c r="AI118" s="306">
        <f t="shared" si="102"/>
        <v>0</v>
      </c>
      <c r="AJ118" s="306">
        <f t="shared" si="103"/>
        <v>0</v>
      </c>
      <c r="AK118" s="306">
        <f t="shared" si="73"/>
        <v>0</v>
      </c>
      <c r="AL118" s="306">
        <f t="shared" si="104"/>
        <v>0</v>
      </c>
      <c r="AM118" s="306">
        <f t="shared" si="74"/>
        <v>0</v>
      </c>
      <c r="AN118" s="304">
        <f>KcSplint!$N147</f>
        <v>0.82086567852647252</v>
      </c>
      <c r="AO118" s="304" t="str">
        <f t="shared" si="75"/>
        <v/>
      </c>
      <c r="AP118" s="304" t="str">
        <f t="shared" si="105"/>
        <v/>
      </c>
      <c r="AQ118" s="305" t="e">
        <f t="shared" si="106"/>
        <v>#N/A</v>
      </c>
      <c r="AR118" s="304" t="str">
        <f t="shared" si="107"/>
        <v/>
      </c>
      <c r="AS118" s="306">
        <f t="shared" si="76"/>
        <v>0</v>
      </c>
      <c r="AT118" s="307" t="e">
        <f t="shared" si="108"/>
        <v>#N/A</v>
      </c>
      <c r="AU118" s="307" t="e">
        <f t="shared" si="109"/>
        <v>#N/A</v>
      </c>
      <c r="AV118" s="304">
        <f t="shared" si="77"/>
        <v>1.8718532351116166</v>
      </c>
      <c r="AW118" s="309">
        <f t="shared" si="78"/>
        <v>3.1589007751657681</v>
      </c>
      <c r="AX118" s="306">
        <f>IF(ISERROR(Weather!M102),#N/A,Weather!M102)</f>
        <v>0.8</v>
      </c>
      <c r="AY118" s="310">
        <f t="shared" si="79"/>
        <v>2</v>
      </c>
      <c r="AZ118" s="309">
        <f t="shared" si="80"/>
        <v>1.2</v>
      </c>
      <c r="BA118" s="309">
        <f t="shared" si="81"/>
        <v>73.349036030859125</v>
      </c>
      <c r="BB118" s="311">
        <f>Irrig!H120</f>
        <v>0</v>
      </c>
      <c r="BC118" s="310">
        <f t="shared" si="82"/>
        <v>0</v>
      </c>
      <c r="BD118" s="309">
        <f t="shared" si="83"/>
        <v>0</v>
      </c>
      <c r="BE118" s="309">
        <f t="shared" si="84"/>
        <v>0</v>
      </c>
      <c r="BF118" s="306">
        <f>DailyMet!H101</f>
        <v>15.1</v>
      </c>
      <c r="BG118" s="306">
        <f>DailyMet!I101</f>
        <v>8.8000000000000007</v>
      </c>
      <c r="BH118" s="306">
        <f t="shared" si="85"/>
        <v>15.1</v>
      </c>
      <c r="BI118" s="306">
        <f t="shared" si="86"/>
        <v>10</v>
      </c>
      <c r="BJ118" s="306">
        <f t="shared" si="87"/>
        <v>2.5500000000000007</v>
      </c>
      <c r="BK118" s="306">
        <f t="shared" si="88"/>
        <v>0</v>
      </c>
      <c r="BL118" s="304">
        <f t="shared" si="89"/>
        <v>0</v>
      </c>
      <c r="BM118" s="304">
        <f t="shared" si="90"/>
        <v>2.0642857142857145</v>
      </c>
      <c r="BN118" s="304">
        <f t="shared" si="111"/>
        <v>2.0642857142857145</v>
      </c>
      <c r="BO118" s="306">
        <f t="shared" si="112"/>
        <v>0</v>
      </c>
      <c r="BP118" s="306"/>
    </row>
    <row r="119" spans="1:68">
      <c r="A119" s="299">
        <f t="shared" si="57"/>
        <v>0</v>
      </c>
      <c r="B119" s="300">
        <f t="shared" si="58"/>
        <v>38084</v>
      </c>
      <c r="C119" s="301" t="e">
        <f t="shared" si="91"/>
        <v>#N/A</v>
      </c>
      <c r="D119" s="301" t="e">
        <f t="shared" si="59"/>
        <v>#N/A</v>
      </c>
      <c r="E119" s="299">
        <f t="shared" si="60"/>
        <v>98</v>
      </c>
      <c r="F119" s="396">
        <f>Weather!M103</f>
        <v>0</v>
      </c>
      <c r="G119" s="301">
        <f>IF(Weather!C103="","",Weather!C103)</f>
        <v>1.3454709115904369</v>
      </c>
      <c r="H119" s="301">
        <f>IF(Weather!D103="","",Weather!D103)</f>
        <v>2.4478030510786795</v>
      </c>
      <c r="I119" s="502">
        <f>IF(Weather!E103="","",Weather!E103)</f>
        <v>2.4478030510786795</v>
      </c>
      <c r="J119" s="397">
        <f>IF(RnSplint!N147&lt;0,0,RnSplint!N147)</f>
        <v>32.719475548552893</v>
      </c>
      <c r="K119" s="302">
        <f t="shared" si="92"/>
        <v>0</v>
      </c>
      <c r="L119" s="303">
        <f t="shared" si="93"/>
        <v>38084</v>
      </c>
      <c r="M119" s="346" t="str">
        <f t="shared" si="61"/>
        <v/>
      </c>
      <c r="N119" s="304">
        <f t="shared" si="94"/>
        <v>0</v>
      </c>
      <c r="O119" s="304">
        <f t="shared" si="95"/>
        <v>0</v>
      </c>
      <c r="P119" s="304">
        <f t="shared" si="62"/>
        <v>0</v>
      </c>
      <c r="Q119" s="304">
        <f t="shared" si="63"/>
        <v>1.1195239198946183</v>
      </c>
      <c r="R119" s="304">
        <f t="shared" si="64"/>
        <v>1.1195239198946183</v>
      </c>
      <c r="S119" s="305" t="e">
        <f t="shared" si="96"/>
        <v>#N/A</v>
      </c>
      <c r="T119" s="304">
        <f t="shared" si="65"/>
        <v>0</v>
      </c>
      <c r="U119" s="304">
        <f t="shared" si="110"/>
        <v>0</v>
      </c>
      <c r="V119" s="305" t="e">
        <f t="shared" si="66"/>
        <v>#N/A</v>
      </c>
      <c r="W119" s="305" t="e">
        <f t="shared" si="97"/>
        <v>#N/A</v>
      </c>
      <c r="X119" s="304">
        <f t="shared" si="98"/>
        <v>1.1195239198946183</v>
      </c>
      <c r="Z119" s="304" t="str">
        <f t="shared" si="67"/>
        <v/>
      </c>
      <c r="AA119" s="305" t="e">
        <f t="shared" si="68"/>
        <v>#N/A</v>
      </c>
      <c r="AB119" s="304">
        <f t="shared" si="69"/>
        <v>2.7403740668736098</v>
      </c>
      <c r="AC119" s="304" t="str">
        <f t="shared" si="99"/>
        <v/>
      </c>
      <c r="AD119" s="306">
        <f t="shared" si="70"/>
        <v>0</v>
      </c>
      <c r="AE119" s="307">
        <f t="shared" si="100"/>
        <v>2.7403740668736098</v>
      </c>
      <c r="AF119" s="308" t="e">
        <f t="shared" si="71"/>
        <v>#N/A</v>
      </c>
      <c r="AG119" s="306">
        <f t="shared" si="101"/>
        <v>75.796839081937804</v>
      </c>
      <c r="AH119" s="306">
        <f t="shared" si="72"/>
        <v>0</v>
      </c>
      <c r="AI119" s="306">
        <f t="shared" si="102"/>
        <v>0</v>
      </c>
      <c r="AJ119" s="306">
        <f t="shared" si="103"/>
        <v>0</v>
      </c>
      <c r="AK119" s="306">
        <f t="shared" si="73"/>
        <v>0</v>
      </c>
      <c r="AL119" s="306">
        <f t="shared" si="104"/>
        <v>0</v>
      </c>
      <c r="AM119" s="306">
        <f t="shared" si="74"/>
        <v>0</v>
      </c>
      <c r="AN119" s="304">
        <f>KcSplint!$N148</f>
        <v>0.83930183434935535</v>
      </c>
      <c r="AO119" s="304" t="str">
        <f t="shared" si="75"/>
        <v/>
      </c>
      <c r="AP119" s="304" t="str">
        <f t="shared" si="105"/>
        <v/>
      </c>
      <c r="AQ119" s="305" t="e">
        <f t="shared" si="106"/>
        <v>#N/A</v>
      </c>
      <c r="AR119" s="304" t="str">
        <f t="shared" si="107"/>
        <v/>
      </c>
      <c r="AS119" s="306">
        <f t="shared" si="76"/>
        <v>0</v>
      </c>
      <c r="AT119" s="307" t="e">
        <f t="shared" si="108"/>
        <v>#N/A</v>
      </c>
      <c r="AU119" s="307" t="e">
        <f t="shared" si="109"/>
        <v>#N/A</v>
      </c>
      <c r="AV119" s="304">
        <f t="shared" si="77"/>
        <v>2.4478030510786795</v>
      </c>
      <c r="AW119" s="309">
        <f t="shared" si="78"/>
        <v>5.6067038262444475</v>
      </c>
      <c r="AX119" s="306">
        <f>IF(ISERROR(Weather!M103),#N/A,Weather!M103)</f>
        <v>0</v>
      </c>
      <c r="AY119" s="310">
        <f t="shared" si="79"/>
        <v>3</v>
      </c>
      <c r="AZ119" s="309">
        <f t="shared" si="80"/>
        <v>1.1195239198946183</v>
      </c>
      <c r="BA119" s="309">
        <f t="shared" si="81"/>
        <v>75.796839081937804</v>
      </c>
      <c r="BB119" s="311">
        <f>Irrig!H121</f>
        <v>0</v>
      </c>
      <c r="BC119" s="310">
        <f t="shared" si="82"/>
        <v>0</v>
      </c>
      <c r="BD119" s="309">
        <f t="shared" si="83"/>
        <v>0</v>
      </c>
      <c r="BE119" s="309">
        <f t="shared" si="84"/>
        <v>0</v>
      </c>
      <c r="BF119" s="306">
        <f>DailyMet!H102</f>
        <v>15.11</v>
      </c>
      <c r="BG119" s="306">
        <f>DailyMet!I102</f>
        <v>8.5</v>
      </c>
      <c r="BH119" s="306">
        <f t="shared" si="85"/>
        <v>15.11</v>
      </c>
      <c r="BI119" s="306">
        <f t="shared" si="86"/>
        <v>10</v>
      </c>
      <c r="BJ119" s="306">
        <f t="shared" si="87"/>
        <v>2.5549999999999997</v>
      </c>
      <c r="BK119" s="306">
        <f t="shared" si="88"/>
        <v>0</v>
      </c>
      <c r="BL119" s="304">
        <f t="shared" si="89"/>
        <v>0</v>
      </c>
      <c r="BM119" s="304">
        <f t="shared" si="90"/>
        <v>1.9751966717095308</v>
      </c>
      <c r="BN119" s="304">
        <f t="shared" si="111"/>
        <v>1.9751966717095308</v>
      </c>
      <c r="BO119" s="306">
        <f t="shared" si="112"/>
        <v>0</v>
      </c>
      <c r="BP119" s="306"/>
    </row>
    <row r="120" spans="1:68">
      <c r="A120" s="299">
        <f t="shared" si="57"/>
        <v>0</v>
      </c>
      <c r="B120" s="300">
        <f t="shared" si="58"/>
        <v>38085</v>
      </c>
      <c r="C120" s="301" t="e">
        <f t="shared" si="91"/>
        <v>#N/A</v>
      </c>
      <c r="D120" s="301" t="e">
        <f t="shared" si="59"/>
        <v>#N/A</v>
      </c>
      <c r="E120" s="299">
        <f t="shared" si="60"/>
        <v>99</v>
      </c>
      <c r="F120" s="396">
        <f>Weather!M104</f>
        <v>8</v>
      </c>
      <c r="G120" s="301">
        <f>IF(Weather!C104="","",Weather!C104)</f>
        <v>1.3477906223356362</v>
      </c>
      <c r="H120" s="301">
        <f>IF(Weather!D104="","",Weather!D104)</f>
        <v>0.46595535146604128</v>
      </c>
      <c r="I120" s="502">
        <f>IF(Weather!E104="","",Weather!E104)</f>
        <v>0.46595535146604128</v>
      </c>
      <c r="J120" s="397">
        <f>IF(RnSplint!N148&lt;0,0,RnSplint!N148)</f>
        <v>32.554480060661966</v>
      </c>
      <c r="K120" s="302">
        <f t="shared" si="92"/>
        <v>0</v>
      </c>
      <c r="L120" s="303">
        <f t="shared" si="93"/>
        <v>38085</v>
      </c>
      <c r="M120" s="346" t="str">
        <f t="shared" si="61"/>
        <v/>
      </c>
      <c r="N120" s="304">
        <f t="shared" si="94"/>
        <v>0</v>
      </c>
      <c r="O120" s="304">
        <f t="shared" si="95"/>
        <v>0</v>
      </c>
      <c r="P120" s="304">
        <f t="shared" si="62"/>
        <v>0</v>
      </c>
      <c r="Q120" s="304">
        <f t="shared" si="63"/>
        <v>1.2</v>
      </c>
      <c r="R120" s="304">
        <f t="shared" si="64"/>
        <v>1.2</v>
      </c>
      <c r="S120" s="305" t="e">
        <f t="shared" si="96"/>
        <v>#N/A</v>
      </c>
      <c r="T120" s="304">
        <f t="shared" si="65"/>
        <v>0</v>
      </c>
      <c r="U120" s="304">
        <f t="shared" si="110"/>
        <v>0</v>
      </c>
      <c r="V120" s="305" t="e">
        <f t="shared" si="66"/>
        <v>#N/A</v>
      </c>
      <c r="W120" s="305" t="e">
        <f t="shared" si="97"/>
        <v>#N/A</v>
      </c>
      <c r="X120" s="304">
        <f t="shared" si="98"/>
        <v>1.2</v>
      </c>
      <c r="Z120" s="304" t="str">
        <f t="shared" si="67"/>
        <v/>
      </c>
      <c r="AA120" s="305" t="e">
        <f t="shared" si="68"/>
        <v>#N/A</v>
      </c>
      <c r="AB120" s="304">
        <f t="shared" si="69"/>
        <v>0.55914642175924956</v>
      </c>
      <c r="AC120" s="304" t="str">
        <f t="shared" si="99"/>
        <v/>
      </c>
      <c r="AD120" s="306">
        <f t="shared" si="70"/>
        <v>0</v>
      </c>
      <c r="AE120" s="307">
        <f t="shared" si="100"/>
        <v>0.55914642175924956</v>
      </c>
      <c r="AF120" s="308" t="e">
        <f t="shared" si="71"/>
        <v>#N/A</v>
      </c>
      <c r="AG120" s="306">
        <f t="shared" si="101"/>
        <v>76.26279443340384</v>
      </c>
      <c r="AH120" s="306">
        <f t="shared" si="72"/>
        <v>0</v>
      </c>
      <c r="AI120" s="306">
        <f t="shared" si="102"/>
        <v>0</v>
      </c>
      <c r="AJ120" s="306">
        <f t="shared" si="103"/>
        <v>0</v>
      </c>
      <c r="AK120" s="306">
        <f t="shared" si="73"/>
        <v>0</v>
      </c>
      <c r="AL120" s="306">
        <f t="shared" si="104"/>
        <v>0</v>
      </c>
      <c r="AM120" s="306">
        <f t="shared" si="74"/>
        <v>0</v>
      </c>
      <c r="AN120" s="304">
        <f>KcSplint!$N149</f>
        <v>0.85671711447262466</v>
      </c>
      <c r="AO120" s="304" t="str">
        <f t="shared" si="75"/>
        <v/>
      </c>
      <c r="AP120" s="304" t="str">
        <f t="shared" si="105"/>
        <v/>
      </c>
      <c r="AQ120" s="305" t="e">
        <f t="shared" si="106"/>
        <v>#N/A</v>
      </c>
      <c r="AR120" s="304" t="str">
        <f t="shared" si="107"/>
        <v/>
      </c>
      <c r="AS120" s="306">
        <f t="shared" si="76"/>
        <v>0</v>
      </c>
      <c r="AT120" s="307" t="e">
        <f t="shared" si="108"/>
        <v>#N/A</v>
      </c>
      <c r="AU120" s="307" t="e">
        <f t="shared" si="109"/>
        <v>#N/A</v>
      </c>
      <c r="AV120" s="304">
        <f t="shared" si="77"/>
        <v>0.46595535146604128</v>
      </c>
      <c r="AW120" s="309">
        <f t="shared" si="78"/>
        <v>0.46595535146604128</v>
      </c>
      <c r="AX120" s="306">
        <f>IF(ISERROR(Weather!M104),#N/A,Weather!M104)</f>
        <v>8</v>
      </c>
      <c r="AY120" s="310">
        <f t="shared" si="79"/>
        <v>1</v>
      </c>
      <c r="AZ120" s="309">
        <f t="shared" si="80"/>
        <v>1.2</v>
      </c>
      <c r="BA120" s="309">
        <f t="shared" si="81"/>
        <v>76.26279443340384</v>
      </c>
      <c r="BB120" s="311">
        <f>Irrig!H122</f>
        <v>0</v>
      </c>
      <c r="BC120" s="310">
        <f t="shared" si="82"/>
        <v>0</v>
      </c>
      <c r="BD120" s="309">
        <f t="shared" si="83"/>
        <v>0</v>
      </c>
      <c r="BE120" s="309">
        <f t="shared" si="84"/>
        <v>0</v>
      </c>
      <c r="BF120" s="306">
        <f>DailyMet!H103</f>
        <v>8.58</v>
      </c>
      <c r="BG120" s="306">
        <f>DailyMet!I103</f>
        <v>3.5</v>
      </c>
      <c r="BH120" s="306">
        <f t="shared" si="85"/>
        <v>8.58</v>
      </c>
      <c r="BI120" s="306">
        <f t="shared" si="86"/>
        <v>10</v>
      </c>
      <c r="BJ120" s="306">
        <f t="shared" si="87"/>
        <v>-0.71000000000000085</v>
      </c>
      <c r="BK120" s="306">
        <f t="shared" si="88"/>
        <v>0</v>
      </c>
      <c r="BL120" s="304">
        <f t="shared" si="89"/>
        <v>0</v>
      </c>
      <c r="BM120" s="304">
        <f t="shared" si="90"/>
        <v>0</v>
      </c>
      <c r="BN120" s="304">
        <f t="shared" si="111"/>
        <v>0</v>
      </c>
      <c r="BO120" s="306">
        <f t="shared" si="112"/>
        <v>0</v>
      </c>
      <c r="BP120" s="306"/>
    </row>
    <row r="121" spans="1:68">
      <c r="A121" s="299">
        <f t="shared" si="57"/>
        <v>0</v>
      </c>
      <c r="B121" s="300">
        <f t="shared" si="58"/>
        <v>38086</v>
      </c>
      <c r="C121" s="301" t="e">
        <f t="shared" si="91"/>
        <v>#N/A</v>
      </c>
      <c r="D121" s="301" t="e">
        <f t="shared" si="59"/>
        <v>#N/A</v>
      </c>
      <c r="E121" s="299">
        <f t="shared" si="60"/>
        <v>100</v>
      </c>
      <c r="F121" s="396">
        <f>Weather!M105</f>
        <v>0</v>
      </c>
      <c r="G121" s="301">
        <f>IF(Weather!C105="","",Weather!C105)</f>
        <v>1.3516486460499944</v>
      </c>
      <c r="H121" s="301">
        <f>IF(Weather!D105="","",Weather!D105)</f>
        <v>0.54789851191428862</v>
      </c>
      <c r="I121" s="502">
        <f>IF(Weather!E105="","",Weather!E105)</f>
        <v>0.54789851191428862</v>
      </c>
      <c r="J121" s="397">
        <f>IF(RnSplint!N149&lt;0,0,RnSplint!N149)</f>
        <v>32.358161436316557</v>
      </c>
      <c r="K121" s="302">
        <f t="shared" si="92"/>
        <v>0</v>
      </c>
      <c r="L121" s="303">
        <f t="shared" si="93"/>
        <v>38086</v>
      </c>
      <c r="M121" s="346" t="str">
        <f t="shared" si="61"/>
        <v/>
      </c>
      <c r="N121" s="304">
        <f t="shared" si="94"/>
        <v>0</v>
      </c>
      <c r="O121" s="304">
        <f t="shared" si="95"/>
        <v>0</v>
      </c>
      <c r="P121" s="304">
        <f t="shared" si="62"/>
        <v>0</v>
      </c>
      <c r="Q121" s="304">
        <f t="shared" si="63"/>
        <v>1.2</v>
      </c>
      <c r="R121" s="304">
        <f t="shared" si="64"/>
        <v>1.2</v>
      </c>
      <c r="S121" s="305" t="e">
        <f t="shared" si="96"/>
        <v>#N/A</v>
      </c>
      <c r="T121" s="304">
        <f t="shared" si="65"/>
        <v>0</v>
      </c>
      <c r="U121" s="304">
        <f t="shared" si="110"/>
        <v>0</v>
      </c>
      <c r="V121" s="305" t="e">
        <f t="shared" si="66"/>
        <v>#N/A</v>
      </c>
      <c r="W121" s="305" t="e">
        <f t="shared" si="97"/>
        <v>#N/A</v>
      </c>
      <c r="X121" s="304">
        <f t="shared" si="98"/>
        <v>1.2</v>
      </c>
      <c r="Z121" s="304" t="str">
        <f t="shared" si="67"/>
        <v/>
      </c>
      <c r="AA121" s="305" t="e">
        <f t="shared" si="68"/>
        <v>#N/A</v>
      </c>
      <c r="AB121" s="304">
        <f t="shared" si="69"/>
        <v>0.65747821429714637</v>
      </c>
      <c r="AC121" s="304" t="str">
        <f t="shared" si="99"/>
        <v/>
      </c>
      <c r="AD121" s="306">
        <f t="shared" si="70"/>
        <v>0</v>
      </c>
      <c r="AE121" s="307">
        <f t="shared" si="100"/>
        <v>0.65747821429714637</v>
      </c>
      <c r="AF121" s="308" t="e">
        <f t="shared" si="71"/>
        <v>#N/A</v>
      </c>
      <c r="AG121" s="306">
        <f t="shared" si="101"/>
        <v>76.810692945318124</v>
      </c>
      <c r="AH121" s="306">
        <f t="shared" si="72"/>
        <v>0</v>
      </c>
      <c r="AI121" s="306">
        <f t="shared" si="102"/>
        <v>0</v>
      </c>
      <c r="AJ121" s="306">
        <f t="shared" si="103"/>
        <v>0</v>
      </c>
      <c r="AK121" s="306">
        <f t="shared" si="73"/>
        <v>0</v>
      </c>
      <c r="AL121" s="306">
        <f t="shared" si="104"/>
        <v>0</v>
      </c>
      <c r="AM121" s="306">
        <f t="shared" si="74"/>
        <v>0</v>
      </c>
      <c r="AN121" s="304">
        <f>KcSplint!$N150</f>
        <v>0.87298617362947284</v>
      </c>
      <c r="AO121" s="304" t="str">
        <f t="shared" si="75"/>
        <v/>
      </c>
      <c r="AP121" s="304" t="str">
        <f t="shared" si="105"/>
        <v/>
      </c>
      <c r="AQ121" s="305" t="e">
        <f t="shared" si="106"/>
        <v>#N/A</v>
      </c>
      <c r="AR121" s="304" t="str">
        <f t="shared" si="107"/>
        <v/>
      </c>
      <c r="AS121" s="306">
        <f t="shared" si="76"/>
        <v>0</v>
      </c>
      <c r="AT121" s="307" t="e">
        <f t="shared" si="108"/>
        <v>#N/A</v>
      </c>
      <c r="AU121" s="307" t="e">
        <f t="shared" si="109"/>
        <v>#N/A</v>
      </c>
      <c r="AV121" s="304">
        <f t="shared" si="77"/>
        <v>0.54789851191428862</v>
      </c>
      <c r="AW121" s="309">
        <f t="shared" si="78"/>
        <v>1.01385386338033</v>
      </c>
      <c r="AX121" s="306">
        <f>IF(ISERROR(Weather!M105),#N/A,Weather!M105)</f>
        <v>0</v>
      </c>
      <c r="AY121" s="310">
        <f t="shared" si="79"/>
        <v>2</v>
      </c>
      <c r="AZ121" s="309">
        <f t="shared" si="80"/>
        <v>1.2</v>
      </c>
      <c r="BA121" s="309">
        <f t="shared" si="81"/>
        <v>76.810692945318124</v>
      </c>
      <c r="BB121" s="311">
        <f>Irrig!H123</f>
        <v>0</v>
      </c>
      <c r="BC121" s="310">
        <f t="shared" si="82"/>
        <v>0</v>
      </c>
      <c r="BD121" s="309">
        <f t="shared" si="83"/>
        <v>0</v>
      </c>
      <c r="BE121" s="309">
        <f t="shared" si="84"/>
        <v>0</v>
      </c>
      <c r="BF121" s="306">
        <f>DailyMet!H104</f>
        <v>7.48</v>
      </c>
      <c r="BG121" s="306">
        <f>DailyMet!I104</f>
        <v>0.4</v>
      </c>
      <c r="BH121" s="306">
        <f t="shared" si="85"/>
        <v>7.48</v>
      </c>
      <c r="BI121" s="306">
        <f t="shared" si="86"/>
        <v>10</v>
      </c>
      <c r="BJ121" s="306">
        <f t="shared" si="87"/>
        <v>-1.2599999999999998</v>
      </c>
      <c r="BK121" s="306">
        <f t="shared" si="88"/>
        <v>0</v>
      </c>
      <c r="BL121" s="304">
        <f t="shared" si="89"/>
        <v>0</v>
      </c>
      <c r="BM121" s="304">
        <f t="shared" si="90"/>
        <v>0</v>
      </c>
      <c r="BN121" s="304">
        <f t="shared" si="111"/>
        <v>0</v>
      </c>
      <c r="BO121" s="306">
        <f t="shared" si="112"/>
        <v>0</v>
      </c>
      <c r="BP121" s="306"/>
    </row>
    <row r="122" spans="1:68">
      <c r="A122" s="299">
        <f t="shared" si="57"/>
        <v>0</v>
      </c>
      <c r="B122" s="300">
        <f t="shared" si="58"/>
        <v>38087</v>
      </c>
      <c r="C122" s="301" t="e">
        <f t="shared" si="91"/>
        <v>#N/A</v>
      </c>
      <c r="D122" s="301" t="e">
        <f t="shared" si="59"/>
        <v>#N/A</v>
      </c>
      <c r="E122" s="299">
        <f t="shared" si="60"/>
        <v>101</v>
      </c>
      <c r="F122" s="396">
        <f>Weather!M106</f>
        <v>0.6</v>
      </c>
      <c r="G122" s="301">
        <f>IF(Weather!C106="","",Weather!C106)</f>
        <v>1.3572187157337487</v>
      </c>
      <c r="H122" s="301">
        <f>IF(Weather!D106="","",Weather!D106)</f>
        <v>1.5021347877701818</v>
      </c>
      <c r="I122" s="502">
        <f>IF(Weather!E106="","",Weather!E106)</f>
        <v>1.5021347877701818</v>
      </c>
      <c r="J122" s="397">
        <f>IF(RnSplint!N150&lt;0,0,RnSplint!N150)</f>
        <v>32.129247255931261</v>
      </c>
      <c r="K122" s="302">
        <f t="shared" si="92"/>
        <v>0</v>
      </c>
      <c r="L122" s="303">
        <f t="shared" si="93"/>
        <v>38087</v>
      </c>
      <c r="M122" s="346" t="str">
        <f t="shared" si="61"/>
        <v/>
      </c>
      <c r="N122" s="304">
        <f t="shared" si="94"/>
        <v>0</v>
      </c>
      <c r="O122" s="304">
        <f t="shared" si="95"/>
        <v>0</v>
      </c>
      <c r="P122" s="304">
        <f t="shared" si="62"/>
        <v>0</v>
      </c>
      <c r="Q122" s="304">
        <f t="shared" si="63"/>
        <v>1.2</v>
      </c>
      <c r="R122" s="304">
        <f t="shared" si="64"/>
        <v>1.2</v>
      </c>
      <c r="S122" s="305" t="e">
        <f t="shared" si="96"/>
        <v>#N/A</v>
      </c>
      <c r="T122" s="304">
        <f t="shared" si="65"/>
        <v>0</v>
      </c>
      <c r="U122" s="304">
        <f t="shared" si="110"/>
        <v>0</v>
      </c>
      <c r="V122" s="305" t="e">
        <f t="shared" si="66"/>
        <v>#N/A</v>
      </c>
      <c r="W122" s="305" t="e">
        <f t="shared" si="97"/>
        <v>#N/A</v>
      </c>
      <c r="X122" s="304">
        <f t="shared" si="98"/>
        <v>1.2</v>
      </c>
      <c r="Z122" s="304" t="str">
        <f t="shared" si="67"/>
        <v/>
      </c>
      <c r="AA122" s="305" t="e">
        <f t="shared" si="68"/>
        <v>#N/A</v>
      </c>
      <c r="AB122" s="304">
        <f t="shared" si="69"/>
        <v>1.8025617453242182</v>
      </c>
      <c r="AC122" s="304" t="str">
        <f t="shared" si="99"/>
        <v/>
      </c>
      <c r="AD122" s="306">
        <f t="shared" si="70"/>
        <v>0</v>
      </c>
      <c r="AE122" s="307">
        <f t="shared" si="100"/>
        <v>1.8025617453242182</v>
      </c>
      <c r="AF122" s="308" t="e">
        <f t="shared" si="71"/>
        <v>#N/A</v>
      </c>
      <c r="AG122" s="306">
        <f t="shared" si="101"/>
        <v>78.312827733088312</v>
      </c>
      <c r="AH122" s="306">
        <f t="shared" si="72"/>
        <v>0</v>
      </c>
      <c r="AI122" s="306">
        <f t="shared" si="102"/>
        <v>0</v>
      </c>
      <c r="AJ122" s="306">
        <f t="shared" si="103"/>
        <v>0</v>
      </c>
      <c r="AK122" s="306">
        <f t="shared" si="73"/>
        <v>0</v>
      </c>
      <c r="AL122" s="306">
        <f t="shared" si="104"/>
        <v>0</v>
      </c>
      <c r="AM122" s="306">
        <f t="shared" si="74"/>
        <v>0</v>
      </c>
      <c r="AN122" s="304">
        <f>KcSplint!$N151</f>
        <v>0.88798366655309247</v>
      </c>
      <c r="AO122" s="304" t="str">
        <f t="shared" si="75"/>
        <v/>
      </c>
      <c r="AP122" s="304" t="str">
        <f t="shared" si="105"/>
        <v/>
      </c>
      <c r="AQ122" s="305" t="e">
        <f t="shared" si="106"/>
        <v>#N/A</v>
      </c>
      <c r="AR122" s="304" t="str">
        <f t="shared" si="107"/>
        <v/>
      </c>
      <c r="AS122" s="306">
        <f t="shared" si="76"/>
        <v>0</v>
      </c>
      <c r="AT122" s="307" t="e">
        <f t="shared" si="108"/>
        <v>#N/A</v>
      </c>
      <c r="AU122" s="307" t="e">
        <f t="shared" si="109"/>
        <v>#N/A</v>
      </c>
      <c r="AV122" s="304">
        <f t="shared" si="77"/>
        <v>1.5021347877701818</v>
      </c>
      <c r="AW122" s="309">
        <f t="shared" si="78"/>
        <v>2.5159886511505118</v>
      </c>
      <c r="AX122" s="306">
        <f>IF(ISERROR(Weather!M106),#N/A,Weather!M106)</f>
        <v>0.6</v>
      </c>
      <c r="AY122" s="310">
        <f t="shared" si="79"/>
        <v>3</v>
      </c>
      <c r="AZ122" s="309">
        <f t="shared" si="80"/>
        <v>1.2</v>
      </c>
      <c r="BA122" s="309">
        <f t="shared" si="81"/>
        <v>78.312827733088312</v>
      </c>
      <c r="BB122" s="311">
        <f>Irrig!H124</f>
        <v>0</v>
      </c>
      <c r="BC122" s="310">
        <f t="shared" si="82"/>
        <v>0</v>
      </c>
      <c r="BD122" s="309">
        <f t="shared" si="83"/>
        <v>0</v>
      </c>
      <c r="BE122" s="309">
        <f t="shared" si="84"/>
        <v>0</v>
      </c>
      <c r="BF122" s="306">
        <f>DailyMet!H105</f>
        <v>9.65</v>
      </c>
      <c r="BG122" s="306">
        <f>DailyMet!I105</f>
        <v>2.5</v>
      </c>
      <c r="BH122" s="306">
        <f t="shared" si="85"/>
        <v>9.65</v>
      </c>
      <c r="BI122" s="306">
        <f t="shared" si="86"/>
        <v>10</v>
      </c>
      <c r="BJ122" s="306">
        <f t="shared" si="87"/>
        <v>-0.17500000000000071</v>
      </c>
      <c r="BK122" s="306">
        <f t="shared" si="88"/>
        <v>0</v>
      </c>
      <c r="BL122" s="304">
        <f t="shared" si="89"/>
        <v>0</v>
      </c>
      <c r="BM122" s="304">
        <f t="shared" si="90"/>
        <v>0</v>
      </c>
      <c r="BN122" s="304">
        <f t="shared" si="111"/>
        <v>0</v>
      </c>
      <c r="BO122" s="306">
        <f t="shared" si="112"/>
        <v>0</v>
      </c>
      <c r="BP122" s="306"/>
    </row>
    <row r="123" spans="1:68">
      <c r="A123" s="299">
        <f t="shared" si="57"/>
        <v>0</v>
      </c>
      <c r="B123" s="300">
        <f t="shared" si="58"/>
        <v>38088</v>
      </c>
      <c r="C123" s="301" t="e">
        <f t="shared" si="91"/>
        <v>#N/A</v>
      </c>
      <c r="D123" s="301" t="e">
        <f t="shared" si="59"/>
        <v>#N/A</v>
      </c>
      <c r="E123" s="299">
        <f t="shared" si="60"/>
        <v>102</v>
      </c>
      <c r="F123" s="396">
        <f>Weather!M107</f>
        <v>15</v>
      </c>
      <c r="G123" s="301">
        <f>IF(Weather!C107="","",Weather!C107)</f>
        <v>1.3646745643871374</v>
      </c>
      <c r="H123" s="301">
        <f>IF(Weather!D107="","",Weather!D107)</f>
        <v>1.4775161847336267</v>
      </c>
      <c r="I123" s="502">
        <f>IF(Weather!E107="","",Weather!E107)</f>
        <v>1.4775161847336267</v>
      </c>
      <c r="J123" s="397">
        <f>IF(RnSplint!N151&lt;0,0,RnSplint!N151)</f>
        <v>31.866465099920692</v>
      </c>
      <c r="K123" s="302">
        <f t="shared" si="92"/>
        <v>0</v>
      </c>
      <c r="L123" s="303">
        <f t="shared" si="93"/>
        <v>38088</v>
      </c>
      <c r="M123" s="346" t="str">
        <f t="shared" si="61"/>
        <v/>
      </c>
      <c r="N123" s="304">
        <f t="shared" si="94"/>
        <v>0</v>
      </c>
      <c r="O123" s="304">
        <f t="shared" si="95"/>
        <v>0</v>
      </c>
      <c r="P123" s="304">
        <f t="shared" si="62"/>
        <v>0</v>
      </c>
      <c r="Q123" s="304">
        <f t="shared" si="63"/>
        <v>1.2</v>
      </c>
      <c r="R123" s="304">
        <f t="shared" si="64"/>
        <v>1.2</v>
      </c>
      <c r="S123" s="305" t="e">
        <f t="shared" si="96"/>
        <v>#N/A</v>
      </c>
      <c r="T123" s="304">
        <f t="shared" si="65"/>
        <v>0</v>
      </c>
      <c r="U123" s="304">
        <f t="shared" si="110"/>
        <v>0</v>
      </c>
      <c r="V123" s="305" t="e">
        <f t="shared" si="66"/>
        <v>#N/A</v>
      </c>
      <c r="W123" s="305" t="e">
        <f t="shared" si="97"/>
        <v>#N/A</v>
      </c>
      <c r="X123" s="304">
        <f t="shared" si="98"/>
        <v>1.2</v>
      </c>
      <c r="Z123" s="304" t="str">
        <f t="shared" si="67"/>
        <v/>
      </c>
      <c r="AA123" s="305" t="e">
        <f t="shared" si="68"/>
        <v>#N/A</v>
      </c>
      <c r="AB123" s="304">
        <f t="shared" si="69"/>
        <v>1.7730194216803519</v>
      </c>
      <c r="AC123" s="304" t="str">
        <f t="shared" si="99"/>
        <v/>
      </c>
      <c r="AD123" s="306">
        <f t="shared" si="70"/>
        <v>0</v>
      </c>
      <c r="AE123" s="307">
        <f t="shared" si="100"/>
        <v>1.7730194216803519</v>
      </c>
      <c r="AF123" s="308" t="e">
        <f t="shared" si="71"/>
        <v>#N/A</v>
      </c>
      <c r="AG123" s="306">
        <f t="shared" si="101"/>
        <v>79.790343917821943</v>
      </c>
      <c r="AH123" s="306">
        <f t="shared" si="72"/>
        <v>0</v>
      </c>
      <c r="AI123" s="306">
        <f t="shared" si="102"/>
        <v>0</v>
      </c>
      <c r="AJ123" s="306">
        <f t="shared" si="103"/>
        <v>0</v>
      </c>
      <c r="AK123" s="306">
        <f t="shared" si="73"/>
        <v>0</v>
      </c>
      <c r="AL123" s="306">
        <f t="shared" si="104"/>
        <v>0</v>
      </c>
      <c r="AM123" s="306">
        <f t="shared" si="74"/>
        <v>0</v>
      </c>
      <c r="AN123" s="304">
        <f>KcSplint!$N152</f>
        <v>0.90158424797667591</v>
      </c>
      <c r="AO123" s="304" t="str">
        <f t="shared" si="75"/>
        <v/>
      </c>
      <c r="AP123" s="304" t="str">
        <f t="shared" si="105"/>
        <v/>
      </c>
      <c r="AQ123" s="305" t="e">
        <f t="shared" si="106"/>
        <v>#N/A</v>
      </c>
      <c r="AR123" s="304" t="str">
        <f t="shared" si="107"/>
        <v/>
      </c>
      <c r="AS123" s="306">
        <f t="shared" si="76"/>
        <v>0</v>
      </c>
      <c r="AT123" s="307" t="e">
        <f t="shared" si="108"/>
        <v>#N/A</v>
      </c>
      <c r="AU123" s="307" t="e">
        <f t="shared" si="109"/>
        <v>#N/A</v>
      </c>
      <c r="AV123" s="304">
        <f t="shared" si="77"/>
        <v>1.4775161847336267</v>
      </c>
      <c r="AW123" s="309">
        <f t="shared" si="78"/>
        <v>1.4775161847336267</v>
      </c>
      <c r="AX123" s="306">
        <f>IF(ISERROR(Weather!M107),#N/A,Weather!M107)</f>
        <v>15</v>
      </c>
      <c r="AY123" s="310">
        <f t="shared" si="79"/>
        <v>1</v>
      </c>
      <c r="AZ123" s="309">
        <f t="shared" si="80"/>
        <v>1.2</v>
      </c>
      <c r="BA123" s="309">
        <f t="shared" si="81"/>
        <v>79.790343917821943</v>
      </c>
      <c r="BB123" s="311">
        <f>Irrig!H125</f>
        <v>0</v>
      </c>
      <c r="BC123" s="310">
        <f t="shared" si="82"/>
        <v>0</v>
      </c>
      <c r="BD123" s="309">
        <f t="shared" si="83"/>
        <v>0</v>
      </c>
      <c r="BE123" s="309">
        <f t="shared" si="84"/>
        <v>0</v>
      </c>
      <c r="BF123" s="306">
        <f>DailyMet!H106</f>
        <v>8.93</v>
      </c>
      <c r="BG123" s="306">
        <f>DailyMet!I106</f>
        <v>6.5</v>
      </c>
      <c r="BH123" s="306">
        <f t="shared" si="85"/>
        <v>8.93</v>
      </c>
      <c r="BI123" s="306">
        <f t="shared" si="86"/>
        <v>10</v>
      </c>
      <c r="BJ123" s="306">
        <f t="shared" si="87"/>
        <v>-0.53500000000000014</v>
      </c>
      <c r="BK123" s="306">
        <f t="shared" si="88"/>
        <v>0</v>
      </c>
      <c r="BL123" s="304">
        <f t="shared" si="89"/>
        <v>0</v>
      </c>
      <c r="BM123" s="304">
        <f t="shared" si="90"/>
        <v>0</v>
      </c>
      <c r="BN123" s="304">
        <f t="shared" si="111"/>
        <v>0</v>
      </c>
      <c r="BO123" s="306">
        <f t="shared" si="112"/>
        <v>0</v>
      </c>
      <c r="BP123" s="306"/>
    </row>
    <row r="124" spans="1:68">
      <c r="A124" s="299">
        <f t="shared" si="57"/>
        <v>0</v>
      </c>
      <c r="B124" s="300">
        <f t="shared" si="58"/>
        <v>38089</v>
      </c>
      <c r="C124" s="301" t="e">
        <f t="shared" si="91"/>
        <v>#N/A</v>
      </c>
      <c r="D124" s="301" t="e">
        <f t="shared" si="59"/>
        <v>#N/A</v>
      </c>
      <c r="E124" s="299">
        <f t="shared" si="60"/>
        <v>103</v>
      </c>
      <c r="F124" s="396">
        <f>Weather!M108</f>
        <v>0</v>
      </c>
      <c r="G124" s="301">
        <f>IF(Weather!C108="","",Weather!C108)</f>
        <v>1.3741899250103971</v>
      </c>
      <c r="H124" s="301">
        <f>IF(Weather!D108="","",Weather!D108)</f>
        <v>2.3188094411304103</v>
      </c>
      <c r="I124" s="502">
        <f>IF(Weather!E108="","",Weather!E108)</f>
        <v>2.3188094411304103</v>
      </c>
      <c r="J124" s="397">
        <f>IF(RnSplint!N152&lt;0,0,RnSplint!N152)</f>
        <v>31.568542548699455</v>
      </c>
      <c r="K124" s="302">
        <f t="shared" si="92"/>
        <v>0</v>
      </c>
      <c r="L124" s="303">
        <f t="shared" si="93"/>
        <v>38089</v>
      </c>
      <c r="M124" s="346" t="str">
        <f t="shared" si="61"/>
        <v/>
      </c>
      <c r="N124" s="304">
        <f t="shared" si="94"/>
        <v>0</v>
      </c>
      <c r="O124" s="304">
        <f t="shared" si="95"/>
        <v>0</v>
      </c>
      <c r="P124" s="304">
        <f t="shared" si="62"/>
        <v>0</v>
      </c>
      <c r="Q124" s="304">
        <f t="shared" si="63"/>
        <v>1.2</v>
      </c>
      <c r="R124" s="304">
        <f t="shared" si="64"/>
        <v>1.2</v>
      </c>
      <c r="S124" s="305" t="e">
        <f t="shared" si="96"/>
        <v>#N/A</v>
      </c>
      <c r="T124" s="304">
        <f t="shared" si="65"/>
        <v>0</v>
      </c>
      <c r="U124" s="304">
        <f t="shared" si="110"/>
        <v>0</v>
      </c>
      <c r="V124" s="305" t="e">
        <f t="shared" si="66"/>
        <v>#N/A</v>
      </c>
      <c r="W124" s="305" t="e">
        <f t="shared" si="97"/>
        <v>#N/A</v>
      </c>
      <c r="X124" s="304">
        <f t="shared" si="98"/>
        <v>1.2</v>
      </c>
      <c r="Z124" s="304" t="str">
        <f t="shared" si="67"/>
        <v/>
      </c>
      <c r="AA124" s="305" t="e">
        <f t="shared" si="68"/>
        <v>#N/A</v>
      </c>
      <c r="AB124" s="304">
        <f t="shared" si="69"/>
        <v>2.7825713293564922</v>
      </c>
      <c r="AC124" s="304" t="str">
        <f t="shared" si="99"/>
        <v/>
      </c>
      <c r="AD124" s="306">
        <f t="shared" si="70"/>
        <v>0</v>
      </c>
      <c r="AE124" s="307">
        <f t="shared" si="100"/>
        <v>2.7825713293564922</v>
      </c>
      <c r="AF124" s="308" t="e">
        <f t="shared" si="71"/>
        <v>#N/A</v>
      </c>
      <c r="AG124" s="306">
        <f t="shared" si="101"/>
        <v>82.109153358952355</v>
      </c>
      <c r="AH124" s="306">
        <f t="shared" si="72"/>
        <v>0</v>
      </c>
      <c r="AI124" s="306">
        <f t="shared" si="102"/>
        <v>0</v>
      </c>
      <c r="AJ124" s="306">
        <f t="shared" si="103"/>
        <v>0</v>
      </c>
      <c r="AK124" s="306">
        <f t="shared" si="73"/>
        <v>0</v>
      </c>
      <c r="AL124" s="306">
        <f t="shared" si="104"/>
        <v>0</v>
      </c>
      <c r="AM124" s="306">
        <f t="shared" si="74"/>
        <v>0</v>
      </c>
      <c r="AN124" s="304">
        <f>KcSplint!$N153</f>
        <v>0.91366257263341544</v>
      </c>
      <c r="AO124" s="304" t="str">
        <f t="shared" si="75"/>
        <v/>
      </c>
      <c r="AP124" s="304" t="str">
        <f t="shared" si="105"/>
        <v/>
      </c>
      <c r="AQ124" s="305" t="e">
        <f t="shared" si="106"/>
        <v>#N/A</v>
      </c>
      <c r="AR124" s="304" t="str">
        <f t="shared" si="107"/>
        <v/>
      </c>
      <c r="AS124" s="306">
        <f t="shared" si="76"/>
        <v>0</v>
      </c>
      <c r="AT124" s="307" t="e">
        <f t="shared" si="108"/>
        <v>#N/A</v>
      </c>
      <c r="AU124" s="307" t="e">
        <f t="shared" si="109"/>
        <v>#N/A</v>
      </c>
      <c r="AV124" s="304">
        <f t="shared" si="77"/>
        <v>2.3188094411304103</v>
      </c>
      <c r="AW124" s="309">
        <f t="shared" si="78"/>
        <v>3.796325625864037</v>
      </c>
      <c r="AX124" s="306">
        <f>IF(ISERROR(Weather!M108),#N/A,Weather!M108)</f>
        <v>0</v>
      </c>
      <c r="AY124" s="310">
        <f t="shared" si="79"/>
        <v>2</v>
      </c>
      <c r="AZ124" s="309">
        <f t="shared" si="80"/>
        <v>1.2</v>
      </c>
      <c r="BA124" s="309">
        <f t="shared" si="81"/>
        <v>82.109153358952355</v>
      </c>
      <c r="BB124" s="311">
        <f>Irrig!H126</f>
        <v>0</v>
      </c>
      <c r="BC124" s="310">
        <f t="shared" si="82"/>
        <v>0</v>
      </c>
      <c r="BD124" s="309">
        <f t="shared" si="83"/>
        <v>0</v>
      </c>
      <c r="BE124" s="309">
        <f t="shared" si="84"/>
        <v>0</v>
      </c>
      <c r="BF124" s="306">
        <f>DailyMet!H107</f>
        <v>11.36</v>
      </c>
      <c r="BG124" s="306">
        <f>DailyMet!I107</f>
        <v>3.5</v>
      </c>
      <c r="BH124" s="306">
        <f t="shared" si="85"/>
        <v>11.36</v>
      </c>
      <c r="BI124" s="306">
        <f t="shared" si="86"/>
        <v>10</v>
      </c>
      <c r="BJ124" s="306">
        <f t="shared" si="87"/>
        <v>0.67999999999999972</v>
      </c>
      <c r="BK124" s="306">
        <f t="shared" si="88"/>
        <v>0</v>
      </c>
      <c r="BL124" s="304">
        <f t="shared" si="89"/>
        <v>0</v>
      </c>
      <c r="BM124" s="304">
        <f t="shared" si="90"/>
        <v>0.11765903307888032</v>
      </c>
      <c r="BN124" s="304">
        <f t="shared" si="111"/>
        <v>0.11765903307888032</v>
      </c>
      <c r="BO124" s="306">
        <f t="shared" si="112"/>
        <v>0</v>
      </c>
      <c r="BP124" s="306"/>
    </row>
    <row r="125" spans="1:68">
      <c r="A125" s="299">
        <f t="shared" si="57"/>
        <v>0</v>
      </c>
      <c r="B125" s="300">
        <f t="shared" si="58"/>
        <v>38090</v>
      </c>
      <c r="C125" s="301" t="e">
        <f t="shared" si="91"/>
        <v>#N/A</v>
      </c>
      <c r="D125" s="301" t="e">
        <f t="shared" si="59"/>
        <v>#N/A</v>
      </c>
      <c r="E125" s="299">
        <f t="shared" si="60"/>
        <v>104</v>
      </c>
      <c r="F125" s="396">
        <f>Weather!M109</f>
        <v>8.4</v>
      </c>
      <c r="G125" s="301">
        <f>IF(Weather!C109="","",Weather!C109)</f>
        <v>1.3859385306037662</v>
      </c>
      <c r="H125" s="301">
        <f>IF(Weather!D109="","",Weather!D109)</f>
        <v>2.3817274499732548</v>
      </c>
      <c r="I125" s="502">
        <f>IF(Weather!E109="","",Weather!E109)</f>
        <v>2.3817274499732548</v>
      </c>
      <c r="J125" s="397">
        <f>IF(RnSplint!N153&lt;0,0,RnSplint!N153)</f>
        <v>31.234207182682159</v>
      </c>
      <c r="K125" s="302">
        <f t="shared" si="92"/>
        <v>0</v>
      </c>
      <c r="L125" s="303">
        <f t="shared" si="93"/>
        <v>38090</v>
      </c>
      <c r="M125" s="346" t="str">
        <f t="shared" si="61"/>
        <v/>
      </c>
      <c r="N125" s="304">
        <f t="shared" si="94"/>
        <v>0</v>
      </c>
      <c r="O125" s="304">
        <f t="shared" si="95"/>
        <v>0</v>
      </c>
      <c r="P125" s="304">
        <f t="shared" si="62"/>
        <v>0</v>
      </c>
      <c r="Q125" s="304">
        <f t="shared" si="63"/>
        <v>1.2</v>
      </c>
      <c r="R125" s="304">
        <f t="shared" si="64"/>
        <v>1.2</v>
      </c>
      <c r="S125" s="305" t="e">
        <f t="shared" si="96"/>
        <v>#N/A</v>
      </c>
      <c r="T125" s="304">
        <f t="shared" si="65"/>
        <v>0</v>
      </c>
      <c r="U125" s="304">
        <f t="shared" si="110"/>
        <v>0</v>
      </c>
      <c r="V125" s="305" t="e">
        <f t="shared" si="66"/>
        <v>#N/A</v>
      </c>
      <c r="W125" s="305" t="e">
        <f t="shared" si="97"/>
        <v>#N/A</v>
      </c>
      <c r="X125" s="304">
        <f t="shared" si="98"/>
        <v>1.2</v>
      </c>
      <c r="Z125" s="304" t="str">
        <f t="shared" si="67"/>
        <v/>
      </c>
      <c r="AA125" s="305" t="e">
        <f t="shared" si="68"/>
        <v>#N/A</v>
      </c>
      <c r="AB125" s="304">
        <f t="shared" si="69"/>
        <v>2.8580729399679057</v>
      </c>
      <c r="AC125" s="304" t="str">
        <f t="shared" si="99"/>
        <v/>
      </c>
      <c r="AD125" s="306">
        <f t="shared" si="70"/>
        <v>0</v>
      </c>
      <c r="AE125" s="307">
        <f t="shared" si="100"/>
        <v>2.8580729399679057</v>
      </c>
      <c r="AF125" s="308" t="e">
        <f t="shared" si="71"/>
        <v>#N/A</v>
      </c>
      <c r="AG125" s="306">
        <f t="shared" si="101"/>
        <v>84.49088080892561</v>
      </c>
      <c r="AH125" s="306">
        <f t="shared" si="72"/>
        <v>0</v>
      </c>
      <c r="AI125" s="306">
        <f t="shared" si="102"/>
        <v>0</v>
      </c>
      <c r="AJ125" s="306">
        <f t="shared" si="103"/>
        <v>0</v>
      </c>
      <c r="AK125" s="306">
        <f t="shared" si="73"/>
        <v>0</v>
      </c>
      <c r="AL125" s="306">
        <f t="shared" si="104"/>
        <v>0</v>
      </c>
      <c r="AM125" s="306">
        <f t="shared" si="74"/>
        <v>0</v>
      </c>
      <c r="AN125" s="304">
        <f>KcSplint!$N154</f>
        <v>0.92409329525650352</v>
      </c>
      <c r="AO125" s="304" t="str">
        <f t="shared" si="75"/>
        <v/>
      </c>
      <c r="AP125" s="304" t="str">
        <f t="shared" si="105"/>
        <v/>
      </c>
      <c r="AQ125" s="305" t="e">
        <f t="shared" si="106"/>
        <v>#N/A</v>
      </c>
      <c r="AR125" s="304" t="str">
        <f t="shared" si="107"/>
        <v/>
      </c>
      <c r="AS125" s="306">
        <f t="shared" si="76"/>
        <v>0</v>
      </c>
      <c r="AT125" s="307" t="e">
        <f t="shared" si="108"/>
        <v>#N/A</v>
      </c>
      <c r="AU125" s="307" t="e">
        <f t="shared" si="109"/>
        <v>#N/A</v>
      </c>
      <c r="AV125" s="304">
        <f t="shared" si="77"/>
        <v>2.3817274499732548</v>
      </c>
      <c r="AW125" s="309">
        <f t="shared" si="78"/>
        <v>2.3817274499732548</v>
      </c>
      <c r="AX125" s="306">
        <f>IF(ISERROR(Weather!M109),#N/A,Weather!M109)</f>
        <v>8.4</v>
      </c>
      <c r="AY125" s="310">
        <f t="shared" si="79"/>
        <v>1</v>
      </c>
      <c r="AZ125" s="309">
        <f t="shared" si="80"/>
        <v>1.2</v>
      </c>
      <c r="BA125" s="309">
        <f t="shared" si="81"/>
        <v>84.49088080892561</v>
      </c>
      <c r="BB125" s="311">
        <f>Irrig!H127</f>
        <v>0</v>
      </c>
      <c r="BC125" s="310">
        <f t="shared" si="82"/>
        <v>0</v>
      </c>
      <c r="BD125" s="309">
        <f t="shared" si="83"/>
        <v>0</v>
      </c>
      <c r="BE125" s="309">
        <f t="shared" si="84"/>
        <v>0</v>
      </c>
      <c r="BF125" s="306">
        <f>DailyMet!H108</f>
        <v>10.53</v>
      </c>
      <c r="BG125" s="306">
        <f>DailyMet!I108</f>
        <v>8.8000000000000007</v>
      </c>
      <c r="BH125" s="306">
        <f t="shared" si="85"/>
        <v>10.53</v>
      </c>
      <c r="BI125" s="306">
        <f t="shared" si="86"/>
        <v>10</v>
      </c>
      <c r="BJ125" s="306">
        <f t="shared" si="87"/>
        <v>0.26500000000000057</v>
      </c>
      <c r="BK125" s="306">
        <f t="shared" si="88"/>
        <v>0</v>
      </c>
      <c r="BL125" s="304">
        <f t="shared" si="89"/>
        <v>0</v>
      </c>
      <c r="BM125" s="304">
        <f t="shared" si="90"/>
        <v>8.1184971098265765E-2</v>
      </c>
      <c r="BN125" s="304">
        <f t="shared" si="111"/>
        <v>8.1184971098265765E-2</v>
      </c>
      <c r="BO125" s="306">
        <f t="shared" si="112"/>
        <v>0</v>
      </c>
      <c r="BP125" s="306"/>
    </row>
    <row r="126" spans="1:68">
      <c r="A126" s="299">
        <f t="shared" si="57"/>
        <v>0</v>
      </c>
      <c r="B126" s="300">
        <f t="shared" si="58"/>
        <v>38091</v>
      </c>
      <c r="C126" s="301" t="e">
        <f t="shared" si="91"/>
        <v>#N/A</v>
      </c>
      <c r="D126" s="301" t="e">
        <f t="shared" si="59"/>
        <v>#N/A</v>
      </c>
      <c r="E126" s="299">
        <f t="shared" si="60"/>
        <v>105</v>
      </c>
      <c r="F126" s="396">
        <f>Weather!M110</f>
        <v>2.4</v>
      </c>
      <c r="G126" s="301">
        <f>IF(Weather!C110="","",Weather!C110)</f>
        <v>1.4000941141674814</v>
      </c>
      <c r="H126" s="301">
        <f>IF(Weather!D110="","",Weather!D110)</f>
        <v>1.2746820392788025</v>
      </c>
      <c r="I126" s="502">
        <f>IF(Weather!E110="","",Weather!E110)</f>
        <v>1.2746820392788025</v>
      </c>
      <c r="J126" s="397">
        <f>IF(RnSplint!N154&lt;0,0,RnSplint!N154)</f>
        <v>30.86218658228341</v>
      </c>
      <c r="K126" s="302">
        <f t="shared" si="92"/>
        <v>0</v>
      </c>
      <c r="L126" s="303">
        <f t="shared" si="93"/>
        <v>38091</v>
      </c>
      <c r="M126" s="346" t="str">
        <f t="shared" si="61"/>
        <v/>
      </c>
      <c r="N126" s="304">
        <f t="shared" si="94"/>
        <v>0</v>
      </c>
      <c r="O126" s="304">
        <f t="shared" si="95"/>
        <v>0</v>
      </c>
      <c r="P126" s="304">
        <f t="shared" si="62"/>
        <v>0</v>
      </c>
      <c r="Q126" s="304">
        <f t="shared" si="63"/>
        <v>1.2</v>
      </c>
      <c r="R126" s="304">
        <f t="shared" si="64"/>
        <v>1.2</v>
      </c>
      <c r="S126" s="305" t="e">
        <f t="shared" si="96"/>
        <v>#N/A</v>
      </c>
      <c r="T126" s="304">
        <f t="shared" si="65"/>
        <v>0</v>
      </c>
      <c r="U126" s="304">
        <f t="shared" si="110"/>
        <v>0</v>
      </c>
      <c r="V126" s="305" t="e">
        <f t="shared" si="66"/>
        <v>#N/A</v>
      </c>
      <c r="W126" s="305" t="e">
        <f t="shared" si="97"/>
        <v>#N/A</v>
      </c>
      <c r="X126" s="304">
        <f t="shared" si="98"/>
        <v>1.2</v>
      </c>
      <c r="Z126" s="304" t="str">
        <f t="shared" si="67"/>
        <v/>
      </c>
      <c r="AA126" s="305" t="e">
        <f t="shared" si="68"/>
        <v>#N/A</v>
      </c>
      <c r="AB126" s="304">
        <f t="shared" si="69"/>
        <v>1.5296184471345631</v>
      </c>
      <c r="AC126" s="304" t="str">
        <f t="shared" si="99"/>
        <v/>
      </c>
      <c r="AD126" s="306">
        <f t="shared" si="70"/>
        <v>0</v>
      </c>
      <c r="AE126" s="307">
        <f t="shared" si="100"/>
        <v>1.5296184471345631</v>
      </c>
      <c r="AF126" s="308" t="e">
        <f t="shared" si="71"/>
        <v>#N/A</v>
      </c>
      <c r="AG126" s="306">
        <f t="shared" si="101"/>
        <v>85.765562848204411</v>
      </c>
      <c r="AH126" s="306">
        <f t="shared" si="72"/>
        <v>0</v>
      </c>
      <c r="AI126" s="306">
        <f t="shared" si="102"/>
        <v>0</v>
      </c>
      <c r="AJ126" s="306">
        <f t="shared" si="103"/>
        <v>0</v>
      </c>
      <c r="AK126" s="306">
        <f t="shared" si="73"/>
        <v>0</v>
      </c>
      <c r="AL126" s="306">
        <f t="shared" si="104"/>
        <v>0</v>
      </c>
      <c r="AM126" s="306">
        <f t="shared" si="74"/>
        <v>0</v>
      </c>
      <c r="AN126" s="304">
        <f>KcSplint!$N155</f>
        <v>0.93275107057913254</v>
      </c>
      <c r="AO126" s="304" t="str">
        <f t="shared" si="75"/>
        <v/>
      </c>
      <c r="AP126" s="304" t="str">
        <f t="shared" si="105"/>
        <v/>
      </c>
      <c r="AQ126" s="305" t="e">
        <f t="shared" si="106"/>
        <v>#N/A</v>
      </c>
      <c r="AR126" s="304" t="str">
        <f t="shared" si="107"/>
        <v/>
      </c>
      <c r="AS126" s="306">
        <f t="shared" si="76"/>
        <v>0</v>
      </c>
      <c r="AT126" s="307" t="e">
        <f t="shared" si="108"/>
        <v>#N/A</v>
      </c>
      <c r="AU126" s="307" t="e">
        <f t="shared" si="109"/>
        <v>#N/A</v>
      </c>
      <c r="AV126" s="304">
        <f t="shared" si="77"/>
        <v>1.2746820392788025</v>
      </c>
      <c r="AW126" s="309">
        <f t="shared" si="78"/>
        <v>3.6564094892520576</v>
      </c>
      <c r="AX126" s="306">
        <f>IF(ISERROR(Weather!M110),#N/A,Weather!M110)</f>
        <v>2.4</v>
      </c>
      <c r="AY126" s="310">
        <f t="shared" si="79"/>
        <v>2</v>
      </c>
      <c r="AZ126" s="309">
        <f t="shared" si="80"/>
        <v>1.2</v>
      </c>
      <c r="BA126" s="309">
        <f t="shared" si="81"/>
        <v>85.765562848204411</v>
      </c>
      <c r="BB126" s="311">
        <f>Irrig!H128</f>
        <v>0</v>
      </c>
      <c r="BC126" s="310">
        <f t="shared" si="82"/>
        <v>0</v>
      </c>
      <c r="BD126" s="309">
        <f t="shared" si="83"/>
        <v>0</v>
      </c>
      <c r="BE126" s="309">
        <f t="shared" si="84"/>
        <v>0</v>
      </c>
      <c r="BF126" s="306">
        <f>DailyMet!H109</f>
        <v>11.32</v>
      </c>
      <c r="BG126" s="306">
        <f>DailyMet!I109</f>
        <v>8.6</v>
      </c>
      <c r="BH126" s="306">
        <f t="shared" si="85"/>
        <v>11.32</v>
      </c>
      <c r="BI126" s="306">
        <f t="shared" si="86"/>
        <v>10</v>
      </c>
      <c r="BJ126" s="306">
        <f t="shared" si="87"/>
        <v>0.66000000000000014</v>
      </c>
      <c r="BK126" s="306">
        <f t="shared" si="88"/>
        <v>0</v>
      </c>
      <c r="BL126" s="304">
        <f t="shared" si="89"/>
        <v>0</v>
      </c>
      <c r="BM126" s="304">
        <f t="shared" si="90"/>
        <v>0.3202941176470589</v>
      </c>
      <c r="BN126" s="304">
        <f t="shared" si="111"/>
        <v>0.3202941176470589</v>
      </c>
      <c r="BO126" s="306">
        <f t="shared" si="112"/>
        <v>0</v>
      </c>
      <c r="BP126" s="306"/>
    </row>
    <row r="127" spans="1:68">
      <c r="A127" s="299">
        <f t="shared" si="57"/>
        <v>1</v>
      </c>
      <c r="B127" s="300">
        <f t="shared" si="58"/>
        <v>38092</v>
      </c>
      <c r="C127" s="301">
        <f t="shared" si="91"/>
        <v>0.2</v>
      </c>
      <c r="D127" s="301">
        <f t="shared" si="59"/>
        <v>0.2</v>
      </c>
      <c r="E127" s="299">
        <f t="shared" si="60"/>
        <v>106</v>
      </c>
      <c r="F127" s="396">
        <f>Weather!M111</f>
        <v>6</v>
      </c>
      <c r="G127" s="301">
        <f>IF(Weather!C111="","",Weather!C111)</f>
        <v>1.4168304087017813</v>
      </c>
      <c r="H127" s="301">
        <f>IF(Weather!D111="","",Weather!D111)</f>
        <v>1.7042348255788369</v>
      </c>
      <c r="I127" s="502">
        <f>IF(Weather!E111="","",Weather!E111)</f>
        <v>1.7042348255788369</v>
      </c>
      <c r="J127" s="397">
        <f>IF(RnSplint!N155&lt;0,0,RnSplint!N155)</f>
        <v>30.451208327917822</v>
      </c>
      <c r="K127" s="302">
        <f t="shared" si="92"/>
        <v>0.2</v>
      </c>
      <c r="L127" s="303">
        <f t="shared" si="93"/>
        <v>38092</v>
      </c>
      <c r="M127" s="346" t="str">
        <f t="shared" si="61"/>
        <v/>
      </c>
      <c r="N127" s="304">
        <f t="shared" si="94"/>
        <v>0.2</v>
      </c>
      <c r="O127" s="304">
        <f t="shared" si="95"/>
        <v>0</v>
      </c>
      <c r="P127" s="304">
        <f t="shared" si="62"/>
        <v>0.2</v>
      </c>
      <c r="Q127" s="304">
        <f t="shared" si="63"/>
        <v>1.2</v>
      </c>
      <c r="R127" s="304">
        <f t="shared" si="64"/>
        <v>1.2</v>
      </c>
      <c r="S127" s="305">
        <f t="shared" si="96"/>
        <v>1.2</v>
      </c>
      <c r="T127" s="304">
        <f t="shared" si="65"/>
        <v>1.2</v>
      </c>
      <c r="U127" s="304">
        <f t="shared" si="110"/>
        <v>1.2</v>
      </c>
      <c r="V127" s="305">
        <f t="shared" si="66"/>
        <v>1.2</v>
      </c>
      <c r="W127" s="305">
        <f t="shared" si="97"/>
        <v>0.2</v>
      </c>
      <c r="X127" s="304">
        <f t="shared" si="98"/>
        <v>1.2</v>
      </c>
      <c r="Z127" s="304" t="str">
        <f t="shared" si="67"/>
        <v/>
      </c>
      <c r="AA127" s="305">
        <f t="shared" si="68"/>
        <v>1.2</v>
      </c>
      <c r="AB127" s="304">
        <f t="shared" si="69"/>
        <v>2.0450817906946042</v>
      </c>
      <c r="AC127" s="304" t="str">
        <f t="shared" si="99"/>
        <v/>
      </c>
      <c r="AD127" s="306">
        <f t="shared" si="70"/>
        <v>2.0450817906946042</v>
      </c>
      <c r="AE127" s="307">
        <f t="shared" si="100"/>
        <v>2.0450817906946042</v>
      </c>
      <c r="AF127" s="308">
        <f t="shared" si="71"/>
        <v>2.0450817906946042</v>
      </c>
      <c r="AG127" s="306">
        <f t="shared" si="101"/>
        <v>87.469797673783248</v>
      </c>
      <c r="AH127" s="306">
        <f t="shared" si="72"/>
        <v>1.7042348255788369</v>
      </c>
      <c r="AI127" s="306">
        <f t="shared" si="102"/>
        <v>0</v>
      </c>
      <c r="AJ127" s="306">
        <f t="shared" si="103"/>
        <v>0</v>
      </c>
      <c r="AK127" s="306">
        <f t="shared" si="73"/>
        <v>2.0450817906946042</v>
      </c>
      <c r="AL127" s="306">
        <f t="shared" si="104"/>
        <v>0</v>
      </c>
      <c r="AM127" s="306">
        <f t="shared" si="74"/>
        <v>0</v>
      </c>
      <c r="AN127" s="304">
        <f>KcSplint!$N156</f>
        <v>0.93951055333449485</v>
      </c>
      <c r="AO127" s="304">
        <f t="shared" si="75"/>
        <v>0.8102962140161466</v>
      </c>
      <c r="AP127" s="304">
        <f t="shared" si="105"/>
        <v>0.8102962140161466</v>
      </c>
      <c r="AQ127" s="305">
        <f t="shared" si="106"/>
        <v>0.8102962140161466</v>
      </c>
      <c r="AR127" s="304">
        <f t="shared" si="107"/>
        <v>1.3809350269609995</v>
      </c>
      <c r="AS127" s="306">
        <f t="shared" si="76"/>
        <v>1.3809350269609995</v>
      </c>
      <c r="AT127" s="307">
        <f t="shared" si="108"/>
        <v>1.3809350269609995</v>
      </c>
      <c r="AU127" s="307">
        <f t="shared" si="109"/>
        <v>1.3809350269609995</v>
      </c>
      <c r="AV127" s="304">
        <f t="shared" si="77"/>
        <v>1.7042348255788369</v>
      </c>
      <c r="AW127" s="309">
        <f t="shared" si="78"/>
        <v>1.7042348255788369</v>
      </c>
      <c r="AX127" s="306">
        <f>IF(ISERROR(Weather!M111),#N/A,Weather!M111)</f>
        <v>6</v>
      </c>
      <c r="AY127" s="310">
        <f t="shared" si="79"/>
        <v>1</v>
      </c>
      <c r="AZ127" s="309">
        <f t="shared" si="80"/>
        <v>1.2</v>
      </c>
      <c r="BA127" s="309">
        <f t="shared" si="81"/>
        <v>87.469797673783248</v>
      </c>
      <c r="BB127" s="311">
        <f>Irrig!H129</f>
        <v>0</v>
      </c>
      <c r="BC127" s="310">
        <f t="shared" si="82"/>
        <v>2</v>
      </c>
      <c r="BD127" s="309">
        <f t="shared" si="83"/>
        <v>1.2</v>
      </c>
      <c r="BE127" s="309">
        <f t="shared" si="84"/>
        <v>1.2</v>
      </c>
      <c r="BF127" s="306">
        <f>DailyMet!H110</f>
        <v>11.31</v>
      </c>
      <c r="BG127" s="306">
        <f>DailyMet!I110</f>
        <v>7</v>
      </c>
      <c r="BH127" s="306">
        <f t="shared" si="85"/>
        <v>11.31</v>
      </c>
      <c r="BI127" s="306">
        <f t="shared" si="86"/>
        <v>10</v>
      </c>
      <c r="BJ127" s="306">
        <f t="shared" si="87"/>
        <v>0.65500000000000114</v>
      </c>
      <c r="BK127" s="306">
        <f t="shared" si="88"/>
        <v>0.65500000000000114</v>
      </c>
      <c r="BL127" s="304">
        <f t="shared" si="89"/>
        <v>0</v>
      </c>
      <c r="BM127" s="304">
        <f t="shared" si="90"/>
        <v>0.19908352668213469</v>
      </c>
      <c r="BN127" s="304">
        <f t="shared" si="111"/>
        <v>0.19908352668213469</v>
      </c>
      <c r="BO127" s="306">
        <f t="shared" si="112"/>
        <v>0.19908352668213469</v>
      </c>
      <c r="BP127" s="306"/>
    </row>
    <row r="128" spans="1:68">
      <c r="A128" s="299">
        <f t="shared" si="57"/>
        <v>1</v>
      </c>
      <c r="B128" s="300">
        <f t="shared" si="58"/>
        <v>38093</v>
      </c>
      <c r="C128" s="301" t="e">
        <f t="shared" si="91"/>
        <v>#N/A</v>
      </c>
      <c r="D128" s="301" t="e">
        <f t="shared" si="59"/>
        <v>#N/A</v>
      </c>
      <c r="E128" s="299">
        <f t="shared" si="60"/>
        <v>107</v>
      </c>
      <c r="F128" s="396">
        <f>Weather!M112</f>
        <v>7.6</v>
      </c>
      <c r="G128" s="301">
        <f>IF(Weather!C112="","",Weather!C112)</f>
        <v>1.4363211472069024</v>
      </c>
      <c r="H128" s="301">
        <f>IF(Weather!D112="","",Weather!D112)</f>
        <v>0.75456294317937433</v>
      </c>
      <c r="I128" s="502">
        <f>IF(Weather!E112="","",Weather!E112)</f>
        <v>0.75456294317937433</v>
      </c>
      <c r="J128" s="397">
        <f>IF(RnSplint!N156&lt;0,0,RnSplint!N156)</f>
        <v>30</v>
      </c>
      <c r="K128" s="302">
        <f t="shared" si="92"/>
        <v>0.2</v>
      </c>
      <c r="L128" s="303">
        <f t="shared" si="93"/>
        <v>38093</v>
      </c>
      <c r="M128" s="346" t="str">
        <f t="shared" si="61"/>
        <v/>
      </c>
      <c r="N128" s="304">
        <f t="shared" si="94"/>
        <v>0.2</v>
      </c>
      <c r="O128" s="304">
        <f t="shared" si="95"/>
        <v>0</v>
      </c>
      <c r="P128" s="304">
        <f t="shared" si="62"/>
        <v>0.2</v>
      </c>
      <c r="Q128" s="304">
        <f t="shared" si="63"/>
        <v>1.2</v>
      </c>
      <c r="R128" s="304">
        <f t="shared" si="64"/>
        <v>1.2</v>
      </c>
      <c r="S128" s="305">
        <f t="shared" si="96"/>
        <v>1.2</v>
      </c>
      <c r="T128" s="304">
        <f t="shared" si="65"/>
        <v>0.27004915985594335</v>
      </c>
      <c r="U128" s="304">
        <f t="shared" si="110"/>
        <v>0.27004915985594335</v>
      </c>
      <c r="V128" s="305">
        <f t="shared" si="66"/>
        <v>0.27004915985594335</v>
      </c>
      <c r="W128" s="305">
        <f t="shared" si="97"/>
        <v>0.2</v>
      </c>
      <c r="X128" s="304">
        <f t="shared" si="98"/>
        <v>1.2</v>
      </c>
      <c r="Z128" s="304" t="str">
        <f t="shared" si="67"/>
        <v/>
      </c>
      <c r="AA128" s="305">
        <f t="shared" si="68"/>
        <v>1.2</v>
      </c>
      <c r="AB128" s="304">
        <f t="shared" si="69"/>
        <v>0.9054755318152492</v>
      </c>
      <c r="AC128" s="304" t="str">
        <f t="shared" si="99"/>
        <v/>
      </c>
      <c r="AD128" s="306">
        <f t="shared" si="70"/>
        <v>2.9505573225098534</v>
      </c>
      <c r="AE128" s="307">
        <f t="shared" si="100"/>
        <v>0.9054755318152492</v>
      </c>
      <c r="AF128" s="308">
        <f t="shared" si="71"/>
        <v>2.9505573225098534</v>
      </c>
      <c r="AG128" s="306">
        <f t="shared" si="101"/>
        <v>88.224360616962628</v>
      </c>
      <c r="AH128" s="306">
        <f t="shared" si="72"/>
        <v>0.75456294317937433</v>
      </c>
      <c r="AI128" s="306">
        <f t="shared" si="102"/>
        <v>0</v>
      </c>
      <c r="AJ128" s="306">
        <f t="shared" si="103"/>
        <v>0</v>
      </c>
      <c r="AK128" s="306">
        <f t="shared" si="73"/>
        <v>0.9054755318152492</v>
      </c>
      <c r="AL128" s="306">
        <f t="shared" si="104"/>
        <v>0</v>
      </c>
      <c r="AM128" s="306">
        <f t="shared" si="74"/>
        <v>0</v>
      </c>
      <c r="AN128" s="304">
        <f>KcSplint!$N157</f>
        <v>0.94428462892244602</v>
      </c>
      <c r="AO128" s="304">
        <f t="shared" si="75"/>
        <v>0.8102962140161466</v>
      </c>
      <c r="AP128" s="304">
        <f t="shared" si="105"/>
        <v>0.8102962140161466</v>
      </c>
      <c r="AQ128" s="305">
        <f t="shared" si="106"/>
        <v>0.8102962140161466</v>
      </c>
      <c r="AR128" s="304">
        <f t="shared" si="107"/>
        <v>0.6114194960951278</v>
      </c>
      <c r="AS128" s="306">
        <f t="shared" si="76"/>
        <v>1.9923545230561273</v>
      </c>
      <c r="AT128" s="307">
        <f t="shared" si="108"/>
        <v>0.6114194960951278</v>
      </c>
      <c r="AU128" s="307">
        <f t="shared" si="109"/>
        <v>1.9923545230561273</v>
      </c>
      <c r="AV128" s="304">
        <f t="shared" si="77"/>
        <v>0.75456294317937433</v>
      </c>
      <c r="AW128" s="309">
        <f t="shared" si="78"/>
        <v>0.75456294317937433</v>
      </c>
      <c r="AX128" s="306">
        <f>IF(ISERROR(Weather!M112),#N/A,Weather!M112)</f>
        <v>7.6</v>
      </c>
      <c r="AY128" s="310">
        <f t="shared" si="79"/>
        <v>1</v>
      </c>
      <c r="AZ128" s="309">
        <f t="shared" si="80"/>
        <v>1.2</v>
      </c>
      <c r="BA128" s="309">
        <f t="shared" si="81"/>
        <v>88.224360616962628</v>
      </c>
      <c r="BB128" s="311">
        <f>Irrig!H130</f>
        <v>0</v>
      </c>
      <c r="BC128" s="310">
        <f t="shared" si="82"/>
        <v>3</v>
      </c>
      <c r="BD128" s="309">
        <f t="shared" si="83"/>
        <v>0.27004915985594335</v>
      </c>
      <c r="BE128" s="309">
        <f t="shared" si="84"/>
        <v>0.27004915985594335</v>
      </c>
      <c r="BF128" s="306">
        <f>DailyMet!H111</f>
        <v>11.22</v>
      </c>
      <c r="BG128" s="306">
        <f>DailyMet!I111</f>
        <v>8.1</v>
      </c>
      <c r="BH128" s="306">
        <f t="shared" si="85"/>
        <v>11.22</v>
      </c>
      <c r="BI128" s="306">
        <f t="shared" si="86"/>
        <v>10</v>
      </c>
      <c r="BJ128" s="306">
        <f t="shared" si="87"/>
        <v>0.60999999999999943</v>
      </c>
      <c r="BK128" s="306">
        <f t="shared" si="88"/>
        <v>1.2650000000000006</v>
      </c>
      <c r="BL128" s="304">
        <f t="shared" si="89"/>
        <v>0</v>
      </c>
      <c r="BM128" s="304">
        <f t="shared" si="90"/>
        <v>0.23852564102564119</v>
      </c>
      <c r="BN128" s="304">
        <f t="shared" si="111"/>
        <v>0.23852564102564119</v>
      </c>
      <c r="BO128" s="306">
        <f t="shared" si="112"/>
        <v>0.43760916770777591</v>
      </c>
      <c r="BP128" s="306"/>
    </row>
    <row r="129" spans="1:68">
      <c r="A129" s="299">
        <f t="shared" si="57"/>
        <v>1</v>
      </c>
      <c r="B129" s="300">
        <f t="shared" si="58"/>
        <v>38094</v>
      </c>
      <c r="C129" s="301" t="e">
        <f t="shared" si="91"/>
        <v>#N/A</v>
      </c>
      <c r="D129" s="301" t="e">
        <f t="shared" si="59"/>
        <v>#N/A</v>
      </c>
      <c r="E129" s="299">
        <f t="shared" si="60"/>
        <v>108</v>
      </c>
      <c r="F129" s="396">
        <f>Weather!M113</f>
        <v>0.2</v>
      </c>
      <c r="G129" s="301">
        <f>IF(Weather!C113="","",Weather!C113)</f>
        <v>1.4586920641558638</v>
      </c>
      <c r="H129" s="301">
        <f>IF(Weather!D113="","",Weather!D113)</f>
        <v>1.6714663384207553</v>
      </c>
      <c r="I129" s="502">
        <f>IF(Weather!E113="","",Weather!E113)</f>
        <v>1.6714663384207553</v>
      </c>
      <c r="J129" s="397">
        <f>IF(RnSplint!N157&lt;0,0,RnSplint!N157)</f>
        <v>29.507893046914287</v>
      </c>
      <c r="K129" s="302">
        <f t="shared" si="92"/>
        <v>0.2</v>
      </c>
      <c r="L129" s="303">
        <f t="shared" si="93"/>
        <v>38094</v>
      </c>
      <c r="M129" s="346" t="str">
        <f t="shared" si="61"/>
        <v/>
      </c>
      <c r="N129" s="304">
        <f t="shared" si="94"/>
        <v>0.2</v>
      </c>
      <c r="O129" s="304">
        <f t="shared" si="95"/>
        <v>0</v>
      </c>
      <c r="P129" s="304">
        <f t="shared" si="62"/>
        <v>0.2</v>
      </c>
      <c r="Q129" s="304">
        <f t="shared" si="63"/>
        <v>1.2</v>
      </c>
      <c r="R129" s="304">
        <f t="shared" si="64"/>
        <v>1.2</v>
      </c>
      <c r="S129" s="305">
        <f t="shared" si="96"/>
        <v>1.2</v>
      </c>
      <c r="T129" s="304">
        <f t="shared" si="65"/>
        <v>0.26744649347073873</v>
      </c>
      <c r="U129" s="304">
        <f t="shared" si="110"/>
        <v>0.26744649347073873</v>
      </c>
      <c r="V129" s="305">
        <f t="shared" si="66"/>
        <v>0.26744649347073873</v>
      </c>
      <c r="W129" s="305">
        <f t="shared" si="97"/>
        <v>0.2</v>
      </c>
      <c r="X129" s="304">
        <f t="shared" si="98"/>
        <v>1.2</v>
      </c>
      <c r="Z129" s="304" t="str">
        <f t="shared" si="67"/>
        <v/>
      </c>
      <c r="AA129" s="305">
        <f t="shared" si="68"/>
        <v>1.2</v>
      </c>
      <c r="AB129" s="304">
        <f t="shared" si="69"/>
        <v>2.0057596061049061</v>
      </c>
      <c r="AC129" s="304" t="str">
        <f t="shared" si="99"/>
        <v/>
      </c>
      <c r="AD129" s="306">
        <f t="shared" si="70"/>
        <v>4.9563169286147595</v>
      </c>
      <c r="AE129" s="307">
        <f t="shared" si="100"/>
        <v>2.0057596061049061</v>
      </c>
      <c r="AF129" s="308">
        <f t="shared" si="71"/>
        <v>4.9563169286147595</v>
      </c>
      <c r="AG129" s="306">
        <f t="shared" si="101"/>
        <v>89.895826955383384</v>
      </c>
      <c r="AH129" s="306">
        <f t="shared" si="72"/>
        <v>1.6714663384207553</v>
      </c>
      <c r="AI129" s="306">
        <f t="shared" si="102"/>
        <v>0</v>
      </c>
      <c r="AJ129" s="306">
        <f t="shared" si="103"/>
        <v>0</v>
      </c>
      <c r="AK129" s="306">
        <f t="shared" si="73"/>
        <v>2.0057596061049061</v>
      </c>
      <c r="AL129" s="306">
        <f t="shared" si="104"/>
        <v>0</v>
      </c>
      <c r="AM129" s="306">
        <f t="shared" si="74"/>
        <v>0</v>
      </c>
      <c r="AN129" s="304">
        <f>KcSplint!$N158</f>
        <v>0.94713910540949464</v>
      </c>
      <c r="AO129" s="304">
        <f t="shared" si="75"/>
        <v>0.8102962140161466</v>
      </c>
      <c r="AP129" s="304">
        <f t="shared" si="105"/>
        <v>0.8102962140161466</v>
      </c>
      <c r="AQ129" s="305">
        <f t="shared" si="106"/>
        <v>0.8102962140161466</v>
      </c>
      <c r="AR129" s="304">
        <f t="shared" si="107"/>
        <v>1.3543828458777694</v>
      </c>
      <c r="AS129" s="306">
        <f t="shared" si="76"/>
        <v>3.3467373689338968</v>
      </c>
      <c r="AT129" s="307">
        <f t="shared" si="108"/>
        <v>1.3543828458777694</v>
      </c>
      <c r="AU129" s="307">
        <f t="shared" si="109"/>
        <v>3.3467373689338968</v>
      </c>
      <c r="AV129" s="304">
        <f t="shared" si="77"/>
        <v>1.6714663384207553</v>
      </c>
      <c r="AW129" s="309">
        <f t="shared" si="78"/>
        <v>2.4260292816001297</v>
      </c>
      <c r="AX129" s="306">
        <f>IF(ISERROR(Weather!M113),#N/A,Weather!M113)</f>
        <v>0.2</v>
      </c>
      <c r="AY129" s="310">
        <f t="shared" si="79"/>
        <v>2</v>
      </c>
      <c r="AZ129" s="309">
        <f t="shared" si="80"/>
        <v>1.2</v>
      </c>
      <c r="BA129" s="309">
        <f t="shared" si="81"/>
        <v>89.895826955383384</v>
      </c>
      <c r="BB129" s="311">
        <f>Irrig!H131</f>
        <v>0</v>
      </c>
      <c r="BC129" s="310">
        <f t="shared" si="82"/>
        <v>4</v>
      </c>
      <c r="BD129" s="309">
        <f t="shared" si="83"/>
        <v>0.26744649347073873</v>
      </c>
      <c r="BE129" s="309">
        <f t="shared" si="84"/>
        <v>0.26744649347073873</v>
      </c>
      <c r="BF129" s="306">
        <f>DailyMet!H112</f>
        <v>12.44</v>
      </c>
      <c r="BG129" s="306">
        <f>DailyMet!I112</f>
        <v>7.4</v>
      </c>
      <c r="BH129" s="306">
        <f t="shared" si="85"/>
        <v>12.44</v>
      </c>
      <c r="BI129" s="306">
        <f t="shared" si="86"/>
        <v>10</v>
      </c>
      <c r="BJ129" s="306">
        <f t="shared" si="87"/>
        <v>1.2199999999999989</v>
      </c>
      <c r="BK129" s="306">
        <f t="shared" si="88"/>
        <v>2.4849999999999994</v>
      </c>
      <c r="BL129" s="304">
        <f t="shared" si="89"/>
        <v>0</v>
      </c>
      <c r="BM129" s="304">
        <f t="shared" si="90"/>
        <v>0.59063492063492051</v>
      </c>
      <c r="BN129" s="304">
        <f t="shared" si="111"/>
        <v>0.59063492063492051</v>
      </c>
      <c r="BO129" s="306">
        <f t="shared" si="112"/>
        <v>1.0282440883426964</v>
      </c>
      <c r="BP129" s="306"/>
    </row>
    <row r="130" spans="1:68">
      <c r="A130" s="299">
        <f t="shared" si="57"/>
        <v>1</v>
      </c>
      <c r="B130" s="300">
        <f t="shared" si="58"/>
        <v>38095</v>
      </c>
      <c r="C130" s="301" t="e">
        <f t="shared" si="91"/>
        <v>#N/A</v>
      </c>
      <c r="D130" s="301" t="e">
        <f t="shared" si="59"/>
        <v>#N/A</v>
      </c>
      <c r="E130" s="299">
        <f t="shared" si="60"/>
        <v>109</v>
      </c>
      <c r="F130" s="396">
        <f>Weather!M114</f>
        <v>0.6</v>
      </c>
      <c r="G130" s="301">
        <f>IF(Weather!C114="","",Weather!C114)</f>
        <v>1.4838768999128071</v>
      </c>
      <c r="H130" s="301">
        <f>IF(Weather!D114="","",Weather!D114)</f>
        <v>2.3496203991815219</v>
      </c>
      <c r="I130" s="502">
        <f>IF(Weather!E114="","",Weather!E114)</f>
        <v>2.3496203991815219</v>
      </c>
      <c r="J130" s="397">
        <f>IF(RnSplint!N158&lt;0,0,RnSplint!N158)</f>
        <v>28.976634388923969</v>
      </c>
      <c r="K130" s="302">
        <f t="shared" si="92"/>
        <v>0.2</v>
      </c>
      <c r="L130" s="303">
        <f t="shared" si="93"/>
        <v>38095</v>
      </c>
      <c r="M130" s="346" t="str">
        <f t="shared" si="61"/>
        <v/>
      </c>
      <c r="N130" s="304">
        <f t="shared" si="94"/>
        <v>0.2</v>
      </c>
      <c r="O130" s="304">
        <f t="shared" si="95"/>
        <v>0</v>
      </c>
      <c r="P130" s="304">
        <f t="shared" si="62"/>
        <v>0.2</v>
      </c>
      <c r="Q130" s="304">
        <f t="shared" si="63"/>
        <v>1.2</v>
      </c>
      <c r="R130" s="304">
        <f t="shared" si="64"/>
        <v>1.2</v>
      </c>
      <c r="S130" s="305">
        <f t="shared" si="96"/>
        <v>1.2</v>
      </c>
      <c r="T130" s="304">
        <f t="shared" si="65"/>
        <v>0.26390943497186192</v>
      </c>
      <c r="U130" s="304">
        <f t="shared" si="110"/>
        <v>0.26390943497186192</v>
      </c>
      <c r="V130" s="305">
        <f t="shared" si="66"/>
        <v>0.26390943497186192</v>
      </c>
      <c r="W130" s="305">
        <f t="shared" si="97"/>
        <v>0.2</v>
      </c>
      <c r="X130" s="304">
        <f t="shared" si="98"/>
        <v>1.2</v>
      </c>
      <c r="Z130" s="304" t="str">
        <f t="shared" si="67"/>
        <v/>
      </c>
      <c r="AA130" s="305">
        <f t="shared" si="68"/>
        <v>1.2</v>
      </c>
      <c r="AB130" s="304">
        <f t="shared" si="69"/>
        <v>2.8195444790178263</v>
      </c>
      <c r="AC130" s="304" t="str">
        <f t="shared" si="99"/>
        <v/>
      </c>
      <c r="AD130" s="306">
        <f t="shared" si="70"/>
        <v>7.7758614076325863</v>
      </c>
      <c r="AE130" s="307">
        <f t="shared" si="100"/>
        <v>2.8195444790178263</v>
      </c>
      <c r="AF130" s="308">
        <f t="shared" si="71"/>
        <v>7.7758614076325863</v>
      </c>
      <c r="AG130" s="306">
        <f t="shared" si="101"/>
        <v>92.245447354564902</v>
      </c>
      <c r="AH130" s="306">
        <f t="shared" si="72"/>
        <v>2.3496203991815219</v>
      </c>
      <c r="AI130" s="306">
        <f t="shared" si="102"/>
        <v>0</v>
      </c>
      <c r="AJ130" s="306">
        <f t="shared" si="103"/>
        <v>0</v>
      </c>
      <c r="AK130" s="306">
        <f t="shared" si="73"/>
        <v>2.8195444790178263</v>
      </c>
      <c r="AL130" s="306">
        <f t="shared" si="104"/>
        <v>0</v>
      </c>
      <c r="AM130" s="306">
        <f t="shared" si="74"/>
        <v>0</v>
      </c>
      <c r="AN130" s="304">
        <f>KcSplint!$N159</f>
        <v>0.94817802152881203</v>
      </c>
      <c r="AO130" s="304">
        <f t="shared" si="75"/>
        <v>0.8102962140161466</v>
      </c>
      <c r="AP130" s="304">
        <f t="shared" si="105"/>
        <v>0.8102962140161466</v>
      </c>
      <c r="AQ130" s="305">
        <f t="shared" si="106"/>
        <v>0.8102962140161466</v>
      </c>
      <c r="AR130" s="304">
        <f t="shared" si="107"/>
        <v>1.9038885138318942</v>
      </c>
      <c r="AS130" s="306">
        <f t="shared" si="76"/>
        <v>5.2506258827657906</v>
      </c>
      <c r="AT130" s="307">
        <f t="shared" si="108"/>
        <v>1.9038885138318942</v>
      </c>
      <c r="AU130" s="307">
        <f t="shared" si="109"/>
        <v>5.2506258827657906</v>
      </c>
      <c r="AV130" s="304">
        <f t="shared" si="77"/>
        <v>2.3496203991815219</v>
      </c>
      <c r="AW130" s="309">
        <f t="shared" si="78"/>
        <v>4.7756496807816511</v>
      </c>
      <c r="AX130" s="306">
        <f>IF(ISERROR(Weather!M114),#N/A,Weather!M114)</f>
        <v>0.6</v>
      </c>
      <c r="AY130" s="310">
        <f t="shared" si="79"/>
        <v>3</v>
      </c>
      <c r="AZ130" s="309">
        <f t="shared" si="80"/>
        <v>1.2</v>
      </c>
      <c r="BA130" s="309">
        <f t="shared" si="81"/>
        <v>92.245447354564902</v>
      </c>
      <c r="BB130" s="311">
        <f>Irrig!H132</f>
        <v>0</v>
      </c>
      <c r="BC130" s="310">
        <f t="shared" si="82"/>
        <v>5</v>
      </c>
      <c r="BD130" s="309">
        <f t="shared" si="83"/>
        <v>0.26390943497186192</v>
      </c>
      <c r="BE130" s="309">
        <f t="shared" si="84"/>
        <v>0.26390943497186192</v>
      </c>
      <c r="BF130" s="306">
        <f>DailyMet!H113</f>
        <v>11.4</v>
      </c>
      <c r="BG130" s="306">
        <f>DailyMet!I113</f>
        <v>7.1</v>
      </c>
      <c r="BH130" s="306">
        <f t="shared" si="85"/>
        <v>11.4</v>
      </c>
      <c r="BI130" s="306">
        <f t="shared" si="86"/>
        <v>10</v>
      </c>
      <c r="BJ130" s="306">
        <f t="shared" si="87"/>
        <v>0.69999999999999929</v>
      </c>
      <c r="BK130" s="306">
        <f t="shared" si="88"/>
        <v>3.1849999999999987</v>
      </c>
      <c r="BL130" s="304">
        <f t="shared" si="89"/>
        <v>0</v>
      </c>
      <c r="BM130" s="304">
        <f t="shared" si="90"/>
        <v>0.22790697674418614</v>
      </c>
      <c r="BN130" s="304">
        <f t="shared" si="111"/>
        <v>0.22790697674418614</v>
      </c>
      <c r="BO130" s="306">
        <f t="shared" si="112"/>
        <v>1.2561510650868826</v>
      </c>
      <c r="BP130" s="306"/>
    </row>
    <row r="131" spans="1:68">
      <c r="A131" s="299">
        <f t="shared" si="57"/>
        <v>1</v>
      </c>
      <c r="B131" s="300">
        <f t="shared" si="58"/>
        <v>38096</v>
      </c>
      <c r="C131" s="301" t="e">
        <f t="shared" si="91"/>
        <v>#N/A</v>
      </c>
      <c r="D131" s="301" t="e">
        <f t="shared" si="59"/>
        <v>#N/A</v>
      </c>
      <c r="E131" s="299">
        <f t="shared" si="60"/>
        <v>110</v>
      </c>
      <c r="F131" s="396">
        <f>Weather!M115</f>
        <v>1.4</v>
      </c>
      <c r="G131" s="301">
        <f>IF(Weather!C115="","",Weather!C115)</f>
        <v>1.5117613963146546</v>
      </c>
      <c r="H131" s="301">
        <f>IF(Weather!D115="","",Weather!D115)</f>
        <v>2.1232463360499847</v>
      </c>
      <c r="I131" s="502">
        <f>IF(Weather!E115="","",Weather!E115)</f>
        <v>2.1232463360499847</v>
      </c>
      <c r="J131" s="397">
        <f>IF(RnSplint!N159&lt;0,0,RnSplint!N159)</f>
        <v>28.408574814262071</v>
      </c>
      <c r="K131" s="302">
        <f t="shared" si="92"/>
        <v>0.2</v>
      </c>
      <c r="L131" s="303">
        <f t="shared" si="93"/>
        <v>38096</v>
      </c>
      <c r="M131" s="346" t="str">
        <f t="shared" si="61"/>
        <v/>
      </c>
      <c r="N131" s="304">
        <f t="shared" si="94"/>
        <v>0.2</v>
      </c>
      <c r="O131" s="304">
        <f t="shared" si="95"/>
        <v>0</v>
      </c>
      <c r="P131" s="304">
        <f t="shared" si="62"/>
        <v>0.2</v>
      </c>
      <c r="Q131" s="304">
        <f t="shared" si="63"/>
        <v>1.0059033012851073</v>
      </c>
      <c r="R131" s="304">
        <f t="shared" si="64"/>
        <v>1.0059033012851073</v>
      </c>
      <c r="S131" s="305">
        <f t="shared" si="96"/>
        <v>1.0059033012851073</v>
      </c>
      <c r="T131" s="304">
        <f t="shared" si="65"/>
        <v>0.26082864658055199</v>
      </c>
      <c r="U131" s="304">
        <f t="shared" si="110"/>
        <v>0.26082864658055199</v>
      </c>
      <c r="V131" s="305">
        <f t="shared" si="66"/>
        <v>0.26082864658055199</v>
      </c>
      <c r="W131" s="305">
        <f t="shared" si="97"/>
        <v>0.2</v>
      </c>
      <c r="X131" s="304">
        <f t="shared" si="98"/>
        <v>1.0059033012851073</v>
      </c>
      <c r="Z131" s="304" t="str">
        <f t="shared" si="67"/>
        <v/>
      </c>
      <c r="AA131" s="305">
        <f t="shared" si="68"/>
        <v>1.0059033012851073</v>
      </c>
      <c r="AB131" s="304">
        <f t="shared" si="69"/>
        <v>2.1357804988741877</v>
      </c>
      <c r="AC131" s="304" t="str">
        <f t="shared" si="99"/>
        <v/>
      </c>
      <c r="AD131" s="306">
        <f t="shared" si="70"/>
        <v>9.9116419065067731</v>
      </c>
      <c r="AE131" s="307">
        <f t="shared" si="100"/>
        <v>2.1357804988741877</v>
      </c>
      <c r="AF131" s="308">
        <f t="shared" si="71"/>
        <v>9.9116419065067731</v>
      </c>
      <c r="AG131" s="306">
        <f t="shared" si="101"/>
        <v>94.36869369061489</v>
      </c>
      <c r="AH131" s="306">
        <f t="shared" si="72"/>
        <v>2.1232463360499847</v>
      </c>
      <c r="AI131" s="306">
        <f t="shared" si="102"/>
        <v>0</v>
      </c>
      <c r="AJ131" s="306">
        <f t="shared" si="103"/>
        <v>0</v>
      </c>
      <c r="AK131" s="306">
        <f t="shared" si="73"/>
        <v>2.1357804988741877</v>
      </c>
      <c r="AL131" s="306">
        <f t="shared" si="104"/>
        <v>0</v>
      </c>
      <c r="AM131" s="306">
        <f t="shared" si="74"/>
        <v>0</v>
      </c>
      <c r="AN131" s="304">
        <f>KcSplint!$N160</f>
        <v>0.9475054160135703</v>
      </c>
      <c r="AO131" s="304">
        <f t="shared" si="75"/>
        <v>0.8102962140161466</v>
      </c>
      <c r="AP131" s="304">
        <f t="shared" si="105"/>
        <v>0.8102962140161466</v>
      </c>
      <c r="AQ131" s="305">
        <f t="shared" si="106"/>
        <v>0.8102962140161466</v>
      </c>
      <c r="AR131" s="304">
        <f t="shared" si="107"/>
        <v>1.7204584675249575</v>
      </c>
      <c r="AS131" s="306">
        <f t="shared" si="76"/>
        <v>6.9710843502907478</v>
      </c>
      <c r="AT131" s="307">
        <f t="shared" si="108"/>
        <v>1.7204584675249575</v>
      </c>
      <c r="AU131" s="307">
        <f t="shared" si="109"/>
        <v>6.9710843502907478</v>
      </c>
      <c r="AV131" s="304">
        <f t="shared" si="77"/>
        <v>2.1232463360499847</v>
      </c>
      <c r="AW131" s="309">
        <f t="shared" si="78"/>
        <v>6.8988960168316353</v>
      </c>
      <c r="AX131" s="306">
        <f>IF(ISERROR(Weather!M115),#N/A,Weather!M115)</f>
        <v>1.4</v>
      </c>
      <c r="AY131" s="310">
        <f t="shared" si="79"/>
        <v>4</v>
      </c>
      <c r="AZ131" s="309">
        <f t="shared" si="80"/>
        <v>1.0059033012851073</v>
      </c>
      <c r="BA131" s="309">
        <f t="shared" si="81"/>
        <v>94.36869369061489</v>
      </c>
      <c r="BB131" s="311">
        <f>Irrig!H133</f>
        <v>0</v>
      </c>
      <c r="BC131" s="310">
        <f t="shared" si="82"/>
        <v>6</v>
      </c>
      <c r="BD131" s="309">
        <f t="shared" si="83"/>
        <v>0.26082864658055199</v>
      </c>
      <c r="BE131" s="309">
        <f t="shared" si="84"/>
        <v>0.26082864658055199</v>
      </c>
      <c r="BF131" s="306">
        <f>DailyMet!H114</f>
        <v>11.37</v>
      </c>
      <c r="BG131" s="306">
        <f>DailyMet!I114</f>
        <v>5.8</v>
      </c>
      <c r="BH131" s="306">
        <f t="shared" si="85"/>
        <v>11.37</v>
      </c>
      <c r="BI131" s="306">
        <f t="shared" si="86"/>
        <v>10</v>
      </c>
      <c r="BJ131" s="306">
        <f t="shared" si="87"/>
        <v>0.68499999999999872</v>
      </c>
      <c r="BK131" s="306">
        <f t="shared" si="88"/>
        <v>3.8699999999999974</v>
      </c>
      <c r="BL131" s="304">
        <f t="shared" si="89"/>
        <v>0</v>
      </c>
      <c r="BM131" s="304">
        <f t="shared" si="90"/>
        <v>0.16848294434470359</v>
      </c>
      <c r="BN131" s="304">
        <f t="shared" si="111"/>
        <v>0.16848294434470359</v>
      </c>
      <c r="BO131" s="306">
        <f t="shared" si="112"/>
        <v>1.4246340094315861</v>
      </c>
      <c r="BP131" s="306"/>
    </row>
    <row r="132" spans="1:68">
      <c r="A132" s="299">
        <f t="shared" si="57"/>
        <v>1</v>
      </c>
      <c r="B132" s="300">
        <f t="shared" si="58"/>
        <v>38097</v>
      </c>
      <c r="C132" s="301" t="e">
        <f t="shared" si="91"/>
        <v>#N/A</v>
      </c>
      <c r="D132" s="301" t="e">
        <f t="shared" si="59"/>
        <v>#N/A</v>
      </c>
      <c r="E132" s="299">
        <f t="shared" si="60"/>
        <v>111</v>
      </c>
      <c r="F132" s="396">
        <f>Weather!M116</f>
        <v>3.2</v>
      </c>
      <c r="G132" s="301">
        <f>IF(Weather!C116="","",Weather!C116)</f>
        <v>1.5422312951983292</v>
      </c>
      <c r="H132" s="301">
        <f>IF(Weather!D116="","",Weather!D116)</f>
        <v>2.3856445539884792</v>
      </c>
      <c r="I132" s="502">
        <f>IF(Weather!E116="","",Weather!E116)</f>
        <v>2.3856445539884792</v>
      </c>
      <c r="J132" s="397">
        <f>IF(RnSplint!N160&lt;0,0,RnSplint!N160)</f>
        <v>27.806065111161619</v>
      </c>
      <c r="K132" s="302">
        <f t="shared" si="92"/>
        <v>0.2</v>
      </c>
      <c r="L132" s="303">
        <f t="shared" si="93"/>
        <v>38097</v>
      </c>
      <c r="M132" s="346" t="str">
        <f t="shared" si="61"/>
        <v/>
      </c>
      <c r="N132" s="304">
        <f t="shared" si="94"/>
        <v>0.2</v>
      </c>
      <c r="O132" s="304">
        <f t="shared" si="95"/>
        <v>0</v>
      </c>
      <c r="P132" s="304">
        <f t="shared" si="62"/>
        <v>0.2</v>
      </c>
      <c r="Q132" s="304">
        <f t="shared" si="63"/>
        <v>0.86298278178263155</v>
      </c>
      <c r="R132" s="304">
        <f t="shared" si="64"/>
        <v>0.86298278178263155</v>
      </c>
      <c r="S132" s="305">
        <f t="shared" si="96"/>
        <v>0.86298278178263155</v>
      </c>
      <c r="T132" s="304">
        <f t="shared" si="65"/>
        <v>0.25749011191747878</v>
      </c>
      <c r="U132" s="304">
        <f t="shared" si="110"/>
        <v>0.25749011191747878</v>
      </c>
      <c r="V132" s="305">
        <f t="shared" si="66"/>
        <v>0.25749011191747878</v>
      </c>
      <c r="W132" s="305">
        <f t="shared" si="97"/>
        <v>0.2</v>
      </c>
      <c r="X132" s="304">
        <f t="shared" si="98"/>
        <v>0.86298278178263155</v>
      </c>
      <c r="Z132" s="304" t="str">
        <f t="shared" si="67"/>
        <v/>
      </c>
      <c r="AA132" s="305">
        <f t="shared" si="68"/>
        <v>0.86298278178263155</v>
      </c>
      <c r="AB132" s="304">
        <f t="shared" si="69"/>
        <v>2.0587701735455632</v>
      </c>
      <c r="AC132" s="304" t="str">
        <f t="shared" si="99"/>
        <v/>
      </c>
      <c r="AD132" s="306">
        <f t="shared" si="70"/>
        <v>11.970412080052336</v>
      </c>
      <c r="AE132" s="307">
        <f t="shared" si="100"/>
        <v>2.0587701735455632</v>
      </c>
      <c r="AF132" s="308">
        <f t="shared" si="71"/>
        <v>11.970412080052336</v>
      </c>
      <c r="AG132" s="306">
        <f t="shared" si="101"/>
        <v>96.754338244603375</v>
      </c>
      <c r="AH132" s="306">
        <f t="shared" si="72"/>
        <v>2.3856445539884792</v>
      </c>
      <c r="AI132" s="306">
        <f t="shared" si="102"/>
        <v>0</v>
      </c>
      <c r="AJ132" s="306">
        <f t="shared" si="103"/>
        <v>0</v>
      </c>
      <c r="AK132" s="306">
        <f t="shared" si="73"/>
        <v>2.0587701735455632</v>
      </c>
      <c r="AL132" s="306">
        <f t="shared" si="104"/>
        <v>0</v>
      </c>
      <c r="AM132" s="306">
        <f t="shared" si="74"/>
        <v>0</v>
      </c>
      <c r="AN132" s="304">
        <f>KcSplint!$N161</f>
        <v>0.94522532759694056</v>
      </c>
      <c r="AO132" s="304">
        <f t="shared" si="75"/>
        <v>0.8102962140161466</v>
      </c>
      <c r="AP132" s="304">
        <f t="shared" si="105"/>
        <v>0.8102962140161466</v>
      </c>
      <c r="AQ132" s="305">
        <f t="shared" si="106"/>
        <v>0.8102962140161466</v>
      </c>
      <c r="AR132" s="304">
        <f t="shared" si="107"/>
        <v>1.9330787500851034</v>
      </c>
      <c r="AS132" s="306">
        <f t="shared" si="76"/>
        <v>8.9041631003758503</v>
      </c>
      <c r="AT132" s="307">
        <f t="shared" si="108"/>
        <v>1.9330787500851034</v>
      </c>
      <c r="AU132" s="307">
        <f t="shared" si="109"/>
        <v>8.9041631003758503</v>
      </c>
      <c r="AV132" s="304">
        <f t="shared" si="77"/>
        <v>2.3856445539884792</v>
      </c>
      <c r="AW132" s="309">
        <f t="shared" si="78"/>
        <v>9.2845405708201145</v>
      </c>
      <c r="AX132" s="306">
        <f>IF(ISERROR(Weather!M116),#N/A,Weather!M116)</f>
        <v>3.2</v>
      </c>
      <c r="AY132" s="310">
        <f t="shared" si="79"/>
        <v>5</v>
      </c>
      <c r="AZ132" s="309">
        <f t="shared" si="80"/>
        <v>0.86298278178263155</v>
      </c>
      <c r="BA132" s="309">
        <f t="shared" si="81"/>
        <v>96.754338244603375</v>
      </c>
      <c r="BB132" s="311">
        <f>Irrig!H134</f>
        <v>0</v>
      </c>
      <c r="BC132" s="310">
        <f t="shared" si="82"/>
        <v>7</v>
      </c>
      <c r="BD132" s="309">
        <f t="shared" si="83"/>
        <v>0.25749011191747878</v>
      </c>
      <c r="BE132" s="309">
        <f t="shared" si="84"/>
        <v>0.25749011191747878</v>
      </c>
      <c r="BF132" s="306">
        <f>DailyMet!H115</f>
        <v>11.97</v>
      </c>
      <c r="BG132" s="306">
        <f>DailyMet!I115</f>
        <v>8.3000000000000007</v>
      </c>
      <c r="BH132" s="306">
        <f t="shared" si="85"/>
        <v>11.97</v>
      </c>
      <c r="BI132" s="306">
        <f t="shared" si="86"/>
        <v>10</v>
      </c>
      <c r="BJ132" s="306">
        <f t="shared" si="87"/>
        <v>0.98499999999999943</v>
      </c>
      <c r="BK132" s="306">
        <f t="shared" si="88"/>
        <v>4.8549999999999969</v>
      </c>
      <c r="BL132" s="304">
        <f t="shared" si="89"/>
        <v>0</v>
      </c>
      <c r="BM132" s="304">
        <f t="shared" si="90"/>
        <v>0.52873297002724828</v>
      </c>
      <c r="BN132" s="304">
        <f t="shared" si="111"/>
        <v>0.52873297002724828</v>
      </c>
      <c r="BO132" s="306">
        <f t="shared" si="112"/>
        <v>1.9533669794588344</v>
      </c>
      <c r="BP132" s="306"/>
    </row>
    <row r="133" spans="1:68">
      <c r="A133" s="299">
        <f t="shared" si="57"/>
        <v>1</v>
      </c>
      <c r="B133" s="300">
        <f t="shared" si="58"/>
        <v>38098</v>
      </c>
      <c r="C133" s="301" t="e">
        <f t="shared" si="91"/>
        <v>#N/A</v>
      </c>
      <c r="D133" s="301" t="e">
        <f t="shared" si="59"/>
        <v>#N/A</v>
      </c>
      <c r="E133" s="299">
        <f t="shared" si="60"/>
        <v>112</v>
      </c>
      <c r="F133" s="396">
        <f>Weather!M117</f>
        <v>0</v>
      </c>
      <c r="G133" s="301">
        <f>IF(Weather!C117="","",Weather!C117)</f>
        <v>1.5751723384007537</v>
      </c>
      <c r="H133" s="301">
        <f>IF(Weather!D117="","",Weather!D117)</f>
        <v>2.5681773320425307</v>
      </c>
      <c r="I133" s="502">
        <f>IF(Weather!E117="","",Weather!E117)</f>
        <v>2.5681773320425307</v>
      </c>
      <c r="J133" s="397">
        <f>IF(RnSplint!N161&lt;0,0,RnSplint!N161)</f>
        <v>27.171456067855633</v>
      </c>
      <c r="K133" s="302">
        <f t="shared" si="92"/>
        <v>0.2</v>
      </c>
      <c r="L133" s="303">
        <f t="shared" si="93"/>
        <v>38098</v>
      </c>
      <c r="M133" s="346" t="str">
        <f t="shared" si="61"/>
        <v/>
      </c>
      <c r="N133" s="304">
        <f t="shared" si="94"/>
        <v>0.2</v>
      </c>
      <c r="O133" s="304">
        <f t="shared" si="95"/>
        <v>0</v>
      </c>
      <c r="P133" s="304">
        <f t="shared" si="62"/>
        <v>0.2</v>
      </c>
      <c r="Q133" s="304">
        <f t="shared" si="63"/>
        <v>0.76081040825379398</v>
      </c>
      <c r="R133" s="304">
        <f t="shared" si="64"/>
        <v>0.76081040825379398</v>
      </c>
      <c r="S133" s="305">
        <f t="shared" si="96"/>
        <v>0.76081040825379398</v>
      </c>
      <c r="T133" s="304">
        <f t="shared" si="65"/>
        <v>0.25403285430879274</v>
      </c>
      <c r="U133" s="304">
        <f t="shared" si="110"/>
        <v>0.25403285430879274</v>
      </c>
      <c r="V133" s="305">
        <f t="shared" si="66"/>
        <v>0.25403285430879274</v>
      </c>
      <c r="W133" s="305">
        <f t="shared" si="97"/>
        <v>0.2</v>
      </c>
      <c r="X133" s="304">
        <f t="shared" si="98"/>
        <v>0.76081040825379398</v>
      </c>
      <c r="Z133" s="304" t="str">
        <f t="shared" si="67"/>
        <v/>
      </c>
      <c r="AA133" s="305">
        <f t="shared" si="68"/>
        <v>0.76081040825379398</v>
      </c>
      <c r="AB133" s="304">
        <f t="shared" si="69"/>
        <v>1.9538960444594173</v>
      </c>
      <c r="AC133" s="304" t="str">
        <f t="shared" si="99"/>
        <v/>
      </c>
      <c r="AD133" s="306">
        <f t="shared" si="70"/>
        <v>13.924308124511754</v>
      </c>
      <c r="AE133" s="307">
        <f t="shared" si="100"/>
        <v>1.9538960444594173</v>
      </c>
      <c r="AF133" s="308">
        <f t="shared" si="71"/>
        <v>13.924308124511754</v>
      </c>
      <c r="AG133" s="306">
        <f t="shared" si="101"/>
        <v>99.322515576645912</v>
      </c>
      <c r="AH133" s="306">
        <f t="shared" si="72"/>
        <v>2.5681773320425307</v>
      </c>
      <c r="AI133" s="306">
        <f t="shared" si="102"/>
        <v>0</v>
      </c>
      <c r="AJ133" s="306">
        <f t="shared" si="103"/>
        <v>0</v>
      </c>
      <c r="AK133" s="306">
        <f t="shared" si="73"/>
        <v>1.9538960444594173</v>
      </c>
      <c r="AL133" s="306">
        <f t="shared" si="104"/>
        <v>0</v>
      </c>
      <c r="AM133" s="306">
        <f t="shared" si="74"/>
        <v>0</v>
      </c>
      <c r="AN133" s="304">
        <f>KcSplint!$N162</f>
        <v>0.94144179501209491</v>
      </c>
      <c r="AO133" s="304">
        <f t="shared" si="75"/>
        <v>0.8102962140161466</v>
      </c>
      <c r="AP133" s="304">
        <f t="shared" si="105"/>
        <v>0.8102962140161466</v>
      </c>
      <c r="AQ133" s="305">
        <f t="shared" si="106"/>
        <v>0.8102962140161466</v>
      </c>
      <c r="AR133" s="304">
        <f t="shared" si="107"/>
        <v>2.0809843690761509</v>
      </c>
      <c r="AS133" s="306">
        <f t="shared" si="76"/>
        <v>10.985147469452002</v>
      </c>
      <c r="AT133" s="307">
        <f t="shared" si="108"/>
        <v>2.0809843690761509</v>
      </c>
      <c r="AU133" s="307">
        <f t="shared" si="109"/>
        <v>10.985147469452002</v>
      </c>
      <c r="AV133" s="304">
        <f t="shared" si="77"/>
        <v>2.5681773320425307</v>
      </c>
      <c r="AW133" s="309">
        <f t="shared" si="78"/>
        <v>11.852717902862645</v>
      </c>
      <c r="AX133" s="306">
        <f>IF(ISERROR(Weather!M117),#N/A,Weather!M117)</f>
        <v>0</v>
      </c>
      <c r="AY133" s="310">
        <f t="shared" si="79"/>
        <v>6</v>
      </c>
      <c r="AZ133" s="309">
        <f t="shared" si="80"/>
        <v>0.76081040825379398</v>
      </c>
      <c r="BA133" s="309">
        <f t="shared" si="81"/>
        <v>99.322515576645912</v>
      </c>
      <c r="BB133" s="311">
        <f>Irrig!H135</f>
        <v>0</v>
      </c>
      <c r="BC133" s="310">
        <f t="shared" si="82"/>
        <v>8</v>
      </c>
      <c r="BD133" s="309">
        <f t="shared" si="83"/>
        <v>0.25403285430879274</v>
      </c>
      <c r="BE133" s="309">
        <f t="shared" si="84"/>
        <v>0.25403285430879274</v>
      </c>
      <c r="BF133" s="306">
        <f>DailyMet!H116</f>
        <v>13.45</v>
      </c>
      <c r="BG133" s="306">
        <f>DailyMet!I116</f>
        <v>5.6</v>
      </c>
      <c r="BH133" s="306">
        <f t="shared" si="85"/>
        <v>13.45</v>
      </c>
      <c r="BI133" s="306">
        <f t="shared" si="86"/>
        <v>10</v>
      </c>
      <c r="BJ133" s="306">
        <f t="shared" si="87"/>
        <v>1.7249999999999996</v>
      </c>
      <c r="BK133" s="306">
        <f t="shared" si="88"/>
        <v>6.5799999999999965</v>
      </c>
      <c r="BL133" s="304">
        <f t="shared" si="89"/>
        <v>0</v>
      </c>
      <c r="BM133" s="304">
        <f t="shared" si="90"/>
        <v>0.75812101910827989</v>
      </c>
      <c r="BN133" s="304">
        <f t="shared" si="111"/>
        <v>0.75812101910827989</v>
      </c>
      <c r="BO133" s="306">
        <f t="shared" si="112"/>
        <v>2.7114879985671143</v>
      </c>
      <c r="BP133" s="306"/>
    </row>
    <row r="134" spans="1:68">
      <c r="A134" s="299">
        <f t="shared" si="57"/>
        <v>1</v>
      </c>
      <c r="B134" s="300">
        <f t="shared" si="58"/>
        <v>38099</v>
      </c>
      <c r="C134" s="301" t="e">
        <f t="shared" si="91"/>
        <v>#N/A</v>
      </c>
      <c r="D134" s="301" t="e">
        <f t="shared" si="59"/>
        <v>#N/A</v>
      </c>
      <c r="E134" s="299">
        <f t="shared" si="60"/>
        <v>113</v>
      </c>
      <c r="F134" s="396">
        <f>Weather!M118</f>
        <v>0</v>
      </c>
      <c r="G134" s="301">
        <f>IF(Weather!C118="","",Weather!C118)</f>
        <v>1.6104702677588503</v>
      </c>
      <c r="H134" s="301">
        <f>IF(Weather!D118="","",Weather!D118)</f>
        <v>2.6660228759485736</v>
      </c>
      <c r="I134" s="502">
        <f>IF(Weather!E118="","",Weather!E118)</f>
        <v>2.6660228759485736</v>
      </c>
      <c r="J134" s="397">
        <f>IF(RnSplint!N162&lt;0,0,RnSplint!N162)</f>
        <v>26.507098472577134</v>
      </c>
      <c r="K134" s="302">
        <f t="shared" si="92"/>
        <v>0.2</v>
      </c>
      <c r="L134" s="303">
        <f t="shared" si="93"/>
        <v>38099</v>
      </c>
      <c r="M134" s="346" t="str">
        <f t="shared" si="61"/>
        <v/>
      </c>
      <c r="N134" s="304">
        <f t="shared" si="94"/>
        <v>0.2</v>
      </c>
      <c r="O134" s="304">
        <f t="shared" si="95"/>
        <v>0</v>
      </c>
      <c r="P134" s="304">
        <f t="shared" si="62"/>
        <v>0.2</v>
      </c>
      <c r="Q134" s="304">
        <f t="shared" si="63"/>
        <v>0.68519023934204704</v>
      </c>
      <c r="R134" s="304">
        <f t="shared" si="64"/>
        <v>0.68519023934204704</v>
      </c>
      <c r="S134" s="305">
        <f t="shared" si="96"/>
        <v>0.68519023934204704</v>
      </c>
      <c r="T134" s="304">
        <f t="shared" si="65"/>
        <v>0.25058438263964083</v>
      </c>
      <c r="U134" s="304">
        <f t="shared" si="110"/>
        <v>0.25058438263964083</v>
      </c>
      <c r="V134" s="305">
        <f t="shared" si="66"/>
        <v>0.25058438263964083</v>
      </c>
      <c r="W134" s="305">
        <f t="shared" si="97"/>
        <v>0.2</v>
      </c>
      <c r="X134" s="304">
        <f t="shared" si="98"/>
        <v>0.68519023934204704</v>
      </c>
      <c r="Z134" s="304" t="str">
        <f t="shared" si="67"/>
        <v/>
      </c>
      <c r="AA134" s="305">
        <f t="shared" si="68"/>
        <v>0.68519023934204704</v>
      </c>
      <c r="AB134" s="304">
        <f t="shared" si="69"/>
        <v>1.8267328524625757</v>
      </c>
      <c r="AC134" s="304" t="str">
        <f t="shared" si="99"/>
        <v/>
      </c>
      <c r="AD134" s="306">
        <f t="shared" si="70"/>
        <v>15.751040976974329</v>
      </c>
      <c r="AE134" s="307">
        <f t="shared" si="100"/>
        <v>1.8267328524625757</v>
      </c>
      <c r="AF134" s="308">
        <f t="shared" si="71"/>
        <v>15.751040976974329</v>
      </c>
      <c r="AG134" s="306">
        <f t="shared" si="101"/>
        <v>101.98853845259448</v>
      </c>
      <c r="AH134" s="306">
        <f t="shared" si="72"/>
        <v>2.6660228759485736</v>
      </c>
      <c r="AI134" s="306">
        <f t="shared" si="102"/>
        <v>0</v>
      </c>
      <c r="AJ134" s="306">
        <f t="shared" si="103"/>
        <v>0</v>
      </c>
      <c r="AK134" s="306">
        <f t="shared" si="73"/>
        <v>1.8267328524625757</v>
      </c>
      <c r="AL134" s="306">
        <f t="shared" si="104"/>
        <v>0</v>
      </c>
      <c r="AM134" s="306">
        <f t="shared" si="74"/>
        <v>0</v>
      </c>
      <c r="AN134" s="304">
        <f>KcSplint!$N163</f>
        <v>0.93625885699220446</v>
      </c>
      <c r="AO134" s="304">
        <f t="shared" si="75"/>
        <v>0.8102962140161466</v>
      </c>
      <c r="AP134" s="304">
        <f t="shared" si="105"/>
        <v>0.8102962140161466</v>
      </c>
      <c r="AQ134" s="305">
        <f t="shared" si="106"/>
        <v>0.8102962140161466</v>
      </c>
      <c r="AR134" s="304">
        <f t="shared" si="107"/>
        <v>2.160268242861568</v>
      </c>
      <c r="AS134" s="306">
        <f t="shared" si="76"/>
        <v>13.14541571231357</v>
      </c>
      <c r="AT134" s="307">
        <f t="shared" si="108"/>
        <v>2.160268242861568</v>
      </c>
      <c r="AU134" s="307">
        <f t="shared" si="109"/>
        <v>13.14541571231357</v>
      </c>
      <c r="AV134" s="304">
        <f t="shared" si="77"/>
        <v>2.6660228759485736</v>
      </c>
      <c r="AW134" s="309">
        <f t="shared" si="78"/>
        <v>14.518740778811219</v>
      </c>
      <c r="AX134" s="306">
        <f>IF(ISERROR(Weather!M118),#N/A,Weather!M118)</f>
        <v>0</v>
      </c>
      <c r="AY134" s="310">
        <f t="shared" si="79"/>
        <v>7</v>
      </c>
      <c r="AZ134" s="309">
        <f t="shared" si="80"/>
        <v>0.68519023934204704</v>
      </c>
      <c r="BA134" s="309">
        <f t="shared" si="81"/>
        <v>101.98853845259448</v>
      </c>
      <c r="BB134" s="311">
        <f>Irrig!H136</f>
        <v>0</v>
      </c>
      <c r="BC134" s="310">
        <f t="shared" si="82"/>
        <v>9</v>
      </c>
      <c r="BD134" s="309">
        <f t="shared" si="83"/>
        <v>0.25058438263964083</v>
      </c>
      <c r="BE134" s="309">
        <f t="shared" si="84"/>
        <v>0.25058438263964083</v>
      </c>
      <c r="BF134" s="306">
        <f>DailyMet!H117</f>
        <v>14.15</v>
      </c>
      <c r="BG134" s="306">
        <f>DailyMet!I117</f>
        <v>7.3</v>
      </c>
      <c r="BH134" s="306">
        <f t="shared" si="85"/>
        <v>14.15</v>
      </c>
      <c r="BI134" s="306">
        <f t="shared" si="86"/>
        <v>10</v>
      </c>
      <c r="BJ134" s="306">
        <f t="shared" si="87"/>
        <v>2.0749999999999993</v>
      </c>
      <c r="BK134" s="306">
        <f t="shared" si="88"/>
        <v>8.6549999999999958</v>
      </c>
      <c r="BL134" s="304">
        <f t="shared" si="89"/>
        <v>0</v>
      </c>
      <c r="BM134" s="304">
        <f t="shared" si="90"/>
        <v>1.257116788321168</v>
      </c>
      <c r="BN134" s="304">
        <f t="shared" si="111"/>
        <v>1.257116788321168</v>
      </c>
      <c r="BO134" s="306">
        <f t="shared" si="112"/>
        <v>3.9686047868882826</v>
      </c>
      <c r="BP134" s="306"/>
    </row>
    <row r="135" spans="1:68">
      <c r="A135" s="299">
        <f t="shared" si="57"/>
        <v>1</v>
      </c>
      <c r="B135" s="300">
        <f t="shared" si="58"/>
        <v>38100</v>
      </c>
      <c r="C135" s="301" t="e">
        <f t="shared" si="91"/>
        <v>#N/A</v>
      </c>
      <c r="D135" s="301" t="e">
        <f t="shared" si="59"/>
        <v>#N/A</v>
      </c>
      <c r="E135" s="299">
        <f t="shared" si="60"/>
        <v>114</v>
      </c>
      <c r="F135" s="396">
        <f>Weather!M119</f>
        <v>0</v>
      </c>
      <c r="G135" s="301">
        <f>IF(Weather!C119="","",Weather!C119)</f>
        <v>1.6480108251095418</v>
      </c>
      <c r="H135" s="301">
        <f>IF(Weather!D119="","",Weather!D119)</f>
        <v>2.2909912187436534</v>
      </c>
      <c r="I135" s="502">
        <f>IF(Weather!E119="","",Weather!E119)</f>
        <v>2.2909912187436534</v>
      </c>
      <c r="J135" s="397">
        <f>IF(RnSplint!N163&lt;0,0,RnSplint!N163)</f>
        <v>25.815343113559148</v>
      </c>
      <c r="K135" s="302">
        <f t="shared" si="92"/>
        <v>0.2</v>
      </c>
      <c r="L135" s="303">
        <f t="shared" si="93"/>
        <v>38100</v>
      </c>
      <c r="M135" s="346" t="str">
        <f t="shared" si="61"/>
        <v/>
      </c>
      <c r="N135" s="304">
        <f t="shared" si="94"/>
        <v>0.2</v>
      </c>
      <c r="O135" s="304">
        <f t="shared" si="95"/>
        <v>0</v>
      </c>
      <c r="P135" s="304">
        <f t="shared" si="62"/>
        <v>0.2</v>
      </c>
      <c r="Q135" s="304">
        <f t="shared" si="63"/>
        <v>0.63529748969853606</v>
      </c>
      <c r="R135" s="304">
        <f t="shared" si="64"/>
        <v>0.63529748969853606</v>
      </c>
      <c r="S135" s="305">
        <f t="shared" si="96"/>
        <v>0.63529748969853606</v>
      </c>
      <c r="T135" s="304">
        <f t="shared" si="65"/>
        <v>0.24772839546298608</v>
      </c>
      <c r="U135" s="304">
        <f t="shared" si="110"/>
        <v>0.24772839546298608</v>
      </c>
      <c r="V135" s="305">
        <f t="shared" si="66"/>
        <v>0.24772839546298608</v>
      </c>
      <c r="W135" s="305">
        <f t="shared" si="97"/>
        <v>0.2</v>
      </c>
      <c r="X135" s="304">
        <f t="shared" si="98"/>
        <v>0.63529748969853606</v>
      </c>
      <c r="Z135" s="304" t="str">
        <f t="shared" si="67"/>
        <v/>
      </c>
      <c r="AA135" s="305">
        <f t="shared" si="68"/>
        <v>0.63529748969853606</v>
      </c>
      <c r="AB135" s="304">
        <f t="shared" si="69"/>
        <v>1.4554609701892327</v>
      </c>
      <c r="AC135" s="304" t="str">
        <f t="shared" si="99"/>
        <v/>
      </c>
      <c r="AD135" s="306">
        <f t="shared" si="70"/>
        <v>17.206501947163563</v>
      </c>
      <c r="AE135" s="307">
        <f t="shared" si="100"/>
        <v>1.4554609701892327</v>
      </c>
      <c r="AF135" s="308">
        <f t="shared" si="71"/>
        <v>17.206501947163563</v>
      </c>
      <c r="AG135" s="306">
        <f t="shared" si="101"/>
        <v>104.27952967133814</v>
      </c>
      <c r="AH135" s="306">
        <f t="shared" si="72"/>
        <v>2.2909912187436534</v>
      </c>
      <c r="AI135" s="306">
        <f t="shared" si="102"/>
        <v>0</v>
      </c>
      <c r="AJ135" s="306">
        <f t="shared" si="103"/>
        <v>0</v>
      </c>
      <c r="AK135" s="306">
        <f t="shared" si="73"/>
        <v>1.4554609701892327</v>
      </c>
      <c r="AL135" s="306">
        <f t="shared" si="104"/>
        <v>0</v>
      </c>
      <c r="AM135" s="306">
        <f t="shared" si="74"/>
        <v>0</v>
      </c>
      <c r="AN135" s="304">
        <f>KcSplint!$N164</f>
        <v>0.9297805522704411</v>
      </c>
      <c r="AO135" s="304">
        <f t="shared" si="75"/>
        <v>0.8102962140161466</v>
      </c>
      <c r="AP135" s="304">
        <f t="shared" si="105"/>
        <v>0.8102962140161466</v>
      </c>
      <c r="AQ135" s="305">
        <f t="shared" si="106"/>
        <v>0.8102962140161466</v>
      </c>
      <c r="AR135" s="304">
        <f t="shared" si="107"/>
        <v>1.8563815108922199</v>
      </c>
      <c r="AS135" s="306">
        <f t="shared" si="76"/>
        <v>15.00179722320579</v>
      </c>
      <c r="AT135" s="307">
        <f t="shared" si="108"/>
        <v>1.8563815108922199</v>
      </c>
      <c r="AU135" s="307">
        <f t="shared" si="109"/>
        <v>15.00179722320579</v>
      </c>
      <c r="AV135" s="304">
        <f t="shared" si="77"/>
        <v>2.2909912187436534</v>
      </c>
      <c r="AW135" s="309">
        <f t="shared" si="78"/>
        <v>16.809731997554874</v>
      </c>
      <c r="AX135" s="306">
        <f>IF(ISERROR(Weather!M119),#N/A,Weather!M119)</f>
        <v>0</v>
      </c>
      <c r="AY135" s="310">
        <f t="shared" si="79"/>
        <v>8</v>
      </c>
      <c r="AZ135" s="309">
        <f t="shared" si="80"/>
        <v>0.63529748969853606</v>
      </c>
      <c r="BA135" s="309">
        <f t="shared" si="81"/>
        <v>104.27952967133814</v>
      </c>
      <c r="BB135" s="311">
        <f>Irrig!H137</f>
        <v>0</v>
      </c>
      <c r="BC135" s="310">
        <f t="shared" si="82"/>
        <v>10</v>
      </c>
      <c r="BD135" s="309">
        <f t="shared" si="83"/>
        <v>0.24772839546298608</v>
      </c>
      <c r="BE135" s="309">
        <f t="shared" si="84"/>
        <v>0.24772839546298608</v>
      </c>
      <c r="BF135" s="306">
        <f>DailyMet!H118</f>
        <v>12</v>
      </c>
      <c r="BG135" s="306">
        <f>DailyMet!I118</f>
        <v>5</v>
      </c>
      <c r="BH135" s="306">
        <f t="shared" si="85"/>
        <v>12</v>
      </c>
      <c r="BI135" s="306">
        <f t="shared" si="86"/>
        <v>10</v>
      </c>
      <c r="BJ135" s="306">
        <f t="shared" si="87"/>
        <v>1</v>
      </c>
      <c r="BK135" s="306">
        <f>IF(AP135="",0,BK134+BJ135)</f>
        <v>9.6549999999999958</v>
      </c>
      <c r="BL135" s="304">
        <f t="shared" si="89"/>
        <v>0</v>
      </c>
      <c r="BM135" s="304">
        <f t="shared" si="90"/>
        <v>0.2857142857142857</v>
      </c>
      <c r="BN135" s="304">
        <f t="shared" si="111"/>
        <v>0.2857142857142857</v>
      </c>
      <c r="BO135" s="306">
        <f t="shared" si="112"/>
        <v>4.2543190726025681</v>
      </c>
      <c r="BP135" s="306"/>
    </row>
    <row r="136" spans="1:68">
      <c r="A136" s="299">
        <f t="shared" si="57"/>
        <v>1</v>
      </c>
      <c r="B136" s="300">
        <f t="shared" si="58"/>
        <v>38101</v>
      </c>
      <c r="C136" s="301" t="e">
        <f t="shared" si="91"/>
        <v>#N/A</v>
      </c>
      <c r="D136" s="301" t="e">
        <f t="shared" si="59"/>
        <v>#N/A</v>
      </c>
      <c r="E136" s="299">
        <f t="shared" si="60"/>
        <v>115</v>
      </c>
      <c r="F136" s="396">
        <f>Weather!M120</f>
        <v>0.6</v>
      </c>
      <c r="G136" s="301">
        <f>IF(Weather!C120="","",Weather!C120)</f>
        <v>1.6876797522897506</v>
      </c>
      <c r="H136" s="301">
        <f>IF(Weather!D120="","",Weather!D120)</f>
        <v>1.7423348114641519</v>
      </c>
      <c r="I136" s="502">
        <f>IF(Weather!E120="","",Weather!E120)</f>
        <v>1.7423348114641519</v>
      </c>
      <c r="J136" s="397">
        <f>IF(RnSplint!N164&lt;0,0,RnSplint!N164)</f>
        <v>25.0985407790347</v>
      </c>
      <c r="K136" s="302">
        <f t="shared" si="92"/>
        <v>0.2</v>
      </c>
      <c r="L136" s="303">
        <f t="shared" si="93"/>
        <v>38101</v>
      </c>
      <c r="M136" s="346" t="str">
        <f t="shared" si="61"/>
        <v/>
      </c>
      <c r="N136" s="304">
        <f t="shared" si="94"/>
        <v>0.2</v>
      </c>
      <c r="O136" s="304">
        <f t="shared" si="95"/>
        <v>0</v>
      </c>
      <c r="P136" s="304">
        <f t="shared" si="62"/>
        <v>0.2</v>
      </c>
      <c r="Q136" s="304">
        <f t="shared" si="63"/>
        <v>0.60377632549344329</v>
      </c>
      <c r="R136" s="304">
        <f t="shared" si="64"/>
        <v>0.60377632549344329</v>
      </c>
      <c r="S136" s="305">
        <f t="shared" si="96"/>
        <v>0.60377632549344329</v>
      </c>
      <c r="T136" s="304">
        <f t="shared" si="65"/>
        <v>0.24561928393933671</v>
      </c>
      <c r="U136" s="304">
        <f t="shared" si="110"/>
        <v>0.24561928393933671</v>
      </c>
      <c r="V136" s="305">
        <f t="shared" si="66"/>
        <v>0.24561928393933671</v>
      </c>
      <c r="W136" s="305">
        <f t="shared" si="97"/>
        <v>0.2</v>
      </c>
      <c r="X136" s="304">
        <f t="shared" si="98"/>
        <v>0.60377632549344329</v>
      </c>
      <c r="Z136" s="304" t="str">
        <f t="shared" si="67"/>
        <v/>
      </c>
      <c r="AA136" s="305">
        <f t="shared" si="68"/>
        <v>0.60377632549344329</v>
      </c>
      <c r="AB136" s="304">
        <f t="shared" si="69"/>
        <v>1.0519805102451369</v>
      </c>
      <c r="AC136" s="304" t="str">
        <f t="shared" si="99"/>
        <v/>
      </c>
      <c r="AD136" s="306">
        <f t="shared" si="70"/>
        <v>18.2584824574087</v>
      </c>
      <c r="AE136" s="307">
        <f t="shared" si="100"/>
        <v>1.0519805102451369</v>
      </c>
      <c r="AF136" s="308">
        <f t="shared" si="71"/>
        <v>18.2584824574087</v>
      </c>
      <c r="AG136" s="306">
        <f t="shared" si="101"/>
        <v>106.02186448280229</v>
      </c>
      <c r="AH136" s="306">
        <f t="shared" si="72"/>
        <v>1.7423348114641519</v>
      </c>
      <c r="AI136" s="306">
        <f t="shared" si="102"/>
        <v>0</v>
      </c>
      <c r="AJ136" s="306">
        <f t="shared" si="103"/>
        <v>0</v>
      </c>
      <c r="AK136" s="306">
        <f t="shared" si="73"/>
        <v>1.0519805102451369</v>
      </c>
      <c r="AL136" s="306">
        <f t="shared" si="104"/>
        <v>0</v>
      </c>
      <c r="AM136" s="306">
        <f t="shared" si="74"/>
        <v>0</v>
      </c>
      <c r="AN136" s="304">
        <f>KcSplint!$N165</f>
        <v>0.92211091957997682</v>
      </c>
      <c r="AO136" s="304">
        <f t="shared" si="75"/>
        <v>0.8102962140161466</v>
      </c>
      <c r="AP136" s="304">
        <f t="shared" si="105"/>
        <v>0.8102962140161466</v>
      </c>
      <c r="AQ136" s="305">
        <f t="shared" si="106"/>
        <v>0.8102962140161466</v>
      </c>
      <c r="AR136" s="304">
        <f t="shared" si="107"/>
        <v>1.4118073012779389</v>
      </c>
      <c r="AS136" s="306">
        <f t="shared" si="76"/>
        <v>16.413604524483727</v>
      </c>
      <c r="AT136" s="307">
        <f t="shared" si="108"/>
        <v>1.4118073012779389</v>
      </c>
      <c r="AU136" s="307">
        <f t="shared" si="109"/>
        <v>16.413604524483727</v>
      </c>
      <c r="AV136" s="304">
        <f t="shared" si="77"/>
        <v>1.7423348114641519</v>
      </c>
      <c r="AW136" s="309">
        <f t="shared" si="78"/>
        <v>18.552066809019024</v>
      </c>
      <c r="AX136" s="306">
        <f>IF(ISERROR(Weather!M120),#N/A,Weather!M120)</f>
        <v>0.6</v>
      </c>
      <c r="AY136" s="310">
        <f t="shared" si="79"/>
        <v>9</v>
      </c>
      <c r="AZ136" s="309">
        <f t="shared" si="80"/>
        <v>0.60377632549344329</v>
      </c>
      <c r="BA136" s="309">
        <f t="shared" si="81"/>
        <v>106.02186448280229</v>
      </c>
      <c r="BB136" s="311">
        <f>Irrig!H138</f>
        <v>0</v>
      </c>
      <c r="BC136" s="310">
        <f t="shared" si="82"/>
        <v>11</v>
      </c>
      <c r="BD136" s="309">
        <f t="shared" si="83"/>
        <v>0.24561928393933671</v>
      </c>
      <c r="BE136" s="309">
        <f t="shared" si="84"/>
        <v>0.24561928393933671</v>
      </c>
      <c r="BF136" s="306">
        <f>DailyMet!H119</f>
        <v>14.41</v>
      </c>
      <c r="BG136" s="306">
        <f>DailyMet!I119</f>
        <v>9.5</v>
      </c>
      <c r="BH136" s="306">
        <f t="shared" si="85"/>
        <v>14.41</v>
      </c>
      <c r="BI136" s="306">
        <f t="shared" si="86"/>
        <v>10</v>
      </c>
      <c r="BJ136" s="306">
        <f t="shared" si="87"/>
        <v>2.2050000000000001</v>
      </c>
      <c r="BK136" s="306">
        <f t="shared" ref="BK136:BK199" si="113">IF(AP136="",0,BK135+BJ136)</f>
        <v>11.859999999999996</v>
      </c>
      <c r="BL136" s="304">
        <f t="shared" si="89"/>
        <v>0</v>
      </c>
      <c r="BM136" s="304">
        <f t="shared" si="90"/>
        <v>1.9804582484725051</v>
      </c>
      <c r="BN136" s="304">
        <f t="shared" si="111"/>
        <v>1.9804582484725051</v>
      </c>
      <c r="BO136" s="306">
        <f t="shared" si="112"/>
        <v>6.2347773210750734</v>
      </c>
      <c r="BP136" s="306"/>
    </row>
    <row r="137" spans="1:68">
      <c r="A137" s="299">
        <f t="shared" si="57"/>
        <v>1</v>
      </c>
      <c r="B137" s="300">
        <f t="shared" si="58"/>
        <v>38102</v>
      </c>
      <c r="C137" s="301" t="e">
        <f t="shared" si="91"/>
        <v>#N/A</v>
      </c>
      <c r="D137" s="301" t="e">
        <f t="shared" si="59"/>
        <v>#N/A</v>
      </c>
      <c r="E137" s="299">
        <f t="shared" si="60"/>
        <v>116</v>
      </c>
      <c r="F137" s="396">
        <f>Weather!M121</f>
        <v>0</v>
      </c>
      <c r="G137" s="301">
        <f>IF(Weather!C121="","",Weather!C121)</f>
        <v>1.7293627911363993</v>
      </c>
      <c r="H137" s="301">
        <f>IF(Weather!D121="","",Weather!D121)</f>
        <v>0.3063071784918493</v>
      </c>
      <c r="I137" s="502">
        <f>IF(Weather!E121="","",Weather!E121)</f>
        <v>0.3063071784918493</v>
      </c>
      <c r="J137" s="397">
        <f>IF(RnSplint!N165&lt;0,0,RnSplint!N165)</f>
        <v>24.359042257236808</v>
      </c>
      <c r="K137" s="302">
        <f t="shared" si="92"/>
        <v>0.2</v>
      </c>
      <c r="L137" s="303">
        <f t="shared" si="93"/>
        <v>38102</v>
      </c>
      <c r="M137" s="346" t="str">
        <f t="shared" si="61"/>
        <v/>
      </c>
      <c r="N137" s="304">
        <f t="shared" si="94"/>
        <v>0.2</v>
      </c>
      <c r="O137" s="304">
        <f t="shared" si="95"/>
        <v>0</v>
      </c>
      <c r="P137" s="304">
        <f t="shared" si="62"/>
        <v>0.2</v>
      </c>
      <c r="Q137" s="304">
        <f t="shared" si="63"/>
        <v>0.5986959449707141</v>
      </c>
      <c r="R137" s="304">
        <f t="shared" si="64"/>
        <v>0.5986959449707141</v>
      </c>
      <c r="S137" s="305">
        <f t="shared" si="96"/>
        <v>0.5986959449707141</v>
      </c>
      <c r="T137" s="304">
        <f t="shared" si="65"/>
        <v>0.24525392134308044</v>
      </c>
      <c r="U137" s="304">
        <f t="shared" si="110"/>
        <v>0.24525392134308044</v>
      </c>
      <c r="V137" s="305">
        <f t="shared" si="66"/>
        <v>0.24525392134308044</v>
      </c>
      <c r="W137" s="305">
        <f t="shared" si="97"/>
        <v>0.2</v>
      </c>
      <c r="X137" s="304">
        <f t="shared" si="98"/>
        <v>0.5986959449707141</v>
      </c>
      <c r="Z137" s="304" t="str">
        <f t="shared" si="67"/>
        <v/>
      </c>
      <c r="AA137" s="305">
        <f t="shared" si="68"/>
        <v>0.5986959449707141</v>
      </c>
      <c r="AB137" s="304">
        <f t="shared" si="69"/>
        <v>0.18338486567849091</v>
      </c>
      <c r="AC137" s="304" t="str">
        <f t="shared" si="99"/>
        <v/>
      </c>
      <c r="AD137" s="306">
        <f t="shared" si="70"/>
        <v>18.441867323087191</v>
      </c>
      <c r="AE137" s="307">
        <f t="shared" si="100"/>
        <v>0.18338486567849091</v>
      </c>
      <c r="AF137" s="308">
        <f t="shared" si="71"/>
        <v>18.441867323087191</v>
      </c>
      <c r="AG137" s="306">
        <f t="shared" si="101"/>
        <v>106.32817166129414</v>
      </c>
      <c r="AH137" s="306">
        <f t="shared" si="72"/>
        <v>0.3063071784918493</v>
      </c>
      <c r="AI137" s="306">
        <f t="shared" si="102"/>
        <v>0</v>
      </c>
      <c r="AJ137" s="306">
        <f t="shared" si="103"/>
        <v>0</v>
      </c>
      <c r="AK137" s="306">
        <f t="shared" si="73"/>
        <v>0.18338486567849091</v>
      </c>
      <c r="AL137" s="306">
        <f t="shared" si="104"/>
        <v>0</v>
      </c>
      <c r="AM137" s="306">
        <f t="shared" si="74"/>
        <v>0</v>
      </c>
      <c r="AN137" s="304">
        <f>KcSplint!$N166</f>
        <v>0.91335399765398273</v>
      </c>
      <c r="AO137" s="304">
        <f t="shared" si="75"/>
        <v>0.8102962140161466</v>
      </c>
      <c r="AP137" s="304">
        <f t="shared" si="105"/>
        <v>0.8102962140161466</v>
      </c>
      <c r="AQ137" s="305">
        <f t="shared" si="106"/>
        <v>0.8102962140161466</v>
      </c>
      <c r="AR137" s="304">
        <f t="shared" si="107"/>
        <v>0.24819954705791353</v>
      </c>
      <c r="AS137" s="306">
        <f t="shared" si="76"/>
        <v>16.661804071541642</v>
      </c>
      <c r="AT137" s="307">
        <f t="shared" si="108"/>
        <v>0.24819954705791353</v>
      </c>
      <c r="AU137" s="307">
        <f t="shared" si="109"/>
        <v>16.661804071541642</v>
      </c>
      <c r="AV137" s="304">
        <f t="shared" si="77"/>
        <v>0.3063071784918493</v>
      </c>
      <c r="AW137" s="309">
        <f t="shared" si="78"/>
        <v>18.858373987510873</v>
      </c>
      <c r="AX137" s="306">
        <f>IF(ISERROR(Weather!M121),#N/A,Weather!M121)</f>
        <v>0</v>
      </c>
      <c r="AY137" s="310">
        <f t="shared" si="79"/>
        <v>10</v>
      </c>
      <c r="AZ137" s="309">
        <f t="shared" si="80"/>
        <v>0.5986959449707141</v>
      </c>
      <c r="BA137" s="309">
        <f t="shared" si="81"/>
        <v>106.32817166129414</v>
      </c>
      <c r="BB137" s="311">
        <f>Irrig!H139</f>
        <v>0</v>
      </c>
      <c r="BC137" s="310">
        <f t="shared" si="82"/>
        <v>12</v>
      </c>
      <c r="BD137" s="309">
        <f t="shared" si="83"/>
        <v>0.24525392134308044</v>
      </c>
      <c r="BE137" s="309">
        <f t="shared" si="84"/>
        <v>0.24525392134308044</v>
      </c>
      <c r="BF137" s="306">
        <f>DailyMet!H120</f>
        <v>14.18</v>
      </c>
      <c r="BG137" s="306">
        <f>DailyMet!I120</f>
        <v>6.9</v>
      </c>
      <c r="BH137" s="306">
        <f t="shared" si="85"/>
        <v>14.18</v>
      </c>
      <c r="BI137" s="306">
        <f t="shared" si="86"/>
        <v>10</v>
      </c>
      <c r="BJ137" s="306">
        <f t="shared" si="87"/>
        <v>2.09</v>
      </c>
      <c r="BK137" s="306">
        <f t="shared" si="113"/>
        <v>13.949999999999996</v>
      </c>
      <c r="BL137" s="304">
        <f t="shared" si="89"/>
        <v>0</v>
      </c>
      <c r="BM137" s="304">
        <f t="shared" si="90"/>
        <v>1.2000274725274724</v>
      </c>
      <c r="BN137" s="304">
        <f t="shared" si="111"/>
        <v>1.2000274725274724</v>
      </c>
      <c r="BO137" s="306">
        <f t="shared" si="112"/>
        <v>7.4348047936025461</v>
      </c>
      <c r="BP137" s="306"/>
    </row>
    <row r="138" spans="1:68">
      <c r="A138" s="299">
        <f t="shared" si="57"/>
        <v>1</v>
      </c>
      <c r="B138" s="300">
        <f t="shared" si="58"/>
        <v>38103</v>
      </c>
      <c r="C138" s="301" t="e">
        <f t="shared" si="91"/>
        <v>#N/A</v>
      </c>
      <c r="D138" s="301" t="e">
        <f t="shared" si="59"/>
        <v>#N/A</v>
      </c>
      <c r="E138" s="299">
        <f t="shared" si="60"/>
        <v>117</v>
      </c>
      <c r="F138" s="396">
        <f>Weather!M122</f>
        <v>0</v>
      </c>
      <c r="G138" s="301">
        <f>IF(Weather!C122="","",Weather!C122)</f>
        <v>1.772945683486411</v>
      </c>
      <c r="H138" s="301">
        <f>IF(Weather!D122="","",Weather!D122)</f>
        <v>0.21108337461382062</v>
      </c>
      <c r="I138" s="502">
        <f>IF(Weather!E122="","",Weather!E122)</f>
        <v>0.21108337461382062</v>
      </c>
      <c r="J138" s="397">
        <f>IF(RnSplint!N166&lt;0,0,RnSplint!N166)</f>
        <v>23.599198336398498</v>
      </c>
      <c r="K138" s="302">
        <f t="shared" si="92"/>
        <v>0.2</v>
      </c>
      <c r="L138" s="303">
        <f t="shared" si="93"/>
        <v>38103</v>
      </c>
      <c r="M138" s="346" t="str">
        <f t="shared" si="61"/>
        <v/>
      </c>
      <c r="N138" s="304">
        <f t="shared" si="94"/>
        <v>0.2</v>
      </c>
      <c r="O138" s="304">
        <f t="shared" si="95"/>
        <v>0</v>
      </c>
      <c r="P138" s="304">
        <f t="shared" si="62"/>
        <v>0.2</v>
      </c>
      <c r="Q138" s="304">
        <f t="shared" si="63"/>
        <v>0.59526716263057367</v>
      </c>
      <c r="R138" s="304">
        <f t="shared" si="64"/>
        <v>0.59526716263057367</v>
      </c>
      <c r="S138" s="305">
        <f t="shared" si="96"/>
        <v>0.59526716263057367</v>
      </c>
      <c r="T138" s="304">
        <f t="shared" si="65"/>
        <v>0.2450030688513273</v>
      </c>
      <c r="U138" s="304">
        <f t="shared" si="110"/>
        <v>0.2450030688513273</v>
      </c>
      <c r="V138" s="305">
        <f t="shared" si="66"/>
        <v>0.2450030688513273</v>
      </c>
      <c r="W138" s="305">
        <f t="shared" si="97"/>
        <v>0.2</v>
      </c>
      <c r="X138" s="304">
        <f t="shared" si="98"/>
        <v>0.59526716263057367</v>
      </c>
      <c r="Z138" s="304" t="str">
        <f t="shared" si="67"/>
        <v/>
      </c>
      <c r="AA138" s="305">
        <f t="shared" si="68"/>
        <v>0.59526716263057367</v>
      </c>
      <c r="AB138" s="304">
        <f t="shared" si="69"/>
        <v>0.12565100148485547</v>
      </c>
      <c r="AC138" s="304" t="str">
        <f t="shared" si="99"/>
        <v/>
      </c>
      <c r="AD138" s="306">
        <f t="shared" si="70"/>
        <v>18.567518324572045</v>
      </c>
      <c r="AE138" s="307">
        <f t="shared" si="100"/>
        <v>0.12565100148485547</v>
      </c>
      <c r="AF138" s="308">
        <f t="shared" si="71"/>
        <v>18.567518324572045</v>
      </c>
      <c r="AG138" s="306">
        <f t="shared" si="101"/>
        <v>106.53925503590796</v>
      </c>
      <c r="AH138" s="306">
        <f t="shared" si="72"/>
        <v>0.21108337461382062</v>
      </c>
      <c r="AI138" s="306">
        <f t="shared" si="102"/>
        <v>0</v>
      </c>
      <c r="AJ138" s="306">
        <f t="shared" si="103"/>
        <v>0</v>
      </c>
      <c r="AK138" s="306">
        <f t="shared" si="73"/>
        <v>0.12565100148485547</v>
      </c>
      <c r="AL138" s="306">
        <f t="shared" si="104"/>
        <v>0</v>
      </c>
      <c r="AM138" s="306">
        <f t="shared" si="74"/>
        <v>0</v>
      </c>
      <c r="AN138" s="304">
        <f>KcSplint!$N167</f>
        <v>0.90361382522563083</v>
      </c>
      <c r="AO138" s="304">
        <f t="shared" si="75"/>
        <v>0.8102962140161466</v>
      </c>
      <c r="AP138" s="304">
        <f t="shared" si="105"/>
        <v>0.8102962140161466</v>
      </c>
      <c r="AQ138" s="305">
        <f t="shared" si="106"/>
        <v>0.8102962140161466</v>
      </c>
      <c r="AR138" s="304">
        <f t="shared" si="107"/>
        <v>0.17104005929133084</v>
      </c>
      <c r="AS138" s="306">
        <f t="shared" si="76"/>
        <v>16.832844130832974</v>
      </c>
      <c r="AT138" s="307">
        <f t="shared" si="108"/>
        <v>0.17104005929133084</v>
      </c>
      <c r="AU138" s="307">
        <f t="shared" si="109"/>
        <v>16.832844130832974</v>
      </c>
      <c r="AV138" s="304">
        <f t="shared" si="77"/>
        <v>0.21108337461382062</v>
      </c>
      <c r="AW138" s="309">
        <f t="shared" si="78"/>
        <v>19.069457362124695</v>
      </c>
      <c r="AX138" s="306">
        <f>IF(ISERROR(Weather!M122),#N/A,Weather!M122)</f>
        <v>0</v>
      </c>
      <c r="AY138" s="310">
        <f t="shared" si="79"/>
        <v>11</v>
      </c>
      <c r="AZ138" s="309">
        <f t="shared" si="80"/>
        <v>0.59526716263057367</v>
      </c>
      <c r="BA138" s="309">
        <f t="shared" si="81"/>
        <v>106.53925503590796</v>
      </c>
      <c r="BB138" s="311">
        <f>Irrig!H140</f>
        <v>0</v>
      </c>
      <c r="BC138" s="310">
        <f t="shared" si="82"/>
        <v>13</v>
      </c>
      <c r="BD138" s="309">
        <f t="shared" si="83"/>
        <v>0.2450030688513273</v>
      </c>
      <c r="BE138" s="309">
        <f t="shared" si="84"/>
        <v>0.2450030688513273</v>
      </c>
      <c r="BF138" s="306">
        <f>DailyMet!H121</f>
        <v>14.88</v>
      </c>
      <c r="BG138" s="306">
        <f>DailyMet!I121</f>
        <v>5.8</v>
      </c>
      <c r="BH138" s="306">
        <f t="shared" si="85"/>
        <v>14.88</v>
      </c>
      <c r="BI138" s="306">
        <f t="shared" si="86"/>
        <v>10</v>
      </c>
      <c r="BJ138" s="306">
        <f t="shared" si="87"/>
        <v>2.4400000000000013</v>
      </c>
      <c r="BK138" s="306">
        <f t="shared" si="113"/>
        <v>16.389999999999997</v>
      </c>
      <c r="BL138" s="304">
        <f t="shared" si="89"/>
        <v>0</v>
      </c>
      <c r="BM138" s="304">
        <f t="shared" si="90"/>
        <v>1.3113656387665198</v>
      </c>
      <c r="BN138" s="304">
        <f t="shared" si="111"/>
        <v>1.3113656387665198</v>
      </c>
      <c r="BO138" s="306">
        <f t="shared" si="112"/>
        <v>8.7461704323690661</v>
      </c>
      <c r="BP138" s="306"/>
    </row>
    <row r="139" spans="1:68">
      <c r="A139" s="299">
        <f t="shared" si="57"/>
        <v>1</v>
      </c>
      <c r="B139" s="300">
        <f t="shared" si="58"/>
        <v>38104</v>
      </c>
      <c r="C139" s="301" t="e">
        <f t="shared" si="91"/>
        <v>#N/A</v>
      </c>
      <c r="D139" s="301" t="e">
        <f t="shared" si="59"/>
        <v>#N/A</v>
      </c>
      <c r="E139" s="299">
        <f t="shared" si="60"/>
        <v>118</v>
      </c>
      <c r="F139" s="396">
        <f>Weather!M123</f>
        <v>0</v>
      </c>
      <c r="G139" s="301">
        <f>IF(Weather!C123="","",Weather!C123)</f>
        <v>1.8183141711767077</v>
      </c>
      <c r="H139" s="301">
        <f>IF(Weather!D123="","",Weather!D123)</f>
        <v>0.15562453823735539</v>
      </c>
      <c r="I139" s="502">
        <f>IF(Weather!E123="","",Weather!E123)</f>
        <v>0.15562453823735539</v>
      </c>
      <c r="J139" s="397">
        <f>IF(RnSplint!N167&lt;0,0,RnSplint!N167)</f>
        <v>22.821359804752792</v>
      </c>
      <c r="K139" s="302">
        <f t="shared" si="92"/>
        <v>0.2</v>
      </c>
      <c r="L139" s="303">
        <f t="shared" si="93"/>
        <v>38104</v>
      </c>
      <c r="M139" s="346" t="str">
        <f t="shared" si="61"/>
        <v/>
      </c>
      <c r="N139" s="304">
        <f t="shared" si="94"/>
        <v>0.2</v>
      </c>
      <c r="O139" s="304">
        <f t="shared" si="95"/>
        <v>0</v>
      </c>
      <c r="P139" s="304">
        <f t="shared" si="62"/>
        <v>0.2</v>
      </c>
      <c r="Q139" s="304">
        <f t="shared" si="63"/>
        <v>0.59277586936260729</v>
      </c>
      <c r="R139" s="304">
        <f t="shared" si="64"/>
        <v>0.59277586936260729</v>
      </c>
      <c r="S139" s="305">
        <f t="shared" si="96"/>
        <v>0.59277586936260729</v>
      </c>
      <c r="T139" s="304">
        <f t="shared" si="65"/>
        <v>0.24481860592035726</v>
      </c>
      <c r="U139" s="304">
        <f t="shared" si="110"/>
        <v>0.24481860592035726</v>
      </c>
      <c r="V139" s="305">
        <f t="shared" si="66"/>
        <v>0.24481860592035726</v>
      </c>
      <c r="W139" s="305">
        <f t="shared" si="97"/>
        <v>0.2</v>
      </c>
      <c r="X139" s="304">
        <f t="shared" si="98"/>
        <v>0.59277586936260729</v>
      </c>
      <c r="Z139" s="304" t="str">
        <f t="shared" si="67"/>
        <v/>
      </c>
      <c r="AA139" s="305">
        <f t="shared" si="68"/>
        <v>0.59277586936260729</v>
      </c>
      <c r="AB139" s="304">
        <f t="shared" si="69"/>
        <v>9.2250470947802657E-2</v>
      </c>
      <c r="AC139" s="304" t="str">
        <f t="shared" si="99"/>
        <v/>
      </c>
      <c r="AD139" s="306">
        <f t="shared" si="70"/>
        <v>18.659768795519849</v>
      </c>
      <c r="AE139" s="307">
        <f t="shared" si="100"/>
        <v>9.2250470947802657E-2</v>
      </c>
      <c r="AF139" s="308">
        <f t="shared" si="71"/>
        <v>18.659768795519849</v>
      </c>
      <c r="AG139" s="306">
        <f t="shared" si="101"/>
        <v>106.69487957414532</v>
      </c>
      <c r="AH139" s="306">
        <f t="shared" si="72"/>
        <v>0.15562453823735539</v>
      </c>
      <c r="AI139" s="306">
        <f t="shared" si="102"/>
        <v>0</v>
      </c>
      <c r="AJ139" s="306">
        <f t="shared" si="103"/>
        <v>0</v>
      </c>
      <c r="AK139" s="306">
        <f t="shared" si="73"/>
        <v>9.2250470947802657E-2</v>
      </c>
      <c r="AL139" s="306">
        <f t="shared" si="104"/>
        <v>0</v>
      </c>
      <c r="AM139" s="306">
        <f t="shared" si="74"/>
        <v>0</v>
      </c>
      <c r="AN139" s="304">
        <f>KcSplint!$N168</f>
        <v>0.89299444102809233</v>
      </c>
      <c r="AO139" s="304">
        <f t="shared" si="75"/>
        <v>0.8102962140161466</v>
      </c>
      <c r="AP139" s="304">
        <f t="shared" si="105"/>
        <v>0.8102962140161466</v>
      </c>
      <c r="AQ139" s="305">
        <f t="shared" si="106"/>
        <v>0.8102962140161466</v>
      </c>
      <c r="AR139" s="304">
        <f t="shared" si="107"/>
        <v>0.12610197414174013</v>
      </c>
      <c r="AS139" s="306">
        <f t="shared" si="76"/>
        <v>16.958946104974714</v>
      </c>
      <c r="AT139" s="307">
        <f t="shared" si="108"/>
        <v>0.12610197414174013</v>
      </c>
      <c r="AU139" s="307">
        <f t="shared" si="109"/>
        <v>16.958946104974714</v>
      </c>
      <c r="AV139" s="304">
        <f t="shared" si="77"/>
        <v>0.15562453823735539</v>
      </c>
      <c r="AW139" s="309">
        <f t="shared" si="78"/>
        <v>19.225081900362049</v>
      </c>
      <c r="AX139" s="306">
        <f>IF(ISERROR(Weather!M123),#N/A,Weather!M123)</f>
        <v>0</v>
      </c>
      <c r="AY139" s="310">
        <f t="shared" si="79"/>
        <v>12</v>
      </c>
      <c r="AZ139" s="309">
        <f t="shared" si="80"/>
        <v>0.59277586936260729</v>
      </c>
      <c r="BA139" s="309">
        <f t="shared" si="81"/>
        <v>106.69487957414532</v>
      </c>
      <c r="BB139" s="311">
        <f>Irrig!H141</f>
        <v>0</v>
      </c>
      <c r="BC139" s="310">
        <f t="shared" si="82"/>
        <v>14</v>
      </c>
      <c r="BD139" s="309">
        <f t="shared" si="83"/>
        <v>0.24481860592035726</v>
      </c>
      <c r="BE139" s="309">
        <f t="shared" si="84"/>
        <v>0.24481860592035726</v>
      </c>
      <c r="BF139" s="306">
        <f>DailyMet!H122</f>
        <v>16.829999999999998</v>
      </c>
      <c r="BG139" s="306">
        <f>DailyMet!I122</f>
        <v>8.3000000000000007</v>
      </c>
      <c r="BH139" s="306">
        <f t="shared" si="85"/>
        <v>16.829999999999998</v>
      </c>
      <c r="BI139" s="306">
        <f t="shared" si="86"/>
        <v>10</v>
      </c>
      <c r="BJ139" s="306">
        <f t="shared" si="87"/>
        <v>3.4149999999999991</v>
      </c>
      <c r="BK139" s="306">
        <f t="shared" si="113"/>
        <v>19.804999999999996</v>
      </c>
      <c r="BL139" s="304">
        <f t="shared" si="89"/>
        <v>0</v>
      </c>
      <c r="BM139" s="304">
        <f t="shared" si="90"/>
        <v>2.7344021101992961</v>
      </c>
      <c r="BN139" s="304">
        <f t="shared" si="111"/>
        <v>2.7344021101992961</v>
      </c>
      <c r="BO139" s="306">
        <f t="shared" si="112"/>
        <v>11.480572542568362</v>
      </c>
      <c r="BP139" s="306"/>
    </row>
    <row r="140" spans="1:68">
      <c r="A140" s="299">
        <f t="shared" si="57"/>
        <v>1</v>
      </c>
      <c r="B140" s="300">
        <f t="shared" si="58"/>
        <v>38105</v>
      </c>
      <c r="C140" s="301" t="e">
        <f t="shared" si="91"/>
        <v>#N/A</v>
      </c>
      <c r="D140" s="301" t="e">
        <f t="shared" si="59"/>
        <v>#N/A</v>
      </c>
      <c r="E140" s="299">
        <f t="shared" si="60"/>
        <v>119</v>
      </c>
      <c r="F140" s="396">
        <f>Weather!M124</f>
        <v>0</v>
      </c>
      <c r="G140" s="301">
        <f>IF(Weather!C124="","",Weather!C124)</f>
        <v>1.8653539960442129</v>
      </c>
      <c r="H140" s="301">
        <f>IF(Weather!D124="","",Weather!D124)</f>
        <v>0.19878373475728461</v>
      </c>
      <c r="I140" s="502">
        <f>IF(Weather!E124="","",Weather!E124)</f>
        <v>0.19878373475728461</v>
      </c>
      <c r="J140" s="397">
        <f>IF(RnSplint!N168&lt;0,0,RnSplint!N168)</f>
        <v>22.027877450532717</v>
      </c>
      <c r="K140" s="302">
        <f t="shared" si="92"/>
        <v>0.2</v>
      </c>
      <c r="L140" s="303">
        <f t="shared" si="93"/>
        <v>38105</v>
      </c>
      <c r="M140" s="346" t="str">
        <f t="shared" si="61"/>
        <v/>
      </c>
      <c r="N140" s="304">
        <f t="shared" si="94"/>
        <v>0.2</v>
      </c>
      <c r="O140" s="304">
        <f t="shared" si="95"/>
        <v>0</v>
      </c>
      <c r="P140" s="304">
        <f t="shared" si="62"/>
        <v>0.2</v>
      </c>
      <c r="Q140" s="304">
        <f t="shared" si="63"/>
        <v>0.5896377813463185</v>
      </c>
      <c r="R140" s="304">
        <f t="shared" si="64"/>
        <v>0.5896377813463185</v>
      </c>
      <c r="S140" s="305">
        <f t="shared" si="96"/>
        <v>0.5896377813463185</v>
      </c>
      <c r="T140" s="304">
        <f t="shared" si="65"/>
        <v>0.24458357846960074</v>
      </c>
      <c r="U140" s="304">
        <f t="shared" si="110"/>
        <v>0.24458357846960074</v>
      </c>
      <c r="V140" s="305">
        <f t="shared" si="66"/>
        <v>0.24458357846960074</v>
      </c>
      <c r="W140" s="305">
        <f t="shared" si="97"/>
        <v>0.2</v>
      </c>
      <c r="X140" s="304">
        <f t="shared" si="98"/>
        <v>0.5896377813463185</v>
      </c>
      <c r="Z140" s="304" t="str">
        <f t="shared" si="67"/>
        <v/>
      </c>
      <c r="AA140" s="305">
        <f t="shared" si="68"/>
        <v>0.5896377813463185</v>
      </c>
      <c r="AB140" s="304">
        <f t="shared" si="69"/>
        <v>0.11721040033002036</v>
      </c>
      <c r="AC140" s="304" t="str">
        <f t="shared" si="99"/>
        <v/>
      </c>
      <c r="AD140" s="306">
        <f t="shared" si="70"/>
        <v>18.776979195849869</v>
      </c>
      <c r="AE140" s="307">
        <f t="shared" si="100"/>
        <v>0.11721040033002036</v>
      </c>
      <c r="AF140" s="308">
        <f t="shared" si="71"/>
        <v>18.776979195849869</v>
      </c>
      <c r="AG140" s="306">
        <f t="shared" si="101"/>
        <v>106.8936633089026</v>
      </c>
      <c r="AH140" s="306">
        <f t="shared" si="72"/>
        <v>0.19878373475728461</v>
      </c>
      <c r="AI140" s="306">
        <f t="shared" si="102"/>
        <v>0</v>
      </c>
      <c r="AJ140" s="306">
        <f t="shared" si="103"/>
        <v>0</v>
      </c>
      <c r="AK140" s="306">
        <f t="shared" si="73"/>
        <v>0.11721040033002036</v>
      </c>
      <c r="AL140" s="306">
        <f t="shared" si="104"/>
        <v>0</v>
      </c>
      <c r="AM140" s="306">
        <f t="shared" si="74"/>
        <v>0</v>
      </c>
      <c r="AN140" s="304">
        <f>KcSplint!$N169</f>
        <v>0.88159988379453935</v>
      </c>
      <c r="AO140" s="304">
        <f t="shared" si="75"/>
        <v>0.8102962140161466</v>
      </c>
      <c r="AP140" s="304">
        <f t="shared" si="105"/>
        <v>0.8102962140161466</v>
      </c>
      <c r="AQ140" s="305">
        <f t="shared" si="106"/>
        <v>0.8102962140161466</v>
      </c>
      <c r="AR140" s="304">
        <f t="shared" si="107"/>
        <v>0.16107370768181761</v>
      </c>
      <c r="AS140" s="306">
        <f t="shared" si="76"/>
        <v>17.120019812656533</v>
      </c>
      <c r="AT140" s="307">
        <f t="shared" si="108"/>
        <v>0.16107370768181761</v>
      </c>
      <c r="AU140" s="307">
        <f t="shared" si="109"/>
        <v>17.120019812656533</v>
      </c>
      <c r="AV140" s="304">
        <f t="shared" si="77"/>
        <v>0.19878373475728461</v>
      </c>
      <c r="AW140" s="309">
        <f t="shared" si="78"/>
        <v>19.423865635119334</v>
      </c>
      <c r="AX140" s="306">
        <f>IF(ISERROR(Weather!M124),#N/A,Weather!M124)</f>
        <v>0</v>
      </c>
      <c r="AY140" s="310">
        <f t="shared" si="79"/>
        <v>13</v>
      </c>
      <c r="AZ140" s="309">
        <f t="shared" si="80"/>
        <v>0.5896377813463185</v>
      </c>
      <c r="BA140" s="309">
        <f t="shared" si="81"/>
        <v>106.8936633089026</v>
      </c>
      <c r="BB140" s="311">
        <f>Irrig!H142</f>
        <v>0</v>
      </c>
      <c r="BC140" s="310">
        <f t="shared" si="82"/>
        <v>15</v>
      </c>
      <c r="BD140" s="309">
        <f t="shared" si="83"/>
        <v>0.24458357846960074</v>
      </c>
      <c r="BE140" s="309">
        <f t="shared" si="84"/>
        <v>0.24458357846960074</v>
      </c>
      <c r="BF140" s="306">
        <f>DailyMet!H123</f>
        <v>18.48</v>
      </c>
      <c r="BG140" s="306">
        <f>DailyMet!I123</f>
        <v>8.6</v>
      </c>
      <c r="BH140" s="306">
        <f t="shared" si="85"/>
        <v>18.48</v>
      </c>
      <c r="BI140" s="306">
        <f t="shared" si="86"/>
        <v>10</v>
      </c>
      <c r="BJ140" s="306">
        <f t="shared" si="87"/>
        <v>4.24</v>
      </c>
      <c r="BK140" s="306">
        <f t="shared" si="113"/>
        <v>24.044999999999995</v>
      </c>
      <c r="BL140" s="304">
        <f t="shared" si="89"/>
        <v>0</v>
      </c>
      <c r="BM140" s="304">
        <f t="shared" si="90"/>
        <v>3.6391902834008101</v>
      </c>
      <c r="BN140" s="304">
        <f t="shared" si="111"/>
        <v>3.6391902834008101</v>
      </c>
      <c r="BO140" s="306">
        <f t="shared" si="112"/>
        <v>15.119762825969172</v>
      </c>
      <c r="BP140" s="306"/>
    </row>
    <row r="141" spans="1:68">
      <c r="A141" s="299">
        <f t="shared" si="57"/>
        <v>1</v>
      </c>
      <c r="B141" s="300">
        <f t="shared" si="58"/>
        <v>38106</v>
      </c>
      <c r="C141" s="301" t="e">
        <f t="shared" si="91"/>
        <v>#N/A</v>
      </c>
      <c r="D141" s="301" t="e">
        <f t="shared" si="59"/>
        <v>#N/A</v>
      </c>
      <c r="E141" s="299">
        <f t="shared" si="60"/>
        <v>120</v>
      </c>
      <c r="F141" s="396">
        <f>Weather!M125</f>
        <v>0.8</v>
      </c>
      <c r="G141" s="301">
        <f>IF(Weather!C125="","",Weather!C125)</f>
        <v>1.9139508999258481</v>
      </c>
      <c r="H141" s="301">
        <f>IF(Weather!D125="","",Weather!D125)</f>
        <v>0.18408138027917034</v>
      </c>
      <c r="I141" s="502">
        <f>IF(Weather!E125="","",Weather!E125)</f>
        <v>0.18408138027917034</v>
      </c>
      <c r="J141" s="397">
        <f>IF(RnSplint!N169&lt;0,0,RnSplint!N169)</f>
        <v>21.22110206197129</v>
      </c>
      <c r="K141" s="302">
        <f t="shared" si="92"/>
        <v>0.2</v>
      </c>
      <c r="L141" s="303">
        <f t="shared" si="93"/>
        <v>38106</v>
      </c>
      <c r="M141" s="346" t="str">
        <f t="shared" si="61"/>
        <v/>
      </c>
      <c r="N141" s="304">
        <f t="shared" si="94"/>
        <v>0.2</v>
      </c>
      <c r="O141" s="304">
        <f t="shared" si="95"/>
        <v>0</v>
      </c>
      <c r="P141" s="304">
        <f t="shared" si="62"/>
        <v>0.2</v>
      </c>
      <c r="Q141" s="304">
        <f t="shared" si="63"/>
        <v>1.2</v>
      </c>
      <c r="R141" s="304">
        <f t="shared" si="64"/>
        <v>1.2</v>
      </c>
      <c r="S141" s="305">
        <f t="shared" si="96"/>
        <v>1.2</v>
      </c>
      <c r="T141" s="304">
        <f t="shared" si="65"/>
        <v>0.24436652414684384</v>
      </c>
      <c r="U141" s="304">
        <f t="shared" si="110"/>
        <v>0.24436652414684384</v>
      </c>
      <c r="V141" s="305">
        <f t="shared" si="66"/>
        <v>0.24436652414684384</v>
      </c>
      <c r="W141" s="305">
        <f t="shared" si="97"/>
        <v>0.2</v>
      </c>
      <c r="X141" s="304">
        <f t="shared" si="98"/>
        <v>1.2</v>
      </c>
      <c r="Y141" s="304">
        <f>AVERAGE(X112:X141)</f>
        <v>0.91020225635767871</v>
      </c>
      <c r="Z141" s="304" t="str">
        <f t="shared" si="67"/>
        <v/>
      </c>
      <c r="AA141" s="305">
        <f t="shared" si="68"/>
        <v>1.2</v>
      </c>
      <c r="AB141" s="304">
        <f t="shared" si="69"/>
        <v>0.22089765633500441</v>
      </c>
      <c r="AC141" s="304" t="str">
        <f t="shared" si="99"/>
        <v/>
      </c>
      <c r="AD141" s="306">
        <f t="shared" si="70"/>
        <v>18.997876852184874</v>
      </c>
      <c r="AE141" s="307">
        <f t="shared" si="100"/>
        <v>0.22089765633500441</v>
      </c>
      <c r="AF141" s="308">
        <f t="shared" si="71"/>
        <v>18.997876852184874</v>
      </c>
      <c r="AG141" s="306">
        <f t="shared" si="101"/>
        <v>107.07774468918177</v>
      </c>
      <c r="AH141" s="306">
        <f t="shared" si="72"/>
        <v>0.18408138027917034</v>
      </c>
      <c r="AI141" s="306">
        <f t="shared" si="102"/>
        <v>0</v>
      </c>
      <c r="AJ141" s="306">
        <f t="shared" si="103"/>
        <v>0</v>
      </c>
      <c r="AK141" s="306">
        <f t="shared" si="73"/>
        <v>0.22089765633500441</v>
      </c>
      <c r="AL141" s="306">
        <f t="shared" si="104"/>
        <v>0</v>
      </c>
      <c r="AM141" s="306">
        <f t="shared" si="74"/>
        <v>0</v>
      </c>
      <c r="AN141" s="304">
        <f>KcSplint!$N170</f>
        <v>0.8695341922581431</v>
      </c>
      <c r="AO141" s="304">
        <f t="shared" si="75"/>
        <v>0.8102962140161466</v>
      </c>
      <c r="AP141" s="304">
        <f t="shared" si="105"/>
        <v>0.8102962140161466</v>
      </c>
      <c r="AQ141" s="305">
        <f t="shared" si="106"/>
        <v>0.8102962140161466</v>
      </c>
      <c r="AR141" s="304">
        <f t="shared" si="107"/>
        <v>0.14916044551107829</v>
      </c>
      <c r="AS141" s="306">
        <f t="shared" si="76"/>
        <v>17.269180258167612</v>
      </c>
      <c r="AT141" s="307">
        <f t="shared" si="108"/>
        <v>0.14916044551107829</v>
      </c>
      <c r="AU141" s="307">
        <f t="shared" si="109"/>
        <v>17.269180258167612</v>
      </c>
      <c r="AV141" s="304">
        <f t="shared" si="77"/>
        <v>0.18408138027917034</v>
      </c>
      <c r="AW141" s="309">
        <f t="shared" si="78"/>
        <v>0.18408138027917034</v>
      </c>
      <c r="AX141" s="306">
        <f>IF(ISERROR(Weather!M125),#N/A,Weather!M125)</f>
        <v>0.8</v>
      </c>
      <c r="AY141" s="310">
        <f t="shared" si="79"/>
        <v>1</v>
      </c>
      <c r="AZ141" s="309">
        <f t="shared" si="80"/>
        <v>1.2</v>
      </c>
      <c r="BA141" s="309">
        <f t="shared" si="81"/>
        <v>107.07774468918177</v>
      </c>
      <c r="BB141" s="311">
        <f>Irrig!H143</f>
        <v>0</v>
      </c>
      <c r="BC141" s="310">
        <f t="shared" si="82"/>
        <v>16</v>
      </c>
      <c r="BD141" s="309">
        <f t="shared" si="83"/>
        <v>0.24436652414684384</v>
      </c>
      <c r="BE141" s="309">
        <f t="shared" si="84"/>
        <v>0.24436652414684384</v>
      </c>
      <c r="BF141" s="306">
        <f>DailyMet!H124</f>
        <v>17.48</v>
      </c>
      <c r="BG141" s="306">
        <f>DailyMet!I124</f>
        <v>13.4</v>
      </c>
      <c r="BH141" s="306">
        <f t="shared" si="85"/>
        <v>17.48</v>
      </c>
      <c r="BI141" s="306">
        <f t="shared" si="86"/>
        <v>13.4</v>
      </c>
      <c r="BJ141" s="306">
        <f t="shared" si="87"/>
        <v>5.4400000000000013</v>
      </c>
      <c r="BK141" s="306">
        <f t="shared" si="113"/>
        <v>29.484999999999996</v>
      </c>
      <c r="BL141" s="304">
        <f t="shared" si="89"/>
        <v>0</v>
      </c>
      <c r="BM141" s="304">
        <f t="shared" si="90"/>
        <v>5.4400000000000013</v>
      </c>
      <c r="BN141" s="304">
        <f t="shared" si="111"/>
        <v>5.4400000000000013</v>
      </c>
      <c r="BO141" s="306">
        <f t="shared" si="112"/>
        <v>20.559762825969173</v>
      </c>
      <c r="BP141" s="306"/>
    </row>
    <row r="142" spans="1:68">
      <c r="A142" s="299">
        <f t="shared" si="57"/>
        <v>1</v>
      </c>
      <c r="B142" s="300">
        <f t="shared" si="58"/>
        <v>38107</v>
      </c>
      <c r="C142" s="301" t="e">
        <f t="shared" si="91"/>
        <v>#N/A</v>
      </c>
      <c r="D142" s="301" t="e">
        <f t="shared" si="59"/>
        <v>#N/A</v>
      </c>
      <c r="E142" s="299">
        <f t="shared" si="60"/>
        <v>121</v>
      </c>
      <c r="F142" s="396">
        <f>Weather!M126</f>
        <v>11.4</v>
      </c>
      <c r="G142" s="301">
        <f>IF(Weather!C126="","",Weather!C126)</f>
        <v>1.9639906246585359</v>
      </c>
      <c r="H142" s="301">
        <f>IF(Weather!D126="","",Weather!D126)</f>
        <v>0.12965692950090307</v>
      </c>
      <c r="I142" s="502">
        <f>IF(Weather!E126="","",Weather!E126)</f>
        <v>0.12965692950090307</v>
      </c>
      <c r="J142" s="397">
        <f>IF(RnSplint!N170&lt;0,0,RnSplint!N170)</f>
        <v>20.403384427301535</v>
      </c>
      <c r="K142" s="302">
        <f t="shared" si="92"/>
        <v>0.2</v>
      </c>
      <c r="L142" s="303">
        <f t="shared" si="93"/>
        <v>38107</v>
      </c>
      <c r="M142" s="346">
        <f t="shared" si="61"/>
        <v>4</v>
      </c>
      <c r="N142" s="304">
        <f t="shared" si="94"/>
        <v>0.2</v>
      </c>
      <c r="O142" s="304">
        <f t="shared" si="95"/>
        <v>0</v>
      </c>
      <c r="P142" s="304">
        <f t="shared" si="62"/>
        <v>0.2</v>
      </c>
      <c r="Q142" s="304">
        <f t="shared" si="63"/>
        <v>1.2</v>
      </c>
      <c r="R142" s="304">
        <f t="shared" si="64"/>
        <v>1.2</v>
      </c>
      <c r="S142" s="305">
        <f t="shared" si="96"/>
        <v>1.2</v>
      </c>
      <c r="T142" s="304">
        <f t="shared" si="65"/>
        <v>0.24421398211026374</v>
      </c>
      <c r="U142" s="304">
        <f t="shared" si="110"/>
        <v>0.24421398211026374</v>
      </c>
      <c r="V142" s="305">
        <f t="shared" si="66"/>
        <v>0.24421398211026374</v>
      </c>
      <c r="W142" s="305">
        <f t="shared" si="97"/>
        <v>0.2</v>
      </c>
      <c r="X142" s="304">
        <f t="shared" si="98"/>
        <v>1.2</v>
      </c>
      <c r="Y142" s="304">
        <f>AVERAGE(X113:X142)</f>
        <v>0.93951055333449485</v>
      </c>
      <c r="Z142" s="304" t="str">
        <f t="shared" si="67"/>
        <v/>
      </c>
      <c r="AA142" s="305">
        <f t="shared" si="68"/>
        <v>1.2</v>
      </c>
      <c r="AB142" s="304">
        <f t="shared" si="69"/>
        <v>0.15558831540108367</v>
      </c>
      <c r="AC142" s="304" t="str">
        <f t="shared" si="99"/>
        <v/>
      </c>
      <c r="AD142" s="306">
        <f t="shared" si="70"/>
        <v>19.153465167585956</v>
      </c>
      <c r="AE142" s="307">
        <f t="shared" si="100"/>
        <v>0.15558831540108367</v>
      </c>
      <c r="AF142" s="308">
        <f t="shared" si="71"/>
        <v>19.153465167585956</v>
      </c>
      <c r="AG142" s="306">
        <f t="shared" si="101"/>
        <v>107.20740161868267</v>
      </c>
      <c r="AH142" s="306">
        <f t="shared" si="72"/>
        <v>0.12965692950090307</v>
      </c>
      <c r="AI142" s="306">
        <f t="shared" si="102"/>
        <v>0</v>
      </c>
      <c r="AJ142" s="306">
        <f t="shared" si="103"/>
        <v>0</v>
      </c>
      <c r="AK142" s="306">
        <f t="shared" si="73"/>
        <v>0.15558831540108367</v>
      </c>
      <c r="AL142" s="306">
        <f t="shared" si="104"/>
        <v>0</v>
      </c>
      <c r="AM142" s="306">
        <f t="shared" si="74"/>
        <v>0</v>
      </c>
      <c r="AN142" s="304">
        <f>KcSplint!$N171</f>
        <v>0.85690140515207547</v>
      </c>
      <c r="AO142" s="304">
        <f t="shared" si="75"/>
        <v>0.8102962140161466</v>
      </c>
      <c r="AP142" s="304">
        <f t="shared" si="105"/>
        <v>0.8102962140161466</v>
      </c>
      <c r="AQ142" s="305">
        <f t="shared" si="106"/>
        <v>0.8102962140161466</v>
      </c>
      <c r="AR142" s="304">
        <f t="shared" si="107"/>
        <v>0.10506051909554019</v>
      </c>
      <c r="AS142" s="306">
        <f t="shared" si="76"/>
        <v>17.374240777263154</v>
      </c>
      <c r="AT142" s="307">
        <f t="shared" si="108"/>
        <v>0.10506051909554019</v>
      </c>
      <c r="AU142" s="307">
        <f t="shared" si="109"/>
        <v>17.374240777263154</v>
      </c>
      <c r="AV142" s="304">
        <f t="shared" si="77"/>
        <v>0.12965692950090307</v>
      </c>
      <c r="AW142" s="309">
        <f t="shared" si="78"/>
        <v>0.12965692950090307</v>
      </c>
      <c r="AX142" s="306">
        <f>IF(ISERROR(Weather!M126),#N/A,Weather!M126)</f>
        <v>11.4</v>
      </c>
      <c r="AY142" s="310">
        <f t="shared" si="79"/>
        <v>1</v>
      </c>
      <c r="AZ142" s="309">
        <f t="shared" si="80"/>
        <v>1.2</v>
      </c>
      <c r="BA142" s="309">
        <f t="shared" si="81"/>
        <v>107.20740161868267</v>
      </c>
      <c r="BB142" s="311">
        <f>Irrig!H144</f>
        <v>0</v>
      </c>
      <c r="BC142" s="310">
        <f t="shared" si="82"/>
        <v>17</v>
      </c>
      <c r="BD142" s="309">
        <f t="shared" si="83"/>
        <v>0.24421398211026374</v>
      </c>
      <c r="BE142" s="309">
        <f t="shared" si="84"/>
        <v>0.24421398211026374</v>
      </c>
      <c r="BF142" s="306">
        <f>DailyMet!H125</f>
        <v>17.45</v>
      </c>
      <c r="BG142" s="306">
        <f>DailyMet!I125</f>
        <v>12.8</v>
      </c>
      <c r="BH142" s="306">
        <f t="shared" si="85"/>
        <v>17.45</v>
      </c>
      <c r="BI142" s="306">
        <f t="shared" si="86"/>
        <v>12.8</v>
      </c>
      <c r="BJ142" s="306">
        <f t="shared" si="87"/>
        <v>5.125</v>
      </c>
      <c r="BK142" s="306">
        <f t="shared" si="113"/>
        <v>34.61</v>
      </c>
      <c r="BL142" s="304">
        <f t="shared" si="89"/>
        <v>0</v>
      </c>
      <c r="BM142" s="304">
        <f t="shared" si="90"/>
        <v>5.125</v>
      </c>
      <c r="BN142" s="304">
        <f t="shared" si="111"/>
        <v>5.125</v>
      </c>
      <c r="BO142" s="306">
        <f t="shared" si="112"/>
        <v>25.684762825969173</v>
      </c>
      <c r="BP142" s="306"/>
    </row>
    <row r="143" spans="1:68">
      <c r="A143" s="299">
        <f t="shared" si="57"/>
        <v>1</v>
      </c>
      <c r="B143" s="300">
        <f t="shared" si="58"/>
        <v>38108</v>
      </c>
      <c r="C143" s="301" t="e">
        <f t="shared" si="91"/>
        <v>#N/A</v>
      </c>
      <c r="D143" s="301" t="e">
        <f t="shared" si="59"/>
        <v>#N/A</v>
      </c>
      <c r="E143" s="299">
        <f t="shared" si="60"/>
        <v>122</v>
      </c>
      <c r="F143" s="396">
        <f>Weather!M127</f>
        <v>16</v>
      </c>
      <c r="G143" s="301">
        <f>IF(Weather!C127="","",Weather!C127)</f>
        <v>2.0153589120792001</v>
      </c>
      <c r="H143" s="301">
        <f>IF(Weather!D127="","",Weather!D127)</f>
        <v>0.1468710709433419</v>
      </c>
      <c r="I143" s="502">
        <f>IF(Weather!E127="","",Weather!E127)</f>
        <v>0.1468710709433419</v>
      </c>
      <c r="J143" s="397">
        <f>IF(RnSplint!N171&lt;0,0,RnSplint!N171)</f>
        <v>19.577075334756479</v>
      </c>
      <c r="K143" s="302">
        <f t="shared" si="92"/>
        <v>0.2</v>
      </c>
      <c r="L143" s="303">
        <f t="shared" si="93"/>
        <v>38108</v>
      </c>
      <c r="M143" s="346" t="str">
        <f t="shared" si="61"/>
        <v/>
      </c>
      <c r="N143" s="304">
        <f t="shared" si="94"/>
        <v>0.2</v>
      </c>
      <c r="O143" s="304">
        <f t="shared" si="95"/>
        <v>0</v>
      </c>
      <c r="P143" s="304">
        <f t="shared" si="62"/>
        <v>0.2</v>
      </c>
      <c r="Q143" s="304">
        <f t="shared" si="63"/>
        <v>1.2</v>
      </c>
      <c r="R143" s="304">
        <f t="shared" si="64"/>
        <v>1.2</v>
      </c>
      <c r="S143" s="305">
        <f t="shared" si="96"/>
        <v>1.2</v>
      </c>
      <c r="T143" s="304">
        <f t="shared" si="65"/>
        <v>0.24404152503598989</v>
      </c>
      <c r="U143" s="304">
        <f t="shared" si="110"/>
        <v>0.24404152503598989</v>
      </c>
      <c r="V143" s="305">
        <f t="shared" si="66"/>
        <v>0.24404152503598989</v>
      </c>
      <c r="W143" s="305">
        <f t="shared" si="97"/>
        <v>0.2</v>
      </c>
      <c r="X143" s="304">
        <f t="shared" si="98"/>
        <v>1.2</v>
      </c>
      <c r="Z143" s="304" t="str">
        <f t="shared" si="67"/>
        <v/>
      </c>
      <c r="AA143" s="305">
        <f t="shared" si="68"/>
        <v>1.2</v>
      </c>
      <c r="AB143" s="304">
        <f t="shared" si="69"/>
        <v>0.17624528513201027</v>
      </c>
      <c r="AC143" s="304" t="str">
        <f t="shared" si="99"/>
        <v/>
      </c>
      <c r="AD143" s="306">
        <f t="shared" si="70"/>
        <v>19.329710452717968</v>
      </c>
      <c r="AE143" s="307">
        <f t="shared" si="100"/>
        <v>0.17624528513201027</v>
      </c>
      <c r="AF143" s="308">
        <f t="shared" si="71"/>
        <v>19.329710452717968</v>
      </c>
      <c r="AG143" s="306">
        <f t="shared" si="101"/>
        <v>107.35427268962601</v>
      </c>
      <c r="AH143" s="306">
        <f t="shared" si="72"/>
        <v>0.1468710709433419</v>
      </c>
      <c r="AI143" s="306">
        <f t="shared" si="102"/>
        <v>0</v>
      </c>
      <c r="AJ143" s="306">
        <f t="shared" si="103"/>
        <v>0</v>
      </c>
      <c r="AK143" s="306">
        <f t="shared" si="73"/>
        <v>0.17624528513201027</v>
      </c>
      <c r="AL143" s="306">
        <f t="shared" si="104"/>
        <v>0</v>
      </c>
      <c r="AM143" s="306">
        <f t="shared" si="74"/>
        <v>0</v>
      </c>
      <c r="AN143" s="304">
        <f>KcSplint!$N172</f>
        <v>0.84380556120950811</v>
      </c>
      <c r="AO143" s="304">
        <f t="shared" si="75"/>
        <v>0.8102962140161466</v>
      </c>
      <c r="AP143" s="304">
        <f t="shared" si="105"/>
        <v>0.8102962140161466</v>
      </c>
      <c r="AQ143" s="305">
        <f t="shared" si="106"/>
        <v>0.8102962140161466</v>
      </c>
      <c r="AR143" s="304">
        <f t="shared" si="107"/>
        <v>0.11900907273388682</v>
      </c>
      <c r="AS143" s="306">
        <f t="shared" si="76"/>
        <v>17.493249849997042</v>
      </c>
      <c r="AT143" s="307">
        <f t="shared" si="108"/>
        <v>0.11900907273388682</v>
      </c>
      <c r="AU143" s="307">
        <f t="shared" si="109"/>
        <v>17.493249849997042</v>
      </c>
      <c r="AV143" s="304">
        <f t="shared" si="77"/>
        <v>0.1468710709433419</v>
      </c>
      <c r="AW143" s="309">
        <f t="shared" si="78"/>
        <v>0.1468710709433419</v>
      </c>
      <c r="AX143" s="306">
        <f>IF(ISERROR(Weather!M127),#N/A,Weather!M127)</f>
        <v>16</v>
      </c>
      <c r="AY143" s="310">
        <f t="shared" si="79"/>
        <v>1</v>
      </c>
      <c r="AZ143" s="309">
        <f t="shared" si="80"/>
        <v>1.2</v>
      </c>
      <c r="BA143" s="309">
        <f t="shared" si="81"/>
        <v>107.35427268962601</v>
      </c>
      <c r="BB143" s="311">
        <f>Irrig!H145</f>
        <v>0</v>
      </c>
      <c r="BC143" s="310">
        <f t="shared" si="82"/>
        <v>18</v>
      </c>
      <c r="BD143" s="309">
        <f t="shared" si="83"/>
        <v>0.24404152503598989</v>
      </c>
      <c r="BE143" s="309">
        <f t="shared" si="84"/>
        <v>0.24404152503598989</v>
      </c>
      <c r="BF143" s="306">
        <f>DailyMet!H126</f>
        <v>15.65</v>
      </c>
      <c r="BG143" s="306">
        <f>DailyMet!I126</f>
        <v>9.8000000000000007</v>
      </c>
      <c r="BH143" s="306">
        <f t="shared" si="85"/>
        <v>15.65</v>
      </c>
      <c r="BI143" s="306">
        <f t="shared" si="86"/>
        <v>10</v>
      </c>
      <c r="BJ143" s="306">
        <f t="shared" si="87"/>
        <v>2.8249999999999993</v>
      </c>
      <c r="BK143" s="306">
        <f t="shared" si="113"/>
        <v>37.435000000000002</v>
      </c>
      <c r="BL143" s="304">
        <f t="shared" si="89"/>
        <v>0</v>
      </c>
      <c r="BM143" s="304">
        <f t="shared" si="90"/>
        <v>2.7284188034188039</v>
      </c>
      <c r="BN143" s="304">
        <f t="shared" si="111"/>
        <v>2.7284188034188039</v>
      </c>
      <c r="BO143" s="306">
        <f t="shared" si="112"/>
        <v>28.413181629387978</v>
      </c>
      <c r="BP143" s="306"/>
    </row>
    <row r="144" spans="1:68">
      <c r="A144" s="299">
        <f t="shared" si="57"/>
        <v>1</v>
      </c>
      <c r="B144" s="300">
        <f t="shared" si="58"/>
        <v>38109</v>
      </c>
      <c r="C144" s="301" t="e">
        <f t="shared" si="91"/>
        <v>#N/A</v>
      </c>
      <c r="D144" s="301" t="e">
        <f t="shared" si="59"/>
        <v>#N/A</v>
      </c>
      <c r="E144" s="299">
        <f t="shared" si="60"/>
        <v>123</v>
      </c>
      <c r="F144" s="396">
        <f>Weather!M128</f>
        <v>0</v>
      </c>
      <c r="G144" s="301">
        <f>IF(Weather!C128="","",Weather!C128)</f>
        <v>2.0679415040247622</v>
      </c>
      <c r="H144" s="301">
        <f>IF(Weather!D128="","",Weather!D128)</f>
        <v>2.7175793432871416</v>
      </c>
      <c r="I144" s="502">
        <f>IF(Weather!E128="","",Weather!E128)</f>
        <v>2.7175793432871416</v>
      </c>
      <c r="J144" s="397">
        <f>IF(RnSplint!N172&lt;0,0,RnSplint!N172)</f>
        <v>18.744525572569145</v>
      </c>
      <c r="K144" s="302">
        <f t="shared" si="92"/>
        <v>0.2</v>
      </c>
      <c r="L144" s="303">
        <f t="shared" si="93"/>
        <v>38109</v>
      </c>
      <c r="M144" s="346" t="str">
        <f t="shared" si="61"/>
        <v/>
      </c>
      <c r="N144" s="304">
        <f t="shared" si="94"/>
        <v>0.2</v>
      </c>
      <c r="O144" s="304">
        <f t="shared" si="95"/>
        <v>0</v>
      </c>
      <c r="P144" s="304">
        <f t="shared" si="62"/>
        <v>0.2</v>
      </c>
      <c r="Q144" s="304">
        <f t="shared" si="63"/>
        <v>1.2</v>
      </c>
      <c r="R144" s="304">
        <f t="shared" si="64"/>
        <v>1.2</v>
      </c>
      <c r="S144" s="305">
        <f t="shared" si="96"/>
        <v>1.2</v>
      </c>
      <c r="T144" s="304">
        <f t="shared" si="65"/>
        <v>0.24091372865736607</v>
      </c>
      <c r="U144" s="304">
        <f t="shared" si="110"/>
        <v>0.24091372865736607</v>
      </c>
      <c r="V144" s="305">
        <f t="shared" si="66"/>
        <v>0.24091372865736607</v>
      </c>
      <c r="W144" s="305">
        <f t="shared" si="97"/>
        <v>0.2</v>
      </c>
      <c r="X144" s="304">
        <f t="shared" si="98"/>
        <v>1.2</v>
      </c>
      <c r="Z144" s="304" t="str">
        <f t="shared" si="67"/>
        <v/>
      </c>
      <c r="AA144" s="305">
        <f t="shared" si="68"/>
        <v>1.2</v>
      </c>
      <c r="AB144" s="304">
        <f t="shared" si="69"/>
        <v>3.26109521194457</v>
      </c>
      <c r="AC144" s="304" t="str">
        <f t="shared" si="99"/>
        <v/>
      </c>
      <c r="AD144" s="306">
        <f t="shared" si="70"/>
        <v>22.59080566466254</v>
      </c>
      <c r="AE144" s="307">
        <f t="shared" si="100"/>
        <v>3.26109521194457</v>
      </c>
      <c r="AF144" s="308">
        <f t="shared" si="71"/>
        <v>22.59080566466254</v>
      </c>
      <c r="AG144" s="306">
        <f t="shared" si="101"/>
        <v>110.07185203291316</v>
      </c>
      <c r="AH144" s="306">
        <f t="shared" si="72"/>
        <v>2.7175793432871416</v>
      </c>
      <c r="AI144" s="306">
        <f t="shared" si="102"/>
        <v>0</v>
      </c>
      <c r="AJ144" s="306">
        <f t="shared" si="103"/>
        <v>0</v>
      </c>
      <c r="AK144" s="306">
        <f t="shared" si="73"/>
        <v>3.26109521194457</v>
      </c>
      <c r="AL144" s="306">
        <f t="shared" si="104"/>
        <v>0</v>
      </c>
      <c r="AM144" s="306">
        <f t="shared" si="74"/>
        <v>0</v>
      </c>
      <c r="AN144" s="304">
        <f>KcSplint!$N173</f>
        <v>0.83035069916361248</v>
      </c>
      <c r="AO144" s="304">
        <f t="shared" si="75"/>
        <v>0.8102962140161466</v>
      </c>
      <c r="AP144" s="304">
        <f t="shared" si="105"/>
        <v>0.8102962140161466</v>
      </c>
      <c r="AQ144" s="305">
        <f t="shared" si="106"/>
        <v>0.8102962140161466</v>
      </c>
      <c r="AR144" s="304">
        <f t="shared" si="107"/>
        <v>2.2020442531540567</v>
      </c>
      <c r="AS144" s="306">
        <f t="shared" si="76"/>
        <v>19.695294103151099</v>
      </c>
      <c r="AT144" s="307">
        <f t="shared" si="108"/>
        <v>2.2020442531540567</v>
      </c>
      <c r="AU144" s="307">
        <f t="shared" si="109"/>
        <v>19.695294103151099</v>
      </c>
      <c r="AV144" s="304">
        <f t="shared" si="77"/>
        <v>2.7175793432871416</v>
      </c>
      <c r="AW144" s="309">
        <f t="shared" si="78"/>
        <v>2.8644504142304834</v>
      </c>
      <c r="AX144" s="306">
        <f>IF(ISERROR(Weather!M128),#N/A,Weather!M128)</f>
        <v>0</v>
      </c>
      <c r="AY144" s="310">
        <f t="shared" si="79"/>
        <v>2</v>
      </c>
      <c r="AZ144" s="309">
        <f t="shared" si="80"/>
        <v>1.2</v>
      </c>
      <c r="BA144" s="309">
        <f t="shared" si="81"/>
        <v>110.07185203291316</v>
      </c>
      <c r="BB144" s="311">
        <f>Irrig!H146</f>
        <v>0</v>
      </c>
      <c r="BC144" s="310">
        <f t="shared" si="82"/>
        <v>19</v>
      </c>
      <c r="BD144" s="309">
        <f t="shared" si="83"/>
        <v>0.24091372865736607</v>
      </c>
      <c r="BE144" s="309">
        <f t="shared" si="84"/>
        <v>0.24091372865736607</v>
      </c>
      <c r="BF144" s="306">
        <f>DailyMet!H127</f>
        <v>15.85</v>
      </c>
      <c r="BG144" s="306">
        <f>DailyMet!I127</f>
        <v>9.3000000000000007</v>
      </c>
      <c r="BH144" s="306">
        <f t="shared" si="85"/>
        <v>15.85</v>
      </c>
      <c r="BI144" s="306">
        <f t="shared" si="86"/>
        <v>10</v>
      </c>
      <c r="BJ144" s="306">
        <f t="shared" si="87"/>
        <v>2.9250000000000007</v>
      </c>
      <c r="BK144" s="306">
        <f t="shared" si="113"/>
        <v>40.36</v>
      </c>
      <c r="BL144" s="304">
        <f t="shared" si="89"/>
        <v>0</v>
      </c>
      <c r="BM144" s="304">
        <f t="shared" si="90"/>
        <v>2.6124045801526719</v>
      </c>
      <c r="BN144" s="304">
        <f t="shared" si="111"/>
        <v>2.6124045801526719</v>
      </c>
      <c r="BO144" s="306">
        <f t="shared" si="112"/>
        <v>31.025586209540648</v>
      </c>
      <c r="BP144" s="306"/>
    </row>
    <row r="145" spans="1:68">
      <c r="A145" s="299">
        <f t="shared" si="57"/>
        <v>1</v>
      </c>
      <c r="B145" s="300">
        <f t="shared" si="58"/>
        <v>38110</v>
      </c>
      <c r="C145" s="301" t="e">
        <f t="shared" si="91"/>
        <v>#N/A</v>
      </c>
      <c r="D145" s="301" t="e">
        <f t="shared" si="59"/>
        <v>#N/A</v>
      </c>
      <c r="E145" s="299">
        <f t="shared" si="60"/>
        <v>124</v>
      </c>
      <c r="F145" s="396">
        <f>Weather!M129</f>
        <v>0</v>
      </c>
      <c r="G145" s="301">
        <f>IF(Weather!C129="","",Weather!C129)</f>
        <v>2.1216241423321454</v>
      </c>
      <c r="H145" s="301">
        <f>IF(Weather!D129="","",Weather!D129)</f>
        <v>3.2908053176774832</v>
      </c>
      <c r="I145" s="502">
        <f>IF(Weather!E129="","",Weather!E129)</f>
        <v>3.2908053176774832</v>
      </c>
      <c r="J145" s="397">
        <f>IF(RnSplint!N173&lt;0,0,RnSplint!N173)</f>
        <v>17.908085928972554</v>
      </c>
      <c r="K145" s="302">
        <f t="shared" si="92"/>
        <v>0.2</v>
      </c>
      <c r="L145" s="303">
        <f t="shared" si="93"/>
        <v>38110</v>
      </c>
      <c r="M145" s="346" t="str">
        <f t="shared" si="61"/>
        <v/>
      </c>
      <c r="N145" s="304">
        <f t="shared" si="94"/>
        <v>0.2</v>
      </c>
      <c r="O145" s="304">
        <f t="shared" si="95"/>
        <v>0</v>
      </c>
      <c r="P145" s="304">
        <f t="shared" si="62"/>
        <v>0.2</v>
      </c>
      <c r="Q145" s="304">
        <f t="shared" si="63"/>
        <v>1.0668798638098937</v>
      </c>
      <c r="R145" s="304">
        <f t="shared" si="64"/>
        <v>1.0668798638098937</v>
      </c>
      <c r="S145" s="305">
        <f t="shared" si="96"/>
        <v>1.0668798638098937</v>
      </c>
      <c r="T145" s="304">
        <f t="shared" si="65"/>
        <v>0.2372793682944106</v>
      </c>
      <c r="U145" s="304">
        <f t="shared" si="110"/>
        <v>0.2372793682944106</v>
      </c>
      <c r="V145" s="305">
        <f t="shared" si="66"/>
        <v>0.2372793682944106</v>
      </c>
      <c r="W145" s="305">
        <f t="shared" si="97"/>
        <v>0.2</v>
      </c>
      <c r="X145" s="304">
        <f t="shared" si="98"/>
        <v>1.0668798638098937</v>
      </c>
      <c r="Z145" s="304" t="str">
        <f t="shared" si="67"/>
        <v/>
      </c>
      <c r="AA145" s="305">
        <f t="shared" si="68"/>
        <v>1.0668798638098937</v>
      </c>
      <c r="AB145" s="304">
        <f t="shared" si="69"/>
        <v>3.5108939291486272</v>
      </c>
      <c r="AC145" s="304" t="str">
        <f t="shared" si="99"/>
        <v/>
      </c>
      <c r="AD145" s="306">
        <f t="shared" si="70"/>
        <v>26.101699593811166</v>
      </c>
      <c r="AE145" s="307">
        <f t="shared" si="100"/>
        <v>3.5108939291486272</v>
      </c>
      <c r="AF145" s="308">
        <f t="shared" si="71"/>
        <v>26.101699593811166</v>
      </c>
      <c r="AG145" s="306">
        <f t="shared" si="101"/>
        <v>113.36265735059064</v>
      </c>
      <c r="AH145" s="306">
        <f t="shared" si="72"/>
        <v>3.2908053176774832</v>
      </c>
      <c r="AI145" s="306">
        <f t="shared" si="102"/>
        <v>0</v>
      </c>
      <c r="AJ145" s="306">
        <f t="shared" si="103"/>
        <v>0</v>
      </c>
      <c r="AK145" s="306">
        <f t="shared" si="73"/>
        <v>3.5108939291486272</v>
      </c>
      <c r="AL145" s="306">
        <f t="shared" si="104"/>
        <v>0</v>
      </c>
      <c r="AM145" s="306">
        <f t="shared" si="74"/>
        <v>0</v>
      </c>
      <c r="AN145" s="304">
        <f>KcSplint!$N174</f>
        <v>0.81664085774756023</v>
      </c>
      <c r="AO145" s="304">
        <f t="shared" si="75"/>
        <v>0.8102962140161466</v>
      </c>
      <c r="AP145" s="304">
        <f t="shared" si="105"/>
        <v>0.8102962140161466</v>
      </c>
      <c r="AQ145" s="305">
        <f t="shared" si="106"/>
        <v>0.8102962140161466</v>
      </c>
      <c r="AR145" s="304">
        <f t="shared" si="107"/>
        <v>2.6665270899782674</v>
      </c>
      <c r="AS145" s="306">
        <f t="shared" si="76"/>
        <v>22.361821193129366</v>
      </c>
      <c r="AT145" s="307">
        <f t="shared" si="108"/>
        <v>2.6665270899782674</v>
      </c>
      <c r="AU145" s="307">
        <f t="shared" si="109"/>
        <v>22.361821193129366</v>
      </c>
      <c r="AV145" s="304">
        <f t="shared" si="77"/>
        <v>3.2908053176774832</v>
      </c>
      <c r="AW145" s="309">
        <f t="shared" si="78"/>
        <v>6.1552557319079666</v>
      </c>
      <c r="AX145" s="306">
        <f>IF(ISERROR(Weather!M129),#N/A,Weather!M129)</f>
        <v>0</v>
      </c>
      <c r="AY145" s="310">
        <f t="shared" si="79"/>
        <v>3</v>
      </c>
      <c r="AZ145" s="309">
        <f t="shared" si="80"/>
        <v>1.0668798638098937</v>
      </c>
      <c r="BA145" s="309">
        <f t="shared" si="81"/>
        <v>113.36265735059064</v>
      </c>
      <c r="BB145" s="311">
        <f>Irrig!H147</f>
        <v>0</v>
      </c>
      <c r="BC145" s="310">
        <f t="shared" si="82"/>
        <v>20</v>
      </c>
      <c r="BD145" s="309">
        <f t="shared" si="83"/>
        <v>0.2372793682944106</v>
      </c>
      <c r="BE145" s="309">
        <f t="shared" si="84"/>
        <v>0.2372793682944106</v>
      </c>
      <c r="BF145" s="306">
        <f>DailyMet!H128</f>
        <v>17.18</v>
      </c>
      <c r="BG145" s="306">
        <f>DailyMet!I128</f>
        <v>10.7</v>
      </c>
      <c r="BH145" s="306">
        <f t="shared" si="85"/>
        <v>17.18</v>
      </c>
      <c r="BI145" s="306">
        <f t="shared" si="86"/>
        <v>10.7</v>
      </c>
      <c r="BJ145" s="306">
        <f t="shared" si="87"/>
        <v>3.9399999999999995</v>
      </c>
      <c r="BK145" s="306">
        <f t="shared" si="113"/>
        <v>44.3</v>
      </c>
      <c r="BL145" s="304">
        <f t="shared" si="89"/>
        <v>0</v>
      </c>
      <c r="BM145" s="304">
        <f t="shared" si="90"/>
        <v>3.9399999999999995</v>
      </c>
      <c r="BN145" s="304">
        <f t="shared" si="111"/>
        <v>3.9399999999999995</v>
      </c>
      <c r="BO145" s="306">
        <f t="shared" si="112"/>
        <v>34.965586209540646</v>
      </c>
      <c r="BP145" s="306"/>
    </row>
    <row r="146" spans="1:68">
      <c r="A146" s="299">
        <f t="shared" si="57"/>
        <v>1</v>
      </c>
      <c r="B146" s="300">
        <f t="shared" si="58"/>
        <v>38111</v>
      </c>
      <c r="C146" s="301" t="e">
        <f t="shared" si="91"/>
        <v>#N/A</v>
      </c>
      <c r="D146" s="301" t="e">
        <f t="shared" si="59"/>
        <v>#N/A</v>
      </c>
      <c r="E146" s="299">
        <f t="shared" si="60"/>
        <v>125</v>
      </c>
      <c r="F146" s="396">
        <f>Weather!M130</f>
        <v>0</v>
      </c>
      <c r="G146" s="301">
        <f>IF(Weather!C130="","",Weather!C130)</f>
        <v>2.1762925688382717</v>
      </c>
      <c r="H146" s="301">
        <f>IF(Weather!D130="","",Weather!D130)</f>
        <v>1.9868260661321759</v>
      </c>
      <c r="I146" s="502">
        <f>IF(Weather!E130="","",Weather!E130)</f>
        <v>1.9868260661321759</v>
      </c>
      <c r="J146" s="397">
        <f>IF(RnSplint!N174&lt;0,0,RnSplint!N174)</f>
        <v>17.070107192199725</v>
      </c>
      <c r="K146" s="302">
        <f t="shared" si="92"/>
        <v>0.2</v>
      </c>
      <c r="L146" s="303">
        <f t="shared" si="93"/>
        <v>38111</v>
      </c>
      <c r="M146" s="346" t="str">
        <f t="shared" si="61"/>
        <v/>
      </c>
      <c r="N146" s="304">
        <f t="shared" si="94"/>
        <v>0.2</v>
      </c>
      <c r="O146" s="304">
        <f t="shared" si="95"/>
        <v>0</v>
      </c>
      <c r="P146" s="304">
        <f t="shared" si="62"/>
        <v>0.2</v>
      </c>
      <c r="Q146" s="304">
        <f t="shared" si="63"/>
        <v>0.92347896741995372</v>
      </c>
      <c r="R146" s="304">
        <f t="shared" si="64"/>
        <v>0.92347896741995372</v>
      </c>
      <c r="S146" s="305">
        <f t="shared" si="96"/>
        <v>0.92347896741995372</v>
      </c>
      <c r="T146" s="304">
        <f t="shared" si="65"/>
        <v>0.2351616123467544</v>
      </c>
      <c r="U146" s="304">
        <f t="shared" si="110"/>
        <v>0.2351616123467544</v>
      </c>
      <c r="V146" s="305">
        <f t="shared" si="66"/>
        <v>0.2351616123467544</v>
      </c>
      <c r="W146" s="305">
        <f t="shared" si="97"/>
        <v>0.2</v>
      </c>
      <c r="X146" s="304">
        <f t="shared" si="98"/>
        <v>0.92347896741995372</v>
      </c>
      <c r="Z146" s="304" t="str">
        <f t="shared" si="67"/>
        <v/>
      </c>
      <c r="AA146" s="305">
        <f t="shared" si="68"/>
        <v>0.92347896741995372</v>
      </c>
      <c r="AB146" s="304">
        <f t="shared" si="69"/>
        <v>1.8347920839947904</v>
      </c>
      <c r="AC146" s="304" t="str">
        <f t="shared" si="99"/>
        <v/>
      </c>
      <c r="AD146" s="306">
        <f t="shared" si="70"/>
        <v>27.936491677805957</v>
      </c>
      <c r="AE146" s="307">
        <f t="shared" si="100"/>
        <v>1.8347920839947904</v>
      </c>
      <c r="AF146" s="308">
        <f t="shared" si="71"/>
        <v>27.936491677805957</v>
      </c>
      <c r="AG146" s="306">
        <f t="shared" si="101"/>
        <v>115.34948341672282</v>
      </c>
      <c r="AH146" s="306">
        <f t="shared" si="72"/>
        <v>1.9868260661321759</v>
      </c>
      <c r="AI146" s="306">
        <f t="shared" si="102"/>
        <v>0</v>
      </c>
      <c r="AJ146" s="306">
        <f t="shared" si="103"/>
        <v>0</v>
      </c>
      <c r="AK146" s="306">
        <f t="shared" si="73"/>
        <v>1.8347920839947904</v>
      </c>
      <c r="AL146" s="306">
        <f t="shared" si="104"/>
        <v>0</v>
      </c>
      <c r="AM146" s="306">
        <f t="shared" si="74"/>
        <v>0</v>
      </c>
      <c r="AN146" s="304">
        <f>KcSplint!$N175</f>
        <v>0.80278007569452303</v>
      </c>
      <c r="AO146" s="304">
        <f t="shared" si="75"/>
        <v>0.8102962140161466</v>
      </c>
      <c r="AP146" s="304">
        <f t="shared" si="105"/>
        <v>0.8102962140161466</v>
      </c>
      <c r="AQ146" s="305">
        <f t="shared" si="106"/>
        <v>0.8102962140161466</v>
      </c>
      <c r="AR146" s="304">
        <f t="shared" si="107"/>
        <v>1.6099176392954964</v>
      </c>
      <c r="AS146" s="306">
        <f t="shared" si="76"/>
        <v>23.971738832424862</v>
      </c>
      <c r="AT146" s="307">
        <f t="shared" si="108"/>
        <v>1.6099176392954964</v>
      </c>
      <c r="AU146" s="307">
        <f t="shared" si="109"/>
        <v>23.971738832424862</v>
      </c>
      <c r="AV146" s="304">
        <f t="shared" si="77"/>
        <v>1.9868260661321759</v>
      </c>
      <c r="AW146" s="309">
        <f t="shared" si="78"/>
        <v>8.1420817980401416</v>
      </c>
      <c r="AX146" s="306">
        <f>IF(ISERROR(Weather!M130),#N/A,Weather!M130)</f>
        <v>0</v>
      </c>
      <c r="AY146" s="310">
        <f t="shared" si="79"/>
        <v>4</v>
      </c>
      <c r="AZ146" s="309">
        <f t="shared" si="80"/>
        <v>0.92347896741995372</v>
      </c>
      <c r="BA146" s="309">
        <f t="shared" si="81"/>
        <v>115.34948341672282</v>
      </c>
      <c r="BB146" s="311">
        <f>Irrig!H148</f>
        <v>0</v>
      </c>
      <c r="BC146" s="310">
        <f t="shared" si="82"/>
        <v>21</v>
      </c>
      <c r="BD146" s="309">
        <f t="shared" si="83"/>
        <v>0.2351616123467544</v>
      </c>
      <c r="BE146" s="309">
        <f t="shared" si="84"/>
        <v>0.2351616123467544</v>
      </c>
      <c r="BF146" s="306">
        <f>DailyMet!H129</f>
        <v>17.45</v>
      </c>
      <c r="BG146" s="306">
        <f>DailyMet!I129</f>
        <v>10.7</v>
      </c>
      <c r="BH146" s="306">
        <f t="shared" si="85"/>
        <v>17.45</v>
      </c>
      <c r="BI146" s="306">
        <f t="shared" si="86"/>
        <v>10.7</v>
      </c>
      <c r="BJ146" s="306">
        <f t="shared" si="87"/>
        <v>4.0749999999999993</v>
      </c>
      <c r="BK146" s="306">
        <f t="shared" si="113"/>
        <v>48.375</v>
      </c>
      <c r="BL146" s="304">
        <f t="shared" si="89"/>
        <v>0</v>
      </c>
      <c r="BM146" s="304">
        <f t="shared" si="90"/>
        <v>4.0749999999999993</v>
      </c>
      <c r="BN146" s="304">
        <f t="shared" si="111"/>
        <v>4.0749999999999993</v>
      </c>
      <c r="BO146" s="306">
        <f t="shared" si="112"/>
        <v>39.040586209540649</v>
      </c>
      <c r="BP146" s="306"/>
    </row>
    <row r="147" spans="1:68">
      <c r="A147" s="299">
        <f t="shared" si="57"/>
        <v>1</v>
      </c>
      <c r="B147" s="300">
        <f t="shared" si="58"/>
        <v>38112</v>
      </c>
      <c r="C147" s="301" t="e">
        <f t="shared" si="91"/>
        <v>#N/A</v>
      </c>
      <c r="D147" s="301" t="e">
        <f t="shared" si="59"/>
        <v>#N/A</v>
      </c>
      <c r="E147" s="299">
        <f t="shared" si="60"/>
        <v>126</v>
      </c>
      <c r="F147" s="396">
        <f>Weather!M131</f>
        <v>0</v>
      </c>
      <c r="G147" s="301">
        <f>IF(Weather!C131="","",Weather!C131)</f>
        <v>2.2318325253800646</v>
      </c>
      <c r="H147" s="301">
        <f>IF(Weather!D131="","",Weather!D131)</f>
        <v>2.9434706790229859</v>
      </c>
      <c r="I147" s="502">
        <f>IF(Weather!E131="","",Weather!E131)</f>
        <v>2.9434706790229859</v>
      </c>
      <c r="J147" s="397">
        <f>IF(RnSplint!N175&lt;0,0,RnSplint!N175)</f>
        <v>16.232940150483692</v>
      </c>
      <c r="K147" s="302">
        <f t="shared" si="92"/>
        <v>0.2</v>
      </c>
      <c r="L147" s="303">
        <f t="shared" si="93"/>
        <v>38112</v>
      </c>
      <c r="M147" s="346" t="str">
        <f t="shared" si="61"/>
        <v/>
      </c>
      <c r="N147" s="304">
        <f t="shared" si="94"/>
        <v>0.2</v>
      </c>
      <c r="O147" s="304">
        <f t="shared" si="95"/>
        <v>0</v>
      </c>
      <c r="P147" s="304">
        <f t="shared" si="62"/>
        <v>0.2</v>
      </c>
      <c r="Q147" s="304">
        <f t="shared" si="63"/>
        <v>0.78753836206299899</v>
      </c>
      <c r="R147" s="304">
        <f t="shared" si="64"/>
        <v>0.78753836206299899</v>
      </c>
      <c r="S147" s="305">
        <f t="shared" si="96"/>
        <v>0.78753836206299899</v>
      </c>
      <c r="T147" s="304">
        <f t="shared" si="65"/>
        <v>0.23212382899755518</v>
      </c>
      <c r="U147" s="304">
        <f t="shared" si="110"/>
        <v>0.23212382899755518</v>
      </c>
      <c r="V147" s="305">
        <f t="shared" si="66"/>
        <v>0.23212382899755518</v>
      </c>
      <c r="W147" s="305">
        <f t="shared" si="97"/>
        <v>0.2</v>
      </c>
      <c r="X147" s="304">
        <f t="shared" si="98"/>
        <v>0.78753836206299899</v>
      </c>
      <c r="Z147" s="304" t="str">
        <f t="shared" si="67"/>
        <v/>
      </c>
      <c r="AA147" s="305">
        <f t="shared" si="68"/>
        <v>0.78753836206299899</v>
      </c>
      <c r="AB147" s="304">
        <f t="shared" si="69"/>
        <v>2.3180960773382258</v>
      </c>
      <c r="AC147" s="304" t="str">
        <f t="shared" si="99"/>
        <v/>
      </c>
      <c r="AD147" s="306">
        <f t="shared" si="70"/>
        <v>30.254587755144183</v>
      </c>
      <c r="AE147" s="307">
        <f t="shared" si="100"/>
        <v>2.3180960773382258</v>
      </c>
      <c r="AF147" s="308">
        <f t="shared" si="71"/>
        <v>30.254587755144183</v>
      </c>
      <c r="AG147" s="306">
        <f t="shared" si="101"/>
        <v>118.2929540957458</v>
      </c>
      <c r="AH147" s="306">
        <f t="shared" si="72"/>
        <v>2.9434706790229859</v>
      </c>
      <c r="AI147" s="306">
        <f t="shared" si="102"/>
        <v>0</v>
      </c>
      <c r="AJ147" s="306">
        <f t="shared" si="103"/>
        <v>0</v>
      </c>
      <c r="AK147" s="306">
        <f t="shared" si="73"/>
        <v>2.3180960773382258</v>
      </c>
      <c r="AL147" s="306">
        <f t="shared" si="104"/>
        <v>0</v>
      </c>
      <c r="AM147" s="306">
        <f t="shared" si="74"/>
        <v>0</v>
      </c>
      <c r="AN147" s="304">
        <f>KcSplint!$N176</f>
        <v>0.78887239173767254</v>
      </c>
      <c r="AO147" s="304">
        <f t="shared" si="75"/>
        <v>0.8102962140161466</v>
      </c>
      <c r="AP147" s="304">
        <f t="shared" si="105"/>
        <v>0.8102962140161466</v>
      </c>
      <c r="AQ147" s="305">
        <f t="shared" si="106"/>
        <v>0.8102962140161466</v>
      </c>
      <c r="AR147" s="304">
        <f t="shared" si="107"/>
        <v>2.3850831472798619</v>
      </c>
      <c r="AS147" s="306">
        <f t="shared" si="76"/>
        <v>26.356821979704723</v>
      </c>
      <c r="AT147" s="307">
        <f t="shared" si="108"/>
        <v>2.3850831472798619</v>
      </c>
      <c r="AU147" s="307">
        <f t="shared" si="109"/>
        <v>26.356821979704723</v>
      </c>
      <c r="AV147" s="304">
        <f t="shared" si="77"/>
        <v>2.9434706790229859</v>
      </c>
      <c r="AW147" s="309">
        <f t="shared" si="78"/>
        <v>11.085552477063128</v>
      </c>
      <c r="AX147" s="306">
        <f>IF(ISERROR(Weather!M131),#N/A,Weather!M131)</f>
        <v>0</v>
      </c>
      <c r="AY147" s="310">
        <f t="shared" si="79"/>
        <v>5</v>
      </c>
      <c r="AZ147" s="309">
        <f t="shared" si="80"/>
        <v>0.78753836206299899</v>
      </c>
      <c r="BA147" s="309">
        <f t="shared" si="81"/>
        <v>118.2929540957458</v>
      </c>
      <c r="BB147" s="311">
        <f>Irrig!H149</f>
        <v>0</v>
      </c>
      <c r="BC147" s="310">
        <f t="shared" si="82"/>
        <v>22</v>
      </c>
      <c r="BD147" s="309">
        <f t="shared" si="83"/>
        <v>0.23212382899755518</v>
      </c>
      <c r="BE147" s="309">
        <f t="shared" si="84"/>
        <v>0.23212382899755518</v>
      </c>
      <c r="BF147" s="306">
        <f>DailyMet!H130</f>
        <v>17.649999999999999</v>
      </c>
      <c r="BG147" s="306">
        <f>DailyMet!I130</f>
        <v>10.5</v>
      </c>
      <c r="BH147" s="306">
        <f t="shared" si="85"/>
        <v>17.649999999999999</v>
      </c>
      <c r="BI147" s="306">
        <f t="shared" si="86"/>
        <v>10.5</v>
      </c>
      <c r="BJ147" s="306">
        <f t="shared" si="87"/>
        <v>4.0749999999999993</v>
      </c>
      <c r="BK147" s="306">
        <f t="shared" si="113"/>
        <v>52.45</v>
      </c>
      <c r="BL147" s="304">
        <f t="shared" si="89"/>
        <v>0</v>
      </c>
      <c r="BM147" s="304">
        <f t="shared" si="90"/>
        <v>4.0749999999999993</v>
      </c>
      <c r="BN147" s="304">
        <f t="shared" si="111"/>
        <v>4.0749999999999993</v>
      </c>
      <c r="BO147" s="306">
        <f t="shared" si="112"/>
        <v>43.115586209540652</v>
      </c>
      <c r="BP147" s="306"/>
    </row>
    <row r="148" spans="1:68">
      <c r="A148" s="299">
        <f t="shared" si="57"/>
        <v>1</v>
      </c>
      <c r="B148" s="300">
        <f t="shared" si="58"/>
        <v>38113</v>
      </c>
      <c r="C148" s="301" t="e">
        <f t="shared" si="91"/>
        <v>#N/A</v>
      </c>
      <c r="D148" s="301" t="e">
        <f t="shared" si="59"/>
        <v>#N/A</v>
      </c>
      <c r="E148" s="299">
        <f t="shared" si="60"/>
        <v>127</v>
      </c>
      <c r="F148" s="396">
        <f>Weather!M132</f>
        <v>2.2000000000000002</v>
      </c>
      <c r="G148" s="301">
        <f>IF(Weather!C132="","",Weather!C132)</f>
        <v>2.2881297537944461</v>
      </c>
      <c r="H148" s="301">
        <f>IF(Weather!D132="","",Weather!D132)</f>
        <v>3.3627214264420116</v>
      </c>
      <c r="I148" s="502">
        <f>IF(Weather!E132="","",Weather!E132)</f>
        <v>3.3627214264420116</v>
      </c>
      <c r="J148" s="397">
        <f>IF(RnSplint!N176&lt;0,0,RnSplint!N176)</f>
        <v>15.398935592057468</v>
      </c>
      <c r="K148" s="302">
        <f t="shared" si="92"/>
        <v>0.2</v>
      </c>
      <c r="L148" s="303">
        <f t="shared" si="93"/>
        <v>38113</v>
      </c>
      <c r="M148" s="346" t="str">
        <f t="shared" si="61"/>
        <v/>
      </c>
      <c r="N148" s="304">
        <f t="shared" si="94"/>
        <v>0.2</v>
      </c>
      <c r="O148" s="304">
        <f t="shared" si="95"/>
        <v>0</v>
      </c>
      <c r="P148" s="304">
        <f t="shared" si="62"/>
        <v>0.2</v>
      </c>
      <c r="Q148" s="304">
        <f t="shared" si="63"/>
        <v>0.68691257685441853</v>
      </c>
      <c r="R148" s="304">
        <f t="shared" si="64"/>
        <v>0.68691257685441853</v>
      </c>
      <c r="S148" s="305">
        <f t="shared" si="96"/>
        <v>0.68691257685441853</v>
      </c>
      <c r="T148" s="304">
        <f t="shared" si="65"/>
        <v>0.22879061268856063</v>
      </c>
      <c r="U148" s="304">
        <f t="shared" si="110"/>
        <v>0.22879061268856063</v>
      </c>
      <c r="V148" s="305">
        <f t="shared" si="66"/>
        <v>0.22879061268856063</v>
      </c>
      <c r="W148" s="305">
        <f t="shared" si="97"/>
        <v>0.2</v>
      </c>
      <c r="X148" s="304">
        <f t="shared" si="98"/>
        <v>0.68691257685441853</v>
      </c>
      <c r="Z148" s="304" t="str">
        <f t="shared" si="67"/>
        <v/>
      </c>
      <c r="AA148" s="305">
        <f t="shared" si="68"/>
        <v>0.68691257685441853</v>
      </c>
      <c r="AB148" s="304">
        <f t="shared" si="69"/>
        <v>2.3098956402808484</v>
      </c>
      <c r="AC148" s="304" t="str">
        <f t="shared" si="99"/>
        <v/>
      </c>
      <c r="AD148" s="306">
        <f t="shared" si="70"/>
        <v>32.564483395425029</v>
      </c>
      <c r="AE148" s="307">
        <f t="shared" si="100"/>
        <v>2.3098956402808484</v>
      </c>
      <c r="AF148" s="308">
        <f t="shared" si="71"/>
        <v>32.564483395425029</v>
      </c>
      <c r="AG148" s="306">
        <f t="shared" si="101"/>
        <v>121.65567552218781</v>
      </c>
      <c r="AH148" s="306">
        <f t="shared" si="72"/>
        <v>3.3627214264420116</v>
      </c>
      <c r="AI148" s="306">
        <f t="shared" si="102"/>
        <v>0</v>
      </c>
      <c r="AJ148" s="306">
        <f t="shared" si="103"/>
        <v>0</v>
      </c>
      <c r="AK148" s="306">
        <f t="shared" si="73"/>
        <v>2.3098956402808484</v>
      </c>
      <c r="AL148" s="306">
        <f t="shared" si="104"/>
        <v>0</v>
      </c>
      <c r="AM148" s="306">
        <f t="shared" si="74"/>
        <v>0</v>
      </c>
      <c r="AN148" s="304">
        <f>KcSplint!$N177</f>
        <v>0.77502184461018053</v>
      </c>
      <c r="AO148" s="304">
        <f t="shared" si="75"/>
        <v>0.8102962140161466</v>
      </c>
      <c r="AP148" s="304">
        <f t="shared" si="105"/>
        <v>0.8102962140161466</v>
      </c>
      <c r="AQ148" s="305">
        <f t="shared" si="106"/>
        <v>0.8102962140161466</v>
      </c>
      <c r="AR148" s="304">
        <f t="shared" si="107"/>
        <v>2.7248004406369382</v>
      </c>
      <c r="AS148" s="306">
        <f t="shared" si="76"/>
        <v>29.08162242034166</v>
      </c>
      <c r="AT148" s="307">
        <f t="shared" si="108"/>
        <v>2.7248004406369382</v>
      </c>
      <c r="AU148" s="307">
        <f t="shared" si="109"/>
        <v>29.08162242034166</v>
      </c>
      <c r="AV148" s="304">
        <f t="shared" si="77"/>
        <v>3.3627214264420116</v>
      </c>
      <c r="AW148" s="309">
        <f t="shared" si="78"/>
        <v>14.44827390350514</v>
      </c>
      <c r="AX148" s="306">
        <f>IF(ISERROR(Weather!M132),#N/A,Weather!M132)</f>
        <v>2.2000000000000002</v>
      </c>
      <c r="AY148" s="310">
        <f t="shared" si="79"/>
        <v>6</v>
      </c>
      <c r="AZ148" s="309">
        <f t="shared" si="80"/>
        <v>0.68691257685441853</v>
      </c>
      <c r="BA148" s="309">
        <f t="shared" si="81"/>
        <v>121.65567552218781</v>
      </c>
      <c r="BB148" s="311">
        <f>Irrig!H150</f>
        <v>0</v>
      </c>
      <c r="BC148" s="310">
        <f t="shared" si="82"/>
        <v>23</v>
      </c>
      <c r="BD148" s="309">
        <f t="shared" si="83"/>
        <v>0.22879061268856063</v>
      </c>
      <c r="BE148" s="309">
        <f t="shared" si="84"/>
        <v>0.22879061268856063</v>
      </c>
      <c r="BF148" s="306">
        <f>DailyMet!H131</f>
        <v>16.75</v>
      </c>
      <c r="BG148" s="306">
        <f>DailyMet!I131</f>
        <v>13</v>
      </c>
      <c r="BH148" s="306">
        <f t="shared" si="85"/>
        <v>16.75</v>
      </c>
      <c r="BI148" s="306">
        <f t="shared" si="86"/>
        <v>13</v>
      </c>
      <c r="BJ148" s="306">
        <f t="shared" si="87"/>
        <v>4.875</v>
      </c>
      <c r="BK148" s="306">
        <f t="shared" si="113"/>
        <v>57.325000000000003</v>
      </c>
      <c r="BL148" s="304">
        <f t="shared" si="89"/>
        <v>0</v>
      </c>
      <c r="BM148" s="304">
        <f t="shared" si="90"/>
        <v>4.875</v>
      </c>
      <c r="BN148" s="304">
        <f t="shared" si="111"/>
        <v>4.875</v>
      </c>
      <c r="BO148" s="306">
        <f t="shared" si="112"/>
        <v>47.990586209540652</v>
      </c>
      <c r="BP148" s="306"/>
    </row>
    <row r="149" spans="1:68">
      <c r="A149" s="299">
        <f t="shared" si="57"/>
        <v>1</v>
      </c>
      <c r="B149" s="300">
        <f t="shared" si="58"/>
        <v>38114</v>
      </c>
      <c r="C149" s="301" t="e">
        <f t="shared" si="91"/>
        <v>#N/A</v>
      </c>
      <c r="D149" s="301" t="e">
        <f t="shared" si="59"/>
        <v>#N/A</v>
      </c>
      <c r="E149" s="299">
        <f t="shared" si="60"/>
        <v>128</v>
      </c>
      <c r="F149" s="396">
        <f>Weather!M133</f>
        <v>0</v>
      </c>
      <c r="G149" s="301">
        <f>IF(Weather!C133="","",Weather!C133)</f>
        <v>2.3450699959183381</v>
      </c>
      <c r="H149" s="301">
        <f>IF(Weather!D133="","",Weather!D133)</f>
        <v>1.8421522137245261</v>
      </c>
      <c r="I149" s="502">
        <f>IF(Weather!E133="","",Weather!E133)</f>
        <v>1.8421522137245261</v>
      </c>
      <c r="J149" s="397">
        <f>IF(RnSplint!N177&lt;0,0,RnSplint!N177)</f>
        <v>14.57044430515408</v>
      </c>
      <c r="K149" s="302">
        <f t="shared" si="92"/>
        <v>0.2</v>
      </c>
      <c r="L149" s="303">
        <f t="shared" si="93"/>
        <v>38114</v>
      </c>
      <c r="M149" s="346" t="str">
        <f t="shared" si="61"/>
        <v/>
      </c>
      <c r="N149" s="304">
        <f t="shared" si="94"/>
        <v>0.2</v>
      </c>
      <c r="O149" s="304">
        <f t="shared" si="95"/>
        <v>0</v>
      </c>
      <c r="P149" s="304">
        <f t="shared" si="62"/>
        <v>0.2</v>
      </c>
      <c r="Q149" s="304">
        <f t="shared" si="63"/>
        <v>0.64566815223773377</v>
      </c>
      <c r="R149" s="304">
        <f t="shared" si="64"/>
        <v>0.64566815223773377</v>
      </c>
      <c r="S149" s="305">
        <f t="shared" si="96"/>
        <v>0.64566815223773377</v>
      </c>
      <c r="T149" s="304">
        <f t="shared" si="65"/>
        <v>0.22702322991307708</v>
      </c>
      <c r="U149" s="304">
        <f t="shared" si="110"/>
        <v>0.22702322991307708</v>
      </c>
      <c r="V149" s="305">
        <f t="shared" si="66"/>
        <v>0.22702322991307708</v>
      </c>
      <c r="W149" s="305">
        <f t="shared" si="97"/>
        <v>0.2</v>
      </c>
      <c r="X149" s="304">
        <f t="shared" si="98"/>
        <v>0.64566815223773377</v>
      </c>
      <c r="Z149" s="304" t="str">
        <f t="shared" si="67"/>
        <v/>
      </c>
      <c r="AA149" s="305">
        <f t="shared" si="68"/>
        <v>0.64566815223773377</v>
      </c>
      <c r="AB149" s="304">
        <f t="shared" si="69"/>
        <v>1.1894190159761655</v>
      </c>
      <c r="AC149" s="304" t="str">
        <f t="shared" si="99"/>
        <v/>
      </c>
      <c r="AD149" s="306">
        <f t="shared" si="70"/>
        <v>33.753902411401192</v>
      </c>
      <c r="AE149" s="307">
        <f t="shared" si="100"/>
        <v>1.1894190159761655</v>
      </c>
      <c r="AF149" s="308">
        <f t="shared" si="71"/>
        <v>33.753902411401192</v>
      </c>
      <c r="AG149" s="306">
        <f t="shared" si="101"/>
        <v>123.49782773591234</v>
      </c>
      <c r="AH149" s="306">
        <f t="shared" si="72"/>
        <v>1.8421522137245261</v>
      </c>
      <c r="AI149" s="306">
        <f t="shared" si="102"/>
        <v>0</v>
      </c>
      <c r="AJ149" s="306">
        <f t="shared" si="103"/>
        <v>0</v>
      </c>
      <c r="AK149" s="306">
        <f t="shared" si="73"/>
        <v>1.1894190159761655</v>
      </c>
      <c r="AL149" s="306">
        <f t="shared" si="104"/>
        <v>0</v>
      </c>
      <c r="AM149" s="306">
        <f t="shared" si="74"/>
        <v>0</v>
      </c>
      <c r="AN149" s="304">
        <f>KcSplint!$N178</f>
        <v>0.76133247304521834</v>
      </c>
      <c r="AO149" s="304">
        <f t="shared" si="75"/>
        <v>0.8102962140161466</v>
      </c>
      <c r="AP149" s="304">
        <f t="shared" si="105"/>
        <v>0.8102962140161466</v>
      </c>
      <c r="AQ149" s="305">
        <f t="shared" si="106"/>
        <v>0.8102962140161466</v>
      </c>
      <c r="AR149" s="304">
        <f t="shared" si="107"/>
        <v>1.4926889644224468</v>
      </c>
      <c r="AS149" s="306">
        <f t="shared" si="76"/>
        <v>30.574311384764105</v>
      </c>
      <c r="AT149" s="307">
        <f t="shared" si="108"/>
        <v>1.4926889644224468</v>
      </c>
      <c r="AU149" s="307">
        <f t="shared" si="109"/>
        <v>30.574311384764105</v>
      </c>
      <c r="AV149" s="304">
        <f t="shared" si="77"/>
        <v>1.8421522137245261</v>
      </c>
      <c r="AW149" s="309">
        <f t="shared" si="78"/>
        <v>16.290426117229664</v>
      </c>
      <c r="AX149" s="306">
        <f>IF(ISERROR(Weather!M133),#N/A,Weather!M133)</f>
        <v>0</v>
      </c>
      <c r="AY149" s="310">
        <f t="shared" si="79"/>
        <v>7</v>
      </c>
      <c r="AZ149" s="309">
        <f t="shared" si="80"/>
        <v>0.64566815223773377</v>
      </c>
      <c r="BA149" s="309">
        <f t="shared" si="81"/>
        <v>123.49782773591234</v>
      </c>
      <c r="BB149" s="311">
        <f>Irrig!H151</f>
        <v>0</v>
      </c>
      <c r="BC149" s="310">
        <f t="shared" si="82"/>
        <v>24</v>
      </c>
      <c r="BD149" s="309">
        <f t="shared" si="83"/>
        <v>0.22702322991307708</v>
      </c>
      <c r="BE149" s="309">
        <f t="shared" si="84"/>
        <v>0.22702322991307708</v>
      </c>
      <c r="BF149" s="306">
        <f>DailyMet!H132</f>
        <v>16.79</v>
      </c>
      <c r="BG149" s="306">
        <f>DailyMet!I132</f>
        <v>11.4</v>
      </c>
      <c r="BH149" s="306">
        <f t="shared" si="85"/>
        <v>16.79</v>
      </c>
      <c r="BI149" s="306">
        <f t="shared" si="86"/>
        <v>11.4</v>
      </c>
      <c r="BJ149" s="306">
        <f t="shared" si="87"/>
        <v>4.0949999999999989</v>
      </c>
      <c r="BK149" s="306">
        <f t="shared" si="113"/>
        <v>61.42</v>
      </c>
      <c r="BL149" s="304">
        <f t="shared" si="89"/>
        <v>0</v>
      </c>
      <c r="BM149" s="304">
        <f t="shared" si="90"/>
        <v>4.0949999999999989</v>
      </c>
      <c r="BN149" s="304">
        <f t="shared" si="111"/>
        <v>4.0949999999999989</v>
      </c>
      <c r="BO149" s="306">
        <f t="shared" si="112"/>
        <v>52.085586209540651</v>
      </c>
      <c r="BP149" s="306"/>
    </row>
    <row r="150" spans="1:68">
      <c r="A150" s="299">
        <f t="shared" ref="A150:A213" si="114">IF(B150&gt;K$12,0,IF(B150&gt;L$11,4,IF(B150&gt;=L$10,3,IF(B150&gt;L$9,2,IF(B150&gt;=K$8,1,0)))))</f>
        <v>1</v>
      </c>
      <c r="B150" s="300">
        <f t="shared" ref="B150:B213" si="115">B149+1</f>
        <v>38115</v>
      </c>
      <c r="C150" s="301" t="e">
        <f t="shared" si="91"/>
        <v>#N/A</v>
      </c>
      <c r="D150" s="301" t="e">
        <f t="shared" ref="D150:D213" si="116">IF(ISNA(C150),#N/A,IF(Q150&lt;C150,Q150,C150))</f>
        <v>#N/A</v>
      </c>
      <c r="E150" s="299">
        <f t="shared" ref="E150:E213" si="117">B150-DATE(K$2-1,12,31)</f>
        <v>129</v>
      </c>
      <c r="F150" s="396">
        <f>Weather!M134</f>
        <v>0</v>
      </c>
      <c r="G150" s="301">
        <f>IF(Weather!C134="","",Weather!C134)</f>
        <v>2.4025389935886645</v>
      </c>
      <c r="H150" s="301">
        <f>IF(Weather!D134="","",Weather!D134)</f>
        <v>1.6487735550847691</v>
      </c>
      <c r="I150" s="502">
        <f>IF(Weather!E134="","",Weather!E134)</f>
        <v>1.6487735550847691</v>
      </c>
      <c r="J150" s="397">
        <f>IF(RnSplint!N178&lt;0,0,RnSplint!N178)</f>
        <v>13.749817078006551</v>
      </c>
      <c r="K150" s="302">
        <f t="shared" si="92"/>
        <v>0.2</v>
      </c>
      <c r="L150" s="303">
        <f t="shared" si="93"/>
        <v>38115</v>
      </c>
      <c r="M150" s="346" t="str">
        <f t="shared" ref="M150:M213" si="118">IF(OR(MONTH(L151)&gt;MONTH(L150),MONTH(L151)&lt;MONTH(L150)),MONTH(L150),"")</f>
        <v/>
      </c>
      <c r="N150" s="304">
        <f t="shared" si="94"/>
        <v>0.2</v>
      </c>
      <c r="O150" s="304">
        <f t="shared" si="95"/>
        <v>0</v>
      </c>
      <c r="P150" s="304">
        <f t="shared" ref="P150:P213" si="119">IF($N150+$O150&gt;K$6,$K$6,$N150+$O150)</f>
        <v>0.2</v>
      </c>
      <c r="Q150" s="304">
        <f t="shared" ref="Q150:Q213" si="120">AZ150</f>
        <v>0.61433339725239178</v>
      </c>
      <c r="R150" s="304">
        <f t="shared" ref="R150:R213" si="121">IF(Q150&gt;P150,Q150,P150)</f>
        <v>0.61433339725239178</v>
      </c>
      <c r="S150" s="305">
        <f t="shared" si="96"/>
        <v>0.61433339725239178</v>
      </c>
      <c r="T150" s="304">
        <f t="shared" ref="T150:T213" si="122">BE150</f>
        <v>0.22547493575451882</v>
      </c>
      <c r="U150" s="304">
        <f t="shared" si="110"/>
        <v>0.22547493575451882</v>
      </c>
      <c r="V150" s="305">
        <f t="shared" ref="V150:V213" si="123">IF(N150=0,#N/A,U150)</f>
        <v>0.22547493575451882</v>
      </c>
      <c r="W150" s="305">
        <f t="shared" si="97"/>
        <v>0.2</v>
      </c>
      <c r="X150" s="304">
        <f t="shared" si="98"/>
        <v>0.61433339725239178</v>
      </c>
      <c r="Z150" s="304" t="str">
        <f t="shared" ref="Z150:Z213" si="124">IF(A150=2,X150,"")</f>
        <v/>
      </c>
      <c r="AA150" s="305">
        <f t="shared" ref="AA150:AA213" si="125">IF(N150=0,#N/A,X150)</f>
        <v>0.61433339725239178</v>
      </c>
      <c r="AB150" s="304">
        <f t="shared" ref="AB150:AB213" si="126">X150*AV150</f>
        <v>1.0128966593951296</v>
      </c>
      <c r="AC150" s="304" t="str">
        <f t="shared" si="99"/>
        <v/>
      </c>
      <c r="AD150" s="306">
        <f t="shared" ref="AD150:AD213" si="127">IF(OR(AND(L$3=4,E150&gt;366),AND(L$3=2,E150&gt;366)),0,IF(A150=0,0,AD149+AB150))</f>
        <v>34.766799070796324</v>
      </c>
      <c r="AE150" s="307">
        <f t="shared" si="100"/>
        <v>1.0128966593951296</v>
      </c>
      <c r="AF150" s="308">
        <f t="shared" ref="AF150:AF213" si="128">IF(AD150=0,#N/A,AD150)</f>
        <v>34.766799070796324</v>
      </c>
      <c r="AG150" s="306">
        <f t="shared" si="101"/>
        <v>125.14660129099711</v>
      </c>
      <c r="AH150" s="306">
        <f t="shared" ref="AH150:AH213" si="129">IF($A150=1,I150,0)</f>
        <v>1.6487735550847691</v>
      </c>
      <c r="AI150" s="306">
        <f t="shared" si="102"/>
        <v>0</v>
      </c>
      <c r="AJ150" s="306">
        <f t="shared" si="103"/>
        <v>0</v>
      </c>
      <c r="AK150" s="306">
        <f t="shared" ref="AK150:AK213" si="130">IF($A150=1,AE150,0)</f>
        <v>1.0128966593951296</v>
      </c>
      <c r="AL150" s="306">
        <f t="shared" si="104"/>
        <v>0</v>
      </c>
      <c r="AM150" s="306">
        <f t="shared" ref="AM150:AM213" si="131">IF($A150=4,$AE150,0)</f>
        <v>0</v>
      </c>
      <c r="AN150" s="304">
        <f>KcSplint!$N179</f>
        <v>0.74790831577595784</v>
      </c>
      <c r="AO150" s="304">
        <f t="shared" ref="AO150:AO213" si="132">IF($A150=1,$AC$9,IF($A150=2,$AP149+$AD$9,IF($A150=3,$AC$10,IF($A150=4,$AP149+$AD$11,""))))</f>
        <v>0.8102962140161466</v>
      </c>
      <c r="AP150" s="304">
        <f t="shared" si="105"/>
        <v>0.8102962140161466</v>
      </c>
      <c r="AQ150" s="305">
        <f t="shared" si="106"/>
        <v>0.8102962140161466</v>
      </c>
      <c r="AR150" s="304">
        <f t="shared" si="107"/>
        <v>1.335994969455131</v>
      </c>
      <c r="AS150" s="306">
        <f t="shared" ref="AS150:AS213" si="133">IF(OR(AND(L$3=4,E150&gt;366),AND(L$3=2,E150&gt;366)),0,IF(AR150="",0,AS149+AR150))</f>
        <v>31.910306354219237</v>
      </c>
      <c r="AT150" s="307">
        <f t="shared" si="108"/>
        <v>1.335994969455131</v>
      </c>
      <c r="AU150" s="307">
        <f t="shared" si="109"/>
        <v>31.910306354219237</v>
      </c>
      <c r="AV150" s="304">
        <f t="shared" ref="AV150:AV213" si="134">IF(I150&lt;0,0,I150)</f>
        <v>1.6487735550847691</v>
      </c>
      <c r="AW150" s="309">
        <f t="shared" ref="AW150:AW213" si="135">IF(AV150="",0,IF(AY150=1,AV150,AW149+AV150))</f>
        <v>17.939199672314434</v>
      </c>
      <c r="AX150" s="306">
        <f>IF(ISERROR(Weather!M134),#N/A,Weather!M134)</f>
        <v>0</v>
      </c>
      <c r="AY150" s="310">
        <f t="shared" ref="AY150:AY213" si="136">IF(AV150="",0,IF(AX150&gt;2*AV150,1,AY149+1))</f>
        <v>8</v>
      </c>
      <c r="AZ150" s="309">
        <f t="shared" ref="AZ150:AZ213" si="137">IF(2.725*$AW150^-0.516&gt;1.2,1.2,2.725*$AW150^-0.516)</f>
        <v>0.61433339725239178</v>
      </c>
      <c r="BA150" s="309">
        <f t="shared" ref="BA150:BA213" si="138">IF($AV150="",0,IF(BC150=1,$AV150,BA149+$AV150))</f>
        <v>125.14660129099711</v>
      </c>
      <c r="BB150" s="311">
        <f>Irrig!H152</f>
        <v>0</v>
      </c>
      <c r="BC150" s="310">
        <f t="shared" ref="BC150:BC213" si="139">IF(A150=0,0,IF(BB150="",0,IF(BB150&gt;2*AV150,1,IF(A149=0,2,BC149+1))))</f>
        <v>25</v>
      </c>
      <c r="BD150" s="309">
        <f t="shared" ref="BD150:BD213" si="140">IF($A150=0,0,IF(2.725*$BA150^-0.516&gt;1.2,IF($A149=0,$Q150,1.2),IF($A149=0,$Q150,2.725*$BA150^-0.516)))</f>
        <v>0.22547493575451882</v>
      </c>
      <c r="BE150" s="309">
        <f t="shared" ref="BE150:BE213" si="141">(BE$18/100)*BD150</f>
        <v>0.22547493575451882</v>
      </c>
      <c r="BF150" s="306">
        <f>DailyMet!H133</f>
        <v>18.03</v>
      </c>
      <c r="BG150" s="306">
        <f>DailyMet!I133</f>
        <v>9.5</v>
      </c>
      <c r="BH150" s="306">
        <f t="shared" ref="BH150:BH213" si="142">IF(BF150&gt;$V$3,$V$3,BF150)</f>
        <v>18.03</v>
      </c>
      <c r="BI150" s="306">
        <f t="shared" ref="BI150:BI213" si="143">IF(BG150&lt;$V$4,$V$4,BG150)</f>
        <v>10</v>
      </c>
      <c r="BJ150" s="306">
        <f t="shared" ref="BJ150:BJ213" si="144">(BH150+BI150)/2-V$4</f>
        <v>4.0150000000000006</v>
      </c>
      <c r="BK150" s="306">
        <f t="shared" si="113"/>
        <v>65.435000000000002</v>
      </c>
      <c r="BL150" s="304">
        <f t="shared" ref="BL150:BL213" si="145">IF($BG150&gt;$V$3,($BG150+$BF150)/2-$V$3,IF($BF150&gt;$V$3,($BF150-$V$3)^2/(2*($BF150-$BG150)),0))</f>
        <v>0</v>
      </c>
      <c r="BM150" s="304">
        <f t="shared" ref="BM150:BM213" si="146">IF($BG150&gt;$V$4,($BG150+$BF150)/2-$V$4,IF($BF150&gt;$V$4,($BF150-$V$4)^2/(2*($BF150-$BG150)),0))</f>
        <v>3.7796541617819468</v>
      </c>
      <c r="BN150" s="304">
        <f t="shared" si="111"/>
        <v>3.7796541617819468</v>
      </c>
      <c r="BO150" s="306">
        <f t="shared" si="112"/>
        <v>55.865240371322599</v>
      </c>
      <c r="BP150" s="306"/>
    </row>
    <row r="151" spans="1:68">
      <c r="A151" s="299">
        <f t="shared" si="114"/>
        <v>1</v>
      </c>
      <c r="B151" s="300">
        <f t="shared" si="115"/>
        <v>38116</v>
      </c>
      <c r="C151" s="301" t="e">
        <f t="shared" ref="C151:C214" si="147">VLOOKUP(B151,$L$8:$R$12,7,FALSE)</f>
        <v>#N/A</v>
      </c>
      <c r="D151" s="301" t="e">
        <f t="shared" si="116"/>
        <v>#N/A</v>
      </c>
      <c r="E151" s="299">
        <f t="shared" si="117"/>
        <v>130</v>
      </c>
      <c r="F151" s="396">
        <f>Weather!M135</f>
        <v>0</v>
      </c>
      <c r="G151" s="301">
        <f>IF(Weather!C135="","",Weather!C135)</f>
        <v>2.4604224886423482</v>
      </c>
      <c r="H151" s="301">
        <f>IF(Weather!D135="","",Weather!D135)</f>
        <v>2.9498016282126498</v>
      </c>
      <c r="I151" s="502">
        <f>IF(Weather!E135="","",Weather!E135)</f>
        <v>2.9498016282126498</v>
      </c>
      <c r="J151" s="397">
        <f>IF(RnSplint!N179&lt;0,0,RnSplint!N179)</f>
        <v>12.939404698847902</v>
      </c>
      <c r="K151" s="302">
        <f t="shared" ref="K151:K214" si="148">IF(AND($B151&gt;=L$8,$B151&lt;=L$9),Z$9,IF(AND($B151&gt;L$9,$B151&lt;=L$10),N150+AA$9,IF(AND($B151&gt;L$10,$B151&lt;=L$11),N150+AA$10,IF(AND($B151&gt;L$11,$B151&lt;=L$12),N150+AA$11,0))))</f>
        <v>0.2</v>
      </c>
      <c r="L151" s="303">
        <f t="shared" ref="L151:L214" si="149">B151</f>
        <v>38116</v>
      </c>
      <c r="M151" s="346" t="str">
        <f t="shared" si="118"/>
        <v/>
      </c>
      <c r="N151" s="304">
        <f t="shared" ref="N151:N214" si="150">K151</f>
        <v>0.2</v>
      </c>
      <c r="O151" s="304">
        <f t="shared" ref="O151:O214" si="151">IF($L$3&lt;3,0,IF($R$3=E151,R$2,IF($R$4=E150,0,IF($R$5=E151,R$2,IF($R$6=E150,0,O150)))))</f>
        <v>0</v>
      </c>
      <c r="P151" s="304">
        <f t="shared" si="119"/>
        <v>0.2</v>
      </c>
      <c r="Q151" s="304">
        <f t="shared" si="120"/>
        <v>0.56792238279984364</v>
      </c>
      <c r="R151" s="304">
        <f t="shared" si="121"/>
        <v>0.56792238279984364</v>
      </c>
      <c r="S151" s="305">
        <f t="shared" ref="S151:S214" si="152">IF(N151=0,#N/A,R151)</f>
        <v>0.56792238279984364</v>
      </c>
      <c r="T151" s="304">
        <f t="shared" si="122"/>
        <v>0.2227806406052639</v>
      </c>
      <c r="U151" s="304">
        <f t="shared" si="110"/>
        <v>0.2227806406052639</v>
      </c>
      <c r="V151" s="305">
        <f t="shared" si="123"/>
        <v>0.2227806406052639</v>
      </c>
      <c r="W151" s="305">
        <f t="shared" ref="W151:W214" si="153">IF(OR(P151=0,P151=""),#N/A,P151)</f>
        <v>0.2</v>
      </c>
      <c r="X151" s="304">
        <f t="shared" ref="X151:X214" si="154">IF(R151&gt;U151,R151,U151)</f>
        <v>0.56792238279984364</v>
      </c>
      <c r="Z151" s="304" t="str">
        <f t="shared" si="124"/>
        <v/>
      </c>
      <c r="AA151" s="305">
        <f t="shared" si="125"/>
        <v>0.56792238279984364</v>
      </c>
      <c r="AB151" s="304">
        <f t="shared" si="126"/>
        <v>1.6752583694813865</v>
      </c>
      <c r="AC151" s="304" t="str">
        <f t="shared" ref="AC151:AC214" si="155">IF($A151=4,$X151,"")</f>
        <v/>
      </c>
      <c r="AD151" s="306">
        <f t="shared" si="127"/>
        <v>36.442057440277708</v>
      </c>
      <c r="AE151" s="307">
        <f t="shared" ref="AE151:AE214" si="156">IF(AB151="",#N/A,AB151)</f>
        <v>1.6752583694813865</v>
      </c>
      <c r="AF151" s="308">
        <f t="shared" si="128"/>
        <v>36.442057440277708</v>
      </c>
      <c r="AG151" s="306">
        <f t="shared" ref="AG151:AG214" si="157">AG150+$I151</f>
        <v>128.09640291920977</v>
      </c>
      <c r="AH151" s="306">
        <f t="shared" si="129"/>
        <v>2.9498016282126498</v>
      </c>
      <c r="AI151" s="306">
        <f t="shared" ref="AI151:AI214" si="158">IF($A151=3,I151,0)</f>
        <v>0</v>
      </c>
      <c r="AJ151" s="306">
        <f t="shared" ref="AJ151:AJ214" si="159">IF($A151=4,$I151,0)</f>
        <v>0</v>
      </c>
      <c r="AK151" s="306">
        <f t="shared" si="130"/>
        <v>1.6752583694813865</v>
      </c>
      <c r="AL151" s="306">
        <f t="shared" ref="AL151:AL214" si="160">IF($A151=3,AE151,0)</f>
        <v>0</v>
      </c>
      <c r="AM151" s="306">
        <f t="shared" si="131"/>
        <v>0</v>
      </c>
      <c r="AN151" s="304">
        <f>KcSplint!$N180</f>
        <v>0.7348534115355706</v>
      </c>
      <c r="AO151" s="304">
        <f t="shared" si="132"/>
        <v>0.8102962140161466</v>
      </c>
      <c r="AP151" s="304">
        <f t="shared" ref="AP151:AP214" si="161">IF(OR($L$3=2,$L$3=4),AN151,AO151)</f>
        <v>0.8102962140161466</v>
      </c>
      <c r="AQ151" s="305">
        <f t="shared" ref="AQ151:AQ214" si="162">IF(AP151="",#N/A,AP151)</f>
        <v>0.8102962140161466</v>
      </c>
      <c r="AR151" s="304">
        <f t="shared" ref="AR151:AR214" si="163">IF(AP151="","",AP151*AV151)</f>
        <v>2.3902130914393749</v>
      </c>
      <c r="AS151" s="306">
        <f t="shared" si="133"/>
        <v>34.300519445658615</v>
      </c>
      <c r="AT151" s="307">
        <f t="shared" ref="AT151:AT214" si="164">IF(AR151="",#N/A,AR151)</f>
        <v>2.3902130914393749</v>
      </c>
      <c r="AU151" s="307">
        <f t="shared" ref="AU151:AU214" si="165">IF(AS151=0,#N/A,AS151)</f>
        <v>34.300519445658615</v>
      </c>
      <c r="AV151" s="304">
        <f t="shared" si="134"/>
        <v>2.9498016282126498</v>
      </c>
      <c r="AW151" s="309">
        <f t="shared" si="135"/>
        <v>20.889001300527084</v>
      </c>
      <c r="AX151" s="306">
        <f>IF(ISERROR(Weather!M135),#N/A,Weather!M135)</f>
        <v>0</v>
      </c>
      <c r="AY151" s="310">
        <f t="shared" si="136"/>
        <v>9</v>
      </c>
      <c r="AZ151" s="309">
        <f t="shared" si="137"/>
        <v>0.56792238279984364</v>
      </c>
      <c r="BA151" s="309">
        <f t="shared" si="138"/>
        <v>128.09640291920977</v>
      </c>
      <c r="BB151" s="311">
        <f>Irrig!H153</f>
        <v>0</v>
      </c>
      <c r="BC151" s="310">
        <f t="shared" si="139"/>
        <v>26</v>
      </c>
      <c r="BD151" s="309">
        <f t="shared" si="140"/>
        <v>0.2227806406052639</v>
      </c>
      <c r="BE151" s="309">
        <f t="shared" si="141"/>
        <v>0.2227806406052639</v>
      </c>
      <c r="BF151" s="306">
        <f>DailyMet!H134</f>
        <v>19.100000000000001</v>
      </c>
      <c r="BG151" s="306">
        <f>DailyMet!I134</f>
        <v>12.9</v>
      </c>
      <c r="BH151" s="306">
        <f t="shared" si="142"/>
        <v>19.100000000000001</v>
      </c>
      <c r="BI151" s="306">
        <f t="shared" si="143"/>
        <v>12.9</v>
      </c>
      <c r="BJ151" s="306">
        <f t="shared" si="144"/>
        <v>6</v>
      </c>
      <c r="BK151" s="306">
        <f t="shared" si="113"/>
        <v>71.435000000000002</v>
      </c>
      <c r="BL151" s="304">
        <f t="shared" si="145"/>
        <v>0</v>
      </c>
      <c r="BM151" s="304">
        <f t="shared" si="146"/>
        <v>6</v>
      </c>
      <c r="BN151" s="304">
        <f t="shared" si="111"/>
        <v>6</v>
      </c>
      <c r="BO151" s="306">
        <f t="shared" si="112"/>
        <v>61.865240371322599</v>
      </c>
      <c r="BP151" s="306"/>
    </row>
    <row r="152" spans="1:68">
      <c r="A152" s="299">
        <f t="shared" si="114"/>
        <v>1</v>
      </c>
      <c r="B152" s="300">
        <f t="shared" si="115"/>
        <v>38117</v>
      </c>
      <c r="C152" s="301" t="e">
        <f t="shared" si="147"/>
        <v>#N/A</v>
      </c>
      <c r="D152" s="301" t="e">
        <f t="shared" si="116"/>
        <v>#N/A</v>
      </c>
      <c r="E152" s="299">
        <f t="shared" si="117"/>
        <v>131</v>
      </c>
      <c r="F152" s="396">
        <f>Weather!M136</f>
        <v>0</v>
      </c>
      <c r="G152" s="301">
        <f>IF(Weather!C136="","",Weather!C136)</f>
        <v>2.51860622291631</v>
      </c>
      <c r="H152" s="301">
        <f>IF(Weather!D136="","",Weather!D136)</f>
        <v>3.8585248973018555</v>
      </c>
      <c r="I152" s="502">
        <f>IF(Weather!E136="","",Weather!E136)</f>
        <v>3.8585248973018555</v>
      </c>
      <c r="J152" s="397">
        <f>IF(RnSplint!N180&lt;0,0,RnSplint!N180)</f>
        <v>12.141557955911159</v>
      </c>
      <c r="K152" s="302">
        <f t="shared" si="148"/>
        <v>0.2</v>
      </c>
      <c r="L152" s="303">
        <f t="shared" si="149"/>
        <v>38117</v>
      </c>
      <c r="M152" s="346" t="str">
        <f t="shared" si="118"/>
        <v/>
      </c>
      <c r="N152" s="304">
        <f t="shared" si="150"/>
        <v>0.2</v>
      </c>
      <c r="O152" s="304">
        <f t="shared" si="151"/>
        <v>0</v>
      </c>
      <c r="P152" s="304">
        <f t="shared" si="119"/>
        <v>0.2</v>
      </c>
      <c r="Q152" s="304">
        <f t="shared" si="120"/>
        <v>0.52036023553432464</v>
      </c>
      <c r="R152" s="304">
        <f t="shared" si="121"/>
        <v>0.52036023553432464</v>
      </c>
      <c r="S152" s="305">
        <f t="shared" si="152"/>
        <v>0.52036023553432464</v>
      </c>
      <c r="T152" s="304">
        <f t="shared" si="122"/>
        <v>0.21939508298340774</v>
      </c>
      <c r="U152" s="304">
        <f t="shared" ref="U152:U215" si="166">IF(T152&gt;P152,T152,P152)</f>
        <v>0.21939508298340774</v>
      </c>
      <c r="V152" s="305">
        <f t="shared" si="123"/>
        <v>0.21939508298340774</v>
      </c>
      <c r="W152" s="305">
        <f t="shared" si="153"/>
        <v>0.2</v>
      </c>
      <c r="X152" s="304">
        <f t="shared" si="154"/>
        <v>0.52036023553432464</v>
      </c>
      <c r="Z152" s="304" t="str">
        <f t="shared" si="124"/>
        <v/>
      </c>
      <c r="AA152" s="305">
        <f t="shared" si="125"/>
        <v>0.52036023553432464</v>
      </c>
      <c r="AB152" s="304">
        <f t="shared" si="126"/>
        <v>2.0078229243750494</v>
      </c>
      <c r="AC152" s="304" t="str">
        <f t="shared" si="155"/>
        <v/>
      </c>
      <c r="AD152" s="306">
        <f t="shared" si="127"/>
        <v>38.449880364652756</v>
      </c>
      <c r="AE152" s="307">
        <f t="shared" si="156"/>
        <v>2.0078229243750494</v>
      </c>
      <c r="AF152" s="308">
        <f t="shared" si="128"/>
        <v>38.449880364652756</v>
      </c>
      <c r="AG152" s="306">
        <f t="shared" si="157"/>
        <v>131.95492781651163</v>
      </c>
      <c r="AH152" s="306">
        <f t="shared" si="129"/>
        <v>3.8585248973018555</v>
      </c>
      <c r="AI152" s="306">
        <f t="shared" si="158"/>
        <v>0</v>
      </c>
      <c r="AJ152" s="306">
        <f t="shared" si="159"/>
        <v>0</v>
      </c>
      <c r="AK152" s="306">
        <f t="shared" si="130"/>
        <v>2.0078229243750494</v>
      </c>
      <c r="AL152" s="306">
        <f t="shared" si="160"/>
        <v>0</v>
      </c>
      <c r="AM152" s="306">
        <f t="shared" si="131"/>
        <v>0</v>
      </c>
      <c r="AN152" s="304">
        <f>KcSplint!$N181</f>
        <v>0.72227179905722805</v>
      </c>
      <c r="AO152" s="304">
        <f t="shared" si="132"/>
        <v>0.8102962140161466</v>
      </c>
      <c r="AP152" s="304">
        <f t="shared" si="161"/>
        <v>0.8102962140161466</v>
      </c>
      <c r="AQ152" s="305">
        <f t="shared" si="162"/>
        <v>0.8102962140161466</v>
      </c>
      <c r="AR152" s="304">
        <f t="shared" si="163"/>
        <v>3.1265481159707345</v>
      </c>
      <c r="AS152" s="306">
        <f t="shared" si="133"/>
        <v>37.42706756162935</v>
      </c>
      <c r="AT152" s="307">
        <f t="shared" si="164"/>
        <v>3.1265481159707345</v>
      </c>
      <c r="AU152" s="307">
        <f t="shared" si="165"/>
        <v>37.42706756162935</v>
      </c>
      <c r="AV152" s="304">
        <f t="shared" si="134"/>
        <v>3.8585248973018555</v>
      </c>
      <c r="AW152" s="309">
        <f t="shared" si="135"/>
        <v>24.74752619782894</v>
      </c>
      <c r="AX152" s="306">
        <f>IF(ISERROR(Weather!M136),#N/A,Weather!M136)</f>
        <v>0</v>
      </c>
      <c r="AY152" s="310">
        <f t="shared" si="136"/>
        <v>10</v>
      </c>
      <c r="AZ152" s="309">
        <f t="shared" si="137"/>
        <v>0.52036023553432464</v>
      </c>
      <c r="BA152" s="309">
        <f t="shared" si="138"/>
        <v>131.95492781651163</v>
      </c>
      <c r="BB152" s="311">
        <f>Irrig!H154</f>
        <v>0</v>
      </c>
      <c r="BC152" s="310">
        <f t="shared" si="139"/>
        <v>27</v>
      </c>
      <c r="BD152" s="309">
        <f t="shared" si="140"/>
        <v>0.21939508298340774</v>
      </c>
      <c r="BE152" s="309">
        <f t="shared" si="141"/>
        <v>0.21939508298340774</v>
      </c>
      <c r="BF152" s="306">
        <f>DailyMet!H135</f>
        <v>20.79</v>
      </c>
      <c r="BG152" s="306">
        <f>DailyMet!I135</f>
        <v>12.9</v>
      </c>
      <c r="BH152" s="306">
        <f t="shared" si="142"/>
        <v>20.79</v>
      </c>
      <c r="BI152" s="306">
        <f t="shared" si="143"/>
        <v>12.9</v>
      </c>
      <c r="BJ152" s="306">
        <f t="shared" si="144"/>
        <v>6.8449999999999989</v>
      </c>
      <c r="BK152" s="306">
        <f t="shared" si="113"/>
        <v>78.28</v>
      </c>
      <c r="BL152" s="304">
        <f t="shared" si="145"/>
        <v>0</v>
      </c>
      <c r="BM152" s="304">
        <f t="shared" si="146"/>
        <v>6.8449999999999989</v>
      </c>
      <c r="BN152" s="304">
        <f t="shared" ref="BN152:BN215" si="167">BM152-BL152</f>
        <v>6.8449999999999989</v>
      </c>
      <c r="BO152" s="306">
        <f t="shared" ref="BO152:BO215" si="168">IF(AP152="",0,BO151+BN152)</f>
        <v>68.710240371322598</v>
      </c>
      <c r="BP152" s="306"/>
    </row>
    <row r="153" spans="1:68">
      <c r="A153" s="299">
        <f t="shared" si="114"/>
        <v>1</v>
      </c>
      <c r="B153" s="300">
        <f t="shared" si="115"/>
        <v>38118</v>
      </c>
      <c r="C153" s="301" t="e">
        <f t="shared" si="147"/>
        <v>#N/A</v>
      </c>
      <c r="D153" s="301" t="e">
        <f t="shared" si="116"/>
        <v>#N/A</v>
      </c>
      <c r="E153" s="299">
        <f t="shared" si="117"/>
        <v>132</v>
      </c>
      <c r="F153" s="396">
        <f>Weather!M137</f>
        <v>0</v>
      </c>
      <c r="G153" s="301">
        <f>IF(Weather!C137="","",Weather!C137)</f>
        <v>2.5769759382474735</v>
      </c>
      <c r="H153" s="301">
        <f>IF(Weather!D137="","",Weather!D137)</f>
        <v>3.672381118675212</v>
      </c>
      <c r="I153" s="502">
        <f>IF(Weather!E137="","",Weather!E137)</f>
        <v>3.672381118675212</v>
      </c>
      <c r="J153" s="397">
        <f>IF(RnSplint!N181&lt;0,0,RnSplint!N181)</f>
        <v>11.358627637429347</v>
      </c>
      <c r="K153" s="302">
        <f t="shared" si="148"/>
        <v>0.2</v>
      </c>
      <c r="L153" s="303">
        <f t="shared" si="149"/>
        <v>38118</v>
      </c>
      <c r="M153" s="346" t="str">
        <f t="shared" si="118"/>
        <v/>
      </c>
      <c r="N153" s="304">
        <f t="shared" si="150"/>
        <v>0.2</v>
      </c>
      <c r="O153" s="304">
        <f t="shared" si="151"/>
        <v>0</v>
      </c>
      <c r="P153" s="304">
        <f t="shared" si="119"/>
        <v>0.2</v>
      </c>
      <c r="Q153" s="304">
        <f t="shared" si="120"/>
        <v>0.48450383108008277</v>
      </c>
      <c r="R153" s="304">
        <f t="shared" si="121"/>
        <v>0.48450383108008277</v>
      </c>
      <c r="S153" s="305">
        <f t="shared" si="152"/>
        <v>0.48450383108008277</v>
      </c>
      <c r="T153" s="304">
        <f t="shared" si="122"/>
        <v>0.21630939365507867</v>
      </c>
      <c r="U153" s="304">
        <f t="shared" si="166"/>
        <v>0.21630939365507867</v>
      </c>
      <c r="V153" s="305">
        <f t="shared" si="123"/>
        <v>0.21630939365507867</v>
      </c>
      <c r="W153" s="305">
        <f t="shared" si="153"/>
        <v>0.2</v>
      </c>
      <c r="X153" s="304">
        <f t="shared" si="154"/>
        <v>0.48450383108008277</v>
      </c>
      <c r="Z153" s="304" t="str">
        <f t="shared" si="124"/>
        <v/>
      </c>
      <c r="AA153" s="305">
        <f t="shared" si="125"/>
        <v>0.48450383108008277</v>
      </c>
      <c r="AB153" s="304">
        <f t="shared" si="126"/>
        <v>1.7792827211843003</v>
      </c>
      <c r="AC153" s="304" t="str">
        <f t="shared" si="155"/>
        <v/>
      </c>
      <c r="AD153" s="306">
        <f t="shared" si="127"/>
        <v>40.229163085837058</v>
      </c>
      <c r="AE153" s="307">
        <f t="shared" si="156"/>
        <v>1.7792827211843003</v>
      </c>
      <c r="AF153" s="308">
        <f t="shared" si="128"/>
        <v>40.229163085837058</v>
      </c>
      <c r="AG153" s="306">
        <f t="shared" si="157"/>
        <v>135.62730893518685</v>
      </c>
      <c r="AH153" s="306">
        <f t="shared" si="129"/>
        <v>3.672381118675212</v>
      </c>
      <c r="AI153" s="306">
        <f t="shared" si="158"/>
        <v>0</v>
      </c>
      <c r="AJ153" s="306">
        <f t="shared" si="159"/>
        <v>0</v>
      </c>
      <c r="AK153" s="306">
        <f t="shared" si="130"/>
        <v>1.7792827211843003</v>
      </c>
      <c r="AL153" s="306">
        <f t="shared" si="160"/>
        <v>0</v>
      </c>
      <c r="AM153" s="306">
        <f t="shared" si="131"/>
        <v>0</v>
      </c>
      <c r="AN153" s="304">
        <f>KcSplint!$N182</f>
        <v>0.71026751707410218</v>
      </c>
      <c r="AO153" s="304">
        <f t="shared" si="132"/>
        <v>0.8102962140161466</v>
      </c>
      <c r="AP153" s="304">
        <f t="shared" si="161"/>
        <v>0.8102962140161466</v>
      </c>
      <c r="AQ153" s="305">
        <f t="shared" si="162"/>
        <v>0.8102962140161466</v>
      </c>
      <c r="AR153" s="304">
        <f t="shared" si="163"/>
        <v>2.9757165168869055</v>
      </c>
      <c r="AS153" s="306">
        <f t="shared" si="133"/>
        <v>40.402784078516255</v>
      </c>
      <c r="AT153" s="307">
        <f t="shared" si="164"/>
        <v>2.9757165168869055</v>
      </c>
      <c r="AU153" s="307">
        <f t="shared" si="165"/>
        <v>40.402784078516255</v>
      </c>
      <c r="AV153" s="304">
        <f t="shared" si="134"/>
        <v>3.672381118675212</v>
      </c>
      <c r="AW153" s="309">
        <f t="shared" si="135"/>
        <v>28.419907316504151</v>
      </c>
      <c r="AX153" s="306">
        <f>IF(ISERROR(Weather!M137),#N/A,Weather!M137)</f>
        <v>0</v>
      </c>
      <c r="AY153" s="310">
        <f t="shared" si="136"/>
        <v>11</v>
      </c>
      <c r="AZ153" s="309">
        <f t="shared" si="137"/>
        <v>0.48450383108008277</v>
      </c>
      <c r="BA153" s="309">
        <f t="shared" si="138"/>
        <v>135.62730893518685</v>
      </c>
      <c r="BB153" s="311">
        <f>Irrig!H155</f>
        <v>0</v>
      </c>
      <c r="BC153" s="310">
        <f t="shared" si="139"/>
        <v>28</v>
      </c>
      <c r="BD153" s="309">
        <f t="shared" si="140"/>
        <v>0.21630939365507867</v>
      </c>
      <c r="BE153" s="309">
        <f t="shared" si="141"/>
        <v>0.21630939365507867</v>
      </c>
      <c r="BF153" s="306">
        <f>DailyMet!H136</f>
        <v>23</v>
      </c>
      <c r="BG153" s="306">
        <f>DailyMet!I136</f>
        <v>14.7</v>
      </c>
      <c r="BH153" s="306">
        <f t="shared" si="142"/>
        <v>23</v>
      </c>
      <c r="BI153" s="306">
        <f t="shared" si="143"/>
        <v>14.7</v>
      </c>
      <c r="BJ153" s="306">
        <f t="shared" si="144"/>
        <v>8.8500000000000014</v>
      </c>
      <c r="BK153" s="306">
        <f t="shared" si="113"/>
        <v>87.13</v>
      </c>
      <c r="BL153" s="304">
        <f t="shared" si="145"/>
        <v>0</v>
      </c>
      <c r="BM153" s="304">
        <f t="shared" si="146"/>
        <v>8.8500000000000014</v>
      </c>
      <c r="BN153" s="304">
        <f t="shared" si="167"/>
        <v>8.8500000000000014</v>
      </c>
      <c r="BO153" s="306">
        <f t="shared" si="168"/>
        <v>77.560240371322607</v>
      </c>
      <c r="BP153" s="306"/>
    </row>
    <row r="154" spans="1:68">
      <c r="A154" s="299">
        <f t="shared" si="114"/>
        <v>1</v>
      </c>
      <c r="B154" s="300">
        <f t="shared" si="115"/>
        <v>38119</v>
      </c>
      <c r="C154" s="301" t="e">
        <f t="shared" si="147"/>
        <v>#N/A</v>
      </c>
      <c r="D154" s="301" t="e">
        <f t="shared" si="116"/>
        <v>#N/A</v>
      </c>
      <c r="E154" s="299">
        <f t="shared" si="117"/>
        <v>133</v>
      </c>
      <c r="F154" s="396">
        <f>Weather!M138</f>
        <v>0</v>
      </c>
      <c r="G154" s="301">
        <f>IF(Weather!C138="","",Weather!C138)</f>
        <v>2.6354173764727618</v>
      </c>
      <c r="H154" s="301">
        <f>IF(Weather!D138="","",Weather!D138)</f>
        <v>3.9687784154374723</v>
      </c>
      <c r="I154" s="502">
        <f>IF(Weather!E138="","",Weather!E138)</f>
        <v>3.9687784154374723</v>
      </c>
      <c r="J154" s="397">
        <f>IF(RnSplint!N182&lt;0,0,RnSplint!N182)</f>
        <v>10.592964531635483</v>
      </c>
      <c r="K154" s="302">
        <f t="shared" si="148"/>
        <v>0.2</v>
      </c>
      <c r="L154" s="303">
        <f t="shared" si="149"/>
        <v>38119</v>
      </c>
      <c r="M154" s="346" t="str">
        <f t="shared" si="118"/>
        <v/>
      </c>
      <c r="N154" s="304">
        <f t="shared" si="150"/>
        <v>0.2</v>
      </c>
      <c r="O154" s="304">
        <f t="shared" si="151"/>
        <v>0</v>
      </c>
      <c r="P154" s="304">
        <f t="shared" si="119"/>
        <v>0.2</v>
      </c>
      <c r="Q154" s="304">
        <f t="shared" si="120"/>
        <v>0.45290128263061408</v>
      </c>
      <c r="R154" s="304">
        <f t="shared" si="121"/>
        <v>0.45290128263061408</v>
      </c>
      <c r="S154" s="305">
        <f t="shared" si="152"/>
        <v>0.45290128263061408</v>
      </c>
      <c r="T154" s="304">
        <f t="shared" si="122"/>
        <v>0.21311396622493256</v>
      </c>
      <c r="U154" s="304">
        <f t="shared" si="166"/>
        <v>0.21311396622493256</v>
      </c>
      <c r="V154" s="305">
        <f t="shared" si="123"/>
        <v>0.21311396622493256</v>
      </c>
      <c r="W154" s="305">
        <f t="shared" si="153"/>
        <v>0.2</v>
      </c>
      <c r="X154" s="304">
        <f t="shared" si="154"/>
        <v>0.45290128263061408</v>
      </c>
      <c r="Z154" s="304" t="str">
        <f t="shared" si="124"/>
        <v/>
      </c>
      <c r="AA154" s="305">
        <f t="shared" si="125"/>
        <v>0.45290128263061408</v>
      </c>
      <c r="AB154" s="304">
        <f t="shared" si="126"/>
        <v>1.7974648348283273</v>
      </c>
      <c r="AC154" s="304" t="str">
        <f t="shared" si="155"/>
        <v/>
      </c>
      <c r="AD154" s="306">
        <f t="shared" si="127"/>
        <v>42.026627920665383</v>
      </c>
      <c r="AE154" s="307">
        <f t="shared" si="156"/>
        <v>1.7974648348283273</v>
      </c>
      <c r="AF154" s="308">
        <f t="shared" si="128"/>
        <v>42.026627920665383</v>
      </c>
      <c r="AG154" s="306">
        <f t="shared" si="157"/>
        <v>139.59608735062432</v>
      </c>
      <c r="AH154" s="306">
        <f t="shared" si="129"/>
        <v>3.9687784154374723</v>
      </c>
      <c r="AI154" s="306">
        <f t="shared" si="158"/>
        <v>0</v>
      </c>
      <c r="AJ154" s="306">
        <f t="shared" si="159"/>
        <v>0</v>
      </c>
      <c r="AK154" s="306">
        <f t="shared" si="130"/>
        <v>1.7974648348283273</v>
      </c>
      <c r="AL154" s="306">
        <f t="shared" si="160"/>
        <v>0</v>
      </c>
      <c r="AM154" s="306">
        <f t="shared" si="131"/>
        <v>0</v>
      </c>
      <c r="AN154" s="304">
        <f>KcSplint!$N183</f>
        <v>0.69894460431936434</v>
      </c>
      <c r="AO154" s="304">
        <f t="shared" si="132"/>
        <v>0.8102962140161466</v>
      </c>
      <c r="AP154" s="304">
        <f t="shared" si="161"/>
        <v>0.8102962140161466</v>
      </c>
      <c r="AQ154" s="305">
        <f t="shared" si="162"/>
        <v>0.8102962140161466</v>
      </c>
      <c r="AR154" s="304">
        <f t="shared" si="163"/>
        <v>3.2158861242979855</v>
      </c>
      <c r="AS154" s="306">
        <f t="shared" si="133"/>
        <v>43.618670202814243</v>
      </c>
      <c r="AT154" s="307">
        <f t="shared" si="164"/>
        <v>3.2158861242979855</v>
      </c>
      <c r="AU154" s="307">
        <f t="shared" si="165"/>
        <v>43.618670202814243</v>
      </c>
      <c r="AV154" s="304">
        <f t="shared" si="134"/>
        <v>3.9687784154374723</v>
      </c>
      <c r="AW154" s="309">
        <f t="shared" si="135"/>
        <v>32.388685731941621</v>
      </c>
      <c r="AX154" s="306">
        <f>IF(ISERROR(Weather!M138),#N/A,Weather!M138)</f>
        <v>0</v>
      </c>
      <c r="AY154" s="310">
        <f t="shared" si="136"/>
        <v>12</v>
      </c>
      <c r="AZ154" s="309">
        <f t="shared" si="137"/>
        <v>0.45290128263061408</v>
      </c>
      <c r="BA154" s="309">
        <f t="shared" si="138"/>
        <v>139.59608735062432</v>
      </c>
      <c r="BB154" s="311">
        <f>Irrig!H156</f>
        <v>0</v>
      </c>
      <c r="BC154" s="310">
        <f t="shared" si="139"/>
        <v>29</v>
      </c>
      <c r="BD154" s="309">
        <f t="shared" si="140"/>
        <v>0.21311396622493256</v>
      </c>
      <c r="BE154" s="309">
        <f t="shared" si="141"/>
        <v>0.21311396622493256</v>
      </c>
      <c r="BF154" s="306">
        <f>DailyMet!H137</f>
        <v>24.29</v>
      </c>
      <c r="BG154" s="306">
        <f>DailyMet!I137</f>
        <v>15.6</v>
      </c>
      <c r="BH154" s="306">
        <f t="shared" si="142"/>
        <v>24.29</v>
      </c>
      <c r="BI154" s="306">
        <f t="shared" si="143"/>
        <v>15.6</v>
      </c>
      <c r="BJ154" s="306">
        <f t="shared" si="144"/>
        <v>9.9450000000000003</v>
      </c>
      <c r="BK154" s="306">
        <f t="shared" si="113"/>
        <v>97.074999999999989</v>
      </c>
      <c r="BL154" s="304">
        <f t="shared" si="145"/>
        <v>0</v>
      </c>
      <c r="BM154" s="304">
        <f t="shared" si="146"/>
        <v>9.9450000000000003</v>
      </c>
      <c r="BN154" s="304">
        <f t="shared" si="167"/>
        <v>9.9450000000000003</v>
      </c>
      <c r="BO154" s="306">
        <f t="shared" si="168"/>
        <v>87.5052403713226</v>
      </c>
      <c r="BP154" s="306"/>
    </row>
    <row r="155" spans="1:68">
      <c r="A155" s="299">
        <f t="shared" si="114"/>
        <v>1</v>
      </c>
      <c r="B155" s="300">
        <f t="shared" si="115"/>
        <v>38120</v>
      </c>
      <c r="C155" s="301" t="e">
        <f t="shared" si="147"/>
        <v>#N/A</v>
      </c>
      <c r="D155" s="301" t="e">
        <f t="shared" si="116"/>
        <v>#N/A</v>
      </c>
      <c r="E155" s="299">
        <f t="shared" si="117"/>
        <v>134</v>
      </c>
      <c r="F155" s="396">
        <f>Weather!M139</f>
        <v>9.8000000000000007</v>
      </c>
      <c r="G155" s="301">
        <f>IF(Weather!C139="","",Weather!C139)</f>
        <v>2.6938162794290963</v>
      </c>
      <c r="H155" s="301">
        <f>IF(Weather!D139="","",Weather!D139)</f>
        <v>2.7737374970843311</v>
      </c>
      <c r="I155" s="502">
        <f>IF(Weather!E139="","",Weather!E139)</f>
        <v>2.7737374970843311</v>
      </c>
      <c r="J155" s="397">
        <f>IF(RnSplint!N183&lt;0,0,RnSplint!N183)</f>
        <v>9.846919426762593</v>
      </c>
      <c r="K155" s="302">
        <f t="shared" si="148"/>
        <v>0.2</v>
      </c>
      <c r="L155" s="303">
        <f t="shared" si="149"/>
        <v>38120</v>
      </c>
      <c r="M155" s="346" t="str">
        <f t="shared" si="118"/>
        <v/>
      </c>
      <c r="N155" s="304">
        <f t="shared" si="150"/>
        <v>0.2</v>
      </c>
      <c r="O155" s="304">
        <f t="shared" si="151"/>
        <v>0</v>
      </c>
      <c r="P155" s="304">
        <f t="shared" si="119"/>
        <v>0.2</v>
      </c>
      <c r="Q155" s="304">
        <f t="shared" si="120"/>
        <v>1.2</v>
      </c>
      <c r="R155" s="304">
        <f t="shared" si="121"/>
        <v>1.2</v>
      </c>
      <c r="S155" s="305">
        <f t="shared" si="152"/>
        <v>1.2</v>
      </c>
      <c r="T155" s="304">
        <f t="shared" si="122"/>
        <v>0.21096132477234245</v>
      </c>
      <c r="U155" s="304">
        <f t="shared" si="166"/>
        <v>0.21096132477234245</v>
      </c>
      <c r="V155" s="305">
        <f t="shared" si="123"/>
        <v>0.21096132477234245</v>
      </c>
      <c r="W155" s="305">
        <f t="shared" si="153"/>
        <v>0.2</v>
      </c>
      <c r="X155" s="304">
        <f t="shared" si="154"/>
        <v>1.2</v>
      </c>
      <c r="Z155" s="304" t="str">
        <f t="shared" si="124"/>
        <v/>
      </c>
      <c r="AA155" s="305">
        <f t="shared" si="125"/>
        <v>1.2</v>
      </c>
      <c r="AB155" s="304">
        <f t="shared" si="126"/>
        <v>3.3284849965011971</v>
      </c>
      <c r="AC155" s="304" t="str">
        <f t="shared" si="155"/>
        <v/>
      </c>
      <c r="AD155" s="306">
        <f t="shared" si="127"/>
        <v>45.355112917166579</v>
      </c>
      <c r="AE155" s="307">
        <f t="shared" si="156"/>
        <v>3.3284849965011971</v>
      </c>
      <c r="AF155" s="308">
        <f t="shared" si="128"/>
        <v>45.355112917166579</v>
      </c>
      <c r="AG155" s="306">
        <f t="shared" si="157"/>
        <v>142.36982484770866</v>
      </c>
      <c r="AH155" s="306">
        <f t="shared" si="129"/>
        <v>2.7737374970843311</v>
      </c>
      <c r="AI155" s="306">
        <f t="shared" si="158"/>
        <v>0</v>
      </c>
      <c r="AJ155" s="306">
        <f t="shared" si="159"/>
        <v>0</v>
      </c>
      <c r="AK155" s="306">
        <f t="shared" si="130"/>
        <v>3.3284849965011971</v>
      </c>
      <c r="AL155" s="306">
        <f t="shared" si="160"/>
        <v>0</v>
      </c>
      <c r="AM155" s="306">
        <f t="shared" si="131"/>
        <v>0</v>
      </c>
      <c r="AN155" s="304">
        <f>KcSplint!$N184</f>
        <v>0.68840709952618617</v>
      </c>
      <c r="AO155" s="304">
        <f t="shared" si="132"/>
        <v>0.8102962140161466</v>
      </c>
      <c r="AP155" s="304">
        <f t="shared" si="161"/>
        <v>0.8102962140161466</v>
      </c>
      <c r="AQ155" s="305">
        <f t="shared" si="162"/>
        <v>0.8102962140161466</v>
      </c>
      <c r="AR155" s="304">
        <f t="shared" si="163"/>
        <v>2.2475489925620562</v>
      </c>
      <c r="AS155" s="306">
        <f t="shared" si="133"/>
        <v>45.866219195376303</v>
      </c>
      <c r="AT155" s="307">
        <f t="shared" si="164"/>
        <v>2.2475489925620562</v>
      </c>
      <c r="AU155" s="307">
        <f t="shared" si="165"/>
        <v>45.866219195376303</v>
      </c>
      <c r="AV155" s="304">
        <f t="shared" si="134"/>
        <v>2.7737374970843311</v>
      </c>
      <c r="AW155" s="309">
        <f t="shared" si="135"/>
        <v>2.7737374970843311</v>
      </c>
      <c r="AX155" s="306">
        <f>IF(ISERROR(Weather!M139),#N/A,Weather!M139)</f>
        <v>9.8000000000000007</v>
      </c>
      <c r="AY155" s="310">
        <f t="shared" si="136"/>
        <v>1</v>
      </c>
      <c r="AZ155" s="309">
        <f t="shared" si="137"/>
        <v>1.2</v>
      </c>
      <c r="BA155" s="309">
        <f t="shared" si="138"/>
        <v>142.36982484770866</v>
      </c>
      <c r="BB155" s="311">
        <f>Irrig!H157</f>
        <v>0</v>
      </c>
      <c r="BC155" s="310">
        <f t="shared" si="139"/>
        <v>30</v>
      </c>
      <c r="BD155" s="309">
        <f t="shared" si="140"/>
        <v>0.21096132477234245</v>
      </c>
      <c r="BE155" s="309">
        <f t="shared" si="141"/>
        <v>0.21096132477234245</v>
      </c>
      <c r="BF155" s="306">
        <f>DailyMet!H138</f>
        <v>13.66</v>
      </c>
      <c r="BG155" s="306">
        <f>DailyMet!I138</f>
        <v>10.3</v>
      </c>
      <c r="BH155" s="306">
        <f t="shared" si="142"/>
        <v>13.66</v>
      </c>
      <c r="BI155" s="306">
        <f t="shared" si="143"/>
        <v>10.3</v>
      </c>
      <c r="BJ155" s="306">
        <f t="shared" si="144"/>
        <v>1.9800000000000004</v>
      </c>
      <c r="BK155" s="306">
        <f t="shared" si="113"/>
        <v>99.054999999999993</v>
      </c>
      <c r="BL155" s="304">
        <f t="shared" si="145"/>
        <v>0</v>
      </c>
      <c r="BM155" s="304">
        <f t="shared" si="146"/>
        <v>1.9800000000000004</v>
      </c>
      <c r="BN155" s="304">
        <f t="shared" si="167"/>
        <v>1.9800000000000004</v>
      </c>
      <c r="BO155" s="306">
        <f t="shared" si="168"/>
        <v>89.485240371322604</v>
      </c>
      <c r="BP155" s="306"/>
    </row>
    <row r="156" spans="1:68">
      <c r="A156" s="299">
        <f t="shared" si="114"/>
        <v>1</v>
      </c>
      <c r="B156" s="300">
        <f t="shared" si="115"/>
        <v>38121</v>
      </c>
      <c r="C156" s="301" t="e">
        <f t="shared" si="147"/>
        <v>#N/A</v>
      </c>
      <c r="D156" s="301" t="e">
        <f t="shared" si="116"/>
        <v>#N/A</v>
      </c>
      <c r="E156" s="299">
        <f t="shared" si="117"/>
        <v>135</v>
      </c>
      <c r="F156" s="396">
        <f>Weather!M140</f>
        <v>0</v>
      </c>
      <c r="G156" s="301">
        <f>IF(Weather!C140="","",Weather!C140)</f>
        <v>2.7520583889534009</v>
      </c>
      <c r="H156" s="301">
        <f>IF(Weather!D140="","",Weather!D140)</f>
        <v>2.5122717623350574</v>
      </c>
      <c r="I156" s="502">
        <f>IF(Weather!E140="","",Weather!E140)</f>
        <v>2.5122717623350574</v>
      </c>
      <c r="J156" s="397">
        <f>IF(RnSplint!N184&lt;0,0,RnSplint!N184)</f>
        <v>9.1228431110437018</v>
      </c>
      <c r="K156" s="302">
        <f t="shared" si="148"/>
        <v>0.2</v>
      </c>
      <c r="L156" s="303">
        <f t="shared" si="149"/>
        <v>38121</v>
      </c>
      <c r="M156" s="346" t="str">
        <f t="shared" si="118"/>
        <v/>
      </c>
      <c r="N156" s="304">
        <f t="shared" si="150"/>
        <v>0.2</v>
      </c>
      <c r="O156" s="304">
        <f t="shared" si="151"/>
        <v>0</v>
      </c>
      <c r="P156" s="304">
        <f t="shared" si="119"/>
        <v>0.2</v>
      </c>
      <c r="Q156" s="304">
        <f t="shared" si="120"/>
        <v>1.154070925876401</v>
      </c>
      <c r="R156" s="304">
        <f t="shared" si="121"/>
        <v>1.154070925876401</v>
      </c>
      <c r="S156" s="305">
        <f t="shared" si="152"/>
        <v>1.154070925876401</v>
      </c>
      <c r="T156" s="304">
        <f t="shared" si="122"/>
        <v>0.20906575926888754</v>
      </c>
      <c r="U156" s="304">
        <f t="shared" si="166"/>
        <v>0.20906575926888754</v>
      </c>
      <c r="V156" s="305">
        <f t="shared" si="123"/>
        <v>0.20906575926888754</v>
      </c>
      <c r="W156" s="305">
        <f t="shared" si="153"/>
        <v>0.2</v>
      </c>
      <c r="X156" s="304">
        <f t="shared" si="154"/>
        <v>1.154070925876401</v>
      </c>
      <c r="Z156" s="304" t="str">
        <f t="shared" si="124"/>
        <v/>
      </c>
      <c r="AA156" s="305">
        <f t="shared" si="125"/>
        <v>1.154070925876401</v>
      </c>
      <c r="AB156" s="304">
        <f t="shared" si="126"/>
        <v>2.8993397988111576</v>
      </c>
      <c r="AC156" s="304" t="str">
        <f t="shared" si="155"/>
        <v/>
      </c>
      <c r="AD156" s="306">
        <f t="shared" si="127"/>
        <v>48.254452715977735</v>
      </c>
      <c r="AE156" s="307">
        <f t="shared" si="156"/>
        <v>2.8993397988111576</v>
      </c>
      <c r="AF156" s="308">
        <f t="shared" si="128"/>
        <v>48.254452715977735</v>
      </c>
      <c r="AG156" s="306">
        <f t="shared" si="157"/>
        <v>144.8820966100437</v>
      </c>
      <c r="AH156" s="306">
        <f t="shared" si="129"/>
        <v>2.5122717623350574</v>
      </c>
      <c r="AI156" s="306">
        <f t="shared" si="158"/>
        <v>0</v>
      </c>
      <c r="AJ156" s="306">
        <f t="shared" si="159"/>
        <v>0</v>
      </c>
      <c r="AK156" s="306">
        <f t="shared" si="130"/>
        <v>2.8993397988111576</v>
      </c>
      <c r="AL156" s="306">
        <f t="shared" si="160"/>
        <v>0</v>
      </c>
      <c r="AM156" s="306">
        <f t="shared" si="131"/>
        <v>0</v>
      </c>
      <c r="AN156" s="304">
        <f>KcSplint!$N185</f>
        <v>0.67875904142773957</v>
      </c>
      <c r="AO156" s="304">
        <f t="shared" si="132"/>
        <v>0.8102962140161466</v>
      </c>
      <c r="AP156" s="304">
        <f t="shared" si="161"/>
        <v>0.8102962140161466</v>
      </c>
      <c r="AQ156" s="305">
        <f t="shared" si="162"/>
        <v>0.8102962140161466</v>
      </c>
      <c r="AR156" s="304">
        <f t="shared" si="163"/>
        <v>2.0356842975997695</v>
      </c>
      <c r="AS156" s="306">
        <f t="shared" si="133"/>
        <v>47.901903492976075</v>
      </c>
      <c r="AT156" s="307">
        <f t="shared" si="164"/>
        <v>2.0356842975997695</v>
      </c>
      <c r="AU156" s="307">
        <f t="shared" si="165"/>
        <v>47.901903492976075</v>
      </c>
      <c r="AV156" s="304">
        <f t="shared" si="134"/>
        <v>2.5122717623350574</v>
      </c>
      <c r="AW156" s="309">
        <f t="shared" si="135"/>
        <v>5.286009259419389</v>
      </c>
      <c r="AX156" s="306">
        <f>IF(ISERROR(Weather!M140),#N/A,Weather!M140)</f>
        <v>0</v>
      </c>
      <c r="AY156" s="310">
        <f t="shared" si="136"/>
        <v>2</v>
      </c>
      <c r="AZ156" s="309">
        <f t="shared" si="137"/>
        <v>1.154070925876401</v>
      </c>
      <c r="BA156" s="309">
        <f t="shared" si="138"/>
        <v>144.8820966100437</v>
      </c>
      <c r="BB156" s="311">
        <f>Irrig!H158</f>
        <v>0</v>
      </c>
      <c r="BC156" s="310">
        <f t="shared" si="139"/>
        <v>31</v>
      </c>
      <c r="BD156" s="309">
        <f t="shared" si="140"/>
        <v>0.20906575926888754</v>
      </c>
      <c r="BE156" s="309">
        <f t="shared" si="141"/>
        <v>0.20906575926888754</v>
      </c>
      <c r="BF156" s="306">
        <f>DailyMet!H139</f>
        <v>13.97</v>
      </c>
      <c r="BG156" s="306">
        <f>DailyMet!I139</f>
        <v>7.5</v>
      </c>
      <c r="BH156" s="306">
        <f t="shared" si="142"/>
        <v>13.97</v>
      </c>
      <c r="BI156" s="306">
        <f t="shared" si="143"/>
        <v>10</v>
      </c>
      <c r="BJ156" s="306">
        <f t="shared" si="144"/>
        <v>1.9849999999999994</v>
      </c>
      <c r="BK156" s="306">
        <f t="shared" si="113"/>
        <v>101.03999999999999</v>
      </c>
      <c r="BL156" s="304">
        <f t="shared" si="145"/>
        <v>0</v>
      </c>
      <c r="BM156" s="304">
        <f t="shared" si="146"/>
        <v>1.2179984544049463</v>
      </c>
      <c r="BN156" s="304">
        <f t="shared" si="167"/>
        <v>1.2179984544049463</v>
      </c>
      <c r="BO156" s="306">
        <f t="shared" si="168"/>
        <v>90.703238825727553</v>
      </c>
      <c r="BP156" s="306"/>
    </row>
    <row r="157" spans="1:68">
      <c r="A157" s="299">
        <f t="shared" si="114"/>
        <v>1</v>
      </c>
      <c r="B157" s="300">
        <f t="shared" si="115"/>
        <v>38122</v>
      </c>
      <c r="C157" s="301" t="e">
        <f t="shared" si="147"/>
        <v>#N/A</v>
      </c>
      <c r="D157" s="301" t="e">
        <f t="shared" si="116"/>
        <v>#N/A</v>
      </c>
      <c r="E157" s="299">
        <f t="shared" si="117"/>
        <v>136</v>
      </c>
      <c r="F157" s="396">
        <f>Weather!M141</f>
        <v>0</v>
      </c>
      <c r="G157" s="301">
        <f>IF(Weather!C141="","",Weather!C141)</f>
        <v>2.8100294468825973</v>
      </c>
      <c r="H157" s="301">
        <f>IF(Weather!D141="","",Weather!D141)</f>
        <v>2.6871893259664557</v>
      </c>
      <c r="I157" s="502">
        <f>IF(Weather!E141="","",Weather!E141)</f>
        <v>2.6871893259664557</v>
      </c>
      <c r="J157" s="397">
        <f>IF(RnSplint!N185&lt;0,0,RnSplint!N185)</f>
        <v>8.423086372711829</v>
      </c>
      <c r="K157" s="302">
        <f t="shared" si="148"/>
        <v>0.2</v>
      </c>
      <c r="L157" s="303">
        <f t="shared" si="149"/>
        <v>38122</v>
      </c>
      <c r="M157" s="346" t="str">
        <f t="shared" si="118"/>
        <v/>
      </c>
      <c r="N157" s="304">
        <f t="shared" si="150"/>
        <v>0.2</v>
      </c>
      <c r="O157" s="304">
        <f t="shared" si="151"/>
        <v>0</v>
      </c>
      <c r="P157" s="304">
        <f t="shared" si="119"/>
        <v>0.2</v>
      </c>
      <c r="Q157" s="304">
        <f t="shared" si="120"/>
        <v>0.93352100589607068</v>
      </c>
      <c r="R157" s="304">
        <f t="shared" si="121"/>
        <v>0.93352100589607068</v>
      </c>
      <c r="S157" s="305">
        <f t="shared" si="152"/>
        <v>0.93352100589607068</v>
      </c>
      <c r="T157" s="304">
        <f t="shared" si="122"/>
        <v>0.2070926011867153</v>
      </c>
      <c r="U157" s="304">
        <f t="shared" si="166"/>
        <v>0.2070926011867153</v>
      </c>
      <c r="V157" s="305">
        <f t="shared" si="123"/>
        <v>0.2070926011867153</v>
      </c>
      <c r="W157" s="305">
        <f t="shared" si="153"/>
        <v>0.2</v>
      </c>
      <c r="X157" s="304">
        <f t="shared" si="154"/>
        <v>0.93352100589607068</v>
      </c>
      <c r="Z157" s="304" t="str">
        <f t="shared" si="124"/>
        <v/>
      </c>
      <c r="AA157" s="305">
        <f t="shared" si="125"/>
        <v>0.93352100589607068</v>
      </c>
      <c r="AB157" s="304">
        <f t="shared" si="126"/>
        <v>2.50854768260939</v>
      </c>
      <c r="AC157" s="304" t="str">
        <f t="shared" si="155"/>
        <v/>
      </c>
      <c r="AD157" s="306">
        <f t="shared" si="127"/>
        <v>50.763000398587124</v>
      </c>
      <c r="AE157" s="307">
        <f t="shared" si="156"/>
        <v>2.50854768260939</v>
      </c>
      <c r="AF157" s="308">
        <f t="shared" si="128"/>
        <v>50.763000398587124</v>
      </c>
      <c r="AG157" s="306">
        <f t="shared" si="157"/>
        <v>147.56928593601015</v>
      </c>
      <c r="AH157" s="306">
        <f t="shared" si="129"/>
        <v>2.6871893259664557</v>
      </c>
      <c r="AI157" s="306">
        <f t="shared" si="158"/>
        <v>0</v>
      </c>
      <c r="AJ157" s="306">
        <f t="shared" si="159"/>
        <v>0</v>
      </c>
      <c r="AK157" s="306">
        <f t="shared" si="130"/>
        <v>2.50854768260939</v>
      </c>
      <c r="AL157" s="306">
        <f t="shared" si="160"/>
        <v>0</v>
      </c>
      <c r="AM157" s="306">
        <f t="shared" si="131"/>
        <v>0</v>
      </c>
      <c r="AN157" s="304">
        <f>KcSplint!$N186</f>
        <v>0.67010446875719587</v>
      </c>
      <c r="AO157" s="304">
        <f t="shared" si="132"/>
        <v>0.8102962140161466</v>
      </c>
      <c r="AP157" s="304">
        <f t="shared" si="161"/>
        <v>0.8102962140161466</v>
      </c>
      <c r="AQ157" s="305">
        <f t="shared" si="162"/>
        <v>0.8102962140161466</v>
      </c>
      <c r="AR157" s="304">
        <f t="shared" si="163"/>
        <v>2.1774193371752197</v>
      </c>
      <c r="AS157" s="306">
        <f t="shared" si="133"/>
        <v>50.079322830151298</v>
      </c>
      <c r="AT157" s="307">
        <f t="shared" si="164"/>
        <v>2.1774193371752197</v>
      </c>
      <c r="AU157" s="307">
        <f t="shared" si="165"/>
        <v>50.079322830151298</v>
      </c>
      <c r="AV157" s="304">
        <f t="shared" si="134"/>
        <v>2.6871893259664557</v>
      </c>
      <c r="AW157" s="309">
        <f t="shared" si="135"/>
        <v>7.9731985853858447</v>
      </c>
      <c r="AX157" s="306">
        <f>IF(ISERROR(Weather!M141),#N/A,Weather!M141)</f>
        <v>0</v>
      </c>
      <c r="AY157" s="310">
        <f t="shared" si="136"/>
        <v>3</v>
      </c>
      <c r="AZ157" s="309">
        <f t="shared" si="137"/>
        <v>0.93352100589607068</v>
      </c>
      <c r="BA157" s="309">
        <f t="shared" si="138"/>
        <v>147.56928593601015</v>
      </c>
      <c r="BB157" s="311">
        <f>Irrig!H159</f>
        <v>0</v>
      </c>
      <c r="BC157" s="310">
        <f t="shared" si="139"/>
        <v>32</v>
      </c>
      <c r="BD157" s="309">
        <f t="shared" si="140"/>
        <v>0.2070926011867153</v>
      </c>
      <c r="BE157" s="309">
        <f t="shared" si="141"/>
        <v>0.2070926011867153</v>
      </c>
      <c r="BF157" s="306">
        <f>DailyMet!H140</f>
        <v>15.43</v>
      </c>
      <c r="BG157" s="306">
        <f>DailyMet!I140</f>
        <v>6.7</v>
      </c>
      <c r="BH157" s="306">
        <f t="shared" si="142"/>
        <v>15.43</v>
      </c>
      <c r="BI157" s="306">
        <f t="shared" si="143"/>
        <v>10</v>
      </c>
      <c r="BJ157" s="306">
        <f t="shared" si="144"/>
        <v>2.7149999999999999</v>
      </c>
      <c r="BK157" s="306">
        <f t="shared" si="113"/>
        <v>103.755</v>
      </c>
      <c r="BL157" s="304">
        <f t="shared" si="145"/>
        <v>0</v>
      </c>
      <c r="BM157" s="304">
        <f t="shared" si="146"/>
        <v>1.6887113402061853</v>
      </c>
      <c r="BN157" s="304">
        <f t="shared" si="167"/>
        <v>1.6887113402061853</v>
      </c>
      <c r="BO157" s="306">
        <f t="shared" si="168"/>
        <v>92.391950165933736</v>
      </c>
      <c r="BP157" s="306"/>
    </row>
    <row r="158" spans="1:68">
      <c r="A158" s="299">
        <f t="shared" si="114"/>
        <v>1</v>
      </c>
      <c r="B158" s="300">
        <f t="shared" si="115"/>
        <v>38123</v>
      </c>
      <c r="C158" s="301" t="e">
        <f t="shared" si="147"/>
        <v>#N/A</v>
      </c>
      <c r="D158" s="301" t="e">
        <f t="shared" si="116"/>
        <v>#N/A</v>
      </c>
      <c r="E158" s="299">
        <f t="shared" si="117"/>
        <v>137</v>
      </c>
      <c r="F158" s="396">
        <f>Weather!M142</f>
        <v>1</v>
      </c>
      <c r="G158" s="301">
        <f>IF(Weather!C142="","",Weather!C142)</f>
        <v>2.8676151950536086</v>
      </c>
      <c r="H158" s="301">
        <f>IF(Weather!D142="","",Weather!D142)</f>
        <v>2.6582090288371689</v>
      </c>
      <c r="I158" s="502">
        <f>IF(Weather!E142="","",Weather!E142)</f>
        <v>2.6582090288371689</v>
      </c>
      <c r="J158" s="397">
        <f>IF(RnSplint!N186&lt;0,0,RnSplint!N186)</f>
        <v>7.75</v>
      </c>
      <c r="K158" s="302">
        <f t="shared" si="148"/>
        <v>0.2</v>
      </c>
      <c r="L158" s="303">
        <f t="shared" si="149"/>
        <v>38123</v>
      </c>
      <c r="M158" s="346" t="str">
        <f t="shared" si="118"/>
        <v/>
      </c>
      <c r="N158" s="304">
        <f t="shared" si="150"/>
        <v>0.2</v>
      </c>
      <c r="O158" s="304">
        <f t="shared" si="151"/>
        <v>0</v>
      </c>
      <c r="P158" s="304">
        <f t="shared" si="119"/>
        <v>0.2</v>
      </c>
      <c r="Q158" s="304">
        <f t="shared" si="120"/>
        <v>0.80472162016369475</v>
      </c>
      <c r="R158" s="304">
        <f t="shared" si="121"/>
        <v>0.80472162016369475</v>
      </c>
      <c r="S158" s="305">
        <f t="shared" si="152"/>
        <v>0.80472162016369475</v>
      </c>
      <c r="T158" s="304">
        <f t="shared" si="122"/>
        <v>0.20519359626224476</v>
      </c>
      <c r="U158" s="304">
        <f t="shared" si="166"/>
        <v>0.20519359626224476</v>
      </c>
      <c r="V158" s="305">
        <f t="shared" si="123"/>
        <v>0.20519359626224476</v>
      </c>
      <c r="W158" s="305">
        <f t="shared" si="153"/>
        <v>0.2</v>
      </c>
      <c r="X158" s="304">
        <f t="shared" si="154"/>
        <v>0.80472162016369475</v>
      </c>
      <c r="Z158" s="304" t="str">
        <f t="shared" si="124"/>
        <v/>
      </c>
      <c r="AA158" s="305">
        <f t="shared" si="125"/>
        <v>0.80472162016369475</v>
      </c>
      <c r="AB158" s="304">
        <f t="shared" si="126"/>
        <v>2.1391182764196079</v>
      </c>
      <c r="AC158" s="304" t="str">
        <f t="shared" si="155"/>
        <v/>
      </c>
      <c r="AD158" s="306">
        <f t="shared" si="127"/>
        <v>52.902118675006733</v>
      </c>
      <c r="AE158" s="307">
        <f t="shared" si="156"/>
        <v>2.1391182764196079</v>
      </c>
      <c r="AF158" s="308">
        <f t="shared" si="128"/>
        <v>52.902118675006733</v>
      </c>
      <c r="AG158" s="306">
        <f t="shared" si="157"/>
        <v>150.22749496484732</v>
      </c>
      <c r="AH158" s="306">
        <f t="shared" si="129"/>
        <v>2.6582090288371689</v>
      </c>
      <c r="AI158" s="306">
        <f t="shared" si="158"/>
        <v>0</v>
      </c>
      <c r="AJ158" s="306">
        <f t="shared" si="159"/>
        <v>0</v>
      </c>
      <c r="AK158" s="306">
        <f t="shared" si="130"/>
        <v>2.1391182764196079</v>
      </c>
      <c r="AL158" s="306">
        <f t="shared" si="160"/>
        <v>0</v>
      </c>
      <c r="AM158" s="306">
        <f t="shared" si="131"/>
        <v>0</v>
      </c>
      <c r="AN158" s="304">
        <f>KcSplint!$N187</f>
        <v>0.66252473860293859</v>
      </c>
      <c r="AO158" s="304">
        <f t="shared" si="132"/>
        <v>0.8102962140161466</v>
      </c>
      <c r="AP158" s="304">
        <f t="shared" si="161"/>
        <v>0.8102962140161466</v>
      </c>
      <c r="AQ158" s="305">
        <f t="shared" si="162"/>
        <v>0.8102962140161466</v>
      </c>
      <c r="AR158" s="304">
        <f t="shared" si="163"/>
        <v>2.1539367121302959</v>
      </c>
      <c r="AS158" s="306">
        <f t="shared" si="133"/>
        <v>52.233259542281594</v>
      </c>
      <c r="AT158" s="307">
        <f t="shared" si="164"/>
        <v>2.1539367121302959</v>
      </c>
      <c r="AU158" s="307">
        <f t="shared" si="165"/>
        <v>52.233259542281594</v>
      </c>
      <c r="AV158" s="304">
        <f t="shared" si="134"/>
        <v>2.6582090288371689</v>
      </c>
      <c r="AW158" s="309">
        <f t="shared" si="135"/>
        <v>10.631407614223013</v>
      </c>
      <c r="AX158" s="306">
        <f>IF(ISERROR(Weather!M142),#N/A,Weather!M142)</f>
        <v>1</v>
      </c>
      <c r="AY158" s="310">
        <f t="shared" si="136"/>
        <v>4</v>
      </c>
      <c r="AZ158" s="309">
        <f t="shared" si="137"/>
        <v>0.80472162016369475</v>
      </c>
      <c r="BA158" s="309">
        <f t="shared" si="138"/>
        <v>150.22749496484732</v>
      </c>
      <c r="BB158" s="311">
        <f>Irrig!H160</f>
        <v>0</v>
      </c>
      <c r="BC158" s="310">
        <f t="shared" si="139"/>
        <v>33</v>
      </c>
      <c r="BD158" s="309">
        <f t="shared" si="140"/>
        <v>0.20519359626224476</v>
      </c>
      <c r="BE158" s="309">
        <f t="shared" si="141"/>
        <v>0.20519359626224476</v>
      </c>
      <c r="BF158" s="306">
        <f>DailyMet!H141</f>
        <v>12.09</v>
      </c>
      <c r="BG158" s="306">
        <f>DailyMet!I141</f>
        <v>6</v>
      </c>
      <c r="BH158" s="306">
        <f t="shared" si="142"/>
        <v>12.09</v>
      </c>
      <c r="BI158" s="306">
        <f t="shared" si="143"/>
        <v>10</v>
      </c>
      <c r="BJ158" s="306">
        <f t="shared" si="144"/>
        <v>1.0449999999999999</v>
      </c>
      <c r="BK158" s="306">
        <f t="shared" si="113"/>
        <v>104.8</v>
      </c>
      <c r="BL158" s="304">
        <f t="shared" si="145"/>
        <v>0</v>
      </c>
      <c r="BM158" s="304">
        <f t="shared" si="146"/>
        <v>0.35862889983579632</v>
      </c>
      <c r="BN158" s="304">
        <f t="shared" si="167"/>
        <v>0.35862889983579632</v>
      </c>
      <c r="BO158" s="306">
        <f t="shared" si="168"/>
        <v>92.750579065769529</v>
      </c>
      <c r="BP158" s="306"/>
    </row>
    <row r="159" spans="1:68">
      <c r="A159" s="299">
        <f t="shared" si="114"/>
        <v>1</v>
      </c>
      <c r="B159" s="300">
        <f t="shared" si="115"/>
        <v>38124</v>
      </c>
      <c r="C159" s="301" t="e">
        <f t="shared" si="147"/>
        <v>#N/A</v>
      </c>
      <c r="D159" s="301" t="e">
        <f t="shared" si="116"/>
        <v>#N/A</v>
      </c>
      <c r="E159" s="299">
        <f t="shared" si="117"/>
        <v>138</v>
      </c>
      <c r="F159" s="396">
        <f>Weather!M143</f>
        <v>0</v>
      </c>
      <c r="G159" s="301">
        <f>IF(Weather!C143="","",Weather!C143)</f>
        <v>2.9247146403846855</v>
      </c>
      <c r="H159" s="301">
        <f>IF(Weather!D143="","",Weather!D143)</f>
        <v>2.1669250851470583</v>
      </c>
      <c r="I159" s="502">
        <f>IF(Weather!E143="","",Weather!E143)</f>
        <v>2.1669250851470583</v>
      </c>
      <c r="J159" s="397">
        <f>IF(RnSplint!N187&lt;0,0,RnSplint!N187)</f>
        <v>7.1056683005131003</v>
      </c>
      <c r="K159" s="302">
        <f t="shared" si="148"/>
        <v>0.2</v>
      </c>
      <c r="L159" s="303">
        <f t="shared" si="149"/>
        <v>38124</v>
      </c>
      <c r="M159" s="346" t="str">
        <f t="shared" si="118"/>
        <v/>
      </c>
      <c r="N159" s="304">
        <f t="shared" si="150"/>
        <v>0.2</v>
      </c>
      <c r="O159" s="304">
        <f t="shared" si="151"/>
        <v>0</v>
      </c>
      <c r="P159" s="304">
        <f t="shared" si="119"/>
        <v>0.2</v>
      </c>
      <c r="Q159" s="304">
        <f t="shared" si="120"/>
        <v>0.73126595443168185</v>
      </c>
      <c r="R159" s="304">
        <f t="shared" si="121"/>
        <v>0.73126595443168185</v>
      </c>
      <c r="S159" s="305">
        <f t="shared" si="152"/>
        <v>0.73126595443168185</v>
      </c>
      <c r="T159" s="304">
        <f t="shared" si="122"/>
        <v>0.20368285265205366</v>
      </c>
      <c r="U159" s="304">
        <f t="shared" si="166"/>
        <v>0.20368285265205366</v>
      </c>
      <c r="V159" s="305">
        <f t="shared" si="123"/>
        <v>0.20368285265205366</v>
      </c>
      <c r="W159" s="305">
        <f t="shared" si="153"/>
        <v>0.2</v>
      </c>
      <c r="X159" s="304">
        <f t="shared" si="154"/>
        <v>0.73126595443168185</v>
      </c>
      <c r="Z159" s="304" t="str">
        <f t="shared" si="124"/>
        <v/>
      </c>
      <c r="AA159" s="305">
        <f t="shared" si="125"/>
        <v>0.73126595443168185</v>
      </c>
      <c r="AB159" s="304">
        <f t="shared" si="126"/>
        <v>1.5845985405720171</v>
      </c>
      <c r="AC159" s="304" t="str">
        <f t="shared" si="155"/>
        <v/>
      </c>
      <c r="AD159" s="306">
        <f t="shared" si="127"/>
        <v>54.48671721557875</v>
      </c>
      <c r="AE159" s="307">
        <f t="shared" si="156"/>
        <v>1.5845985405720171</v>
      </c>
      <c r="AF159" s="308">
        <f t="shared" si="128"/>
        <v>54.48671721557875</v>
      </c>
      <c r="AG159" s="306">
        <f t="shared" si="157"/>
        <v>152.39442004999438</v>
      </c>
      <c r="AH159" s="306">
        <f t="shared" si="129"/>
        <v>2.1669250851470583</v>
      </c>
      <c r="AI159" s="306">
        <f t="shared" si="158"/>
        <v>0</v>
      </c>
      <c r="AJ159" s="306">
        <f t="shared" si="159"/>
        <v>0</v>
      </c>
      <c r="AK159" s="306">
        <f t="shared" si="130"/>
        <v>1.5845985405720171</v>
      </c>
      <c r="AL159" s="306">
        <f t="shared" si="160"/>
        <v>0</v>
      </c>
      <c r="AM159" s="306">
        <f t="shared" si="131"/>
        <v>0</v>
      </c>
      <c r="AN159" s="304">
        <f>KcSplint!$N188</f>
        <v>0.65601048147419805</v>
      </c>
      <c r="AO159" s="304">
        <f t="shared" si="132"/>
        <v>0.8102962140161466</v>
      </c>
      <c r="AP159" s="304">
        <f t="shared" si="161"/>
        <v>0.8102962140161466</v>
      </c>
      <c r="AQ159" s="305">
        <f t="shared" si="162"/>
        <v>0.8102962140161466</v>
      </c>
      <c r="AR159" s="304">
        <f t="shared" si="163"/>
        <v>1.7558511925512774</v>
      </c>
      <c r="AS159" s="306">
        <f t="shared" si="133"/>
        <v>53.98911073483287</v>
      </c>
      <c r="AT159" s="307">
        <f t="shared" si="164"/>
        <v>1.7558511925512774</v>
      </c>
      <c r="AU159" s="307">
        <f t="shared" si="165"/>
        <v>53.98911073483287</v>
      </c>
      <c r="AV159" s="304">
        <f t="shared" si="134"/>
        <v>2.1669250851470583</v>
      </c>
      <c r="AW159" s="309">
        <f t="shared" si="135"/>
        <v>12.798332699370071</v>
      </c>
      <c r="AX159" s="306">
        <f>IF(ISERROR(Weather!M143),#N/A,Weather!M143)</f>
        <v>0</v>
      </c>
      <c r="AY159" s="310">
        <f t="shared" si="136"/>
        <v>5</v>
      </c>
      <c r="AZ159" s="309">
        <f t="shared" si="137"/>
        <v>0.73126595443168185</v>
      </c>
      <c r="BA159" s="309">
        <f t="shared" si="138"/>
        <v>152.39442004999438</v>
      </c>
      <c r="BB159" s="311">
        <f>Irrig!H161</f>
        <v>0</v>
      </c>
      <c r="BC159" s="310">
        <f t="shared" si="139"/>
        <v>34</v>
      </c>
      <c r="BD159" s="309">
        <f t="shared" si="140"/>
        <v>0.20368285265205366</v>
      </c>
      <c r="BE159" s="309">
        <f t="shared" si="141"/>
        <v>0.20368285265205366</v>
      </c>
      <c r="BF159" s="306">
        <f>DailyMet!H142</f>
        <v>14.77</v>
      </c>
      <c r="BG159" s="306">
        <f>DailyMet!I142</f>
        <v>6.2</v>
      </c>
      <c r="BH159" s="306">
        <f t="shared" si="142"/>
        <v>14.77</v>
      </c>
      <c r="BI159" s="306">
        <f t="shared" si="143"/>
        <v>10</v>
      </c>
      <c r="BJ159" s="306">
        <f t="shared" si="144"/>
        <v>2.3849999999999998</v>
      </c>
      <c r="BK159" s="306">
        <f t="shared" si="113"/>
        <v>107.185</v>
      </c>
      <c r="BL159" s="304">
        <f t="shared" si="145"/>
        <v>0</v>
      </c>
      <c r="BM159" s="304">
        <f t="shared" si="146"/>
        <v>1.3274737456242705</v>
      </c>
      <c r="BN159" s="304">
        <f t="shared" si="167"/>
        <v>1.3274737456242705</v>
      </c>
      <c r="BO159" s="306">
        <f t="shared" si="168"/>
        <v>94.078052811393803</v>
      </c>
      <c r="BP159" s="306"/>
    </row>
    <row r="160" spans="1:68">
      <c r="A160" s="299">
        <f t="shared" si="114"/>
        <v>1</v>
      </c>
      <c r="B160" s="300">
        <f t="shared" si="115"/>
        <v>38125</v>
      </c>
      <c r="C160" s="301">
        <f t="shared" si="147"/>
        <v>0.2</v>
      </c>
      <c r="D160" s="301">
        <f t="shared" si="116"/>
        <v>0.2</v>
      </c>
      <c r="E160" s="299">
        <f t="shared" si="117"/>
        <v>139</v>
      </c>
      <c r="F160" s="396">
        <f>Weather!M144</f>
        <v>0</v>
      </c>
      <c r="G160" s="301">
        <f>IF(Weather!C144="","",Weather!C144)</f>
        <v>2.9812798501193929</v>
      </c>
      <c r="H160" s="301">
        <f>IF(Weather!D144="","",Weather!D144)</f>
        <v>3.1563511268161637</v>
      </c>
      <c r="I160" s="502">
        <f>IF(Weather!E144="","",Weather!E144)</f>
        <v>3.1563511268161637</v>
      </c>
      <c r="J160" s="397">
        <f>IF(RnSplint!N188&lt;0,0,RnSplint!N188)</f>
        <v>6.4911096593434641</v>
      </c>
      <c r="K160" s="302">
        <f t="shared" si="148"/>
        <v>0.2</v>
      </c>
      <c r="L160" s="303">
        <f t="shared" si="149"/>
        <v>38125</v>
      </c>
      <c r="M160" s="346" t="str">
        <f t="shared" si="118"/>
        <v/>
      </c>
      <c r="N160" s="304">
        <f t="shared" si="150"/>
        <v>0.2</v>
      </c>
      <c r="O160" s="304">
        <f t="shared" si="151"/>
        <v>0</v>
      </c>
      <c r="P160" s="304">
        <f t="shared" si="119"/>
        <v>0.2</v>
      </c>
      <c r="Q160" s="304">
        <f t="shared" si="120"/>
        <v>0.65264376637865895</v>
      </c>
      <c r="R160" s="304">
        <f t="shared" si="121"/>
        <v>0.65264376637865895</v>
      </c>
      <c r="S160" s="305">
        <f t="shared" si="152"/>
        <v>0.65264376637865895</v>
      </c>
      <c r="T160" s="304">
        <f t="shared" si="122"/>
        <v>0.2015396349733187</v>
      </c>
      <c r="U160" s="304">
        <f t="shared" si="166"/>
        <v>0.2015396349733187</v>
      </c>
      <c r="V160" s="305">
        <f t="shared" si="123"/>
        <v>0.2015396349733187</v>
      </c>
      <c r="W160" s="305">
        <f t="shared" si="153"/>
        <v>0.2</v>
      </c>
      <c r="X160" s="304">
        <f t="shared" si="154"/>
        <v>0.65264376637865895</v>
      </c>
      <c r="Z160" s="304" t="str">
        <f t="shared" si="124"/>
        <v/>
      </c>
      <c r="AA160" s="305">
        <f t="shared" si="125"/>
        <v>0.65264376637865895</v>
      </c>
      <c r="AB160" s="304">
        <f t="shared" si="126"/>
        <v>2.0599728874188252</v>
      </c>
      <c r="AC160" s="304" t="str">
        <f t="shared" si="155"/>
        <v/>
      </c>
      <c r="AD160" s="306">
        <f t="shared" si="127"/>
        <v>56.546690102997573</v>
      </c>
      <c r="AE160" s="307">
        <f t="shared" si="156"/>
        <v>2.0599728874188252</v>
      </c>
      <c r="AF160" s="308">
        <f t="shared" si="128"/>
        <v>56.546690102997573</v>
      </c>
      <c r="AG160" s="306">
        <f t="shared" si="157"/>
        <v>155.55077117681054</v>
      </c>
      <c r="AH160" s="306">
        <f t="shared" si="129"/>
        <v>3.1563511268161637</v>
      </c>
      <c r="AI160" s="306">
        <f t="shared" si="158"/>
        <v>0</v>
      </c>
      <c r="AJ160" s="306">
        <f t="shared" si="159"/>
        <v>0</v>
      </c>
      <c r="AK160" s="306">
        <f t="shared" si="130"/>
        <v>2.0599728874188252</v>
      </c>
      <c r="AL160" s="306">
        <f t="shared" si="160"/>
        <v>0</v>
      </c>
      <c r="AM160" s="306">
        <f t="shared" si="131"/>
        <v>0</v>
      </c>
      <c r="AN160" s="304">
        <f>KcSplint!$N189</f>
        <v>0.65052964623541654</v>
      </c>
      <c r="AO160" s="304">
        <f t="shared" si="132"/>
        <v>0.8102962140161466</v>
      </c>
      <c r="AP160" s="304">
        <f t="shared" si="161"/>
        <v>0.8102962140161466</v>
      </c>
      <c r="AQ160" s="305">
        <f t="shared" si="162"/>
        <v>0.8102962140161466</v>
      </c>
      <c r="AR160" s="304">
        <f t="shared" si="163"/>
        <v>2.5575793681647356</v>
      </c>
      <c r="AS160" s="306">
        <f t="shared" si="133"/>
        <v>56.546690102997609</v>
      </c>
      <c r="AT160" s="307">
        <f t="shared" si="164"/>
        <v>2.5575793681647356</v>
      </c>
      <c r="AU160" s="307">
        <f t="shared" si="165"/>
        <v>56.546690102997609</v>
      </c>
      <c r="AV160" s="304">
        <f t="shared" si="134"/>
        <v>3.1563511268161637</v>
      </c>
      <c r="AW160" s="309">
        <f t="shared" si="135"/>
        <v>15.954683826186235</v>
      </c>
      <c r="AX160" s="306">
        <f>IF(ISERROR(Weather!M144),#N/A,Weather!M144)</f>
        <v>0</v>
      </c>
      <c r="AY160" s="310">
        <f t="shared" si="136"/>
        <v>6</v>
      </c>
      <c r="AZ160" s="309">
        <f t="shared" si="137"/>
        <v>0.65264376637865895</v>
      </c>
      <c r="BA160" s="309">
        <f t="shared" si="138"/>
        <v>155.55077117681054</v>
      </c>
      <c r="BB160" s="311">
        <f>Irrig!H162</f>
        <v>0</v>
      </c>
      <c r="BC160" s="310">
        <f t="shared" si="139"/>
        <v>35</v>
      </c>
      <c r="BD160" s="309">
        <f t="shared" si="140"/>
        <v>0.2015396349733187</v>
      </c>
      <c r="BE160" s="309">
        <f t="shared" si="141"/>
        <v>0.2015396349733187</v>
      </c>
      <c r="BF160" s="306">
        <f>DailyMet!H143</f>
        <v>15.14</v>
      </c>
      <c r="BG160" s="306">
        <f>DailyMet!I143</f>
        <v>4.8</v>
      </c>
      <c r="BH160" s="306">
        <f t="shared" si="142"/>
        <v>15.14</v>
      </c>
      <c r="BI160" s="306">
        <f t="shared" si="143"/>
        <v>10</v>
      </c>
      <c r="BJ160" s="306">
        <f t="shared" si="144"/>
        <v>2.5700000000000003</v>
      </c>
      <c r="BK160" s="306">
        <f t="shared" si="113"/>
        <v>109.755</v>
      </c>
      <c r="BL160" s="304">
        <f t="shared" si="145"/>
        <v>0</v>
      </c>
      <c r="BM160" s="304">
        <f t="shared" si="146"/>
        <v>1.277543520309478</v>
      </c>
      <c r="BN160" s="304">
        <f t="shared" si="167"/>
        <v>1.277543520309478</v>
      </c>
      <c r="BO160" s="306">
        <f t="shared" si="168"/>
        <v>95.355596331703282</v>
      </c>
      <c r="BP160" s="306"/>
    </row>
    <row r="161" spans="1:68">
      <c r="A161" s="299">
        <f t="shared" si="114"/>
        <v>2</v>
      </c>
      <c r="B161" s="300">
        <f t="shared" si="115"/>
        <v>38126</v>
      </c>
      <c r="C161" s="301" t="e">
        <f t="shared" si="147"/>
        <v>#N/A</v>
      </c>
      <c r="D161" s="301" t="e">
        <f t="shared" si="116"/>
        <v>#N/A</v>
      </c>
      <c r="E161" s="299">
        <f t="shared" si="117"/>
        <v>140</v>
      </c>
      <c r="F161" s="396">
        <f>Weather!M145</f>
        <v>0.2</v>
      </c>
      <c r="G161" s="301">
        <f>IF(Weather!C145="","",Weather!C145)</f>
        <v>3.0372761565826236</v>
      </c>
      <c r="H161" s="301">
        <f>IF(Weather!D145="","",Weather!D145)</f>
        <v>2.2714870024934979</v>
      </c>
      <c r="I161" s="502">
        <f>IF(Weather!E145="","",Weather!E145)</f>
        <v>2.2714870024934979</v>
      </c>
      <c r="J161" s="397">
        <f>IF(RnSplint!N189&lt;0,0,RnSplint!N189)</f>
        <v>5.9070759809552902</v>
      </c>
      <c r="K161" s="302">
        <f t="shared" si="148"/>
        <v>0.22023809523809526</v>
      </c>
      <c r="L161" s="303">
        <f t="shared" si="149"/>
        <v>38126</v>
      </c>
      <c r="M161" s="346" t="str">
        <f t="shared" si="118"/>
        <v/>
      </c>
      <c r="N161" s="304">
        <f t="shared" si="150"/>
        <v>0.22023809523809526</v>
      </c>
      <c r="O161" s="304">
        <f t="shared" si="151"/>
        <v>0</v>
      </c>
      <c r="P161" s="304">
        <f t="shared" si="119"/>
        <v>0.22023809523809526</v>
      </c>
      <c r="Q161" s="304">
        <f t="shared" si="120"/>
        <v>0.60932312588773763</v>
      </c>
      <c r="R161" s="304">
        <f t="shared" si="121"/>
        <v>0.60932312588773763</v>
      </c>
      <c r="S161" s="305">
        <f t="shared" si="152"/>
        <v>0.60932312588773763</v>
      </c>
      <c r="T161" s="304">
        <f t="shared" si="122"/>
        <v>0.20003762424681731</v>
      </c>
      <c r="U161" s="304">
        <f t="shared" si="166"/>
        <v>0.22023809523809526</v>
      </c>
      <c r="V161" s="305">
        <f t="shared" si="123"/>
        <v>0.22023809523809526</v>
      </c>
      <c r="W161" s="305">
        <f t="shared" si="153"/>
        <v>0.22023809523809526</v>
      </c>
      <c r="X161" s="304">
        <f t="shared" si="154"/>
        <v>0.60932312588773763</v>
      </c>
      <c r="Z161" s="304">
        <f t="shared" si="124"/>
        <v>0.60932312588773763</v>
      </c>
      <c r="AA161" s="305">
        <f t="shared" si="125"/>
        <v>0.60932312588773763</v>
      </c>
      <c r="AB161" s="304">
        <f t="shared" si="126"/>
        <v>1.3840695607727054</v>
      </c>
      <c r="AC161" s="304" t="str">
        <f t="shared" si="155"/>
        <v/>
      </c>
      <c r="AD161" s="306">
        <f t="shared" si="127"/>
        <v>57.930759663770282</v>
      </c>
      <c r="AE161" s="307">
        <f t="shared" si="156"/>
        <v>1.3840695607727054</v>
      </c>
      <c r="AF161" s="308">
        <f t="shared" si="128"/>
        <v>57.930759663770282</v>
      </c>
      <c r="AG161" s="306">
        <f t="shared" si="157"/>
        <v>157.82225817930404</v>
      </c>
      <c r="AH161" s="306">
        <f t="shared" si="129"/>
        <v>0</v>
      </c>
      <c r="AI161" s="306">
        <f t="shared" si="158"/>
        <v>0</v>
      </c>
      <c r="AJ161" s="306">
        <f t="shared" si="159"/>
        <v>0</v>
      </c>
      <c r="AK161" s="306">
        <f t="shared" si="130"/>
        <v>0</v>
      </c>
      <c r="AL161" s="306">
        <f t="shared" si="160"/>
        <v>0</v>
      </c>
      <c r="AM161" s="306">
        <f t="shared" si="131"/>
        <v>0</v>
      </c>
      <c r="AN161" s="304">
        <f>KcSplint!$N190</f>
        <v>0.64605018175103612</v>
      </c>
      <c r="AO161" s="304">
        <f t="shared" si="132"/>
        <v>0.81612524280243082</v>
      </c>
      <c r="AP161" s="304">
        <f t="shared" si="161"/>
        <v>0.81612524280243082</v>
      </c>
      <c r="AQ161" s="305">
        <f t="shared" si="162"/>
        <v>0.81612524280243082</v>
      </c>
      <c r="AR161" s="304">
        <f t="shared" si="163"/>
        <v>1.8538178814325716</v>
      </c>
      <c r="AS161" s="306">
        <f t="shared" si="133"/>
        <v>58.400507984430178</v>
      </c>
      <c r="AT161" s="307">
        <f t="shared" si="164"/>
        <v>1.8538178814325716</v>
      </c>
      <c r="AU161" s="307">
        <f t="shared" si="165"/>
        <v>58.400507984430178</v>
      </c>
      <c r="AV161" s="304">
        <f t="shared" si="134"/>
        <v>2.2714870024934979</v>
      </c>
      <c r="AW161" s="309">
        <f t="shared" si="135"/>
        <v>18.226170828679734</v>
      </c>
      <c r="AX161" s="306">
        <f>IF(ISERROR(Weather!M145),#N/A,Weather!M145)</f>
        <v>0.2</v>
      </c>
      <c r="AY161" s="310">
        <f t="shared" si="136"/>
        <v>7</v>
      </c>
      <c r="AZ161" s="309">
        <f t="shared" si="137"/>
        <v>0.60932312588773763</v>
      </c>
      <c r="BA161" s="309">
        <f t="shared" si="138"/>
        <v>157.82225817930404</v>
      </c>
      <c r="BB161" s="311">
        <f>Irrig!H163</f>
        <v>0</v>
      </c>
      <c r="BC161" s="310">
        <f t="shared" si="139"/>
        <v>36</v>
      </c>
      <c r="BD161" s="309">
        <f t="shared" si="140"/>
        <v>0.20003762424681731</v>
      </c>
      <c r="BE161" s="309">
        <f t="shared" si="141"/>
        <v>0.20003762424681731</v>
      </c>
      <c r="BF161" s="306">
        <f>DailyMet!H144</f>
        <v>16.11</v>
      </c>
      <c r="BG161" s="306">
        <f>DailyMet!I144</f>
        <v>6.7</v>
      </c>
      <c r="BH161" s="306">
        <f t="shared" si="142"/>
        <v>16.11</v>
      </c>
      <c r="BI161" s="306">
        <f t="shared" si="143"/>
        <v>10</v>
      </c>
      <c r="BJ161" s="306">
        <f t="shared" si="144"/>
        <v>3.0549999999999997</v>
      </c>
      <c r="BK161" s="306">
        <f t="shared" si="113"/>
        <v>112.81</v>
      </c>
      <c r="BL161" s="304">
        <f t="shared" si="145"/>
        <v>0</v>
      </c>
      <c r="BM161" s="304">
        <f t="shared" si="146"/>
        <v>1.9836397449521779</v>
      </c>
      <c r="BN161" s="304">
        <f t="shared" si="167"/>
        <v>1.9836397449521779</v>
      </c>
      <c r="BO161" s="306">
        <f t="shared" si="168"/>
        <v>97.339236076655453</v>
      </c>
      <c r="BP161" s="306"/>
    </row>
    <row r="162" spans="1:68">
      <c r="A162" s="299">
        <f t="shared" si="114"/>
        <v>2</v>
      </c>
      <c r="B162" s="300">
        <f t="shared" si="115"/>
        <v>38127</v>
      </c>
      <c r="C162" s="301" t="e">
        <f t="shared" si="147"/>
        <v>#N/A</v>
      </c>
      <c r="D162" s="301" t="e">
        <f t="shared" si="116"/>
        <v>#N/A</v>
      </c>
      <c r="E162" s="299">
        <f t="shared" si="117"/>
        <v>141</v>
      </c>
      <c r="F162" s="396">
        <f>Weather!M146</f>
        <v>0</v>
      </c>
      <c r="G162" s="301">
        <f>IF(Weather!C146="","",Weather!C146)</f>
        <v>3.0926688920992711</v>
      </c>
      <c r="H162" s="301">
        <f>IF(Weather!D146="","",Weather!D146)</f>
        <v>2.3149334984040815</v>
      </c>
      <c r="I162" s="502">
        <f>IF(Weather!E146="","",Weather!E146)</f>
        <v>2.3149334984040815</v>
      </c>
      <c r="J162" s="397">
        <f>IF(RnSplint!N190&lt;0,0,RnSplint!N190)</f>
        <v>5.354319169812773</v>
      </c>
      <c r="K162" s="302">
        <f t="shared" si="148"/>
        <v>0.24047619047619051</v>
      </c>
      <c r="L162" s="303">
        <f t="shared" si="149"/>
        <v>38127</v>
      </c>
      <c r="M162" s="346" t="str">
        <f t="shared" si="118"/>
        <v/>
      </c>
      <c r="N162" s="304">
        <f t="shared" si="150"/>
        <v>0.24047619047619051</v>
      </c>
      <c r="O162" s="304">
        <f t="shared" si="151"/>
        <v>0</v>
      </c>
      <c r="P162" s="304">
        <f t="shared" si="119"/>
        <v>0.24047619047619051</v>
      </c>
      <c r="Q162" s="304">
        <f t="shared" si="120"/>
        <v>0.57286545191622684</v>
      </c>
      <c r="R162" s="304">
        <f t="shared" si="121"/>
        <v>0.57286545191622684</v>
      </c>
      <c r="S162" s="305">
        <f t="shared" si="152"/>
        <v>0.57286545191622684</v>
      </c>
      <c r="T162" s="304">
        <f t="shared" si="122"/>
        <v>0.19854023302497478</v>
      </c>
      <c r="U162" s="304">
        <f t="shared" si="166"/>
        <v>0.24047619047619051</v>
      </c>
      <c r="V162" s="305">
        <f t="shared" si="123"/>
        <v>0.24047619047619051</v>
      </c>
      <c r="W162" s="305">
        <f t="shared" si="153"/>
        <v>0.24047619047619051</v>
      </c>
      <c r="X162" s="304">
        <f t="shared" si="154"/>
        <v>0.57286545191622684</v>
      </c>
      <c r="Z162" s="304">
        <f t="shared" si="124"/>
        <v>0.57286545191622684</v>
      </c>
      <c r="AA162" s="305">
        <f t="shared" si="125"/>
        <v>0.57286545191622684</v>
      </c>
      <c r="AB162" s="304">
        <f t="shared" si="126"/>
        <v>1.3261454247192661</v>
      </c>
      <c r="AC162" s="304" t="str">
        <f t="shared" si="155"/>
        <v/>
      </c>
      <c r="AD162" s="306">
        <f t="shared" si="127"/>
        <v>59.256905088489546</v>
      </c>
      <c r="AE162" s="307">
        <f t="shared" si="156"/>
        <v>1.3261454247192661</v>
      </c>
      <c r="AF162" s="308">
        <f t="shared" si="128"/>
        <v>59.256905088489546</v>
      </c>
      <c r="AG162" s="306">
        <f t="shared" si="157"/>
        <v>160.13719167770813</v>
      </c>
      <c r="AH162" s="306">
        <f t="shared" si="129"/>
        <v>0</v>
      </c>
      <c r="AI162" s="306">
        <f t="shared" si="158"/>
        <v>0</v>
      </c>
      <c r="AJ162" s="306">
        <f t="shared" si="159"/>
        <v>0</v>
      </c>
      <c r="AK162" s="306">
        <f t="shared" si="130"/>
        <v>0</v>
      </c>
      <c r="AL162" s="306">
        <f t="shared" si="160"/>
        <v>0</v>
      </c>
      <c r="AM162" s="306">
        <f t="shared" si="131"/>
        <v>0</v>
      </c>
      <c r="AN162" s="304">
        <f>KcSplint!$N191</f>
        <v>0.64254003688549888</v>
      </c>
      <c r="AO162" s="304">
        <f t="shared" si="132"/>
        <v>0.82195427158871504</v>
      </c>
      <c r="AP162" s="304">
        <f t="shared" si="161"/>
        <v>0.82195427158871504</v>
      </c>
      <c r="AQ162" s="305">
        <f t="shared" si="162"/>
        <v>0.82195427158871504</v>
      </c>
      <c r="AR162" s="304">
        <f t="shared" si="163"/>
        <v>1.9027694774570425</v>
      </c>
      <c r="AS162" s="306">
        <f t="shared" si="133"/>
        <v>60.30327746188722</v>
      </c>
      <c r="AT162" s="307">
        <f t="shared" si="164"/>
        <v>1.9027694774570425</v>
      </c>
      <c r="AU162" s="307">
        <f t="shared" si="165"/>
        <v>60.30327746188722</v>
      </c>
      <c r="AV162" s="304">
        <f t="shared" si="134"/>
        <v>2.3149334984040815</v>
      </c>
      <c r="AW162" s="309">
        <f t="shared" si="135"/>
        <v>20.541104327083815</v>
      </c>
      <c r="AX162" s="306">
        <f>IF(ISERROR(Weather!M146),#N/A,Weather!M146)</f>
        <v>0</v>
      </c>
      <c r="AY162" s="310">
        <f t="shared" si="136"/>
        <v>8</v>
      </c>
      <c r="AZ162" s="309">
        <f t="shared" si="137"/>
        <v>0.57286545191622684</v>
      </c>
      <c r="BA162" s="309">
        <f t="shared" si="138"/>
        <v>160.13719167770813</v>
      </c>
      <c r="BB162" s="311">
        <f>Irrig!H164</f>
        <v>0</v>
      </c>
      <c r="BC162" s="310">
        <f t="shared" si="139"/>
        <v>37</v>
      </c>
      <c r="BD162" s="309">
        <f t="shared" si="140"/>
        <v>0.19854023302497478</v>
      </c>
      <c r="BE162" s="309">
        <f t="shared" si="141"/>
        <v>0.19854023302497478</v>
      </c>
      <c r="BF162" s="306">
        <f>DailyMet!H145</f>
        <v>14.3</v>
      </c>
      <c r="BG162" s="306">
        <f>DailyMet!I145</f>
        <v>10.3</v>
      </c>
      <c r="BH162" s="306">
        <f t="shared" si="142"/>
        <v>14.3</v>
      </c>
      <c r="BI162" s="306">
        <f t="shared" si="143"/>
        <v>10.3</v>
      </c>
      <c r="BJ162" s="306">
        <f t="shared" si="144"/>
        <v>2.3000000000000007</v>
      </c>
      <c r="BK162" s="306">
        <f t="shared" si="113"/>
        <v>115.11</v>
      </c>
      <c r="BL162" s="304">
        <f t="shared" si="145"/>
        <v>0</v>
      </c>
      <c r="BM162" s="304">
        <f t="shared" si="146"/>
        <v>2.3000000000000007</v>
      </c>
      <c r="BN162" s="304">
        <f t="shared" si="167"/>
        <v>2.3000000000000007</v>
      </c>
      <c r="BO162" s="306">
        <f t="shared" si="168"/>
        <v>99.63923607665545</v>
      </c>
      <c r="BP162" s="306"/>
    </row>
    <row r="163" spans="1:68">
      <c r="A163" s="299">
        <f t="shared" si="114"/>
        <v>2</v>
      </c>
      <c r="B163" s="300">
        <f t="shared" si="115"/>
        <v>38128</v>
      </c>
      <c r="C163" s="301" t="e">
        <f t="shared" si="147"/>
        <v>#N/A</v>
      </c>
      <c r="D163" s="301" t="e">
        <f t="shared" si="116"/>
        <v>#N/A</v>
      </c>
      <c r="E163" s="299">
        <f t="shared" si="117"/>
        <v>142</v>
      </c>
      <c r="F163" s="396">
        <f>Weather!M147</f>
        <v>0</v>
      </c>
      <c r="G163" s="301">
        <f>IF(Weather!C147="","",Weather!C147)</f>
        <v>3.1474233889942287</v>
      </c>
      <c r="H163" s="301">
        <f>IF(Weather!D147="","",Weather!D147)</f>
        <v>2.6663210175425371</v>
      </c>
      <c r="I163" s="502">
        <f>IF(Weather!E147="","",Weather!E147)</f>
        <v>2.6663210175425371</v>
      </c>
      <c r="J163" s="397">
        <f>IF(RnSplint!N191&lt;0,0,RnSplint!N191)</f>
        <v>4.8335911303801122</v>
      </c>
      <c r="K163" s="302">
        <f t="shared" si="148"/>
        <v>0.26071428571428573</v>
      </c>
      <c r="L163" s="303">
        <f t="shared" si="149"/>
        <v>38128</v>
      </c>
      <c r="M163" s="346" t="str">
        <f t="shared" si="118"/>
        <v/>
      </c>
      <c r="N163" s="304">
        <f t="shared" si="150"/>
        <v>0.26071428571428573</v>
      </c>
      <c r="O163" s="304">
        <f t="shared" si="151"/>
        <v>0</v>
      </c>
      <c r="P163" s="304">
        <f t="shared" si="119"/>
        <v>0.26071428571428573</v>
      </c>
      <c r="Q163" s="304">
        <f t="shared" si="120"/>
        <v>0.53790179580368924</v>
      </c>
      <c r="R163" s="304">
        <f t="shared" si="121"/>
        <v>0.53790179580368924</v>
      </c>
      <c r="S163" s="305">
        <f t="shared" si="152"/>
        <v>0.53790179580368924</v>
      </c>
      <c r="T163" s="304">
        <f t="shared" si="122"/>
        <v>0.19685570286298848</v>
      </c>
      <c r="U163" s="304">
        <f t="shared" si="166"/>
        <v>0.26071428571428573</v>
      </c>
      <c r="V163" s="305">
        <f t="shared" si="123"/>
        <v>0.26071428571428573</v>
      </c>
      <c r="W163" s="305">
        <f t="shared" si="153"/>
        <v>0.26071428571428573</v>
      </c>
      <c r="X163" s="304">
        <f t="shared" si="154"/>
        <v>0.53790179580368924</v>
      </c>
      <c r="Z163" s="304">
        <f t="shared" si="124"/>
        <v>0.53790179580368924</v>
      </c>
      <c r="AA163" s="305">
        <f t="shared" si="125"/>
        <v>0.53790179580368924</v>
      </c>
      <c r="AB163" s="304">
        <f t="shared" si="126"/>
        <v>1.4342188635252506</v>
      </c>
      <c r="AC163" s="304" t="str">
        <f t="shared" si="155"/>
        <v/>
      </c>
      <c r="AD163" s="306">
        <f t="shared" si="127"/>
        <v>60.691123952014799</v>
      </c>
      <c r="AE163" s="307">
        <f t="shared" si="156"/>
        <v>1.4342188635252506</v>
      </c>
      <c r="AF163" s="308">
        <f t="shared" si="128"/>
        <v>60.691123952014799</v>
      </c>
      <c r="AG163" s="306">
        <f t="shared" si="157"/>
        <v>162.80351269525067</v>
      </c>
      <c r="AH163" s="306">
        <f t="shared" si="129"/>
        <v>0</v>
      </c>
      <c r="AI163" s="306">
        <f t="shared" si="158"/>
        <v>0</v>
      </c>
      <c r="AJ163" s="306">
        <f t="shared" si="159"/>
        <v>0</v>
      </c>
      <c r="AK163" s="306">
        <f t="shared" si="130"/>
        <v>0</v>
      </c>
      <c r="AL163" s="306">
        <f t="shared" si="160"/>
        <v>0</v>
      </c>
      <c r="AM163" s="306">
        <f t="shared" si="131"/>
        <v>0</v>
      </c>
      <c r="AN163" s="304">
        <f>KcSplint!$N192</f>
        <v>0.63996716050324687</v>
      </c>
      <c r="AO163" s="304">
        <f t="shared" si="132"/>
        <v>0.82778330037499925</v>
      </c>
      <c r="AP163" s="304">
        <f t="shared" si="161"/>
        <v>0.82778330037499925</v>
      </c>
      <c r="AQ163" s="305">
        <f t="shared" si="162"/>
        <v>0.82778330037499925</v>
      </c>
      <c r="AR163" s="304">
        <f t="shared" si="163"/>
        <v>2.2071360117605878</v>
      </c>
      <c r="AS163" s="306">
        <f t="shared" si="133"/>
        <v>62.510413473647809</v>
      </c>
      <c r="AT163" s="307">
        <f t="shared" si="164"/>
        <v>2.2071360117605878</v>
      </c>
      <c r="AU163" s="307">
        <f t="shared" si="165"/>
        <v>62.510413473647809</v>
      </c>
      <c r="AV163" s="304">
        <f t="shared" si="134"/>
        <v>2.6663210175425371</v>
      </c>
      <c r="AW163" s="309">
        <f t="shared" si="135"/>
        <v>23.207425344626351</v>
      </c>
      <c r="AX163" s="306">
        <f>IF(ISERROR(Weather!M147),#N/A,Weather!M147)</f>
        <v>0</v>
      </c>
      <c r="AY163" s="310">
        <f t="shared" si="136"/>
        <v>9</v>
      </c>
      <c r="AZ163" s="309">
        <f t="shared" si="137"/>
        <v>0.53790179580368924</v>
      </c>
      <c r="BA163" s="309">
        <f t="shared" si="138"/>
        <v>162.80351269525067</v>
      </c>
      <c r="BB163" s="311">
        <f>Irrig!H165</f>
        <v>0</v>
      </c>
      <c r="BC163" s="310">
        <f t="shared" si="139"/>
        <v>38</v>
      </c>
      <c r="BD163" s="309">
        <f t="shared" si="140"/>
        <v>0.19685570286298848</v>
      </c>
      <c r="BE163" s="309">
        <f t="shared" si="141"/>
        <v>0.19685570286298848</v>
      </c>
      <c r="BF163" s="306">
        <f>DailyMet!H146</f>
        <v>13.67</v>
      </c>
      <c r="BG163" s="306">
        <f>DailyMet!I146</f>
        <v>10.9</v>
      </c>
      <c r="BH163" s="306">
        <f t="shared" si="142"/>
        <v>13.67</v>
      </c>
      <c r="BI163" s="306">
        <f t="shared" si="143"/>
        <v>10.9</v>
      </c>
      <c r="BJ163" s="306">
        <f t="shared" si="144"/>
        <v>2.2850000000000001</v>
      </c>
      <c r="BK163" s="306">
        <f t="shared" si="113"/>
        <v>117.395</v>
      </c>
      <c r="BL163" s="304">
        <f t="shared" si="145"/>
        <v>0</v>
      </c>
      <c r="BM163" s="304">
        <f t="shared" si="146"/>
        <v>2.2850000000000001</v>
      </c>
      <c r="BN163" s="304">
        <f t="shared" si="167"/>
        <v>2.2850000000000001</v>
      </c>
      <c r="BO163" s="306">
        <f t="shared" si="168"/>
        <v>101.92423607665545</v>
      </c>
      <c r="BP163" s="306"/>
    </row>
    <row r="164" spans="1:68">
      <c r="A164" s="299">
        <f t="shared" si="114"/>
        <v>2</v>
      </c>
      <c r="B164" s="300">
        <f t="shared" si="115"/>
        <v>38129</v>
      </c>
      <c r="C164" s="301" t="e">
        <f t="shared" si="147"/>
        <v>#N/A</v>
      </c>
      <c r="D164" s="301" t="e">
        <f t="shared" si="116"/>
        <v>#N/A</v>
      </c>
      <c r="E164" s="299">
        <f t="shared" si="117"/>
        <v>143</v>
      </c>
      <c r="F164" s="396">
        <f>Weather!M148</f>
        <v>0.2</v>
      </c>
      <c r="G164" s="301">
        <f>IF(Weather!C148="","",Weather!C148)</f>
        <v>3.2015049795923889</v>
      </c>
      <c r="H164" s="301">
        <f>IF(Weather!D148="","",Weather!D148)</f>
        <v>2.0078951527307867</v>
      </c>
      <c r="I164" s="502">
        <f>IF(Weather!E148="","",Weather!E148)</f>
        <v>2.0078951527307867</v>
      </c>
      <c r="J164" s="397">
        <f>IF(RnSplint!N192&lt;0,0,RnSplint!N192)</f>
        <v>4.3456437671215022</v>
      </c>
      <c r="K164" s="302">
        <f t="shared" si="148"/>
        <v>0.28095238095238095</v>
      </c>
      <c r="L164" s="303">
        <f t="shared" si="149"/>
        <v>38129</v>
      </c>
      <c r="M164" s="346" t="str">
        <f t="shared" si="118"/>
        <v/>
      </c>
      <c r="N164" s="304">
        <f t="shared" si="150"/>
        <v>0.28095238095238095</v>
      </c>
      <c r="O164" s="304">
        <f t="shared" si="151"/>
        <v>0</v>
      </c>
      <c r="P164" s="304">
        <f t="shared" si="119"/>
        <v>0.28095238095238095</v>
      </c>
      <c r="Q164" s="304">
        <f t="shared" si="120"/>
        <v>0.51535634623545856</v>
      </c>
      <c r="R164" s="304">
        <f t="shared" si="121"/>
        <v>0.51535634623545856</v>
      </c>
      <c r="S164" s="305">
        <f t="shared" si="152"/>
        <v>0.51535634623545856</v>
      </c>
      <c r="T164" s="304">
        <f t="shared" si="122"/>
        <v>0.19561451432610988</v>
      </c>
      <c r="U164" s="304">
        <f t="shared" si="166"/>
        <v>0.28095238095238095</v>
      </c>
      <c r="V164" s="305">
        <f t="shared" si="123"/>
        <v>0.28095238095238095</v>
      </c>
      <c r="W164" s="305">
        <f t="shared" si="153"/>
        <v>0.28095238095238095</v>
      </c>
      <c r="X164" s="304">
        <f t="shared" si="154"/>
        <v>0.51535634623545856</v>
      </c>
      <c r="Z164" s="304">
        <f t="shared" si="124"/>
        <v>0.51535634623545856</v>
      </c>
      <c r="AA164" s="305">
        <f t="shared" si="125"/>
        <v>0.51535634623545856</v>
      </c>
      <c r="AB164" s="304">
        <f t="shared" si="126"/>
        <v>1.0347815095352262</v>
      </c>
      <c r="AC164" s="304" t="str">
        <f t="shared" si="155"/>
        <v/>
      </c>
      <c r="AD164" s="306">
        <f t="shared" si="127"/>
        <v>61.725905461550028</v>
      </c>
      <c r="AE164" s="307">
        <f t="shared" si="156"/>
        <v>1.0347815095352262</v>
      </c>
      <c r="AF164" s="308">
        <f t="shared" si="128"/>
        <v>61.725905461550028</v>
      </c>
      <c r="AG164" s="306">
        <f t="shared" si="157"/>
        <v>164.81140784798146</v>
      </c>
      <c r="AH164" s="306">
        <f t="shared" si="129"/>
        <v>0</v>
      </c>
      <c r="AI164" s="306">
        <f t="shared" si="158"/>
        <v>0</v>
      </c>
      <c r="AJ164" s="306">
        <f t="shared" si="159"/>
        <v>0</v>
      </c>
      <c r="AK164" s="306">
        <f t="shared" si="130"/>
        <v>0</v>
      </c>
      <c r="AL164" s="306">
        <f t="shared" si="160"/>
        <v>0</v>
      </c>
      <c r="AM164" s="306">
        <f t="shared" si="131"/>
        <v>0</v>
      </c>
      <c r="AN164" s="304">
        <f>KcSplint!$N193</f>
        <v>0.63829950146872239</v>
      </c>
      <c r="AO164" s="304">
        <f t="shared" si="132"/>
        <v>0.83361232916128347</v>
      </c>
      <c r="AP164" s="304">
        <f t="shared" si="161"/>
        <v>0.83361232916128347</v>
      </c>
      <c r="AQ164" s="305">
        <f t="shared" si="162"/>
        <v>0.83361232916128347</v>
      </c>
      <c r="AR164" s="304">
        <f t="shared" si="163"/>
        <v>1.673806154979562</v>
      </c>
      <c r="AS164" s="306">
        <f t="shared" si="133"/>
        <v>64.184219628627375</v>
      </c>
      <c r="AT164" s="307">
        <f t="shared" si="164"/>
        <v>1.673806154979562</v>
      </c>
      <c r="AU164" s="307">
        <f t="shared" si="165"/>
        <v>64.184219628627375</v>
      </c>
      <c r="AV164" s="304">
        <f t="shared" si="134"/>
        <v>2.0078951527307867</v>
      </c>
      <c r="AW164" s="309">
        <f t="shared" si="135"/>
        <v>25.215320497357137</v>
      </c>
      <c r="AX164" s="306">
        <f>IF(ISERROR(Weather!M148),#N/A,Weather!M148)</f>
        <v>0.2</v>
      </c>
      <c r="AY164" s="310">
        <f t="shared" si="136"/>
        <v>10</v>
      </c>
      <c r="AZ164" s="309">
        <f t="shared" si="137"/>
        <v>0.51535634623545856</v>
      </c>
      <c r="BA164" s="309">
        <f t="shared" si="138"/>
        <v>164.81140784798146</v>
      </c>
      <c r="BB164" s="311">
        <f>Irrig!H166</f>
        <v>0</v>
      </c>
      <c r="BC164" s="310">
        <f t="shared" si="139"/>
        <v>39</v>
      </c>
      <c r="BD164" s="309">
        <f t="shared" si="140"/>
        <v>0.19561451432610988</v>
      </c>
      <c r="BE164" s="309">
        <f t="shared" si="141"/>
        <v>0.19561451432610988</v>
      </c>
      <c r="BF164" s="306">
        <f>DailyMet!H147</f>
        <v>16.52</v>
      </c>
      <c r="BG164" s="306">
        <f>DailyMet!I147</f>
        <v>11.2</v>
      </c>
      <c r="BH164" s="306">
        <f t="shared" si="142"/>
        <v>16.52</v>
      </c>
      <c r="BI164" s="306">
        <f t="shared" si="143"/>
        <v>11.2</v>
      </c>
      <c r="BJ164" s="306">
        <f t="shared" si="144"/>
        <v>3.8599999999999994</v>
      </c>
      <c r="BK164" s="306">
        <f t="shared" si="113"/>
        <v>121.255</v>
      </c>
      <c r="BL164" s="304">
        <f t="shared" si="145"/>
        <v>0</v>
      </c>
      <c r="BM164" s="304">
        <f t="shared" si="146"/>
        <v>3.8599999999999994</v>
      </c>
      <c r="BN164" s="304">
        <f t="shared" si="167"/>
        <v>3.8599999999999994</v>
      </c>
      <c r="BO164" s="306">
        <f t="shared" si="168"/>
        <v>105.78423607665545</v>
      </c>
      <c r="BP164" s="306"/>
    </row>
    <row r="165" spans="1:68">
      <c r="A165" s="299">
        <f t="shared" si="114"/>
        <v>2</v>
      </c>
      <c r="B165" s="300">
        <f t="shared" si="115"/>
        <v>38130</v>
      </c>
      <c r="C165" s="301" t="e">
        <f t="shared" si="147"/>
        <v>#N/A</v>
      </c>
      <c r="D165" s="301" t="e">
        <f t="shared" si="116"/>
        <v>#N/A</v>
      </c>
      <c r="E165" s="299">
        <f t="shared" si="117"/>
        <v>144</v>
      </c>
      <c r="F165" s="396">
        <f>Weather!M149</f>
        <v>0.2</v>
      </c>
      <c r="G165" s="301">
        <f>IF(Weather!C149="","",Weather!C149)</f>
        <v>3.254878996218646</v>
      </c>
      <c r="H165" s="301">
        <f>IF(Weather!D149="","",Weather!D149)</f>
        <v>3.3353746158162507</v>
      </c>
      <c r="I165" s="502">
        <f>IF(Weather!E149="","",Weather!E149)</f>
        <v>3.3353746158162507</v>
      </c>
      <c r="J165" s="397">
        <f>IF(RnSplint!N193&lt;0,0,RnSplint!N193)</f>
        <v>3.8912289845011419</v>
      </c>
      <c r="K165" s="302">
        <f t="shared" si="148"/>
        <v>0.30119047619047618</v>
      </c>
      <c r="L165" s="303">
        <f t="shared" si="149"/>
        <v>38130</v>
      </c>
      <c r="M165" s="346" t="str">
        <f t="shared" si="118"/>
        <v/>
      </c>
      <c r="N165" s="304">
        <f t="shared" si="150"/>
        <v>0.30119047619047618</v>
      </c>
      <c r="O165" s="304">
        <f t="shared" si="151"/>
        <v>0</v>
      </c>
      <c r="P165" s="304">
        <f t="shared" si="119"/>
        <v>0.30119047619047618</v>
      </c>
      <c r="Q165" s="304">
        <f t="shared" si="120"/>
        <v>0.48335731611092797</v>
      </c>
      <c r="R165" s="304">
        <f t="shared" si="121"/>
        <v>0.48335731611092797</v>
      </c>
      <c r="S165" s="305">
        <f t="shared" si="152"/>
        <v>0.48335731611092797</v>
      </c>
      <c r="T165" s="304">
        <f t="shared" si="122"/>
        <v>0.19360261049330363</v>
      </c>
      <c r="U165" s="304">
        <f t="shared" si="166"/>
        <v>0.30119047619047618</v>
      </c>
      <c r="V165" s="305">
        <f t="shared" si="123"/>
        <v>0.30119047619047618</v>
      </c>
      <c r="W165" s="305">
        <f t="shared" si="153"/>
        <v>0.30119047619047618</v>
      </c>
      <c r="X165" s="304">
        <f t="shared" si="154"/>
        <v>0.48335731611092797</v>
      </c>
      <c r="Z165" s="304">
        <f t="shared" si="124"/>
        <v>0.48335731611092797</v>
      </c>
      <c r="AA165" s="305">
        <f t="shared" si="125"/>
        <v>0.48335731611092797</v>
      </c>
      <c r="AB165" s="304">
        <f t="shared" si="126"/>
        <v>1.6121777225254605</v>
      </c>
      <c r="AC165" s="304" t="str">
        <f t="shared" si="155"/>
        <v/>
      </c>
      <c r="AD165" s="306">
        <f t="shared" si="127"/>
        <v>63.338083184075487</v>
      </c>
      <c r="AE165" s="307">
        <f t="shared" si="156"/>
        <v>1.6121777225254605</v>
      </c>
      <c r="AF165" s="308">
        <f t="shared" si="128"/>
        <v>63.338083184075487</v>
      </c>
      <c r="AG165" s="306">
        <f t="shared" si="157"/>
        <v>168.14678246379771</v>
      </c>
      <c r="AH165" s="306">
        <f t="shared" si="129"/>
        <v>0</v>
      </c>
      <c r="AI165" s="306">
        <f t="shared" si="158"/>
        <v>0</v>
      </c>
      <c r="AJ165" s="306">
        <f t="shared" si="159"/>
        <v>0</v>
      </c>
      <c r="AK165" s="306">
        <f t="shared" si="130"/>
        <v>0</v>
      </c>
      <c r="AL165" s="306">
        <f t="shared" si="160"/>
        <v>0</v>
      </c>
      <c r="AM165" s="306">
        <f t="shared" si="131"/>
        <v>0</v>
      </c>
      <c r="AN165" s="304">
        <f>KcSplint!$N194</f>
        <v>0.6375050086463675</v>
      </c>
      <c r="AO165" s="304">
        <f t="shared" si="132"/>
        <v>0.83944135794756769</v>
      </c>
      <c r="AP165" s="304">
        <f t="shared" si="161"/>
        <v>0.83944135794756769</v>
      </c>
      <c r="AQ165" s="305">
        <f t="shared" si="162"/>
        <v>0.83944135794756769</v>
      </c>
      <c r="AR165" s="304">
        <f t="shared" si="163"/>
        <v>2.7998513967646406</v>
      </c>
      <c r="AS165" s="306">
        <f t="shared" si="133"/>
        <v>66.984071025392012</v>
      </c>
      <c r="AT165" s="307">
        <f t="shared" si="164"/>
        <v>2.7998513967646406</v>
      </c>
      <c r="AU165" s="307">
        <f t="shared" si="165"/>
        <v>66.984071025392012</v>
      </c>
      <c r="AV165" s="304">
        <f t="shared" si="134"/>
        <v>3.3353746158162507</v>
      </c>
      <c r="AW165" s="309">
        <f t="shared" si="135"/>
        <v>28.550695113173386</v>
      </c>
      <c r="AX165" s="306">
        <f>IF(ISERROR(Weather!M149),#N/A,Weather!M149)</f>
        <v>0.2</v>
      </c>
      <c r="AY165" s="310">
        <f t="shared" si="136"/>
        <v>11</v>
      </c>
      <c r="AZ165" s="309">
        <f t="shared" si="137"/>
        <v>0.48335731611092797</v>
      </c>
      <c r="BA165" s="309">
        <f t="shared" si="138"/>
        <v>168.14678246379771</v>
      </c>
      <c r="BB165" s="311">
        <f>Irrig!H167</f>
        <v>0</v>
      </c>
      <c r="BC165" s="310">
        <f t="shared" si="139"/>
        <v>40</v>
      </c>
      <c r="BD165" s="309">
        <f t="shared" si="140"/>
        <v>0.19360261049330363</v>
      </c>
      <c r="BE165" s="309">
        <f t="shared" si="141"/>
        <v>0.19360261049330363</v>
      </c>
      <c r="BF165" s="306">
        <f>DailyMet!H148</f>
        <v>19.8</v>
      </c>
      <c r="BG165" s="306">
        <f>DailyMet!I148</f>
        <v>15.1</v>
      </c>
      <c r="BH165" s="306">
        <f t="shared" si="142"/>
        <v>19.8</v>
      </c>
      <c r="BI165" s="306">
        <f t="shared" si="143"/>
        <v>15.1</v>
      </c>
      <c r="BJ165" s="306">
        <f t="shared" si="144"/>
        <v>7.4499999999999993</v>
      </c>
      <c r="BK165" s="306">
        <f t="shared" si="113"/>
        <v>128.70499999999998</v>
      </c>
      <c r="BL165" s="304">
        <f t="shared" si="145"/>
        <v>0</v>
      </c>
      <c r="BM165" s="304">
        <f t="shared" si="146"/>
        <v>7.4499999999999993</v>
      </c>
      <c r="BN165" s="304">
        <f t="shared" si="167"/>
        <v>7.4499999999999993</v>
      </c>
      <c r="BO165" s="306">
        <f t="shared" si="168"/>
        <v>113.23423607665545</v>
      </c>
      <c r="BP165" s="306"/>
    </row>
    <row r="166" spans="1:68">
      <c r="A166" s="299">
        <f t="shared" si="114"/>
        <v>2</v>
      </c>
      <c r="B166" s="300">
        <f t="shared" si="115"/>
        <v>38131</v>
      </c>
      <c r="C166" s="301" t="e">
        <f t="shared" si="147"/>
        <v>#N/A</v>
      </c>
      <c r="D166" s="301" t="e">
        <f t="shared" si="116"/>
        <v>#N/A</v>
      </c>
      <c r="E166" s="299">
        <f t="shared" si="117"/>
        <v>145</v>
      </c>
      <c r="F166" s="396">
        <f>Weather!M150</f>
        <v>6.6</v>
      </c>
      <c r="G166" s="301">
        <f>IF(Weather!C150="","",Weather!C150)</f>
        <v>3.3075107711978906</v>
      </c>
      <c r="H166" s="301">
        <f>IF(Weather!D150="","",Weather!D150)</f>
        <v>3.6860224665711194</v>
      </c>
      <c r="I166" s="502">
        <f>IF(Weather!E150="","",Weather!E150)</f>
        <v>3.6860224665711194</v>
      </c>
      <c r="J166" s="397">
        <f>IF(RnSplint!N194&lt;0,0,RnSplint!N194)</f>
        <v>3.4710986869832294</v>
      </c>
      <c r="K166" s="302">
        <f t="shared" si="148"/>
        <v>0.3214285714285714</v>
      </c>
      <c r="L166" s="303">
        <f t="shared" si="149"/>
        <v>38131</v>
      </c>
      <c r="M166" s="346" t="str">
        <f t="shared" si="118"/>
        <v/>
      </c>
      <c r="N166" s="304">
        <f t="shared" si="150"/>
        <v>0.3214285714285714</v>
      </c>
      <c r="O166" s="304">
        <f t="shared" si="151"/>
        <v>0</v>
      </c>
      <c r="P166" s="304">
        <f t="shared" si="119"/>
        <v>0.3214285714285714</v>
      </c>
      <c r="Q166" s="304">
        <f t="shared" si="120"/>
        <v>0.45400170760758446</v>
      </c>
      <c r="R166" s="304">
        <f t="shared" si="121"/>
        <v>0.45400170760758446</v>
      </c>
      <c r="S166" s="305">
        <f t="shared" si="152"/>
        <v>0.45400170760758446</v>
      </c>
      <c r="T166" s="304">
        <f t="shared" si="122"/>
        <v>0.19144841255905479</v>
      </c>
      <c r="U166" s="304">
        <f t="shared" si="166"/>
        <v>0.3214285714285714</v>
      </c>
      <c r="V166" s="305">
        <f t="shared" si="123"/>
        <v>0.3214285714285714</v>
      </c>
      <c r="W166" s="305">
        <f t="shared" si="153"/>
        <v>0.3214285714285714</v>
      </c>
      <c r="X166" s="304">
        <f t="shared" si="154"/>
        <v>0.45400170760758446</v>
      </c>
      <c r="Z166" s="304">
        <f t="shared" si="124"/>
        <v>0.45400170760758446</v>
      </c>
      <c r="AA166" s="305">
        <f t="shared" si="125"/>
        <v>0.45400170760758446</v>
      </c>
      <c r="AB166" s="304">
        <f t="shared" si="126"/>
        <v>1.6734604941032085</v>
      </c>
      <c r="AC166" s="304" t="str">
        <f t="shared" si="155"/>
        <v/>
      </c>
      <c r="AD166" s="306">
        <f t="shared" si="127"/>
        <v>65.011543678178697</v>
      </c>
      <c r="AE166" s="307">
        <f t="shared" si="156"/>
        <v>1.6734604941032085</v>
      </c>
      <c r="AF166" s="308">
        <f t="shared" si="128"/>
        <v>65.011543678178697</v>
      </c>
      <c r="AG166" s="306">
        <f t="shared" si="157"/>
        <v>171.83280493036884</v>
      </c>
      <c r="AH166" s="306">
        <f t="shared" si="129"/>
        <v>0</v>
      </c>
      <c r="AI166" s="306">
        <f t="shared" si="158"/>
        <v>0</v>
      </c>
      <c r="AJ166" s="306">
        <f t="shared" si="159"/>
        <v>0</v>
      </c>
      <c r="AK166" s="306">
        <f t="shared" si="130"/>
        <v>0</v>
      </c>
      <c r="AL166" s="306">
        <f t="shared" si="160"/>
        <v>0</v>
      </c>
      <c r="AM166" s="306">
        <f t="shared" si="131"/>
        <v>0</v>
      </c>
      <c r="AN166" s="304">
        <f>KcSplint!$N195</f>
        <v>0.63755163090062461</v>
      </c>
      <c r="AO166" s="304">
        <f t="shared" si="132"/>
        <v>0.84527038673385191</v>
      </c>
      <c r="AP166" s="304">
        <f t="shared" si="161"/>
        <v>0.84527038673385191</v>
      </c>
      <c r="AQ166" s="305">
        <f t="shared" si="162"/>
        <v>0.84527038673385191</v>
      </c>
      <c r="AR166" s="304">
        <f t="shared" si="163"/>
        <v>3.1156856358282368</v>
      </c>
      <c r="AS166" s="306">
        <f t="shared" si="133"/>
        <v>70.099756661220255</v>
      </c>
      <c r="AT166" s="307">
        <f t="shared" si="164"/>
        <v>3.1156856358282368</v>
      </c>
      <c r="AU166" s="307">
        <f t="shared" si="165"/>
        <v>70.099756661220255</v>
      </c>
      <c r="AV166" s="304">
        <f t="shared" si="134"/>
        <v>3.6860224665711194</v>
      </c>
      <c r="AW166" s="309">
        <f t="shared" si="135"/>
        <v>32.236717579744507</v>
      </c>
      <c r="AX166" s="306">
        <f>IF(ISERROR(Weather!M150),#N/A,Weather!M150)</f>
        <v>6.6</v>
      </c>
      <c r="AY166" s="310">
        <f t="shared" si="136"/>
        <v>12</v>
      </c>
      <c r="AZ166" s="309">
        <f t="shared" si="137"/>
        <v>0.45400170760758446</v>
      </c>
      <c r="BA166" s="309">
        <f t="shared" si="138"/>
        <v>171.83280493036884</v>
      </c>
      <c r="BB166" s="311">
        <f>Irrig!H168</f>
        <v>0</v>
      </c>
      <c r="BC166" s="310">
        <f t="shared" si="139"/>
        <v>41</v>
      </c>
      <c r="BD166" s="309">
        <f t="shared" si="140"/>
        <v>0.19144841255905479</v>
      </c>
      <c r="BE166" s="309">
        <f t="shared" si="141"/>
        <v>0.19144841255905479</v>
      </c>
      <c r="BF166" s="306">
        <f>DailyMet!H149</f>
        <v>22.06</v>
      </c>
      <c r="BG166" s="306">
        <f>DailyMet!I149</f>
        <v>14.9</v>
      </c>
      <c r="BH166" s="306">
        <f t="shared" si="142"/>
        <v>22.06</v>
      </c>
      <c r="BI166" s="306">
        <f t="shared" si="143"/>
        <v>14.9</v>
      </c>
      <c r="BJ166" s="306">
        <f t="shared" si="144"/>
        <v>8.48</v>
      </c>
      <c r="BK166" s="306">
        <f t="shared" si="113"/>
        <v>137.18499999999997</v>
      </c>
      <c r="BL166" s="304">
        <f t="shared" si="145"/>
        <v>0</v>
      </c>
      <c r="BM166" s="304">
        <f t="shared" si="146"/>
        <v>8.48</v>
      </c>
      <c r="BN166" s="304">
        <f t="shared" si="167"/>
        <v>8.48</v>
      </c>
      <c r="BO166" s="306">
        <f t="shared" si="168"/>
        <v>121.71423607665545</v>
      </c>
      <c r="BP166" s="306"/>
    </row>
    <row r="167" spans="1:68">
      <c r="A167" s="299">
        <f t="shared" si="114"/>
        <v>2</v>
      </c>
      <c r="B167" s="300">
        <f t="shared" si="115"/>
        <v>38132</v>
      </c>
      <c r="C167" s="301" t="e">
        <f t="shared" si="147"/>
        <v>#N/A</v>
      </c>
      <c r="D167" s="301" t="e">
        <f t="shared" si="116"/>
        <v>#N/A</v>
      </c>
      <c r="E167" s="299">
        <f t="shared" si="117"/>
        <v>146</v>
      </c>
      <c r="F167" s="396">
        <f>Weather!M151</f>
        <v>5.2</v>
      </c>
      <c r="G167" s="301">
        <f>IF(Weather!C151="","",Weather!C151)</f>
        <v>3.3593656368550193</v>
      </c>
      <c r="H167" s="301">
        <f>IF(Weather!D151="","",Weather!D151)</f>
        <v>3.28904064531531</v>
      </c>
      <c r="I167" s="502">
        <f>IF(Weather!E151="","",Weather!E151)</f>
        <v>3.28904064531531</v>
      </c>
      <c r="J167" s="397">
        <f>IF(RnSplint!N195&lt;0,0,RnSplint!N195)</f>
        <v>3.0860047790319598</v>
      </c>
      <c r="K167" s="302">
        <f t="shared" si="148"/>
        <v>0.34166666666666662</v>
      </c>
      <c r="L167" s="303">
        <f t="shared" si="149"/>
        <v>38132</v>
      </c>
      <c r="M167" s="346" t="str">
        <f t="shared" si="118"/>
        <v/>
      </c>
      <c r="N167" s="304">
        <f t="shared" si="150"/>
        <v>0.34166666666666662</v>
      </c>
      <c r="O167" s="304">
        <f t="shared" si="151"/>
        <v>0</v>
      </c>
      <c r="P167" s="304">
        <f t="shared" si="119"/>
        <v>0.34166666666666662</v>
      </c>
      <c r="Q167" s="304">
        <f t="shared" si="120"/>
        <v>0.43180347693374954</v>
      </c>
      <c r="R167" s="304">
        <f t="shared" si="121"/>
        <v>0.43180347693374954</v>
      </c>
      <c r="S167" s="305">
        <f t="shared" si="152"/>
        <v>0.43180347693374954</v>
      </c>
      <c r="T167" s="304">
        <f t="shared" si="122"/>
        <v>0.18958453104640433</v>
      </c>
      <c r="U167" s="304">
        <f t="shared" si="166"/>
        <v>0.34166666666666662</v>
      </c>
      <c r="V167" s="305">
        <f t="shared" si="123"/>
        <v>0.34166666666666662</v>
      </c>
      <c r="W167" s="305">
        <f t="shared" si="153"/>
        <v>0.34166666666666662</v>
      </c>
      <c r="X167" s="304">
        <f t="shared" si="154"/>
        <v>0.43180347693374954</v>
      </c>
      <c r="Z167" s="304">
        <f t="shared" si="124"/>
        <v>0.43180347693374954</v>
      </c>
      <c r="AA167" s="305">
        <f t="shared" si="125"/>
        <v>0.43180347693374954</v>
      </c>
      <c r="AB167" s="304">
        <f t="shared" si="126"/>
        <v>1.4202191864235743</v>
      </c>
      <c r="AC167" s="304" t="str">
        <f t="shared" si="155"/>
        <v/>
      </c>
      <c r="AD167" s="306">
        <f t="shared" si="127"/>
        <v>66.431762864602277</v>
      </c>
      <c r="AE167" s="307">
        <f t="shared" si="156"/>
        <v>1.4202191864235743</v>
      </c>
      <c r="AF167" s="308">
        <f t="shared" si="128"/>
        <v>66.431762864602277</v>
      </c>
      <c r="AG167" s="306">
        <f t="shared" si="157"/>
        <v>175.12184557568415</v>
      </c>
      <c r="AH167" s="306">
        <f t="shared" si="129"/>
        <v>0</v>
      </c>
      <c r="AI167" s="306">
        <f t="shared" si="158"/>
        <v>0</v>
      </c>
      <c r="AJ167" s="306">
        <f t="shared" si="159"/>
        <v>0</v>
      </c>
      <c r="AK167" s="306">
        <f t="shared" si="130"/>
        <v>0</v>
      </c>
      <c r="AL167" s="306">
        <f t="shared" si="160"/>
        <v>0</v>
      </c>
      <c r="AM167" s="306">
        <f t="shared" si="131"/>
        <v>0</v>
      </c>
      <c r="AN167" s="304">
        <f>KcSplint!$N196</f>
        <v>0.63840731709593523</v>
      </c>
      <c r="AO167" s="304">
        <f t="shared" si="132"/>
        <v>0.85109941552013613</v>
      </c>
      <c r="AP167" s="304">
        <f t="shared" si="161"/>
        <v>0.85109941552013613</v>
      </c>
      <c r="AQ167" s="305">
        <f t="shared" si="162"/>
        <v>0.85109941552013613</v>
      </c>
      <c r="AR167" s="304">
        <f t="shared" si="163"/>
        <v>2.7993005708498315</v>
      </c>
      <c r="AS167" s="306">
        <f t="shared" si="133"/>
        <v>72.899057232070092</v>
      </c>
      <c r="AT167" s="307">
        <f t="shared" si="164"/>
        <v>2.7993005708498315</v>
      </c>
      <c r="AU167" s="307">
        <f t="shared" si="165"/>
        <v>72.899057232070092</v>
      </c>
      <c r="AV167" s="304">
        <f t="shared" si="134"/>
        <v>3.28904064531531</v>
      </c>
      <c r="AW167" s="309">
        <f t="shared" si="135"/>
        <v>35.525758225059818</v>
      </c>
      <c r="AX167" s="306">
        <f>IF(ISERROR(Weather!M151),#N/A,Weather!M151)</f>
        <v>5.2</v>
      </c>
      <c r="AY167" s="310">
        <f t="shared" si="136"/>
        <v>13</v>
      </c>
      <c r="AZ167" s="309">
        <f t="shared" si="137"/>
        <v>0.43180347693374954</v>
      </c>
      <c r="BA167" s="309">
        <f t="shared" si="138"/>
        <v>175.12184557568415</v>
      </c>
      <c r="BB167" s="311">
        <f>Irrig!H169</f>
        <v>0</v>
      </c>
      <c r="BC167" s="310">
        <f t="shared" si="139"/>
        <v>42</v>
      </c>
      <c r="BD167" s="309">
        <f t="shared" si="140"/>
        <v>0.18958453104640433</v>
      </c>
      <c r="BE167" s="309">
        <f t="shared" si="141"/>
        <v>0.18958453104640433</v>
      </c>
      <c r="BF167" s="306">
        <f>DailyMet!H150</f>
        <v>21.08</v>
      </c>
      <c r="BG167" s="306">
        <f>DailyMet!I150</f>
        <v>15.6</v>
      </c>
      <c r="BH167" s="306">
        <f t="shared" si="142"/>
        <v>21.08</v>
      </c>
      <c r="BI167" s="306">
        <f t="shared" si="143"/>
        <v>15.6</v>
      </c>
      <c r="BJ167" s="306">
        <f t="shared" si="144"/>
        <v>8.34</v>
      </c>
      <c r="BK167" s="306">
        <f t="shared" si="113"/>
        <v>145.52499999999998</v>
      </c>
      <c r="BL167" s="304">
        <f t="shared" si="145"/>
        <v>0</v>
      </c>
      <c r="BM167" s="304">
        <f t="shared" si="146"/>
        <v>8.34</v>
      </c>
      <c r="BN167" s="304">
        <f t="shared" si="167"/>
        <v>8.34</v>
      </c>
      <c r="BO167" s="306">
        <f t="shared" si="168"/>
        <v>130.05423607665546</v>
      </c>
      <c r="BP167" s="306"/>
    </row>
    <row r="168" spans="1:68">
      <c r="A168" s="299">
        <f t="shared" si="114"/>
        <v>2</v>
      </c>
      <c r="B168" s="300">
        <f t="shared" si="115"/>
        <v>38133</v>
      </c>
      <c r="C168" s="301" t="e">
        <f t="shared" si="147"/>
        <v>#N/A</v>
      </c>
      <c r="D168" s="301" t="e">
        <f t="shared" si="116"/>
        <v>#N/A</v>
      </c>
      <c r="E168" s="299">
        <f t="shared" si="117"/>
        <v>147</v>
      </c>
      <c r="F168" s="396">
        <f>Weather!M152</f>
        <v>0</v>
      </c>
      <c r="G168" s="301">
        <f>IF(Weather!C152="","",Weather!C152)</f>
        <v>3.4104089255149224</v>
      </c>
      <c r="H168" s="301">
        <f>IF(Weather!D152="","",Weather!D152)</f>
        <v>3.2219838024285434</v>
      </c>
      <c r="I168" s="502">
        <f>IF(Weather!E152="","",Weather!E152)</f>
        <v>3.2219838024285434</v>
      </c>
      <c r="J168" s="397">
        <f>IF(RnSplint!N196&lt;0,0,RnSplint!N196)</f>
        <v>2.7366991651115331</v>
      </c>
      <c r="K168" s="302">
        <f t="shared" si="148"/>
        <v>0.36190476190476184</v>
      </c>
      <c r="L168" s="303">
        <f t="shared" si="149"/>
        <v>38133</v>
      </c>
      <c r="M168" s="346" t="str">
        <f t="shared" si="118"/>
        <v/>
      </c>
      <c r="N168" s="304">
        <f t="shared" si="150"/>
        <v>0.36190476190476184</v>
      </c>
      <c r="O168" s="304">
        <f t="shared" si="151"/>
        <v>0</v>
      </c>
      <c r="P168" s="304">
        <f t="shared" si="119"/>
        <v>0.36190476190476184</v>
      </c>
      <c r="Q168" s="304">
        <f t="shared" si="120"/>
        <v>0.41288714767270618</v>
      </c>
      <c r="R168" s="304">
        <f t="shared" si="121"/>
        <v>0.41288714767270618</v>
      </c>
      <c r="S168" s="305">
        <f t="shared" si="152"/>
        <v>0.41288714767270618</v>
      </c>
      <c r="T168" s="304">
        <f t="shared" si="122"/>
        <v>0.18780940355178011</v>
      </c>
      <c r="U168" s="304">
        <f t="shared" si="166"/>
        <v>0.36190476190476184</v>
      </c>
      <c r="V168" s="305">
        <f t="shared" si="123"/>
        <v>0.36190476190476184</v>
      </c>
      <c r="W168" s="305">
        <f t="shared" si="153"/>
        <v>0.36190476190476184</v>
      </c>
      <c r="X168" s="304">
        <f t="shared" si="154"/>
        <v>0.41288714767270618</v>
      </c>
      <c r="Z168" s="304">
        <f t="shared" si="124"/>
        <v>0.41288714767270618</v>
      </c>
      <c r="AA168" s="305">
        <f t="shared" si="125"/>
        <v>0.41288714767270618</v>
      </c>
      <c r="AB168" s="304">
        <f t="shared" si="126"/>
        <v>1.3303157020323815</v>
      </c>
      <c r="AC168" s="304" t="str">
        <f t="shared" si="155"/>
        <v/>
      </c>
      <c r="AD168" s="306">
        <f t="shared" si="127"/>
        <v>67.762078566634656</v>
      </c>
      <c r="AE168" s="307">
        <f t="shared" si="156"/>
        <v>1.3303157020323815</v>
      </c>
      <c r="AF168" s="308">
        <f t="shared" si="128"/>
        <v>67.762078566634656</v>
      </c>
      <c r="AG168" s="306">
        <f t="shared" si="157"/>
        <v>178.3438293781127</v>
      </c>
      <c r="AH168" s="306">
        <f t="shared" si="129"/>
        <v>0</v>
      </c>
      <c r="AI168" s="306">
        <f t="shared" si="158"/>
        <v>0</v>
      </c>
      <c r="AJ168" s="306">
        <f t="shared" si="159"/>
        <v>0</v>
      </c>
      <c r="AK168" s="306">
        <f t="shared" si="130"/>
        <v>0</v>
      </c>
      <c r="AL168" s="306">
        <f t="shared" si="160"/>
        <v>0</v>
      </c>
      <c r="AM168" s="306">
        <f t="shared" si="131"/>
        <v>0</v>
      </c>
      <c r="AN168" s="304">
        <f>KcSplint!$N197</f>
        <v>0.6400400160967421</v>
      </c>
      <c r="AO168" s="304">
        <f t="shared" si="132"/>
        <v>0.85692844430642034</v>
      </c>
      <c r="AP168" s="304">
        <f t="shared" si="161"/>
        <v>0.85692844430642034</v>
      </c>
      <c r="AQ168" s="305">
        <f t="shared" si="162"/>
        <v>0.85692844430642034</v>
      </c>
      <c r="AR168" s="304">
        <f t="shared" si="163"/>
        <v>2.7610095673955763</v>
      </c>
      <c r="AS168" s="306">
        <f t="shared" si="133"/>
        <v>75.660066799465667</v>
      </c>
      <c r="AT168" s="307">
        <f t="shared" si="164"/>
        <v>2.7610095673955763</v>
      </c>
      <c r="AU168" s="307">
        <f t="shared" si="165"/>
        <v>75.660066799465667</v>
      </c>
      <c r="AV168" s="304">
        <f t="shared" si="134"/>
        <v>3.2219838024285434</v>
      </c>
      <c r="AW168" s="309">
        <f t="shared" si="135"/>
        <v>38.747742027488364</v>
      </c>
      <c r="AX168" s="306">
        <f>IF(ISERROR(Weather!M152),#N/A,Weather!M152)</f>
        <v>0</v>
      </c>
      <c r="AY168" s="310">
        <f t="shared" si="136"/>
        <v>14</v>
      </c>
      <c r="AZ168" s="309">
        <f t="shared" si="137"/>
        <v>0.41288714767270618</v>
      </c>
      <c r="BA168" s="309">
        <f t="shared" si="138"/>
        <v>178.3438293781127</v>
      </c>
      <c r="BB168" s="311">
        <f>Irrig!H170</f>
        <v>0</v>
      </c>
      <c r="BC168" s="310">
        <f t="shared" si="139"/>
        <v>43</v>
      </c>
      <c r="BD168" s="309">
        <f t="shared" si="140"/>
        <v>0.18780940355178011</v>
      </c>
      <c r="BE168" s="309">
        <f t="shared" si="141"/>
        <v>0.18780940355178011</v>
      </c>
      <c r="BF168" s="306">
        <f>DailyMet!H151</f>
        <v>18.7</v>
      </c>
      <c r="BG168" s="306">
        <f>DailyMet!I151</f>
        <v>13.9</v>
      </c>
      <c r="BH168" s="306">
        <f t="shared" si="142"/>
        <v>18.7</v>
      </c>
      <c r="BI168" s="306">
        <f t="shared" si="143"/>
        <v>13.9</v>
      </c>
      <c r="BJ168" s="306">
        <f t="shared" si="144"/>
        <v>6.3000000000000007</v>
      </c>
      <c r="BK168" s="306">
        <f t="shared" si="113"/>
        <v>151.82499999999999</v>
      </c>
      <c r="BL168" s="304">
        <f t="shared" si="145"/>
        <v>0</v>
      </c>
      <c r="BM168" s="304">
        <f t="shared" si="146"/>
        <v>6.3000000000000007</v>
      </c>
      <c r="BN168" s="304">
        <f t="shared" si="167"/>
        <v>6.3000000000000007</v>
      </c>
      <c r="BO168" s="306">
        <f t="shared" si="168"/>
        <v>136.35423607665547</v>
      </c>
      <c r="BP168" s="306"/>
    </row>
    <row r="169" spans="1:68">
      <c r="A169" s="299">
        <f t="shared" si="114"/>
        <v>2</v>
      </c>
      <c r="B169" s="300">
        <f t="shared" si="115"/>
        <v>38134</v>
      </c>
      <c r="C169" s="301" t="e">
        <f t="shared" si="147"/>
        <v>#N/A</v>
      </c>
      <c r="D169" s="301" t="e">
        <f t="shared" si="116"/>
        <v>#N/A</v>
      </c>
      <c r="E169" s="299">
        <f t="shared" si="117"/>
        <v>148</v>
      </c>
      <c r="F169" s="396">
        <f>Weather!M153</f>
        <v>0</v>
      </c>
      <c r="G169" s="301">
        <f>IF(Weather!C153="","",Weather!C153)</f>
        <v>3.4606059695024944</v>
      </c>
      <c r="H169" s="301">
        <f>IF(Weather!D153="","",Weather!D153)</f>
        <v>2.8444012802599774</v>
      </c>
      <c r="I169" s="502">
        <f>IF(Weather!E153="","",Weather!E153)</f>
        <v>2.8444012802599774</v>
      </c>
      <c r="J169" s="397">
        <f>IF(RnSplint!N197&lt;0,0,RnSplint!N197)</f>
        <v>2.4239337496861424</v>
      </c>
      <c r="K169" s="302">
        <f t="shared" si="148"/>
        <v>0.38214285714285706</v>
      </c>
      <c r="L169" s="303">
        <f t="shared" si="149"/>
        <v>38134</v>
      </c>
      <c r="M169" s="346" t="str">
        <f t="shared" si="118"/>
        <v/>
      </c>
      <c r="N169" s="304">
        <f t="shared" si="150"/>
        <v>0.38214285714285706</v>
      </c>
      <c r="O169" s="304">
        <f t="shared" si="151"/>
        <v>0</v>
      </c>
      <c r="P169" s="304">
        <f t="shared" si="119"/>
        <v>0.38214285714285706</v>
      </c>
      <c r="Q169" s="304">
        <f t="shared" si="120"/>
        <v>0.39806745792385134</v>
      </c>
      <c r="R169" s="304">
        <f t="shared" si="121"/>
        <v>0.39806745792385134</v>
      </c>
      <c r="S169" s="305">
        <f t="shared" si="152"/>
        <v>0.39806745792385134</v>
      </c>
      <c r="T169" s="304">
        <f t="shared" si="122"/>
        <v>0.18628223282380235</v>
      </c>
      <c r="U169" s="304">
        <f t="shared" si="166"/>
        <v>0.38214285714285706</v>
      </c>
      <c r="V169" s="305">
        <f t="shared" si="123"/>
        <v>0.38214285714285706</v>
      </c>
      <c r="W169" s="305">
        <f t="shared" si="153"/>
        <v>0.38214285714285706</v>
      </c>
      <c r="X169" s="304">
        <f t="shared" si="154"/>
        <v>0.39806745792385134</v>
      </c>
      <c r="Z169" s="304">
        <f t="shared" si="124"/>
        <v>0.39806745792385134</v>
      </c>
      <c r="AA169" s="305">
        <f t="shared" si="125"/>
        <v>0.39806745792385134</v>
      </c>
      <c r="AB169" s="304">
        <f t="shared" si="126"/>
        <v>1.1322635869484374</v>
      </c>
      <c r="AC169" s="304" t="str">
        <f t="shared" si="155"/>
        <v/>
      </c>
      <c r="AD169" s="306">
        <f t="shared" si="127"/>
        <v>68.894342153583096</v>
      </c>
      <c r="AE169" s="307">
        <f t="shared" si="156"/>
        <v>1.1322635869484374</v>
      </c>
      <c r="AF169" s="308">
        <f t="shared" si="128"/>
        <v>68.894342153583096</v>
      </c>
      <c r="AG169" s="306">
        <f t="shared" si="157"/>
        <v>181.18823065837267</v>
      </c>
      <c r="AH169" s="306">
        <f t="shared" si="129"/>
        <v>0</v>
      </c>
      <c r="AI169" s="306">
        <f t="shared" si="158"/>
        <v>0</v>
      </c>
      <c r="AJ169" s="306">
        <f t="shared" si="159"/>
        <v>0</v>
      </c>
      <c r="AK169" s="306">
        <f t="shared" si="130"/>
        <v>0</v>
      </c>
      <c r="AL169" s="306">
        <f t="shared" si="160"/>
        <v>0</v>
      </c>
      <c r="AM169" s="306">
        <f t="shared" si="131"/>
        <v>0</v>
      </c>
      <c r="AN169" s="304">
        <f>KcSplint!$N198</f>
        <v>0.64241767676748707</v>
      </c>
      <c r="AO169" s="304">
        <f t="shared" si="132"/>
        <v>0.86275747309270456</v>
      </c>
      <c r="AP169" s="304">
        <f t="shared" si="161"/>
        <v>0.86275747309270456</v>
      </c>
      <c r="AQ169" s="305">
        <f t="shared" si="162"/>
        <v>0.86275747309270456</v>
      </c>
      <c r="AR169" s="304">
        <f t="shared" si="163"/>
        <v>2.4540284610187517</v>
      </c>
      <c r="AS169" s="306">
        <f t="shared" si="133"/>
        <v>78.114095260484419</v>
      </c>
      <c r="AT169" s="307">
        <f t="shared" si="164"/>
        <v>2.4540284610187517</v>
      </c>
      <c r="AU169" s="307">
        <f t="shared" si="165"/>
        <v>78.114095260484419</v>
      </c>
      <c r="AV169" s="304">
        <f t="shared" si="134"/>
        <v>2.8444012802599774</v>
      </c>
      <c r="AW169" s="309">
        <f t="shared" si="135"/>
        <v>41.592143307748344</v>
      </c>
      <c r="AX169" s="306">
        <f>IF(ISERROR(Weather!M153),#N/A,Weather!M153)</f>
        <v>0</v>
      </c>
      <c r="AY169" s="310">
        <f t="shared" si="136"/>
        <v>15</v>
      </c>
      <c r="AZ169" s="309">
        <f t="shared" si="137"/>
        <v>0.39806745792385134</v>
      </c>
      <c r="BA169" s="309">
        <f t="shared" si="138"/>
        <v>181.18823065837267</v>
      </c>
      <c r="BB169" s="311">
        <f>Irrig!H171</f>
        <v>0</v>
      </c>
      <c r="BC169" s="310">
        <f t="shared" si="139"/>
        <v>44</v>
      </c>
      <c r="BD169" s="309">
        <f t="shared" si="140"/>
        <v>0.18628223282380235</v>
      </c>
      <c r="BE169" s="309">
        <f t="shared" si="141"/>
        <v>0.18628223282380235</v>
      </c>
      <c r="BF169" s="306">
        <f>DailyMet!H152</f>
        <v>19.57</v>
      </c>
      <c r="BG169" s="306">
        <f>DailyMet!I152</f>
        <v>11.1</v>
      </c>
      <c r="BH169" s="306">
        <f t="shared" si="142"/>
        <v>19.57</v>
      </c>
      <c r="BI169" s="306">
        <f t="shared" si="143"/>
        <v>11.1</v>
      </c>
      <c r="BJ169" s="306">
        <f t="shared" si="144"/>
        <v>5.3350000000000009</v>
      </c>
      <c r="BK169" s="306">
        <f t="shared" si="113"/>
        <v>157.16</v>
      </c>
      <c r="BL169" s="304">
        <f t="shared" si="145"/>
        <v>0</v>
      </c>
      <c r="BM169" s="304">
        <f t="shared" si="146"/>
        <v>5.3350000000000009</v>
      </c>
      <c r="BN169" s="304">
        <f t="shared" si="167"/>
        <v>5.3350000000000009</v>
      </c>
      <c r="BO169" s="306">
        <f t="shared" si="168"/>
        <v>141.68923607665548</v>
      </c>
      <c r="BP169" s="306"/>
    </row>
    <row r="170" spans="1:68">
      <c r="A170" s="299">
        <f t="shared" si="114"/>
        <v>2</v>
      </c>
      <c r="B170" s="300">
        <f t="shared" si="115"/>
        <v>38135</v>
      </c>
      <c r="C170" s="301" t="e">
        <f t="shared" si="147"/>
        <v>#N/A</v>
      </c>
      <c r="D170" s="301" t="e">
        <f t="shared" si="116"/>
        <v>#N/A</v>
      </c>
      <c r="E170" s="299">
        <f t="shared" si="117"/>
        <v>149</v>
      </c>
      <c r="F170" s="396">
        <f>Weather!M154</f>
        <v>0</v>
      </c>
      <c r="G170" s="301">
        <f>IF(Weather!C154="","",Weather!C154)</f>
        <v>3.5099221011426276</v>
      </c>
      <c r="H170" s="301">
        <f>IF(Weather!D154="","",Weather!D154)</f>
        <v>3.3058542029797064</v>
      </c>
      <c r="I170" s="502">
        <f>IF(Weather!E154="","",Weather!E154)</f>
        <v>3.3058542029797064</v>
      </c>
      <c r="J170" s="397">
        <f>IF(RnSplint!N198&lt;0,0,RnSplint!N198)</f>
        <v>2.1484604372199891</v>
      </c>
      <c r="K170" s="302">
        <f t="shared" si="148"/>
        <v>0.40238095238095228</v>
      </c>
      <c r="L170" s="303">
        <f t="shared" si="149"/>
        <v>38135</v>
      </c>
      <c r="M170" s="346" t="str">
        <f t="shared" si="118"/>
        <v/>
      </c>
      <c r="N170" s="304">
        <f t="shared" si="150"/>
        <v>0.40238095238095228</v>
      </c>
      <c r="O170" s="304">
        <f t="shared" si="151"/>
        <v>0</v>
      </c>
      <c r="P170" s="304">
        <f t="shared" si="119"/>
        <v>0.40238095238095228</v>
      </c>
      <c r="Q170" s="304">
        <f t="shared" si="120"/>
        <v>0.38266380828212304</v>
      </c>
      <c r="R170" s="304">
        <f t="shared" si="121"/>
        <v>0.40238095238095228</v>
      </c>
      <c r="S170" s="305">
        <f t="shared" si="152"/>
        <v>0.40238095238095228</v>
      </c>
      <c r="T170" s="304">
        <f t="shared" si="122"/>
        <v>0.18455234340910123</v>
      </c>
      <c r="U170" s="304">
        <f t="shared" si="166"/>
        <v>0.40238095238095228</v>
      </c>
      <c r="V170" s="305">
        <f t="shared" si="123"/>
        <v>0.40238095238095228</v>
      </c>
      <c r="W170" s="305">
        <f t="shared" si="153"/>
        <v>0.40238095238095228</v>
      </c>
      <c r="X170" s="304">
        <f t="shared" si="154"/>
        <v>0.40238095238095228</v>
      </c>
      <c r="Z170" s="304">
        <f t="shared" si="124"/>
        <v>0.40238095238095228</v>
      </c>
      <c r="AA170" s="305">
        <f t="shared" si="125"/>
        <v>0.40238095238095228</v>
      </c>
      <c r="AB170" s="304">
        <f t="shared" si="126"/>
        <v>1.3302127626275482</v>
      </c>
      <c r="AC170" s="304" t="str">
        <f t="shared" si="155"/>
        <v/>
      </c>
      <c r="AD170" s="306">
        <f t="shared" si="127"/>
        <v>70.22455491621065</v>
      </c>
      <c r="AE170" s="307">
        <f t="shared" si="156"/>
        <v>1.3302127626275482</v>
      </c>
      <c r="AF170" s="308">
        <f t="shared" si="128"/>
        <v>70.22455491621065</v>
      </c>
      <c r="AG170" s="306">
        <f t="shared" si="157"/>
        <v>184.49408486135238</v>
      </c>
      <c r="AH170" s="306">
        <f t="shared" si="129"/>
        <v>0</v>
      </c>
      <c r="AI170" s="306">
        <f t="shared" si="158"/>
        <v>0</v>
      </c>
      <c r="AJ170" s="306">
        <f t="shared" si="159"/>
        <v>0</v>
      </c>
      <c r="AK170" s="306">
        <f t="shared" si="130"/>
        <v>0</v>
      </c>
      <c r="AL170" s="306">
        <f t="shared" si="160"/>
        <v>0</v>
      </c>
      <c r="AM170" s="306">
        <f t="shared" si="131"/>
        <v>0</v>
      </c>
      <c r="AN170" s="304">
        <f>KcSplint!$N199</f>
        <v>0.64550824797261253</v>
      </c>
      <c r="AO170" s="304">
        <f t="shared" si="132"/>
        <v>0.86858650187898878</v>
      </c>
      <c r="AP170" s="304">
        <f t="shared" si="161"/>
        <v>0.86858650187898878</v>
      </c>
      <c r="AQ170" s="305">
        <f t="shared" si="162"/>
        <v>0.86858650187898878</v>
      </c>
      <c r="AR170" s="304">
        <f t="shared" si="163"/>
        <v>2.8714203378880958</v>
      </c>
      <c r="AS170" s="306">
        <f t="shared" si="133"/>
        <v>80.985515598372515</v>
      </c>
      <c r="AT170" s="307">
        <f t="shared" si="164"/>
        <v>2.8714203378880958</v>
      </c>
      <c r="AU170" s="307">
        <f t="shared" si="165"/>
        <v>80.985515598372515</v>
      </c>
      <c r="AV170" s="304">
        <f t="shared" si="134"/>
        <v>3.3058542029797064</v>
      </c>
      <c r="AW170" s="309">
        <f t="shared" si="135"/>
        <v>44.897997510728054</v>
      </c>
      <c r="AX170" s="306">
        <f>IF(ISERROR(Weather!M154),#N/A,Weather!M154)</f>
        <v>0</v>
      </c>
      <c r="AY170" s="310">
        <f t="shared" si="136"/>
        <v>16</v>
      </c>
      <c r="AZ170" s="309">
        <f t="shared" si="137"/>
        <v>0.38266380828212304</v>
      </c>
      <c r="BA170" s="309">
        <f t="shared" si="138"/>
        <v>184.49408486135238</v>
      </c>
      <c r="BB170" s="311">
        <f>Irrig!H172</f>
        <v>0</v>
      </c>
      <c r="BC170" s="310">
        <f t="shared" si="139"/>
        <v>45</v>
      </c>
      <c r="BD170" s="309">
        <f t="shared" si="140"/>
        <v>0.18455234340910123</v>
      </c>
      <c r="BE170" s="309">
        <f t="shared" si="141"/>
        <v>0.18455234340910123</v>
      </c>
      <c r="BF170" s="306">
        <f>DailyMet!H153</f>
        <v>19.75</v>
      </c>
      <c r="BG170" s="306">
        <f>DailyMet!I153</f>
        <v>14.7</v>
      </c>
      <c r="BH170" s="306">
        <f t="shared" si="142"/>
        <v>19.75</v>
      </c>
      <c r="BI170" s="306">
        <f t="shared" si="143"/>
        <v>14.7</v>
      </c>
      <c r="BJ170" s="306">
        <f t="shared" si="144"/>
        <v>7.2250000000000014</v>
      </c>
      <c r="BK170" s="306">
        <f t="shared" si="113"/>
        <v>164.38499999999999</v>
      </c>
      <c r="BL170" s="304">
        <f t="shared" si="145"/>
        <v>0</v>
      </c>
      <c r="BM170" s="304">
        <f t="shared" si="146"/>
        <v>7.2250000000000014</v>
      </c>
      <c r="BN170" s="304">
        <f t="shared" si="167"/>
        <v>7.2250000000000014</v>
      </c>
      <c r="BO170" s="306">
        <f t="shared" si="168"/>
        <v>148.91423607665547</v>
      </c>
      <c r="BP170" s="306"/>
    </row>
    <row r="171" spans="1:68">
      <c r="A171" s="299">
        <f t="shared" si="114"/>
        <v>2</v>
      </c>
      <c r="B171" s="300">
        <f t="shared" si="115"/>
        <v>38136</v>
      </c>
      <c r="C171" s="301" t="e">
        <f t="shared" si="147"/>
        <v>#N/A</v>
      </c>
      <c r="D171" s="301" t="e">
        <f t="shared" si="116"/>
        <v>#N/A</v>
      </c>
      <c r="E171" s="299">
        <f t="shared" si="117"/>
        <v>150</v>
      </c>
      <c r="F171" s="396">
        <f>Weather!M155</f>
        <v>0.2</v>
      </c>
      <c r="G171" s="301">
        <f>IF(Weather!C155="","",Weather!C155)</f>
        <v>3.5583226527602165</v>
      </c>
      <c r="H171" s="301">
        <f>IF(Weather!D155="","",Weather!D155)</f>
        <v>4.038093828748214</v>
      </c>
      <c r="I171" s="502">
        <f>IF(Weather!E155="","",Weather!E155)</f>
        <v>4.038093828748214</v>
      </c>
      <c r="J171" s="397">
        <f>IF(RnSplint!N199&lt;0,0,RnSplint!N199)</f>
        <v>1.9110311321772659</v>
      </c>
      <c r="K171" s="302">
        <f t="shared" si="148"/>
        <v>0.42261904761904751</v>
      </c>
      <c r="L171" s="303">
        <f t="shared" si="149"/>
        <v>38136</v>
      </c>
      <c r="M171" s="346" t="str">
        <f t="shared" si="118"/>
        <v/>
      </c>
      <c r="N171" s="304">
        <f t="shared" si="150"/>
        <v>0.42261904761904751</v>
      </c>
      <c r="O171" s="304">
        <f t="shared" si="151"/>
        <v>0</v>
      </c>
      <c r="P171" s="304">
        <f t="shared" si="119"/>
        <v>0.42261904761904751</v>
      </c>
      <c r="Q171" s="304">
        <f t="shared" si="120"/>
        <v>0.36603094165114475</v>
      </c>
      <c r="R171" s="304">
        <f t="shared" si="121"/>
        <v>0.42261904761904751</v>
      </c>
      <c r="S171" s="305">
        <f t="shared" si="152"/>
        <v>0.42261904761904751</v>
      </c>
      <c r="T171" s="304">
        <f t="shared" si="122"/>
        <v>0.18250198635447762</v>
      </c>
      <c r="U171" s="304">
        <f t="shared" si="166"/>
        <v>0.42261904761904751</v>
      </c>
      <c r="V171" s="305">
        <f t="shared" si="123"/>
        <v>0.42261904761904751</v>
      </c>
      <c r="W171" s="305">
        <f t="shared" si="153"/>
        <v>0.42261904761904751</v>
      </c>
      <c r="X171" s="304">
        <f t="shared" si="154"/>
        <v>0.42261904761904751</v>
      </c>
      <c r="Z171" s="304">
        <f t="shared" si="124"/>
        <v>0.42261904761904751</v>
      </c>
      <c r="AA171" s="305">
        <f t="shared" si="125"/>
        <v>0.42261904761904751</v>
      </c>
      <c r="AB171" s="304">
        <f t="shared" si="126"/>
        <v>1.7065753681019233</v>
      </c>
      <c r="AC171" s="304" t="str">
        <f t="shared" si="155"/>
        <v/>
      </c>
      <c r="AD171" s="306">
        <f t="shared" si="127"/>
        <v>71.931130284312573</v>
      </c>
      <c r="AE171" s="307">
        <f t="shared" si="156"/>
        <v>1.7065753681019233</v>
      </c>
      <c r="AF171" s="308">
        <f t="shared" si="128"/>
        <v>71.931130284312573</v>
      </c>
      <c r="AG171" s="306">
        <f t="shared" si="157"/>
        <v>188.53217869010058</v>
      </c>
      <c r="AH171" s="306">
        <f t="shared" si="129"/>
        <v>0</v>
      </c>
      <c r="AI171" s="306">
        <f t="shared" si="158"/>
        <v>0</v>
      </c>
      <c r="AJ171" s="306">
        <f t="shared" si="159"/>
        <v>0</v>
      </c>
      <c r="AK171" s="306">
        <f t="shared" si="130"/>
        <v>0</v>
      </c>
      <c r="AL171" s="306">
        <f t="shared" si="160"/>
        <v>0</v>
      </c>
      <c r="AM171" s="306">
        <f t="shared" si="131"/>
        <v>0</v>
      </c>
      <c r="AN171" s="304">
        <f>KcSplint!$N200</f>
        <v>0.6492796785765601</v>
      </c>
      <c r="AO171" s="304">
        <f t="shared" si="132"/>
        <v>0.874415530665273</v>
      </c>
      <c r="AP171" s="304">
        <f t="shared" si="161"/>
        <v>0.874415530665273</v>
      </c>
      <c r="AQ171" s="305">
        <f t="shared" si="162"/>
        <v>0.874415530665273</v>
      </c>
      <c r="AR171" s="304">
        <f t="shared" si="163"/>
        <v>3.5309719581410337</v>
      </c>
      <c r="AS171" s="306">
        <f t="shared" si="133"/>
        <v>84.516487556513553</v>
      </c>
      <c r="AT171" s="307">
        <f t="shared" si="164"/>
        <v>3.5309719581410337</v>
      </c>
      <c r="AU171" s="307">
        <f t="shared" si="165"/>
        <v>84.516487556513553</v>
      </c>
      <c r="AV171" s="304">
        <f t="shared" si="134"/>
        <v>4.038093828748214</v>
      </c>
      <c r="AW171" s="309">
        <f t="shared" si="135"/>
        <v>48.93609133947627</v>
      </c>
      <c r="AX171" s="306">
        <f>IF(ISERROR(Weather!M155),#N/A,Weather!M155)</f>
        <v>0.2</v>
      </c>
      <c r="AY171" s="310">
        <f t="shared" si="136"/>
        <v>17</v>
      </c>
      <c r="AZ171" s="309">
        <f t="shared" si="137"/>
        <v>0.36603094165114475</v>
      </c>
      <c r="BA171" s="309">
        <f t="shared" si="138"/>
        <v>188.53217869010058</v>
      </c>
      <c r="BB171" s="311">
        <f>Irrig!H173</f>
        <v>0</v>
      </c>
      <c r="BC171" s="310">
        <f t="shared" si="139"/>
        <v>46</v>
      </c>
      <c r="BD171" s="309">
        <f t="shared" si="140"/>
        <v>0.18250198635447762</v>
      </c>
      <c r="BE171" s="309">
        <f t="shared" si="141"/>
        <v>0.18250198635447762</v>
      </c>
      <c r="BF171" s="306">
        <f>DailyMet!H154</f>
        <v>21.45</v>
      </c>
      <c r="BG171" s="306">
        <f>DailyMet!I154</f>
        <v>13.5</v>
      </c>
      <c r="BH171" s="306">
        <f t="shared" si="142"/>
        <v>21.45</v>
      </c>
      <c r="BI171" s="306">
        <f t="shared" si="143"/>
        <v>13.5</v>
      </c>
      <c r="BJ171" s="306">
        <f t="shared" si="144"/>
        <v>7.4750000000000014</v>
      </c>
      <c r="BK171" s="306">
        <f t="shared" si="113"/>
        <v>171.85999999999999</v>
      </c>
      <c r="BL171" s="304">
        <f t="shared" si="145"/>
        <v>0</v>
      </c>
      <c r="BM171" s="304">
        <f t="shared" si="146"/>
        <v>7.4750000000000014</v>
      </c>
      <c r="BN171" s="304">
        <f t="shared" si="167"/>
        <v>7.4750000000000014</v>
      </c>
      <c r="BO171" s="306">
        <f t="shared" si="168"/>
        <v>156.38923607665546</v>
      </c>
      <c r="BP171" s="306"/>
    </row>
    <row r="172" spans="1:68">
      <c r="A172" s="299">
        <f t="shared" si="114"/>
        <v>2</v>
      </c>
      <c r="B172" s="300">
        <f t="shared" si="115"/>
        <v>38137</v>
      </c>
      <c r="C172" s="301" t="e">
        <f t="shared" si="147"/>
        <v>#N/A</v>
      </c>
      <c r="D172" s="301" t="e">
        <f t="shared" si="116"/>
        <v>#N/A</v>
      </c>
      <c r="E172" s="299">
        <f t="shared" si="117"/>
        <v>151</v>
      </c>
      <c r="F172" s="396">
        <f>Weather!M156</f>
        <v>0</v>
      </c>
      <c r="G172" s="301">
        <f>IF(Weather!C156="","",Weather!C156)</f>
        <v>3.6057729566801524</v>
      </c>
      <c r="H172" s="301">
        <f>IF(Weather!D156="","",Weather!D156)</f>
        <v>3.6071849907178821</v>
      </c>
      <c r="I172" s="502">
        <f>IF(Weather!E156="","",Weather!E156)</f>
        <v>3.6071849907178821</v>
      </c>
      <c r="J172" s="397">
        <f>IF(RnSplint!N200&lt;0,0,RnSplint!N200)</f>
        <v>1.7123977390221734</v>
      </c>
      <c r="K172" s="302">
        <f t="shared" si="148"/>
        <v>0.44285714285714273</v>
      </c>
      <c r="L172" s="303">
        <f t="shared" si="149"/>
        <v>38137</v>
      </c>
      <c r="M172" s="346" t="str">
        <f t="shared" si="118"/>
        <v/>
      </c>
      <c r="N172" s="304">
        <f t="shared" si="150"/>
        <v>0.44285714285714273</v>
      </c>
      <c r="O172" s="304">
        <f t="shared" si="151"/>
        <v>0</v>
      </c>
      <c r="P172" s="304">
        <f t="shared" si="119"/>
        <v>0.44285714285714273</v>
      </c>
      <c r="Q172" s="304">
        <f t="shared" si="120"/>
        <v>0.3528414981278617</v>
      </c>
      <c r="R172" s="304">
        <f t="shared" si="121"/>
        <v>0.44285714285714273</v>
      </c>
      <c r="S172" s="305">
        <f t="shared" si="152"/>
        <v>0.44285714285714273</v>
      </c>
      <c r="T172" s="304">
        <f t="shared" si="122"/>
        <v>0.18072593113682817</v>
      </c>
      <c r="U172" s="304">
        <f t="shared" si="166"/>
        <v>0.44285714285714273</v>
      </c>
      <c r="V172" s="305">
        <f t="shared" si="123"/>
        <v>0.44285714285714273</v>
      </c>
      <c r="W172" s="305">
        <f t="shared" si="153"/>
        <v>0.44285714285714273</v>
      </c>
      <c r="X172" s="304">
        <f t="shared" si="154"/>
        <v>0.44285714285714273</v>
      </c>
      <c r="Y172" s="304">
        <f>AVERAGE(X142:X172)</f>
        <v>0.69387559010896238</v>
      </c>
      <c r="Z172" s="304">
        <f t="shared" si="124"/>
        <v>0.44285714285714273</v>
      </c>
      <c r="AA172" s="305">
        <f t="shared" si="125"/>
        <v>0.44285714285714273</v>
      </c>
      <c r="AB172" s="304">
        <f t="shared" si="126"/>
        <v>1.5974676387464901</v>
      </c>
      <c r="AC172" s="304" t="str">
        <f t="shared" si="155"/>
        <v/>
      </c>
      <c r="AD172" s="306">
        <f t="shared" si="127"/>
        <v>73.528597923059067</v>
      </c>
      <c r="AE172" s="307">
        <f t="shared" si="156"/>
        <v>1.5974676387464901</v>
      </c>
      <c r="AF172" s="308">
        <f t="shared" si="128"/>
        <v>73.528597923059067</v>
      </c>
      <c r="AG172" s="306">
        <f t="shared" si="157"/>
        <v>192.13936368081846</v>
      </c>
      <c r="AH172" s="306">
        <f t="shared" si="129"/>
        <v>0</v>
      </c>
      <c r="AI172" s="306">
        <f t="shared" si="158"/>
        <v>0</v>
      </c>
      <c r="AJ172" s="306">
        <f t="shared" si="159"/>
        <v>0</v>
      </c>
      <c r="AK172" s="306">
        <f t="shared" si="130"/>
        <v>0</v>
      </c>
      <c r="AL172" s="306">
        <f t="shared" si="160"/>
        <v>0</v>
      </c>
      <c r="AM172" s="306">
        <f t="shared" si="131"/>
        <v>0</v>
      </c>
      <c r="AN172" s="304">
        <f>KcSplint!$N201</f>
        <v>0.65369991744377232</v>
      </c>
      <c r="AO172" s="304">
        <f t="shared" si="132"/>
        <v>0.88024455945155722</v>
      </c>
      <c r="AP172" s="304">
        <f t="shared" si="161"/>
        <v>0.88024455945155722</v>
      </c>
      <c r="AQ172" s="305">
        <f t="shared" si="162"/>
        <v>0.88024455945155722</v>
      </c>
      <c r="AR172" s="304">
        <f t="shared" si="163"/>
        <v>3.1752049630147319</v>
      </c>
      <c r="AS172" s="306">
        <f t="shared" si="133"/>
        <v>87.691692519528289</v>
      </c>
      <c r="AT172" s="307">
        <f t="shared" si="164"/>
        <v>3.1752049630147319</v>
      </c>
      <c r="AU172" s="307">
        <f t="shared" si="165"/>
        <v>87.691692519528289</v>
      </c>
      <c r="AV172" s="304">
        <f t="shared" si="134"/>
        <v>3.6071849907178821</v>
      </c>
      <c r="AW172" s="309">
        <f t="shared" si="135"/>
        <v>52.543276330194153</v>
      </c>
      <c r="AX172" s="306">
        <f>IF(ISERROR(Weather!M156),#N/A,Weather!M156)</f>
        <v>0</v>
      </c>
      <c r="AY172" s="310">
        <f t="shared" si="136"/>
        <v>18</v>
      </c>
      <c r="AZ172" s="309">
        <f t="shared" si="137"/>
        <v>0.3528414981278617</v>
      </c>
      <c r="BA172" s="309">
        <f t="shared" si="138"/>
        <v>192.13936368081846</v>
      </c>
      <c r="BB172" s="311">
        <f>Irrig!H174</f>
        <v>0</v>
      </c>
      <c r="BC172" s="310">
        <f t="shared" si="139"/>
        <v>47</v>
      </c>
      <c r="BD172" s="309">
        <f t="shared" si="140"/>
        <v>0.18072593113682817</v>
      </c>
      <c r="BE172" s="309">
        <f t="shared" si="141"/>
        <v>0.18072593113682817</v>
      </c>
      <c r="BF172" s="306">
        <f>DailyMet!H155</f>
        <v>23.09</v>
      </c>
      <c r="BG172" s="306">
        <f>DailyMet!I155</f>
        <v>15.6</v>
      </c>
      <c r="BH172" s="306">
        <f t="shared" si="142"/>
        <v>23.09</v>
      </c>
      <c r="BI172" s="306">
        <f t="shared" si="143"/>
        <v>15.6</v>
      </c>
      <c r="BJ172" s="306">
        <f t="shared" si="144"/>
        <v>9.3449999999999989</v>
      </c>
      <c r="BK172" s="306">
        <f t="shared" si="113"/>
        <v>181.20499999999998</v>
      </c>
      <c r="BL172" s="304">
        <f t="shared" si="145"/>
        <v>0</v>
      </c>
      <c r="BM172" s="304">
        <f t="shared" si="146"/>
        <v>9.3449999999999989</v>
      </c>
      <c r="BN172" s="304">
        <f t="shared" si="167"/>
        <v>9.3449999999999989</v>
      </c>
      <c r="BO172" s="306">
        <f t="shared" si="168"/>
        <v>165.73423607665546</v>
      </c>
      <c r="BP172" s="306"/>
    </row>
    <row r="173" spans="1:68">
      <c r="A173" s="299">
        <f t="shared" si="114"/>
        <v>2</v>
      </c>
      <c r="B173" s="300">
        <f t="shared" si="115"/>
        <v>38138</v>
      </c>
      <c r="C173" s="301" t="e">
        <f t="shared" si="147"/>
        <v>#N/A</v>
      </c>
      <c r="D173" s="301" t="e">
        <f t="shared" si="116"/>
        <v>#N/A</v>
      </c>
      <c r="E173" s="299">
        <f t="shared" si="117"/>
        <v>152</v>
      </c>
      <c r="F173" s="396">
        <f>Weather!M157</f>
        <v>0</v>
      </c>
      <c r="G173" s="301">
        <f>IF(Weather!C157="","",Weather!C157)</f>
        <v>3.6522383452273299</v>
      </c>
      <c r="H173" s="301">
        <f>IF(Weather!D157="","",Weather!D157)</f>
        <v>3.9641089845261237</v>
      </c>
      <c r="I173" s="502">
        <f>IF(Weather!E157="","",Weather!E157)</f>
        <v>3.9641089845261237</v>
      </c>
      <c r="J173" s="397">
        <f>IF(RnSplint!N201&lt;0,0,RnSplint!N201)</f>
        <v>1.5533121622189077</v>
      </c>
      <c r="K173" s="302">
        <f t="shared" si="148"/>
        <v>0.46309523809523795</v>
      </c>
      <c r="L173" s="303">
        <f t="shared" si="149"/>
        <v>38138</v>
      </c>
      <c r="M173" s="346">
        <f t="shared" si="118"/>
        <v>5</v>
      </c>
      <c r="N173" s="304">
        <f t="shared" si="150"/>
        <v>0.46309523809523795</v>
      </c>
      <c r="O173" s="304">
        <f t="shared" si="151"/>
        <v>0</v>
      </c>
      <c r="P173" s="304">
        <f t="shared" si="119"/>
        <v>0.46309523809523795</v>
      </c>
      <c r="Q173" s="304">
        <f t="shared" si="120"/>
        <v>0.33984447756457165</v>
      </c>
      <c r="R173" s="304">
        <f t="shared" si="121"/>
        <v>0.46309523809523795</v>
      </c>
      <c r="S173" s="305">
        <f t="shared" si="152"/>
        <v>0.46309523809523795</v>
      </c>
      <c r="T173" s="304">
        <f t="shared" si="122"/>
        <v>0.17883153316711814</v>
      </c>
      <c r="U173" s="304">
        <f t="shared" si="166"/>
        <v>0.46309523809523795</v>
      </c>
      <c r="V173" s="305">
        <f t="shared" si="123"/>
        <v>0.46309523809523795</v>
      </c>
      <c r="W173" s="305">
        <f t="shared" si="153"/>
        <v>0.46309523809523795</v>
      </c>
      <c r="X173" s="304">
        <f t="shared" si="154"/>
        <v>0.46309523809523795</v>
      </c>
      <c r="Y173" s="304">
        <f>AVERAGE(X143:X173)</f>
        <v>0.67010446875719587</v>
      </c>
      <c r="Z173" s="304">
        <f t="shared" si="124"/>
        <v>0.46309523809523795</v>
      </c>
      <c r="AA173" s="305">
        <f t="shared" si="125"/>
        <v>0.46309523809523795</v>
      </c>
      <c r="AB173" s="304">
        <f t="shared" si="126"/>
        <v>1.8357599940245972</v>
      </c>
      <c r="AC173" s="304" t="str">
        <f t="shared" si="155"/>
        <v/>
      </c>
      <c r="AD173" s="306">
        <f t="shared" si="127"/>
        <v>75.364357917083666</v>
      </c>
      <c r="AE173" s="307">
        <f t="shared" si="156"/>
        <v>1.8357599940245972</v>
      </c>
      <c r="AF173" s="308">
        <f t="shared" si="128"/>
        <v>75.364357917083666</v>
      </c>
      <c r="AG173" s="306">
        <f t="shared" si="157"/>
        <v>196.10347266534458</v>
      </c>
      <c r="AH173" s="306">
        <f t="shared" si="129"/>
        <v>0</v>
      </c>
      <c r="AI173" s="306">
        <f t="shared" si="158"/>
        <v>0</v>
      </c>
      <c r="AJ173" s="306">
        <f t="shared" si="159"/>
        <v>0</v>
      </c>
      <c r="AK173" s="306">
        <f t="shared" si="130"/>
        <v>0</v>
      </c>
      <c r="AL173" s="306">
        <f t="shared" si="160"/>
        <v>0</v>
      </c>
      <c r="AM173" s="306">
        <f t="shared" si="131"/>
        <v>0</v>
      </c>
      <c r="AN173" s="304">
        <f>KcSplint!$N202</f>
        <v>0.65873691343869156</v>
      </c>
      <c r="AO173" s="304">
        <f t="shared" si="132"/>
        <v>0.88607358823784144</v>
      </c>
      <c r="AP173" s="304">
        <f t="shared" si="161"/>
        <v>0.88607358823784144</v>
      </c>
      <c r="AQ173" s="305">
        <f t="shared" si="162"/>
        <v>0.88607358823784144</v>
      </c>
      <c r="AR173" s="304">
        <f t="shared" si="163"/>
        <v>3.5124922720849283</v>
      </c>
      <c r="AS173" s="306">
        <f t="shared" si="133"/>
        <v>91.204184791613216</v>
      </c>
      <c r="AT173" s="307">
        <f t="shared" si="164"/>
        <v>3.5124922720849283</v>
      </c>
      <c r="AU173" s="307">
        <f t="shared" si="165"/>
        <v>91.204184791613216</v>
      </c>
      <c r="AV173" s="304">
        <f t="shared" si="134"/>
        <v>3.9641089845261237</v>
      </c>
      <c r="AW173" s="309">
        <f t="shared" si="135"/>
        <v>56.507385314720274</v>
      </c>
      <c r="AX173" s="306">
        <f>IF(ISERROR(Weather!M157),#N/A,Weather!M157)</f>
        <v>0</v>
      </c>
      <c r="AY173" s="310">
        <f t="shared" si="136"/>
        <v>19</v>
      </c>
      <c r="AZ173" s="309">
        <f t="shared" si="137"/>
        <v>0.33984447756457165</v>
      </c>
      <c r="BA173" s="309">
        <f t="shared" si="138"/>
        <v>196.10347266534458</v>
      </c>
      <c r="BB173" s="311">
        <f>Irrig!H175</f>
        <v>0</v>
      </c>
      <c r="BC173" s="310">
        <f t="shared" si="139"/>
        <v>48</v>
      </c>
      <c r="BD173" s="309">
        <f t="shared" si="140"/>
        <v>0.17883153316711814</v>
      </c>
      <c r="BE173" s="309">
        <f t="shared" si="141"/>
        <v>0.17883153316711814</v>
      </c>
      <c r="BF173" s="306">
        <f>DailyMet!H156</f>
        <v>21.58</v>
      </c>
      <c r="BG173" s="306">
        <f>DailyMet!I156</f>
        <v>15.3</v>
      </c>
      <c r="BH173" s="306">
        <f t="shared" si="142"/>
        <v>21.58</v>
      </c>
      <c r="BI173" s="306">
        <f t="shared" si="143"/>
        <v>15.3</v>
      </c>
      <c r="BJ173" s="306">
        <f t="shared" si="144"/>
        <v>8.4399999999999977</v>
      </c>
      <c r="BK173" s="306">
        <f t="shared" si="113"/>
        <v>189.64499999999998</v>
      </c>
      <c r="BL173" s="304">
        <f t="shared" si="145"/>
        <v>0</v>
      </c>
      <c r="BM173" s="304">
        <f t="shared" si="146"/>
        <v>8.4399999999999977</v>
      </c>
      <c r="BN173" s="304">
        <f t="shared" si="167"/>
        <v>8.4399999999999977</v>
      </c>
      <c r="BO173" s="306">
        <f t="shared" si="168"/>
        <v>174.17423607665546</v>
      </c>
      <c r="BP173" s="306"/>
    </row>
    <row r="174" spans="1:68">
      <c r="A174" s="299">
        <f t="shared" si="114"/>
        <v>2</v>
      </c>
      <c r="B174" s="300">
        <f t="shared" si="115"/>
        <v>38139</v>
      </c>
      <c r="C174" s="301" t="e">
        <f t="shared" si="147"/>
        <v>#N/A</v>
      </c>
      <c r="D174" s="301" t="e">
        <f t="shared" si="116"/>
        <v>#N/A</v>
      </c>
      <c r="E174" s="299">
        <f t="shared" si="117"/>
        <v>153</v>
      </c>
      <c r="F174" s="396">
        <f>Weather!M158</f>
        <v>0</v>
      </c>
      <c r="G174" s="301">
        <f>IF(Weather!C158="","",Weather!C158)</f>
        <v>3.6976841507266416</v>
      </c>
      <c r="H174" s="301">
        <f>IF(Weather!D158="","",Weather!D158)</f>
        <v>4.342203995140836</v>
      </c>
      <c r="I174" s="502">
        <f>IF(Weather!E158="","",Weather!E158)</f>
        <v>4.342203995140836</v>
      </c>
      <c r="J174" s="397">
        <f>IF(RnSplint!N202&lt;0,0,RnSplint!N202)</f>
        <v>1.4345263062316658</v>
      </c>
      <c r="K174" s="302">
        <f t="shared" si="148"/>
        <v>0.48333333333333317</v>
      </c>
      <c r="L174" s="303">
        <f t="shared" si="149"/>
        <v>38139</v>
      </c>
      <c r="M174" s="346" t="str">
        <f t="shared" si="118"/>
        <v/>
      </c>
      <c r="N174" s="304">
        <f t="shared" si="150"/>
        <v>0.48333333333333317</v>
      </c>
      <c r="O174" s="304">
        <f t="shared" si="151"/>
        <v>0</v>
      </c>
      <c r="P174" s="304">
        <f t="shared" si="119"/>
        <v>0.48333333333333317</v>
      </c>
      <c r="Q174" s="304">
        <f t="shared" si="120"/>
        <v>0.32710678946778371</v>
      </c>
      <c r="R174" s="304">
        <f t="shared" si="121"/>
        <v>0.48333333333333317</v>
      </c>
      <c r="S174" s="305">
        <f t="shared" si="152"/>
        <v>0.48333333333333317</v>
      </c>
      <c r="T174" s="304">
        <f t="shared" si="122"/>
        <v>0.17682196509032347</v>
      </c>
      <c r="U174" s="304">
        <f t="shared" si="166"/>
        <v>0.48333333333333317</v>
      </c>
      <c r="V174" s="305">
        <f t="shared" si="123"/>
        <v>0.48333333333333317</v>
      </c>
      <c r="W174" s="305">
        <f t="shared" si="153"/>
        <v>0.48333333333333317</v>
      </c>
      <c r="X174" s="304">
        <f t="shared" si="154"/>
        <v>0.48333333333333317</v>
      </c>
      <c r="Z174" s="304">
        <f t="shared" si="124"/>
        <v>0.48333333333333317</v>
      </c>
      <c r="AA174" s="305">
        <f t="shared" si="125"/>
        <v>0.48333333333333317</v>
      </c>
      <c r="AB174" s="304">
        <f t="shared" si="126"/>
        <v>2.0987319309847368</v>
      </c>
      <c r="AC174" s="304" t="str">
        <f t="shared" si="155"/>
        <v/>
      </c>
      <c r="AD174" s="306">
        <f t="shared" si="127"/>
        <v>77.463089848068407</v>
      </c>
      <c r="AE174" s="307">
        <f t="shared" si="156"/>
        <v>2.0987319309847368</v>
      </c>
      <c r="AF174" s="308">
        <f t="shared" si="128"/>
        <v>77.463089848068407</v>
      </c>
      <c r="AG174" s="306">
        <f t="shared" si="157"/>
        <v>200.44567666048542</v>
      </c>
      <c r="AH174" s="306">
        <f t="shared" si="129"/>
        <v>0</v>
      </c>
      <c r="AI174" s="306">
        <f t="shared" si="158"/>
        <v>0</v>
      </c>
      <c r="AJ174" s="306">
        <f t="shared" si="159"/>
        <v>0</v>
      </c>
      <c r="AK174" s="306">
        <f t="shared" si="130"/>
        <v>0</v>
      </c>
      <c r="AL174" s="306">
        <f t="shared" si="160"/>
        <v>0</v>
      </c>
      <c r="AM174" s="306">
        <f t="shared" si="131"/>
        <v>0</v>
      </c>
      <c r="AN174" s="304">
        <f>KcSplint!$N203</f>
        <v>0.66435861542575936</v>
      </c>
      <c r="AO174" s="304">
        <f t="shared" si="132"/>
        <v>0.89190261702412565</v>
      </c>
      <c r="AP174" s="304">
        <f t="shared" si="161"/>
        <v>0.89190261702412565</v>
      </c>
      <c r="AQ174" s="305">
        <f t="shared" si="162"/>
        <v>0.89190261702412565</v>
      </c>
      <c r="AR174" s="304">
        <f t="shared" si="163"/>
        <v>3.8728231069187253</v>
      </c>
      <c r="AS174" s="306">
        <f t="shared" si="133"/>
        <v>95.077007898531946</v>
      </c>
      <c r="AT174" s="307">
        <f t="shared" si="164"/>
        <v>3.8728231069187253</v>
      </c>
      <c r="AU174" s="307">
        <f t="shared" si="165"/>
        <v>95.077007898531946</v>
      </c>
      <c r="AV174" s="304">
        <f t="shared" si="134"/>
        <v>4.342203995140836</v>
      </c>
      <c r="AW174" s="309">
        <f t="shared" si="135"/>
        <v>60.849589309861109</v>
      </c>
      <c r="AX174" s="306">
        <f>IF(ISERROR(Weather!M158),#N/A,Weather!M158)</f>
        <v>0</v>
      </c>
      <c r="AY174" s="310">
        <f t="shared" si="136"/>
        <v>20</v>
      </c>
      <c r="AZ174" s="309">
        <f t="shared" si="137"/>
        <v>0.32710678946778371</v>
      </c>
      <c r="BA174" s="309">
        <f t="shared" si="138"/>
        <v>200.44567666048542</v>
      </c>
      <c r="BB174" s="311">
        <f>Irrig!H176</f>
        <v>0</v>
      </c>
      <c r="BC174" s="310">
        <f t="shared" si="139"/>
        <v>49</v>
      </c>
      <c r="BD174" s="309">
        <f t="shared" si="140"/>
        <v>0.17682196509032347</v>
      </c>
      <c r="BE174" s="309">
        <f t="shared" si="141"/>
        <v>0.17682196509032347</v>
      </c>
      <c r="BF174" s="306">
        <f>DailyMet!H157</f>
        <v>22.92</v>
      </c>
      <c r="BG174" s="306">
        <f>DailyMet!I157</f>
        <v>17.5</v>
      </c>
      <c r="BH174" s="306">
        <f t="shared" si="142"/>
        <v>22.92</v>
      </c>
      <c r="BI174" s="306">
        <f t="shared" si="143"/>
        <v>17.5</v>
      </c>
      <c r="BJ174" s="306">
        <f t="shared" si="144"/>
        <v>10.210000000000001</v>
      </c>
      <c r="BK174" s="306">
        <f t="shared" si="113"/>
        <v>199.85499999999999</v>
      </c>
      <c r="BL174" s="304">
        <f t="shared" si="145"/>
        <v>0</v>
      </c>
      <c r="BM174" s="304">
        <f t="shared" si="146"/>
        <v>10.210000000000001</v>
      </c>
      <c r="BN174" s="304">
        <f t="shared" si="167"/>
        <v>10.210000000000001</v>
      </c>
      <c r="BO174" s="306">
        <f t="shared" si="168"/>
        <v>184.38423607665547</v>
      </c>
      <c r="BP174" s="306"/>
    </row>
    <row r="175" spans="1:68">
      <c r="A175" s="299">
        <f t="shared" si="114"/>
        <v>2</v>
      </c>
      <c r="B175" s="300">
        <f t="shared" si="115"/>
        <v>38140</v>
      </c>
      <c r="C175" s="301" t="e">
        <f t="shared" si="147"/>
        <v>#N/A</v>
      </c>
      <c r="D175" s="301" t="e">
        <f t="shared" si="116"/>
        <v>#N/A</v>
      </c>
      <c r="E175" s="299">
        <f t="shared" si="117"/>
        <v>154</v>
      </c>
      <c r="F175" s="396">
        <f>Weather!M159</f>
        <v>0</v>
      </c>
      <c r="G175" s="301">
        <f>IF(Weather!C159="","",Weather!C159)</f>
        <v>3.7420757055029803</v>
      </c>
      <c r="H175" s="301">
        <f>IF(Weather!D159="","",Weather!D159)</f>
        <v>3.9718550288769805</v>
      </c>
      <c r="I175" s="502">
        <f>IF(Weather!E159="","",Weather!E159)</f>
        <v>3.9718550288769805</v>
      </c>
      <c r="J175" s="397">
        <f>IF(RnSplint!N203&lt;0,0,RnSplint!N203)</f>
        <v>1.3567920755246465</v>
      </c>
      <c r="K175" s="302">
        <f t="shared" si="148"/>
        <v>0.50357142857142845</v>
      </c>
      <c r="L175" s="303">
        <f t="shared" si="149"/>
        <v>38140</v>
      </c>
      <c r="M175" s="346" t="str">
        <f t="shared" si="118"/>
        <v/>
      </c>
      <c r="N175" s="304">
        <f t="shared" si="150"/>
        <v>0.50357142857142845</v>
      </c>
      <c r="O175" s="304">
        <f t="shared" si="151"/>
        <v>0</v>
      </c>
      <c r="P175" s="304">
        <f t="shared" si="119"/>
        <v>0.50357142857142845</v>
      </c>
      <c r="Q175" s="304">
        <f t="shared" si="120"/>
        <v>0.31660637515065854</v>
      </c>
      <c r="R175" s="304">
        <f t="shared" si="121"/>
        <v>0.50357142857142845</v>
      </c>
      <c r="S175" s="305">
        <f t="shared" si="152"/>
        <v>0.50357142857142845</v>
      </c>
      <c r="T175" s="304">
        <f t="shared" si="122"/>
        <v>0.17504074230820127</v>
      </c>
      <c r="U175" s="304">
        <f t="shared" si="166"/>
        <v>0.50357142857142845</v>
      </c>
      <c r="V175" s="305">
        <f t="shared" si="123"/>
        <v>0.50357142857142845</v>
      </c>
      <c r="W175" s="305">
        <f t="shared" si="153"/>
        <v>0.50357142857142845</v>
      </c>
      <c r="X175" s="304">
        <f t="shared" si="154"/>
        <v>0.50357142857142845</v>
      </c>
      <c r="Z175" s="304">
        <f t="shared" si="124"/>
        <v>0.50357142857142845</v>
      </c>
      <c r="AA175" s="305">
        <f t="shared" si="125"/>
        <v>0.50357142857142845</v>
      </c>
      <c r="AB175" s="304">
        <f t="shared" si="126"/>
        <v>2.0001127109701931</v>
      </c>
      <c r="AC175" s="304" t="str">
        <f t="shared" si="155"/>
        <v/>
      </c>
      <c r="AD175" s="306">
        <f t="shared" si="127"/>
        <v>79.463202559038606</v>
      </c>
      <c r="AE175" s="307">
        <f t="shared" si="156"/>
        <v>2.0001127109701931</v>
      </c>
      <c r="AF175" s="308">
        <f t="shared" si="128"/>
        <v>79.463202559038606</v>
      </c>
      <c r="AG175" s="306">
        <f t="shared" si="157"/>
        <v>204.41753168936239</v>
      </c>
      <c r="AH175" s="306">
        <f t="shared" si="129"/>
        <v>0</v>
      </c>
      <c r="AI175" s="306">
        <f t="shared" si="158"/>
        <v>0</v>
      </c>
      <c r="AJ175" s="306">
        <f t="shared" si="159"/>
        <v>0</v>
      </c>
      <c r="AK175" s="306">
        <f t="shared" si="130"/>
        <v>0</v>
      </c>
      <c r="AL175" s="306">
        <f t="shared" si="160"/>
        <v>0</v>
      </c>
      <c r="AM175" s="306">
        <f t="shared" si="131"/>
        <v>0</v>
      </c>
      <c r="AN175" s="304">
        <f>KcSplint!$N204</f>
        <v>0.67053297226941833</v>
      </c>
      <c r="AO175" s="304">
        <f t="shared" si="132"/>
        <v>0.89773164581040987</v>
      </c>
      <c r="AP175" s="304">
        <f t="shared" si="161"/>
        <v>0.89773164581040987</v>
      </c>
      <c r="AQ175" s="305">
        <f t="shared" si="162"/>
        <v>0.89773164581040987</v>
      </c>
      <c r="AR175" s="304">
        <f t="shared" si="163"/>
        <v>3.5656599519940846</v>
      </c>
      <c r="AS175" s="306">
        <f t="shared" si="133"/>
        <v>98.642667850526024</v>
      </c>
      <c r="AT175" s="307">
        <f t="shared" si="164"/>
        <v>3.5656599519940846</v>
      </c>
      <c r="AU175" s="307">
        <f t="shared" si="165"/>
        <v>98.642667850526024</v>
      </c>
      <c r="AV175" s="304">
        <f t="shared" si="134"/>
        <v>3.9718550288769805</v>
      </c>
      <c r="AW175" s="309">
        <f t="shared" si="135"/>
        <v>64.82144433873809</v>
      </c>
      <c r="AX175" s="306">
        <f>IF(ISERROR(Weather!M159),#N/A,Weather!M159)</f>
        <v>0</v>
      </c>
      <c r="AY175" s="310">
        <f t="shared" si="136"/>
        <v>21</v>
      </c>
      <c r="AZ175" s="309">
        <f t="shared" si="137"/>
        <v>0.31660637515065854</v>
      </c>
      <c r="BA175" s="309">
        <f t="shared" si="138"/>
        <v>204.41753168936239</v>
      </c>
      <c r="BB175" s="311">
        <f>Irrig!H177</f>
        <v>0</v>
      </c>
      <c r="BC175" s="310">
        <f t="shared" si="139"/>
        <v>50</v>
      </c>
      <c r="BD175" s="309">
        <f t="shared" si="140"/>
        <v>0.17504074230820127</v>
      </c>
      <c r="BE175" s="309">
        <f t="shared" si="141"/>
        <v>0.17504074230820127</v>
      </c>
      <c r="BF175" s="306">
        <f>DailyMet!H158</f>
        <v>22.75</v>
      </c>
      <c r="BG175" s="306">
        <f>DailyMet!I158</f>
        <v>16.600000000000001</v>
      </c>
      <c r="BH175" s="306">
        <f t="shared" si="142"/>
        <v>22.75</v>
      </c>
      <c r="BI175" s="306">
        <f t="shared" si="143"/>
        <v>16.600000000000001</v>
      </c>
      <c r="BJ175" s="306">
        <f t="shared" si="144"/>
        <v>9.6750000000000007</v>
      </c>
      <c r="BK175" s="306">
        <f t="shared" si="113"/>
        <v>209.53</v>
      </c>
      <c r="BL175" s="304">
        <f t="shared" si="145"/>
        <v>0</v>
      </c>
      <c r="BM175" s="304">
        <f t="shared" si="146"/>
        <v>9.6750000000000007</v>
      </c>
      <c r="BN175" s="304">
        <f t="shared" si="167"/>
        <v>9.6750000000000007</v>
      </c>
      <c r="BO175" s="306">
        <f t="shared" si="168"/>
        <v>194.05923607665548</v>
      </c>
      <c r="BP175" s="306"/>
    </row>
    <row r="176" spans="1:68">
      <c r="A176" s="299">
        <f t="shared" si="114"/>
        <v>2</v>
      </c>
      <c r="B176" s="300">
        <f t="shared" si="115"/>
        <v>38141</v>
      </c>
      <c r="C176" s="301" t="e">
        <f t="shared" si="147"/>
        <v>#N/A</v>
      </c>
      <c r="D176" s="301" t="e">
        <f t="shared" si="116"/>
        <v>#N/A</v>
      </c>
      <c r="E176" s="299">
        <f t="shared" si="117"/>
        <v>155</v>
      </c>
      <c r="F176" s="396">
        <f>Weather!M160</f>
        <v>0</v>
      </c>
      <c r="G176" s="301">
        <f>IF(Weather!C160="","",Weather!C160)</f>
        <v>3.7853783418812403</v>
      </c>
      <c r="H176" s="301">
        <f>IF(Weather!D160="","",Weather!D160)</f>
        <v>4.7508185916955172</v>
      </c>
      <c r="I176" s="502">
        <f>IF(Weather!E160="","",Weather!E160)</f>
        <v>4.7508185916955172</v>
      </c>
      <c r="J176" s="397">
        <f>IF(RnSplint!N204&lt;0,0,RnSplint!N204)</f>
        <v>1.3208613745620443</v>
      </c>
      <c r="K176" s="302">
        <f t="shared" si="148"/>
        <v>0.52380952380952372</v>
      </c>
      <c r="L176" s="303">
        <f t="shared" si="149"/>
        <v>38141</v>
      </c>
      <c r="M176" s="346" t="str">
        <f t="shared" si="118"/>
        <v/>
      </c>
      <c r="N176" s="304">
        <f t="shared" si="150"/>
        <v>0.52380952380952372</v>
      </c>
      <c r="O176" s="304">
        <f t="shared" si="151"/>
        <v>0</v>
      </c>
      <c r="P176" s="304">
        <f t="shared" si="119"/>
        <v>0.52380952380952372</v>
      </c>
      <c r="Q176" s="304">
        <f t="shared" si="120"/>
        <v>0.30525969344097004</v>
      </c>
      <c r="R176" s="304">
        <f t="shared" si="121"/>
        <v>0.52380952380952372</v>
      </c>
      <c r="S176" s="305">
        <f t="shared" si="152"/>
        <v>0.52380952380952372</v>
      </c>
      <c r="T176" s="304">
        <f t="shared" si="122"/>
        <v>0.17297788612582374</v>
      </c>
      <c r="U176" s="304">
        <f t="shared" si="166"/>
        <v>0.52380952380952372</v>
      </c>
      <c r="V176" s="305">
        <f t="shared" si="123"/>
        <v>0.52380952380952372</v>
      </c>
      <c r="W176" s="305">
        <f t="shared" si="153"/>
        <v>0.52380952380952372</v>
      </c>
      <c r="X176" s="304">
        <f t="shared" si="154"/>
        <v>0.52380952380952372</v>
      </c>
      <c r="Z176" s="304">
        <f t="shared" si="124"/>
        <v>0.52380952380952372</v>
      </c>
      <c r="AA176" s="305">
        <f t="shared" si="125"/>
        <v>0.52380952380952372</v>
      </c>
      <c r="AB176" s="304">
        <f t="shared" si="126"/>
        <v>2.4885240242214608</v>
      </c>
      <c r="AC176" s="304" t="str">
        <f t="shared" si="155"/>
        <v/>
      </c>
      <c r="AD176" s="306">
        <f t="shared" si="127"/>
        <v>81.951726583260069</v>
      </c>
      <c r="AE176" s="307">
        <f t="shared" si="156"/>
        <v>2.4885240242214608</v>
      </c>
      <c r="AF176" s="308">
        <f t="shared" si="128"/>
        <v>81.951726583260069</v>
      </c>
      <c r="AG176" s="306">
        <f t="shared" si="157"/>
        <v>209.16835028105791</v>
      </c>
      <c r="AH176" s="306">
        <f t="shared" si="129"/>
        <v>0</v>
      </c>
      <c r="AI176" s="306">
        <f t="shared" si="158"/>
        <v>0</v>
      </c>
      <c r="AJ176" s="306">
        <f t="shared" si="159"/>
        <v>0</v>
      </c>
      <c r="AK176" s="306">
        <f t="shared" si="130"/>
        <v>0</v>
      </c>
      <c r="AL176" s="306">
        <f t="shared" si="160"/>
        <v>0</v>
      </c>
      <c r="AM176" s="306">
        <f t="shared" si="131"/>
        <v>0</v>
      </c>
      <c r="AN176" s="304">
        <f>KcSplint!$N205</f>
        <v>0.6772279328341102</v>
      </c>
      <c r="AO176" s="304">
        <f t="shared" si="132"/>
        <v>0.90356067459669409</v>
      </c>
      <c r="AP176" s="304">
        <f t="shared" si="161"/>
        <v>0.90356067459669409</v>
      </c>
      <c r="AQ176" s="305">
        <f t="shared" si="162"/>
        <v>0.90356067459669409</v>
      </c>
      <c r="AR176" s="304">
        <f t="shared" si="163"/>
        <v>4.292652851598918</v>
      </c>
      <c r="AS176" s="306">
        <f t="shared" si="133"/>
        <v>102.93532070212494</v>
      </c>
      <c r="AT176" s="307">
        <f t="shared" si="164"/>
        <v>4.292652851598918</v>
      </c>
      <c r="AU176" s="307">
        <f t="shared" si="165"/>
        <v>102.93532070212494</v>
      </c>
      <c r="AV176" s="304">
        <f t="shared" si="134"/>
        <v>4.7508185916955172</v>
      </c>
      <c r="AW176" s="309">
        <f t="shared" si="135"/>
        <v>69.57226293043361</v>
      </c>
      <c r="AX176" s="306">
        <f>IF(ISERROR(Weather!M160),#N/A,Weather!M160)</f>
        <v>0</v>
      </c>
      <c r="AY176" s="310">
        <f t="shared" si="136"/>
        <v>22</v>
      </c>
      <c r="AZ176" s="309">
        <f t="shared" si="137"/>
        <v>0.30525969344097004</v>
      </c>
      <c r="BA176" s="309">
        <f t="shared" si="138"/>
        <v>209.16835028105791</v>
      </c>
      <c r="BB176" s="311">
        <f>Irrig!H178</f>
        <v>0</v>
      </c>
      <c r="BC176" s="310">
        <f t="shared" si="139"/>
        <v>51</v>
      </c>
      <c r="BD176" s="309">
        <f t="shared" si="140"/>
        <v>0.17297788612582374</v>
      </c>
      <c r="BE176" s="309">
        <f t="shared" si="141"/>
        <v>0.17297788612582374</v>
      </c>
      <c r="BF176" s="306">
        <f>DailyMet!H159</f>
        <v>23.91</v>
      </c>
      <c r="BG176" s="306">
        <f>DailyMet!I159</f>
        <v>18.2</v>
      </c>
      <c r="BH176" s="306">
        <f t="shared" si="142"/>
        <v>23.91</v>
      </c>
      <c r="BI176" s="306">
        <f t="shared" si="143"/>
        <v>18.2</v>
      </c>
      <c r="BJ176" s="306">
        <f t="shared" si="144"/>
        <v>11.055</v>
      </c>
      <c r="BK176" s="306">
        <f t="shared" si="113"/>
        <v>220.58500000000001</v>
      </c>
      <c r="BL176" s="304">
        <f t="shared" si="145"/>
        <v>0</v>
      </c>
      <c r="BM176" s="304">
        <f t="shared" si="146"/>
        <v>11.055</v>
      </c>
      <c r="BN176" s="304">
        <f t="shared" si="167"/>
        <v>11.055</v>
      </c>
      <c r="BO176" s="306">
        <f t="shared" si="168"/>
        <v>205.11423607665549</v>
      </c>
      <c r="BP176" s="306"/>
    </row>
    <row r="177" spans="1:68">
      <c r="A177" s="299">
        <f t="shared" si="114"/>
        <v>2</v>
      </c>
      <c r="B177" s="300">
        <f t="shared" si="115"/>
        <v>38142</v>
      </c>
      <c r="C177" s="301" t="e">
        <f t="shared" si="147"/>
        <v>#N/A</v>
      </c>
      <c r="D177" s="301" t="e">
        <f t="shared" si="116"/>
        <v>#N/A</v>
      </c>
      <c r="E177" s="299">
        <f t="shared" si="117"/>
        <v>156</v>
      </c>
      <c r="F177" s="396">
        <f>Weather!M161</f>
        <v>7.2</v>
      </c>
      <c r="G177" s="301">
        <f>IF(Weather!C161="","",Weather!C161)</f>
        <v>3.8275573921863124</v>
      </c>
      <c r="H177" s="301">
        <f>IF(Weather!D161="","",Weather!D161)</f>
        <v>3.9279677078967485</v>
      </c>
      <c r="I177" s="502">
        <f>IF(Weather!E161="","",Weather!E161)</f>
        <v>3.9279677078967485</v>
      </c>
      <c r="J177" s="397">
        <f>IF(RnSplint!N205&lt;0,0,RnSplint!N205)</f>
        <v>1.327486107808058</v>
      </c>
      <c r="K177" s="302">
        <f t="shared" si="148"/>
        <v>0.544047619047619</v>
      </c>
      <c r="L177" s="303">
        <f t="shared" si="149"/>
        <v>38142</v>
      </c>
      <c r="M177" s="346" t="str">
        <f t="shared" si="118"/>
        <v/>
      </c>
      <c r="N177" s="304">
        <f t="shared" si="150"/>
        <v>0.544047619047619</v>
      </c>
      <c r="O177" s="304">
        <f t="shared" si="151"/>
        <v>0</v>
      </c>
      <c r="P177" s="304">
        <f t="shared" si="119"/>
        <v>0.544047619047619</v>
      </c>
      <c r="Q177" s="304">
        <f t="shared" si="120"/>
        <v>0.29673005456743906</v>
      </c>
      <c r="R177" s="304">
        <f t="shared" si="121"/>
        <v>0.544047619047619</v>
      </c>
      <c r="S177" s="305">
        <f t="shared" si="152"/>
        <v>0.544047619047619</v>
      </c>
      <c r="T177" s="304">
        <f t="shared" si="122"/>
        <v>0.17132522805774542</v>
      </c>
      <c r="U177" s="304">
        <f t="shared" si="166"/>
        <v>0.544047619047619</v>
      </c>
      <c r="V177" s="305">
        <f t="shared" si="123"/>
        <v>0.544047619047619</v>
      </c>
      <c r="W177" s="305">
        <f t="shared" si="153"/>
        <v>0.544047619047619</v>
      </c>
      <c r="X177" s="304">
        <f t="shared" si="154"/>
        <v>0.544047619047619</v>
      </c>
      <c r="Z177" s="304">
        <f t="shared" si="124"/>
        <v>0.544047619047619</v>
      </c>
      <c r="AA177" s="305">
        <f t="shared" si="125"/>
        <v>0.544047619047619</v>
      </c>
      <c r="AB177" s="304">
        <f t="shared" si="126"/>
        <v>2.1370014791771594</v>
      </c>
      <c r="AC177" s="304" t="str">
        <f t="shared" si="155"/>
        <v/>
      </c>
      <c r="AD177" s="306">
        <f t="shared" si="127"/>
        <v>84.088728062437227</v>
      </c>
      <c r="AE177" s="307">
        <f t="shared" si="156"/>
        <v>2.1370014791771594</v>
      </c>
      <c r="AF177" s="308">
        <f t="shared" si="128"/>
        <v>84.088728062437227</v>
      </c>
      <c r="AG177" s="306">
        <f t="shared" si="157"/>
        <v>213.09631798895467</v>
      </c>
      <c r="AH177" s="306">
        <f t="shared" si="129"/>
        <v>0</v>
      </c>
      <c r="AI177" s="306">
        <f t="shared" si="158"/>
        <v>0</v>
      </c>
      <c r="AJ177" s="306">
        <f t="shared" si="159"/>
        <v>0</v>
      </c>
      <c r="AK177" s="306">
        <f t="shared" si="130"/>
        <v>0</v>
      </c>
      <c r="AL177" s="306">
        <f t="shared" si="160"/>
        <v>0</v>
      </c>
      <c r="AM177" s="306">
        <f t="shared" si="131"/>
        <v>0</v>
      </c>
      <c r="AN177" s="304">
        <f>KcSplint!$N206</f>
        <v>0.6844114459842775</v>
      </c>
      <c r="AO177" s="304">
        <f t="shared" si="132"/>
        <v>0.90938970338297831</v>
      </c>
      <c r="AP177" s="304">
        <f t="shared" si="161"/>
        <v>0.90938970338297831</v>
      </c>
      <c r="AQ177" s="305">
        <f t="shared" si="162"/>
        <v>0.90938970338297831</v>
      </c>
      <c r="AR177" s="304">
        <f t="shared" si="163"/>
        <v>3.5720533887821415</v>
      </c>
      <c r="AS177" s="306">
        <f t="shared" si="133"/>
        <v>106.50737409090708</v>
      </c>
      <c r="AT177" s="307">
        <f t="shared" si="164"/>
        <v>3.5720533887821415</v>
      </c>
      <c r="AU177" s="307">
        <f t="shared" si="165"/>
        <v>106.50737409090708</v>
      </c>
      <c r="AV177" s="304">
        <f t="shared" si="134"/>
        <v>3.9279677078967485</v>
      </c>
      <c r="AW177" s="309">
        <f t="shared" si="135"/>
        <v>73.500230638330365</v>
      </c>
      <c r="AX177" s="306">
        <f>IF(ISERROR(Weather!M161),#N/A,Weather!M161)</f>
        <v>7.2</v>
      </c>
      <c r="AY177" s="310">
        <f t="shared" si="136"/>
        <v>23</v>
      </c>
      <c r="AZ177" s="309">
        <f t="shared" si="137"/>
        <v>0.29673005456743906</v>
      </c>
      <c r="BA177" s="309">
        <f t="shared" si="138"/>
        <v>213.09631798895467</v>
      </c>
      <c r="BB177" s="311">
        <f>Irrig!H179</f>
        <v>0</v>
      </c>
      <c r="BC177" s="310">
        <f t="shared" si="139"/>
        <v>52</v>
      </c>
      <c r="BD177" s="309">
        <f t="shared" si="140"/>
        <v>0.17132522805774542</v>
      </c>
      <c r="BE177" s="309">
        <f t="shared" si="141"/>
        <v>0.17132522805774542</v>
      </c>
      <c r="BF177" s="306">
        <f>DailyMet!H160</f>
        <v>18.23</v>
      </c>
      <c r="BG177" s="306">
        <f>DailyMet!I160</f>
        <v>13.5</v>
      </c>
      <c r="BH177" s="306">
        <f t="shared" si="142"/>
        <v>18.23</v>
      </c>
      <c r="BI177" s="306">
        <f t="shared" si="143"/>
        <v>13.5</v>
      </c>
      <c r="BJ177" s="306">
        <f t="shared" si="144"/>
        <v>5.8650000000000002</v>
      </c>
      <c r="BK177" s="306">
        <f t="shared" si="113"/>
        <v>226.45000000000002</v>
      </c>
      <c r="BL177" s="304">
        <f t="shared" si="145"/>
        <v>0</v>
      </c>
      <c r="BM177" s="304">
        <f t="shared" si="146"/>
        <v>5.8650000000000002</v>
      </c>
      <c r="BN177" s="304">
        <f t="shared" si="167"/>
        <v>5.8650000000000002</v>
      </c>
      <c r="BO177" s="306">
        <f t="shared" si="168"/>
        <v>210.9792360766555</v>
      </c>
      <c r="BP177" s="306"/>
    </row>
    <row r="178" spans="1:68">
      <c r="A178" s="299">
        <f t="shared" si="114"/>
        <v>2</v>
      </c>
      <c r="B178" s="300">
        <f t="shared" si="115"/>
        <v>38143</v>
      </c>
      <c r="C178" s="301" t="e">
        <f t="shared" si="147"/>
        <v>#N/A</v>
      </c>
      <c r="D178" s="301" t="e">
        <f t="shared" si="116"/>
        <v>#N/A</v>
      </c>
      <c r="E178" s="299">
        <f t="shared" si="117"/>
        <v>157</v>
      </c>
      <c r="F178" s="396">
        <f>Weather!M162</f>
        <v>0</v>
      </c>
      <c r="G178" s="301">
        <f>IF(Weather!C162="","",Weather!C162)</f>
        <v>3.8685781887430926</v>
      </c>
      <c r="H178" s="301">
        <f>IF(Weather!D162="","",Weather!D162)</f>
        <v>3.6238138037089076</v>
      </c>
      <c r="I178" s="502">
        <f>IF(Weather!E162="","",Weather!E162)</f>
        <v>3.6238138037089076</v>
      </c>
      <c r="J178" s="397">
        <f>IF(RnSplint!N206&lt;0,0,RnSplint!N206)</f>
        <v>1.3774181797268836</v>
      </c>
      <c r="K178" s="302">
        <f t="shared" si="148"/>
        <v>0.56428571428571428</v>
      </c>
      <c r="L178" s="303">
        <f t="shared" si="149"/>
        <v>38143</v>
      </c>
      <c r="M178" s="346" t="str">
        <f t="shared" si="118"/>
        <v/>
      </c>
      <c r="N178" s="304">
        <f t="shared" si="150"/>
        <v>0.56428571428571428</v>
      </c>
      <c r="O178" s="304">
        <f t="shared" si="151"/>
        <v>0</v>
      </c>
      <c r="P178" s="304">
        <f t="shared" si="119"/>
        <v>0.56428571428571428</v>
      </c>
      <c r="Q178" s="304">
        <f t="shared" si="120"/>
        <v>0.28945201136159576</v>
      </c>
      <c r="R178" s="304">
        <f t="shared" si="121"/>
        <v>0.56428571428571428</v>
      </c>
      <c r="S178" s="305">
        <f t="shared" si="152"/>
        <v>0.56428571428571428</v>
      </c>
      <c r="T178" s="304">
        <f t="shared" si="122"/>
        <v>0.16984098131415848</v>
      </c>
      <c r="U178" s="304">
        <f t="shared" si="166"/>
        <v>0.56428571428571428</v>
      </c>
      <c r="V178" s="305">
        <f t="shared" si="123"/>
        <v>0.56428571428571428</v>
      </c>
      <c r="W178" s="305">
        <f t="shared" si="153"/>
        <v>0.56428571428571428</v>
      </c>
      <c r="X178" s="304">
        <f t="shared" si="154"/>
        <v>0.56428571428571428</v>
      </c>
      <c r="Z178" s="304">
        <f t="shared" si="124"/>
        <v>0.56428571428571428</v>
      </c>
      <c r="AA178" s="305">
        <f t="shared" si="125"/>
        <v>0.56428571428571428</v>
      </c>
      <c r="AB178" s="304">
        <f t="shared" si="126"/>
        <v>2.044866360664312</v>
      </c>
      <c r="AC178" s="304" t="str">
        <f t="shared" si="155"/>
        <v/>
      </c>
      <c r="AD178" s="306">
        <f t="shared" si="127"/>
        <v>86.133594423101542</v>
      </c>
      <c r="AE178" s="307">
        <f t="shared" si="156"/>
        <v>2.044866360664312</v>
      </c>
      <c r="AF178" s="308">
        <f t="shared" si="128"/>
        <v>86.133594423101542</v>
      </c>
      <c r="AG178" s="306">
        <f t="shared" si="157"/>
        <v>216.72013179266358</v>
      </c>
      <c r="AH178" s="306">
        <f t="shared" si="129"/>
        <v>0</v>
      </c>
      <c r="AI178" s="306">
        <f t="shared" si="158"/>
        <v>0</v>
      </c>
      <c r="AJ178" s="306">
        <f t="shared" si="159"/>
        <v>0</v>
      </c>
      <c r="AK178" s="306">
        <f t="shared" si="130"/>
        <v>0</v>
      </c>
      <c r="AL178" s="306">
        <f t="shared" si="160"/>
        <v>0</v>
      </c>
      <c r="AM178" s="306">
        <f t="shared" si="131"/>
        <v>0</v>
      </c>
      <c r="AN178" s="304">
        <f>KcSplint!$N207</f>
        <v>0.69205146058436218</v>
      </c>
      <c r="AO178" s="304">
        <f t="shared" si="132"/>
        <v>0.91521873216926253</v>
      </c>
      <c r="AP178" s="304">
        <f t="shared" si="161"/>
        <v>0.91521873216926253</v>
      </c>
      <c r="AQ178" s="305">
        <f t="shared" si="162"/>
        <v>0.91521873216926253</v>
      </c>
      <c r="AR178" s="304">
        <f t="shared" si="163"/>
        <v>3.316582275047939</v>
      </c>
      <c r="AS178" s="306">
        <f t="shared" si="133"/>
        <v>109.82395636595501</v>
      </c>
      <c r="AT178" s="307">
        <f t="shared" si="164"/>
        <v>3.316582275047939</v>
      </c>
      <c r="AU178" s="307">
        <f t="shared" si="165"/>
        <v>109.82395636595501</v>
      </c>
      <c r="AV178" s="304">
        <f t="shared" si="134"/>
        <v>3.6238138037089076</v>
      </c>
      <c r="AW178" s="309">
        <f t="shared" si="135"/>
        <v>77.124044442039278</v>
      </c>
      <c r="AX178" s="306">
        <f>IF(ISERROR(Weather!M162),#N/A,Weather!M162)</f>
        <v>0</v>
      </c>
      <c r="AY178" s="310">
        <f t="shared" si="136"/>
        <v>24</v>
      </c>
      <c r="AZ178" s="309">
        <f t="shared" si="137"/>
        <v>0.28945201136159576</v>
      </c>
      <c r="BA178" s="309">
        <f t="shared" si="138"/>
        <v>216.72013179266358</v>
      </c>
      <c r="BB178" s="311">
        <f>Irrig!H180</f>
        <v>0</v>
      </c>
      <c r="BC178" s="310">
        <f t="shared" si="139"/>
        <v>53</v>
      </c>
      <c r="BD178" s="309">
        <f t="shared" si="140"/>
        <v>0.16984098131415848</v>
      </c>
      <c r="BE178" s="309">
        <f t="shared" si="141"/>
        <v>0.16984098131415848</v>
      </c>
      <c r="BF178" s="306">
        <f>DailyMet!H161</f>
        <v>20.53</v>
      </c>
      <c r="BG178" s="306">
        <f>DailyMet!I161</f>
        <v>11.8</v>
      </c>
      <c r="BH178" s="306">
        <f t="shared" si="142"/>
        <v>20.53</v>
      </c>
      <c r="BI178" s="306">
        <f t="shared" si="143"/>
        <v>11.8</v>
      </c>
      <c r="BJ178" s="306">
        <f t="shared" si="144"/>
        <v>6.1649999999999991</v>
      </c>
      <c r="BK178" s="306">
        <f t="shared" si="113"/>
        <v>232.61500000000001</v>
      </c>
      <c r="BL178" s="304">
        <f t="shared" si="145"/>
        <v>0</v>
      </c>
      <c r="BM178" s="304">
        <f t="shared" si="146"/>
        <v>6.1649999999999991</v>
      </c>
      <c r="BN178" s="304">
        <f t="shared" si="167"/>
        <v>6.1649999999999991</v>
      </c>
      <c r="BO178" s="306">
        <f t="shared" si="168"/>
        <v>217.14423607665549</v>
      </c>
      <c r="BP178" s="306"/>
    </row>
    <row r="179" spans="1:68">
      <c r="A179" s="299">
        <f t="shared" si="114"/>
        <v>2</v>
      </c>
      <c r="B179" s="300">
        <f t="shared" si="115"/>
        <v>38144</v>
      </c>
      <c r="C179" s="301" t="e">
        <f t="shared" si="147"/>
        <v>#N/A</v>
      </c>
      <c r="D179" s="301" t="e">
        <f t="shared" si="116"/>
        <v>#N/A</v>
      </c>
      <c r="E179" s="299">
        <f t="shared" si="117"/>
        <v>158</v>
      </c>
      <c r="F179" s="396">
        <f>Weather!M163</f>
        <v>0.4</v>
      </c>
      <c r="G179" s="301">
        <f>IF(Weather!C163="","",Weather!C163)</f>
        <v>3.9084060638764724</v>
      </c>
      <c r="H179" s="301">
        <f>IF(Weather!D163="","",Weather!D163)</f>
        <v>4.1290757913512</v>
      </c>
      <c r="I179" s="502">
        <f>IF(Weather!E163="","",Weather!E163)</f>
        <v>4.1290757913512</v>
      </c>
      <c r="J179" s="397">
        <f>IF(RnSplint!N207&lt;0,0,RnSplint!N207)</f>
        <v>1.4714094947827201</v>
      </c>
      <c r="K179" s="302">
        <f t="shared" si="148"/>
        <v>0.58452380952380956</v>
      </c>
      <c r="L179" s="303">
        <f t="shared" si="149"/>
        <v>38144</v>
      </c>
      <c r="M179" s="346" t="str">
        <f t="shared" si="118"/>
        <v/>
      </c>
      <c r="N179" s="304">
        <f t="shared" si="150"/>
        <v>0.58452380952380956</v>
      </c>
      <c r="O179" s="304">
        <f t="shared" si="151"/>
        <v>0</v>
      </c>
      <c r="P179" s="304">
        <f t="shared" si="119"/>
        <v>0.58452380952380956</v>
      </c>
      <c r="Q179" s="304">
        <f t="shared" si="120"/>
        <v>0.28176629546315574</v>
      </c>
      <c r="R179" s="304">
        <f t="shared" si="121"/>
        <v>0.58452380952380956</v>
      </c>
      <c r="S179" s="305">
        <f t="shared" si="152"/>
        <v>0.58452380952380956</v>
      </c>
      <c r="T179" s="304">
        <f t="shared" si="122"/>
        <v>0.16819498807702946</v>
      </c>
      <c r="U179" s="304">
        <f t="shared" si="166"/>
        <v>0.58452380952380956</v>
      </c>
      <c r="V179" s="305">
        <f t="shared" si="123"/>
        <v>0.58452380952380956</v>
      </c>
      <c r="W179" s="305">
        <f t="shared" si="153"/>
        <v>0.58452380952380956</v>
      </c>
      <c r="X179" s="304">
        <f t="shared" si="154"/>
        <v>0.58452380952380956</v>
      </c>
      <c r="Z179" s="304">
        <f t="shared" si="124"/>
        <v>0.58452380952380956</v>
      </c>
      <c r="AA179" s="305">
        <f t="shared" si="125"/>
        <v>0.58452380952380956</v>
      </c>
      <c r="AB179" s="304">
        <f t="shared" si="126"/>
        <v>2.413543111373142</v>
      </c>
      <c r="AC179" s="304" t="str">
        <f t="shared" si="155"/>
        <v/>
      </c>
      <c r="AD179" s="306">
        <f t="shared" si="127"/>
        <v>88.547137534474686</v>
      </c>
      <c r="AE179" s="307">
        <f t="shared" si="156"/>
        <v>2.413543111373142</v>
      </c>
      <c r="AF179" s="308">
        <f t="shared" si="128"/>
        <v>88.547137534474686</v>
      </c>
      <c r="AG179" s="306">
        <f t="shared" si="157"/>
        <v>220.84920758401478</v>
      </c>
      <c r="AH179" s="306">
        <f t="shared" si="129"/>
        <v>0</v>
      </c>
      <c r="AI179" s="306">
        <f t="shared" si="158"/>
        <v>0</v>
      </c>
      <c r="AJ179" s="306">
        <f t="shared" si="159"/>
        <v>0</v>
      </c>
      <c r="AK179" s="306">
        <f t="shared" si="130"/>
        <v>0</v>
      </c>
      <c r="AL179" s="306">
        <f t="shared" si="160"/>
        <v>0</v>
      </c>
      <c r="AM179" s="306">
        <f t="shared" si="131"/>
        <v>0</v>
      </c>
      <c r="AN179" s="304">
        <f>KcSplint!$N208</f>
        <v>0.70011592549880652</v>
      </c>
      <c r="AO179" s="304">
        <f t="shared" si="132"/>
        <v>0.92104776095554675</v>
      </c>
      <c r="AP179" s="304">
        <f t="shared" si="161"/>
        <v>0.92104776095554675</v>
      </c>
      <c r="AQ179" s="305">
        <f t="shared" si="162"/>
        <v>0.92104776095554675</v>
      </c>
      <c r="AR179" s="304">
        <f t="shared" si="163"/>
        <v>3.8030760124397749</v>
      </c>
      <c r="AS179" s="306">
        <f t="shared" si="133"/>
        <v>113.62703237839479</v>
      </c>
      <c r="AT179" s="307">
        <f t="shared" si="164"/>
        <v>3.8030760124397749</v>
      </c>
      <c r="AU179" s="307">
        <f t="shared" si="165"/>
        <v>113.62703237839479</v>
      </c>
      <c r="AV179" s="304">
        <f t="shared" si="134"/>
        <v>4.1290757913512</v>
      </c>
      <c r="AW179" s="309">
        <f t="shared" si="135"/>
        <v>81.253120233390476</v>
      </c>
      <c r="AX179" s="306">
        <f>IF(ISERROR(Weather!M163),#N/A,Weather!M163)</f>
        <v>0.4</v>
      </c>
      <c r="AY179" s="310">
        <f t="shared" si="136"/>
        <v>25</v>
      </c>
      <c r="AZ179" s="309">
        <f t="shared" si="137"/>
        <v>0.28176629546315574</v>
      </c>
      <c r="BA179" s="309">
        <f t="shared" si="138"/>
        <v>220.84920758401478</v>
      </c>
      <c r="BB179" s="311">
        <f>Irrig!H181</f>
        <v>0</v>
      </c>
      <c r="BC179" s="310">
        <f t="shared" si="139"/>
        <v>54</v>
      </c>
      <c r="BD179" s="309">
        <f t="shared" si="140"/>
        <v>0.16819498807702946</v>
      </c>
      <c r="BE179" s="309">
        <f t="shared" si="141"/>
        <v>0.16819498807702946</v>
      </c>
      <c r="BF179" s="306">
        <f>DailyMet!H162</f>
        <v>21.1</v>
      </c>
      <c r="BG179" s="306">
        <f>DailyMet!I162</f>
        <v>12.8</v>
      </c>
      <c r="BH179" s="306">
        <f t="shared" si="142"/>
        <v>21.1</v>
      </c>
      <c r="BI179" s="306">
        <f t="shared" si="143"/>
        <v>12.8</v>
      </c>
      <c r="BJ179" s="306">
        <f t="shared" si="144"/>
        <v>6.9500000000000028</v>
      </c>
      <c r="BK179" s="306">
        <f t="shared" si="113"/>
        <v>239.565</v>
      </c>
      <c r="BL179" s="304">
        <f t="shared" si="145"/>
        <v>0</v>
      </c>
      <c r="BM179" s="304">
        <f t="shared" si="146"/>
        <v>6.9500000000000028</v>
      </c>
      <c r="BN179" s="304">
        <f t="shared" si="167"/>
        <v>6.9500000000000028</v>
      </c>
      <c r="BO179" s="306">
        <f t="shared" si="168"/>
        <v>224.09423607665548</v>
      </c>
      <c r="BP179" s="306"/>
    </row>
    <row r="180" spans="1:68">
      <c r="A180" s="299">
        <f t="shared" si="114"/>
        <v>2</v>
      </c>
      <c r="B180" s="300">
        <f t="shared" si="115"/>
        <v>38145</v>
      </c>
      <c r="C180" s="301" t="e">
        <f t="shared" si="147"/>
        <v>#N/A</v>
      </c>
      <c r="D180" s="301" t="e">
        <f t="shared" si="116"/>
        <v>#N/A</v>
      </c>
      <c r="E180" s="299">
        <f t="shared" si="117"/>
        <v>159</v>
      </c>
      <c r="F180" s="396">
        <f>Weather!M164</f>
        <v>0</v>
      </c>
      <c r="G180" s="301">
        <f>IF(Weather!C164="","",Weather!C164)</f>
        <v>3.9470063499113448</v>
      </c>
      <c r="H180" s="301">
        <f>IF(Weather!D164="","",Weather!D164)</f>
        <v>4.4462286753676405</v>
      </c>
      <c r="I180" s="502">
        <f>IF(Weather!E164="","",Weather!E164)</f>
        <v>4.4462286753676405</v>
      </c>
      <c r="J180" s="397">
        <f>IF(RnSplint!N208&lt;0,0,RnSplint!N208)</f>
        <v>1.6102119574397644</v>
      </c>
      <c r="K180" s="302">
        <f t="shared" si="148"/>
        <v>0.60476190476190483</v>
      </c>
      <c r="L180" s="303">
        <f t="shared" si="149"/>
        <v>38145</v>
      </c>
      <c r="M180" s="346" t="str">
        <f t="shared" si="118"/>
        <v/>
      </c>
      <c r="N180" s="304">
        <f t="shared" si="150"/>
        <v>0.60476190476190483</v>
      </c>
      <c r="O180" s="304">
        <f t="shared" si="151"/>
        <v>0</v>
      </c>
      <c r="P180" s="304">
        <f t="shared" si="119"/>
        <v>0.60476190476190483</v>
      </c>
      <c r="Q180" s="304">
        <f t="shared" si="120"/>
        <v>0.27412592177024614</v>
      </c>
      <c r="R180" s="304">
        <f t="shared" si="121"/>
        <v>0.60476190476190483</v>
      </c>
      <c r="S180" s="305">
        <f t="shared" si="152"/>
        <v>0.60476190476190483</v>
      </c>
      <c r="T180" s="304">
        <f t="shared" si="122"/>
        <v>0.16647394491318929</v>
      </c>
      <c r="U180" s="304">
        <f t="shared" si="166"/>
        <v>0.60476190476190483</v>
      </c>
      <c r="V180" s="305">
        <f t="shared" si="123"/>
        <v>0.60476190476190483</v>
      </c>
      <c r="W180" s="305">
        <f t="shared" si="153"/>
        <v>0.60476190476190483</v>
      </c>
      <c r="X180" s="304">
        <f t="shared" si="154"/>
        <v>0.60476190476190483</v>
      </c>
      <c r="Z180" s="304">
        <f t="shared" si="124"/>
        <v>0.60476190476190483</v>
      </c>
      <c r="AA180" s="305">
        <f t="shared" si="125"/>
        <v>0.60476190476190483</v>
      </c>
      <c r="AB180" s="304">
        <f t="shared" si="126"/>
        <v>2.6889097227223355</v>
      </c>
      <c r="AC180" s="304" t="str">
        <f t="shared" si="155"/>
        <v/>
      </c>
      <c r="AD180" s="306">
        <f t="shared" si="127"/>
        <v>91.236047257197015</v>
      </c>
      <c r="AE180" s="307">
        <f t="shared" si="156"/>
        <v>2.6889097227223355</v>
      </c>
      <c r="AF180" s="308">
        <f t="shared" si="128"/>
        <v>91.236047257197015</v>
      </c>
      <c r="AG180" s="306">
        <f t="shared" si="157"/>
        <v>225.29543625938243</v>
      </c>
      <c r="AH180" s="306">
        <f t="shared" si="129"/>
        <v>0</v>
      </c>
      <c r="AI180" s="306">
        <f t="shared" si="158"/>
        <v>0</v>
      </c>
      <c r="AJ180" s="306">
        <f t="shared" si="159"/>
        <v>0</v>
      </c>
      <c r="AK180" s="306">
        <f t="shared" si="130"/>
        <v>0</v>
      </c>
      <c r="AL180" s="306">
        <f t="shared" si="160"/>
        <v>0</v>
      </c>
      <c r="AM180" s="306">
        <f t="shared" si="131"/>
        <v>0</v>
      </c>
      <c r="AN180" s="304">
        <f>KcSplint!$N209</f>
        <v>0.70857278959205239</v>
      </c>
      <c r="AO180" s="304">
        <f t="shared" si="132"/>
        <v>0.92687678974183096</v>
      </c>
      <c r="AP180" s="304">
        <f t="shared" si="161"/>
        <v>0.92687678974183096</v>
      </c>
      <c r="AQ180" s="305">
        <f t="shared" si="162"/>
        <v>0.92687678974183096</v>
      </c>
      <c r="AR180" s="304">
        <f t="shared" si="163"/>
        <v>4.1211061610828326</v>
      </c>
      <c r="AS180" s="306">
        <f t="shared" si="133"/>
        <v>117.74813853947762</v>
      </c>
      <c r="AT180" s="307">
        <f t="shared" si="164"/>
        <v>4.1211061610828326</v>
      </c>
      <c r="AU180" s="307">
        <f t="shared" si="165"/>
        <v>117.74813853947762</v>
      </c>
      <c r="AV180" s="304">
        <f t="shared" si="134"/>
        <v>4.4462286753676405</v>
      </c>
      <c r="AW180" s="309">
        <f t="shared" si="135"/>
        <v>85.699348908758111</v>
      </c>
      <c r="AX180" s="306">
        <f>IF(ISERROR(Weather!M164),#N/A,Weather!M164)</f>
        <v>0</v>
      </c>
      <c r="AY180" s="310">
        <f t="shared" si="136"/>
        <v>26</v>
      </c>
      <c r="AZ180" s="309">
        <f t="shared" si="137"/>
        <v>0.27412592177024614</v>
      </c>
      <c r="BA180" s="309">
        <f t="shared" si="138"/>
        <v>225.29543625938243</v>
      </c>
      <c r="BB180" s="311">
        <f>Irrig!H182</f>
        <v>0</v>
      </c>
      <c r="BC180" s="310">
        <f t="shared" si="139"/>
        <v>55</v>
      </c>
      <c r="BD180" s="309">
        <f t="shared" si="140"/>
        <v>0.16647394491318929</v>
      </c>
      <c r="BE180" s="309">
        <f t="shared" si="141"/>
        <v>0.16647394491318929</v>
      </c>
      <c r="BF180" s="306">
        <f>DailyMet!H163</f>
        <v>22.27</v>
      </c>
      <c r="BG180" s="306">
        <f>DailyMet!I163</f>
        <v>16</v>
      </c>
      <c r="BH180" s="306">
        <f t="shared" si="142"/>
        <v>22.27</v>
      </c>
      <c r="BI180" s="306">
        <f t="shared" si="143"/>
        <v>16</v>
      </c>
      <c r="BJ180" s="306">
        <f t="shared" si="144"/>
        <v>9.134999999999998</v>
      </c>
      <c r="BK180" s="306">
        <f t="shared" si="113"/>
        <v>248.7</v>
      </c>
      <c r="BL180" s="304">
        <f t="shared" si="145"/>
        <v>0</v>
      </c>
      <c r="BM180" s="304">
        <f t="shared" si="146"/>
        <v>9.134999999999998</v>
      </c>
      <c r="BN180" s="304">
        <f t="shared" si="167"/>
        <v>9.134999999999998</v>
      </c>
      <c r="BO180" s="306">
        <f t="shared" si="168"/>
        <v>233.22923607665547</v>
      </c>
      <c r="BP180" s="306"/>
    </row>
    <row r="181" spans="1:68">
      <c r="A181" s="299">
        <f t="shared" si="114"/>
        <v>2</v>
      </c>
      <c r="B181" s="300">
        <f t="shared" si="115"/>
        <v>38146</v>
      </c>
      <c r="C181" s="301" t="e">
        <f t="shared" si="147"/>
        <v>#N/A</v>
      </c>
      <c r="D181" s="301" t="e">
        <f t="shared" si="116"/>
        <v>#N/A</v>
      </c>
      <c r="E181" s="299">
        <f t="shared" si="117"/>
        <v>160</v>
      </c>
      <c r="F181" s="396">
        <f>Weather!M165</f>
        <v>0</v>
      </c>
      <c r="G181" s="301">
        <f>IF(Weather!C165="","",Weather!C165)</f>
        <v>3.9843443791726036</v>
      </c>
      <c r="H181" s="301">
        <f>IF(Weather!D165="","",Weather!D165)</f>
        <v>4.3562374293007231</v>
      </c>
      <c r="I181" s="502">
        <f>IF(Weather!E165="","",Weather!E165)</f>
        <v>4.3562374293007231</v>
      </c>
      <c r="J181" s="397">
        <f>IF(RnSplint!N209&lt;0,0,RnSplint!N209)</f>
        <v>1.7945774721622114</v>
      </c>
      <c r="K181" s="302">
        <f t="shared" si="148"/>
        <v>0.62500000000000011</v>
      </c>
      <c r="L181" s="303">
        <f t="shared" si="149"/>
        <v>38146</v>
      </c>
      <c r="M181" s="346" t="str">
        <f t="shared" si="118"/>
        <v/>
      </c>
      <c r="N181" s="304">
        <f t="shared" si="150"/>
        <v>0.62500000000000011</v>
      </c>
      <c r="O181" s="304">
        <f t="shared" si="151"/>
        <v>0</v>
      </c>
      <c r="P181" s="304">
        <f t="shared" si="119"/>
        <v>0.62500000000000011</v>
      </c>
      <c r="Q181" s="304">
        <f t="shared" si="120"/>
        <v>0.26720157085103119</v>
      </c>
      <c r="R181" s="304">
        <f t="shared" si="121"/>
        <v>0.62500000000000011</v>
      </c>
      <c r="S181" s="305">
        <f t="shared" si="152"/>
        <v>0.62500000000000011</v>
      </c>
      <c r="T181" s="304">
        <f t="shared" si="122"/>
        <v>0.16483695577540977</v>
      </c>
      <c r="U181" s="304">
        <f t="shared" si="166"/>
        <v>0.62500000000000011</v>
      </c>
      <c r="V181" s="305">
        <f t="shared" si="123"/>
        <v>0.62500000000000011</v>
      </c>
      <c r="W181" s="305">
        <f t="shared" si="153"/>
        <v>0.62500000000000011</v>
      </c>
      <c r="X181" s="304">
        <f t="shared" si="154"/>
        <v>0.62500000000000011</v>
      </c>
      <c r="Z181" s="304">
        <f t="shared" si="124"/>
        <v>0.62500000000000011</v>
      </c>
      <c r="AA181" s="305">
        <f t="shared" si="125"/>
        <v>0.62500000000000011</v>
      </c>
      <c r="AB181" s="304">
        <f t="shared" si="126"/>
        <v>2.7226483933129524</v>
      </c>
      <c r="AC181" s="304" t="str">
        <f t="shared" si="155"/>
        <v/>
      </c>
      <c r="AD181" s="306">
        <f t="shared" si="127"/>
        <v>93.958695650509966</v>
      </c>
      <c r="AE181" s="307">
        <f t="shared" si="156"/>
        <v>2.7226483933129524</v>
      </c>
      <c r="AF181" s="308">
        <f t="shared" si="128"/>
        <v>93.958695650509966</v>
      </c>
      <c r="AG181" s="306">
        <f t="shared" si="157"/>
        <v>229.65167368868316</v>
      </c>
      <c r="AH181" s="306">
        <f t="shared" si="129"/>
        <v>0</v>
      </c>
      <c r="AI181" s="306">
        <f t="shared" si="158"/>
        <v>0</v>
      </c>
      <c r="AJ181" s="306">
        <f t="shared" si="159"/>
        <v>0</v>
      </c>
      <c r="AK181" s="306">
        <f t="shared" si="130"/>
        <v>0</v>
      </c>
      <c r="AL181" s="306">
        <f t="shared" si="160"/>
        <v>0</v>
      </c>
      <c r="AM181" s="306">
        <f t="shared" si="131"/>
        <v>0</v>
      </c>
      <c r="AN181" s="304">
        <f>KcSplint!$N210</f>
        <v>0.71739000172854195</v>
      </c>
      <c r="AO181" s="304">
        <f t="shared" si="132"/>
        <v>0.93270581852811518</v>
      </c>
      <c r="AP181" s="304">
        <f t="shared" si="161"/>
        <v>0.93270581852811518</v>
      </c>
      <c r="AQ181" s="305">
        <f t="shared" si="162"/>
        <v>0.93270581852811518</v>
      </c>
      <c r="AR181" s="304">
        <f t="shared" si="163"/>
        <v>4.0630879971987435</v>
      </c>
      <c r="AS181" s="306">
        <f t="shared" si="133"/>
        <v>121.81122653667637</v>
      </c>
      <c r="AT181" s="307">
        <f t="shared" si="164"/>
        <v>4.0630879971987435</v>
      </c>
      <c r="AU181" s="307">
        <f t="shared" si="165"/>
        <v>121.81122653667637</v>
      </c>
      <c r="AV181" s="304">
        <f t="shared" si="134"/>
        <v>4.3562374293007231</v>
      </c>
      <c r="AW181" s="309">
        <f t="shared" si="135"/>
        <v>90.055586338058831</v>
      </c>
      <c r="AX181" s="306">
        <f>IF(ISERROR(Weather!M165),#N/A,Weather!M165)</f>
        <v>0</v>
      </c>
      <c r="AY181" s="310">
        <f t="shared" si="136"/>
        <v>27</v>
      </c>
      <c r="AZ181" s="309">
        <f t="shared" si="137"/>
        <v>0.26720157085103119</v>
      </c>
      <c r="BA181" s="309">
        <f t="shared" si="138"/>
        <v>229.65167368868316</v>
      </c>
      <c r="BB181" s="311">
        <f>Irrig!H183</f>
        <v>0</v>
      </c>
      <c r="BC181" s="310">
        <f t="shared" si="139"/>
        <v>56</v>
      </c>
      <c r="BD181" s="309">
        <f t="shared" si="140"/>
        <v>0.16483695577540977</v>
      </c>
      <c r="BE181" s="309">
        <f t="shared" si="141"/>
        <v>0.16483695577540977</v>
      </c>
      <c r="BF181" s="306">
        <f>DailyMet!H164</f>
        <v>21.65</v>
      </c>
      <c r="BG181" s="306">
        <f>DailyMet!I164</f>
        <v>15.4</v>
      </c>
      <c r="BH181" s="306">
        <f t="shared" si="142"/>
        <v>21.65</v>
      </c>
      <c r="BI181" s="306">
        <f t="shared" si="143"/>
        <v>15.4</v>
      </c>
      <c r="BJ181" s="306">
        <f t="shared" si="144"/>
        <v>8.5249999999999986</v>
      </c>
      <c r="BK181" s="306">
        <f t="shared" si="113"/>
        <v>257.22499999999997</v>
      </c>
      <c r="BL181" s="304">
        <f t="shared" si="145"/>
        <v>0</v>
      </c>
      <c r="BM181" s="304">
        <f t="shared" si="146"/>
        <v>8.5249999999999986</v>
      </c>
      <c r="BN181" s="304">
        <f t="shared" si="167"/>
        <v>8.5249999999999986</v>
      </c>
      <c r="BO181" s="306">
        <f t="shared" si="168"/>
        <v>241.75423607665547</v>
      </c>
      <c r="BP181" s="306"/>
    </row>
    <row r="182" spans="1:68">
      <c r="A182" s="299">
        <f t="shared" si="114"/>
        <v>2</v>
      </c>
      <c r="B182" s="300">
        <f t="shared" si="115"/>
        <v>38147</v>
      </c>
      <c r="C182" s="301" t="e">
        <f t="shared" si="147"/>
        <v>#N/A</v>
      </c>
      <c r="D182" s="301" t="e">
        <f t="shared" si="116"/>
        <v>#N/A</v>
      </c>
      <c r="E182" s="299">
        <f t="shared" si="117"/>
        <v>161</v>
      </c>
      <c r="F182" s="396">
        <f>Weather!M166</f>
        <v>0.2</v>
      </c>
      <c r="G182" s="301">
        <f>IF(Weather!C166="","",Weather!C166)</f>
        <v>4.020385483985141</v>
      </c>
      <c r="H182" s="301">
        <f>IF(Weather!D166="","",Weather!D166)</f>
        <v>4.1459186279255205</v>
      </c>
      <c r="I182" s="502">
        <f>IF(Weather!E166="","",Weather!E166)</f>
        <v>4.1459186279255205</v>
      </c>
      <c r="J182" s="397">
        <f>IF(RnSplint!N210&lt;0,0,RnSplint!N210)</f>
        <v>2.0252579434142599</v>
      </c>
      <c r="K182" s="302">
        <f t="shared" si="148"/>
        <v>0.64523809523809539</v>
      </c>
      <c r="L182" s="303">
        <f t="shared" si="149"/>
        <v>38147</v>
      </c>
      <c r="M182" s="346" t="str">
        <f t="shared" si="118"/>
        <v/>
      </c>
      <c r="N182" s="304">
        <f t="shared" si="150"/>
        <v>0.64523809523809539</v>
      </c>
      <c r="O182" s="304">
        <f t="shared" si="151"/>
        <v>0</v>
      </c>
      <c r="P182" s="304">
        <f t="shared" si="119"/>
        <v>0.64523809523809539</v>
      </c>
      <c r="Q182" s="304">
        <f t="shared" si="120"/>
        <v>0.26106740996520228</v>
      </c>
      <c r="R182" s="304">
        <f t="shared" si="121"/>
        <v>0.64523809523809539</v>
      </c>
      <c r="S182" s="305">
        <f t="shared" si="152"/>
        <v>0.64523809523809539</v>
      </c>
      <c r="T182" s="304">
        <f t="shared" si="122"/>
        <v>0.16332213512277372</v>
      </c>
      <c r="U182" s="304">
        <f t="shared" si="166"/>
        <v>0.64523809523809539</v>
      </c>
      <c r="V182" s="305">
        <f t="shared" si="123"/>
        <v>0.64523809523809539</v>
      </c>
      <c r="W182" s="305">
        <f t="shared" si="153"/>
        <v>0.64523809523809539</v>
      </c>
      <c r="X182" s="304">
        <f t="shared" si="154"/>
        <v>0.64523809523809539</v>
      </c>
      <c r="Z182" s="304">
        <f t="shared" si="124"/>
        <v>0.64523809523809539</v>
      </c>
      <c r="AA182" s="305">
        <f t="shared" si="125"/>
        <v>0.64523809523809539</v>
      </c>
      <c r="AB182" s="304">
        <f t="shared" si="126"/>
        <v>2.6751046384948007</v>
      </c>
      <c r="AC182" s="304" t="str">
        <f t="shared" si="155"/>
        <v/>
      </c>
      <c r="AD182" s="306">
        <f t="shared" si="127"/>
        <v>96.633800289004768</v>
      </c>
      <c r="AE182" s="307">
        <f t="shared" si="156"/>
        <v>2.6751046384948007</v>
      </c>
      <c r="AF182" s="308">
        <f t="shared" si="128"/>
        <v>96.633800289004768</v>
      </c>
      <c r="AG182" s="306">
        <f t="shared" si="157"/>
        <v>233.79759231660867</v>
      </c>
      <c r="AH182" s="306">
        <f t="shared" si="129"/>
        <v>0</v>
      </c>
      <c r="AI182" s="306">
        <f t="shared" si="158"/>
        <v>0</v>
      </c>
      <c r="AJ182" s="306">
        <f t="shared" si="159"/>
        <v>0</v>
      </c>
      <c r="AK182" s="306">
        <f t="shared" si="130"/>
        <v>0</v>
      </c>
      <c r="AL182" s="306">
        <f t="shared" si="160"/>
        <v>0</v>
      </c>
      <c r="AM182" s="306">
        <f t="shared" si="131"/>
        <v>0</v>
      </c>
      <c r="AN182" s="304">
        <f>KcSplint!$N211</f>
        <v>0.72653551077271772</v>
      </c>
      <c r="AO182" s="304">
        <f t="shared" si="132"/>
        <v>0.9385348473143994</v>
      </c>
      <c r="AP182" s="304">
        <f t="shared" si="161"/>
        <v>0.9385348473143994</v>
      </c>
      <c r="AQ182" s="305">
        <f t="shared" si="162"/>
        <v>0.9385348473143994</v>
      </c>
      <c r="AR182" s="304">
        <f t="shared" si="163"/>
        <v>3.8910891064380024</v>
      </c>
      <c r="AS182" s="306">
        <f t="shared" si="133"/>
        <v>125.70231564311437</v>
      </c>
      <c r="AT182" s="307">
        <f t="shared" si="164"/>
        <v>3.8910891064380024</v>
      </c>
      <c r="AU182" s="307">
        <f t="shared" si="165"/>
        <v>125.70231564311437</v>
      </c>
      <c r="AV182" s="304">
        <f t="shared" si="134"/>
        <v>4.1459186279255205</v>
      </c>
      <c r="AW182" s="309">
        <f t="shared" si="135"/>
        <v>94.201504965984356</v>
      </c>
      <c r="AX182" s="306">
        <f>IF(ISERROR(Weather!M166),#N/A,Weather!M166)</f>
        <v>0.2</v>
      </c>
      <c r="AY182" s="310">
        <f t="shared" si="136"/>
        <v>28</v>
      </c>
      <c r="AZ182" s="309">
        <f t="shared" si="137"/>
        <v>0.26106740996520228</v>
      </c>
      <c r="BA182" s="309">
        <f t="shared" si="138"/>
        <v>233.79759231660867</v>
      </c>
      <c r="BB182" s="311">
        <f>Irrig!H184</f>
        <v>0</v>
      </c>
      <c r="BC182" s="310">
        <f t="shared" si="139"/>
        <v>57</v>
      </c>
      <c r="BD182" s="309">
        <f t="shared" si="140"/>
        <v>0.16332213512277372</v>
      </c>
      <c r="BE182" s="309">
        <f t="shared" si="141"/>
        <v>0.16332213512277372</v>
      </c>
      <c r="BF182" s="306">
        <f>DailyMet!H165</f>
        <v>22.53</v>
      </c>
      <c r="BG182" s="306">
        <f>DailyMet!I165</f>
        <v>18.100000000000001</v>
      </c>
      <c r="BH182" s="306">
        <f t="shared" si="142"/>
        <v>22.53</v>
      </c>
      <c r="BI182" s="306">
        <f t="shared" si="143"/>
        <v>18.100000000000001</v>
      </c>
      <c r="BJ182" s="306">
        <f t="shared" si="144"/>
        <v>10.315000000000001</v>
      </c>
      <c r="BK182" s="306">
        <f t="shared" si="113"/>
        <v>267.53999999999996</v>
      </c>
      <c r="BL182" s="304">
        <f t="shared" si="145"/>
        <v>0</v>
      </c>
      <c r="BM182" s="304">
        <f t="shared" si="146"/>
        <v>10.315000000000001</v>
      </c>
      <c r="BN182" s="304">
        <f t="shared" si="167"/>
        <v>10.315000000000001</v>
      </c>
      <c r="BO182" s="306">
        <f t="shared" si="168"/>
        <v>252.06923607665547</v>
      </c>
      <c r="BP182" s="306"/>
    </row>
    <row r="183" spans="1:68">
      <c r="A183" s="299">
        <f t="shared" si="114"/>
        <v>2</v>
      </c>
      <c r="B183" s="300">
        <f t="shared" si="115"/>
        <v>38148</v>
      </c>
      <c r="C183" s="301" t="e">
        <f t="shared" si="147"/>
        <v>#N/A</v>
      </c>
      <c r="D183" s="301" t="e">
        <f t="shared" si="116"/>
        <v>#N/A</v>
      </c>
      <c r="E183" s="299">
        <f t="shared" si="117"/>
        <v>162</v>
      </c>
      <c r="F183" s="396">
        <f>Weather!M167</f>
        <v>0</v>
      </c>
      <c r="G183" s="301">
        <f>IF(Weather!C167="","",Weather!C167)</f>
        <v>4.0550949966738505</v>
      </c>
      <c r="H183" s="301">
        <f>IF(Weather!D167="","",Weather!D167)</f>
        <v>4.411672347114922</v>
      </c>
      <c r="I183" s="502">
        <f>IF(Weather!E167="","",Weather!E167)</f>
        <v>4.411672347114922</v>
      </c>
      <c r="J183" s="397">
        <f>IF(RnSplint!N211&lt;0,0,RnSplint!N211)</f>
        <v>2.303005275660106</v>
      </c>
      <c r="K183" s="302">
        <f t="shared" si="148"/>
        <v>0.66547619047619067</v>
      </c>
      <c r="L183" s="303">
        <f t="shared" si="149"/>
        <v>38148</v>
      </c>
      <c r="M183" s="346" t="str">
        <f t="shared" si="118"/>
        <v/>
      </c>
      <c r="N183" s="304">
        <f t="shared" si="150"/>
        <v>0.66547619047619067</v>
      </c>
      <c r="O183" s="304">
        <f t="shared" si="151"/>
        <v>0</v>
      </c>
      <c r="P183" s="304">
        <f t="shared" si="119"/>
        <v>0.66547619047619067</v>
      </c>
      <c r="Q183" s="304">
        <f t="shared" si="120"/>
        <v>0.25497410228495532</v>
      </c>
      <c r="R183" s="304">
        <f t="shared" si="121"/>
        <v>0.66547619047619067</v>
      </c>
      <c r="S183" s="305">
        <f t="shared" si="152"/>
        <v>0.66547619047619067</v>
      </c>
      <c r="T183" s="304">
        <f t="shared" si="122"/>
        <v>0.16175430351089104</v>
      </c>
      <c r="U183" s="304">
        <f t="shared" si="166"/>
        <v>0.66547619047619067</v>
      </c>
      <c r="V183" s="305">
        <f t="shared" si="123"/>
        <v>0.66547619047619067</v>
      </c>
      <c r="W183" s="305">
        <f t="shared" si="153"/>
        <v>0.66547619047619067</v>
      </c>
      <c r="X183" s="304">
        <f t="shared" si="154"/>
        <v>0.66547619047619067</v>
      </c>
      <c r="Z183" s="304">
        <f t="shared" si="124"/>
        <v>0.66547619047619067</v>
      </c>
      <c r="AA183" s="305">
        <f t="shared" si="125"/>
        <v>0.66547619047619067</v>
      </c>
      <c r="AB183" s="304">
        <f t="shared" si="126"/>
        <v>2.9358629071871931</v>
      </c>
      <c r="AC183" s="304" t="str">
        <f t="shared" si="155"/>
        <v/>
      </c>
      <c r="AD183" s="306">
        <f t="shared" si="127"/>
        <v>99.569663196191954</v>
      </c>
      <c r="AE183" s="307">
        <f t="shared" si="156"/>
        <v>2.9358629071871931</v>
      </c>
      <c r="AF183" s="308">
        <f t="shared" si="128"/>
        <v>99.569663196191954</v>
      </c>
      <c r="AG183" s="306">
        <f t="shared" si="157"/>
        <v>238.20926466372359</v>
      </c>
      <c r="AH183" s="306">
        <f t="shared" si="129"/>
        <v>0</v>
      </c>
      <c r="AI183" s="306">
        <f t="shared" si="158"/>
        <v>0</v>
      </c>
      <c r="AJ183" s="306">
        <f t="shared" si="159"/>
        <v>0</v>
      </c>
      <c r="AK183" s="306">
        <f t="shared" si="130"/>
        <v>0</v>
      </c>
      <c r="AL183" s="306">
        <f t="shared" si="160"/>
        <v>0</v>
      </c>
      <c r="AM183" s="306">
        <f t="shared" si="131"/>
        <v>0</v>
      </c>
      <c r="AN183" s="304">
        <f>KcSplint!$N212</f>
        <v>0.73597726558902155</v>
      </c>
      <c r="AO183" s="304">
        <f t="shared" si="132"/>
        <v>0.94436387610068362</v>
      </c>
      <c r="AP183" s="304">
        <f t="shared" si="161"/>
        <v>0.94436387610068362</v>
      </c>
      <c r="AQ183" s="305">
        <f t="shared" si="162"/>
        <v>0.94436387610068362</v>
      </c>
      <c r="AR183" s="304">
        <f t="shared" si="163"/>
        <v>4.1662239978076485</v>
      </c>
      <c r="AS183" s="306">
        <f t="shared" si="133"/>
        <v>129.86853964092202</v>
      </c>
      <c r="AT183" s="307">
        <f t="shared" si="164"/>
        <v>4.1662239978076485</v>
      </c>
      <c r="AU183" s="307">
        <f t="shared" si="165"/>
        <v>129.86853964092202</v>
      </c>
      <c r="AV183" s="304">
        <f t="shared" si="134"/>
        <v>4.411672347114922</v>
      </c>
      <c r="AW183" s="309">
        <f t="shared" si="135"/>
        <v>98.613177313099271</v>
      </c>
      <c r="AX183" s="306">
        <f>IF(ISERROR(Weather!M167),#N/A,Weather!M167)</f>
        <v>0</v>
      </c>
      <c r="AY183" s="310">
        <f t="shared" si="136"/>
        <v>29</v>
      </c>
      <c r="AZ183" s="309">
        <f t="shared" si="137"/>
        <v>0.25497410228495532</v>
      </c>
      <c r="BA183" s="309">
        <f t="shared" si="138"/>
        <v>238.20926466372359</v>
      </c>
      <c r="BB183" s="311">
        <f>Irrig!H185</f>
        <v>0</v>
      </c>
      <c r="BC183" s="310">
        <f t="shared" si="139"/>
        <v>58</v>
      </c>
      <c r="BD183" s="309">
        <f t="shared" si="140"/>
        <v>0.16175430351089104</v>
      </c>
      <c r="BE183" s="309">
        <f t="shared" si="141"/>
        <v>0.16175430351089104</v>
      </c>
      <c r="BF183" s="306">
        <f>DailyMet!H166</f>
        <v>21.51</v>
      </c>
      <c r="BG183" s="306">
        <f>DailyMet!I166</f>
        <v>16.600000000000001</v>
      </c>
      <c r="BH183" s="306">
        <f t="shared" si="142"/>
        <v>21.51</v>
      </c>
      <c r="BI183" s="306">
        <f t="shared" si="143"/>
        <v>16.600000000000001</v>
      </c>
      <c r="BJ183" s="306">
        <f t="shared" si="144"/>
        <v>9.0549999999999997</v>
      </c>
      <c r="BK183" s="306">
        <f t="shared" si="113"/>
        <v>276.59499999999997</v>
      </c>
      <c r="BL183" s="304">
        <f t="shared" si="145"/>
        <v>0</v>
      </c>
      <c r="BM183" s="304">
        <f t="shared" si="146"/>
        <v>9.0549999999999997</v>
      </c>
      <c r="BN183" s="304">
        <f t="shared" si="167"/>
        <v>9.0549999999999997</v>
      </c>
      <c r="BO183" s="306">
        <f t="shared" si="168"/>
        <v>261.12423607665545</v>
      </c>
      <c r="BP183" s="306"/>
    </row>
    <row r="184" spans="1:68">
      <c r="A184" s="299">
        <f t="shared" si="114"/>
        <v>2</v>
      </c>
      <c r="B184" s="300">
        <f t="shared" si="115"/>
        <v>38149</v>
      </c>
      <c r="C184" s="301" t="e">
        <f t="shared" si="147"/>
        <v>#N/A</v>
      </c>
      <c r="D184" s="301" t="e">
        <f t="shared" si="116"/>
        <v>#N/A</v>
      </c>
      <c r="E184" s="299">
        <f t="shared" si="117"/>
        <v>163</v>
      </c>
      <c r="F184" s="396">
        <f>Weather!M168</f>
        <v>0</v>
      </c>
      <c r="G184" s="301">
        <f>IF(Weather!C168="","",Weather!C168)</f>
        <v>4.0884382495636267</v>
      </c>
      <c r="H184" s="301">
        <f>IF(Weather!D168="","",Weather!D168)</f>
        <v>4.3849772680391643</v>
      </c>
      <c r="I184" s="502">
        <f>IF(Weather!E168="","",Weather!E168)</f>
        <v>4.3849772680391643</v>
      </c>
      <c r="J184" s="397">
        <f>IF(RnSplint!N212&lt;0,0,RnSplint!N212)</f>
        <v>2.6285713733639504</v>
      </c>
      <c r="K184" s="302">
        <f t="shared" si="148"/>
        <v>0.68571428571428594</v>
      </c>
      <c r="L184" s="303">
        <f t="shared" si="149"/>
        <v>38149</v>
      </c>
      <c r="M184" s="346" t="str">
        <f t="shared" si="118"/>
        <v/>
      </c>
      <c r="N184" s="304">
        <f t="shared" si="150"/>
        <v>0.68571428571428594</v>
      </c>
      <c r="O184" s="304">
        <f t="shared" si="151"/>
        <v>0</v>
      </c>
      <c r="P184" s="304">
        <f t="shared" si="119"/>
        <v>0.68571428571428594</v>
      </c>
      <c r="Q184" s="304">
        <f t="shared" si="120"/>
        <v>0.24931391225934901</v>
      </c>
      <c r="R184" s="304">
        <f t="shared" si="121"/>
        <v>0.68571428571428594</v>
      </c>
      <c r="S184" s="305">
        <f t="shared" si="152"/>
        <v>0.68571428571428594</v>
      </c>
      <c r="T184" s="304">
        <f t="shared" si="122"/>
        <v>0.16023898101385109</v>
      </c>
      <c r="U184" s="304">
        <f t="shared" si="166"/>
        <v>0.68571428571428594</v>
      </c>
      <c r="V184" s="305">
        <f t="shared" si="123"/>
        <v>0.68571428571428594</v>
      </c>
      <c r="W184" s="305">
        <f t="shared" si="153"/>
        <v>0.68571428571428594</v>
      </c>
      <c r="X184" s="304">
        <f t="shared" si="154"/>
        <v>0.68571428571428594</v>
      </c>
      <c r="Z184" s="304">
        <f t="shared" si="124"/>
        <v>0.68571428571428594</v>
      </c>
      <c r="AA184" s="305">
        <f t="shared" si="125"/>
        <v>0.68571428571428594</v>
      </c>
      <c r="AB184" s="304">
        <f t="shared" si="126"/>
        <v>3.0068415552268566</v>
      </c>
      <c r="AC184" s="304" t="str">
        <f t="shared" si="155"/>
        <v/>
      </c>
      <c r="AD184" s="306">
        <f t="shared" si="127"/>
        <v>102.57650475141881</v>
      </c>
      <c r="AE184" s="307">
        <f t="shared" si="156"/>
        <v>3.0068415552268566</v>
      </c>
      <c r="AF184" s="308">
        <f t="shared" si="128"/>
        <v>102.57650475141881</v>
      </c>
      <c r="AG184" s="306">
        <f t="shared" si="157"/>
        <v>242.59424193176275</v>
      </c>
      <c r="AH184" s="306">
        <f t="shared" si="129"/>
        <v>0</v>
      </c>
      <c r="AI184" s="306">
        <f t="shared" si="158"/>
        <v>0</v>
      </c>
      <c r="AJ184" s="306">
        <f t="shared" si="159"/>
        <v>0</v>
      </c>
      <c r="AK184" s="306">
        <f t="shared" si="130"/>
        <v>0</v>
      </c>
      <c r="AL184" s="306">
        <f t="shared" si="160"/>
        <v>0</v>
      </c>
      <c r="AM184" s="306">
        <f t="shared" si="131"/>
        <v>0</v>
      </c>
      <c r="AN184" s="304">
        <f>KcSplint!$N213</f>
        <v>0.7456832150418955</v>
      </c>
      <c r="AO184" s="304">
        <f t="shared" si="132"/>
        <v>0.95019290488696784</v>
      </c>
      <c r="AP184" s="304">
        <f t="shared" si="161"/>
        <v>0.95019290488696784</v>
      </c>
      <c r="AQ184" s="305">
        <f t="shared" si="162"/>
        <v>0.95019290488696784</v>
      </c>
      <c r="AR184" s="304">
        <f t="shared" si="163"/>
        <v>4.1665742881814536</v>
      </c>
      <c r="AS184" s="306">
        <f t="shared" si="133"/>
        <v>134.03511392910349</v>
      </c>
      <c r="AT184" s="307">
        <f t="shared" si="164"/>
        <v>4.1665742881814536</v>
      </c>
      <c r="AU184" s="307">
        <f t="shared" si="165"/>
        <v>134.03511392910349</v>
      </c>
      <c r="AV184" s="304">
        <f t="shared" si="134"/>
        <v>4.3849772680391643</v>
      </c>
      <c r="AW184" s="309">
        <f t="shared" si="135"/>
        <v>102.99815458113844</v>
      </c>
      <c r="AX184" s="306">
        <f>IF(ISERROR(Weather!M168),#N/A,Weather!M168)</f>
        <v>0</v>
      </c>
      <c r="AY184" s="310">
        <f t="shared" si="136"/>
        <v>30</v>
      </c>
      <c r="AZ184" s="309">
        <f t="shared" si="137"/>
        <v>0.24931391225934901</v>
      </c>
      <c r="BA184" s="309">
        <f t="shared" si="138"/>
        <v>242.59424193176275</v>
      </c>
      <c r="BB184" s="311">
        <f>Irrig!H186</f>
        <v>0</v>
      </c>
      <c r="BC184" s="310">
        <f t="shared" si="139"/>
        <v>59</v>
      </c>
      <c r="BD184" s="309">
        <f t="shared" si="140"/>
        <v>0.16023898101385109</v>
      </c>
      <c r="BE184" s="309">
        <f t="shared" si="141"/>
        <v>0.16023898101385109</v>
      </c>
      <c r="BF184" s="306">
        <f>DailyMet!H167</f>
        <v>21.49</v>
      </c>
      <c r="BG184" s="306">
        <f>DailyMet!I167</f>
        <v>14</v>
      </c>
      <c r="BH184" s="306">
        <f t="shared" si="142"/>
        <v>21.49</v>
      </c>
      <c r="BI184" s="306">
        <f t="shared" si="143"/>
        <v>14</v>
      </c>
      <c r="BJ184" s="306">
        <f t="shared" si="144"/>
        <v>7.7449999999999974</v>
      </c>
      <c r="BK184" s="306">
        <f t="shared" si="113"/>
        <v>284.33999999999997</v>
      </c>
      <c r="BL184" s="304">
        <f t="shared" si="145"/>
        <v>0</v>
      </c>
      <c r="BM184" s="304">
        <f t="shared" si="146"/>
        <v>7.7449999999999974</v>
      </c>
      <c r="BN184" s="304">
        <f t="shared" si="167"/>
        <v>7.7449999999999974</v>
      </c>
      <c r="BO184" s="306">
        <f t="shared" si="168"/>
        <v>268.86923607665545</v>
      </c>
      <c r="BP184" s="306"/>
    </row>
    <row r="185" spans="1:68">
      <c r="A185" s="299">
        <f t="shared" si="114"/>
        <v>2</v>
      </c>
      <c r="B185" s="300">
        <f t="shared" si="115"/>
        <v>38150</v>
      </c>
      <c r="C185" s="301" t="e">
        <f t="shared" si="147"/>
        <v>#N/A</v>
      </c>
      <c r="D185" s="301" t="e">
        <f t="shared" si="116"/>
        <v>#N/A</v>
      </c>
      <c r="E185" s="299">
        <f t="shared" si="117"/>
        <v>164</v>
      </c>
      <c r="F185" s="396">
        <f>Weather!M169</f>
        <v>0</v>
      </c>
      <c r="G185" s="301">
        <f>IF(Weather!C169="","",Weather!C169)</f>
        <v>4.1203805749793609</v>
      </c>
      <c r="H185" s="301">
        <f>IF(Weather!D169="","",Weather!D169)</f>
        <v>3.8091930190969734</v>
      </c>
      <c r="I185" s="502">
        <f>IF(Weather!E169="","",Weather!E169)</f>
        <v>3.8091930190969734</v>
      </c>
      <c r="J185" s="397">
        <f>IF(RnSplint!N213&lt;0,0,RnSplint!N213)</f>
        <v>3.0027081409899847</v>
      </c>
      <c r="K185" s="302">
        <f t="shared" si="148"/>
        <v>0.70595238095238122</v>
      </c>
      <c r="L185" s="303">
        <f t="shared" si="149"/>
        <v>38150</v>
      </c>
      <c r="M185" s="346" t="str">
        <f t="shared" si="118"/>
        <v/>
      </c>
      <c r="N185" s="304">
        <f t="shared" si="150"/>
        <v>0.70595238095238122</v>
      </c>
      <c r="O185" s="304">
        <f t="shared" si="151"/>
        <v>0</v>
      </c>
      <c r="P185" s="304">
        <f t="shared" si="119"/>
        <v>0.70595238095238122</v>
      </c>
      <c r="Q185" s="304">
        <f t="shared" si="120"/>
        <v>0.24468555043668466</v>
      </c>
      <c r="R185" s="304">
        <f t="shared" si="121"/>
        <v>0.70595238095238122</v>
      </c>
      <c r="S185" s="305">
        <f t="shared" si="152"/>
        <v>0.70595238095238122</v>
      </c>
      <c r="T185" s="304">
        <f t="shared" si="122"/>
        <v>0.15895594657887774</v>
      </c>
      <c r="U185" s="304">
        <f t="shared" si="166"/>
        <v>0.70595238095238122</v>
      </c>
      <c r="V185" s="305">
        <f t="shared" si="123"/>
        <v>0.70595238095238122</v>
      </c>
      <c r="W185" s="305">
        <f t="shared" si="153"/>
        <v>0.70595238095238122</v>
      </c>
      <c r="X185" s="304">
        <f t="shared" si="154"/>
        <v>0.70595238095238122</v>
      </c>
      <c r="Z185" s="304">
        <f t="shared" si="124"/>
        <v>0.70595238095238122</v>
      </c>
      <c r="AA185" s="305">
        <f t="shared" si="125"/>
        <v>0.70595238095238122</v>
      </c>
      <c r="AB185" s="304">
        <f t="shared" si="126"/>
        <v>2.6891088813386976</v>
      </c>
      <c r="AC185" s="304" t="str">
        <f t="shared" si="155"/>
        <v/>
      </c>
      <c r="AD185" s="306">
        <f t="shared" si="127"/>
        <v>105.26561363275751</v>
      </c>
      <c r="AE185" s="307">
        <f t="shared" si="156"/>
        <v>2.6891088813386976</v>
      </c>
      <c r="AF185" s="308">
        <f t="shared" si="128"/>
        <v>105.26561363275751</v>
      </c>
      <c r="AG185" s="306">
        <f t="shared" si="157"/>
        <v>246.40343495085972</v>
      </c>
      <c r="AH185" s="306">
        <f t="shared" si="129"/>
        <v>0</v>
      </c>
      <c r="AI185" s="306">
        <f t="shared" si="158"/>
        <v>0</v>
      </c>
      <c r="AJ185" s="306">
        <f t="shared" si="159"/>
        <v>0</v>
      </c>
      <c r="AK185" s="306">
        <f t="shared" si="130"/>
        <v>0</v>
      </c>
      <c r="AL185" s="306">
        <f t="shared" si="160"/>
        <v>0</v>
      </c>
      <c r="AM185" s="306">
        <f t="shared" si="131"/>
        <v>0</v>
      </c>
      <c r="AN185" s="304">
        <f>KcSplint!$N214</f>
        <v>0.75562130799578187</v>
      </c>
      <c r="AO185" s="304">
        <f t="shared" si="132"/>
        <v>0.95602193367325206</v>
      </c>
      <c r="AP185" s="304">
        <f t="shared" si="161"/>
        <v>0.95602193367325206</v>
      </c>
      <c r="AQ185" s="305">
        <f t="shared" si="162"/>
        <v>0.95602193367325206</v>
      </c>
      <c r="AR185" s="304">
        <f t="shared" si="163"/>
        <v>3.6416720758517416</v>
      </c>
      <c r="AS185" s="306">
        <f t="shared" si="133"/>
        <v>137.67678600495523</v>
      </c>
      <c r="AT185" s="307">
        <f t="shared" si="164"/>
        <v>3.6416720758517416</v>
      </c>
      <c r="AU185" s="307">
        <f t="shared" si="165"/>
        <v>137.67678600495523</v>
      </c>
      <c r="AV185" s="304">
        <f t="shared" si="134"/>
        <v>3.8091930190969734</v>
      </c>
      <c r="AW185" s="309">
        <f t="shared" si="135"/>
        <v>106.8073476002354</v>
      </c>
      <c r="AX185" s="306">
        <f>IF(ISERROR(Weather!M169),#N/A,Weather!M169)</f>
        <v>0</v>
      </c>
      <c r="AY185" s="310">
        <f t="shared" si="136"/>
        <v>31</v>
      </c>
      <c r="AZ185" s="309">
        <f t="shared" si="137"/>
        <v>0.24468555043668466</v>
      </c>
      <c r="BA185" s="309">
        <f t="shared" si="138"/>
        <v>246.40343495085972</v>
      </c>
      <c r="BB185" s="311">
        <f>Irrig!H187</f>
        <v>0</v>
      </c>
      <c r="BC185" s="310">
        <f t="shared" si="139"/>
        <v>60</v>
      </c>
      <c r="BD185" s="309">
        <f t="shared" si="140"/>
        <v>0.15895594657887774</v>
      </c>
      <c r="BE185" s="309">
        <f t="shared" si="141"/>
        <v>0.15895594657887774</v>
      </c>
      <c r="BF185" s="306">
        <f>DailyMet!H168</f>
        <v>20.440000000000001</v>
      </c>
      <c r="BG185" s="306">
        <f>DailyMet!I168</f>
        <v>12.3</v>
      </c>
      <c r="BH185" s="306">
        <f t="shared" si="142"/>
        <v>20.440000000000001</v>
      </c>
      <c r="BI185" s="306">
        <f t="shared" si="143"/>
        <v>12.3</v>
      </c>
      <c r="BJ185" s="306">
        <f t="shared" si="144"/>
        <v>6.370000000000001</v>
      </c>
      <c r="BK185" s="306">
        <f t="shared" si="113"/>
        <v>290.70999999999998</v>
      </c>
      <c r="BL185" s="304">
        <f t="shared" si="145"/>
        <v>0</v>
      </c>
      <c r="BM185" s="304">
        <f t="shared" si="146"/>
        <v>6.370000000000001</v>
      </c>
      <c r="BN185" s="304">
        <f t="shared" si="167"/>
        <v>6.370000000000001</v>
      </c>
      <c r="BO185" s="306">
        <f t="shared" si="168"/>
        <v>275.23923607665546</v>
      </c>
      <c r="BP185" s="306"/>
    </row>
    <row r="186" spans="1:68">
      <c r="A186" s="299">
        <f t="shared" si="114"/>
        <v>2</v>
      </c>
      <c r="B186" s="300">
        <f t="shared" si="115"/>
        <v>38151</v>
      </c>
      <c r="C186" s="301" t="e">
        <f t="shared" si="147"/>
        <v>#N/A</v>
      </c>
      <c r="D186" s="301" t="e">
        <f t="shared" si="116"/>
        <v>#N/A</v>
      </c>
      <c r="E186" s="299">
        <f t="shared" si="117"/>
        <v>165</v>
      </c>
      <c r="F186" s="396">
        <f>Weather!M170</f>
        <v>0</v>
      </c>
      <c r="G186" s="301">
        <f>IF(Weather!C170="","",Weather!C170)</f>
        <v>4.1508873052459467</v>
      </c>
      <c r="H186" s="301">
        <f>IF(Weather!D170="","",Weather!D170)</f>
        <v>4.0988775716802071</v>
      </c>
      <c r="I186" s="502">
        <f>IF(Weather!E170="","",Weather!E170)</f>
        <v>4.0988775716802071</v>
      </c>
      <c r="J186" s="397">
        <f>IF(RnSplint!N214&lt;0,0,RnSplint!N214)</f>
        <v>3.42616748300241</v>
      </c>
      <c r="K186" s="302">
        <f t="shared" si="148"/>
        <v>0.7261904761904765</v>
      </c>
      <c r="L186" s="303">
        <f t="shared" si="149"/>
        <v>38151</v>
      </c>
      <c r="M186" s="346" t="str">
        <f t="shared" si="118"/>
        <v/>
      </c>
      <c r="N186" s="304">
        <f t="shared" si="150"/>
        <v>0.7261904761904765</v>
      </c>
      <c r="O186" s="304">
        <f t="shared" si="151"/>
        <v>0</v>
      </c>
      <c r="P186" s="304">
        <f t="shared" si="119"/>
        <v>0.7261904761904765</v>
      </c>
      <c r="Q186" s="304">
        <f t="shared" si="120"/>
        <v>0.23997679560559929</v>
      </c>
      <c r="R186" s="304">
        <f t="shared" si="121"/>
        <v>0.7261904761904765</v>
      </c>
      <c r="S186" s="305">
        <f t="shared" si="152"/>
        <v>0.7261904761904765</v>
      </c>
      <c r="T186" s="304">
        <f t="shared" si="122"/>
        <v>0.157608504827461</v>
      </c>
      <c r="U186" s="304">
        <f t="shared" si="166"/>
        <v>0.7261904761904765</v>
      </c>
      <c r="V186" s="305">
        <f t="shared" si="123"/>
        <v>0.7261904761904765</v>
      </c>
      <c r="W186" s="305">
        <f t="shared" si="153"/>
        <v>0.7261904761904765</v>
      </c>
      <c r="X186" s="304">
        <f t="shared" si="154"/>
        <v>0.7261904761904765</v>
      </c>
      <c r="Z186" s="304">
        <f t="shared" si="124"/>
        <v>0.7261904761904765</v>
      </c>
      <c r="AA186" s="305">
        <f t="shared" si="125"/>
        <v>0.7261904761904765</v>
      </c>
      <c r="AB186" s="304">
        <f t="shared" si="126"/>
        <v>2.9765658556249135</v>
      </c>
      <c r="AC186" s="304" t="str">
        <f t="shared" si="155"/>
        <v/>
      </c>
      <c r="AD186" s="306">
        <f t="shared" si="127"/>
        <v>108.24217948838242</v>
      </c>
      <c r="AE186" s="307">
        <f t="shared" si="156"/>
        <v>2.9765658556249135</v>
      </c>
      <c r="AF186" s="308">
        <f t="shared" si="128"/>
        <v>108.24217948838242</v>
      </c>
      <c r="AG186" s="306">
        <f t="shared" si="157"/>
        <v>250.50231252253994</v>
      </c>
      <c r="AH186" s="306">
        <f t="shared" si="129"/>
        <v>0</v>
      </c>
      <c r="AI186" s="306">
        <f t="shared" si="158"/>
        <v>0</v>
      </c>
      <c r="AJ186" s="306">
        <f t="shared" si="159"/>
        <v>0</v>
      </c>
      <c r="AK186" s="306">
        <f t="shared" si="130"/>
        <v>0</v>
      </c>
      <c r="AL186" s="306">
        <f t="shared" si="160"/>
        <v>0</v>
      </c>
      <c r="AM186" s="306">
        <f t="shared" si="131"/>
        <v>0</v>
      </c>
      <c r="AN186" s="304">
        <f>KcSplint!$N215</f>
        <v>0.76575949331512283</v>
      </c>
      <c r="AO186" s="304">
        <f t="shared" si="132"/>
        <v>0.96185096245953627</v>
      </c>
      <c r="AP186" s="304">
        <f t="shared" si="161"/>
        <v>0.96185096245953627</v>
      </c>
      <c r="AQ186" s="305">
        <f t="shared" si="162"/>
        <v>0.96185096245953627</v>
      </c>
      <c r="AR186" s="304">
        <f t="shared" si="163"/>
        <v>3.942509337324414</v>
      </c>
      <c r="AS186" s="306">
        <f t="shared" si="133"/>
        <v>141.61929534227966</v>
      </c>
      <c r="AT186" s="307">
        <f t="shared" si="164"/>
        <v>3.942509337324414</v>
      </c>
      <c r="AU186" s="307">
        <f t="shared" si="165"/>
        <v>141.61929534227966</v>
      </c>
      <c r="AV186" s="304">
        <f t="shared" si="134"/>
        <v>4.0988775716802071</v>
      </c>
      <c r="AW186" s="309">
        <f t="shared" si="135"/>
        <v>110.90622517191561</v>
      </c>
      <c r="AX186" s="306">
        <f>IF(ISERROR(Weather!M170),#N/A,Weather!M170)</f>
        <v>0</v>
      </c>
      <c r="AY186" s="310">
        <f t="shared" si="136"/>
        <v>32</v>
      </c>
      <c r="AZ186" s="309">
        <f t="shared" si="137"/>
        <v>0.23997679560559929</v>
      </c>
      <c r="BA186" s="309">
        <f t="shared" si="138"/>
        <v>250.50231252253994</v>
      </c>
      <c r="BB186" s="311">
        <f>Irrig!H188</f>
        <v>0</v>
      </c>
      <c r="BC186" s="310">
        <f t="shared" si="139"/>
        <v>61</v>
      </c>
      <c r="BD186" s="309">
        <f t="shared" si="140"/>
        <v>0.157608504827461</v>
      </c>
      <c r="BE186" s="309">
        <f t="shared" si="141"/>
        <v>0.157608504827461</v>
      </c>
      <c r="BF186" s="306">
        <f>DailyMet!H169</f>
        <v>19.77</v>
      </c>
      <c r="BG186" s="306">
        <f>DailyMet!I169</f>
        <v>12.2</v>
      </c>
      <c r="BH186" s="306">
        <f t="shared" si="142"/>
        <v>19.77</v>
      </c>
      <c r="BI186" s="306">
        <f t="shared" si="143"/>
        <v>12.2</v>
      </c>
      <c r="BJ186" s="306">
        <f t="shared" si="144"/>
        <v>5.9849999999999994</v>
      </c>
      <c r="BK186" s="306">
        <f t="shared" si="113"/>
        <v>296.69499999999999</v>
      </c>
      <c r="BL186" s="304">
        <f t="shared" si="145"/>
        <v>0</v>
      </c>
      <c r="BM186" s="304">
        <f t="shared" si="146"/>
        <v>5.9849999999999994</v>
      </c>
      <c r="BN186" s="304">
        <f t="shared" si="167"/>
        <v>5.9849999999999994</v>
      </c>
      <c r="BO186" s="306">
        <f t="shared" si="168"/>
        <v>281.22423607665547</v>
      </c>
      <c r="BP186" s="306"/>
    </row>
    <row r="187" spans="1:68">
      <c r="A187" s="299">
        <f t="shared" si="114"/>
        <v>2</v>
      </c>
      <c r="B187" s="300">
        <f t="shared" si="115"/>
        <v>38152</v>
      </c>
      <c r="C187" s="301" t="e">
        <f t="shared" si="147"/>
        <v>#N/A</v>
      </c>
      <c r="D187" s="301" t="e">
        <f t="shared" si="116"/>
        <v>#N/A</v>
      </c>
      <c r="E187" s="299">
        <f t="shared" si="117"/>
        <v>166</v>
      </c>
      <c r="F187" s="396">
        <f>Weather!M171</f>
        <v>0</v>
      </c>
      <c r="G187" s="301">
        <f>IF(Weather!C171="","",Weather!C171)</f>
        <v>4.1799237726882774</v>
      </c>
      <c r="H187" s="301">
        <f>IF(Weather!D171="","",Weather!D171)</f>
        <v>4.1796010570230111</v>
      </c>
      <c r="I187" s="502">
        <f>IF(Weather!E171="","",Weather!E171)</f>
        <v>4.1796010570230111</v>
      </c>
      <c r="J187" s="397">
        <f>IF(RnSplint!N215&lt;0,0,RnSplint!N215)</f>
        <v>3.899701303865422</v>
      </c>
      <c r="K187" s="302">
        <f t="shared" si="148"/>
        <v>0.74642857142857177</v>
      </c>
      <c r="L187" s="303">
        <f t="shared" si="149"/>
        <v>38152</v>
      </c>
      <c r="M187" s="346" t="str">
        <f t="shared" si="118"/>
        <v/>
      </c>
      <c r="N187" s="304">
        <f t="shared" si="150"/>
        <v>0.74642857142857177</v>
      </c>
      <c r="O187" s="304">
        <f t="shared" si="151"/>
        <v>0</v>
      </c>
      <c r="P187" s="304">
        <f t="shared" si="119"/>
        <v>0.74642857142857177</v>
      </c>
      <c r="Q187" s="304">
        <f t="shared" si="120"/>
        <v>0.23543945142778899</v>
      </c>
      <c r="R187" s="304">
        <f t="shared" si="121"/>
        <v>0.74642857142857177</v>
      </c>
      <c r="S187" s="305">
        <f t="shared" si="152"/>
        <v>0.74642857142857177</v>
      </c>
      <c r="T187" s="304">
        <f t="shared" si="122"/>
        <v>0.15626851487636922</v>
      </c>
      <c r="U187" s="304">
        <f t="shared" si="166"/>
        <v>0.74642857142857177</v>
      </c>
      <c r="V187" s="305">
        <f t="shared" si="123"/>
        <v>0.74642857142857177</v>
      </c>
      <c r="W187" s="305">
        <f t="shared" si="153"/>
        <v>0.74642857142857177</v>
      </c>
      <c r="X187" s="304">
        <f t="shared" si="154"/>
        <v>0.74642857142857177</v>
      </c>
      <c r="Z187" s="304">
        <f t="shared" si="124"/>
        <v>0.74642857142857177</v>
      </c>
      <c r="AA187" s="305">
        <f t="shared" si="125"/>
        <v>0.74642857142857177</v>
      </c>
      <c r="AB187" s="304">
        <f t="shared" si="126"/>
        <v>3.1197736461350347</v>
      </c>
      <c r="AC187" s="304" t="str">
        <f t="shared" si="155"/>
        <v/>
      </c>
      <c r="AD187" s="306">
        <f t="shared" si="127"/>
        <v>111.36195313451745</v>
      </c>
      <c r="AE187" s="307">
        <f t="shared" si="156"/>
        <v>3.1197736461350347</v>
      </c>
      <c r="AF187" s="308">
        <f t="shared" si="128"/>
        <v>111.36195313451745</v>
      </c>
      <c r="AG187" s="306">
        <f t="shared" si="157"/>
        <v>254.68191357956294</v>
      </c>
      <c r="AH187" s="306">
        <f t="shared" si="129"/>
        <v>0</v>
      </c>
      <c r="AI187" s="306">
        <f t="shared" si="158"/>
        <v>0</v>
      </c>
      <c r="AJ187" s="306">
        <f t="shared" si="159"/>
        <v>0</v>
      </c>
      <c r="AK187" s="306">
        <f t="shared" si="130"/>
        <v>0</v>
      </c>
      <c r="AL187" s="306">
        <f t="shared" si="160"/>
        <v>0</v>
      </c>
      <c r="AM187" s="306">
        <f t="shared" si="131"/>
        <v>0</v>
      </c>
      <c r="AN187" s="304">
        <f>KcSplint!$N216</f>
        <v>0.77606571986436035</v>
      </c>
      <c r="AO187" s="304">
        <f t="shared" si="132"/>
        <v>0.96767999124582049</v>
      </c>
      <c r="AP187" s="304">
        <f t="shared" si="161"/>
        <v>0.96767999124582049</v>
      </c>
      <c r="AQ187" s="305">
        <f t="shared" si="162"/>
        <v>0.96767999124582049</v>
      </c>
      <c r="AR187" s="304">
        <f t="shared" si="163"/>
        <v>4.0445163142710499</v>
      </c>
      <c r="AS187" s="306">
        <f t="shared" si="133"/>
        <v>145.66381165655071</v>
      </c>
      <c r="AT187" s="307">
        <f t="shared" si="164"/>
        <v>4.0445163142710499</v>
      </c>
      <c r="AU187" s="307">
        <f t="shared" si="165"/>
        <v>145.66381165655071</v>
      </c>
      <c r="AV187" s="304">
        <f t="shared" si="134"/>
        <v>4.1796010570230111</v>
      </c>
      <c r="AW187" s="309">
        <f t="shared" si="135"/>
        <v>115.08582622893861</v>
      </c>
      <c r="AX187" s="306">
        <f>IF(ISERROR(Weather!M171),#N/A,Weather!M171)</f>
        <v>0</v>
      </c>
      <c r="AY187" s="310">
        <f t="shared" si="136"/>
        <v>33</v>
      </c>
      <c r="AZ187" s="309">
        <f t="shared" si="137"/>
        <v>0.23543945142778899</v>
      </c>
      <c r="BA187" s="309">
        <f t="shared" si="138"/>
        <v>254.68191357956294</v>
      </c>
      <c r="BB187" s="311">
        <f>Irrig!H189</f>
        <v>0</v>
      </c>
      <c r="BC187" s="310">
        <f t="shared" si="139"/>
        <v>62</v>
      </c>
      <c r="BD187" s="309">
        <f t="shared" si="140"/>
        <v>0.15626851487636922</v>
      </c>
      <c r="BE187" s="309">
        <f t="shared" si="141"/>
        <v>0.15626851487636922</v>
      </c>
      <c r="BF187" s="306">
        <f>DailyMet!H170</f>
        <v>20.059999999999999</v>
      </c>
      <c r="BG187" s="306">
        <f>DailyMet!I170</f>
        <v>10.9</v>
      </c>
      <c r="BH187" s="306">
        <f t="shared" si="142"/>
        <v>20.059999999999999</v>
      </c>
      <c r="BI187" s="306">
        <f t="shared" si="143"/>
        <v>10.9</v>
      </c>
      <c r="BJ187" s="306">
        <f t="shared" si="144"/>
        <v>5.48</v>
      </c>
      <c r="BK187" s="306">
        <f t="shared" si="113"/>
        <v>302.17500000000001</v>
      </c>
      <c r="BL187" s="304">
        <f t="shared" si="145"/>
        <v>0</v>
      </c>
      <c r="BM187" s="304">
        <f t="shared" si="146"/>
        <v>5.48</v>
      </c>
      <c r="BN187" s="304">
        <f t="shared" si="167"/>
        <v>5.48</v>
      </c>
      <c r="BO187" s="306">
        <f t="shared" si="168"/>
        <v>286.70423607665549</v>
      </c>
      <c r="BP187" s="306"/>
    </row>
    <row r="188" spans="1:68">
      <c r="A188" s="299">
        <f t="shared" si="114"/>
        <v>2</v>
      </c>
      <c r="B188" s="300">
        <f t="shared" si="115"/>
        <v>38153</v>
      </c>
      <c r="C188" s="301" t="e">
        <f t="shared" si="147"/>
        <v>#N/A</v>
      </c>
      <c r="D188" s="301" t="e">
        <f t="shared" si="116"/>
        <v>#N/A</v>
      </c>
      <c r="E188" s="299">
        <f t="shared" si="117"/>
        <v>167</v>
      </c>
      <c r="F188" s="396">
        <f>Weather!M172</f>
        <v>0</v>
      </c>
      <c r="G188" s="301">
        <f>IF(Weather!C172="","",Weather!C172)</f>
        <v>4.2074553096312464</v>
      </c>
      <c r="H188" s="301">
        <f>IF(Weather!D172="","",Weather!D172)</f>
        <v>3.089182056521572</v>
      </c>
      <c r="I188" s="502">
        <f>IF(Weather!E172="","",Weather!E172)</f>
        <v>3.089182056521572</v>
      </c>
      <c r="J188" s="397">
        <f>IF(RnSplint!N216&lt;0,0,RnSplint!N216)</f>
        <v>4.4240615080432217</v>
      </c>
      <c r="K188" s="302">
        <f t="shared" si="148"/>
        <v>0.76666666666666705</v>
      </c>
      <c r="L188" s="303">
        <f t="shared" si="149"/>
        <v>38153</v>
      </c>
      <c r="M188" s="346" t="str">
        <f t="shared" si="118"/>
        <v/>
      </c>
      <c r="N188" s="304">
        <f t="shared" si="150"/>
        <v>0.76666666666666705</v>
      </c>
      <c r="O188" s="304">
        <f t="shared" si="151"/>
        <v>0</v>
      </c>
      <c r="P188" s="304">
        <f t="shared" si="119"/>
        <v>0.76666666666666705</v>
      </c>
      <c r="Q188" s="304">
        <f t="shared" si="120"/>
        <v>0.23224334373123465</v>
      </c>
      <c r="R188" s="304">
        <f t="shared" si="121"/>
        <v>0.76666666666666705</v>
      </c>
      <c r="S188" s="305">
        <f t="shared" si="152"/>
        <v>0.76666666666666705</v>
      </c>
      <c r="T188" s="304">
        <f t="shared" si="122"/>
        <v>0.15529935442873627</v>
      </c>
      <c r="U188" s="304">
        <f t="shared" si="166"/>
        <v>0.76666666666666705</v>
      </c>
      <c r="V188" s="305">
        <f t="shared" si="123"/>
        <v>0.76666666666666705</v>
      </c>
      <c r="W188" s="305">
        <f t="shared" si="153"/>
        <v>0.76666666666666705</v>
      </c>
      <c r="X188" s="304">
        <f t="shared" si="154"/>
        <v>0.76666666666666705</v>
      </c>
      <c r="Z188" s="304">
        <f t="shared" si="124"/>
        <v>0.76666666666666705</v>
      </c>
      <c r="AA188" s="305">
        <f t="shared" si="125"/>
        <v>0.76666666666666705</v>
      </c>
      <c r="AB188" s="304">
        <f t="shared" si="126"/>
        <v>2.3683729099998732</v>
      </c>
      <c r="AC188" s="304" t="str">
        <f t="shared" si="155"/>
        <v/>
      </c>
      <c r="AD188" s="306">
        <f t="shared" si="127"/>
        <v>113.73032604451733</v>
      </c>
      <c r="AE188" s="307">
        <f t="shared" si="156"/>
        <v>2.3683729099998732</v>
      </c>
      <c r="AF188" s="308">
        <f t="shared" si="128"/>
        <v>113.73032604451733</v>
      </c>
      <c r="AG188" s="306">
        <f t="shared" si="157"/>
        <v>257.77109563608451</v>
      </c>
      <c r="AH188" s="306">
        <f t="shared" si="129"/>
        <v>0</v>
      </c>
      <c r="AI188" s="306">
        <f t="shared" si="158"/>
        <v>0</v>
      </c>
      <c r="AJ188" s="306">
        <f t="shared" si="159"/>
        <v>0</v>
      </c>
      <c r="AK188" s="306">
        <f t="shared" si="130"/>
        <v>0</v>
      </c>
      <c r="AL188" s="306">
        <f t="shared" si="160"/>
        <v>0</v>
      </c>
      <c r="AM188" s="306">
        <f t="shared" si="131"/>
        <v>0</v>
      </c>
      <c r="AN188" s="304">
        <f>KcSplint!$N217</f>
        <v>0.78650793650793671</v>
      </c>
      <c r="AO188" s="304">
        <f t="shared" si="132"/>
        <v>0.97350902003210471</v>
      </c>
      <c r="AP188" s="304">
        <f t="shared" si="161"/>
        <v>0.97350902003210471</v>
      </c>
      <c r="AQ188" s="305">
        <f t="shared" si="162"/>
        <v>0.97350902003210471</v>
      </c>
      <c r="AR188" s="304">
        <f t="shared" si="163"/>
        <v>3.0073465965450774</v>
      </c>
      <c r="AS188" s="306">
        <f t="shared" si="133"/>
        <v>148.6711582530958</v>
      </c>
      <c r="AT188" s="307">
        <f t="shared" si="164"/>
        <v>3.0073465965450774</v>
      </c>
      <c r="AU188" s="307">
        <f t="shared" si="165"/>
        <v>148.6711582530958</v>
      </c>
      <c r="AV188" s="304">
        <f t="shared" si="134"/>
        <v>3.089182056521572</v>
      </c>
      <c r="AW188" s="309">
        <f t="shared" si="135"/>
        <v>118.17500828546018</v>
      </c>
      <c r="AX188" s="306">
        <f>IF(ISERROR(Weather!M172),#N/A,Weather!M172)</f>
        <v>0</v>
      </c>
      <c r="AY188" s="310">
        <f t="shared" si="136"/>
        <v>34</v>
      </c>
      <c r="AZ188" s="309">
        <f t="shared" si="137"/>
        <v>0.23224334373123465</v>
      </c>
      <c r="BA188" s="309">
        <f t="shared" si="138"/>
        <v>257.77109563608451</v>
      </c>
      <c r="BB188" s="311">
        <f>Irrig!H190</f>
        <v>0</v>
      </c>
      <c r="BC188" s="310">
        <f t="shared" si="139"/>
        <v>63</v>
      </c>
      <c r="BD188" s="309">
        <f t="shared" si="140"/>
        <v>0.15529935442873627</v>
      </c>
      <c r="BE188" s="309">
        <f t="shared" si="141"/>
        <v>0.15529935442873627</v>
      </c>
      <c r="BF188" s="306">
        <f>DailyMet!H171</f>
        <v>22.32</v>
      </c>
      <c r="BG188" s="306">
        <f>DailyMet!I171</f>
        <v>13.5</v>
      </c>
      <c r="BH188" s="306">
        <f t="shared" si="142"/>
        <v>22.32</v>
      </c>
      <c r="BI188" s="306">
        <f t="shared" si="143"/>
        <v>13.5</v>
      </c>
      <c r="BJ188" s="306">
        <f t="shared" si="144"/>
        <v>7.91</v>
      </c>
      <c r="BK188" s="306">
        <f t="shared" si="113"/>
        <v>310.08500000000004</v>
      </c>
      <c r="BL188" s="304">
        <f t="shared" si="145"/>
        <v>0</v>
      </c>
      <c r="BM188" s="304">
        <f t="shared" si="146"/>
        <v>7.91</v>
      </c>
      <c r="BN188" s="304">
        <f t="shared" si="167"/>
        <v>7.91</v>
      </c>
      <c r="BO188" s="306">
        <f t="shared" si="168"/>
        <v>294.61423607665552</v>
      </c>
      <c r="BP188" s="306"/>
    </row>
    <row r="189" spans="1:68">
      <c r="A189" s="299">
        <f t="shared" si="114"/>
        <v>2</v>
      </c>
      <c r="B189" s="300">
        <f t="shared" si="115"/>
        <v>38154</v>
      </c>
      <c r="C189" s="301" t="e">
        <f t="shared" si="147"/>
        <v>#N/A</v>
      </c>
      <c r="D189" s="301" t="e">
        <f t="shared" si="116"/>
        <v>#N/A</v>
      </c>
      <c r="E189" s="299">
        <f t="shared" si="117"/>
        <v>168</v>
      </c>
      <c r="F189" s="396">
        <f>Weather!M173</f>
        <v>0</v>
      </c>
      <c r="G189" s="301">
        <f>IF(Weather!C173="","",Weather!C173)</f>
        <v>4.2334472483997461</v>
      </c>
      <c r="H189" s="301">
        <f>IF(Weather!D173="","",Weather!D173)</f>
        <v>3.6056847789219049</v>
      </c>
      <c r="I189" s="502">
        <f>IF(Weather!E173="","",Weather!E173)</f>
        <v>3.6056847789219049</v>
      </c>
      <c r="J189" s="397">
        <f>IF(RnSplint!N217&lt;0,0,RnSplint!N217)</f>
        <v>5</v>
      </c>
      <c r="K189" s="302">
        <f t="shared" si="148"/>
        <v>0.78690476190476233</v>
      </c>
      <c r="L189" s="303">
        <f t="shared" si="149"/>
        <v>38154</v>
      </c>
      <c r="M189" s="346" t="str">
        <f t="shared" si="118"/>
        <v/>
      </c>
      <c r="N189" s="304">
        <f t="shared" si="150"/>
        <v>0.78690476190476233</v>
      </c>
      <c r="O189" s="304">
        <f t="shared" si="151"/>
        <v>0</v>
      </c>
      <c r="P189" s="304">
        <f t="shared" si="119"/>
        <v>0.78690476190476233</v>
      </c>
      <c r="Q189" s="304">
        <f t="shared" si="120"/>
        <v>0.22866938876054976</v>
      </c>
      <c r="R189" s="304">
        <f t="shared" si="121"/>
        <v>0.78690476190476233</v>
      </c>
      <c r="S189" s="305">
        <f t="shared" si="152"/>
        <v>0.78690476190476233</v>
      </c>
      <c r="T189" s="304">
        <f t="shared" si="122"/>
        <v>0.15419018605761042</v>
      </c>
      <c r="U189" s="304">
        <f t="shared" si="166"/>
        <v>0.78690476190476233</v>
      </c>
      <c r="V189" s="305">
        <f t="shared" si="123"/>
        <v>0.78690476190476233</v>
      </c>
      <c r="W189" s="305">
        <f t="shared" si="153"/>
        <v>0.78690476190476233</v>
      </c>
      <c r="X189" s="304">
        <f t="shared" si="154"/>
        <v>0.78690476190476233</v>
      </c>
      <c r="Z189" s="304">
        <f t="shared" si="124"/>
        <v>0.78690476190476233</v>
      </c>
      <c r="AA189" s="305">
        <f t="shared" si="125"/>
        <v>0.78690476190476233</v>
      </c>
      <c r="AB189" s="304">
        <f t="shared" si="126"/>
        <v>2.8373305224611673</v>
      </c>
      <c r="AC189" s="304" t="str">
        <f t="shared" si="155"/>
        <v/>
      </c>
      <c r="AD189" s="306">
        <f t="shared" si="127"/>
        <v>116.5676565669785</v>
      </c>
      <c r="AE189" s="307">
        <f t="shared" si="156"/>
        <v>2.8373305224611673</v>
      </c>
      <c r="AF189" s="308">
        <f t="shared" si="128"/>
        <v>116.5676565669785</v>
      </c>
      <c r="AG189" s="306">
        <f t="shared" si="157"/>
        <v>261.37678041500641</v>
      </c>
      <c r="AH189" s="306">
        <f t="shared" si="129"/>
        <v>0</v>
      </c>
      <c r="AI189" s="306">
        <f t="shared" si="158"/>
        <v>0</v>
      </c>
      <c r="AJ189" s="306">
        <f t="shared" si="159"/>
        <v>0</v>
      </c>
      <c r="AK189" s="306">
        <f t="shared" si="130"/>
        <v>0</v>
      </c>
      <c r="AL189" s="306">
        <f t="shared" si="160"/>
        <v>0</v>
      </c>
      <c r="AM189" s="306">
        <f t="shared" si="131"/>
        <v>0</v>
      </c>
      <c r="AN189" s="304">
        <f>KcSplint!$N218</f>
        <v>0.79705615289629539</v>
      </c>
      <c r="AO189" s="304">
        <f t="shared" si="132"/>
        <v>0.97933804881838893</v>
      </c>
      <c r="AP189" s="304">
        <f t="shared" si="161"/>
        <v>0.97933804881838893</v>
      </c>
      <c r="AQ189" s="305">
        <f t="shared" si="162"/>
        <v>0.97933804881838893</v>
      </c>
      <c r="AR189" s="304">
        <f t="shared" si="163"/>
        <v>3.5311842960435422</v>
      </c>
      <c r="AS189" s="306">
        <f t="shared" si="133"/>
        <v>152.20234254913933</v>
      </c>
      <c r="AT189" s="307">
        <f t="shared" si="164"/>
        <v>3.5311842960435422</v>
      </c>
      <c r="AU189" s="307">
        <f t="shared" si="165"/>
        <v>152.20234254913933</v>
      </c>
      <c r="AV189" s="304">
        <f t="shared" si="134"/>
        <v>3.6056847789219049</v>
      </c>
      <c r="AW189" s="309">
        <f t="shared" si="135"/>
        <v>121.78069306438209</v>
      </c>
      <c r="AX189" s="306">
        <f>IF(ISERROR(Weather!M173),#N/A,Weather!M173)</f>
        <v>0</v>
      </c>
      <c r="AY189" s="310">
        <f t="shared" si="136"/>
        <v>35</v>
      </c>
      <c r="AZ189" s="309">
        <f t="shared" si="137"/>
        <v>0.22866938876054976</v>
      </c>
      <c r="BA189" s="309">
        <f t="shared" si="138"/>
        <v>261.37678041500641</v>
      </c>
      <c r="BB189" s="311">
        <f>Irrig!H191</f>
        <v>0</v>
      </c>
      <c r="BC189" s="310">
        <f t="shared" si="139"/>
        <v>64</v>
      </c>
      <c r="BD189" s="309">
        <f t="shared" si="140"/>
        <v>0.15419018605761042</v>
      </c>
      <c r="BE189" s="309">
        <f t="shared" si="141"/>
        <v>0.15419018605761042</v>
      </c>
      <c r="BF189" s="306">
        <f>DailyMet!H172</f>
        <v>23.68</v>
      </c>
      <c r="BG189" s="306">
        <f>DailyMet!I172</f>
        <v>13.2</v>
      </c>
      <c r="BH189" s="306">
        <f t="shared" si="142"/>
        <v>23.68</v>
      </c>
      <c r="BI189" s="306">
        <f t="shared" si="143"/>
        <v>13.2</v>
      </c>
      <c r="BJ189" s="306">
        <f t="shared" si="144"/>
        <v>8.4399999999999977</v>
      </c>
      <c r="BK189" s="306">
        <f t="shared" si="113"/>
        <v>318.52500000000003</v>
      </c>
      <c r="BL189" s="304">
        <f t="shared" si="145"/>
        <v>0</v>
      </c>
      <c r="BM189" s="304">
        <f t="shared" si="146"/>
        <v>8.4399999999999977</v>
      </c>
      <c r="BN189" s="304">
        <f t="shared" si="167"/>
        <v>8.4399999999999977</v>
      </c>
      <c r="BO189" s="306">
        <f t="shared" si="168"/>
        <v>303.05423607665551</v>
      </c>
      <c r="BP189" s="306"/>
    </row>
    <row r="190" spans="1:68">
      <c r="A190" s="299">
        <f t="shared" si="114"/>
        <v>2</v>
      </c>
      <c r="B190" s="300">
        <f t="shared" si="115"/>
        <v>38155</v>
      </c>
      <c r="C190" s="301" t="e">
        <f t="shared" si="147"/>
        <v>#N/A</v>
      </c>
      <c r="D190" s="301" t="e">
        <f t="shared" si="116"/>
        <v>#N/A</v>
      </c>
      <c r="E190" s="299">
        <f t="shared" si="117"/>
        <v>169</v>
      </c>
      <c r="F190" s="396">
        <f>Weather!M174</f>
        <v>0</v>
      </c>
      <c r="G190" s="301">
        <f>IF(Weather!C174="","",Weather!C174)</f>
        <v>4.2578756188899858</v>
      </c>
      <c r="H190" s="301">
        <f>IF(Weather!D174="","",Weather!D174)</f>
        <v>3.7174724563255186</v>
      </c>
      <c r="I190" s="502">
        <f>IF(Weather!E174="","",Weather!E174)</f>
        <v>3.7174724563255186</v>
      </c>
      <c r="J190" s="397">
        <f>IF(RnSplint!N218&lt;0,0,RnSplint!N218)</f>
        <v>5.6275652951363142</v>
      </c>
      <c r="K190" s="302">
        <f t="shared" si="148"/>
        <v>0.80714285714285761</v>
      </c>
      <c r="L190" s="303">
        <f t="shared" si="149"/>
        <v>38155</v>
      </c>
      <c r="M190" s="346" t="str">
        <f t="shared" si="118"/>
        <v/>
      </c>
      <c r="N190" s="304">
        <f t="shared" si="150"/>
        <v>0.80714285714285761</v>
      </c>
      <c r="O190" s="304">
        <f t="shared" si="151"/>
        <v>0</v>
      </c>
      <c r="P190" s="304">
        <f t="shared" si="119"/>
        <v>0.80714285714285761</v>
      </c>
      <c r="Q190" s="304">
        <f t="shared" si="120"/>
        <v>0.22514879129494822</v>
      </c>
      <c r="R190" s="304">
        <f t="shared" si="121"/>
        <v>0.80714285714285761</v>
      </c>
      <c r="S190" s="305">
        <f t="shared" si="152"/>
        <v>0.80714285714285761</v>
      </c>
      <c r="T190" s="304">
        <f t="shared" si="122"/>
        <v>0.15307065668226005</v>
      </c>
      <c r="U190" s="304">
        <f t="shared" si="166"/>
        <v>0.80714285714285761</v>
      </c>
      <c r="V190" s="305">
        <f t="shared" si="123"/>
        <v>0.80714285714285761</v>
      </c>
      <c r="W190" s="305">
        <f t="shared" si="153"/>
        <v>0.80714285714285761</v>
      </c>
      <c r="X190" s="304">
        <f t="shared" si="154"/>
        <v>0.80714285714285761</v>
      </c>
      <c r="Z190" s="304">
        <f t="shared" si="124"/>
        <v>0.80714285714285761</v>
      </c>
      <c r="AA190" s="305">
        <f t="shared" si="125"/>
        <v>0.80714285714285761</v>
      </c>
      <c r="AB190" s="304">
        <f t="shared" si="126"/>
        <v>3.0005313397484561</v>
      </c>
      <c r="AC190" s="304" t="str">
        <f t="shared" si="155"/>
        <v/>
      </c>
      <c r="AD190" s="306">
        <f t="shared" si="127"/>
        <v>119.56818790672696</v>
      </c>
      <c r="AE190" s="307">
        <f t="shared" si="156"/>
        <v>3.0005313397484561</v>
      </c>
      <c r="AF190" s="308">
        <f t="shared" si="128"/>
        <v>119.56818790672696</v>
      </c>
      <c r="AG190" s="306">
        <f t="shared" si="157"/>
        <v>265.09425287133195</v>
      </c>
      <c r="AH190" s="306">
        <f t="shared" si="129"/>
        <v>0</v>
      </c>
      <c r="AI190" s="306">
        <f t="shared" si="158"/>
        <v>0</v>
      </c>
      <c r="AJ190" s="306">
        <f t="shared" si="159"/>
        <v>0</v>
      </c>
      <c r="AK190" s="306">
        <f t="shared" si="130"/>
        <v>0</v>
      </c>
      <c r="AL190" s="306">
        <f t="shared" si="160"/>
        <v>0</v>
      </c>
      <c r="AM190" s="306">
        <f t="shared" si="131"/>
        <v>0</v>
      </c>
      <c r="AN190" s="304">
        <f>KcSplint!$N219</f>
        <v>0.8076886218238859</v>
      </c>
      <c r="AO190" s="304">
        <f t="shared" si="132"/>
        <v>0.98516707760467315</v>
      </c>
      <c r="AP190" s="304">
        <f t="shared" si="161"/>
        <v>0.98516707760467315</v>
      </c>
      <c r="AQ190" s="305">
        <f t="shared" si="162"/>
        <v>0.98516707760467315</v>
      </c>
      <c r="AR190" s="304">
        <f t="shared" si="163"/>
        <v>3.662331475874077</v>
      </c>
      <c r="AS190" s="306">
        <f t="shared" si="133"/>
        <v>155.86467402501341</v>
      </c>
      <c r="AT190" s="307">
        <f t="shared" si="164"/>
        <v>3.662331475874077</v>
      </c>
      <c r="AU190" s="307">
        <f t="shared" si="165"/>
        <v>155.86467402501341</v>
      </c>
      <c r="AV190" s="304">
        <f t="shared" si="134"/>
        <v>3.7174724563255186</v>
      </c>
      <c r="AW190" s="309">
        <f t="shared" si="135"/>
        <v>125.49816552070762</v>
      </c>
      <c r="AX190" s="306">
        <f>IF(ISERROR(Weather!M174),#N/A,Weather!M174)</f>
        <v>0</v>
      </c>
      <c r="AY190" s="310">
        <f t="shared" si="136"/>
        <v>36</v>
      </c>
      <c r="AZ190" s="309">
        <f t="shared" si="137"/>
        <v>0.22514879129494822</v>
      </c>
      <c r="BA190" s="309">
        <f t="shared" si="138"/>
        <v>265.09425287133195</v>
      </c>
      <c r="BB190" s="311">
        <f>Irrig!H192</f>
        <v>0</v>
      </c>
      <c r="BC190" s="310">
        <f t="shared" si="139"/>
        <v>65</v>
      </c>
      <c r="BD190" s="309">
        <f t="shared" si="140"/>
        <v>0.15307065668226005</v>
      </c>
      <c r="BE190" s="309">
        <f t="shared" si="141"/>
        <v>0.15307065668226005</v>
      </c>
      <c r="BF190" s="306">
        <f>DailyMet!H173</f>
        <v>25.58</v>
      </c>
      <c r="BG190" s="306">
        <f>DailyMet!I173</f>
        <v>14.3</v>
      </c>
      <c r="BH190" s="306">
        <f t="shared" si="142"/>
        <v>25.58</v>
      </c>
      <c r="BI190" s="306">
        <f t="shared" si="143"/>
        <v>14.3</v>
      </c>
      <c r="BJ190" s="306">
        <f t="shared" si="144"/>
        <v>9.9399999999999977</v>
      </c>
      <c r="BK190" s="306">
        <f t="shared" si="113"/>
        <v>328.46500000000003</v>
      </c>
      <c r="BL190" s="304">
        <f t="shared" si="145"/>
        <v>0</v>
      </c>
      <c r="BM190" s="304">
        <f t="shared" si="146"/>
        <v>9.9399999999999977</v>
      </c>
      <c r="BN190" s="304">
        <f t="shared" si="167"/>
        <v>9.9399999999999977</v>
      </c>
      <c r="BO190" s="306">
        <f t="shared" si="168"/>
        <v>312.99423607665551</v>
      </c>
      <c r="BP190" s="306"/>
    </row>
    <row r="191" spans="1:68">
      <c r="A191" s="299">
        <f t="shared" si="114"/>
        <v>2</v>
      </c>
      <c r="B191" s="300">
        <f t="shared" si="115"/>
        <v>38156</v>
      </c>
      <c r="C191" s="301" t="e">
        <f t="shared" si="147"/>
        <v>#N/A</v>
      </c>
      <c r="D191" s="301" t="e">
        <f t="shared" si="116"/>
        <v>#N/A</v>
      </c>
      <c r="E191" s="299">
        <f t="shared" si="117"/>
        <v>170</v>
      </c>
      <c r="F191" s="396">
        <f>Weather!M175</f>
        <v>0</v>
      </c>
      <c r="G191" s="301">
        <f>IF(Weather!C175="","",Weather!C175)</f>
        <v>4.2807592412834339</v>
      </c>
      <c r="H191" s="301">
        <f>IF(Weather!D175="","",Weather!D175)</f>
        <v>4.2638464795477748</v>
      </c>
      <c r="I191" s="502">
        <f>IF(Weather!E175="","",Weather!E175)</f>
        <v>4.2638464795477748</v>
      </c>
      <c r="J191" s="397">
        <f>IF(RnSplint!N219&lt;0,0,RnSplint!N219)</f>
        <v>6.3039923525981507</v>
      </c>
      <c r="K191" s="302">
        <f t="shared" si="148"/>
        <v>0.82738095238095288</v>
      </c>
      <c r="L191" s="303">
        <f t="shared" si="149"/>
        <v>38156</v>
      </c>
      <c r="M191" s="346" t="str">
        <f t="shared" si="118"/>
        <v/>
      </c>
      <c r="N191" s="304">
        <f t="shared" si="150"/>
        <v>0.82738095238095288</v>
      </c>
      <c r="O191" s="304">
        <f t="shared" si="151"/>
        <v>0</v>
      </c>
      <c r="P191" s="304">
        <f t="shared" si="119"/>
        <v>0.82738095238095288</v>
      </c>
      <c r="Q191" s="304">
        <f t="shared" si="120"/>
        <v>0.22130048212665185</v>
      </c>
      <c r="R191" s="304">
        <f t="shared" si="121"/>
        <v>0.82738095238095288</v>
      </c>
      <c r="S191" s="305">
        <f t="shared" si="152"/>
        <v>0.82738095238095288</v>
      </c>
      <c r="T191" s="304">
        <f t="shared" si="122"/>
        <v>0.15181553225814254</v>
      </c>
      <c r="U191" s="304">
        <f t="shared" si="166"/>
        <v>0.82738095238095288</v>
      </c>
      <c r="V191" s="305">
        <f t="shared" si="123"/>
        <v>0.82738095238095288</v>
      </c>
      <c r="W191" s="305">
        <f t="shared" si="153"/>
        <v>0.82738095238095288</v>
      </c>
      <c r="X191" s="304">
        <f t="shared" si="154"/>
        <v>0.82738095238095288</v>
      </c>
      <c r="Z191" s="304">
        <f t="shared" si="124"/>
        <v>0.82738095238095288</v>
      </c>
      <c r="AA191" s="305">
        <f t="shared" si="125"/>
        <v>0.82738095238095288</v>
      </c>
      <c r="AB191" s="304">
        <f t="shared" si="126"/>
        <v>3.5278253610544112</v>
      </c>
      <c r="AC191" s="304" t="str">
        <f t="shared" si="155"/>
        <v/>
      </c>
      <c r="AD191" s="306">
        <f t="shared" si="127"/>
        <v>123.09601326778137</v>
      </c>
      <c r="AE191" s="307">
        <f t="shared" si="156"/>
        <v>3.5278253610544112</v>
      </c>
      <c r="AF191" s="308">
        <f t="shared" si="128"/>
        <v>123.09601326778137</v>
      </c>
      <c r="AG191" s="306">
        <f t="shared" si="157"/>
        <v>269.35809935087974</v>
      </c>
      <c r="AH191" s="306">
        <f t="shared" si="129"/>
        <v>0</v>
      </c>
      <c r="AI191" s="306">
        <f t="shared" si="158"/>
        <v>0</v>
      </c>
      <c r="AJ191" s="306">
        <f t="shared" si="159"/>
        <v>0</v>
      </c>
      <c r="AK191" s="306">
        <f t="shared" si="130"/>
        <v>0</v>
      </c>
      <c r="AL191" s="306">
        <f t="shared" si="160"/>
        <v>0</v>
      </c>
      <c r="AM191" s="306">
        <f t="shared" si="131"/>
        <v>0</v>
      </c>
      <c r="AN191" s="304">
        <f>KcSplint!$N220</f>
        <v>0.81838565687115894</v>
      </c>
      <c r="AO191" s="304">
        <f t="shared" si="132"/>
        <v>0.99099610639095737</v>
      </c>
      <c r="AP191" s="304">
        <f t="shared" si="161"/>
        <v>0.99099610639095737</v>
      </c>
      <c r="AQ191" s="305">
        <f t="shared" si="162"/>
        <v>0.99099610639095737</v>
      </c>
      <c r="AR191" s="304">
        <f t="shared" si="163"/>
        <v>4.2254552594806354</v>
      </c>
      <c r="AS191" s="306">
        <f t="shared" si="133"/>
        <v>160.09012928449405</v>
      </c>
      <c r="AT191" s="307">
        <f t="shared" si="164"/>
        <v>4.2254552594806354</v>
      </c>
      <c r="AU191" s="307">
        <f t="shared" si="165"/>
        <v>160.09012928449405</v>
      </c>
      <c r="AV191" s="304">
        <f t="shared" si="134"/>
        <v>4.2638464795477748</v>
      </c>
      <c r="AW191" s="309">
        <f t="shared" si="135"/>
        <v>129.7620120002554</v>
      </c>
      <c r="AX191" s="306">
        <f>IF(ISERROR(Weather!M175),#N/A,Weather!M175)</f>
        <v>0</v>
      </c>
      <c r="AY191" s="310">
        <f t="shared" si="136"/>
        <v>37</v>
      </c>
      <c r="AZ191" s="309">
        <f t="shared" si="137"/>
        <v>0.22130048212665185</v>
      </c>
      <c r="BA191" s="309">
        <f t="shared" si="138"/>
        <v>269.35809935087974</v>
      </c>
      <c r="BB191" s="311">
        <f>Irrig!H193</f>
        <v>0</v>
      </c>
      <c r="BC191" s="310">
        <f t="shared" si="139"/>
        <v>66</v>
      </c>
      <c r="BD191" s="309">
        <f t="shared" si="140"/>
        <v>0.15181553225814254</v>
      </c>
      <c r="BE191" s="309">
        <f t="shared" si="141"/>
        <v>0.15181553225814254</v>
      </c>
      <c r="BF191" s="306">
        <f>DailyMet!H174</f>
        <v>26.78</v>
      </c>
      <c r="BG191" s="306">
        <f>DailyMet!I174</f>
        <v>16.399999999999999</v>
      </c>
      <c r="BH191" s="306">
        <f t="shared" si="142"/>
        <v>26.78</v>
      </c>
      <c r="BI191" s="306">
        <f t="shared" si="143"/>
        <v>16.399999999999999</v>
      </c>
      <c r="BJ191" s="306">
        <f t="shared" si="144"/>
        <v>11.59</v>
      </c>
      <c r="BK191" s="306">
        <f t="shared" si="113"/>
        <v>340.05500000000001</v>
      </c>
      <c r="BL191" s="304">
        <f t="shared" si="145"/>
        <v>0</v>
      </c>
      <c r="BM191" s="304">
        <f t="shared" si="146"/>
        <v>11.59</v>
      </c>
      <c r="BN191" s="304">
        <f t="shared" si="167"/>
        <v>11.59</v>
      </c>
      <c r="BO191" s="306">
        <f t="shared" si="168"/>
        <v>324.58423607665549</v>
      </c>
      <c r="BP191" s="306"/>
    </row>
    <row r="192" spans="1:68">
      <c r="A192" s="299">
        <f t="shared" si="114"/>
        <v>2</v>
      </c>
      <c r="B192" s="300">
        <f t="shared" si="115"/>
        <v>38157</v>
      </c>
      <c r="C192" s="301" t="e">
        <f t="shared" si="147"/>
        <v>#N/A</v>
      </c>
      <c r="D192" s="301" t="e">
        <f t="shared" si="116"/>
        <v>#N/A</v>
      </c>
      <c r="E192" s="299">
        <f t="shared" si="117"/>
        <v>171</v>
      </c>
      <c r="F192" s="396">
        <f>Weather!M176</f>
        <v>0</v>
      </c>
      <c r="G192" s="301">
        <f>IF(Weather!C176="","",Weather!C176)</f>
        <v>4.3021276333328764</v>
      </c>
      <c r="H192" s="301">
        <f>IF(Weather!D176="","",Weather!D176)</f>
        <v>4.3448768618195519</v>
      </c>
      <c r="I192" s="502">
        <f>IF(Weather!E176="","",Weather!E176)</f>
        <v>4.3448768618195519</v>
      </c>
      <c r="J192" s="397">
        <f>IF(RnSplint!N220&lt;0,0,RnSplint!N220)</f>
        <v>7.0258127424678491</v>
      </c>
      <c r="K192" s="302">
        <f t="shared" si="148"/>
        <v>0.84761904761904816</v>
      </c>
      <c r="L192" s="303">
        <f t="shared" si="149"/>
        <v>38157</v>
      </c>
      <c r="M192" s="346" t="str">
        <f t="shared" si="118"/>
        <v/>
      </c>
      <c r="N192" s="304">
        <f t="shared" si="150"/>
        <v>0.84761904761904816</v>
      </c>
      <c r="O192" s="304">
        <f t="shared" si="151"/>
        <v>0</v>
      </c>
      <c r="P192" s="304">
        <f t="shared" si="119"/>
        <v>0.84761904761904816</v>
      </c>
      <c r="Q192" s="304">
        <f t="shared" si="120"/>
        <v>0.21757136953814696</v>
      </c>
      <c r="R192" s="304">
        <f t="shared" si="121"/>
        <v>0.84761904761904816</v>
      </c>
      <c r="S192" s="305">
        <f t="shared" si="152"/>
        <v>0.84761904761904816</v>
      </c>
      <c r="T192" s="304">
        <f t="shared" si="122"/>
        <v>0.15056716538545978</v>
      </c>
      <c r="U192" s="304">
        <f t="shared" si="166"/>
        <v>0.84761904761904816</v>
      </c>
      <c r="V192" s="305">
        <f t="shared" si="123"/>
        <v>0.84761904761904816</v>
      </c>
      <c r="W192" s="305">
        <f t="shared" si="153"/>
        <v>0.84761904761904816</v>
      </c>
      <c r="X192" s="304">
        <f t="shared" si="154"/>
        <v>0.84761904761904816</v>
      </c>
      <c r="Z192" s="304">
        <f t="shared" si="124"/>
        <v>0.84761904761904816</v>
      </c>
      <c r="AA192" s="305">
        <f t="shared" si="125"/>
        <v>0.84761904761904816</v>
      </c>
      <c r="AB192" s="304">
        <f t="shared" si="126"/>
        <v>3.6828003876375273</v>
      </c>
      <c r="AC192" s="304" t="str">
        <f t="shared" si="155"/>
        <v/>
      </c>
      <c r="AD192" s="306">
        <f t="shared" si="127"/>
        <v>126.7788136554189</v>
      </c>
      <c r="AE192" s="307">
        <f t="shared" si="156"/>
        <v>3.6828003876375273</v>
      </c>
      <c r="AF192" s="308">
        <f t="shared" si="128"/>
        <v>126.7788136554189</v>
      </c>
      <c r="AG192" s="306">
        <f t="shared" si="157"/>
        <v>273.7029762126993</v>
      </c>
      <c r="AH192" s="306">
        <f t="shared" si="129"/>
        <v>0</v>
      </c>
      <c r="AI192" s="306">
        <f t="shared" si="158"/>
        <v>0</v>
      </c>
      <c r="AJ192" s="306">
        <f t="shared" si="159"/>
        <v>0</v>
      </c>
      <c r="AK192" s="306">
        <f t="shared" si="130"/>
        <v>0</v>
      </c>
      <c r="AL192" s="306">
        <f t="shared" si="160"/>
        <v>0</v>
      </c>
      <c r="AM192" s="306">
        <f t="shared" si="131"/>
        <v>0</v>
      </c>
      <c r="AN192" s="304">
        <f>KcSplint!$N221</f>
        <v>0.82912757161856521</v>
      </c>
      <c r="AO192" s="304">
        <f t="shared" si="132"/>
        <v>0.99682513517724158</v>
      </c>
      <c r="AP192" s="304">
        <f t="shared" si="161"/>
        <v>0.99682513517724158</v>
      </c>
      <c r="AQ192" s="305">
        <f t="shared" si="162"/>
        <v>0.99682513517724158</v>
      </c>
      <c r="AR192" s="304">
        <f t="shared" si="163"/>
        <v>4.3310824651117441</v>
      </c>
      <c r="AS192" s="306">
        <f t="shared" si="133"/>
        <v>164.42121174960579</v>
      </c>
      <c r="AT192" s="307">
        <f t="shared" si="164"/>
        <v>4.3310824651117441</v>
      </c>
      <c r="AU192" s="307">
        <f t="shared" si="165"/>
        <v>164.42121174960579</v>
      </c>
      <c r="AV192" s="304">
        <f t="shared" si="134"/>
        <v>4.3448768618195519</v>
      </c>
      <c r="AW192" s="309">
        <f t="shared" si="135"/>
        <v>134.10688886207495</v>
      </c>
      <c r="AX192" s="306">
        <f>IF(ISERROR(Weather!M176),#N/A,Weather!M176)</f>
        <v>0</v>
      </c>
      <c r="AY192" s="310">
        <f t="shared" si="136"/>
        <v>38</v>
      </c>
      <c r="AZ192" s="309">
        <f t="shared" si="137"/>
        <v>0.21757136953814696</v>
      </c>
      <c r="BA192" s="309">
        <f t="shared" si="138"/>
        <v>273.7029762126993</v>
      </c>
      <c r="BB192" s="311">
        <f>Irrig!H194</f>
        <v>0</v>
      </c>
      <c r="BC192" s="310">
        <f t="shared" si="139"/>
        <v>67</v>
      </c>
      <c r="BD192" s="309">
        <f t="shared" si="140"/>
        <v>0.15056716538545978</v>
      </c>
      <c r="BE192" s="309">
        <f t="shared" si="141"/>
        <v>0.15056716538545978</v>
      </c>
      <c r="BF192" s="306">
        <f>DailyMet!H175</f>
        <v>28.93</v>
      </c>
      <c r="BG192" s="306">
        <f>DailyMet!I175</f>
        <v>21.8</v>
      </c>
      <c r="BH192" s="306">
        <f t="shared" si="142"/>
        <v>28.93</v>
      </c>
      <c r="BI192" s="306">
        <f t="shared" si="143"/>
        <v>21.8</v>
      </c>
      <c r="BJ192" s="306">
        <f t="shared" si="144"/>
        <v>15.365000000000002</v>
      </c>
      <c r="BK192" s="306">
        <f t="shared" si="113"/>
        <v>355.42</v>
      </c>
      <c r="BL192" s="304">
        <f t="shared" si="145"/>
        <v>0</v>
      </c>
      <c r="BM192" s="304">
        <f t="shared" si="146"/>
        <v>15.365000000000002</v>
      </c>
      <c r="BN192" s="304">
        <f t="shared" si="167"/>
        <v>15.365000000000002</v>
      </c>
      <c r="BO192" s="306">
        <f t="shared" si="168"/>
        <v>339.9492360766555</v>
      </c>
      <c r="BP192" s="306"/>
    </row>
    <row r="193" spans="1:68">
      <c r="A193" s="299">
        <f t="shared" si="114"/>
        <v>2</v>
      </c>
      <c r="B193" s="300">
        <f t="shared" si="115"/>
        <v>38158</v>
      </c>
      <c r="C193" s="301" t="e">
        <f t="shared" si="147"/>
        <v>#N/A</v>
      </c>
      <c r="D193" s="301" t="e">
        <f t="shared" si="116"/>
        <v>#N/A</v>
      </c>
      <c r="E193" s="299">
        <f t="shared" si="117"/>
        <v>172</v>
      </c>
      <c r="F193" s="396">
        <f>Weather!M177</f>
        <v>0</v>
      </c>
      <c r="G193" s="301">
        <f>IF(Weather!C177="","",Weather!C177)</f>
        <v>4.3220103127910967</v>
      </c>
      <c r="H193" s="301">
        <f>IF(Weather!D177="","",Weather!D177)</f>
        <v>4.2189462561948528</v>
      </c>
      <c r="I193" s="502">
        <f>IF(Weather!E177="","",Weather!E177)</f>
        <v>4.2189462561948528</v>
      </c>
      <c r="J193" s="397">
        <f>IF(RnSplint!N221&lt;0,0,RnSplint!N221)</f>
        <v>7.7895580348277536</v>
      </c>
      <c r="K193" s="302">
        <f t="shared" si="148"/>
        <v>0.86785714285714344</v>
      </c>
      <c r="L193" s="303">
        <f t="shared" si="149"/>
        <v>38158</v>
      </c>
      <c r="M193" s="346" t="str">
        <f t="shared" si="118"/>
        <v/>
      </c>
      <c r="N193" s="304">
        <f t="shared" si="150"/>
        <v>0.86785714285714344</v>
      </c>
      <c r="O193" s="304">
        <f t="shared" si="151"/>
        <v>0</v>
      </c>
      <c r="P193" s="304">
        <f t="shared" si="119"/>
        <v>0.86785714285714344</v>
      </c>
      <c r="Q193" s="304">
        <f t="shared" si="120"/>
        <v>0.21412156224438375</v>
      </c>
      <c r="R193" s="304">
        <f t="shared" si="121"/>
        <v>0.86785714285714344</v>
      </c>
      <c r="S193" s="305">
        <f t="shared" si="152"/>
        <v>0.86785714285714344</v>
      </c>
      <c r="T193" s="304">
        <f t="shared" si="122"/>
        <v>0.14938339973983211</v>
      </c>
      <c r="U193" s="304">
        <f t="shared" si="166"/>
        <v>0.86785714285714344</v>
      </c>
      <c r="V193" s="305">
        <f t="shared" si="123"/>
        <v>0.86785714285714344</v>
      </c>
      <c r="W193" s="305">
        <f t="shared" si="153"/>
        <v>0.86785714285714344</v>
      </c>
      <c r="X193" s="304">
        <f t="shared" si="154"/>
        <v>0.86785714285714344</v>
      </c>
      <c r="Z193" s="304">
        <f t="shared" si="124"/>
        <v>0.86785714285714344</v>
      </c>
      <c r="AA193" s="305">
        <f t="shared" si="125"/>
        <v>0.86785714285714344</v>
      </c>
      <c r="AB193" s="304">
        <f t="shared" si="126"/>
        <v>3.661442643769107</v>
      </c>
      <c r="AC193" s="304" t="str">
        <f t="shared" si="155"/>
        <v/>
      </c>
      <c r="AD193" s="306">
        <f t="shared" si="127"/>
        <v>130.44025629918801</v>
      </c>
      <c r="AE193" s="307">
        <f t="shared" si="156"/>
        <v>3.661442643769107</v>
      </c>
      <c r="AF193" s="308">
        <f t="shared" si="128"/>
        <v>130.44025629918801</v>
      </c>
      <c r="AG193" s="306">
        <f t="shared" si="157"/>
        <v>277.92192246889414</v>
      </c>
      <c r="AH193" s="306">
        <f t="shared" si="129"/>
        <v>0</v>
      </c>
      <c r="AI193" s="306">
        <f t="shared" si="158"/>
        <v>0</v>
      </c>
      <c r="AJ193" s="306">
        <f t="shared" si="159"/>
        <v>0</v>
      </c>
      <c r="AK193" s="306">
        <f t="shared" si="130"/>
        <v>0</v>
      </c>
      <c r="AL193" s="306">
        <f t="shared" si="160"/>
        <v>0</v>
      </c>
      <c r="AM193" s="306">
        <f t="shared" si="131"/>
        <v>0</v>
      </c>
      <c r="AN193" s="304">
        <f>KcSplint!$N222</f>
        <v>0.83989467964655584</v>
      </c>
      <c r="AO193" s="304">
        <f t="shared" si="132"/>
        <v>1.0026541639635258</v>
      </c>
      <c r="AP193" s="304">
        <f t="shared" si="161"/>
        <v>1.0026541639635258</v>
      </c>
      <c r="AQ193" s="305">
        <f t="shared" si="162"/>
        <v>1.0026541639635258</v>
      </c>
      <c r="AR193" s="304">
        <f t="shared" si="163"/>
        <v>4.230144031312097</v>
      </c>
      <c r="AS193" s="306">
        <f t="shared" si="133"/>
        <v>168.6513557809179</v>
      </c>
      <c r="AT193" s="307">
        <f t="shared" si="164"/>
        <v>4.230144031312097</v>
      </c>
      <c r="AU193" s="307">
        <f t="shared" si="165"/>
        <v>168.6513557809179</v>
      </c>
      <c r="AV193" s="304">
        <f t="shared" si="134"/>
        <v>4.2189462561948528</v>
      </c>
      <c r="AW193" s="309">
        <f t="shared" si="135"/>
        <v>138.32583511826979</v>
      </c>
      <c r="AX193" s="306">
        <f>IF(ISERROR(Weather!M177),#N/A,Weather!M177)</f>
        <v>0</v>
      </c>
      <c r="AY193" s="310">
        <f t="shared" si="136"/>
        <v>39</v>
      </c>
      <c r="AZ193" s="309">
        <f t="shared" si="137"/>
        <v>0.21412156224438375</v>
      </c>
      <c r="BA193" s="309">
        <f t="shared" si="138"/>
        <v>277.92192246889414</v>
      </c>
      <c r="BB193" s="311">
        <f>Irrig!H195</f>
        <v>0</v>
      </c>
      <c r="BC193" s="310">
        <f t="shared" si="139"/>
        <v>68</v>
      </c>
      <c r="BD193" s="309">
        <f t="shared" si="140"/>
        <v>0.14938339973983211</v>
      </c>
      <c r="BE193" s="309">
        <f t="shared" si="141"/>
        <v>0.14938339973983211</v>
      </c>
      <c r="BF193" s="306">
        <f>DailyMet!H176</f>
        <v>27.7</v>
      </c>
      <c r="BG193" s="306">
        <f>DailyMet!I176</f>
        <v>18.899999999999999</v>
      </c>
      <c r="BH193" s="306">
        <f t="shared" si="142"/>
        <v>27.7</v>
      </c>
      <c r="BI193" s="306">
        <f t="shared" si="143"/>
        <v>18.899999999999999</v>
      </c>
      <c r="BJ193" s="306">
        <f t="shared" si="144"/>
        <v>13.299999999999997</v>
      </c>
      <c r="BK193" s="306">
        <f t="shared" si="113"/>
        <v>368.72</v>
      </c>
      <c r="BL193" s="304">
        <f t="shared" si="145"/>
        <v>0</v>
      </c>
      <c r="BM193" s="304">
        <f t="shared" si="146"/>
        <v>13.299999999999997</v>
      </c>
      <c r="BN193" s="304">
        <f t="shared" si="167"/>
        <v>13.299999999999997</v>
      </c>
      <c r="BO193" s="306">
        <f t="shared" si="168"/>
        <v>353.24923607665551</v>
      </c>
      <c r="BP193" s="306"/>
    </row>
    <row r="194" spans="1:68">
      <c r="A194" s="299">
        <f t="shared" si="114"/>
        <v>2</v>
      </c>
      <c r="B194" s="300">
        <f t="shared" si="115"/>
        <v>38159</v>
      </c>
      <c r="C194" s="301" t="e">
        <f t="shared" si="147"/>
        <v>#N/A</v>
      </c>
      <c r="D194" s="301" t="e">
        <f t="shared" si="116"/>
        <v>#N/A</v>
      </c>
      <c r="E194" s="299">
        <f t="shared" si="117"/>
        <v>173</v>
      </c>
      <c r="F194" s="396">
        <f>Weather!M178</f>
        <v>0</v>
      </c>
      <c r="G194" s="301">
        <f>IF(Weather!C178="","",Weather!C178)</f>
        <v>4.3404367974108817</v>
      </c>
      <c r="H194" s="301">
        <f>IF(Weather!D178="","",Weather!D178)</f>
        <v>4.815483037784154</v>
      </c>
      <c r="I194" s="502">
        <f>IF(Weather!E178="","",Weather!E178)</f>
        <v>4.815483037784154</v>
      </c>
      <c r="J194" s="397">
        <f>IF(RnSplint!N222&lt;0,0,RnSplint!N222)</f>
        <v>8.5917597997602027</v>
      </c>
      <c r="K194" s="302">
        <f t="shared" si="148"/>
        <v>0.88809523809523871</v>
      </c>
      <c r="L194" s="303">
        <f t="shared" si="149"/>
        <v>38159</v>
      </c>
      <c r="M194" s="346" t="str">
        <f t="shared" si="118"/>
        <v/>
      </c>
      <c r="N194" s="304">
        <f t="shared" si="150"/>
        <v>0.88809523809523871</v>
      </c>
      <c r="O194" s="304">
        <f t="shared" si="151"/>
        <v>0</v>
      </c>
      <c r="P194" s="304">
        <f t="shared" si="119"/>
        <v>0.88809523809523871</v>
      </c>
      <c r="Q194" s="304">
        <f t="shared" si="120"/>
        <v>0.21037385260207994</v>
      </c>
      <c r="R194" s="304">
        <f t="shared" si="121"/>
        <v>0.88809523809523871</v>
      </c>
      <c r="S194" s="305">
        <f t="shared" si="152"/>
        <v>0.88809523809523871</v>
      </c>
      <c r="T194" s="304">
        <f t="shared" si="122"/>
        <v>1.2</v>
      </c>
      <c r="U194" s="304">
        <f t="shared" si="166"/>
        <v>1.2</v>
      </c>
      <c r="V194" s="305">
        <f t="shared" si="123"/>
        <v>1.2</v>
      </c>
      <c r="W194" s="305">
        <f t="shared" si="153"/>
        <v>0.88809523809523871</v>
      </c>
      <c r="X194" s="304">
        <f t="shared" si="154"/>
        <v>1.2</v>
      </c>
      <c r="Z194" s="304">
        <f t="shared" si="124"/>
        <v>1.2</v>
      </c>
      <c r="AA194" s="305">
        <f t="shared" si="125"/>
        <v>1.2</v>
      </c>
      <c r="AB194" s="304">
        <f t="shared" si="126"/>
        <v>5.7785796453409848</v>
      </c>
      <c r="AC194" s="304" t="str">
        <f t="shared" si="155"/>
        <v/>
      </c>
      <c r="AD194" s="306">
        <f t="shared" si="127"/>
        <v>136.21883594452899</v>
      </c>
      <c r="AE194" s="307">
        <f t="shared" si="156"/>
        <v>5.7785796453409848</v>
      </c>
      <c r="AF194" s="308">
        <f t="shared" si="128"/>
        <v>136.21883594452899</v>
      </c>
      <c r="AG194" s="306">
        <f t="shared" si="157"/>
        <v>282.73740550667827</v>
      </c>
      <c r="AH194" s="306">
        <f t="shared" si="129"/>
        <v>0</v>
      </c>
      <c r="AI194" s="306">
        <f t="shared" si="158"/>
        <v>0</v>
      </c>
      <c r="AJ194" s="306">
        <f t="shared" si="159"/>
        <v>0</v>
      </c>
      <c r="AK194" s="306">
        <f t="shared" si="130"/>
        <v>0</v>
      </c>
      <c r="AL194" s="306">
        <f t="shared" si="160"/>
        <v>0</v>
      </c>
      <c r="AM194" s="306">
        <f t="shared" si="131"/>
        <v>0</v>
      </c>
      <c r="AN194" s="304">
        <f>KcSplint!$N223</f>
        <v>0.85066729453558154</v>
      </c>
      <c r="AO194" s="304">
        <f t="shared" si="132"/>
        <v>1.0084831927498099</v>
      </c>
      <c r="AP194" s="304">
        <f t="shared" si="161"/>
        <v>1.0084831927498099</v>
      </c>
      <c r="AQ194" s="305">
        <f t="shared" si="162"/>
        <v>1.0084831927498099</v>
      </c>
      <c r="AR194" s="304">
        <f t="shared" si="163"/>
        <v>4.8563337085771172</v>
      </c>
      <c r="AS194" s="306">
        <f t="shared" si="133"/>
        <v>173.50768948949502</v>
      </c>
      <c r="AT194" s="307">
        <f t="shared" si="164"/>
        <v>4.8563337085771172</v>
      </c>
      <c r="AU194" s="307">
        <f t="shared" si="165"/>
        <v>173.50768948949502</v>
      </c>
      <c r="AV194" s="304">
        <f t="shared" si="134"/>
        <v>4.815483037784154</v>
      </c>
      <c r="AW194" s="309">
        <f t="shared" si="135"/>
        <v>143.14131815605396</v>
      </c>
      <c r="AX194" s="306">
        <f>IF(ISERROR(Weather!M178),#N/A,Weather!M178)</f>
        <v>0</v>
      </c>
      <c r="AY194" s="310">
        <f t="shared" si="136"/>
        <v>40</v>
      </c>
      <c r="AZ194" s="309">
        <f t="shared" si="137"/>
        <v>0.21037385260207994</v>
      </c>
      <c r="BA194" s="309">
        <f t="shared" si="138"/>
        <v>4.815483037784154</v>
      </c>
      <c r="BB194" s="311">
        <f>Irrig!H196</f>
        <v>120</v>
      </c>
      <c r="BC194" s="310">
        <f t="shared" si="139"/>
        <v>1</v>
      </c>
      <c r="BD194" s="309">
        <f t="shared" si="140"/>
        <v>1.2</v>
      </c>
      <c r="BE194" s="309">
        <f t="shared" si="141"/>
        <v>1.2</v>
      </c>
      <c r="BF194" s="306">
        <f>DailyMet!H177</f>
        <v>27.94</v>
      </c>
      <c r="BG194" s="306">
        <f>DailyMet!I177</f>
        <v>19.600000000000001</v>
      </c>
      <c r="BH194" s="306">
        <f t="shared" si="142"/>
        <v>27.94</v>
      </c>
      <c r="BI194" s="306">
        <f t="shared" si="143"/>
        <v>19.600000000000001</v>
      </c>
      <c r="BJ194" s="306">
        <f t="shared" si="144"/>
        <v>13.770000000000003</v>
      </c>
      <c r="BK194" s="306">
        <f t="shared" si="113"/>
        <v>382.49</v>
      </c>
      <c r="BL194" s="304">
        <f t="shared" si="145"/>
        <v>0</v>
      </c>
      <c r="BM194" s="304">
        <f t="shared" si="146"/>
        <v>13.770000000000003</v>
      </c>
      <c r="BN194" s="304">
        <f t="shared" si="167"/>
        <v>13.770000000000003</v>
      </c>
      <c r="BO194" s="306">
        <f t="shared" si="168"/>
        <v>367.01923607665549</v>
      </c>
      <c r="BP194" s="306"/>
    </row>
    <row r="195" spans="1:68">
      <c r="A195" s="299">
        <f t="shared" si="114"/>
        <v>2</v>
      </c>
      <c r="B195" s="300">
        <f t="shared" si="115"/>
        <v>38160</v>
      </c>
      <c r="C195" s="301" t="e">
        <f t="shared" si="147"/>
        <v>#N/A</v>
      </c>
      <c r="D195" s="301" t="e">
        <f t="shared" si="116"/>
        <v>#N/A</v>
      </c>
      <c r="E195" s="299">
        <f t="shared" si="117"/>
        <v>174</v>
      </c>
      <c r="F195" s="396">
        <f>Weather!M179</f>
        <v>0</v>
      </c>
      <c r="G195" s="301">
        <f>IF(Weather!C179="","",Weather!C179)</f>
        <v>4.3574366049450157</v>
      </c>
      <c r="H195" s="301">
        <f>IF(Weather!D179="","",Weather!D179)</f>
        <v>5.2090818304770883</v>
      </c>
      <c r="I195" s="502">
        <f>IF(Weather!E179="","",Weather!E179)</f>
        <v>5.2090818304770883</v>
      </c>
      <c r="J195" s="397">
        <f>IF(RnSplint!N223&lt;0,0,RnSplint!N223)</f>
        <v>9.4289496073475441</v>
      </c>
      <c r="K195" s="302">
        <f t="shared" si="148"/>
        <v>0.90833333333333399</v>
      </c>
      <c r="L195" s="303">
        <f t="shared" si="149"/>
        <v>38160</v>
      </c>
      <c r="M195" s="346" t="str">
        <f t="shared" si="118"/>
        <v/>
      </c>
      <c r="N195" s="304">
        <f t="shared" si="150"/>
        <v>0.90833333333333399</v>
      </c>
      <c r="O195" s="304">
        <f t="shared" si="151"/>
        <v>0</v>
      </c>
      <c r="P195" s="304">
        <f t="shared" si="119"/>
        <v>0.90833333333333399</v>
      </c>
      <c r="Q195" s="304">
        <f t="shared" si="120"/>
        <v>0.20652923018687364</v>
      </c>
      <c r="R195" s="304">
        <f t="shared" si="121"/>
        <v>0.90833333333333399</v>
      </c>
      <c r="S195" s="305">
        <f t="shared" si="152"/>
        <v>0.90833333333333399</v>
      </c>
      <c r="T195" s="304">
        <f t="shared" si="122"/>
        <v>0.82950057782262587</v>
      </c>
      <c r="U195" s="304">
        <f t="shared" si="166"/>
        <v>0.90833333333333399</v>
      </c>
      <c r="V195" s="305">
        <f t="shared" si="123"/>
        <v>0.90833333333333399</v>
      </c>
      <c r="W195" s="305">
        <f t="shared" si="153"/>
        <v>0.90833333333333399</v>
      </c>
      <c r="X195" s="304">
        <f t="shared" si="154"/>
        <v>0.90833333333333399</v>
      </c>
      <c r="Z195" s="304">
        <f t="shared" si="124"/>
        <v>0.90833333333333399</v>
      </c>
      <c r="AA195" s="305">
        <f t="shared" si="125"/>
        <v>0.90833333333333399</v>
      </c>
      <c r="AB195" s="304">
        <f t="shared" si="126"/>
        <v>4.7315826626833584</v>
      </c>
      <c r="AC195" s="304" t="str">
        <f t="shared" si="155"/>
        <v/>
      </c>
      <c r="AD195" s="306">
        <f t="shared" si="127"/>
        <v>140.95041860721236</v>
      </c>
      <c r="AE195" s="307">
        <f t="shared" si="156"/>
        <v>4.7315826626833584</v>
      </c>
      <c r="AF195" s="308">
        <f t="shared" si="128"/>
        <v>140.95041860721236</v>
      </c>
      <c r="AG195" s="306">
        <f t="shared" si="157"/>
        <v>287.94648733715536</v>
      </c>
      <c r="AH195" s="306">
        <f t="shared" si="129"/>
        <v>0</v>
      </c>
      <c r="AI195" s="306">
        <f t="shared" si="158"/>
        <v>0</v>
      </c>
      <c r="AJ195" s="306">
        <f t="shared" si="159"/>
        <v>0</v>
      </c>
      <c r="AK195" s="306">
        <f t="shared" si="130"/>
        <v>0</v>
      </c>
      <c r="AL195" s="306">
        <f t="shared" si="160"/>
        <v>0</v>
      </c>
      <c r="AM195" s="306">
        <f t="shared" si="131"/>
        <v>0</v>
      </c>
      <c r="AN195" s="304">
        <f>KcSplint!$N224</f>
        <v>0.86142572986609289</v>
      </c>
      <c r="AO195" s="304">
        <f t="shared" si="132"/>
        <v>1.014312221536094</v>
      </c>
      <c r="AP195" s="304">
        <f t="shared" si="161"/>
        <v>1.014312221536094</v>
      </c>
      <c r="AQ195" s="305">
        <f t="shared" si="162"/>
        <v>1.014312221536094</v>
      </c>
      <c r="AR195" s="304">
        <f t="shared" si="163"/>
        <v>5.2836353636345184</v>
      </c>
      <c r="AS195" s="306">
        <f t="shared" si="133"/>
        <v>178.79132485312954</v>
      </c>
      <c r="AT195" s="307">
        <f t="shared" si="164"/>
        <v>5.2836353636345184</v>
      </c>
      <c r="AU195" s="307">
        <f t="shared" si="165"/>
        <v>178.79132485312954</v>
      </c>
      <c r="AV195" s="304">
        <f t="shared" si="134"/>
        <v>5.2090818304770883</v>
      </c>
      <c r="AW195" s="309">
        <f t="shared" si="135"/>
        <v>148.35039998653104</v>
      </c>
      <c r="AX195" s="306">
        <f>IF(ISERROR(Weather!M179),#N/A,Weather!M179)</f>
        <v>0</v>
      </c>
      <c r="AY195" s="310">
        <f t="shared" si="136"/>
        <v>41</v>
      </c>
      <c r="AZ195" s="309">
        <f t="shared" si="137"/>
        <v>0.20652923018687364</v>
      </c>
      <c r="BA195" s="309">
        <f t="shared" si="138"/>
        <v>10.024564868261242</v>
      </c>
      <c r="BB195" s="311">
        <f>Irrig!H197</f>
        <v>0</v>
      </c>
      <c r="BC195" s="310">
        <f t="shared" si="139"/>
        <v>2</v>
      </c>
      <c r="BD195" s="309">
        <f t="shared" si="140"/>
        <v>0.82950057782262587</v>
      </c>
      <c r="BE195" s="309">
        <f t="shared" si="141"/>
        <v>0.82950057782262587</v>
      </c>
      <c r="BF195" s="306">
        <f>DailyMet!H178</f>
        <v>27.81</v>
      </c>
      <c r="BG195" s="306">
        <f>DailyMet!I178</f>
        <v>20.399999999999999</v>
      </c>
      <c r="BH195" s="306">
        <f t="shared" si="142"/>
        <v>27.81</v>
      </c>
      <c r="BI195" s="306">
        <f t="shared" si="143"/>
        <v>20.399999999999999</v>
      </c>
      <c r="BJ195" s="306">
        <f t="shared" si="144"/>
        <v>14.104999999999997</v>
      </c>
      <c r="BK195" s="306">
        <f t="shared" si="113"/>
        <v>396.59500000000003</v>
      </c>
      <c r="BL195" s="304">
        <f t="shared" si="145"/>
        <v>0</v>
      </c>
      <c r="BM195" s="304">
        <f t="shared" si="146"/>
        <v>14.104999999999997</v>
      </c>
      <c r="BN195" s="304">
        <f t="shared" si="167"/>
        <v>14.104999999999997</v>
      </c>
      <c r="BO195" s="306">
        <f t="shared" si="168"/>
        <v>381.12423607665551</v>
      </c>
      <c r="BP195" s="306"/>
    </row>
    <row r="196" spans="1:68">
      <c r="A196" s="299">
        <f t="shared" si="114"/>
        <v>2</v>
      </c>
      <c r="B196" s="300">
        <f t="shared" si="115"/>
        <v>38161</v>
      </c>
      <c r="C196" s="301" t="e">
        <f t="shared" si="147"/>
        <v>#N/A</v>
      </c>
      <c r="D196" s="301" t="e">
        <f t="shared" si="116"/>
        <v>#N/A</v>
      </c>
      <c r="E196" s="299">
        <f t="shared" si="117"/>
        <v>175</v>
      </c>
      <c r="F196" s="396">
        <f>Weather!M180</f>
        <v>0</v>
      </c>
      <c r="G196" s="301">
        <f>IF(Weather!C180="","",Weather!C180)</f>
        <v>4.3730392531462812</v>
      </c>
      <c r="H196" s="301">
        <f>IF(Weather!D180="","",Weather!D180)</f>
        <v>4.2242359034504471</v>
      </c>
      <c r="I196" s="502">
        <f>IF(Weather!E180="","",Weather!E180)</f>
        <v>4.2242359034504471</v>
      </c>
      <c r="J196" s="397">
        <f>IF(RnSplint!N224&lt;0,0,RnSplint!N224)</f>
        <v>10.297659027672115</v>
      </c>
      <c r="K196" s="302">
        <f t="shared" si="148"/>
        <v>0.92857142857142927</v>
      </c>
      <c r="L196" s="303">
        <f t="shared" si="149"/>
        <v>38161</v>
      </c>
      <c r="M196" s="346" t="str">
        <f t="shared" si="118"/>
        <v/>
      </c>
      <c r="N196" s="304">
        <f t="shared" si="150"/>
        <v>0.92857142857142927</v>
      </c>
      <c r="O196" s="304">
        <f t="shared" si="151"/>
        <v>0</v>
      </c>
      <c r="P196" s="304">
        <f t="shared" si="119"/>
        <v>0.92857142857142927</v>
      </c>
      <c r="Q196" s="304">
        <f t="shared" si="120"/>
        <v>0.20355867627549726</v>
      </c>
      <c r="R196" s="304">
        <f t="shared" si="121"/>
        <v>0.92857142857142927</v>
      </c>
      <c r="S196" s="305">
        <f t="shared" si="152"/>
        <v>0.92857142857142927</v>
      </c>
      <c r="T196" s="304">
        <f t="shared" si="122"/>
        <v>0.69185788757222033</v>
      </c>
      <c r="U196" s="304">
        <f t="shared" si="166"/>
        <v>0.92857142857142927</v>
      </c>
      <c r="V196" s="305">
        <f t="shared" si="123"/>
        <v>0.92857142857142927</v>
      </c>
      <c r="W196" s="305">
        <f t="shared" si="153"/>
        <v>0.92857142857142927</v>
      </c>
      <c r="X196" s="304">
        <f t="shared" si="154"/>
        <v>0.92857142857142927</v>
      </c>
      <c r="Z196" s="304">
        <f t="shared" si="124"/>
        <v>0.92857142857142927</v>
      </c>
      <c r="AA196" s="305">
        <f t="shared" si="125"/>
        <v>0.92857142857142927</v>
      </c>
      <c r="AB196" s="304">
        <f t="shared" si="126"/>
        <v>3.9225047674897038</v>
      </c>
      <c r="AC196" s="304" t="str">
        <f t="shared" si="155"/>
        <v/>
      </c>
      <c r="AD196" s="306">
        <f t="shared" si="127"/>
        <v>144.87292337470205</v>
      </c>
      <c r="AE196" s="307">
        <f t="shared" si="156"/>
        <v>3.9225047674897038</v>
      </c>
      <c r="AF196" s="308">
        <f t="shared" si="128"/>
        <v>144.87292337470205</v>
      </c>
      <c r="AG196" s="306">
        <f t="shared" si="157"/>
        <v>292.17072324060581</v>
      </c>
      <c r="AH196" s="306">
        <f t="shared" si="129"/>
        <v>0</v>
      </c>
      <c r="AI196" s="306">
        <f t="shared" si="158"/>
        <v>0</v>
      </c>
      <c r="AJ196" s="306">
        <f t="shared" si="159"/>
        <v>0</v>
      </c>
      <c r="AK196" s="306">
        <f t="shared" si="130"/>
        <v>0</v>
      </c>
      <c r="AL196" s="306">
        <f t="shared" si="160"/>
        <v>0</v>
      </c>
      <c r="AM196" s="306">
        <f t="shared" si="131"/>
        <v>0</v>
      </c>
      <c r="AN196" s="304">
        <f>KcSplint!$N225</f>
        <v>0.87215029921854093</v>
      </c>
      <c r="AO196" s="304">
        <f t="shared" si="132"/>
        <v>1.0201412503223781</v>
      </c>
      <c r="AP196" s="304">
        <f t="shared" si="161"/>
        <v>1.0201412503223781</v>
      </c>
      <c r="AQ196" s="305">
        <f t="shared" si="162"/>
        <v>1.0201412503223781</v>
      </c>
      <c r="AR196" s="304">
        <f t="shared" si="163"/>
        <v>4.3093172962026198</v>
      </c>
      <c r="AS196" s="306">
        <f t="shared" si="133"/>
        <v>183.10064214933215</v>
      </c>
      <c r="AT196" s="307">
        <f t="shared" si="164"/>
        <v>4.3093172962026198</v>
      </c>
      <c r="AU196" s="307">
        <f t="shared" si="165"/>
        <v>183.10064214933215</v>
      </c>
      <c r="AV196" s="304">
        <f t="shared" si="134"/>
        <v>4.2242359034504471</v>
      </c>
      <c r="AW196" s="309">
        <f t="shared" si="135"/>
        <v>152.57463588998149</v>
      </c>
      <c r="AX196" s="306">
        <f>IF(ISERROR(Weather!M180),#N/A,Weather!M180)</f>
        <v>0</v>
      </c>
      <c r="AY196" s="310">
        <f t="shared" si="136"/>
        <v>42</v>
      </c>
      <c r="AZ196" s="309">
        <f t="shared" si="137"/>
        <v>0.20355867627549726</v>
      </c>
      <c r="BA196" s="309">
        <f t="shared" si="138"/>
        <v>14.248800771711689</v>
      </c>
      <c r="BB196" s="311">
        <f>Irrig!H198</f>
        <v>0</v>
      </c>
      <c r="BC196" s="310">
        <f t="shared" si="139"/>
        <v>3</v>
      </c>
      <c r="BD196" s="309">
        <f t="shared" si="140"/>
        <v>0.69185788757222033</v>
      </c>
      <c r="BE196" s="309">
        <f t="shared" si="141"/>
        <v>0.69185788757222033</v>
      </c>
      <c r="BF196" s="306">
        <f>DailyMet!H179</f>
        <v>25.75</v>
      </c>
      <c r="BG196" s="306">
        <f>DailyMet!I179</f>
        <v>18.8</v>
      </c>
      <c r="BH196" s="306">
        <f t="shared" si="142"/>
        <v>25.75</v>
      </c>
      <c r="BI196" s="306">
        <f t="shared" si="143"/>
        <v>18.8</v>
      </c>
      <c r="BJ196" s="306">
        <f t="shared" si="144"/>
        <v>12.274999999999999</v>
      </c>
      <c r="BK196" s="306">
        <f t="shared" si="113"/>
        <v>408.87</v>
      </c>
      <c r="BL196" s="304">
        <f t="shared" si="145"/>
        <v>0</v>
      </c>
      <c r="BM196" s="304">
        <f t="shared" si="146"/>
        <v>12.274999999999999</v>
      </c>
      <c r="BN196" s="304">
        <f t="shared" si="167"/>
        <v>12.274999999999999</v>
      </c>
      <c r="BO196" s="306">
        <f t="shared" si="168"/>
        <v>393.39923607665548</v>
      </c>
      <c r="BP196" s="306"/>
    </row>
    <row r="197" spans="1:68">
      <c r="A197" s="299">
        <f t="shared" si="114"/>
        <v>2</v>
      </c>
      <c r="B197" s="300">
        <f t="shared" si="115"/>
        <v>38162</v>
      </c>
      <c r="C197" s="301" t="e">
        <f t="shared" si="147"/>
        <v>#N/A</v>
      </c>
      <c r="D197" s="301" t="e">
        <f t="shared" si="116"/>
        <v>#N/A</v>
      </c>
      <c r="E197" s="299">
        <f t="shared" si="117"/>
        <v>176</v>
      </c>
      <c r="F197" s="396">
        <f>Weather!M181</f>
        <v>0</v>
      </c>
      <c r="G197" s="301">
        <f>IF(Weather!C181="","",Weather!C181)</f>
        <v>4.387274259767465</v>
      </c>
      <c r="H197" s="301">
        <f>IF(Weather!D181="","",Weather!D181)</f>
        <v>3.6770090379365259</v>
      </c>
      <c r="I197" s="502">
        <f>IF(Weather!E181="","",Weather!E181)</f>
        <v>3.6770090379365259</v>
      </c>
      <c r="J197" s="397">
        <f>IF(RnSplint!N225&lt;0,0,RnSplint!N225)</f>
        <v>11.194419630816258</v>
      </c>
      <c r="K197" s="302">
        <f t="shared" si="148"/>
        <v>0.94880952380952455</v>
      </c>
      <c r="L197" s="303">
        <f t="shared" si="149"/>
        <v>38162</v>
      </c>
      <c r="M197" s="346" t="str">
        <f t="shared" si="118"/>
        <v/>
      </c>
      <c r="N197" s="304">
        <f t="shared" si="150"/>
        <v>0.94880952380952455</v>
      </c>
      <c r="O197" s="304">
        <f t="shared" si="151"/>
        <v>0</v>
      </c>
      <c r="P197" s="304">
        <f t="shared" si="119"/>
        <v>0.94880952380952455</v>
      </c>
      <c r="Q197" s="304">
        <f t="shared" si="120"/>
        <v>0.20107265572040134</v>
      </c>
      <c r="R197" s="304">
        <f t="shared" si="121"/>
        <v>0.94880952380952455</v>
      </c>
      <c r="S197" s="305">
        <f t="shared" si="152"/>
        <v>0.94880952380952455</v>
      </c>
      <c r="T197" s="304">
        <f t="shared" si="122"/>
        <v>0.61457013781896186</v>
      </c>
      <c r="U197" s="304">
        <f t="shared" si="166"/>
        <v>0.94880952380952455</v>
      </c>
      <c r="V197" s="305">
        <f t="shared" si="123"/>
        <v>0.94880952380952455</v>
      </c>
      <c r="W197" s="305">
        <f t="shared" si="153"/>
        <v>0.94880952380952455</v>
      </c>
      <c r="X197" s="304">
        <f t="shared" si="154"/>
        <v>0.94880952380952455</v>
      </c>
      <c r="Z197" s="304">
        <f t="shared" si="124"/>
        <v>0.94880952380952455</v>
      </c>
      <c r="AA197" s="305">
        <f t="shared" si="125"/>
        <v>0.94880952380952455</v>
      </c>
      <c r="AB197" s="304">
        <f t="shared" si="126"/>
        <v>3.4887811943278733</v>
      </c>
      <c r="AC197" s="304" t="str">
        <f t="shared" si="155"/>
        <v/>
      </c>
      <c r="AD197" s="306">
        <f t="shared" si="127"/>
        <v>148.36170456902994</v>
      </c>
      <c r="AE197" s="307">
        <f t="shared" si="156"/>
        <v>3.4887811943278733</v>
      </c>
      <c r="AF197" s="308">
        <f t="shared" si="128"/>
        <v>148.36170456902994</v>
      </c>
      <c r="AG197" s="306">
        <f t="shared" si="157"/>
        <v>295.84773227854231</v>
      </c>
      <c r="AH197" s="306">
        <f t="shared" si="129"/>
        <v>0</v>
      </c>
      <c r="AI197" s="306">
        <f t="shared" si="158"/>
        <v>0</v>
      </c>
      <c r="AJ197" s="306">
        <f t="shared" si="159"/>
        <v>0</v>
      </c>
      <c r="AK197" s="306">
        <f t="shared" si="130"/>
        <v>0</v>
      </c>
      <c r="AL197" s="306">
        <f t="shared" si="160"/>
        <v>0</v>
      </c>
      <c r="AM197" s="306">
        <f t="shared" si="131"/>
        <v>0</v>
      </c>
      <c r="AN197" s="304">
        <f>KcSplint!$N226</f>
        <v>0.88282131617337667</v>
      </c>
      <c r="AO197" s="304">
        <f t="shared" si="132"/>
        <v>1.0259702791086622</v>
      </c>
      <c r="AP197" s="304">
        <f t="shared" si="161"/>
        <v>1.0259702791086622</v>
      </c>
      <c r="AQ197" s="305">
        <f t="shared" si="162"/>
        <v>1.0259702791086622</v>
      </c>
      <c r="AR197" s="304">
        <f t="shared" si="163"/>
        <v>3.7725019889368112</v>
      </c>
      <c r="AS197" s="306">
        <f t="shared" si="133"/>
        <v>186.87314413826897</v>
      </c>
      <c r="AT197" s="307">
        <f t="shared" si="164"/>
        <v>3.7725019889368112</v>
      </c>
      <c r="AU197" s="307">
        <f t="shared" si="165"/>
        <v>186.87314413826897</v>
      </c>
      <c r="AV197" s="304">
        <f t="shared" si="134"/>
        <v>3.6770090379365259</v>
      </c>
      <c r="AW197" s="309">
        <f t="shared" si="135"/>
        <v>156.25164492791802</v>
      </c>
      <c r="AX197" s="306">
        <f>IF(ISERROR(Weather!M181),#N/A,Weather!M181)</f>
        <v>0</v>
      </c>
      <c r="AY197" s="310">
        <f t="shared" si="136"/>
        <v>43</v>
      </c>
      <c r="AZ197" s="309">
        <f t="shared" si="137"/>
        <v>0.20107265572040134</v>
      </c>
      <c r="BA197" s="309">
        <f t="shared" si="138"/>
        <v>17.925809809648214</v>
      </c>
      <c r="BB197" s="311">
        <f>Irrig!H199</f>
        <v>0</v>
      </c>
      <c r="BC197" s="310">
        <f t="shared" si="139"/>
        <v>4</v>
      </c>
      <c r="BD197" s="309">
        <f t="shared" si="140"/>
        <v>0.61457013781896186</v>
      </c>
      <c r="BE197" s="309">
        <f t="shared" si="141"/>
        <v>0.61457013781896186</v>
      </c>
      <c r="BF197" s="306">
        <f>DailyMet!H180</f>
        <v>26.34</v>
      </c>
      <c r="BG197" s="306">
        <f>DailyMet!I180</f>
        <v>17.399999999999999</v>
      </c>
      <c r="BH197" s="306">
        <f t="shared" si="142"/>
        <v>26.34</v>
      </c>
      <c r="BI197" s="306">
        <f t="shared" si="143"/>
        <v>17.399999999999999</v>
      </c>
      <c r="BJ197" s="306">
        <f t="shared" si="144"/>
        <v>11.869999999999997</v>
      </c>
      <c r="BK197" s="306">
        <f t="shared" si="113"/>
        <v>420.74</v>
      </c>
      <c r="BL197" s="304">
        <f t="shared" si="145"/>
        <v>0</v>
      </c>
      <c r="BM197" s="304">
        <f t="shared" si="146"/>
        <v>11.869999999999997</v>
      </c>
      <c r="BN197" s="304">
        <f t="shared" si="167"/>
        <v>11.869999999999997</v>
      </c>
      <c r="BO197" s="306">
        <f t="shared" si="168"/>
        <v>405.26923607665549</v>
      </c>
      <c r="BP197" s="306"/>
    </row>
    <row r="198" spans="1:68">
      <c r="A198" s="299">
        <f t="shared" si="114"/>
        <v>2</v>
      </c>
      <c r="B198" s="300">
        <f t="shared" si="115"/>
        <v>38163</v>
      </c>
      <c r="C198" s="301" t="e">
        <f t="shared" si="147"/>
        <v>#N/A</v>
      </c>
      <c r="D198" s="301" t="e">
        <f t="shared" si="116"/>
        <v>#N/A</v>
      </c>
      <c r="E198" s="299">
        <f t="shared" si="117"/>
        <v>177</v>
      </c>
      <c r="F198" s="396">
        <f>Weather!M182</f>
        <v>0</v>
      </c>
      <c r="G198" s="301">
        <f>IF(Weather!C182="","",Weather!C182)</f>
        <v>4.4001711425613523</v>
      </c>
      <c r="H198" s="301">
        <f>IF(Weather!D182="","",Weather!D182)</f>
        <v>4.9307354305868794</v>
      </c>
      <c r="I198" s="502">
        <f>IF(Weather!E182="","",Weather!E182)</f>
        <v>4.9307354305868794</v>
      </c>
      <c r="J198" s="397">
        <f>IF(RnSplint!N226&lt;0,0,RnSplint!N226)</f>
        <v>12.115762986862318</v>
      </c>
      <c r="K198" s="302">
        <f t="shared" si="148"/>
        <v>0.96904761904761982</v>
      </c>
      <c r="L198" s="303">
        <f t="shared" si="149"/>
        <v>38163</v>
      </c>
      <c r="M198" s="346" t="str">
        <f t="shared" si="118"/>
        <v/>
      </c>
      <c r="N198" s="304">
        <f t="shared" si="150"/>
        <v>0.96904761904761982</v>
      </c>
      <c r="O198" s="304">
        <f t="shared" si="151"/>
        <v>0</v>
      </c>
      <c r="P198" s="304">
        <f t="shared" si="119"/>
        <v>0.96904761904761982</v>
      </c>
      <c r="Q198" s="304">
        <f t="shared" si="120"/>
        <v>0.19787487019455571</v>
      </c>
      <c r="R198" s="304">
        <f t="shared" si="121"/>
        <v>0.96904761904761982</v>
      </c>
      <c r="S198" s="305">
        <f t="shared" si="152"/>
        <v>0.96904761904761982</v>
      </c>
      <c r="T198" s="304">
        <f t="shared" si="122"/>
        <v>0.54214698067156386</v>
      </c>
      <c r="U198" s="304">
        <f t="shared" si="166"/>
        <v>0.96904761904761982</v>
      </c>
      <c r="V198" s="305">
        <f t="shared" si="123"/>
        <v>0.96904761904761982</v>
      </c>
      <c r="W198" s="305">
        <f t="shared" si="153"/>
        <v>0.96904761904761982</v>
      </c>
      <c r="X198" s="304">
        <f t="shared" si="154"/>
        <v>0.96904761904761982</v>
      </c>
      <c r="Z198" s="304">
        <f t="shared" si="124"/>
        <v>0.96904761904761982</v>
      </c>
      <c r="AA198" s="305">
        <f t="shared" si="125"/>
        <v>0.96904761904761982</v>
      </c>
      <c r="AB198" s="304">
        <f t="shared" si="126"/>
        <v>4.7781174291639559</v>
      </c>
      <c r="AC198" s="304" t="str">
        <f t="shared" si="155"/>
        <v/>
      </c>
      <c r="AD198" s="306">
        <f t="shared" si="127"/>
        <v>153.1398219981939</v>
      </c>
      <c r="AE198" s="307">
        <f t="shared" si="156"/>
        <v>4.7781174291639559</v>
      </c>
      <c r="AF198" s="308">
        <f t="shared" si="128"/>
        <v>153.1398219981939</v>
      </c>
      <c r="AG198" s="306">
        <f t="shared" si="157"/>
        <v>300.77846770912919</v>
      </c>
      <c r="AH198" s="306">
        <f t="shared" si="129"/>
        <v>0</v>
      </c>
      <c r="AI198" s="306">
        <f t="shared" si="158"/>
        <v>0</v>
      </c>
      <c r="AJ198" s="306">
        <f t="shared" si="159"/>
        <v>0</v>
      </c>
      <c r="AK198" s="306">
        <f t="shared" si="130"/>
        <v>0</v>
      </c>
      <c r="AL198" s="306">
        <f t="shared" si="160"/>
        <v>0</v>
      </c>
      <c r="AM198" s="306">
        <f t="shared" si="131"/>
        <v>0</v>
      </c>
      <c r="AN198" s="304">
        <f>KcSplint!$N227</f>
        <v>0.8934190943110506</v>
      </c>
      <c r="AO198" s="304">
        <f t="shared" si="132"/>
        <v>1.0317993078949463</v>
      </c>
      <c r="AP198" s="304">
        <f t="shared" si="161"/>
        <v>1.0317993078949463</v>
      </c>
      <c r="AQ198" s="305">
        <f t="shared" si="162"/>
        <v>1.0317993078949463</v>
      </c>
      <c r="AR198" s="304">
        <f t="shared" si="163"/>
        <v>5.0875294046926323</v>
      </c>
      <c r="AS198" s="306">
        <f t="shared" si="133"/>
        <v>191.96067354296162</v>
      </c>
      <c r="AT198" s="307">
        <f t="shared" si="164"/>
        <v>5.0875294046926323</v>
      </c>
      <c r="AU198" s="307">
        <f t="shared" si="165"/>
        <v>191.96067354296162</v>
      </c>
      <c r="AV198" s="304">
        <f t="shared" si="134"/>
        <v>4.9307354305868794</v>
      </c>
      <c r="AW198" s="309">
        <f t="shared" si="135"/>
        <v>161.1823803585049</v>
      </c>
      <c r="AX198" s="306">
        <f>IF(ISERROR(Weather!M182),#N/A,Weather!M182)</f>
        <v>0</v>
      </c>
      <c r="AY198" s="310">
        <f t="shared" si="136"/>
        <v>44</v>
      </c>
      <c r="AZ198" s="309">
        <f t="shared" si="137"/>
        <v>0.19787487019455571</v>
      </c>
      <c r="BA198" s="309">
        <f t="shared" si="138"/>
        <v>22.856545240235093</v>
      </c>
      <c r="BB198" s="311">
        <f>Irrig!H200</f>
        <v>0</v>
      </c>
      <c r="BC198" s="310">
        <f t="shared" si="139"/>
        <v>5</v>
      </c>
      <c r="BD198" s="309">
        <f t="shared" si="140"/>
        <v>0.54214698067156386</v>
      </c>
      <c r="BE198" s="309">
        <f t="shared" si="141"/>
        <v>0.54214698067156386</v>
      </c>
      <c r="BF198" s="306">
        <f>DailyMet!H181</f>
        <v>27.05</v>
      </c>
      <c r="BG198" s="306">
        <f>DailyMet!I181</f>
        <v>21.2</v>
      </c>
      <c r="BH198" s="306">
        <f t="shared" si="142"/>
        <v>27.05</v>
      </c>
      <c r="BI198" s="306">
        <f t="shared" si="143"/>
        <v>21.2</v>
      </c>
      <c r="BJ198" s="306">
        <f t="shared" si="144"/>
        <v>14.125</v>
      </c>
      <c r="BK198" s="306">
        <f t="shared" si="113"/>
        <v>434.86500000000001</v>
      </c>
      <c r="BL198" s="304">
        <f t="shared" si="145"/>
        <v>0</v>
      </c>
      <c r="BM198" s="304">
        <f t="shared" si="146"/>
        <v>14.125</v>
      </c>
      <c r="BN198" s="304">
        <f t="shared" si="167"/>
        <v>14.125</v>
      </c>
      <c r="BO198" s="306">
        <f t="shared" si="168"/>
        <v>419.39423607665549</v>
      </c>
      <c r="BP198" s="306"/>
    </row>
    <row r="199" spans="1:68">
      <c r="A199" s="299">
        <f t="shared" si="114"/>
        <v>2</v>
      </c>
      <c r="B199" s="300">
        <f t="shared" si="115"/>
        <v>38164</v>
      </c>
      <c r="C199" s="301" t="e">
        <f t="shared" si="147"/>
        <v>#N/A</v>
      </c>
      <c r="D199" s="301" t="e">
        <f t="shared" si="116"/>
        <v>#N/A</v>
      </c>
      <c r="E199" s="299">
        <f t="shared" si="117"/>
        <v>178</v>
      </c>
      <c r="F199" s="396">
        <f>Weather!M183</f>
        <v>0</v>
      </c>
      <c r="G199" s="301">
        <f>IF(Weather!C183="","",Weather!C183)</f>
        <v>4.4117594192807275</v>
      </c>
      <c r="H199" s="301">
        <f>IF(Weather!D183="","",Weather!D183)</f>
        <v>4.4419396786312708</v>
      </c>
      <c r="I199" s="502">
        <f>IF(Weather!E183="","",Weather!E183)</f>
        <v>4.4419396786312708</v>
      </c>
      <c r="J199" s="397">
        <f>IF(RnSplint!N227&lt;0,0,RnSplint!N227)</f>
        <v>13.058220665892636</v>
      </c>
      <c r="K199" s="302">
        <f t="shared" si="148"/>
        <v>0.9892857142857151</v>
      </c>
      <c r="L199" s="303">
        <f t="shared" si="149"/>
        <v>38164</v>
      </c>
      <c r="M199" s="346" t="str">
        <f t="shared" si="118"/>
        <v/>
      </c>
      <c r="N199" s="304">
        <f t="shared" si="150"/>
        <v>0.9892857142857151</v>
      </c>
      <c r="O199" s="304">
        <f t="shared" si="151"/>
        <v>0</v>
      </c>
      <c r="P199" s="304">
        <f t="shared" si="119"/>
        <v>0.9892857142857151</v>
      </c>
      <c r="Q199" s="304">
        <f t="shared" si="120"/>
        <v>0.19511850813398712</v>
      </c>
      <c r="R199" s="304">
        <f t="shared" si="121"/>
        <v>0.9892857142857151</v>
      </c>
      <c r="S199" s="305">
        <f t="shared" si="152"/>
        <v>0.9892857142857151</v>
      </c>
      <c r="T199" s="304">
        <f t="shared" si="122"/>
        <v>0.49467392407381494</v>
      </c>
      <c r="U199" s="304">
        <f t="shared" si="166"/>
        <v>0.9892857142857151</v>
      </c>
      <c r="V199" s="305">
        <f t="shared" si="123"/>
        <v>0.9892857142857151</v>
      </c>
      <c r="W199" s="305">
        <f t="shared" si="153"/>
        <v>0.9892857142857151</v>
      </c>
      <c r="X199" s="304">
        <f t="shared" si="154"/>
        <v>0.9892857142857151</v>
      </c>
      <c r="Z199" s="304">
        <f t="shared" si="124"/>
        <v>0.9892857142857151</v>
      </c>
      <c r="AA199" s="305">
        <f t="shared" si="125"/>
        <v>0.9892857142857151</v>
      </c>
      <c r="AB199" s="304">
        <f t="shared" si="126"/>
        <v>4.3943474677887968</v>
      </c>
      <c r="AC199" s="304" t="str">
        <f t="shared" si="155"/>
        <v/>
      </c>
      <c r="AD199" s="306">
        <f t="shared" si="127"/>
        <v>157.5341694659827</v>
      </c>
      <c r="AE199" s="307">
        <f t="shared" si="156"/>
        <v>4.3943474677887968</v>
      </c>
      <c r="AF199" s="308">
        <f t="shared" si="128"/>
        <v>157.5341694659827</v>
      </c>
      <c r="AG199" s="306">
        <f t="shared" si="157"/>
        <v>305.22040738776047</v>
      </c>
      <c r="AH199" s="306">
        <f t="shared" si="129"/>
        <v>0</v>
      </c>
      <c r="AI199" s="306">
        <f t="shared" si="158"/>
        <v>0</v>
      </c>
      <c r="AJ199" s="306">
        <f t="shared" si="159"/>
        <v>0</v>
      </c>
      <c r="AK199" s="306">
        <f t="shared" si="130"/>
        <v>0</v>
      </c>
      <c r="AL199" s="306">
        <f t="shared" si="160"/>
        <v>0</v>
      </c>
      <c r="AM199" s="306">
        <f t="shared" si="131"/>
        <v>0</v>
      </c>
      <c r="AN199" s="304">
        <f>KcSplint!$N228</f>
        <v>0.90392394721201363</v>
      </c>
      <c r="AO199" s="304">
        <f t="shared" si="132"/>
        <v>1.0376283366812304</v>
      </c>
      <c r="AP199" s="304">
        <f t="shared" si="161"/>
        <v>1.0376283366812304</v>
      </c>
      <c r="AQ199" s="305">
        <f t="shared" si="162"/>
        <v>1.0376283366812304</v>
      </c>
      <c r="AR199" s="304">
        <f t="shared" si="163"/>
        <v>4.6090824803765251</v>
      </c>
      <c r="AS199" s="306">
        <f t="shared" si="133"/>
        <v>196.56975602333813</v>
      </c>
      <c r="AT199" s="307">
        <f t="shared" si="164"/>
        <v>4.6090824803765251</v>
      </c>
      <c r="AU199" s="307">
        <f t="shared" si="165"/>
        <v>196.56975602333813</v>
      </c>
      <c r="AV199" s="304">
        <f t="shared" si="134"/>
        <v>4.4419396786312708</v>
      </c>
      <c r="AW199" s="309">
        <f t="shared" si="135"/>
        <v>165.62432003713616</v>
      </c>
      <c r="AX199" s="306">
        <f>IF(ISERROR(Weather!M183),#N/A,Weather!M183)</f>
        <v>0</v>
      </c>
      <c r="AY199" s="310">
        <f t="shared" si="136"/>
        <v>45</v>
      </c>
      <c r="AZ199" s="309">
        <f t="shared" si="137"/>
        <v>0.19511850813398712</v>
      </c>
      <c r="BA199" s="309">
        <f t="shared" si="138"/>
        <v>27.298484918866365</v>
      </c>
      <c r="BB199" s="311">
        <f>Irrig!H201</f>
        <v>0</v>
      </c>
      <c r="BC199" s="310">
        <f t="shared" si="139"/>
        <v>6</v>
      </c>
      <c r="BD199" s="309">
        <f t="shared" si="140"/>
        <v>0.49467392407381494</v>
      </c>
      <c r="BE199" s="309">
        <f t="shared" si="141"/>
        <v>0.49467392407381494</v>
      </c>
      <c r="BF199" s="306">
        <f>DailyMet!H182</f>
        <v>25.31</v>
      </c>
      <c r="BG199" s="306">
        <f>DailyMet!I182</f>
        <v>20.5</v>
      </c>
      <c r="BH199" s="306">
        <f t="shared" si="142"/>
        <v>25.31</v>
      </c>
      <c r="BI199" s="306">
        <f t="shared" si="143"/>
        <v>20.5</v>
      </c>
      <c r="BJ199" s="306">
        <f t="shared" si="144"/>
        <v>12.905000000000001</v>
      </c>
      <c r="BK199" s="306">
        <f t="shared" si="113"/>
        <v>447.77</v>
      </c>
      <c r="BL199" s="304">
        <f t="shared" si="145"/>
        <v>0</v>
      </c>
      <c r="BM199" s="304">
        <f t="shared" si="146"/>
        <v>12.905000000000001</v>
      </c>
      <c r="BN199" s="304">
        <f t="shared" si="167"/>
        <v>12.905000000000001</v>
      </c>
      <c r="BO199" s="306">
        <f t="shared" si="168"/>
        <v>432.29923607665546</v>
      </c>
      <c r="BP199" s="306"/>
    </row>
    <row r="200" spans="1:68">
      <c r="A200" s="299">
        <f t="shared" si="114"/>
        <v>2</v>
      </c>
      <c r="B200" s="300">
        <f t="shared" si="115"/>
        <v>38165</v>
      </c>
      <c r="C200" s="301" t="e">
        <f t="shared" si="147"/>
        <v>#N/A</v>
      </c>
      <c r="D200" s="301" t="e">
        <f t="shared" si="116"/>
        <v>#N/A</v>
      </c>
      <c r="E200" s="299">
        <f t="shared" si="117"/>
        <v>179</v>
      </c>
      <c r="F200" s="396">
        <f>Weather!M184</f>
        <v>0</v>
      </c>
      <c r="G200" s="301">
        <f>IF(Weather!C184="","",Weather!C184)</f>
        <v>4.4220686076783746</v>
      </c>
      <c r="H200" s="301">
        <f>IF(Weather!D184="","",Weather!D184)</f>
        <v>3.9969408725133637</v>
      </c>
      <c r="I200" s="502">
        <f>IF(Weather!E184="","",Weather!E184)</f>
        <v>3.9969408725133637</v>
      </c>
      <c r="J200" s="397">
        <f>IF(RnSplint!N228&lt;0,0,RnSplint!N228)</f>
        <v>14.018324237989555</v>
      </c>
      <c r="K200" s="302">
        <f t="shared" si="148"/>
        <v>1.0095238095238104</v>
      </c>
      <c r="L200" s="303">
        <f t="shared" si="149"/>
        <v>38165</v>
      </c>
      <c r="M200" s="346" t="str">
        <f t="shared" si="118"/>
        <v/>
      </c>
      <c r="N200" s="304">
        <f t="shared" si="150"/>
        <v>1.0095238095238104</v>
      </c>
      <c r="O200" s="304">
        <f t="shared" si="151"/>
        <v>0</v>
      </c>
      <c r="P200" s="304">
        <f t="shared" si="119"/>
        <v>1.0095238095238104</v>
      </c>
      <c r="Q200" s="304">
        <f t="shared" si="120"/>
        <v>0.19273237731476053</v>
      </c>
      <c r="R200" s="304">
        <f t="shared" si="121"/>
        <v>1.0095238095238104</v>
      </c>
      <c r="S200" s="305">
        <f t="shared" si="152"/>
        <v>1.0095238095238104</v>
      </c>
      <c r="T200" s="304">
        <f t="shared" si="122"/>
        <v>0.460997298527833</v>
      </c>
      <c r="U200" s="304">
        <f t="shared" si="166"/>
        <v>1.0095238095238104</v>
      </c>
      <c r="V200" s="305">
        <f t="shared" si="123"/>
        <v>1.0095238095238104</v>
      </c>
      <c r="W200" s="305">
        <f t="shared" si="153"/>
        <v>1.0095238095238104</v>
      </c>
      <c r="X200" s="304">
        <f t="shared" si="154"/>
        <v>1.0095238095238104</v>
      </c>
      <c r="Z200" s="304">
        <f t="shared" si="124"/>
        <v>1.0095238095238104</v>
      </c>
      <c r="AA200" s="305">
        <f t="shared" si="125"/>
        <v>1.0095238095238104</v>
      </c>
      <c r="AB200" s="304">
        <f t="shared" si="126"/>
        <v>4.0350069760611138</v>
      </c>
      <c r="AC200" s="304" t="str">
        <f t="shared" si="155"/>
        <v/>
      </c>
      <c r="AD200" s="306">
        <f t="shared" si="127"/>
        <v>161.56917644204381</v>
      </c>
      <c r="AE200" s="307">
        <f t="shared" si="156"/>
        <v>4.0350069760611138</v>
      </c>
      <c r="AF200" s="308">
        <f t="shared" si="128"/>
        <v>161.56917644204381</v>
      </c>
      <c r="AG200" s="306">
        <f t="shared" si="157"/>
        <v>309.21734826027387</v>
      </c>
      <c r="AH200" s="306">
        <f t="shared" si="129"/>
        <v>0</v>
      </c>
      <c r="AI200" s="306">
        <f t="shared" si="158"/>
        <v>0</v>
      </c>
      <c r="AJ200" s="306">
        <f t="shared" si="159"/>
        <v>0</v>
      </c>
      <c r="AK200" s="306">
        <f t="shared" si="130"/>
        <v>0</v>
      </c>
      <c r="AL200" s="306">
        <f t="shared" si="160"/>
        <v>0</v>
      </c>
      <c r="AM200" s="306">
        <f t="shared" si="131"/>
        <v>0</v>
      </c>
      <c r="AN200" s="304">
        <f>KcSplint!$N229</f>
        <v>0.91431618845671669</v>
      </c>
      <c r="AO200" s="304">
        <f t="shared" si="132"/>
        <v>1.0434573654675146</v>
      </c>
      <c r="AP200" s="304">
        <f t="shared" si="161"/>
        <v>1.0434573654675146</v>
      </c>
      <c r="AQ200" s="305">
        <f t="shared" si="162"/>
        <v>1.0434573654675146</v>
      </c>
      <c r="AR200" s="304">
        <f t="shared" si="163"/>
        <v>4.1706373927622238</v>
      </c>
      <c r="AS200" s="306">
        <f t="shared" si="133"/>
        <v>200.74039341610035</v>
      </c>
      <c r="AT200" s="307">
        <f t="shared" si="164"/>
        <v>4.1706373927622238</v>
      </c>
      <c r="AU200" s="307">
        <f t="shared" si="165"/>
        <v>200.74039341610035</v>
      </c>
      <c r="AV200" s="304">
        <f t="shared" si="134"/>
        <v>3.9969408725133637</v>
      </c>
      <c r="AW200" s="309">
        <f t="shared" si="135"/>
        <v>169.62126090964952</v>
      </c>
      <c r="AX200" s="306">
        <f>IF(ISERROR(Weather!M184),#N/A,Weather!M184)</f>
        <v>0</v>
      </c>
      <c r="AY200" s="310">
        <f t="shared" si="136"/>
        <v>46</v>
      </c>
      <c r="AZ200" s="309">
        <f t="shared" si="137"/>
        <v>0.19273237731476053</v>
      </c>
      <c r="BA200" s="309">
        <f t="shared" si="138"/>
        <v>31.295425791379728</v>
      </c>
      <c r="BB200" s="311">
        <f>Irrig!H202</f>
        <v>0</v>
      </c>
      <c r="BC200" s="310">
        <f t="shared" si="139"/>
        <v>7</v>
      </c>
      <c r="BD200" s="309">
        <f t="shared" si="140"/>
        <v>0.460997298527833</v>
      </c>
      <c r="BE200" s="309">
        <f t="shared" si="141"/>
        <v>0.460997298527833</v>
      </c>
      <c r="BF200" s="306">
        <f>DailyMet!H183</f>
        <v>25.77</v>
      </c>
      <c r="BG200" s="306">
        <f>DailyMet!I183</f>
        <v>17.399999999999999</v>
      </c>
      <c r="BH200" s="306">
        <f t="shared" si="142"/>
        <v>25.77</v>
      </c>
      <c r="BI200" s="306">
        <f t="shared" si="143"/>
        <v>17.399999999999999</v>
      </c>
      <c r="BJ200" s="306">
        <f t="shared" si="144"/>
        <v>11.585000000000001</v>
      </c>
      <c r="BK200" s="306">
        <f t="shared" ref="BK200:BK263" si="169">IF(AP200="",0,BK199+BJ200)</f>
        <v>459.35499999999996</v>
      </c>
      <c r="BL200" s="304">
        <f t="shared" si="145"/>
        <v>0</v>
      </c>
      <c r="BM200" s="304">
        <f t="shared" si="146"/>
        <v>11.585000000000001</v>
      </c>
      <c r="BN200" s="304">
        <f t="shared" si="167"/>
        <v>11.585000000000001</v>
      </c>
      <c r="BO200" s="306">
        <f t="shared" si="168"/>
        <v>443.88423607665544</v>
      </c>
      <c r="BP200" s="306"/>
    </row>
    <row r="201" spans="1:68">
      <c r="A201" s="299">
        <f t="shared" si="114"/>
        <v>2</v>
      </c>
      <c r="B201" s="300">
        <f t="shared" si="115"/>
        <v>38166</v>
      </c>
      <c r="C201" s="301" t="e">
        <f t="shared" si="147"/>
        <v>#N/A</v>
      </c>
      <c r="D201" s="301" t="e">
        <f t="shared" si="116"/>
        <v>#N/A</v>
      </c>
      <c r="E201" s="299">
        <f t="shared" si="117"/>
        <v>180</v>
      </c>
      <c r="F201" s="396">
        <f>Weather!M185</f>
        <v>0</v>
      </c>
      <c r="G201" s="301">
        <f>IF(Weather!C185="","",Weather!C185)</f>
        <v>4.431128225507079</v>
      </c>
      <c r="H201" s="301">
        <f>IF(Weather!D185="","",Weather!D185)</f>
        <v>3.6508180022650345</v>
      </c>
      <c r="I201" s="502">
        <f>IF(Weather!E185="","",Weather!E185)</f>
        <v>3.6508180022650345</v>
      </c>
      <c r="J201" s="397">
        <f>IF(RnSplint!N229&lt;0,0,RnSplint!N229)</f>
        <v>14.992605273235418</v>
      </c>
      <c r="K201" s="302">
        <f t="shared" si="148"/>
        <v>1.0297619047619055</v>
      </c>
      <c r="L201" s="303">
        <f t="shared" si="149"/>
        <v>38166</v>
      </c>
      <c r="M201" s="346" t="str">
        <f t="shared" si="118"/>
        <v/>
      </c>
      <c r="N201" s="304">
        <f t="shared" si="150"/>
        <v>1.0297619047619055</v>
      </c>
      <c r="O201" s="304">
        <f t="shared" si="151"/>
        <v>0</v>
      </c>
      <c r="P201" s="304">
        <f t="shared" si="119"/>
        <v>1.0297619047619055</v>
      </c>
      <c r="Q201" s="304">
        <f t="shared" si="120"/>
        <v>0.19062618489896585</v>
      </c>
      <c r="R201" s="304">
        <f t="shared" si="121"/>
        <v>1.0297619047619055</v>
      </c>
      <c r="S201" s="305">
        <f t="shared" si="152"/>
        <v>1.0297619047619055</v>
      </c>
      <c r="T201" s="304">
        <f t="shared" si="122"/>
        <v>0.43548364309417159</v>
      </c>
      <c r="U201" s="304">
        <f t="shared" si="166"/>
        <v>1.0297619047619055</v>
      </c>
      <c r="V201" s="305">
        <f t="shared" si="123"/>
        <v>1.0297619047619055</v>
      </c>
      <c r="W201" s="305">
        <f t="shared" si="153"/>
        <v>1.0297619047619055</v>
      </c>
      <c r="X201" s="304">
        <f t="shared" si="154"/>
        <v>1.0297619047619055</v>
      </c>
      <c r="Z201" s="304">
        <f t="shared" si="124"/>
        <v>1.0297619047619055</v>
      </c>
      <c r="AA201" s="305">
        <f t="shared" si="125"/>
        <v>1.0297619047619055</v>
      </c>
      <c r="AB201" s="304">
        <f t="shared" si="126"/>
        <v>3.7594732999514968</v>
      </c>
      <c r="AC201" s="304" t="str">
        <f t="shared" si="155"/>
        <v/>
      </c>
      <c r="AD201" s="306">
        <f t="shared" si="127"/>
        <v>165.32864974199532</v>
      </c>
      <c r="AE201" s="307">
        <f t="shared" si="156"/>
        <v>3.7594732999514968</v>
      </c>
      <c r="AF201" s="308">
        <f t="shared" si="128"/>
        <v>165.32864974199532</v>
      </c>
      <c r="AG201" s="306">
        <f t="shared" si="157"/>
        <v>312.86816626253892</v>
      </c>
      <c r="AH201" s="306">
        <f t="shared" si="129"/>
        <v>0</v>
      </c>
      <c r="AI201" s="306">
        <f t="shared" si="158"/>
        <v>0</v>
      </c>
      <c r="AJ201" s="306">
        <f t="shared" si="159"/>
        <v>0</v>
      </c>
      <c r="AK201" s="306">
        <f t="shared" si="130"/>
        <v>0</v>
      </c>
      <c r="AL201" s="306">
        <f t="shared" si="160"/>
        <v>0</v>
      </c>
      <c r="AM201" s="306">
        <f t="shared" si="131"/>
        <v>0</v>
      </c>
      <c r="AN201" s="304">
        <f>KcSplint!$N230</f>
        <v>0.92457613162561059</v>
      </c>
      <c r="AO201" s="304">
        <f t="shared" si="132"/>
        <v>1.0492863942537987</v>
      </c>
      <c r="AP201" s="304">
        <f t="shared" si="161"/>
        <v>1.0492863942537987</v>
      </c>
      <c r="AQ201" s="305">
        <f t="shared" si="162"/>
        <v>1.0492863942537987</v>
      </c>
      <c r="AR201" s="304">
        <f t="shared" si="163"/>
        <v>3.8307536576735348</v>
      </c>
      <c r="AS201" s="306">
        <f t="shared" si="133"/>
        <v>204.57114707377389</v>
      </c>
      <c r="AT201" s="307">
        <f t="shared" si="164"/>
        <v>3.8307536576735348</v>
      </c>
      <c r="AU201" s="307">
        <f t="shared" si="165"/>
        <v>204.57114707377389</v>
      </c>
      <c r="AV201" s="304">
        <f t="shared" si="134"/>
        <v>3.6508180022650345</v>
      </c>
      <c r="AW201" s="309">
        <f t="shared" si="135"/>
        <v>173.27207891191455</v>
      </c>
      <c r="AX201" s="306">
        <f>IF(ISERROR(Weather!M185),#N/A,Weather!M185)</f>
        <v>0</v>
      </c>
      <c r="AY201" s="310">
        <f t="shared" si="136"/>
        <v>47</v>
      </c>
      <c r="AZ201" s="309">
        <f t="shared" si="137"/>
        <v>0.19062618489896585</v>
      </c>
      <c r="BA201" s="309">
        <f t="shared" si="138"/>
        <v>34.946243793644761</v>
      </c>
      <c r="BB201" s="311">
        <f>Irrig!H203</f>
        <v>0</v>
      </c>
      <c r="BC201" s="310">
        <f t="shared" si="139"/>
        <v>8</v>
      </c>
      <c r="BD201" s="309">
        <f t="shared" si="140"/>
        <v>0.43548364309417159</v>
      </c>
      <c r="BE201" s="309">
        <f t="shared" si="141"/>
        <v>0.43548364309417159</v>
      </c>
      <c r="BF201" s="306">
        <f>DailyMet!H184</f>
        <v>26.47</v>
      </c>
      <c r="BG201" s="306">
        <f>DailyMet!I184</f>
        <v>17.3</v>
      </c>
      <c r="BH201" s="306">
        <f t="shared" si="142"/>
        <v>26.47</v>
      </c>
      <c r="BI201" s="306">
        <f t="shared" si="143"/>
        <v>17.3</v>
      </c>
      <c r="BJ201" s="306">
        <f t="shared" si="144"/>
        <v>11.884999999999998</v>
      </c>
      <c r="BK201" s="306">
        <f t="shared" si="169"/>
        <v>471.23999999999995</v>
      </c>
      <c r="BL201" s="304">
        <f t="shared" si="145"/>
        <v>0</v>
      </c>
      <c r="BM201" s="304">
        <f t="shared" si="146"/>
        <v>11.884999999999998</v>
      </c>
      <c r="BN201" s="304">
        <f t="shared" si="167"/>
        <v>11.884999999999998</v>
      </c>
      <c r="BO201" s="306">
        <f t="shared" si="168"/>
        <v>455.76923607665543</v>
      </c>
      <c r="BP201" s="306"/>
    </row>
    <row r="202" spans="1:68">
      <c r="A202" s="299">
        <f t="shared" si="114"/>
        <v>3</v>
      </c>
      <c r="B202" s="300">
        <f t="shared" si="115"/>
        <v>38167</v>
      </c>
      <c r="C202" s="301">
        <f t="shared" si="147"/>
        <v>1.05</v>
      </c>
      <c r="D202" s="301">
        <f t="shared" si="116"/>
        <v>0.18780578222167701</v>
      </c>
      <c r="E202" s="299">
        <f t="shared" si="117"/>
        <v>181</v>
      </c>
      <c r="F202" s="396">
        <f>Weather!M186</f>
        <v>0</v>
      </c>
      <c r="G202" s="301">
        <f>IF(Weather!C186="","",Weather!C186)</f>
        <v>4.4389677905196265</v>
      </c>
      <c r="H202" s="301">
        <f>IF(Weather!D186="","",Weather!D186)</f>
        <v>5.0784150259928538</v>
      </c>
      <c r="I202" s="502">
        <f>IF(Weather!E186="","",Weather!E186)</f>
        <v>5.0784150259928538</v>
      </c>
      <c r="J202" s="397">
        <f>IF(RnSplint!N230&lt;0,0,RnSplint!N230)</f>
        <v>15.97759534171256</v>
      </c>
      <c r="K202" s="302">
        <f t="shared" si="148"/>
        <v>1.0500000000000007</v>
      </c>
      <c r="L202" s="303">
        <f t="shared" si="149"/>
        <v>38167</v>
      </c>
      <c r="M202" s="346" t="str">
        <f t="shared" si="118"/>
        <v/>
      </c>
      <c r="N202" s="304">
        <f t="shared" si="150"/>
        <v>1.0500000000000007</v>
      </c>
      <c r="O202" s="304">
        <f t="shared" si="151"/>
        <v>0</v>
      </c>
      <c r="P202" s="304">
        <f t="shared" si="119"/>
        <v>1.0500000000000007</v>
      </c>
      <c r="Q202" s="304">
        <f t="shared" si="120"/>
        <v>0.18780578222167701</v>
      </c>
      <c r="R202" s="304">
        <f t="shared" si="121"/>
        <v>1.0500000000000007</v>
      </c>
      <c r="S202" s="305">
        <f t="shared" si="152"/>
        <v>1.0500000000000007</v>
      </c>
      <c r="T202" s="304">
        <f t="shared" si="122"/>
        <v>0.40603684552565034</v>
      </c>
      <c r="U202" s="304">
        <f t="shared" si="166"/>
        <v>1.0500000000000007</v>
      </c>
      <c r="V202" s="305">
        <f t="shared" si="123"/>
        <v>1.0500000000000007</v>
      </c>
      <c r="W202" s="305">
        <f t="shared" si="153"/>
        <v>1.0500000000000007</v>
      </c>
      <c r="X202" s="304">
        <f t="shared" si="154"/>
        <v>1.0500000000000007</v>
      </c>
      <c r="Y202" s="304">
        <f>AVERAGE(X173:X202)</f>
        <v>0.76694444444444476</v>
      </c>
      <c r="Z202" s="304" t="str">
        <f t="shared" si="124"/>
        <v/>
      </c>
      <c r="AA202" s="305">
        <f t="shared" si="125"/>
        <v>1.0500000000000007</v>
      </c>
      <c r="AB202" s="304">
        <f t="shared" si="126"/>
        <v>5.3323357772925002</v>
      </c>
      <c r="AC202" s="304" t="str">
        <f t="shared" si="155"/>
        <v/>
      </c>
      <c r="AD202" s="306">
        <f t="shared" si="127"/>
        <v>170.66098551928783</v>
      </c>
      <c r="AE202" s="307">
        <f t="shared" si="156"/>
        <v>5.3323357772925002</v>
      </c>
      <c r="AF202" s="308">
        <f t="shared" si="128"/>
        <v>170.66098551928783</v>
      </c>
      <c r="AG202" s="306">
        <f t="shared" si="157"/>
        <v>317.94658128853177</v>
      </c>
      <c r="AH202" s="306">
        <f t="shared" si="129"/>
        <v>0</v>
      </c>
      <c r="AI202" s="306">
        <f t="shared" si="158"/>
        <v>5.0784150259928538</v>
      </c>
      <c r="AJ202" s="306">
        <f t="shared" si="159"/>
        <v>0</v>
      </c>
      <c r="AK202" s="306">
        <f t="shared" si="130"/>
        <v>0</v>
      </c>
      <c r="AL202" s="306">
        <f t="shared" si="160"/>
        <v>5.3323357772925002</v>
      </c>
      <c r="AM202" s="306">
        <f t="shared" si="131"/>
        <v>0</v>
      </c>
      <c r="AN202" s="304">
        <f>KcSplint!$N231</f>
        <v>0.9346840902991459</v>
      </c>
      <c r="AO202" s="304">
        <f t="shared" si="132"/>
        <v>1.0551154230400821</v>
      </c>
      <c r="AP202" s="304">
        <f t="shared" si="161"/>
        <v>1.0551154230400821</v>
      </c>
      <c r="AQ202" s="305">
        <f t="shared" si="162"/>
        <v>1.0551154230400821</v>
      </c>
      <c r="AR202" s="304">
        <f t="shared" si="163"/>
        <v>5.3583140185235596</v>
      </c>
      <c r="AS202" s="306">
        <f t="shared" si="133"/>
        <v>209.92946109229746</v>
      </c>
      <c r="AT202" s="307">
        <f t="shared" si="164"/>
        <v>5.3583140185235596</v>
      </c>
      <c r="AU202" s="307">
        <f t="shared" si="165"/>
        <v>209.92946109229746</v>
      </c>
      <c r="AV202" s="304">
        <f t="shared" si="134"/>
        <v>5.0784150259928538</v>
      </c>
      <c r="AW202" s="309">
        <f t="shared" si="135"/>
        <v>178.3504939379074</v>
      </c>
      <c r="AX202" s="306">
        <f>IF(ISERROR(Weather!M186),#N/A,Weather!M186)</f>
        <v>0</v>
      </c>
      <c r="AY202" s="310">
        <f t="shared" si="136"/>
        <v>48</v>
      </c>
      <c r="AZ202" s="309">
        <f t="shared" si="137"/>
        <v>0.18780578222167701</v>
      </c>
      <c r="BA202" s="309">
        <f t="shared" si="138"/>
        <v>40.024658819637615</v>
      </c>
      <c r="BB202" s="311">
        <f>Irrig!H204</f>
        <v>0</v>
      </c>
      <c r="BC202" s="310">
        <f t="shared" si="139"/>
        <v>9</v>
      </c>
      <c r="BD202" s="309">
        <f t="shared" si="140"/>
        <v>0.40603684552565034</v>
      </c>
      <c r="BE202" s="309">
        <f t="shared" si="141"/>
        <v>0.40603684552565034</v>
      </c>
      <c r="BF202" s="306">
        <f>DailyMet!H185</f>
        <v>28.28</v>
      </c>
      <c r="BG202" s="306">
        <f>DailyMet!I185</f>
        <v>19.2</v>
      </c>
      <c r="BH202" s="306">
        <f t="shared" si="142"/>
        <v>28.28</v>
      </c>
      <c r="BI202" s="306">
        <f t="shared" si="143"/>
        <v>19.2</v>
      </c>
      <c r="BJ202" s="306">
        <f t="shared" si="144"/>
        <v>13.740000000000002</v>
      </c>
      <c r="BK202" s="306">
        <f t="shared" si="169"/>
        <v>484.97999999999996</v>
      </c>
      <c r="BL202" s="304">
        <f t="shared" si="145"/>
        <v>0</v>
      </c>
      <c r="BM202" s="304">
        <f t="shared" si="146"/>
        <v>13.740000000000002</v>
      </c>
      <c r="BN202" s="304">
        <f t="shared" si="167"/>
        <v>13.740000000000002</v>
      </c>
      <c r="BO202" s="306">
        <f t="shared" si="168"/>
        <v>469.50923607665544</v>
      </c>
      <c r="BP202" s="306"/>
    </row>
    <row r="203" spans="1:68">
      <c r="A203" s="299">
        <f t="shared" si="114"/>
        <v>3</v>
      </c>
      <c r="B203" s="300">
        <f t="shared" si="115"/>
        <v>38168</v>
      </c>
      <c r="C203" s="301" t="e">
        <f t="shared" si="147"/>
        <v>#N/A</v>
      </c>
      <c r="D203" s="301" t="e">
        <f t="shared" si="116"/>
        <v>#N/A</v>
      </c>
      <c r="E203" s="299">
        <f t="shared" si="117"/>
        <v>182</v>
      </c>
      <c r="F203" s="396">
        <f>Weather!M187</f>
        <v>0</v>
      </c>
      <c r="G203" s="301">
        <f>IF(Weather!C187="","",Weather!C187)</f>
        <v>4.4456168204688007</v>
      </c>
      <c r="H203" s="301">
        <f>IF(Weather!D187="","",Weather!D187)</f>
        <v>5.1603088288052135</v>
      </c>
      <c r="I203" s="502">
        <f>IF(Weather!E187="","",Weather!E187)</f>
        <v>5.1603088288052135</v>
      </c>
      <c r="J203" s="397">
        <f>IF(RnSplint!N231&lt;0,0,RnSplint!N231)</f>
        <v>16.969826013503333</v>
      </c>
      <c r="K203" s="302">
        <f t="shared" si="148"/>
        <v>1.0500000000000007</v>
      </c>
      <c r="L203" s="303">
        <f t="shared" si="149"/>
        <v>38168</v>
      </c>
      <c r="M203" s="346">
        <f t="shared" si="118"/>
        <v>6</v>
      </c>
      <c r="N203" s="304">
        <f t="shared" si="150"/>
        <v>1.0500000000000007</v>
      </c>
      <c r="O203" s="304">
        <f t="shared" si="151"/>
        <v>0</v>
      </c>
      <c r="P203" s="304">
        <f t="shared" si="119"/>
        <v>1.0500000000000007</v>
      </c>
      <c r="Q203" s="304">
        <f t="shared" si="120"/>
        <v>0.18506193675206847</v>
      </c>
      <c r="R203" s="304">
        <f t="shared" si="121"/>
        <v>1.0500000000000007</v>
      </c>
      <c r="S203" s="305">
        <f t="shared" si="152"/>
        <v>1.0500000000000007</v>
      </c>
      <c r="T203" s="304">
        <f t="shared" si="122"/>
        <v>0.3814078393480268</v>
      </c>
      <c r="U203" s="304">
        <f t="shared" si="166"/>
        <v>1.0500000000000007</v>
      </c>
      <c r="V203" s="305">
        <f t="shared" si="123"/>
        <v>1.0500000000000007</v>
      </c>
      <c r="W203" s="305">
        <f t="shared" si="153"/>
        <v>1.0500000000000007</v>
      </c>
      <c r="X203" s="304">
        <f t="shared" si="154"/>
        <v>1.0500000000000007</v>
      </c>
      <c r="Y203" s="304">
        <f>AVERAGE(X174:X203)</f>
        <v>0.78650793650793671</v>
      </c>
      <c r="Z203" s="304" t="str">
        <f t="shared" si="124"/>
        <v/>
      </c>
      <c r="AA203" s="305">
        <f t="shared" si="125"/>
        <v>1.0500000000000007</v>
      </c>
      <c r="AB203" s="304">
        <f t="shared" si="126"/>
        <v>5.4183242702454777</v>
      </c>
      <c r="AC203" s="304" t="str">
        <f t="shared" si="155"/>
        <v/>
      </c>
      <c r="AD203" s="306">
        <f t="shared" si="127"/>
        <v>176.07930978953331</v>
      </c>
      <c r="AE203" s="307">
        <f t="shared" si="156"/>
        <v>5.4183242702454777</v>
      </c>
      <c r="AF203" s="308">
        <f t="shared" si="128"/>
        <v>176.07930978953331</v>
      </c>
      <c r="AG203" s="306">
        <f t="shared" si="157"/>
        <v>323.106890117337</v>
      </c>
      <c r="AH203" s="306">
        <f t="shared" si="129"/>
        <v>0</v>
      </c>
      <c r="AI203" s="306">
        <f t="shared" si="158"/>
        <v>5.1603088288052135</v>
      </c>
      <c r="AJ203" s="306">
        <f t="shared" si="159"/>
        <v>0</v>
      </c>
      <c r="AK203" s="306">
        <f t="shared" si="130"/>
        <v>0</v>
      </c>
      <c r="AL203" s="306">
        <f t="shared" si="160"/>
        <v>5.4183242702454777</v>
      </c>
      <c r="AM203" s="306">
        <f t="shared" si="131"/>
        <v>0</v>
      </c>
      <c r="AN203" s="304">
        <f>KcSplint!$N232</f>
        <v>0.94462037805777377</v>
      </c>
      <c r="AO203" s="304">
        <f t="shared" si="132"/>
        <v>1.0551154230400821</v>
      </c>
      <c r="AP203" s="304">
        <f t="shared" si="161"/>
        <v>1.0551154230400821</v>
      </c>
      <c r="AQ203" s="305">
        <f t="shared" si="162"/>
        <v>1.0551154230400821</v>
      </c>
      <c r="AR203" s="304">
        <f t="shared" si="163"/>
        <v>5.4447214329222833</v>
      </c>
      <c r="AS203" s="306">
        <f t="shared" si="133"/>
        <v>215.37418252521974</v>
      </c>
      <c r="AT203" s="307">
        <f t="shared" si="164"/>
        <v>5.4447214329222833</v>
      </c>
      <c r="AU203" s="307">
        <f t="shared" si="165"/>
        <v>215.37418252521974</v>
      </c>
      <c r="AV203" s="304">
        <f t="shared" si="134"/>
        <v>5.1603088288052135</v>
      </c>
      <c r="AW203" s="309">
        <f t="shared" si="135"/>
        <v>183.51080276671263</v>
      </c>
      <c r="AX203" s="306">
        <f>IF(ISERROR(Weather!M187),#N/A,Weather!M187)</f>
        <v>0</v>
      </c>
      <c r="AY203" s="310">
        <f t="shared" si="136"/>
        <v>49</v>
      </c>
      <c r="AZ203" s="309">
        <f t="shared" si="137"/>
        <v>0.18506193675206847</v>
      </c>
      <c r="BA203" s="309">
        <f t="shared" si="138"/>
        <v>45.184967648442829</v>
      </c>
      <c r="BB203" s="311">
        <f>Irrig!H205</f>
        <v>0</v>
      </c>
      <c r="BC203" s="310">
        <f t="shared" si="139"/>
        <v>10</v>
      </c>
      <c r="BD203" s="309">
        <f t="shared" si="140"/>
        <v>0.3814078393480268</v>
      </c>
      <c r="BE203" s="309">
        <f t="shared" si="141"/>
        <v>0.3814078393480268</v>
      </c>
      <c r="BF203" s="306">
        <f>DailyMet!H186</f>
        <v>28.6</v>
      </c>
      <c r="BG203" s="306">
        <f>DailyMet!I186</f>
        <v>20.8</v>
      </c>
      <c r="BH203" s="306">
        <f t="shared" si="142"/>
        <v>28.6</v>
      </c>
      <c r="BI203" s="306">
        <f t="shared" si="143"/>
        <v>20.8</v>
      </c>
      <c r="BJ203" s="306">
        <f t="shared" si="144"/>
        <v>14.700000000000003</v>
      </c>
      <c r="BK203" s="306">
        <f t="shared" si="169"/>
        <v>499.67999999999995</v>
      </c>
      <c r="BL203" s="304">
        <f t="shared" si="145"/>
        <v>0</v>
      </c>
      <c r="BM203" s="304">
        <f t="shared" si="146"/>
        <v>14.700000000000003</v>
      </c>
      <c r="BN203" s="304">
        <f t="shared" si="167"/>
        <v>14.700000000000003</v>
      </c>
      <c r="BO203" s="306">
        <f t="shared" si="168"/>
        <v>484.20923607665543</v>
      </c>
      <c r="BP203" s="306"/>
    </row>
    <row r="204" spans="1:68">
      <c r="A204" s="299">
        <f t="shared" si="114"/>
        <v>3</v>
      </c>
      <c r="B204" s="300">
        <f t="shared" si="115"/>
        <v>38169</v>
      </c>
      <c r="C204" s="301" t="e">
        <f t="shared" si="147"/>
        <v>#N/A</v>
      </c>
      <c r="D204" s="301" t="e">
        <f t="shared" si="116"/>
        <v>#N/A</v>
      </c>
      <c r="E204" s="299">
        <f t="shared" si="117"/>
        <v>183</v>
      </c>
      <c r="F204" s="396">
        <f>Weather!M188</f>
        <v>0</v>
      </c>
      <c r="G204" s="301">
        <f>IF(Weather!C188="","",Weather!C188)</f>
        <v>4.4511048331073866</v>
      </c>
      <c r="H204" s="301">
        <f>IF(Weather!D188="","",Weather!D188)</f>
        <v>5.3632519936455187</v>
      </c>
      <c r="I204" s="502">
        <f>IF(Weather!E188="","",Weather!E188)</f>
        <v>5.3632519936455187</v>
      </c>
      <c r="J204" s="397">
        <f>IF(RnSplint!N232&lt;0,0,RnSplint!N232)</f>
        <v>17.96582885869007</v>
      </c>
      <c r="K204" s="302">
        <f t="shared" si="148"/>
        <v>1.0500000000000007</v>
      </c>
      <c r="L204" s="303">
        <f t="shared" si="149"/>
        <v>38169</v>
      </c>
      <c r="M204" s="346" t="str">
        <f t="shared" si="118"/>
        <v/>
      </c>
      <c r="N204" s="304">
        <f t="shared" si="150"/>
        <v>1.0500000000000007</v>
      </c>
      <c r="O204" s="304">
        <f t="shared" si="151"/>
        <v>0</v>
      </c>
      <c r="P204" s="304">
        <f t="shared" si="119"/>
        <v>1.0500000000000007</v>
      </c>
      <c r="Q204" s="304">
        <f t="shared" si="120"/>
        <v>0.18233145507011891</v>
      </c>
      <c r="R204" s="304">
        <f t="shared" si="121"/>
        <v>1.0500000000000007</v>
      </c>
      <c r="S204" s="305">
        <f t="shared" si="152"/>
        <v>1.0500000000000007</v>
      </c>
      <c r="T204" s="304">
        <f t="shared" si="122"/>
        <v>0.35996003123636866</v>
      </c>
      <c r="U204" s="304">
        <f t="shared" si="166"/>
        <v>1.0500000000000007</v>
      </c>
      <c r="V204" s="305">
        <f t="shared" si="123"/>
        <v>1.0500000000000007</v>
      </c>
      <c r="W204" s="305">
        <f t="shared" si="153"/>
        <v>1.0500000000000007</v>
      </c>
      <c r="X204" s="304">
        <f t="shared" si="154"/>
        <v>1.0500000000000007</v>
      </c>
      <c r="Z204" s="304" t="str">
        <f t="shared" si="124"/>
        <v/>
      </c>
      <c r="AA204" s="305">
        <f t="shared" si="125"/>
        <v>1.0500000000000007</v>
      </c>
      <c r="AB204" s="304">
        <f t="shared" si="126"/>
        <v>5.6314145933277988</v>
      </c>
      <c r="AC204" s="304" t="str">
        <f t="shared" si="155"/>
        <v/>
      </c>
      <c r="AD204" s="306">
        <f t="shared" si="127"/>
        <v>181.71072438286112</v>
      </c>
      <c r="AE204" s="307">
        <f t="shared" si="156"/>
        <v>5.6314145933277988</v>
      </c>
      <c r="AF204" s="308">
        <f t="shared" si="128"/>
        <v>181.71072438286112</v>
      </c>
      <c r="AG204" s="306">
        <f t="shared" si="157"/>
        <v>328.47014211098252</v>
      </c>
      <c r="AH204" s="306">
        <f t="shared" si="129"/>
        <v>0</v>
      </c>
      <c r="AI204" s="306">
        <f t="shared" si="158"/>
        <v>5.3632519936455187</v>
      </c>
      <c r="AJ204" s="306">
        <f t="shared" si="159"/>
        <v>0</v>
      </c>
      <c r="AK204" s="306">
        <f t="shared" si="130"/>
        <v>0</v>
      </c>
      <c r="AL204" s="306">
        <f t="shared" si="160"/>
        <v>5.6314145933277988</v>
      </c>
      <c r="AM204" s="306">
        <f t="shared" si="131"/>
        <v>0</v>
      </c>
      <c r="AN204" s="304">
        <f>KcSplint!$N233</f>
        <v>0.9543653084819449</v>
      </c>
      <c r="AO204" s="304">
        <f t="shared" si="132"/>
        <v>1.0551154230400821</v>
      </c>
      <c r="AP204" s="304">
        <f t="shared" si="161"/>
        <v>1.0551154230400821</v>
      </c>
      <c r="AQ204" s="305">
        <f t="shared" si="162"/>
        <v>1.0551154230400821</v>
      </c>
      <c r="AR204" s="304">
        <f t="shared" si="163"/>
        <v>5.6588498961458553</v>
      </c>
      <c r="AS204" s="306">
        <f t="shared" si="133"/>
        <v>221.03303242136559</v>
      </c>
      <c r="AT204" s="307">
        <f t="shared" si="164"/>
        <v>5.6588498961458553</v>
      </c>
      <c r="AU204" s="307">
        <f t="shared" si="165"/>
        <v>221.03303242136559</v>
      </c>
      <c r="AV204" s="304">
        <f t="shared" si="134"/>
        <v>5.3632519936455187</v>
      </c>
      <c r="AW204" s="309">
        <f t="shared" si="135"/>
        <v>188.87405476035815</v>
      </c>
      <c r="AX204" s="306">
        <f>IF(ISERROR(Weather!M188),#N/A,Weather!M188)</f>
        <v>0</v>
      </c>
      <c r="AY204" s="310">
        <f t="shared" si="136"/>
        <v>50</v>
      </c>
      <c r="AZ204" s="309">
        <f t="shared" si="137"/>
        <v>0.18233145507011891</v>
      </c>
      <c r="BA204" s="309">
        <f t="shared" si="138"/>
        <v>50.548219642088348</v>
      </c>
      <c r="BB204" s="311">
        <f>Irrig!H206</f>
        <v>0</v>
      </c>
      <c r="BC204" s="310">
        <f t="shared" si="139"/>
        <v>11</v>
      </c>
      <c r="BD204" s="309">
        <f t="shared" si="140"/>
        <v>0.35996003123636866</v>
      </c>
      <c r="BE204" s="309">
        <f t="shared" si="141"/>
        <v>0.35996003123636866</v>
      </c>
      <c r="BF204" s="306">
        <f>DailyMet!H187</f>
        <v>29.88</v>
      </c>
      <c r="BG204" s="306">
        <f>DailyMet!I187</f>
        <v>20.399999999999999</v>
      </c>
      <c r="BH204" s="306">
        <f t="shared" si="142"/>
        <v>29.88</v>
      </c>
      <c r="BI204" s="306">
        <f t="shared" si="143"/>
        <v>20.399999999999999</v>
      </c>
      <c r="BJ204" s="306">
        <f t="shared" si="144"/>
        <v>15.14</v>
      </c>
      <c r="BK204" s="306">
        <f t="shared" si="169"/>
        <v>514.81999999999994</v>
      </c>
      <c r="BL204" s="304">
        <f t="shared" si="145"/>
        <v>0</v>
      </c>
      <c r="BM204" s="304">
        <f t="shared" si="146"/>
        <v>15.14</v>
      </c>
      <c r="BN204" s="304">
        <f t="shared" si="167"/>
        <v>15.14</v>
      </c>
      <c r="BO204" s="306">
        <f t="shared" si="168"/>
        <v>499.34923607665542</v>
      </c>
      <c r="BP204" s="306"/>
    </row>
    <row r="205" spans="1:68">
      <c r="A205" s="299">
        <f t="shared" si="114"/>
        <v>3</v>
      </c>
      <c r="B205" s="300">
        <f t="shared" si="115"/>
        <v>38170</v>
      </c>
      <c r="C205" s="301" t="e">
        <f t="shared" si="147"/>
        <v>#N/A</v>
      </c>
      <c r="D205" s="301" t="e">
        <f t="shared" si="116"/>
        <v>#N/A</v>
      </c>
      <c r="E205" s="299">
        <f t="shared" si="117"/>
        <v>184</v>
      </c>
      <c r="F205" s="396">
        <f>Weather!M189</f>
        <v>0</v>
      </c>
      <c r="G205" s="301">
        <f>IF(Weather!C189="","",Weather!C189)</f>
        <v>4.4554613461881694</v>
      </c>
      <c r="H205" s="301">
        <f>IF(Weather!D189="","",Weather!D189)</f>
        <v>5.5388845439925944</v>
      </c>
      <c r="I205" s="502">
        <f>IF(Weather!E189="","",Weather!E189)</f>
        <v>5.5388845439925944</v>
      </c>
      <c r="J205" s="397">
        <f>IF(RnSplint!N233&lt;0,0,RnSplint!N233)</f>
        <v>18.962135447355116</v>
      </c>
      <c r="K205" s="302">
        <f t="shared" si="148"/>
        <v>1.0500000000000007</v>
      </c>
      <c r="L205" s="303">
        <f t="shared" si="149"/>
        <v>38170</v>
      </c>
      <c r="M205" s="346" t="str">
        <f t="shared" si="118"/>
        <v/>
      </c>
      <c r="N205" s="304">
        <f t="shared" si="150"/>
        <v>1.0500000000000007</v>
      </c>
      <c r="O205" s="304">
        <f t="shared" si="151"/>
        <v>0</v>
      </c>
      <c r="P205" s="304">
        <f t="shared" si="119"/>
        <v>1.0500000000000007</v>
      </c>
      <c r="Q205" s="304">
        <f t="shared" si="120"/>
        <v>0.17963225456947426</v>
      </c>
      <c r="R205" s="304">
        <f t="shared" si="121"/>
        <v>1.0500000000000007</v>
      </c>
      <c r="S205" s="305">
        <f t="shared" si="152"/>
        <v>1.0500000000000007</v>
      </c>
      <c r="T205" s="304">
        <f t="shared" si="122"/>
        <v>0.34115613806342404</v>
      </c>
      <c r="U205" s="304">
        <f t="shared" si="166"/>
        <v>1.0500000000000007</v>
      </c>
      <c r="V205" s="305">
        <f t="shared" si="123"/>
        <v>1.0500000000000007</v>
      </c>
      <c r="W205" s="305">
        <f t="shared" si="153"/>
        <v>1.0500000000000007</v>
      </c>
      <c r="X205" s="304">
        <f t="shared" si="154"/>
        <v>1.0500000000000007</v>
      </c>
      <c r="Z205" s="304" t="str">
        <f t="shared" si="124"/>
        <v/>
      </c>
      <c r="AA205" s="305">
        <f t="shared" si="125"/>
        <v>1.0500000000000007</v>
      </c>
      <c r="AB205" s="304">
        <f t="shared" si="126"/>
        <v>5.8158287711922281</v>
      </c>
      <c r="AC205" s="304" t="str">
        <f t="shared" si="155"/>
        <v/>
      </c>
      <c r="AD205" s="306">
        <f t="shared" si="127"/>
        <v>187.52655315405335</v>
      </c>
      <c r="AE205" s="307">
        <f t="shared" si="156"/>
        <v>5.8158287711922281</v>
      </c>
      <c r="AF205" s="308">
        <f t="shared" si="128"/>
        <v>187.52655315405335</v>
      </c>
      <c r="AG205" s="306">
        <f t="shared" si="157"/>
        <v>334.00902665497512</v>
      </c>
      <c r="AH205" s="306">
        <f t="shared" si="129"/>
        <v>0</v>
      </c>
      <c r="AI205" s="306">
        <f t="shared" si="158"/>
        <v>5.5388845439925944</v>
      </c>
      <c r="AJ205" s="306">
        <f t="shared" si="159"/>
        <v>0</v>
      </c>
      <c r="AK205" s="306">
        <f t="shared" si="130"/>
        <v>0</v>
      </c>
      <c r="AL205" s="306">
        <f t="shared" si="160"/>
        <v>5.8158287711922281</v>
      </c>
      <c r="AM205" s="306">
        <f t="shared" si="131"/>
        <v>0</v>
      </c>
      <c r="AN205" s="304">
        <f>KcSplint!$N234</f>
        <v>0.96389919515210987</v>
      </c>
      <c r="AO205" s="304">
        <f t="shared" si="132"/>
        <v>1.0551154230400821</v>
      </c>
      <c r="AP205" s="304">
        <f t="shared" si="161"/>
        <v>1.0551154230400821</v>
      </c>
      <c r="AQ205" s="305">
        <f t="shared" si="162"/>
        <v>1.0551154230400821</v>
      </c>
      <c r="AR205" s="304">
        <f t="shared" si="163"/>
        <v>5.8441625088049189</v>
      </c>
      <c r="AS205" s="306">
        <f t="shared" si="133"/>
        <v>226.8771949301705</v>
      </c>
      <c r="AT205" s="307">
        <f t="shared" si="164"/>
        <v>5.8441625088049189</v>
      </c>
      <c r="AU205" s="307">
        <f t="shared" si="165"/>
        <v>226.8771949301705</v>
      </c>
      <c r="AV205" s="304">
        <f t="shared" si="134"/>
        <v>5.5388845439925944</v>
      </c>
      <c r="AW205" s="309">
        <f t="shared" si="135"/>
        <v>194.41293930435074</v>
      </c>
      <c r="AX205" s="306">
        <f>IF(ISERROR(Weather!M189),#N/A,Weather!M189)</f>
        <v>0</v>
      </c>
      <c r="AY205" s="310">
        <f t="shared" si="136"/>
        <v>51</v>
      </c>
      <c r="AZ205" s="309">
        <f t="shared" si="137"/>
        <v>0.17963225456947426</v>
      </c>
      <c r="BA205" s="309">
        <f t="shared" si="138"/>
        <v>56.087104186080943</v>
      </c>
      <c r="BB205" s="311">
        <f>Irrig!H207</f>
        <v>0</v>
      </c>
      <c r="BC205" s="310">
        <f t="shared" si="139"/>
        <v>12</v>
      </c>
      <c r="BD205" s="309">
        <f t="shared" si="140"/>
        <v>0.34115613806342404</v>
      </c>
      <c r="BE205" s="309">
        <f t="shared" si="141"/>
        <v>0.34115613806342404</v>
      </c>
      <c r="BF205" s="306">
        <f>DailyMet!H188</f>
        <v>29.93</v>
      </c>
      <c r="BG205" s="306">
        <f>DailyMet!I188</f>
        <v>23.5</v>
      </c>
      <c r="BH205" s="306">
        <f t="shared" si="142"/>
        <v>29.93</v>
      </c>
      <c r="BI205" s="306">
        <f t="shared" si="143"/>
        <v>23.5</v>
      </c>
      <c r="BJ205" s="306">
        <f t="shared" si="144"/>
        <v>16.715</v>
      </c>
      <c r="BK205" s="306">
        <f t="shared" si="169"/>
        <v>531.53499999999997</v>
      </c>
      <c r="BL205" s="304">
        <f t="shared" si="145"/>
        <v>0</v>
      </c>
      <c r="BM205" s="304">
        <f t="shared" si="146"/>
        <v>16.715</v>
      </c>
      <c r="BN205" s="304">
        <f t="shared" si="167"/>
        <v>16.715</v>
      </c>
      <c r="BO205" s="306">
        <f t="shared" si="168"/>
        <v>516.06423607665545</v>
      </c>
      <c r="BP205" s="306"/>
    </row>
    <row r="206" spans="1:68">
      <c r="A206" s="299">
        <f t="shared" si="114"/>
        <v>3</v>
      </c>
      <c r="B206" s="300">
        <f t="shared" si="115"/>
        <v>38171</v>
      </c>
      <c r="C206" s="301" t="e">
        <f t="shared" si="147"/>
        <v>#N/A</v>
      </c>
      <c r="D206" s="301" t="e">
        <f t="shared" si="116"/>
        <v>#N/A</v>
      </c>
      <c r="E206" s="299">
        <f t="shared" si="117"/>
        <v>185</v>
      </c>
      <c r="F206" s="396">
        <f>Weather!M190</f>
        <v>0</v>
      </c>
      <c r="G206" s="301">
        <f>IF(Weather!C190="","",Weather!C190)</f>
        <v>4.4587158774639333</v>
      </c>
      <c r="H206" s="301">
        <f>IF(Weather!D190="","",Weather!D190)</f>
        <v>5.0489004426417008</v>
      </c>
      <c r="I206" s="502">
        <f>IF(Weather!E190="","",Weather!E190)</f>
        <v>5.0489004426417008</v>
      </c>
      <c r="J206" s="397">
        <f>IF(RnSplint!N234&lt;0,0,RnSplint!N234)</f>
        <v>19.955277349580822</v>
      </c>
      <c r="K206" s="302">
        <f t="shared" si="148"/>
        <v>1.0500000000000007</v>
      </c>
      <c r="L206" s="303">
        <f t="shared" si="149"/>
        <v>38171</v>
      </c>
      <c r="M206" s="346" t="str">
        <f t="shared" si="118"/>
        <v/>
      </c>
      <c r="N206" s="304">
        <f t="shared" si="150"/>
        <v>1.0500000000000007</v>
      </c>
      <c r="O206" s="304">
        <f t="shared" si="151"/>
        <v>0</v>
      </c>
      <c r="P206" s="304">
        <f t="shared" si="119"/>
        <v>1.0500000000000007</v>
      </c>
      <c r="Q206" s="304">
        <f t="shared" si="120"/>
        <v>0.17727146722900947</v>
      </c>
      <c r="R206" s="304">
        <f t="shared" si="121"/>
        <v>1.0500000000000007</v>
      </c>
      <c r="S206" s="305">
        <f t="shared" si="152"/>
        <v>1.0500000000000007</v>
      </c>
      <c r="T206" s="304">
        <f t="shared" si="122"/>
        <v>0.32631514224644476</v>
      </c>
      <c r="U206" s="304">
        <f t="shared" si="166"/>
        <v>1.0500000000000007</v>
      </c>
      <c r="V206" s="305">
        <f t="shared" si="123"/>
        <v>1.0500000000000007</v>
      </c>
      <c r="W206" s="305">
        <f t="shared" si="153"/>
        <v>1.0500000000000007</v>
      </c>
      <c r="X206" s="304">
        <f t="shared" si="154"/>
        <v>1.0500000000000007</v>
      </c>
      <c r="Z206" s="304" t="str">
        <f t="shared" si="124"/>
        <v/>
      </c>
      <c r="AA206" s="305">
        <f t="shared" si="125"/>
        <v>1.0500000000000007</v>
      </c>
      <c r="AB206" s="304">
        <f t="shared" si="126"/>
        <v>5.3013454647737897</v>
      </c>
      <c r="AC206" s="304" t="str">
        <f t="shared" si="155"/>
        <v/>
      </c>
      <c r="AD206" s="306">
        <f t="shared" si="127"/>
        <v>192.82789861882713</v>
      </c>
      <c r="AE206" s="307">
        <f t="shared" si="156"/>
        <v>5.3013454647737897</v>
      </c>
      <c r="AF206" s="308">
        <f t="shared" si="128"/>
        <v>192.82789861882713</v>
      </c>
      <c r="AG206" s="306">
        <f t="shared" si="157"/>
        <v>339.05792709761681</v>
      </c>
      <c r="AH206" s="306">
        <f t="shared" si="129"/>
        <v>0</v>
      </c>
      <c r="AI206" s="306">
        <f t="shared" si="158"/>
        <v>5.0489004426417008</v>
      </c>
      <c r="AJ206" s="306">
        <f t="shared" si="159"/>
        <v>0</v>
      </c>
      <c r="AK206" s="306">
        <f t="shared" si="130"/>
        <v>0</v>
      </c>
      <c r="AL206" s="306">
        <f t="shared" si="160"/>
        <v>5.3013454647737897</v>
      </c>
      <c r="AM206" s="306">
        <f t="shared" si="131"/>
        <v>0</v>
      </c>
      <c r="AN206" s="304">
        <f>KcSplint!$N235</f>
        <v>0.97320235164871993</v>
      </c>
      <c r="AO206" s="304">
        <f t="shared" si="132"/>
        <v>1.0551154230400821</v>
      </c>
      <c r="AP206" s="304">
        <f t="shared" si="161"/>
        <v>1.0551154230400821</v>
      </c>
      <c r="AQ206" s="305">
        <f t="shared" si="162"/>
        <v>1.0551154230400821</v>
      </c>
      <c r="AR206" s="304">
        <f t="shared" si="163"/>
        <v>5.3271727264251556</v>
      </c>
      <c r="AS206" s="306">
        <f t="shared" si="133"/>
        <v>232.20436765659565</v>
      </c>
      <c r="AT206" s="307">
        <f t="shared" si="164"/>
        <v>5.3271727264251556</v>
      </c>
      <c r="AU206" s="307">
        <f t="shared" si="165"/>
        <v>232.20436765659565</v>
      </c>
      <c r="AV206" s="304">
        <f t="shared" si="134"/>
        <v>5.0489004426417008</v>
      </c>
      <c r="AW206" s="309">
        <f t="shared" si="135"/>
        <v>199.46183974699244</v>
      </c>
      <c r="AX206" s="306">
        <f>IF(ISERROR(Weather!M190),#N/A,Weather!M190)</f>
        <v>0</v>
      </c>
      <c r="AY206" s="310">
        <f t="shared" si="136"/>
        <v>52</v>
      </c>
      <c r="AZ206" s="309">
        <f t="shared" si="137"/>
        <v>0.17727146722900947</v>
      </c>
      <c r="BA206" s="309">
        <f t="shared" si="138"/>
        <v>61.136004628722645</v>
      </c>
      <c r="BB206" s="311">
        <f>Irrig!H208</f>
        <v>0</v>
      </c>
      <c r="BC206" s="310">
        <f t="shared" si="139"/>
        <v>13</v>
      </c>
      <c r="BD206" s="309">
        <f t="shared" si="140"/>
        <v>0.32631514224644476</v>
      </c>
      <c r="BE206" s="309">
        <f t="shared" si="141"/>
        <v>0.32631514224644476</v>
      </c>
      <c r="BF206" s="306">
        <f>DailyMet!H189</f>
        <v>26.42</v>
      </c>
      <c r="BG206" s="306">
        <f>DailyMet!I189</f>
        <v>21</v>
      </c>
      <c r="BH206" s="306">
        <f t="shared" si="142"/>
        <v>26.42</v>
      </c>
      <c r="BI206" s="306">
        <f t="shared" si="143"/>
        <v>21</v>
      </c>
      <c r="BJ206" s="306">
        <f t="shared" si="144"/>
        <v>13.71</v>
      </c>
      <c r="BK206" s="306">
        <f t="shared" si="169"/>
        <v>545.245</v>
      </c>
      <c r="BL206" s="304">
        <f t="shared" si="145"/>
        <v>0</v>
      </c>
      <c r="BM206" s="304">
        <f t="shared" si="146"/>
        <v>13.71</v>
      </c>
      <c r="BN206" s="304">
        <f t="shared" si="167"/>
        <v>13.71</v>
      </c>
      <c r="BO206" s="306">
        <f t="shared" si="168"/>
        <v>529.77423607665548</v>
      </c>
      <c r="BP206" s="306"/>
    </row>
    <row r="207" spans="1:68">
      <c r="A207" s="299">
        <f t="shared" si="114"/>
        <v>3</v>
      </c>
      <c r="B207" s="300">
        <f t="shared" si="115"/>
        <v>38172</v>
      </c>
      <c r="C207" s="301" t="e">
        <f t="shared" si="147"/>
        <v>#N/A</v>
      </c>
      <c r="D207" s="301" t="e">
        <f t="shared" si="116"/>
        <v>#N/A</v>
      </c>
      <c r="E207" s="299">
        <f t="shared" si="117"/>
        <v>186</v>
      </c>
      <c r="F207" s="396">
        <f>Weather!M191</f>
        <v>0</v>
      </c>
      <c r="G207" s="301">
        <f>IF(Weather!C191="","",Weather!C191)</f>
        <v>4.4608979446874644</v>
      </c>
      <c r="H207" s="301">
        <f>IF(Weather!D191="","",Weather!D191)</f>
        <v>5.1819685613911384</v>
      </c>
      <c r="I207" s="502">
        <f>IF(Weather!E191="","",Weather!E191)</f>
        <v>5.1819685613911384</v>
      </c>
      <c r="J207" s="397">
        <f>IF(RnSplint!N235&lt;0,0,RnSplint!N235)</f>
        <v>20.941786135449515</v>
      </c>
      <c r="K207" s="302">
        <f t="shared" si="148"/>
        <v>1.0500000000000007</v>
      </c>
      <c r="L207" s="303">
        <f t="shared" si="149"/>
        <v>38172</v>
      </c>
      <c r="M207" s="346" t="str">
        <f t="shared" si="118"/>
        <v/>
      </c>
      <c r="N207" s="304">
        <f t="shared" si="150"/>
        <v>1.0500000000000007</v>
      </c>
      <c r="O207" s="304">
        <f t="shared" si="151"/>
        <v>0</v>
      </c>
      <c r="P207" s="304">
        <f t="shared" si="119"/>
        <v>1.0500000000000007</v>
      </c>
      <c r="Q207" s="304">
        <f t="shared" si="120"/>
        <v>0.1749408467502018</v>
      </c>
      <c r="R207" s="304">
        <f t="shared" si="121"/>
        <v>1.0500000000000007</v>
      </c>
      <c r="S207" s="305">
        <f t="shared" si="152"/>
        <v>1.0500000000000007</v>
      </c>
      <c r="T207" s="304">
        <f t="shared" si="122"/>
        <v>0.31289943884148097</v>
      </c>
      <c r="U207" s="304">
        <f t="shared" si="166"/>
        <v>1.0500000000000007</v>
      </c>
      <c r="V207" s="305">
        <f t="shared" si="123"/>
        <v>1.0500000000000007</v>
      </c>
      <c r="W207" s="305">
        <f t="shared" si="153"/>
        <v>1.0500000000000007</v>
      </c>
      <c r="X207" s="304">
        <f t="shared" si="154"/>
        <v>1.0500000000000007</v>
      </c>
      <c r="Z207" s="304" t="str">
        <f t="shared" si="124"/>
        <v/>
      </c>
      <c r="AA207" s="305">
        <f t="shared" si="125"/>
        <v>1.0500000000000007</v>
      </c>
      <c r="AB207" s="304">
        <f t="shared" si="126"/>
        <v>5.4410669894606993</v>
      </c>
      <c r="AC207" s="304" t="str">
        <f t="shared" si="155"/>
        <v/>
      </c>
      <c r="AD207" s="306">
        <f t="shared" si="127"/>
        <v>198.26896560828783</v>
      </c>
      <c r="AE207" s="307">
        <f t="shared" si="156"/>
        <v>5.4410669894606993</v>
      </c>
      <c r="AF207" s="308">
        <f t="shared" si="128"/>
        <v>198.26896560828783</v>
      </c>
      <c r="AG207" s="306">
        <f t="shared" si="157"/>
        <v>344.23989565900797</v>
      </c>
      <c r="AH207" s="306">
        <f t="shared" si="129"/>
        <v>0</v>
      </c>
      <c r="AI207" s="306">
        <f t="shared" si="158"/>
        <v>5.1819685613911384</v>
      </c>
      <c r="AJ207" s="306">
        <f t="shared" si="159"/>
        <v>0</v>
      </c>
      <c r="AK207" s="306">
        <f t="shared" si="130"/>
        <v>0</v>
      </c>
      <c r="AL207" s="306">
        <f t="shared" si="160"/>
        <v>5.4410669894606993</v>
      </c>
      <c r="AM207" s="306">
        <f t="shared" si="131"/>
        <v>0</v>
      </c>
      <c r="AN207" s="304">
        <f>KcSplint!$N236</f>
        <v>0.98225509155222557</v>
      </c>
      <c r="AO207" s="304">
        <f t="shared" si="132"/>
        <v>1.0551154230400821</v>
      </c>
      <c r="AP207" s="304">
        <f t="shared" si="161"/>
        <v>1.0551154230400821</v>
      </c>
      <c r="AQ207" s="305">
        <f t="shared" si="162"/>
        <v>1.0551154230400821</v>
      </c>
      <c r="AR207" s="304">
        <f t="shared" si="163"/>
        <v>5.467574950832617</v>
      </c>
      <c r="AS207" s="306">
        <f t="shared" si="133"/>
        <v>237.67194260742826</v>
      </c>
      <c r="AT207" s="307">
        <f t="shared" si="164"/>
        <v>5.467574950832617</v>
      </c>
      <c r="AU207" s="307">
        <f t="shared" si="165"/>
        <v>237.67194260742826</v>
      </c>
      <c r="AV207" s="304">
        <f t="shared" si="134"/>
        <v>5.1819685613911384</v>
      </c>
      <c r="AW207" s="309">
        <f t="shared" si="135"/>
        <v>204.64380830838357</v>
      </c>
      <c r="AX207" s="306">
        <f>IF(ISERROR(Weather!M191),#N/A,Weather!M191)</f>
        <v>0</v>
      </c>
      <c r="AY207" s="310">
        <f t="shared" si="136"/>
        <v>53</v>
      </c>
      <c r="AZ207" s="309">
        <f t="shared" si="137"/>
        <v>0.1749408467502018</v>
      </c>
      <c r="BA207" s="309">
        <f t="shared" si="138"/>
        <v>66.31797319011379</v>
      </c>
      <c r="BB207" s="311">
        <f>Irrig!H209</f>
        <v>0</v>
      </c>
      <c r="BC207" s="310">
        <f t="shared" si="139"/>
        <v>14</v>
      </c>
      <c r="BD207" s="309">
        <f t="shared" si="140"/>
        <v>0.31289943884148097</v>
      </c>
      <c r="BE207" s="309">
        <f t="shared" si="141"/>
        <v>0.31289943884148097</v>
      </c>
      <c r="BF207" s="306">
        <f>DailyMet!H190</f>
        <v>27.32</v>
      </c>
      <c r="BG207" s="306">
        <f>DailyMet!I190</f>
        <v>20.399999999999999</v>
      </c>
      <c r="BH207" s="306">
        <f t="shared" si="142"/>
        <v>27.32</v>
      </c>
      <c r="BI207" s="306">
        <f t="shared" si="143"/>
        <v>20.399999999999999</v>
      </c>
      <c r="BJ207" s="306">
        <f t="shared" si="144"/>
        <v>13.86</v>
      </c>
      <c r="BK207" s="306">
        <f t="shared" si="169"/>
        <v>559.10500000000002</v>
      </c>
      <c r="BL207" s="304">
        <f t="shared" si="145"/>
        <v>0</v>
      </c>
      <c r="BM207" s="304">
        <f t="shared" si="146"/>
        <v>13.86</v>
      </c>
      <c r="BN207" s="304">
        <f t="shared" si="167"/>
        <v>13.86</v>
      </c>
      <c r="BO207" s="306">
        <f t="shared" si="168"/>
        <v>543.6342360766555</v>
      </c>
      <c r="BP207" s="306"/>
    </row>
    <row r="208" spans="1:68">
      <c r="A208" s="299">
        <f t="shared" si="114"/>
        <v>3</v>
      </c>
      <c r="B208" s="300">
        <f t="shared" si="115"/>
        <v>38173</v>
      </c>
      <c r="C208" s="301" t="e">
        <f t="shared" si="147"/>
        <v>#N/A</v>
      </c>
      <c r="D208" s="301" t="e">
        <f t="shared" si="116"/>
        <v>#N/A</v>
      </c>
      <c r="E208" s="299">
        <f t="shared" si="117"/>
        <v>187</v>
      </c>
      <c r="F208" s="396">
        <f>Weather!M192</f>
        <v>0</v>
      </c>
      <c r="G208" s="301">
        <f>IF(Weather!C192="","",Weather!C192)</f>
        <v>4.462037065611546</v>
      </c>
      <c r="H208" s="301">
        <f>IF(Weather!D192="","",Weather!D192)</f>
        <v>3.4769314126585869</v>
      </c>
      <c r="I208" s="502">
        <f>IF(Weather!E192="","",Weather!E192)</f>
        <v>3.4769314126585869</v>
      </c>
      <c r="J208" s="397">
        <f>IF(RnSplint!N236&lt;0,0,RnSplint!N236)</f>
        <v>21.91819337504355</v>
      </c>
      <c r="K208" s="302">
        <f t="shared" si="148"/>
        <v>1.0500000000000007</v>
      </c>
      <c r="L208" s="303">
        <f t="shared" si="149"/>
        <v>38173</v>
      </c>
      <c r="M208" s="346" t="str">
        <f t="shared" si="118"/>
        <v/>
      </c>
      <c r="N208" s="304">
        <f t="shared" si="150"/>
        <v>1.0500000000000007</v>
      </c>
      <c r="O208" s="304">
        <f t="shared" si="151"/>
        <v>0</v>
      </c>
      <c r="P208" s="304">
        <f t="shared" si="119"/>
        <v>1.0500000000000007</v>
      </c>
      <c r="Q208" s="304">
        <f t="shared" si="120"/>
        <v>0.17342662815905818</v>
      </c>
      <c r="R208" s="304">
        <f t="shared" si="121"/>
        <v>1.0500000000000007</v>
      </c>
      <c r="S208" s="305">
        <f t="shared" si="152"/>
        <v>1.0500000000000007</v>
      </c>
      <c r="T208" s="304">
        <f t="shared" si="122"/>
        <v>0.30475684447233498</v>
      </c>
      <c r="U208" s="304">
        <f t="shared" si="166"/>
        <v>1.0500000000000007</v>
      </c>
      <c r="V208" s="305">
        <f t="shared" si="123"/>
        <v>1.0500000000000007</v>
      </c>
      <c r="W208" s="305">
        <f t="shared" si="153"/>
        <v>1.0500000000000007</v>
      </c>
      <c r="X208" s="304">
        <f t="shared" si="154"/>
        <v>1.0500000000000007</v>
      </c>
      <c r="Z208" s="304" t="str">
        <f t="shared" si="124"/>
        <v/>
      </c>
      <c r="AA208" s="305">
        <f t="shared" si="125"/>
        <v>1.0500000000000007</v>
      </c>
      <c r="AB208" s="304">
        <f t="shared" si="126"/>
        <v>3.6507779832915186</v>
      </c>
      <c r="AC208" s="304" t="str">
        <f t="shared" si="155"/>
        <v/>
      </c>
      <c r="AD208" s="306">
        <f t="shared" si="127"/>
        <v>201.91974359157933</v>
      </c>
      <c r="AE208" s="307">
        <f t="shared" si="156"/>
        <v>3.6507779832915186</v>
      </c>
      <c r="AF208" s="308">
        <f t="shared" si="128"/>
        <v>201.91974359157933</v>
      </c>
      <c r="AG208" s="306">
        <f t="shared" si="157"/>
        <v>347.71682707166656</v>
      </c>
      <c r="AH208" s="306">
        <f t="shared" si="129"/>
        <v>0</v>
      </c>
      <c r="AI208" s="306">
        <f t="shared" si="158"/>
        <v>3.4769314126585869</v>
      </c>
      <c r="AJ208" s="306">
        <f t="shared" si="159"/>
        <v>0</v>
      </c>
      <c r="AK208" s="306">
        <f t="shared" si="130"/>
        <v>0</v>
      </c>
      <c r="AL208" s="306">
        <f t="shared" si="160"/>
        <v>3.6507779832915186</v>
      </c>
      <c r="AM208" s="306">
        <f t="shared" si="131"/>
        <v>0</v>
      </c>
      <c r="AN208" s="304">
        <f>KcSplint!$N237</f>
        <v>0.99103772844307791</v>
      </c>
      <c r="AO208" s="304">
        <f t="shared" si="132"/>
        <v>1.0551154230400821</v>
      </c>
      <c r="AP208" s="304">
        <f t="shared" si="161"/>
        <v>1.0551154230400821</v>
      </c>
      <c r="AQ208" s="305">
        <f t="shared" si="162"/>
        <v>1.0551154230400821</v>
      </c>
      <c r="AR208" s="304">
        <f t="shared" si="163"/>
        <v>3.6685639583486149</v>
      </c>
      <c r="AS208" s="306">
        <f t="shared" si="133"/>
        <v>241.34050656577688</v>
      </c>
      <c r="AT208" s="307">
        <f t="shared" si="164"/>
        <v>3.6685639583486149</v>
      </c>
      <c r="AU208" s="307">
        <f t="shared" si="165"/>
        <v>241.34050656577688</v>
      </c>
      <c r="AV208" s="304">
        <f t="shared" si="134"/>
        <v>3.4769314126585869</v>
      </c>
      <c r="AW208" s="309">
        <f t="shared" si="135"/>
        <v>208.12073972104216</v>
      </c>
      <c r="AX208" s="306">
        <f>IF(ISERROR(Weather!M192),#N/A,Weather!M192)</f>
        <v>0</v>
      </c>
      <c r="AY208" s="310">
        <f t="shared" si="136"/>
        <v>54</v>
      </c>
      <c r="AZ208" s="309">
        <f t="shared" si="137"/>
        <v>0.17342662815905818</v>
      </c>
      <c r="BA208" s="309">
        <f t="shared" si="138"/>
        <v>69.794904602772377</v>
      </c>
      <c r="BB208" s="311">
        <f>Irrig!H210</f>
        <v>0</v>
      </c>
      <c r="BC208" s="310">
        <f t="shared" si="139"/>
        <v>15</v>
      </c>
      <c r="BD208" s="309">
        <f t="shared" si="140"/>
        <v>0.30475684447233498</v>
      </c>
      <c r="BE208" s="309">
        <f t="shared" si="141"/>
        <v>0.30475684447233498</v>
      </c>
      <c r="BF208" s="306">
        <f>DailyMet!H191</f>
        <v>26.28</v>
      </c>
      <c r="BG208" s="306">
        <f>DailyMet!I191</f>
        <v>19.399999999999999</v>
      </c>
      <c r="BH208" s="306">
        <f t="shared" si="142"/>
        <v>26.28</v>
      </c>
      <c r="BI208" s="306">
        <f t="shared" si="143"/>
        <v>19.399999999999999</v>
      </c>
      <c r="BJ208" s="306">
        <f t="shared" si="144"/>
        <v>12.84</v>
      </c>
      <c r="BK208" s="306">
        <f t="shared" si="169"/>
        <v>571.94500000000005</v>
      </c>
      <c r="BL208" s="304">
        <f t="shared" si="145"/>
        <v>0</v>
      </c>
      <c r="BM208" s="304">
        <f t="shared" si="146"/>
        <v>12.84</v>
      </c>
      <c r="BN208" s="304">
        <f t="shared" si="167"/>
        <v>12.84</v>
      </c>
      <c r="BO208" s="306">
        <f t="shared" si="168"/>
        <v>556.47423607665553</v>
      </c>
      <c r="BP208" s="306"/>
    </row>
    <row r="209" spans="1:68">
      <c r="A209" s="299">
        <f t="shared" si="114"/>
        <v>3</v>
      </c>
      <c r="B209" s="300">
        <f t="shared" si="115"/>
        <v>38174</v>
      </c>
      <c r="C209" s="301" t="e">
        <f t="shared" si="147"/>
        <v>#N/A</v>
      </c>
      <c r="D209" s="301" t="e">
        <f t="shared" si="116"/>
        <v>#N/A</v>
      </c>
      <c r="E209" s="299">
        <f t="shared" si="117"/>
        <v>188</v>
      </c>
      <c r="F209" s="396">
        <f>Weather!M193</f>
        <v>36.4</v>
      </c>
      <c r="G209" s="301">
        <f>IF(Weather!C193="","",Weather!C193)</f>
        <v>4.4621627579889642</v>
      </c>
      <c r="H209" s="301">
        <f>IF(Weather!D193="","",Weather!D193)</f>
        <v>3.3390863812371721</v>
      </c>
      <c r="I209" s="502">
        <f>IF(Weather!E193="","",Weather!E193)</f>
        <v>3.3390863812371721</v>
      </c>
      <c r="J209" s="397">
        <f>IF(RnSplint!N237&lt;0,0,RnSplint!N237)</f>
        <v>22.881030638445264</v>
      </c>
      <c r="K209" s="302">
        <f t="shared" si="148"/>
        <v>1.0500000000000007</v>
      </c>
      <c r="L209" s="303">
        <f t="shared" si="149"/>
        <v>38174</v>
      </c>
      <c r="M209" s="346" t="str">
        <f t="shared" si="118"/>
        <v/>
      </c>
      <c r="N209" s="304">
        <f t="shared" si="150"/>
        <v>1.0500000000000007</v>
      </c>
      <c r="O209" s="304">
        <f t="shared" si="151"/>
        <v>0</v>
      </c>
      <c r="P209" s="304">
        <f t="shared" si="119"/>
        <v>1.0500000000000007</v>
      </c>
      <c r="Q209" s="304">
        <f t="shared" si="120"/>
        <v>1.2</v>
      </c>
      <c r="R209" s="304">
        <f t="shared" si="121"/>
        <v>1.2</v>
      </c>
      <c r="S209" s="305">
        <f t="shared" si="152"/>
        <v>1.2</v>
      </c>
      <c r="T209" s="304">
        <f t="shared" si="122"/>
        <v>0.29749588390030407</v>
      </c>
      <c r="U209" s="304">
        <f t="shared" si="166"/>
        <v>1.0500000000000007</v>
      </c>
      <c r="V209" s="305">
        <f t="shared" si="123"/>
        <v>1.0500000000000007</v>
      </c>
      <c r="W209" s="305">
        <f t="shared" si="153"/>
        <v>1.0500000000000007</v>
      </c>
      <c r="X209" s="304">
        <f t="shared" si="154"/>
        <v>1.2</v>
      </c>
      <c r="Z209" s="304" t="str">
        <f t="shared" si="124"/>
        <v/>
      </c>
      <c r="AA209" s="305">
        <f t="shared" si="125"/>
        <v>1.2</v>
      </c>
      <c r="AB209" s="304">
        <f t="shared" si="126"/>
        <v>4.0069036574846066</v>
      </c>
      <c r="AC209" s="304" t="str">
        <f t="shared" si="155"/>
        <v/>
      </c>
      <c r="AD209" s="306">
        <f t="shared" si="127"/>
        <v>205.92664724906393</v>
      </c>
      <c r="AE209" s="307">
        <f t="shared" si="156"/>
        <v>4.0069036574846066</v>
      </c>
      <c r="AF209" s="308">
        <f t="shared" si="128"/>
        <v>205.92664724906393</v>
      </c>
      <c r="AG209" s="306">
        <f t="shared" si="157"/>
        <v>351.05591345290372</v>
      </c>
      <c r="AH209" s="306">
        <f t="shared" si="129"/>
        <v>0</v>
      </c>
      <c r="AI209" s="306">
        <f t="shared" si="158"/>
        <v>3.3390863812371721</v>
      </c>
      <c r="AJ209" s="306">
        <f t="shared" si="159"/>
        <v>0</v>
      </c>
      <c r="AK209" s="306">
        <f t="shared" si="130"/>
        <v>0</v>
      </c>
      <c r="AL209" s="306">
        <f t="shared" si="160"/>
        <v>4.0069036574846066</v>
      </c>
      <c r="AM209" s="306">
        <f t="shared" si="131"/>
        <v>0</v>
      </c>
      <c r="AN209" s="304">
        <f>KcSplint!$N238</f>
        <v>0.99953057590172734</v>
      </c>
      <c r="AO209" s="304">
        <f t="shared" si="132"/>
        <v>1.0551154230400821</v>
      </c>
      <c r="AP209" s="304">
        <f t="shared" si="161"/>
        <v>1.0551154230400821</v>
      </c>
      <c r="AQ209" s="305">
        <f t="shared" si="162"/>
        <v>1.0551154230400821</v>
      </c>
      <c r="AR209" s="304">
        <f t="shared" si="163"/>
        <v>3.5231215397064357</v>
      </c>
      <c r="AS209" s="306">
        <f t="shared" si="133"/>
        <v>244.86362810548331</v>
      </c>
      <c r="AT209" s="307">
        <f t="shared" si="164"/>
        <v>3.5231215397064357</v>
      </c>
      <c r="AU209" s="307">
        <f t="shared" si="165"/>
        <v>244.86362810548331</v>
      </c>
      <c r="AV209" s="304">
        <f t="shared" si="134"/>
        <v>3.3390863812371721</v>
      </c>
      <c r="AW209" s="309">
        <f t="shared" si="135"/>
        <v>3.3390863812371721</v>
      </c>
      <c r="AX209" s="306">
        <f>IF(ISERROR(Weather!M193),#N/A,Weather!M193)</f>
        <v>36.4</v>
      </c>
      <c r="AY209" s="310">
        <f t="shared" si="136"/>
        <v>1</v>
      </c>
      <c r="AZ209" s="309">
        <f t="shared" si="137"/>
        <v>1.2</v>
      </c>
      <c r="BA209" s="309">
        <f t="shared" si="138"/>
        <v>73.133990984009543</v>
      </c>
      <c r="BB209" s="311">
        <f>Irrig!H211</f>
        <v>0</v>
      </c>
      <c r="BC209" s="310">
        <f t="shared" si="139"/>
        <v>16</v>
      </c>
      <c r="BD209" s="309">
        <f t="shared" si="140"/>
        <v>0.29749588390030407</v>
      </c>
      <c r="BE209" s="309">
        <f t="shared" si="141"/>
        <v>0.29749588390030407</v>
      </c>
      <c r="BF209" s="306">
        <f>DailyMet!H192</f>
        <v>23.36</v>
      </c>
      <c r="BG209" s="306">
        <f>DailyMet!I192</f>
        <v>18.3</v>
      </c>
      <c r="BH209" s="306">
        <f t="shared" si="142"/>
        <v>23.36</v>
      </c>
      <c r="BI209" s="306">
        <f t="shared" si="143"/>
        <v>18.3</v>
      </c>
      <c r="BJ209" s="306">
        <f t="shared" si="144"/>
        <v>10.829999999999998</v>
      </c>
      <c r="BK209" s="306">
        <f t="shared" si="169"/>
        <v>582.77500000000009</v>
      </c>
      <c r="BL209" s="304">
        <f t="shared" si="145"/>
        <v>0</v>
      </c>
      <c r="BM209" s="304">
        <f t="shared" si="146"/>
        <v>10.829999999999998</v>
      </c>
      <c r="BN209" s="304">
        <f t="shared" si="167"/>
        <v>10.829999999999998</v>
      </c>
      <c r="BO209" s="306">
        <f t="shared" si="168"/>
        <v>567.30423607665557</v>
      </c>
      <c r="BP209" s="306"/>
    </row>
    <row r="210" spans="1:68">
      <c r="A210" s="299">
        <f t="shared" si="114"/>
        <v>3</v>
      </c>
      <c r="B210" s="300">
        <f t="shared" si="115"/>
        <v>38175</v>
      </c>
      <c r="C210" s="301" t="e">
        <f t="shared" si="147"/>
        <v>#N/A</v>
      </c>
      <c r="D210" s="301" t="e">
        <f t="shared" si="116"/>
        <v>#N/A</v>
      </c>
      <c r="E210" s="299">
        <f t="shared" si="117"/>
        <v>189</v>
      </c>
      <c r="F210" s="396">
        <f>Weather!M194</f>
        <v>0</v>
      </c>
      <c r="G210" s="301">
        <f>IF(Weather!C194="","",Weather!C194)</f>
        <v>4.4613045395725024</v>
      </c>
      <c r="H210" s="301">
        <f>IF(Weather!D194="","",Weather!D194)</f>
        <v>4.4509781454770909</v>
      </c>
      <c r="I210" s="502">
        <f>IF(Weather!E194="","",Weather!E194)</f>
        <v>4.4509781454770909</v>
      </c>
      <c r="J210" s="397">
        <f>IF(RnSplint!N238&lt;0,0,RnSplint!N238)</f>
        <v>23.826829495736998</v>
      </c>
      <c r="K210" s="302">
        <f t="shared" si="148"/>
        <v>1.0500000000000007</v>
      </c>
      <c r="L210" s="303">
        <f t="shared" si="149"/>
        <v>38175</v>
      </c>
      <c r="M210" s="346" t="str">
        <f t="shared" si="118"/>
        <v/>
      </c>
      <c r="N210" s="304">
        <f t="shared" si="150"/>
        <v>1.0500000000000007</v>
      </c>
      <c r="O210" s="304">
        <f t="shared" si="151"/>
        <v>0</v>
      </c>
      <c r="P210" s="304">
        <f t="shared" si="119"/>
        <v>1.0500000000000007</v>
      </c>
      <c r="Q210" s="304">
        <f t="shared" si="120"/>
        <v>0.94478137284922836</v>
      </c>
      <c r="R210" s="304">
        <f t="shared" si="121"/>
        <v>1.0500000000000007</v>
      </c>
      <c r="S210" s="305">
        <f t="shared" si="152"/>
        <v>1.0500000000000007</v>
      </c>
      <c r="T210" s="304">
        <f t="shared" si="122"/>
        <v>0.2885634152127905</v>
      </c>
      <c r="U210" s="304">
        <f t="shared" si="166"/>
        <v>1.0500000000000007</v>
      </c>
      <c r="V210" s="305">
        <f t="shared" si="123"/>
        <v>1.0500000000000007</v>
      </c>
      <c r="W210" s="305">
        <f t="shared" si="153"/>
        <v>1.0500000000000007</v>
      </c>
      <c r="X210" s="304">
        <f t="shared" si="154"/>
        <v>1.0500000000000007</v>
      </c>
      <c r="Z210" s="304" t="str">
        <f t="shared" si="124"/>
        <v/>
      </c>
      <c r="AA210" s="305">
        <f t="shared" si="125"/>
        <v>1.0500000000000007</v>
      </c>
      <c r="AB210" s="304">
        <f t="shared" si="126"/>
        <v>4.6735270527509485</v>
      </c>
      <c r="AC210" s="304" t="str">
        <f t="shared" si="155"/>
        <v/>
      </c>
      <c r="AD210" s="306">
        <f t="shared" si="127"/>
        <v>210.60017430181489</v>
      </c>
      <c r="AE210" s="307">
        <f t="shared" si="156"/>
        <v>4.6735270527509485</v>
      </c>
      <c r="AF210" s="308">
        <f t="shared" si="128"/>
        <v>210.60017430181489</v>
      </c>
      <c r="AG210" s="306">
        <f t="shared" si="157"/>
        <v>355.50689159838083</v>
      </c>
      <c r="AH210" s="306">
        <f t="shared" si="129"/>
        <v>0</v>
      </c>
      <c r="AI210" s="306">
        <f t="shared" si="158"/>
        <v>4.4509781454770909</v>
      </c>
      <c r="AJ210" s="306">
        <f t="shared" si="159"/>
        <v>0</v>
      </c>
      <c r="AK210" s="306">
        <f t="shared" si="130"/>
        <v>0</v>
      </c>
      <c r="AL210" s="306">
        <f t="shared" si="160"/>
        <v>4.6735270527509485</v>
      </c>
      <c r="AM210" s="306">
        <f t="shared" si="131"/>
        <v>0</v>
      </c>
      <c r="AN210" s="304">
        <f>KcSplint!$N239</f>
        <v>1.0077139475086252</v>
      </c>
      <c r="AO210" s="304">
        <f t="shared" si="132"/>
        <v>1.0551154230400821</v>
      </c>
      <c r="AP210" s="304">
        <f t="shared" si="161"/>
        <v>1.0551154230400821</v>
      </c>
      <c r="AQ210" s="305">
        <f t="shared" si="162"/>
        <v>1.0551154230400821</v>
      </c>
      <c r="AR210" s="304">
        <f t="shared" si="163"/>
        <v>4.6962956889072212</v>
      </c>
      <c r="AS210" s="306">
        <f t="shared" si="133"/>
        <v>249.55992379439053</v>
      </c>
      <c r="AT210" s="307">
        <f t="shared" si="164"/>
        <v>4.6962956889072212</v>
      </c>
      <c r="AU210" s="307">
        <f t="shared" si="165"/>
        <v>249.55992379439053</v>
      </c>
      <c r="AV210" s="304">
        <f t="shared" si="134"/>
        <v>4.4509781454770909</v>
      </c>
      <c r="AW210" s="309">
        <f t="shared" si="135"/>
        <v>7.7900645267142625</v>
      </c>
      <c r="AX210" s="306">
        <f>IF(ISERROR(Weather!M194),#N/A,Weather!M194)</f>
        <v>0</v>
      </c>
      <c r="AY210" s="310">
        <f t="shared" si="136"/>
        <v>2</v>
      </c>
      <c r="AZ210" s="309">
        <f t="shared" si="137"/>
        <v>0.94478137284922836</v>
      </c>
      <c r="BA210" s="309">
        <f t="shared" si="138"/>
        <v>77.584969129486637</v>
      </c>
      <c r="BB210" s="311">
        <f>Irrig!H212</f>
        <v>0</v>
      </c>
      <c r="BC210" s="310">
        <f t="shared" si="139"/>
        <v>17</v>
      </c>
      <c r="BD210" s="309">
        <f t="shared" si="140"/>
        <v>0.2885634152127905</v>
      </c>
      <c r="BE210" s="309">
        <f t="shared" si="141"/>
        <v>0.2885634152127905</v>
      </c>
      <c r="BF210" s="306">
        <f>DailyMet!H193</f>
        <v>25.13</v>
      </c>
      <c r="BG210" s="306">
        <f>DailyMet!I193</f>
        <v>18.5</v>
      </c>
      <c r="BH210" s="306">
        <f t="shared" si="142"/>
        <v>25.13</v>
      </c>
      <c r="BI210" s="306">
        <f t="shared" si="143"/>
        <v>18.5</v>
      </c>
      <c r="BJ210" s="306">
        <f t="shared" si="144"/>
        <v>11.814999999999998</v>
      </c>
      <c r="BK210" s="306">
        <f t="shared" si="169"/>
        <v>594.59000000000015</v>
      </c>
      <c r="BL210" s="304">
        <f t="shared" si="145"/>
        <v>0</v>
      </c>
      <c r="BM210" s="304">
        <f t="shared" si="146"/>
        <v>11.814999999999998</v>
      </c>
      <c r="BN210" s="304">
        <f t="shared" si="167"/>
        <v>11.814999999999998</v>
      </c>
      <c r="BO210" s="306">
        <f t="shared" si="168"/>
        <v>579.11923607665562</v>
      </c>
      <c r="BP210" s="306"/>
    </row>
    <row r="211" spans="1:68">
      <c r="A211" s="299">
        <f t="shared" si="114"/>
        <v>3</v>
      </c>
      <c r="B211" s="300">
        <f t="shared" si="115"/>
        <v>38176</v>
      </c>
      <c r="C211" s="301" t="e">
        <f t="shared" si="147"/>
        <v>#N/A</v>
      </c>
      <c r="D211" s="301" t="e">
        <f t="shared" si="116"/>
        <v>#N/A</v>
      </c>
      <c r="E211" s="299">
        <f t="shared" si="117"/>
        <v>190</v>
      </c>
      <c r="F211" s="396">
        <f>Weather!M195</f>
        <v>0</v>
      </c>
      <c r="G211" s="301">
        <f>IF(Weather!C195="","",Weather!C195)</f>
        <v>4.4594919281149474</v>
      </c>
      <c r="H211" s="301">
        <f>IF(Weather!D195="","",Weather!D195)</f>
        <v>4.4175903643995147</v>
      </c>
      <c r="I211" s="502">
        <f>IF(Weather!E195="","",Weather!E195)</f>
        <v>4.4175903643995147</v>
      </c>
      <c r="J211" s="397">
        <f>IF(RnSplint!N239&lt;0,0,RnSplint!N239)</f>
        <v>24.752121517001093</v>
      </c>
      <c r="K211" s="302">
        <f t="shared" si="148"/>
        <v>1.0500000000000007</v>
      </c>
      <c r="L211" s="303">
        <f t="shared" si="149"/>
        <v>38176</v>
      </c>
      <c r="M211" s="346" t="str">
        <f t="shared" si="118"/>
        <v/>
      </c>
      <c r="N211" s="304">
        <f t="shared" si="150"/>
        <v>1.0500000000000007</v>
      </c>
      <c r="O211" s="304">
        <f t="shared" si="151"/>
        <v>0</v>
      </c>
      <c r="P211" s="304">
        <f t="shared" si="119"/>
        <v>1.0500000000000007</v>
      </c>
      <c r="Q211" s="304">
        <f t="shared" si="120"/>
        <v>0.74931472832037815</v>
      </c>
      <c r="R211" s="304">
        <f t="shared" si="121"/>
        <v>1.0500000000000007</v>
      </c>
      <c r="S211" s="305">
        <f t="shared" si="152"/>
        <v>1.0500000000000007</v>
      </c>
      <c r="T211" s="304">
        <f t="shared" si="122"/>
        <v>0.28043457952244261</v>
      </c>
      <c r="U211" s="304">
        <f t="shared" si="166"/>
        <v>1.0500000000000007</v>
      </c>
      <c r="V211" s="305">
        <f t="shared" si="123"/>
        <v>1.0500000000000007</v>
      </c>
      <c r="W211" s="305">
        <f t="shared" si="153"/>
        <v>1.0500000000000007</v>
      </c>
      <c r="X211" s="304">
        <f t="shared" si="154"/>
        <v>1.0500000000000007</v>
      </c>
      <c r="Z211" s="304" t="str">
        <f t="shared" si="124"/>
        <v/>
      </c>
      <c r="AA211" s="305">
        <f t="shared" si="125"/>
        <v>1.0500000000000007</v>
      </c>
      <c r="AB211" s="304">
        <f t="shared" si="126"/>
        <v>4.6384698826194937</v>
      </c>
      <c r="AC211" s="304" t="str">
        <f t="shared" si="155"/>
        <v/>
      </c>
      <c r="AD211" s="306">
        <f t="shared" si="127"/>
        <v>215.23864418443438</v>
      </c>
      <c r="AE211" s="307">
        <f t="shared" si="156"/>
        <v>4.6384698826194937</v>
      </c>
      <c r="AF211" s="308">
        <f t="shared" si="128"/>
        <v>215.23864418443438</v>
      </c>
      <c r="AG211" s="306">
        <f t="shared" si="157"/>
        <v>359.92448196278036</v>
      </c>
      <c r="AH211" s="306">
        <f t="shared" si="129"/>
        <v>0</v>
      </c>
      <c r="AI211" s="306">
        <f t="shared" si="158"/>
        <v>4.4175903643995147</v>
      </c>
      <c r="AJ211" s="306">
        <f t="shared" si="159"/>
        <v>0</v>
      </c>
      <c r="AK211" s="306">
        <f t="shared" si="130"/>
        <v>0</v>
      </c>
      <c r="AL211" s="306">
        <f t="shared" si="160"/>
        <v>4.6384698826194937</v>
      </c>
      <c r="AM211" s="306">
        <f t="shared" si="131"/>
        <v>0</v>
      </c>
      <c r="AN211" s="304">
        <f>KcSplint!$N240</f>
        <v>1.0155681568442219</v>
      </c>
      <c r="AO211" s="304">
        <f t="shared" si="132"/>
        <v>1.0551154230400821</v>
      </c>
      <c r="AP211" s="304">
        <f t="shared" si="161"/>
        <v>1.0551154230400821</v>
      </c>
      <c r="AQ211" s="305">
        <f t="shared" si="162"/>
        <v>1.0551154230400821</v>
      </c>
      <c r="AR211" s="304">
        <f t="shared" si="163"/>
        <v>4.6610677261511846</v>
      </c>
      <c r="AS211" s="306">
        <f t="shared" si="133"/>
        <v>254.2209915205417</v>
      </c>
      <c r="AT211" s="307">
        <f t="shared" si="164"/>
        <v>4.6610677261511846</v>
      </c>
      <c r="AU211" s="307">
        <f t="shared" si="165"/>
        <v>254.2209915205417</v>
      </c>
      <c r="AV211" s="304">
        <f t="shared" si="134"/>
        <v>4.4175903643995147</v>
      </c>
      <c r="AW211" s="309">
        <f t="shared" si="135"/>
        <v>12.207654891113776</v>
      </c>
      <c r="AX211" s="306">
        <f>IF(ISERROR(Weather!M195),#N/A,Weather!M195)</f>
        <v>0</v>
      </c>
      <c r="AY211" s="310">
        <f t="shared" si="136"/>
        <v>3</v>
      </c>
      <c r="AZ211" s="309">
        <f t="shared" si="137"/>
        <v>0.74931472832037815</v>
      </c>
      <c r="BA211" s="309">
        <f t="shared" si="138"/>
        <v>82.002559493886153</v>
      </c>
      <c r="BB211" s="311">
        <f>Irrig!H213</f>
        <v>0</v>
      </c>
      <c r="BC211" s="310">
        <f t="shared" si="139"/>
        <v>18</v>
      </c>
      <c r="BD211" s="309">
        <f t="shared" si="140"/>
        <v>0.28043457952244261</v>
      </c>
      <c r="BE211" s="309">
        <f t="shared" si="141"/>
        <v>0.28043457952244261</v>
      </c>
      <c r="BF211" s="306">
        <f>DailyMet!H194</f>
        <v>26.97</v>
      </c>
      <c r="BG211" s="306">
        <f>DailyMet!I194</f>
        <v>17.5</v>
      </c>
      <c r="BH211" s="306">
        <f t="shared" si="142"/>
        <v>26.97</v>
      </c>
      <c r="BI211" s="306">
        <f t="shared" si="143"/>
        <v>17.5</v>
      </c>
      <c r="BJ211" s="306">
        <f t="shared" si="144"/>
        <v>12.234999999999999</v>
      </c>
      <c r="BK211" s="306">
        <f t="shared" si="169"/>
        <v>606.82500000000016</v>
      </c>
      <c r="BL211" s="304">
        <f t="shared" si="145"/>
        <v>0</v>
      </c>
      <c r="BM211" s="304">
        <f t="shared" si="146"/>
        <v>12.234999999999999</v>
      </c>
      <c r="BN211" s="304">
        <f t="shared" si="167"/>
        <v>12.234999999999999</v>
      </c>
      <c r="BO211" s="306">
        <f t="shared" si="168"/>
        <v>591.35423607665564</v>
      </c>
      <c r="BP211" s="306"/>
    </row>
    <row r="212" spans="1:68">
      <c r="A212" s="299">
        <f t="shared" si="114"/>
        <v>3</v>
      </c>
      <c r="B212" s="300">
        <f t="shared" si="115"/>
        <v>38177</v>
      </c>
      <c r="C212" s="301" t="e">
        <f t="shared" si="147"/>
        <v>#N/A</v>
      </c>
      <c r="D212" s="301" t="e">
        <f t="shared" si="116"/>
        <v>#N/A</v>
      </c>
      <c r="E212" s="299">
        <f t="shared" si="117"/>
        <v>191</v>
      </c>
      <c r="F212" s="396">
        <f>Weather!M196</f>
        <v>0</v>
      </c>
      <c r="G212" s="301">
        <f>IF(Weather!C196="","",Weather!C196)</f>
        <v>4.4567544413690818</v>
      </c>
      <c r="H212" s="301">
        <f>IF(Weather!D196="","",Weather!D196)</f>
        <v>4.7621015055229519</v>
      </c>
      <c r="I212" s="502">
        <f>IF(Weather!E196="","",Weather!E196)</f>
        <v>4.7621015055229519</v>
      </c>
      <c r="J212" s="397">
        <f>IF(RnSplint!N240&lt;0,0,RnSplint!N240)</f>
        <v>25.653438272319899</v>
      </c>
      <c r="K212" s="302">
        <f t="shared" si="148"/>
        <v>1.0500000000000007</v>
      </c>
      <c r="L212" s="303">
        <f t="shared" si="149"/>
        <v>38177</v>
      </c>
      <c r="M212" s="346" t="str">
        <f t="shared" si="118"/>
        <v/>
      </c>
      <c r="N212" s="304">
        <f t="shared" si="150"/>
        <v>1.0500000000000007</v>
      </c>
      <c r="O212" s="304">
        <f t="shared" si="151"/>
        <v>0</v>
      </c>
      <c r="P212" s="304">
        <f t="shared" si="119"/>
        <v>1.0500000000000007</v>
      </c>
      <c r="Q212" s="304">
        <f t="shared" si="120"/>
        <v>0.63219912859381167</v>
      </c>
      <c r="R212" s="304">
        <f t="shared" si="121"/>
        <v>1.0500000000000007</v>
      </c>
      <c r="S212" s="305">
        <f t="shared" si="152"/>
        <v>1.0500000000000007</v>
      </c>
      <c r="T212" s="304">
        <f t="shared" si="122"/>
        <v>0.27238399386271334</v>
      </c>
      <c r="U212" s="304">
        <f t="shared" si="166"/>
        <v>1.0500000000000007</v>
      </c>
      <c r="V212" s="305">
        <f t="shared" si="123"/>
        <v>1.0500000000000007</v>
      </c>
      <c r="W212" s="305">
        <f t="shared" si="153"/>
        <v>1.0500000000000007</v>
      </c>
      <c r="X212" s="304">
        <f t="shared" si="154"/>
        <v>1.0500000000000007</v>
      </c>
      <c r="Z212" s="304" t="str">
        <f t="shared" si="124"/>
        <v/>
      </c>
      <c r="AA212" s="305">
        <f t="shared" si="125"/>
        <v>1.0500000000000007</v>
      </c>
      <c r="AB212" s="304">
        <f t="shared" si="126"/>
        <v>5.0002065807991025</v>
      </c>
      <c r="AC212" s="304" t="str">
        <f t="shared" si="155"/>
        <v/>
      </c>
      <c r="AD212" s="306">
        <f t="shared" si="127"/>
        <v>220.23885076523348</v>
      </c>
      <c r="AE212" s="307">
        <f t="shared" si="156"/>
        <v>5.0002065807991025</v>
      </c>
      <c r="AF212" s="308">
        <f t="shared" si="128"/>
        <v>220.23885076523348</v>
      </c>
      <c r="AG212" s="306">
        <f t="shared" si="157"/>
        <v>364.6865834683033</v>
      </c>
      <c r="AH212" s="306">
        <f t="shared" si="129"/>
        <v>0</v>
      </c>
      <c r="AI212" s="306">
        <f t="shared" si="158"/>
        <v>4.7621015055229519</v>
      </c>
      <c r="AJ212" s="306">
        <f t="shared" si="159"/>
        <v>0</v>
      </c>
      <c r="AK212" s="306">
        <f t="shared" si="130"/>
        <v>0</v>
      </c>
      <c r="AL212" s="306">
        <f t="shared" si="160"/>
        <v>5.0002065807991025</v>
      </c>
      <c r="AM212" s="306">
        <f t="shared" si="131"/>
        <v>0</v>
      </c>
      <c r="AN212" s="304">
        <f>KcSplint!$N241</f>
        <v>1.0230735174889685</v>
      </c>
      <c r="AO212" s="304">
        <f t="shared" si="132"/>
        <v>1.0551154230400821</v>
      </c>
      <c r="AP212" s="304">
        <f t="shared" si="161"/>
        <v>1.0551154230400821</v>
      </c>
      <c r="AQ212" s="305">
        <f t="shared" si="162"/>
        <v>1.0551154230400821</v>
      </c>
      <c r="AR212" s="304">
        <f t="shared" si="163"/>
        <v>5.0245667445596611</v>
      </c>
      <c r="AS212" s="306">
        <f t="shared" si="133"/>
        <v>259.24555826510135</v>
      </c>
      <c r="AT212" s="307">
        <f t="shared" si="164"/>
        <v>5.0245667445596611</v>
      </c>
      <c r="AU212" s="307">
        <f t="shared" si="165"/>
        <v>259.24555826510135</v>
      </c>
      <c r="AV212" s="304">
        <f t="shared" si="134"/>
        <v>4.7621015055229519</v>
      </c>
      <c r="AW212" s="309">
        <f t="shared" si="135"/>
        <v>16.969756396636729</v>
      </c>
      <c r="AX212" s="306">
        <f>IF(ISERROR(Weather!M196),#N/A,Weather!M196)</f>
        <v>0</v>
      </c>
      <c r="AY212" s="310">
        <f t="shared" si="136"/>
        <v>4</v>
      </c>
      <c r="AZ212" s="309">
        <f t="shared" si="137"/>
        <v>0.63219912859381167</v>
      </c>
      <c r="BA212" s="309">
        <f t="shared" si="138"/>
        <v>86.764660999409102</v>
      </c>
      <c r="BB212" s="311">
        <f>Irrig!H214</f>
        <v>0</v>
      </c>
      <c r="BC212" s="310">
        <f t="shared" si="139"/>
        <v>19</v>
      </c>
      <c r="BD212" s="309">
        <f t="shared" si="140"/>
        <v>0.27238399386271334</v>
      </c>
      <c r="BE212" s="309">
        <f t="shared" si="141"/>
        <v>0.27238399386271334</v>
      </c>
      <c r="BF212" s="306">
        <f>DailyMet!H195</f>
        <v>27.05</v>
      </c>
      <c r="BG212" s="306">
        <f>DailyMet!I195</f>
        <v>20.100000000000001</v>
      </c>
      <c r="BH212" s="306">
        <f t="shared" si="142"/>
        <v>27.05</v>
      </c>
      <c r="BI212" s="306">
        <f t="shared" si="143"/>
        <v>20.100000000000001</v>
      </c>
      <c r="BJ212" s="306">
        <f t="shared" si="144"/>
        <v>13.575000000000003</v>
      </c>
      <c r="BK212" s="306">
        <f t="shared" si="169"/>
        <v>620.4000000000002</v>
      </c>
      <c r="BL212" s="304">
        <f t="shared" si="145"/>
        <v>0</v>
      </c>
      <c r="BM212" s="304">
        <f t="shared" si="146"/>
        <v>13.575000000000003</v>
      </c>
      <c r="BN212" s="304">
        <f t="shared" si="167"/>
        <v>13.575000000000003</v>
      </c>
      <c r="BO212" s="306">
        <f t="shared" si="168"/>
        <v>604.92923607665568</v>
      </c>
      <c r="BP212" s="306"/>
    </row>
    <row r="213" spans="1:68">
      <c r="A213" s="299">
        <f t="shared" si="114"/>
        <v>3</v>
      </c>
      <c r="B213" s="300">
        <f t="shared" si="115"/>
        <v>38178</v>
      </c>
      <c r="C213" s="301" t="e">
        <f t="shared" si="147"/>
        <v>#N/A</v>
      </c>
      <c r="D213" s="301" t="e">
        <f t="shared" si="116"/>
        <v>#N/A</v>
      </c>
      <c r="E213" s="299">
        <f t="shared" si="117"/>
        <v>192</v>
      </c>
      <c r="F213" s="396">
        <f>Weather!M197</f>
        <v>0</v>
      </c>
      <c r="G213" s="301">
        <f>IF(Weather!C197="","",Weather!C197)</f>
        <v>4.4531215970876934</v>
      </c>
      <c r="H213" s="301">
        <f>IF(Weather!D197="","",Weather!D197)</f>
        <v>4.8331833809099534</v>
      </c>
      <c r="I213" s="502">
        <f>IF(Weather!E197="","",Weather!E197)</f>
        <v>4.8331833809099534</v>
      </c>
      <c r="J213" s="397">
        <f>IF(RnSplint!N241&lt;0,0,RnSplint!N241)</f>
        <v>26.527311331775746</v>
      </c>
      <c r="K213" s="302">
        <f t="shared" si="148"/>
        <v>1.0500000000000007</v>
      </c>
      <c r="L213" s="303">
        <f t="shared" si="149"/>
        <v>38178</v>
      </c>
      <c r="M213" s="346" t="str">
        <f t="shared" si="118"/>
        <v/>
      </c>
      <c r="N213" s="304">
        <f t="shared" si="150"/>
        <v>1.0500000000000007</v>
      </c>
      <c r="O213" s="304">
        <f t="shared" si="151"/>
        <v>0</v>
      </c>
      <c r="P213" s="304">
        <f t="shared" si="119"/>
        <v>1.0500000000000007</v>
      </c>
      <c r="Q213" s="304">
        <f t="shared" si="120"/>
        <v>0.55551109598408521</v>
      </c>
      <c r="R213" s="304">
        <f t="shared" si="121"/>
        <v>1.0500000000000007</v>
      </c>
      <c r="S213" s="305">
        <f t="shared" si="152"/>
        <v>1.0500000000000007</v>
      </c>
      <c r="T213" s="304">
        <f t="shared" si="122"/>
        <v>0.26487057595570868</v>
      </c>
      <c r="U213" s="304">
        <f t="shared" si="166"/>
        <v>1.0500000000000007</v>
      </c>
      <c r="V213" s="305">
        <f t="shared" si="123"/>
        <v>1.0500000000000007</v>
      </c>
      <c r="W213" s="305">
        <f t="shared" si="153"/>
        <v>1.0500000000000007</v>
      </c>
      <c r="X213" s="304">
        <f t="shared" si="154"/>
        <v>1.0500000000000007</v>
      </c>
      <c r="Z213" s="304" t="str">
        <f t="shared" si="124"/>
        <v/>
      </c>
      <c r="AA213" s="305">
        <f t="shared" si="125"/>
        <v>1.0500000000000007</v>
      </c>
      <c r="AB213" s="304">
        <f t="shared" si="126"/>
        <v>5.0748425499554548</v>
      </c>
      <c r="AC213" s="304" t="str">
        <f t="shared" si="155"/>
        <v/>
      </c>
      <c r="AD213" s="306">
        <f t="shared" si="127"/>
        <v>225.31369331518894</v>
      </c>
      <c r="AE213" s="307">
        <f t="shared" si="156"/>
        <v>5.0748425499554548</v>
      </c>
      <c r="AF213" s="308">
        <f t="shared" si="128"/>
        <v>225.31369331518894</v>
      </c>
      <c r="AG213" s="306">
        <f t="shared" si="157"/>
        <v>369.51976684921323</v>
      </c>
      <c r="AH213" s="306">
        <f t="shared" si="129"/>
        <v>0</v>
      </c>
      <c r="AI213" s="306">
        <f t="shared" si="158"/>
        <v>4.8331833809099534</v>
      </c>
      <c r="AJ213" s="306">
        <f t="shared" si="159"/>
        <v>0</v>
      </c>
      <c r="AK213" s="306">
        <f t="shared" si="130"/>
        <v>0</v>
      </c>
      <c r="AL213" s="306">
        <f t="shared" si="160"/>
        <v>5.0748425499554548</v>
      </c>
      <c r="AM213" s="306">
        <f t="shared" si="131"/>
        <v>0</v>
      </c>
      <c r="AN213" s="304">
        <f>KcSplint!$N242</f>
        <v>1.0302103430233156</v>
      </c>
      <c r="AO213" s="304">
        <f t="shared" si="132"/>
        <v>1.0551154230400821</v>
      </c>
      <c r="AP213" s="304">
        <f t="shared" si="161"/>
        <v>1.0551154230400821</v>
      </c>
      <c r="AQ213" s="305">
        <f t="shared" si="162"/>
        <v>1.0551154230400821</v>
      </c>
      <c r="AR213" s="304">
        <f t="shared" si="163"/>
        <v>5.0995663275791001</v>
      </c>
      <c r="AS213" s="306">
        <f t="shared" si="133"/>
        <v>264.34512459268046</v>
      </c>
      <c r="AT213" s="307">
        <f t="shared" si="164"/>
        <v>5.0995663275791001</v>
      </c>
      <c r="AU213" s="307">
        <f t="shared" si="165"/>
        <v>264.34512459268046</v>
      </c>
      <c r="AV213" s="304">
        <f t="shared" si="134"/>
        <v>4.8331833809099534</v>
      </c>
      <c r="AW213" s="309">
        <f t="shared" si="135"/>
        <v>21.802939777546683</v>
      </c>
      <c r="AX213" s="306">
        <f>IF(ISERROR(Weather!M197),#N/A,Weather!M197)</f>
        <v>0</v>
      </c>
      <c r="AY213" s="310">
        <f t="shared" si="136"/>
        <v>5</v>
      </c>
      <c r="AZ213" s="309">
        <f t="shared" si="137"/>
        <v>0.55551109598408521</v>
      </c>
      <c r="BA213" s="309">
        <f t="shared" si="138"/>
        <v>91.59784438031906</v>
      </c>
      <c r="BB213" s="311">
        <f>Irrig!H215</f>
        <v>0</v>
      </c>
      <c r="BC213" s="310">
        <f t="shared" si="139"/>
        <v>20</v>
      </c>
      <c r="BD213" s="309">
        <f t="shared" si="140"/>
        <v>0.26487057595570868</v>
      </c>
      <c r="BE213" s="309">
        <f t="shared" si="141"/>
        <v>0.26487057595570868</v>
      </c>
      <c r="BF213" s="306">
        <f>DailyMet!H196</f>
        <v>27.27</v>
      </c>
      <c r="BG213" s="306">
        <f>DailyMet!I196</f>
        <v>18</v>
      </c>
      <c r="BH213" s="306">
        <f t="shared" si="142"/>
        <v>27.27</v>
      </c>
      <c r="BI213" s="306">
        <f t="shared" si="143"/>
        <v>18</v>
      </c>
      <c r="BJ213" s="306">
        <f t="shared" si="144"/>
        <v>12.634999999999998</v>
      </c>
      <c r="BK213" s="306">
        <f t="shared" si="169"/>
        <v>633.0350000000002</v>
      </c>
      <c r="BL213" s="304">
        <f t="shared" si="145"/>
        <v>0</v>
      </c>
      <c r="BM213" s="304">
        <f t="shared" si="146"/>
        <v>12.634999999999998</v>
      </c>
      <c r="BN213" s="304">
        <f t="shared" si="167"/>
        <v>12.634999999999998</v>
      </c>
      <c r="BO213" s="306">
        <f t="shared" si="168"/>
        <v>617.56423607665567</v>
      </c>
      <c r="BP213" s="306"/>
    </row>
    <row r="214" spans="1:68">
      <c r="A214" s="299">
        <f t="shared" ref="A214:A277" si="170">IF(B214&gt;K$12,0,IF(B214&gt;L$11,4,IF(B214&gt;=L$10,3,IF(B214&gt;L$9,2,IF(B214&gt;=K$8,1,0)))))</f>
        <v>3</v>
      </c>
      <c r="B214" s="300">
        <f t="shared" ref="B214:B277" si="171">B213+1</f>
        <v>38179</v>
      </c>
      <c r="C214" s="301" t="e">
        <f t="shared" si="147"/>
        <v>#N/A</v>
      </c>
      <c r="D214" s="301" t="e">
        <f t="shared" ref="D214:D277" si="172">IF(ISNA(C214),#N/A,IF(Q214&lt;C214,Q214,C214))</f>
        <v>#N/A</v>
      </c>
      <c r="E214" s="299">
        <f t="shared" ref="E214:E277" si="173">B214-DATE(K$2-1,12,31)</f>
        <v>193</v>
      </c>
      <c r="F214" s="396">
        <f>Weather!M198</f>
        <v>0</v>
      </c>
      <c r="G214" s="301">
        <f>IF(Weather!C198="","",Weather!C198)</f>
        <v>4.4486229130235637</v>
      </c>
      <c r="H214" s="301">
        <f>IF(Weather!D198="","",Weather!D198)</f>
        <v>5.1474550835259034</v>
      </c>
      <c r="I214" s="502">
        <f>IF(Weather!E198="","",Weather!E198)</f>
        <v>5.1474550835259034</v>
      </c>
      <c r="J214" s="397">
        <f>IF(RnSplint!N242&lt;0,0,RnSplint!N242)</f>
        <v>27.370272265450986</v>
      </c>
      <c r="K214" s="302">
        <f t="shared" si="148"/>
        <v>1.0500000000000007</v>
      </c>
      <c r="L214" s="303">
        <f t="shared" si="149"/>
        <v>38179</v>
      </c>
      <c r="M214" s="346" t="str">
        <f t="shared" ref="M214:M277" si="174">IF(OR(MONTH(L215)&gt;MONTH(L214),MONTH(L215)&lt;MONTH(L214)),MONTH(L214),"")</f>
        <v/>
      </c>
      <c r="N214" s="304">
        <f t="shared" si="150"/>
        <v>1.0500000000000007</v>
      </c>
      <c r="O214" s="304">
        <f t="shared" si="151"/>
        <v>0</v>
      </c>
      <c r="P214" s="304">
        <f t="shared" ref="P214:P277" si="175">IF($N214+$O214&gt;K$6,$K$6,$N214+$O214)</f>
        <v>1.0500000000000007</v>
      </c>
      <c r="Q214" s="304">
        <f t="shared" ref="Q214:Q277" si="176">AZ214</f>
        <v>0.4979605044186447</v>
      </c>
      <c r="R214" s="304">
        <f t="shared" ref="R214:R277" si="177">IF(Q214&gt;P214,Q214,P214)</f>
        <v>1.0500000000000007</v>
      </c>
      <c r="S214" s="305">
        <f t="shared" si="152"/>
        <v>1.0500000000000007</v>
      </c>
      <c r="T214" s="304">
        <f t="shared" ref="T214:T277" si="178">BE214</f>
        <v>0.25750252502216003</v>
      </c>
      <c r="U214" s="304">
        <f t="shared" si="166"/>
        <v>1.0500000000000007</v>
      </c>
      <c r="V214" s="305">
        <f t="shared" ref="V214:V277" si="179">IF(N214=0,#N/A,U214)</f>
        <v>1.0500000000000007</v>
      </c>
      <c r="W214" s="305">
        <f t="shared" si="153"/>
        <v>1.0500000000000007</v>
      </c>
      <c r="X214" s="304">
        <f t="shared" si="154"/>
        <v>1.0500000000000007</v>
      </c>
      <c r="Z214" s="304" t="str">
        <f t="shared" ref="Z214:Z277" si="180">IF(A214=2,X214,"")</f>
        <v/>
      </c>
      <c r="AA214" s="305">
        <f t="shared" ref="AA214:AA277" si="181">IF(N214=0,#N/A,X214)</f>
        <v>1.0500000000000007</v>
      </c>
      <c r="AB214" s="304">
        <f t="shared" ref="AB214:AB277" si="182">X214*AV214</f>
        <v>5.4048278377022019</v>
      </c>
      <c r="AC214" s="304" t="str">
        <f t="shared" si="155"/>
        <v/>
      </c>
      <c r="AD214" s="306">
        <f t="shared" ref="AD214:AD277" si="183">IF(OR(AND(L$3=4,E214&gt;366),AND(L$3=2,E214&gt;366)),0,IF(A214=0,0,AD213+AB214))</f>
        <v>230.71852115289116</v>
      </c>
      <c r="AE214" s="307">
        <f t="shared" si="156"/>
        <v>5.4048278377022019</v>
      </c>
      <c r="AF214" s="308">
        <f t="shared" ref="AF214:AF277" si="184">IF(AD214=0,#N/A,AD214)</f>
        <v>230.71852115289116</v>
      </c>
      <c r="AG214" s="306">
        <f t="shared" si="157"/>
        <v>374.66722193273915</v>
      </c>
      <c r="AH214" s="306">
        <f t="shared" ref="AH214:AH277" si="185">IF($A214=1,I214,0)</f>
        <v>0</v>
      </c>
      <c r="AI214" s="306">
        <f t="shared" si="158"/>
        <v>5.1474550835259034</v>
      </c>
      <c r="AJ214" s="306">
        <f t="shared" si="159"/>
        <v>0</v>
      </c>
      <c r="AK214" s="306">
        <f t="shared" ref="AK214:AK277" si="186">IF($A214=1,AE214,0)</f>
        <v>0</v>
      </c>
      <c r="AL214" s="306">
        <f t="shared" si="160"/>
        <v>5.4048278377022019</v>
      </c>
      <c r="AM214" s="306">
        <f t="shared" ref="AM214:AM277" si="187">IF($A214=4,$AE214,0)</f>
        <v>0</v>
      </c>
      <c r="AN214" s="304">
        <f>KcSplint!$N243</f>
        <v>1.0369589470277141</v>
      </c>
      <c r="AO214" s="304">
        <f t="shared" ref="AO214:AO277" si="188">IF($A214=1,$AC$9,IF($A214=2,$AP213+$AD$9,IF($A214=3,$AC$10,IF($A214=4,$AP213+$AD$11,""))))</f>
        <v>1.0551154230400821</v>
      </c>
      <c r="AP214" s="304">
        <f t="shared" si="161"/>
        <v>1.0551154230400821</v>
      </c>
      <c r="AQ214" s="305">
        <f t="shared" si="162"/>
        <v>1.0551154230400821</v>
      </c>
      <c r="AR214" s="304">
        <f t="shared" si="163"/>
        <v>5.4311592480342545</v>
      </c>
      <c r="AS214" s="306">
        <f t="shared" ref="AS214:AS277" si="189">IF(OR(AND(L$3=4,E214&gt;366),AND(L$3=2,E214&gt;366)),0,IF(AR214="",0,AS213+AR214))</f>
        <v>269.77628384071471</v>
      </c>
      <c r="AT214" s="307">
        <f t="shared" si="164"/>
        <v>5.4311592480342545</v>
      </c>
      <c r="AU214" s="307">
        <f t="shared" si="165"/>
        <v>269.77628384071471</v>
      </c>
      <c r="AV214" s="304">
        <f t="shared" ref="AV214:AV277" si="190">IF(I214&lt;0,0,I214)</f>
        <v>5.1474550835259034</v>
      </c>
      <c r="AW214" s="309">
        <f t="shared" ref="AW214:AW277" si="191">IF(AV214="",0,IF(AY214=1,AV214,AW213+AV214))</f>
        <v>26.950394861072589</v>
      </c>
      <c r="AX214" s="306">
        <f>IF(ISERROR(Weather!M198),#N/A,Weather!M198)</f>
        <v>0</v>
      </c>
      <c r="AY214" s="310">
        <f t="shared" ref="AY214:AY277" si="192">IF(AV214="",0,IF(AX214&gt;2*AV214,1,AY213+1))</f>
        <v>6</v>
      </c>
      <c r="AZ214" s="309">
        <f t="shared" ref="AZ214:AZ277" si="193">IF(2.725*$AW214^-0.516&gt;1.2,1.2,2.725*$AW214^-0.516)</f>
        <v>0.4979605044186447</v>
      </c>
      <c r="BA214" s="309">
        <f t="shared" ref="BA214:BA277" si="194">IF($AV214="",0,IF(BC214=1,$AV214,BA213+$AV214))</f>
        <v>96.745299463844958</v>
      </c>
      <c r="BB214" s="311">
        <f>Irrig!H216</f>
        <v>0</v>
      </c>
      <c r="BC214" s="310">
        <f t="shared" ref="BC214:BC277" si="195">IF(A214=0,0,IF(BB214="",0,IF(BB214&gt;2*AV214,1,IF(A213=0,2,BC213+1))))</f>
        <v>21</v>
      </c>
      <c r="BD214" s="309">
        <f t="shared" ref="BD214:BD277" si="196">IF($A214=0,0,IF(2.725*$BA214^-0.516&gt;1.2,IF($A213=0,$Q214,1.2),IF($A213=0,$Q214,2.725*$BA214^-0.516)))</f>
        <v>0.25750252502216003</v>
      </c>
      <c r="BE214" s="309">
        <f t="shared" ref="BE214:BE277" si="197">(BE$18/100)*BD214</f>
        <v>0.25750252502216003</v>
      </c>
      <c r="BF214" s="306">
        <f>DailyMet!H197</f>
        <v>27.33</v>
      </c>
      <c r="BG214" s="306">
        <f>DailyMet!I197</f>
        <v>20.7</v>
      </c>
      <c r="BH214" s="306">
        <f t="shared" ref="BH214:BH277" si="198">IF(BF214&gt;$V$3,$V$3,BF214)</f>
        <v>27.33</v>
      </c>
      <c r="BI214" s="306">
        <f t="shared" ref="BI214:BI277" si="199">IF(BG214&lt;$V$4,$V$4,BG214)</f>
        <v>20.7</v>
      </c>
      <c r="BJ214" s="306">
        <f t="shared" ref="BJ214:BJ277" si="200">(BH214+BI214)/2-V$4</f>
        <v>14.015000000000001</v>
      </c>
      <c r="BK214" s="306">
        <f t="shared" si="169"/>
        <v>647.05000000000018</v>
      </c>
      <c r="BL214" s="304">
        <f t="shared" ref="BL214:BL277" si="201">IF($BG214&gt;$V$3,($BG214+$BF214)/2-$V$3,IF($BF214&gt;$V$3,($BF214-$V$3)^2/(2*($BF214-$BG214)),0))</f>
        <v>0</v>
      </c>
      <c r="BM214" s="304">
        <f t="shared" ref="BM214:BM277" si="202">IF($BG214&gt;$V$4,($BG214+$BF214)/2-$V$4,IF($BF214&gt;$V$4,($BF214-$V$4)^2/(2*($BF214-$BG214)),0))</f>
        <v>14.015000000000001</v>
      </c>
      <c r="BN214" s="304">
        <f t="shared" si="167"/>
        <v>14.015000000000001</v>
      </c>
      <c r="BO214" s="306">
        <f t="shared" si="168"/>
        <v>631.57923607665566</v>
      </c>
      <c r="BP214" s="306"/>
    </row>
    <row r="215" spans="1:68">
      <c r="A215" s="299">
        <f t="shared" si="170"/>
        <v>3</v>
      </c>
      <c r="B215" s="300">
        <f t="shared" si="171"/>
        <v>38180</v>
      </c>
      <c r="C215" s="301" t="e">
        <f t="shared" ref="C215:C278" si="203">VLOOKUP(B215,$L$8:$R$12,7,FALSE)</f>
        <v>#N/A</v>
      </c>
      <c r="D215" s="301" t="e">
        <f t="shared" si="172"/>
        <v>#N/A</v>
      </c>
      <c r="E215" s="299">
        <f t="shared" si="173"/>
        <v>194</v>
      </c>
      <c r="F215" s="396">
        <f>Weather!M199</f>
        <v>0</v>
      </c>
      <c r="G215" s="301">
        <f>IF(Weather!C199="","",Weather!C199)</f>
        <v>4.4432879069294788</v>
      </c>
      <c r="H215" s="301">
        <f>IF(Weather!D199="","",Weather!D199)</f>
        <v>4.4444365747997825</v>
      </c>
      <c r="I215" s="502">
        <f>IF(Weather!E199="","",Weather!E199)</f>
        <v>4.4444365747997825</v>
      </c>
      <c r="J215" s="397">
        <f>IF(RnSplint!N243&lt;0,0,RnSplint!N243)</f>
        <v>28.178852643427959</v>
      </c>
      <c r="K215" s="302">
        <f t="shared" ref="K215:K278" si="204">IF(AND($B215&gt;=L$8,$B215&lt;=L$9),Z$9,IF(AND($B215&gt;L$9,$B215&lt;=L$10),N214+AA$9,IF(AND($B215&gt;L$10,$B215&lt;=L$11),N214+AA$10,IF(AND($B215&gt;L$11,$B215&lt;=L$12),N214+AA$11,0))))</f>
        <v>1.0500000000000007</v>
      </c>
      <c r="L215" s="303">
        <f t="shared" ref="L215:L278" si="205">B215</f>
        <v>38180</v>
      </c>
      <c r="M215" s="346" t="str">
        <f t="shared" si="174"/>
        <v/>
      </c>
      <c r="N215" s="304">
        <f t="shared" ref="N215:N278" si="206">K215</f>
        <v>1.0500000000000007</v>
      </c>
      <c r="O215" s="304">
        <f t="shared" ref="O215:O278" si="207">IF($L$3&lt;3,0,IF($R$3=E215,R$2,IF($R$4=E214,0,IF($R$5=E215,R$2,IF($R$6=E214,0,O214)))))</f>
        <v>0</v>
      </c>
      <c r="P215" s="304">
        <f t="shared" si="175"/>
        <v>1.0500000000000007</v>
      </c>
      <c r="Q215" s="304">
        <f t="shared" si="176"/>
        <v>0.46024353669543</v>
      </c>
      <c r="R215" s="304">
        <f t="shared" si="177"/>
        <v>1.0500000000000007</v>
      </c>
      <c r="S215" s="305">
        <f t="shared" ref="S215:S278" si="208">IF(N215=0,#N/A,R215)</f>
        <v>1.0500000000000007</v>
      </c>
      <c r="T215" s="304">
        <f t="shared" si="178"/>
        <v>0.25160316022177909</v>
      </c>
      <c r="U215" s="304">
        <f t="shared" si="166"/>
        <v>1.0500000000000007</v>
      </c>
      <c r="V215" s="305">
        <f t="shared" si="179"/>
        <v>1.0500000000000007</v>
      </c>
      <c r="W215" s="305">
        <f t="shared" ref="W215:W278" si="209">IF(OR(P215=0,P215=""),#N/A,P215)</f>
        <v>1.0500000000000007</v>
      </c>
      <c r="X215" s="304">
        <f t="shared" ref="X215:X278" si="210">IF(R215&gt;U215,R215,U215)</f>
        <v>1.0500000000000007</v>
      </c>
      <c r="Z215" s="304" t="str">
        <f t="shared" si="180"/>
        <v/>
      </c>
      <c r="AA215" s="305">
        <f t="shared" si="181"/>
        <v>1.0500000000000007</v>
      </c>
      <c r="AB215" s="304">
        <f t="shared" si="182"/>
        <v>4.6666584035397749</v>
      </c>
      <c r="AC215" s="304" t="str">
        <f t="shared" ref="AC215:AC278" si="211">IF($A215=4,$X215,"")</f>
        <v/>
      </c>
      <c r="AD215" s="306">
        <f t="shared" si="183"/>
        <v>235.38517955643093</v>
      </c>
      <c r="AE215" s="307">
        <f t="shared" ref="AE215:AE278" si="212">IF(AB215="",#N/A,AB215)</f>
        <v>4.6666584035397749</v>
      </c>
      <c r="AF215" s="308">
        <f t="shared" si="184"/>
        <v>235.38517955643093</v>
      </c>
      <c r="AG215" s="306">
        <f t="shared" ref="AG215:AG278" si="213">AG214+$I215</f>
        <v>379.11165850753895</v>
      </c>
      <c r="AH215" s="306">
        <f t="shared" si="185"/>
        <v>0</v>
      </c>
      <c r="AI215" s="306">
        <f t="shared" ref="AI215:AI278" si="214">IF($A215=3,I215,0)</f>
        <v>4.4444365747997825</v>
      </c>
      <c r="AJ215" s="306">
        <f t="shared" ref="AJ215:AJ278" si="215">IF($A215=4,$I215,0)</f>
        <v>0</v>
      </c>
      <c r="AK215" s="306">
        <f t="shared" si="186"/>
        <v>0</v>
      </c>
      <c r="AL215" s="306">
        <f t="shared" ref="AL215:AL278" si="216">IF($A215=3,AE215,0)</f>
        <v>4.6666584035397749</v>
      </c>
      <c r="AM215" s="306">
        <f t="shared" si="187"/>
        <v>0</v>
      </c>
      <c r="AN215" s="304">
        <f>KcSplint!$N244</f>
        <v>1.0432996430826151</v>
      </c>
      <c r="AO215" s="304">
        <f t="shared" si="188"/>
        <v>1.0551154230400821</v>
      </c>
      <c r="AP215" s="304">
        <f t="shared" ref="AP215:AP278" si="217">IF(OR($L$3=2,$L$3=4),AN215,AO215)</f>
        <v>1.0551154230400821</v>
      </c>
      <c r="AQ215" s="305">
        <f t="shared" ref="AQ215:AQ278" si="218">IF(AP215="",#N/A,AP215)</f>
        <v>1.0551154230400821</v>
      </c>
      <c r="AR215" s="304">
        <f t="shared" ref="AR215:AR278" si="219">IF(AP215="","",AP215*AV215)</f>
        <v>4.6893935767946857</v>
      </c>
      <c r="AS215" s="306">
        <f t="shared" si="189"/>
        <v>274.46567741750937</v>
      </c>
      <c r="AT215" s="307">
        <f t="shared" ref="AT215:AT278" si="220">IF(AR215="",#N/A,AR215)</f>
        <v>4.6893935767946857</v>
      </c>
      <c r="AU215" s="307">
        <f t="shared" ref="AU215:AU278" si="221">IF(AS215=0,#N/A,AS215)</f>
        <v>274.46567741750937</v>
      </c>
      <c r="AV215" s="304">
        <f t="shared" si="190"/>
        <v>4.4444365747997825</v>
      </c>
      <c r="AW215" s="309">
        <f t="shared" si="191"/>
        <v>31.394831435872369</v>
      </c>
      <c r="AX215" s="306">
        <f>IF(ISERROR(Weather!M199),#N/A,Weather!M199)</f>
        <v>0</v>
      </c>
      <c r="AY215" s="310">
        <f t="shared" si="192"/>
        <v>7</v>
      </c>
      <c r="AZ215" s="309">
        <f t="shared" si="193"/>
        <v>0.46024353669543</v>
      </c>
      <c r="BA215" s="309">
        <f t="shared" si="194"/>
        <v>101.18973603864474</v>
      </c>
      <c r="BB215" s="311">
        <f>Irrig!H217</f>
        <v>0</v>
      </c>
      <c r="BC215" s="310">
        <f t="shared" si="195"/>
        <v>22</v>
      </c>
      <c r="BD215" s="309">
        <f t="shared" si="196"/>
        <v>0.25160316022177909</v>
      </c>
      <c r="BE215" s="309">
        <f t="shared" si="197"/>
        <v>0.25160316022177909</v>
      </c>
      <c r="BF215" s="306">
        <f>DailyMet!H198</f>
        <v>26.48</v>
      </c>
      <c r="BG215" s="306">
        <f>DailyMet!I198</f>
        <v>18.8</v>
      </c>
      <c r="BH215" s="306">
        <f t="shared" si="198"/>
        <v>26.48</v>
      </c>
      <c r="BI215" s="306">
        <f t="shared" si="199"/>
        <v>18.8</v>
      </c>
      <c r="BJ215" s="306">
        <f t="shared" si="200"/>
        <v>12.64</v>
      </c>
      <c r="BK215" s="306">
        <f t="shared" si="169"/>
        <v>659.69000000000017</v>
      </c>
      <c r="BL215" s="304">
        <f t="shared" si="201"/>
        <v>0</v>
      </c>
      <c r="BM215" s="304">
        <f t="shared" si="202"/>
        <v>12.64</v>
      </c>
      <c r="BN215" s="304">
        <f t="shared" si="167"/>
        <v>12.64</v>
      </c>
      <c r="BO215" s="306">
        <f t="shared" si="168"/>
        <v>644.21923607665565</v>
      </c>
      <c r="BP215" s="306"/>
    </row>
    <row r="216" spans="1:68">
      <c r="A216" s="299">
        <f t="shared" si="170"/>
        <v>3</v>
      </c>
      <c r="B216" s="300">
        <f t="shared" si="171"/>
        <v>38181</v>
      </c>
      <c r="C216" s="301" t="e">
        <f t="shared" si="203"/>
        <v>#N/A</v>
      </c>
      <c r="D216" s="301" t="e">
        <f t="shared" si="172"/>
        <v>#N/A</v>
      </c>
      <c r="E216" s="299">
        <f t="shared" si="173"/>
        <v>195</v>
      </c>
      <c r="F216" s="396">
        <f>Weather!M200</f>
        <v>0</v>
      </c>
      <c r="G216" s="301">
        <f>IF(Weather!C200="","",Weather!C200)</f>
        <v>4.4371460965582248</v>
      </c>
      <c r="H216" s="301">
        <f>IF(Weather!D200="","",Weather!D200)</f>
        <v>4.154374970844211</v>
      </c>
      <c r="I216" s="502">
        <f>IF(Weather!E200="","",Weather!E200)</f>
        <v>4.154374970844211</v>
      </c>
      <c r="J216" s="397">
        <f>IF(RnSplint!N244&lt;0,0,RnSplint!N244)</f>
        <v>28.949584035789002</v>
      </c>
      <c r="K216" s="302">
        <f t="shared" si="204"/>
        <v>1.0500000000000007</v>
      </c>
      <c r="L216" s="303">
        <f t="shared" si="205"/>
        <v>38181</v>
      </c>
      <c r="M216" s="346" t="str">
        <f t="shared" si="174"/>
        <v/>
      </c>
      <c r="N216" s="304">
        <f t="shared" si="206"/>
        <v>1.0500000000000007</v>
      </c>
      <c r="O216" s="304">
        <f t="shared" si="207"/>
        <v>0</v>
      </c>
      <c r="P216" s="304">
        <f t="shared" si="175"/>
        <v>1.0500000000000007</v>
      </c>
      <c r="Q216" s="304">
        <f t="shared" si="176"/>
        <v>0.43165648806859297</v>
      </c>
      <c r="R216" s="304">
        <f t="shared" si="177"/>
        <v>1.0500000000000007</v>
      </c>
      <c r="S216" s="305">
        <f t="shared" si="208"/>
        <v>1.0500000000000007</v>
      </c>
      <c r="T216" s="304">
        <f t="shared" si="178"/>
        <v>0.24643342394064305</v>
      </c>
      <c r="U216" s="304">
        <f t="shared" ref="U216:U279" si="222">IF(T216&gt;P216,T216,P216)</f>
        <v>1.0500000000000007</v>
      </c>
      <c r="V216" s="305">
        <f t="shared" si="179"/>
        <v>1.0500000000000007</v>
      </c>
      <c r="W216" s="305">
        <f t="shared" si="209"/>
        <v>1.0500000000000007</v>
      </c>
      <c r="X216" s="304">
        <f t="shared" si="210"/>
        <v>1.0500000000000007</v>
      </c>
      <c r="Z216" s="304" t="str">
        <f t="shared" si="180"/>
        <v/>
      </c>
      <c r="AA216" s="305">
        <f t="shared" si="181"/>
        <v>1.0500000000000007</v>
      </c>
      <c r="AB216" s="304">
        <f t="shared" si="182"/>
        <v>4.3620937193864249</v>
      </c>
      <c r="AC216" s="304" t="str">
        <f t="shared" si="211"/>
        <v/>
      </c>
      <c r="AD216" s="306">
        <f t="shared" si="183"/>
        <v>239.74727327581735</v>
      </c>
      <c r="AE216" s="307">
        <f t="shared" si="212"/>
        <v>4.3620937193864249</v>
      </c>
      <c r="AF216" s="308">
        <f t="shared" si="184"/>
        <v>239.74727327581735</v>
      </c>
      <c r="AG216" s="306">
        <f t="shared" si="213"/>
        <v>383.26603347838318</v>
      </c>
      <c r="AH216" s="306">
        <f t="shared" si="185"/>
        <v>0</v>
      </c>
      <c r="AI216" s="306">
        <f t="shared" si="214"/>
        <v>4.154374970844211</v>
      </c>
      <c r="AJ216" s="306">
        <f t="shared" si="215"/>
        <v>0</v>
      </c>
      <c r="AK216" s="306">
        <f t="shared" si="186"/>
        <v>0</v>
      </c>
      <c r="AL216" s="306">
        <f t="shared" si="216"/>
        <v>4.3620937193864249</v>
      </c>
      <c r="AM216" s="306">
        <f t="shared" si="187"/>
        <v>0</v>
      </c>
      <c r="AN216" s="304">
        <f>KcSplint!$N245</f>
        <v>1.0492127447684689</v>
      </c>
      <c r="AO216" s="304">
        <f t="shared" si="188"/>
        <v>1.0551154230400821</v>
      </c>
      <c r="AP216" s="304">
        <f t="shared" si="217"/>
        <v>1.0551154230400821</v>
      </c>
      <c r="AQ216" s="305">
        <f t="shared" si="218"/>
        <v>1.0551154230400821</v>
      </c>
      <c r="AR216" s="304">
        <f t="shared" si="219"/>
        <v>4.3833451048294183</v>
      </c>
      <c r="AS216" s="306">
        <f t="shared" si="189"/>
        <v>278.84902252233877</v>
      </c>
      <c r="AT216" s="307">
        <f t="shared" si="220"/>
        <v>4.3833451048294183</v>
      </c>
      <c r="AU216" s="307">
        <f t="shared" si="221"/>
        <v>278.84902252233877</v>
      </c>
      <c r="AV216" s="304">
        <f t="shared" si="190"/>
        <v>4.154374970844211</v>
      </c>
      <c r="AW216" s="309">
        <f t="shared" si="191"/>
        <v>35.549206406716578</v>
      </c>
      <c r="AX216" s="306">
        <f>IF(ISERROR(Weather!M200),#N/A,Weather!M200)</f>
        <v>0</v>
      </c>
      <c r="AY216" s="310">
        <f t="shared" si="192"/>
        <v>8</v>
      </c>
      <c r="AZ216" s="309">
        <f t="shared" si="193"/>
        <v>0.43165648806859297</v>
      </c>
      <c r="BA216" s="309">
        <f t="shared" si="194"/>
        <v>105.34411100948896</v>
      </c>
      <c r="BB216" s="311">
        <f>Irrig!H218</f>
        <v>0</v>
      </c>
      <c r="BC216" s="310">
        <f t="shared" si="195"/>
        <v>23</v>
      </c>
      <c r="BD216" s="309">
        <f t="shared" si="196"/>
        <v>0.24643342394064305</v>
      </c>
      <c r="BE216" s="309">
        <f t="shared" si="197"/>
        <v>0.24643342394064305</v>
      </c>
      <c r="BF216" s="306">
        <f>DailyMet!H199</f>
        <v>24.96</v>
      </c>
      <c r="BG216" s="306">
        <f>DailyMet!I199</f>
        <v>18.2</v>
      </c>
      <c r="BH216" s="306">
        <f t="shared" si="198"/>
        <v>24.96</v>
      </c>
      <c r="BI216" s="306">
        <f t="shared" si="199"/>
        <v>18.2</v>
      </c>
      <c r="BJ216" s="306">
        <f t="shared" si="200"/>
        <v>11.579999999999998</v>
      </c>
      <c r="BK216" s="306">
        <f t="shared" si="169"/>
        <v>671.27000000000021</v>
      </c>
      <c r="BL216" s="304">
        <f t="shared" si="201"/>
        <v>0</v>
      </c>
      <c r="BM216" s="304">
        <f t="shared" si="202"/>
        <v>11.579999999999998</v>
      </c>
      <c r="BN216" s="304">
        <f t="shared" ref="BN216:BN279" si="223">BM216-BL216</f>
        <v>11.579999999999998</v>
      </c>
      <c r="BO216" s="306">
        <f t="shared" ref="BO216:BO279" si="224">IF(AP216="",0,BO215+BN216)</f>
        <v>655.79923607665569</v>
      </c>
      <c r="BP216" s="306"/>
    </row>
    <row r="217" spans="1:68">
      <c r="A217" s="299">
        <f t="shared" si="170"/>
        <v>3</v>
      </c>
      <c r="B217" s="300">
        <f t="shared" si="171"/>
        <v>38182</v>
      </c>
      <c r="C217" s="301" t="e">
        <f t="shared" si="203"/>
        <v>#N/A</v>
      </c>
      <c r="D217" s="301" t="e">
        <f t="shared" si="172"/>
        <v>#N/A</v>
      </c>
      <c r="E217" s="299">
        <f t="shared" si="173"/>
        <v>196</v>
      </c>
      <c r="F217" s="396">
        <f>Weather!M201</f>
        <v>0</v>
      </c>
      <c r="G217" s="301">
        <f>IF(Weather!C201="","",Weather!C201)</f>
        <v>4.4302269996625849</v>
      </c>
      <c r="H217" s="301">
        <f>IF(Weather!D201="","",Weather!D201)</f>
        <v>4.3856695518355373</v>
      </c>
      <c r="I217" s="502">
        <f>IF(Weather!E201="","",Weather!E201)</f>
        <v>4.3856695518355373</v>
      </c>
      <c r="J217" s="397">
        <f>IF(RnSplint!N245&lt;0,0,RnSplint!N245)</f>
        <v>29.678998012616461</v>
      </c>
      <c r="K217" s="302">
        <f t="shared" si="204"/>
        <v>1.0500000000000007</v>
      </c>
      <c r="L217" s="303">
        <f t="shared" si="205"/>
        <v>38182</v>
      </c>
      <c r="M217" s="346" t="str">
        <f t="shared" si="174"/>
        <v/>
      </c>
      <c r="N217" s="304">
        <f t="shared" si="206"/>
        <v>1.0500000000000007</v>
      </c>
      <c r="O217" s="304">
        <f t="shared" si="207"/>
        <v>0</v>
      </c>
      <c r="P217" s="304">
        <f t="shared" si="175"/>
        <v>1.0500000000000007</v>
      </c>
      <c r="Q217" s="304">
        <f t="shared" si="176"/>
        <v>0.40650762786053624</v>
      </c>
      <c r="R217" s="304">
        <f t="shared" si="177"/>
        <v>1.0500000000000007</v>
      </c>
      <c r="S217" s="305">
        <f t="shared" si="208"/>
        <v>1.0500000000000007</v>
      </c>
      <c r="T217" s="304">
        <f t="shared" si="178"/>
        <v>0.24130096520620525</v>
      </c>
      <c r="U217" s="304">
        <f t="shared" si="222"/>
        <v>1.0500000000000007</v>
      </c>
      <c r="V217" s="305">
        <f t="shared" si="179"/>
        <v>1.0500000000000007</v>
      </c>
      <c r="W217" s="305">
        <f t="shared" si="209"/>
        <v>1.0500000000000007</v>
      </c>
      <c r="X217" s="304">
        <f t="shared" si="210"/>
        <v>1.0500000000000007</v>
      </c>
      <c r="Z217" s="304" t="str">
        <f t="shared" si="180"/>
        <v/>
      </c>
      <c r="AA217" s="305">
        <f t="shared" si="181"/>
        <v>1.0500000000000007</v>
      </c>
      <c r="AB217" s="304">
        <f t="shared" si="182"/>
        <v>4.6049530294273175</v>
      </c>
      <c r="AC217" s="304" t="str">
        <f t="shared" si="211"/>
        <v/>
      </c>
      <c r="AD217" s="306">
        <f t="shared" si="183"/>
        <v>244.35222630524467</v>
      </c>
      <c r="AE217" s="307">
        <f t="shared" si="212"/>
        <v>4.6049530294273175</v>
      </c>
      <c r="AF217" s="308">
        <f t="shared" si="184"/>
        <v>244.35222630524467</v>
      </c>
      <c r="AG217" s="306">
        <f t="shared" si="213"/>
        <v>387.6517030302187</v>
      </c>
      <c r="AH217" s="306">
        <f t="shared" si="185"/>
        <v>0</v>
      </c>
      <c r="AI217" s="306">
        <f t="shared" si="214"/>
        <v>4.3856695518355373</v>
      </c>
      <c r="AJ217" s="306">
        <f t="shared" si="215"/>
        <v>0</v>
      </c>
      <c r="AK217" s="306">
        <f t="shared" si="186"/>
        <v>0</v>
      </c>
      <c r="AL217" s="306">
        <f t="shared" si="216"/>
        <v>4.6049530294273175</v>
      </c>
      <c r="AM217" s="306">
        <f t="shared" si="187"/>
        <v>0</v>
      </c>
      <c r="AN217" s="304">
        <f>KcSplint!$N246</f>
        <v>1.0546785656657267</v>
      </c>
      <c r="AO217" s="304">
        <f t="shared" si="188"/>
        <v>1.0551154230400821</v>
      </c>
      <c r="AP217" s="304">
        <f t="shared" si="217"/>
        <v>1.0551154230400821</v>
      </c>
      <c r="AQ217" s="305">
        <f t="shared" si="218"/>
        <v>1.0551154230400821</v>
      </c>
      <c r="AR217" s="304">
        <f t="shared" si="219"/>
        <v>4.62738758449896</v>
      </c>
      <c r="AS217" s="306">
        <f t="shared" si="189"/>
        <v>283.4764101068377</v>
      </c>
      <c r="AT217" s="307">
        <f t="shared" si="220"/>
        <v>4.62738758449896</v>
      </c>
      <c r="AU217" s="307">
        <f t="shared" si="221"/>
        <v>283.4764101068377</v>
      </c>
      <c r="AV217" s="304">
        <f t="shared" si="190"/>
        <v>4.3856695518355373</v>
      </c>
      <c r="AW217" s="309">
        <f t="shared" si="191"/>
        <v>39.934875958552112</v>
      </c>
      <c r="AX217" s="306">
        <f>IF(ISERROR(Weather!M201),#N/A,Weather!M201)</f>
        <v>0</v>
      </c>
      <c r="AY217" s="310">
        <f t="shared" si="192"/>
        <v>9</v>
      </c>
      <c r="AZ217" s="309">
        <f t="shared" si="193"/>
        <v>0.40650762786053624</v>
      </c>
      <c r="BA217" s="309">
        <f t="shared" si="194"/>
        <v>109.72978056132449</v>
      </c>
      <c r="BB217" s="311">
        <f>Irrig!H219</f>
        <v>0</v>
      </c>
      <c r="BC217" s="310">
        <f t="shared" si="195"/>
        <v>24</v>
      </c>
      <c r="BD217" s="309">
        <f t="shared" si="196"/>
        <v>0.24130096520620525</v>
      </c>
      <c r="BE217" s="309">
        <f t="shared" si="197"/>
        <v>0.24130096520620525</v>
      </c>
      <c r="BF217" s="306">
        <f>DailyMet!H200</f>
        <v>26.34</v>
      </c>
      <c r="BG217" s="306">
        <f>DailyMet!I200</f>
        <v>18.600000000000001</v>
      </c>
      <c r="BH217" s="306">
        <f t="shared" si="198"/>
        <v>26.34</v>
      </c>
      <c r="BI217" s="306">
        <f t="shared" si="199"/>
        <v>18.600000000000001</v>
      </c>
      <c r="BJ217" s="306">
        <f t="shared" si="200"/>
        <v>12.469999999999999</v>
      </c>
      <c r="BK217" s="306">
        <f t="shared" si="169"/>
        <v>683.74000000000024</v>
      </c>
      <c r="BL217" s="304">
        <f t="shared" si="201"/>
        <v>0</v>
      </c>
      <c r="BM217" s="304">
        <f t="shared" si="202"/>
        <v>12.469999999999999</v>
      </c>
      <c r="BN217" s="304">
        <f t="shared" si="223"/>
        <v>12.469999999999999</v>
      </c>
      <c r="BO217" s="306">
        <f t="shared" si="224"/>
        <v>668.26923607665572</v>
      </c>
      <c r="BP217" s="306"/>
    </row>
    <row r="218" spans="1:68">
      <c r="A218" s="299">
        <f t="shared" si="170"/>
        <v>3</v>
      </c>
      <c r="B218" s="300">
        <f t="shared" si="171"/>
        <v>38183</v>
      </c>
      <c r="C218" s="301" t="e">
        <f t="shared" si="203"/>
        <v>#N/A</v>
      </c>
      <c r="D218" s="301" t="e">
        <f t="shared" si="172"/>
        <v>#N/A</v>
      </c>
      <c r="E218" s="299">
        <f t="shared" si="173"/>
        <v>197</v>
      </c>
      <c r="F218" s="396">
        <f>Weather!M202</f>
        <v>0</v>
      </c>
      <c r="G218" s="301">
        <f>IF(Weather!C202="","",Weather!C202)</f>
        <v>4.4225601339953453</v>
      </c>
      <c r="H218" s="301">
        <f>IF(Weather!D202="","",Weather!D202)</f>
        <v>4.3782405218811054</v>
      </c>
      <c r="I218" s="502">
        <f>IF(Weather!E202="","",Weather!E202)</f>
        <v>4.3782405218811054</v>
      </c>
      <c r="J218" s="397">
        <f>IF(RnSplint!N246&lt;0,0,RnSplint!N246)</f>
        <v>30.363626143992683</v>
      </c>
      <c r="K218" s="302">
        <f t="shared" si="204"/>
        <v>1.0500000000000007</v>
      </c>
      <c r="L218" s="303">
        <f t="shared" si="205"/>
        <v>38183</v>
      </c>
      <c r="M218" s="346" t="str">
        <f t="shared" si="174"/>
        <v/>
      </c>
      <c r="N218" s="304">
        <f t="shared" si="206"/>
        <v>1.0500000000000007</v>
      </c>
      <c r="O218" s="304">
        <f t="shared" si="207"/>
        <v>0</v>
      </c>
      <c r="P218" s="304">
        <f t="shared" si="175"/>
        <v>1.0500000000000007</v>
      </c>
      <c r="Q218" s="304">
        <f t="shared" si="176"/>
        <v>0.38526170533750487</v>
      </c>
      <c r="R218" s="304">
        <f t="shared" si="177"/>
        <v>1.0500000000000007</v>
      </c>
      <c r="S218" s="305">
        <f t="shared" si="208"/>
        <v>1.0500000000000007</v>
      </c>
      <c r="T218" s="304">
        <f t="shared" si="178"/>
        <v>0.23647833611659042</v>
      </c>
      <c r="U218" s="304">
        <f t="shared" si="222"/>
        <v>1.0500000000000007</v>
      </c>
      <c r="V218" s="305">
        <f t="shared" si="179"/>
        <v>1.0500000000000007</v>
      </c>
      <c r="W218" s="305">
        <f t="shared" si="209"/>
        <v>1.0500000000000007</v>
      </c>
      <c r="X218" s="304">
        <f t="shared" si="210"/>
        <v>1.0500000000000007</v>
      </c>
      <c r="Z218" s="304" t="str">
        <f t="shared" si="180"/>
        <v/>
      </c>
      <c r="AA218" s="305">
        <f t="shared" si="181"/>
        <v>1.0500000000000007</v>
      </c>
      <c r="AB218" s="304">
        <f t="shared" si="182"/>
        <v>4.5971525479751634</v>
      </c>
      <c r="AC218" s="304" t="str">
        <f t="shared" si="211"/>
        <v/>
      </c>
      <c r="AD218" s="306">
        <f t="shared" si="183"/>
        <v>248.94937885321983</v>
      </c>
      <c r="AE218" s="307">
        <f t="shared" si="212"/>
        <v>4.5971525479751634</v>
      </c>
      <c r="AF218" s="308">
        <f t="shared" si="184"/>
        <v>248.94937885321983</v>
      </c>
      <c r="AG218" s="306">
        <f t="shared" si="213"/>
        <v>392.02994355209978</v>
      </c>
      <c r="AH218" s="306">
        <f t="shared" si="185"/>
        <v>0</v>
      </c>
      <c r="AI218" s="306">
        <f t="shared" si="214"/>
        <v>4.3782405218811054</v>
      </c>
      <c r="AJ218" s="306">
        <f t="shared" si="215"/>
        <v>0</v>
      </c>
      <c r="AK218" s="306">
        <f t="shared" si="186"/>
        <v>0</v>
      </c>
      <c r="AL218" s="306">
        <f t="shared" si="216"/>
        <v>4.5971525479751634</v>
      </c>
      <c r="AM218" s="306">
        <f t="shared" si="187"/>
        <v>0</v>
      </c>
      <c r="AN218" s="304">
        <f>KcSplint!$N247</f>
        <v>1.0596774193548395</v>
      </c>
      <c r="AO218" s="304">
        <f t="shared" si="188"/>
        <v>1.0551154230400821</v>
      </c>
      <c r="AP218" s="304">
        <f t="shared" si="217"/>
        <v>1.0551154230400821</v>
      </c>
      <c r="AQ218" s="305">
        <f t="shared" si="218"/>
        <v>1.0551154230400821</v>
      </c>
      <c r="AR218" s="304">
        <f t="shared" si="219"/>
        <v>4.6195491004158127</v>
      </c>
      <c r="AS218" s="306">
        <f t="shared" si="189"/>
        <v>288.09595920725354</v>
      </c>
      <c r="AT218" s="307">
        <f t="shared" si="220"/>
        <v>4.6195491004158127</v>
      </c>
      <c r="AU218" s="307">
        <f t="shared" si="221"/>
        <v>288.09595920725354</v>
      </c>
      <c r="AV218" s="304">
        <f t="shared" si="190"/>
        <v>4.3782405218811054</v>
      </c>
      <c r="AW218" s="309">
        <f t="shared" si="191"/>
        <v>44.313116480433216</v>
      </c>
      <c r="AX218" s="306">
        <f>IF(ISERROR(Weather!M202),#N/A,Weather!M202)</f>
        <v>0</v>
      </c>
      <c r="AY218" s="310">
        <f t="shared" si="192"/>
        <v>10</v>
      </c>
      <c r="AZ218" s="309">
        <f t="shared" si="193"/>
        <v>0.38526170533750487</v>
      </c>
      <c r="BA218" s="309">
        <f t="shared" si="194"/>
        <v>114.1080210832056</v>
      </c>
      <c r="BB218" s="311">
        <f>Irrig!H220</f>
        <v>0</v>
      </c>
      <c r="BC218" s="310">
        <f t="shared" si="195"/>
        <v>25</v>
      </c>
      <c r="BD218" s="309">
        <f t="shared" si="196"/>
        <v>0.23647833611659042</v>
      </c>
      <c r="BE218" s="309">
        <f t="shared" si="197"/>
        <v>0.23647833611659042</v>
      </c>
      <c r="BF218" s="306">
        <f>DailyMet!H201</f>
        <v>25.08</v>
      </c>
      <c r="BG218" s="306">
        <f>DailyMet!I201</f>
        <v>18.2</v>
      </c>
      <c r="BH218" s="306">
        <f t="shared" si="198"/>
        <v>25.08</v>
      </c>
      <c r="BI218" s="306">
        <f t="shared" si="199"/>
        <v>18.2</v>
      </c>
      <c r="BJ218" s="306">
        <f t="shared" si="200"/>
        <v>11.64</v>
      </c>
      <c r="BK218" s="306">
        <f t="shared" si="169"/>
        <v>695.38000000000022</v>
      </c>
      <c r="BL218" s="304">
        <f t="shared" si="201"/>
        <v>0</v>
      </c>
      <c r="BM218" s="304">
        <f t="shared" si="202"/>
        <v>11.64</v>
      </c>
      <c r="BN218" s="304">
        <f t="shared" si="223"/>
        <v>11.64</v>
      </c>
      <c r="BO218" s="306">
        <f t="shared" si="224"/>
        <v>679.9092360766557</v>
      </c>
      <c r="BP218" s="306"/>
    </row>
    <row r="219" spans="1:68">
      <c r="A219" s="299">
        <f t="shared" si="170"/>
        <v>3</v>
      </c>
      <c r="B219" s="300">
        <f t="shared" si="171"/>
        <v>38184</v>
      </c>
      <c r="C219" s="301" t="e">
        <f t="shared" si="203"/>
        <v>#N/A</v>
      </c>
      <c r="D219" s="301" t="e">
        <f t="shared" si="172"/>
        <v>#N/A</v>
      </c>
      <c r="E219" s="299">
        <f t="shared" si="173"/>
        <v>198</v>
      </c>
      <c r="F219" s="396">
        <f>Weather!M203</f>
        <v>0</v>
      </c>
      <c r="G219" s="301">
        <f>IF(Weather!C203="","",Weather!C203)</f>
        <v>4.4141750173092893</v>
      </c>
      <c r="H219" s="301">
        <f>IF(Weather!D203="","",Weather!D203)</f>
        <v>4.6146636278569044</v>
      </c>
      <c r="I219" s="502">
        <f>IF(Weather!E203="","",Weather!E203)</f>
        <v>4.6146636278569044</v>
      </c>
      <c r="J219" s="397">
        <f>IF(RnSplint!N247&lt;0,0,RnSplint!N247)</f>
        <v>31</v>
      </c>
      <c r="K219" s="302">
        <f t="shared" si="204"/>
        <v>1.0500000000000007</v>
      </c>
      <c r="L219" s="303">
        <f t="shared" si="205"/>
        <v>38184</v>
      </c>
      <c r="M219" s="346" t="str">
        <f t="shared" si="174"/>
        <v/>
      </c>
      <c r="N219" s="304">
        <f t="shared" si="206"/>
        <v>1.0500000000000007</v>
      </c>
      <c r="O219" s="304">
        <f t="shared" si="207"/>
        <v>0</v>
      </c>
      <c r="P219" s="304">
        <f t="shared" si="175"/>
        <v>1.0500000000000007</v>
      </c>
      <c r="Q219" s="304">
        <f t="shared" si="176"/>
        <v>0.36606302350823255</v>
      </c>
      <c r="R219" s="304">
        <f t="shared" si="177"/>
        <v>1.0500000000000007</v>
      </c>
      <c r="S219" s="305">
        <f t="shared" si="208"/>
        <v>1.0500000000000007</v>
      </c>
      <c r="T219" s="304">
        <f t="shared" si="178"/>
        <v>0.23168990571975118</v>
      </c>
      <c r="U219" s="304">
        <f t="shared" si="222"/>
        <v>1.0500000000000007</v>
      </c>
      <c r="V219" s="305">
        <f t="shared" si="179"/>
        <v>1.0500000000000007</v>
      </c>
      <c r="W219" s="305">
        <f t="shared" si="209"/>
        <v>1.0500000000000007</v>
      </c>
      <c r="X219" s="304">
        <f t="shared" si="210"/>
        <v>1.0500000000000007</v>
      </c>
      <c r="Z219" s="304" t="str">
        <f t="shared" si="180"/>
        <v/>
      </c>
      <c r="AA219" s="305">
        <f t="shared" si="181"/>
        <v>1.0500000000000007</v>
      </c>
      <c r="AB219" s="304">
        <f t="shared" si="182"/>
        <v>4.8453968092497526</v>
      </c>
      <c r="AC219" s="304" t="str">
        <f t="shared" si="211"/>
        <v/>
      </c>
      <c r="AD219" s="306">
        <f t="shared" si="183"/>
        <v>253.79477566246959</v>
      </c>
      <c r="AE219" s="307">
        <f t="shared" si="212"/>
        <v>4.8453968092497526</v>
      </c>
      <c r="AF219" s="308">
        <f t="shared" si="184"/>
        <v>253.79477566246959</v>
      </c>
      <c r="AG219" s="306">
        <f t="shared" si="213"/>
        <v>396.64460717995667</v>
      </c>
      <c r="AH219" s="306">
        <f t="shared" si="185"/>
        <v>0</v>
      </c>
      <c r="AI219" s="306">
        <f t="shared" si="214"/>
        <v>4.6146636278569044</v>
      </c>
      <c r="AJ219" s="306">
        <f t="shared" si="215"/>
        <v>0</v>
      </c>
      <c r="AK219" s="306">
        <f t="shared" si="186"/>
        <v>0</v>
      </c>
      <c r="AL219" s="306">
        <f t="shared" si="216"/>
        <v>4.8453968092497526</v>
      </c>
      <c r="AM219" s="306">
        <f t="shared" si="187"/>
        <v>0</v>
      </c>
      <c r="AN219" s="304">
        <f>KcSplint!$N248</f>
        <v>1.0641945680393734</v>
      </c>
      <c r="AO219" s="304">
        <f t="shared" si="188"/>
        <v>1.0551154230400821</v>
      </c>
      <c r="AP219" s="304">
        <f t="shared" si="217"/>
        <v>1.0551154230400821</v>
      </c>
      <c r="AQ219" s="305">
        <f t="shared" si="218"/>
        <v>1.0551154230400821</v>
      </c>
      <c r="AR219" s="304">
        <f t="shared" si="219"/>
        <v>4.8690027658939181</v>
      </c>
      <c r="AS219" s="306">
        <f t="shared" si="189"/>
        <v>292.96496197314747</v>
      </c>
      <c r="AT219" s="307">
        <f t="shared" si="220"/>
        <v>4.8690027658939181</v>
      </c>
      <c r="AU219" s="307">
        <f t="shared" si="221"/>
        <v>292.96496197314747</v>
      </c>
      <c r="AV219" s="304">
        <f t="shared" si="190"/>
        <v>4.6146636278569044</v>
      </c>
      <c r="AW219" s="309">
        <f t="shared" si="191"/>
        <v>48.927780108290122</v>
      </c>
      <c r="AX219" s="306">
        <f>IF(ISERROR(Weather!M203),#N/A,Weather!M203)</f>
        <v>0</v>
      </c>
      <c r="AY219" s="310">
        <f t="shared" si="192"/>
        <v>11</v>
      </c>
      <c r="AZ219" s="309">
        <f t="shared" si="193"/>
        <v>0.36606302350823255</v>
      </c>
      <c r="BA219" s="309">
        <f t="shared" si="194"/>
        <v>118.7226847110625</v>
      </c>
      <c r="BB219" s="311">
        <f>Irrig!H221</f>
        <v>0</v>
      </c>
      <c r="BC219" s="310">
        <f t="shared" si="195"/>
        <v>26</v>
      </c>
      <c r="BD219" s="309">
        <f t="shared" si="196"/>
        <v>0.23168990571975118</v>
      </c>
      <c r="BE219" s="309">
        <f t="shared" si="197"/>
        <v>0.23168990571975118</v>
      </c>
      <c r="BF219" s="306">
        <f>DailyMet!H202</f>
        <v>23.95</v>
      </c>
      <c r="BG219" s="306">
        <f>DailyMet!I202</f>
        <v>17.5</v>
      </c>
      <c r="BH219" s="306">
        <f t="shared" si="198"/>
        <v>23.95</v>
      </c>
      <c r="BI219" s="306">
        <f t="shared" si="199"/>
        <v>17.5</v>
      </c>
      <c r="BJ219" s="306">
        <f t="shared" si="200"/>
        <v>10.725000000000001</v>
      </c>
      <c r="BK219" s="306">
        <f t="shared" si="169"/>
        <v>706.10500000000025</v>
      </c>
      <c r="BL219" s="304">
        <f t="shared" si="201"/>
        <v>0</v>
      </c>
      <c r="BM219" s="304">
        <f t="shared" si="202"/>
        <v>10.725000000000001</v>
      </c>
      <c r="BN219" s="304">
        <f t="shared" si="223"/>
        <v>10.725000000000001</v>
      </c>
      <c r="BO219" s="306">
        <f t="shared" si="224"/>
        <v>690.63423607665572</v>
      </c>
      <c r="BP219" s="306"/>
    </row>
    <row r="220" spans="1:68">
      <c r="A220" s="299">
        <f t="shared" si="170"/>
        <v>3</v>
      </c>
      <c r="B220" s="300">
        <f t="shared" si="171"/>
        <v>38185</v>
      </c>
      <c r="C220" s="301" t="e">
        <f t="shared" si="203"/>
        <v>#N/A</v>
      </c>
      <c r="D220" s="301" t="e">
        <f t="shared" si="172"/>
        <v>#N/A</v>
      </c>
      <c r="E220" s="299">
        <f t="shared" si="173"/>
        <v>199</v>
      </c>
      <c r="F220" s="396">
        <f>Weather!M204</f>
        <v>0</v>
      </c>
      <c r="G220" s="301">
        <f>IF(Weather!C204="","",Weather!C204)</f>
        <v>4.4050910994943893</v>
      </c>
      <c r="H220" s="301">
        <f>IF(Weather!D204="","",Weather!D204)</f>
        <v>4.4565907017106809</v>
      </c>
      <c r="I220" s="502">
        <f>IF(Weather!E204="","",Weather!E204)</f>
        <v>4.4565907017106809</v>
      </c>
      <c r="J220" s="397">
        <f>IF(RnSplint!N248&lt;0,0,RnSplint!N248)</f>
        <v>31.58542756925916</v>
      </c>
      <c r="K220" s="302">
        <f t="shared" si="204"/>
        <v>1.0500000000000007</v>
      </c>
      <c r="L220" s="303">
        <f t="shared" si="205"/>
        <v>38185</v>
      </c>
      <c r="M220" s="346" t="str">
        <f t="shared" si="174"/>
        <v/>
      </c>
      <c r="N220" s="304">
        <f t="shared" si="206"/>
        <v>1.0500000000000007</v>
      </c>
      <c r="O220" s="304">
        <f t="shared" si="207"/>
        <v>0</v>
      </c>
      <c r="P220" s="304">
        <f t="shared" si="175"/>
        <v>1.0500000000000007</v>
      </c>
      <c r="Q220" s="304">
        <f t="shared" si="176"/>
        <v>0.34996194077143877</v>
      </c>
      <c r="R220" s="304">
        <f t="shared" si="177"/>
        <v>1.0500000000000007</v>
      </c>
      <c r="S220" s="305">
        <f t="shared" si="208"/>
        <v>1.0500000000000007</v>
      </c>
      <c r="T220" s="304">
        <f t="shared" si="178"/>
        <v>0.22732598510379148</v>
      </c>
      <c r="U220" s="304">
        <f t="shared" si="222"/>
        <v>1.0500000000000007</v>
      </c>
      <c r="V220" s="305">
        <f t="shared" si="179"/>
        <v>1.0500000000000007</v>
      </c>
      <c r="W220" s="305">
        <f t="shared" si="209"/>
        <v>1.0500000000000007</v>
      </c>
      <c r="X220" s="304">
        <f t="shared" si="210"/>
        <v>1.0500000000000007</v>
      </c>
      <c r="Z220" s="304" t="str">
        <f t="shared" si="180"/>
        <v/>
      </c>
      <c r="AA220" s="305">
        <f t="shared" si="181"/>
        <v>1.0500000000000007</v>
      </c>
      <c r="AB220" s="304">
        <f t="shared" si="182"/>
        <v>4.6794202367962185</v>
      </c>
      <c r="AC220" s="304" t="str">
        <f t="shared" si="211"/>
        <v/>
      </c>
      <c r="AD220" s="306">
        <f t="shared" si="183"/>
        <v>258.47419589926579</v>
      </c>
      <c r="AE220" s="307">
        <f t="shared" si="212"/>
        <v>4.6794202367962185</v>
      </c>
      <c r="AF220" s="308">
        <f t="shared" si="184"/>
        <v>258.47419589926579</v>
      </c>
      <c r="AG220" s="306">
        <f t="shared" si="213"/>
        <v>401.10119788166736</v>
      </c>
      <c r="AH220" s="306">
        <f t="shared" si="185"/>
        <v>0</v>
      </c>
      <c r="AI220" s="306">
        <f t="shared" si="214"/>
        <v>4.4565907017106809</v>
      </c>
      <c r="AJ220" s="306">
        <f t="shared" si="215"/>
        <v>0</v>
      </c>
      <c r="AK220" s="306">
        <f t="shared" si="186"/>
        <v>0</v>
      </c>
      <c r="AL220" s="306">
        <f t="shared" si="216"/>
        <v>4.6794202367962185</v>
      </c>
      <c r="AM220" s="306">
        <f t="shared" si="187"/>
        <v>0</v>
      </c>
      <c r="AN220" s="304">
        <f>KcSplint!$N249</f>
        <v>1.068235068415357</v>
      </c>
      <c r="AO220" s="304">
        <f t="shared" si="188"/>
        <v>1.0551154230400821</v>
      </c>
      <c r="AP220" s="304">
        <f t="shared" si="217"/>
        <v>1.0551154230400821</v>
      </c>
      <c r="AQ220" s="305">
        <f t="shared" si="218"/>
        <v>1.0551154230400821</v>
      </c>
      <c r="AR220" s="304">
        <f t="shared" si="219"/>
        <v>4.7022175835519615</v>
      </c>
      <c r="AS220" s="306">
        <f t="shared" si="189"/>
        <v>297.66717955669941</v>
      </c>
      <c r="AT220" s="307">
        <f t="shared" si="220"/>
        <v>4.7022175835519615</v>
      </c>
      <c r="AU220" s="307">
        <f t="shared" si="221"/>
        <v>297.66717955669941</v>
      </c>
      <c r="AV220" s="304">
        <f t="shared" si="190"/>
        <v>4.4565907017106809</v>
      </c>
      <c r="AW220" s="309">
        <f t="shared" si="191"/>
        <v>53.384370810000803</v>
      </c>
      <c r="AX220" s="306">
        <f>IF(ISERROR(Weather!M204),#N/A,Weather!M204)</f>
        <v>0</v>
      </c>
      <c r="AY220" s="310">
        <f t="shared" si="192"/>
        <v>12</v>
      </c>
      <c r="AZ220" s="309">
        <f t="shared" si="193"/>
        <v>0.34996194077143877</v>
      </c>
      <c r="BA220" s="309">
        <f t="shared" si="194"/>
        <v>123.17927541277318</v>
      </c>
      <c r="BB220" s="311">
        <f>Irrig!H222</f>
        <v>0</v>
      </c>
      <c r="BC220" s="310">
        <f t="shared" si="195"/>
        <v>27</v>
      </c>
      <c r="BD220" s="309">
        <f t="shared" si="196"/>
        <v>0.22732598510379148</v>
      </c>
      <c r="BE220" s="309">
        <f t="shared" si="197"/>
        <v>0.22732598510379148</v>
      </c>
      <c r="BF220" s="306">
        <f>DailyMet!H203</f>
        <v>24.09</v>
      </c>
      <c r="BG220" s="306">
        <f>DailyMet!I203</f>
        <v>14.5</v>
      </c>
      <c r="BH220" s="306">
        <f t="shared" si="198"/>
        <v>24.09</v>
      </c>
      <c r="BI220" s="306">
        <f t="shared" si="199"/>
        <v>14.5</v>
      </c>
      <c r="BJ220" s="306">
        <f t="shared" si="200"/>
        <v>9.2950000000000017</v>
      </c>
      <c r="BK220" s="306">
        <f t="shared" si="169"/>
        <v>715.4000000000002</v>
      </c>
      <c r="BL220" s="304">
        <f t="shared" si="201"/>
        <v>0</v>
      </c>
      <c r="BM220" s="304">
        <f t="shared" si="202"/>
        <v>9.2950000000000017</v>
      </c>
      <c r="BN220" s="304">
        <f t="shared" si="223"/>
        <v>9.2950000000000017</v>
      </c>
      <c r="BO220" s="306">
        <f t="shared" si="224"/>
        <v>699.92923607665568</v>
      </c>
      <c r="BP220" s="306"/>
    </row>
    <row r="221" spans="1:68">
      <c r="A221" s="299">
        <f t="shared" si="170"/>
        <v>3</v>
      </c>
      <c r="B221" s="300">
        <f t="shared" si="171"/>
        <v>38186</v>
      </c>
      <c r="C221" s="301" t="e">
        <f t="shared" si="203"/>
        <v>#N/A</v>
      </c>
      <c r="D221" s="301" t="e">
        <f t="shared" si="172"/>
        <v>#N/A</v>
      </c>
      <c r="E221" s="299">
        <f t="shared" si="173"/>
        <v>200</v>
      </c>
      <c r="F221" s="396">
        <f>Weather!M205</f>
        <v>0</v>
      </c>
      <c r="G221" s="301">
        <f>IF(Weather!C205="","",Weather!C205)</f>
        <v>4.3952875589893639</v>
      </c>
      <c r="H221" s="301">
        <f>IF(Weather!D205="","",Weather!D205)</f>
        <v>4.3856661721297474</v>
      </c>
      <c r="I221" s="502">
        <f>IF(Weather!E205="","",Weather!E205)</f>
        <v>4.3856661721297474</v>
      </c>
      <c r="J221" s="397">
        <f>IF(RnSplint!N249&lt;0,0,RnSplint!N249)</f>
        <v>32.120322514544512</v>
      </c>
      <c r="K221" s="302">
        <f t="shared" si="204"/>
        <v>1.0500000000000007</v>
      </c>
      <c r="L221" s="303">
        <f t="shared" si="205"/>
        <v>38186</v>
      </c>
      <c r="M221" s="346" t="str">
        <f t="shared" si="174"/>
        <v/>
      </c>
      <c r="N221" s="304">
        <f t="shared" si="206"/>
        <v>1.0500000000000007</v>
      </c>
      <c r="O221" s="304">
        <f t="shared" si="207"/>
        <v>0</v>
      </c>
      <c r="P221" s="304">
        <f t="shared" si="175"/>
        <v>1.0500000000000007</v>
      </c>
      <c r="Q221" s="304">
        <f t="shared" si="176"/>
        <v>0.33599122989542146</v>
      </c>
      <c r="R221" s="304">
        <f t="shared" si="177"/>
        <v>1.0500000000000007</v>
      </c>
      <c r="S221" s="305">
        <f t="shared" si="208"/>
        <v>1.0500000000000007</v>
      </c>
      <c r="T221" s="304">
        <f t="shared" si="178"/>
        <v>0.22325908371488118</v>
      </c>
      <c r="U221" s="304">
        <f t="shared" si="222"/>
        <v>1.0500000000000007</v>
      </c>
      <c r="V221" s="305">
        <f t="shared" si="179"/>
        <v>1.0500000000000007</v>
      </c>
      <c r="W221" s="305">
        <f t="shared" si="209"/>
        <v>1.0500000000000007</v>
      </c>
      <c r="X221" s="304">
        <f t="shared" si="210"/>
        <v>1.0500000000000007</v>
      </c>
      <c r="Z221" s="304" t="str">
        <f t="shared" si="180"/>
        <v/>
      </c>
      <c r="AA221" s="305">
        <f t="shared" si="181"/>
        <v>1.0500000000000007</v>
      </c>
      <c r="AB221" s="304">
        <f t="shared" si="182"/>
        <v>4.6049494807362379</v>
      </c>
      <c r="AC221" s="304" t="str">
        <f t="shared" si="211"/>
        <v/>
      </c>
      <c r="AD221" s="306">
        <f t="shared" si="183"/>
        <v>263.07914538000205</v>
      </c>
      <c r="AE221" s="307">
        <f t="shared" si="212"/>
        <v>4.6049494807362379</v>
      </c>
      <c r="AF221" s="308">
        <f t="shared" si="184"/>
        <v>263.07914538000205</v>
      </c>
      <c r="AG221" s="306">
        <f t="shared" si="213"/>
        <v>405.48686405379709</v>
      </c>
      <c r="AH221" s="306">
        <f t="shared" si="185"/>
        <v>0</v>
      </c>
      <c r="AI221" s="306">
        <f t="shared" si="214"/>
        <v>4.3856661721297474</v>
      </c>
      <c r="AJ221" s="306">
        <f t="shared" si="215"/>
        <v>0</v>
      </c>
      <c r="AK221" s="306">
        <f t="shared" si="186"/>
        <v>0</v>
      </c>
      <c r="AL221" s="306">
        <f t="shared" si="216"/>
        <v>4.6049494807362379</v>
      </c>
      <c r="AM221" s="306">
        <f t="shared" si="187"/>
        <v>0</v>
      </c>
      <c r="AN221" s="304">
        <f>KcSplint!$N250</f>
        <v>1.0718089258019357</v>
      </c>
      <c r="AO221" s="304">
        <f t="shared" si="188"/>
        <v>1.0551154230400821</v>
      </c>
      <c r="AP221" s="304">
        <f t="shared" si="217"/>
        <v>1.0551154230400821</v>
      </c>
      <c r="AQ221" s="305">
        <f t="shared" si="218"/>
        <v>1.0551154230400821</v>
      </c>
      <c r="AR221" s="304">
        <f t="shared" si="219"/>
        <v>4.6273840185192556</v>
      </c>
      <c r="AS221" s="306">
        <f t="shared" si="189"/>
        <v>302.29456357521866</v>
      </c>
      <c r="AT221" s="307">
        <f t="shared" si="220"/>
        <v>4.6273840185192556</v>
      </c>
      <c r="AU221" s="307">
        <f t="shared" si="221"/>
        <v>302.29456357521866</v>
      </c>
      <c r="AV221" s="304">
        <f t="shared" si="190"/>
        <v>4.3856661721297474</v>
      </c>
      <c r="AW221" s="309">
        <f t="shared" si="191"/>
        <v>57.770036982130549</v>
      </c>
      <c r="AX221" s="306">
        <f>IF(ISERROR(Weather!M205),#N/A,Weather!M205)</f>
        <v>0</v>
      </c>
      <c r="AY221" s="310">
        <f t="shared" si="192"/>
        <v>13</v>
      </c>
      <c r="AZ221" s="309">
        <f t="shared" si="193"/>
        <v>0.33599122989542146</v>
      </c>
      <c r="BA221" s="309">
        <f t="shared" si="194"/>
        <v>127.56494158490293</v>
      </c>
      <c r="BB221" s="311">
        <f>Irrig!H223</f>
        <v>0</v>
      </c>
      <c r="BC221" s="310">
        <f t="shared" si="195"/>
        <v>28</v>
      </c>
      <c r="BD221" s="309">
        <f t="shared" si="196"/>
        <v>0.22325908371488118</v>
      </c>
      <c r="BE221" s="309">
        <f t="shared" si="197"/>
        <v>0.22325908371488118</v>
      </c>
      <c r="BF221" s="306">
        <f>DailyMet!H204</f>
        <v>25.56</v>
      </c>
      <c r="BG221" s="306">
        <f>DailyMet!I204</f>
        <v>15.5</v>
      </c>
      <c r="BH221" s="306">
        <f t="shared" si="198"/>
        <v>25.56</v>
      </c>
      <c r="BI221" s="306">
        <f t="shared" si="199"/>
        <v>15.5</v>
      </c>
      <c r="BJ221" s="306">
        <f t="shared" si="200"/>
        <v>10.530000000000001</v>
      </c>
      <c r="BK221" s="306">
        <f t="shared" si="169"/>
        <v>725.93000000000018</v>
      </c>
      <c r="BL221" s="304">
        <f t="shared" si="201"/>
        <v>0</v>
      </c>
      <c r="BM221" s="304">
        <f t="shared" si="202"/>
        <v>10.530000000000001</v>
      </c>
      <c r="BN221" s="304">
        <f t="shared" si="223"/>
        <v>10.530000000000001</v>
      </c>
      <c r="BO221" s="306">
        <f t="shared" si="224"/>
        <v>710.45923607665566</v>
      </c>
      <c r="BP221" s="306"/>
    </row>
    <row r="222" spans="1:68">
      <c r="A222" s="299">
        <f t="shared" si="170"/>
        <v>3</v>
      </c>
      <c r="B222" s="300">
        <f t="shared" si="171"/>
        <v>38187</v>
      </c>
      <c r="C222" s="301" t="e">
        <f t="shared" si="203"/>
        <v>#N/A</v>
      </c>
      <c r="D222" s="301" t="e">
        <f t="shared" si="172"/>
        <v>#N/A</v>
      </c>
      <c r="E222" s="299">
        <f t="shared" si="173"/>
        <v>201</v>
      </c>
      <c r="F222" s="396">
        <f>Weather!M206</f>
        <v>0</v>
      </c>
      <c r="G222" s="301">
        <f>IF(Weather!C206="","",Weather!C206)</f>
        <v>4.3847335063701181</v>
      </c>
      <c r="H222" s="301">
        <f>IF(Weather!D206="","",Weather!D206)</f>
        <v>4.5585086386905456</v>
      </c>
      <c r="I222" s="502">
        <f>IF(Weather!E206="","",Weather!E206)</f>
        <v>4.5585086386905456</v>
      </c>
      <c r="J222" s="397">
        <f>IF(RnSplint!N250&lt;0,0,RnSplint!N250)</f>
        <v>32.605874917168791</v>
      </c>
      <c r="K222" s="302">
        <f t="shared" si="204"/>
        <v>1.0500000000000007</v>
      </c>
      <c r="L222" s="303">
        <f t="shared" si="205"/>
        <v>38187</v>
      </c>
      <c r="M222" s="346" t="str">
        <f t="shared" si="174"/>
        <v/>
      </c>
      <c r="N222" s="304">
        <f t="shared" si="206"/>
        <v>1.0500000000000007</v>
      </c>
      <c r="O222" s="304">
        <f t="shared" si="207"/>
        <v>0</v>
      </c>
      <c r="P222" s="304">
        <f t="shared" si="175"/>
        <v>1.0500000000000007</v>
      </c>
      <c r="Q222" s="304">
        <f t="shared" si="176"/>
        <v>0.32307847046012461</v>
      </c>
      <c r="R222" s="304">
        <f t="shared" si="177"/>
        <v>1.0500000000000007</v>
      </c>
      <c r="S222" s="305">
        <f t="shared" si="208"/>
        <v>1.0500000000000007</v>
      </c>
      <c r="T222" s="304">
        <f t="shared" si="178"/>
        <v>0.21925064265857075</v>
      </c>
      <c r="U222" s="304">
        <f t="shared" si="222"/>
        <v>1.0500000000000007</v>
      </c>
      <c r="V222" s="305">
        <f t="shared" si="179"/>
        <v>1.0500000000000007</v>
      </c>
      <c r="W222" s="305">
        <f t="shared" si="209"/>
        <v>1.0500000000000007</v>
      </c>
      <c r="X222" s="304">
        <f t="shared" si="210"/>
        <v>1.0500000000000007</v>
      </c>
      <c r="Z222" s="304" t="str">
        <f t="shared" si="180"/>
        <v/>
      </c>
      <c r="AA222" s="305">
        <f t="shared" si="181"/>
        <v>1.0500000000000007</v>
      </c>
      <c r="AB222" s="304">
        <f t="shared" si="182"/>
        <v>4.7864340706250763</v>
      </c>
      <c r="AC222" s="304" t="str">
        <f t="shared" si="211"/>
        <v/>
      </c>
      <c r="AD222" s="306">
        <f t="shared" si="183"/>
        <v>267.86557945062714</v>
      </c>
      <c r="AE222" s="307">
        <f t="shared" si="212"/>
        <v>4.7864340706250763</v>
      </c>
      <c r="AF222" s="308">
        <f t="shared" si="184"/>
        <v>267.86557945062714</v>
      </c>
      <c r="AG222" s="306">
        <f t="shared" si="213"/>
        <v>410.04537269248766</v>
      </c>
      <c r="AH222" s="306">
        <f t="shared" si="185"/>
        <v>0</v>
      </c>
      <c r="AI222" s="306">
        <f t="shared" si="214"/>
        <v>4.5585086386905456</v>
      </c>
      <c r="AJ222" s="306">
        <f t="shared" si="215"/>
        <v>0</v>
      </c>
      <c r="AK222" s="306">
        <f t="shared" si="186"/>
        <v>0</v>
      </c>
      <c r="AL222" s="306">
        <f t="shared" si="216"/>
        <v>4.7864340706250763</v>
      </c>
      <c r="AM222" s="306">
        <f t="shared" si="187"/>
        <v>0</v>
      </c>
      <c r="AN222" s="304">
        <f>KcSplint!$N251</f>
        <v>1.0749261455182535</v>
      </c>
      <c r="AO222" s="304">
        <f t="shared" si="188"/>
        <v>1.0551154230400821</v>
      </c>
      <c r="AP222" s="304">
        <f t="shared" si="217"/>
        <v>1.0551154230400821</v>
      </c>
      <c r="AQ222" s="305">
        <f t="shared" si="218"/>
        <v>1.0551154230400821</v>
      </c>
      <c r="AR222" s="304">
        <f t="shared" si="219"/>
        <v>4.8097527707438434</v>
      </c>
      <c r="AS222" s="306">
        <f t="shared" si="189"/>
        <v>307.1043163459625</v>
      </c>
      <c r="AT222" s="307">
        <f t="shared" si="220"/>
        <v>4.8097527707438434</v>
      </c>
      <c r="AU222" s="307">
        <f t="shared" si="221"/>
        <v>307.1043163459625</v>
      </c>
      <c r="AV222" s="304">
        <f t="shared" si="190"/>
        <v>4.5585086386905456</v>
      </c>
      <c r="AW222" s="309">
        <f t="shared" si="191"/>
        <v>62.328545620821096</v>
      </c>
      <c r="AX222" s="306">
        <f>IF(ISERROR(Weather!M206),#N/A,Weather!M206)</f>
        <v>0</v>
      </c>
      <c r="AY222" s="310">
        <f t="shared" si="192"/>
        <v>14</v>
      </c>
      <c r="AZ222" s="309">
        <f t="shared" si="193"/>
        <v>0.32307847046012461</v>
      </c>
      <c r="BA222" s="309">
        <f t="shared" si="194"/>
        <v>132.12345022359347</v>
      </c>
      <c r="BB222" s="311">
        <f>Irrig!H224</f>
        <v>0</v>
      </c>
      <c r="BC222" s="310">
        <f t="shared" si="195"/>
        <v>29</v>
      </c>
      <c r="BD222" s="309">
        <f t="shared" si="196"/>
        <v>0.21925064265857075</v>
      </c>
      <c r="BE222" s="309">
        <f t="shared" si="197"/>
        <v>0.21925064265857075</v>
      </c>
      <c r="BF222" s="306">
        <f>DailyMet!H205</f>
        <v>27.1</v>
      </c>
      <c r="BG222" s="306">
        <f>DailyMet!I205</f>
        <v>16.899999999999999</v>
      </c>
      <c r="BH222" s="306">
        <f t="shared" si="198"/>
        <v>27.1</v>
      </c>
      <c r="BI222" s="306">
        <f t="shared" si="199"/>
        <v>16.899999999999999</v>
      </c>
      <c r="BJ222" s="306">
        <f t="shared" si="200"/>
        <v>12</v>
      </c>
      <c r="BK222" s="306">
        <f t="shared" si="169"/>
        <v>737.93000000000018</v>
      </c>
      <c r="BL222" s="304">
        <f t="shared" si="201"/>
        <v>0</v>
      </c>
      <c r="BM222" s="304">
        <f t="shared" si="202"/>
        <v>12</v>
      </c>
      <c r="BN222" s="304">
        <f t="shared" si="223"/>
        <v>12</v>
      </c>
      <c r="BO222" s="306">
        <f t="shared" si="224"/>
        <v>722.45923607665566</v>
      </c>
      <c r="BP222" s="306"/>
    </row>
    <row r="223" spans="1:68">
      <c r="A223" s="299">
        <f t="shared" si="170"/>
        <v>3</v>
      </c>
      <c r="B223" s="300">
        <f t="shared" si="171"/>
        <v>38188</v>
      </c>
      <c r="C223" s="301" t="e">
        <f t="shared" si="203"/>
        <v>#N/A</v>
      </c>
      <c r="D223" s="301" t="e">
        <f t="shared" si="172"/>
        <v>#N/A</v>
      </c>
      <c r="E223" s="299">
        <f t="shared" si="173"/>
        <v>202</v>
      </c>
      <c r="F223" s="396">
        <f>Weather!M207</f>
        <v>0</v>
      </c>
      <c r="G223" s="301">
        <f>IF(Weather!C207="","",Weather!C207)</f>
        <v>4.3733980522125577</v>
      </c>
      <c r="H223" s="301">
        <f>IF(Weather!D207="","",Weather!D207)</f>
        <v>5.0131309788816969</v>
      </c>
      <c r="I223" s="502">
        <f>IF(Weather!E207="","",Weather!E207)</f>
        <v>5.0131309788816969</v>
      </c>
      <c r="J223" s="397">
        <f>IF(RnSplint!N251&lt;0,0,RnSplint!N251)</f>
        <v>33.043274858444754</v>
      </c>
      <c r="K223" s="302">
        <f t="shared" si="204"/>
        <v>1.0500000000000007</v>
      </c>
      <c r="L223" s="303">
        <f t="shared" si="205"/>
        <v>38188</v>
      </c>
      <c r="M223" s="346" t="str">
        <f t="shared" si="174"/>
        <v/>
      </c>
      <c r="N223" s="304">
        <f t="shared" si="206"/>
        <v>1.0500000000000007</v>
      </c>
      <c r="O223" s="304">
        <f t="shared" si="207"/>
        <v>0</v>
      </c>
      <c r="P223" s="304">
        <f t="shared" si="175"/>
        <v>1.0500000000000007</v>
      </c>
      <c r="Q223" s="304">
        <f t="shared" si="176"/>
        <v>0.31043594464303675</v>
      </c>
      <c r="R223" s="304">
        <f t="shared" si="177"/>
        <v>1.0500000000000007</v>
      </c>
      <c r="S223" s="305">
        <f t="shared" si="208"/>
        <v>1.0500000000000007</v>
      </c>
      <c r="T223" s="304">
        <f t="shared" si="178"/>
        <v>0.21507770533492152</v>
      </c>
      <c r="U223" s="304">
        <f t="shared" si="222"/>
        <v>1.0500000000000007</v>
      </c>
      <c r="V223" s="305">
        <f t="shared" si="179"/>
        <v>1.0500000000000007</v>
      </c>
      <c r="W223" s="305">
        <f t="shared" si="209"/>
        <v>1.0500000000000007</v>
      </c>
      <c r="X223" s="304">
        <f t="shared" si="210"/>
        <v>1.0500000000000007</v>
      </c>
      <c r="Z223" s="304" t="str">
        <f t="shared" si="180"/>
        <v/>
      </c>
      <c r="AA223" s="305">
        <f t="shared" si="181"/>
        <v>1.0500000000000007</v>
      </c>
      <c r="AB223" s="304">
        <f t="shared" si="182"/>
        <v>5.2637875278257855</v>
      </c>
      <c r="AC223" s="304" t="str">
        <f t="shared" si="211"/>
        <v/>
      </c>
      <c r="AD223" s="306">
        <f t="shared" si="183"/>
        <v>273.12936697845294</v>
      </c>
      <c r="AE223" s="307">
        <f t="shared" si="212"/>
        <v>5.2637875278257855</v>
      </c>
      <c r="AF223" s="308">
        <f t="shared" si="184"/>
        <v>273.12936697845294</v>
      </c>
      <c r="AG223" s="306">
        <f t="shared" si="213"/>
        <v>415.05850367136935</v>
      </c>
      <c r="AH223" s="306">
        <f t="shared" si="185"/>
        <v>0</v>
      </c>
      <c r="AI223" s="306">
        <f t="shared" si="214"/>
        <v>5.0131309788816969</v>
      </c>
      <c r="AJ223" s="306">
        <f t="shared" si="215"/>
        <v>0</v>
      </c>
      <c r="AK223" s="306">
        <f t="shared" si="186"/>
        <v>0</v>
      </c>
      <c r="AL223" s="306">
        <f t="shared" si="216"/>
        <v>5.2637875278257855</v>
      </c>
      <c r="AM223" s="306">
        <f t="shared" si="187"/>
        <v>0</v>
      </c>
      <c r="AN223" s="304">
        <f>KcSplint!$N252</f>
        <v>1.0775967328834548</v>
      </c>
      <c r="AO223" s="304">
        <f t="shared" si="188"/>
        <v>1.0551154230400821</v>
      </c>
      <c r="AP223" s="304">
        <f t="shared" si="217"/>
        <v>1.0551154230400821</v>
      </c>
      <c r="AQ223" s="305">
        <f t="shared" si="218"/>
        <v>1.0551154230400821</v>
      </c>
      <c r="AR223" s="304">
        <f t="shared" si="219"/>
        <v>5.2894318135381022</v>
      </c>
      <c r="AS223" s="306">
        <f t="shared" si="189"/>
        <v>312.3937481595006</v>
      </c>
      <c r="AT223" s="307">
        <f t="shared" si="220"/>
        <v>5.2894318135381022</v>
      </c>
      <c r="AU223" s="307">
        <f t="shared" si="221"/>
        <v>312.3937481595006</v>
      </c>
      <c r="AV223" s="304">
        <f t="shared" si="190"/>
        <v>5.0131309788816969</v>
      </c>
      <c r="AW223" s="309">
        <f t="shared" si="191"/>
        <v>67.341676599702794</v>
      </c>
      <c r="AX223" s="306">
        <f>IF(ISERROR(Weather!M207),#N/A,Weather!M207)</f>
        <v>0</v>
      </c>
      <c r="AY223" s="310">
        <f t="shared" si="192"/>
        <v>15</v>
      </c>
      <c r="AZ223" s="309">
        <f t="shared" si="193"/>
        <v>0.31043594464303675</v>
      </c>
      <c r="BA223" s="309">
        <f t="shared" si="194"/>
        <v>137.13658120247516</v>
      </c>
      <c r="BB223" s="311">
        <f>Irrig!H225</f>
        <v>0</v>
      </c>
      <c r="BC223" s="310">
        <f t="shared" si="195"/>
        <v>30</v>
      </c>
      <c r="BD223" s="309">
        <f t="shared" si="196"/>
        <v>0.21507770533492152</v>
      </c>
      <c r="BE223" s="309">
        <f t="shared" si="197"/>
        <v>0.21507770533492152</v>
      </c>
      <c r="BF223" s="306">
        <f>DailyMet!H206</f>
        <v>27.61</v>
      </c>
      <c r="BG223" s="306">
        <f>DailyMet!I206</f>
        <v>19.3</v>
      </c>
      <c r="BH223" s="306">
        <f t="shared" si="198"/>
        <v>27.61</v>
      </c>
      <c r="BI223" s="306">
        <f t="shared" si="199"/>
        <v>19.3</v>
      </c>
      <c r="BJ223" s="306">
        <f t="shared" si="200"/>
        <v>13.454999999999998</v>
      </c>
      <c r="BK223" s="306">
        <f t="shared" si="169"/>
        <v>751.38500000000022</v>
      </c>
      <c r="BL223" s="304">
        <f t="shared" si="201"/>
        <v>0</v>
      </c>
      <c r="BM223" s="304">
        <f t="shared" si="202"/>
        <v>13.454999999999998</v>
      </c>
      <c r="BN223" s="304">
        <f t="shared" si="223"/>
        <v>13.454999999999998</v>
      </c>
      <c r="BO223" s="306">
        <f t="shared" si="224"/>
        <v>735.9142360766557</v>
      </c>
      <c r="BP223" s="306"/>
    </row>
    <row r="224" spans="1:68">
      <c r="A224" s="299">
        <f t="shared" si="170"/>
        <v>3</v>
      </c>
      <c r="B224" s="300">
        <f t="shared" si="171"/>
        <v>38189</v>
      </c>
      <c r="C224" s="301" t="e">
        <f t="shared" si="203"/>
        <v>#N/A</v>
      </c>
      <c r="D224" s="301" t="e">
        <f t="shared" si="172"/>
        <v>#N/A</v>
      </c>
      <c r="E224" s="299">
        <f t="shared" si="173"/>
        <v>203</v>
      </c>
      <c r="F224" s="396">
        <f>Weather!M208</f>
        <v>0.4</v>
      </c>
      <c r="G224" s="301">
        <f>IF(Weather!C208="","",Weather!C208)</f>
        <v>4.361250307092587</v>
      </c>
      <c r="H224" s="301">
        <f>IF(Weather!D208="","",Weather!D208)</f>
        <v>4.3086235392401058</v>
      </c>
      <c r="I224" s="502">
        <f>IF(Weather!E208="","",Weather!E208)</f>
        <v>4.3086235392401058</v>
      </c>
      <c r="J224" s="397">
        <f>IF(RnSplint!N252&lt;0,0,RnSplint!N252)</f>
        <v>33.433712419685129</v>
      </c>
      <c r="K224" s="302">
        <f t="shared" si="204"/>
        <v>1.0500000000000007</v>
      </c>
      <c r="L224" s="303">
        <f t="shared" si="205"/>
        <v>38189</v>
      </c>
      <c r="M224" s="346" t="str">
        <f t="shared" si="174"/>
        <v/>
      </c>
      <c r="N224" s="304">
        <f t="shared" si="206"/>
        <v>1.0500000000000007</v>
      </c>
      <c r="O224" s="304">
        <f t="shared" si="207"/>
        <v>0</v>
      </c>
      <c r="P224" s="304">
        <f t="shared" si="175"/>
        <v>1.0500000000000007</v>
      </c>
      <c r="Q224" s="304">
        <f t="shared" si="176"/>
        <v>0.30065886344530462</v>
      </c>
      <c r="R224" s="304">
        <f t="shared" si="177"/>
        <v>1.0500000000000007</v>
      </c>
      <c r="S224" s="305">
        <f t="shared" si="208"/>
        <v>1.0500000000000007</v>
      </c>
      <c r="T224" s="304">
        <f t="shared" si="178"/>
        <v>0.21167178912724011</v>
      </c>
      <c r="U224" s="304">
        <f t="shared" si="222"/>
        <v>1.0500000000000007</v>
      </c>
      <c r="V224" s="305">
        <f t="shared" si="179"/>
        <v>1.0500000000000007</v>
      </c>
      <c r="W224" s="305">
        <f t="shared" si="209"/>
        <v>1.0500000000000007</v>
      </c>
      <c r="X224" s="304">
        <f t="shared" si="210"/>
        <v>1.0500000000000007</v>
      </c>
      <c r="Z224" s="304" t="str">
        <f t="shared" si="180"/>
        <v/>
      </c>
      <c r="AA224" s="305">
        <f t="shared" si="181"/>
        <v>1.0500000000000007</v>
      </c>
      <c r="AB224" s="304">
        <f t="shared" si="182"/>
        <v>4.5240547162021141</v>
      </c>
      <c r="AC224" s="304" t="str">
        <f t="shared" si="211"/>
        <v/>
      </c>
      <c r="AD224" s="306">
        <f t="shared" si="183"/>
        <v>277.65342169465504</v>
      </c>
      <c r="AE224" s="307">
        <f t="shared" si="212"/>
        <v>4.5240547162021141</v>
      </c>
      <c r="AF224" s="308">
        <f t="shared" si="184"/>
        <v>277.65342169465504</v>
      </c>
      <c r="AG224" s="306">
        <f t="shared" si="213"/>
        <v>419.36712721060945</v>
      </c>
      <c r="AH224" s="306">
        <f t="shared" si="185"/>
        <v>0</v>
      </c>
      <c r="AI224" s="306">
        <f t="shared" si="214"/>
        <v>4.3086235392401058</v>
      </c>
      <c r="AJ224" s="306">
        <f t="shared" si="215"/>
        <v>0</v>
      </c>
      <c r="AK224" s="306">
        <f t="shared" si="186"/>
        <v>0</v>
      </c>
      <c r="AL224" s="306">
        <f t="shared" si="216"/>
        <v>4.5240547162021141</v>
      </c>
      <c r="AM224" s="306">
        <f t="shared" si="187"/>
        <v>0</v>
      </c>
      <c r="AN224" s="304">
        <f>KcSplint!$N253</f>
        <v>1.0798306932166843</v>
      </c>
      <c r="AO224" s="304">
        <f t="shared" si="188"/>
        <v>1.0551154230400821</v>
      </c>
      <c r="AP224" s="304">
        <f t="shared" si="217"/>
        <v>1.0551154230400821</v>
      </c>
      <c r="AQ224" s="305">
        <f t="shared" si="218"/>
        <v>1.0551154230400821</v>
      </c>
      <c r="AR224" s="304">
        <f t="shared" si="219"/>
        <v>4.5460951483257803</v>
      </c>
      <c r="AS224" s="306">
        <f t="shared" si="189"/>
        <v>316.93984330782638</v>
      </c>
      <c r="AT224" s="307">
        <f t="shared" si="220"/>
        <v>4.5460951483257803</v>
      </c>
      <c r="AU224" s="307">
        <f t="shared" si="221"/>
        <v>316.93984330782638</v>
      </c>
      <c r="AV224" s="304">
        <f t="shared" si="190"/>
        <v>4.3086235392401058</v>
      </c>
      <c r="AW224" s="309">
        <f t="shared" si="191"/>
        <v>71.650300138942896</v>
      </c>
      <c r="AX224" s="306">
        <f>IF(ISERROR(Weather!M208),#N/A,Weather!M208)</f>
        <v>0.4</v>
      </c>
      <c r="AY224" s="310">
        <f t="shared" si="192"/>
        <v>16</v>
      </c>
      <c r="AZ224" s="309">
        <f t="shared" si="193"/>
        <v>0.30065886344530462</v>
      </c>
      <c r="BA224" s="309">
        <f t="shared" si="194"/>
        <v>141.44520474171526</v>
      </c>
      <c r="BB224" s="311">
        <f>Irrig!H226</f>
        <v>0</v>
      </c>
      <c r="BC224" s="310">
        <f t="shared" si="195"/>
        <v>31</v>
      </c>
      <c r="BD224" s="309">
        <f t="shared" si="196"/>
        <v>0.21167178912724011</v>
      </c>
      <c r="BE224" s="309">
        <f t="shared" si="197"/>
        <v>0.21167178912724011</v>
      </c>
      <c r="BF224" s="306">
        <f>DailyMet!H207</f>
        <v>24.07</v>
      </c>
      <c r="BG224" s="306">
        <f>DailyMet!I207</f>
        <v>18.399999999999999</v>
      </c>
      <c r="BH224" s="306">
        <f t="shared" si="198"/>
        <v>24.07</v>
      </c>
      <c r="BI224" s="306">
        <f t="shared" si="199"/>
        <v>18.399999999999999</v>
      </c>
      <c r="BJ224" s="306">
        <f t="shared" si="200"/>
        <v>11.234999999999999</v>
      </c>
      <c r="BK224" s="306">
        <f t="shared" si="169"/>
        <v>762.62000000000023</v>
      </c>
      <c r="BL224" s="304">
        <f t="shared" si="201"/>
        <v>0</v>
      </c>
      <c r="BM224" s="304">
        <f t="shared" si="202"/>
        <v>11.234999999999999</v>
      </c>
      <c r="BN224" s="304">
        <f t="shared" si="223"/>
        <v>11.234999999999999</v>
      </c>
      <c r="BO224" s="306">
        <f t="shared" si="224"/>
        <v>747.14923607665571</v>
      </c>
      <c r="BP224" s="306"/>
    </row>
    <row r="225" spans="1:68">
      <c r="A225" s="299">
        <f t="shared" si="170"/>
        <v>3</v>
      </c>
      <c r="B225" s="300">
        <f t="shared" si="171"/>
        <v>38190</v>
      </c>
      <c r="C225" s="301" t="e">
        <f t="shared" si="203"/>
        <v>#N/A</v>
      </c>
      <c r="D225" s="301" t="e">
        <f t="shared" si="172"/>
        <v>#N/A</v>
      </c>
      <c r="E225" s="299">
        <f t="shared" si="173"/>
        <v>204</v>
      </c>
      <c r="F225" s="396">
        <f>Weather!M209</f>
        <v>0</v>
      </c>
      <c r="G225" s="301">
        <f>IF(Weather!C209="","",Weather!C209)</f>
        <v>4.3482593815861117</v>
      </c>
      <c r="H225" s="301">
        <f>IF(Weather!D209="","",Weather!D209)</f>
        <v>3.9753833592271319</v>
      </c>
      <c r="I225" s="502">
        <f>IF(Weather!E209="","",Weather!E209)</f>
        <v>3.9753833592271319</v>
      </c>
      <c r="J225" s="397">
        <f>IF(RnSplint!N253&lt;0,0,RnSplint!N253)</f>
        <v>33.778377682202681</v>
      </c>
      <c r="K225" s="302">
        <f t="shared" si="204"/>
        <v>1.0500000000000007</v>
      </c>
      <c r="L225" s="303">
        <f t="shared" si="205"/>
        <v>38190</v>
      </c>
      <c r="M225" s="346" t="str">
        <f t="shared" si="174"/>
        <v/>
      </c>
      <c r="N225" s="304">
        <f t="shared" si="206"/>
        <v>1.0500000000000007</v>
      </c>
      <c r="O225" s="304">
        <f t="shared" si="207"/>
        <v>0</v>
      </c>
      <c r="P225" s="304">
        <f t="shared" si="175"/>
        <v>1.0500000000000007</v>
      </c>
      <c r="Q225" s="304">
        <f t="shared" si="176"/>
        <v>0.29239715402664801</v>
      </c>
      <c r="R225" s="304">
        <f t="shared" si="177"/>
        <v>1.0500000000000007</v>
      </c>
      <c r="S225" s="305">
        <f t="shared" si="208"/>
        <v>1.0500000000000007</v>
      </c>
      <c r="T225" s="304">
        <f t="shared" si="178"/>
        <v>0.20866592935669007</v>
      </c>
      <c r="U225" s="304">
        <f t="shared" si="222"/>
        <v>1.0500000000000007</v>
      </c>
      <c r="V225" s="305">
        <f t="shared" si="179"/>
        <v>1.0500000000000007</v>
      </c>
      <c r="W225" s="305">
        <f t="shared" si="209"/>
        <v>1.0500000000000007</v>
      </c>
      <c r="X225" s="304">
        <f t="shared" si="210"/>
        <v>1.0500000000000007</v>
      </c>
      <c r="Z225" s="304" t="str">
        <f t="shared" si="180"/>
        <v/>
      </c>
      <c r="AA225" s="305">
        <f t="shared" si="181"/>
        <v>1.0500000000000007</v>
      </c>
      <c r="AB225" s="304">
        <f t="shared" si="182"/>
        <v>4.1741525271884914</v>
      </c>
      <c r="AC225" s="304" t="str">
        <f t="shared" si="211"/>
        <v/>
      </c>
      <c r="AD225" s="306">
        <f t="shared" si="183"/>
        <v>281.82757422184352</v>
      </c>
      <c r="AE225" s="307">
        <f t="shared" si="212"/>
        <v>4.1741525271884914</v>
      </c>
      <c r="AF225" s="308">
        <f t="shared" si="184"/>
        <v>281.82757422184352</v>
      </c>
      <c r="AG225" s="306">
        <f t="shared" si="213"/>
        <v>423.34251056983658</v>
      </c>
      <c r="AH225" s="306">
        <f t="shared" si="185"/>
        <v>0</v>
      </c>
      <c r="AI225" s="306">
        <f t="shared" si="214"/>
        <v>3.9753833592271319</v>
      </c>
      <c r="AJ225" s="306">
        <f t="shared" si="215"/>
        <v>0</v>
      </c>
      <c r="AK225" s="306">
        <f t="shared" si="186"/>
        <v>0</v>
      </c>
      <c r="AL225" s="306">
        <f t="shared" si="216"/>
        <v>4.1741525271884914</v>
      </c>
      <c r="AM225" s="306">
        <f t="shared" si="187"/>
        <v>0</v>
      </c>
      <c r="AN225" s="304">
        <f>KcSplint!$N254</f>
        <v>1.0816380318370868</v>
      </c>
      <c r="AO225" s="304">
        <f t="shared" si="188"/>
        <v>1.0551154230400821</v>
      </c>
      <c r="AP225" s="304">
        <f t="shared" si="217"/>
        <v>1.0551154230400821</v>
      </c>
      <c r="AQ225" s="305">
        <f t="shared" si="218"/>
        <v>1.0551154230400821</v>
      </c>
      <c r="AR225" s="304">
        <f t="shared" si="219"/>
        <v>4.1944882948174378</v>
      </c>
      <c r="AS225" s="306">
        <f t="shared" si="189"/>
        <v>321.13433160264384</v>
      </c>
      <c r="AT225" s="307">
        <f t="shared" si="220"/>
        <v>4.1944882948174378</v>
      </c>
      <c r="AU225" s="307">
        <f t="shared" si="221"/>
        <v>321.13433160264384</v>
      </c>
      <c r="AV225" s="304">
        <f t="shared" si="190"/>
        <v>3.9753833592271319</v>
      </c>
      <c r="AW225" s="309">
        <f t="shared" si="191"/>
        <v>75.625683498170034</v>
      </c>
      <c r="AX225" s="306">
        <f>IF(ISERROR(Weather!M209),#N/A,Weather!M209)</f>
        <v>0</v>
      </c>
      <c r="AY225" s="310">
        <f t="shared" si="192"/>
        <v>17</v>
      </c>
      <c r="AZ225" s="309">
        <f t="shared" si="193"/>
        <v>0.29239715402664801</v>
      </c>
      <c r="BA225" s="309">
        <f t="shared" si="194"/>
        <v>145.42058810094238</v>
      </c>
      <c r="BB225" s="311">
        <f>Irrig!H227</f>
        <v>0</v>
      </c>
      <c r="BC225" s="310">
        <f t="shared" si="195"/>
        <v>32</v>
      </c>
      <c r="BD225" s="309">
        <f t="shared" si="196"/>
        <v>0.20866592935669007</v>
      </c>
      <c r="BE225" s="309">
        <f t="shared" si="197"/>
        <v>0.20866592935669007</v>
      </c>
      <c r="BF225" s="306">
        <f>DailyMet!H208</f>
        <v>21.76</v>
      </c>
      <c r="BG225" s="306">
        <f>DailyMet!I208</f>
        <v>15.3</v>
      </c>
      <c r="BH225" s="306">
        <f t="shared" si="198"/>
        <v>21.76</v>
      </c>
      <c r="BI225" s="306">
        <f t="shared" si="199"/>
        <v>15.3</v>
      </c>
      <c r="BJ225" s="306">
        <f t="shared" si="200"/>
        <v>8.5300000000000011</v>
      </c>
      <c r="BK225" s="306">
        <f t="shared" si="169"/>
        <v>771.1500000000002</v>
      </c>
      <c r="BL225" s="304">
        <f t="shared" si="201"/>
        <v>0</v>
      </c>
      <c r="BM225" s="304">
        <f t="shared" si="202"/>
        <v>8.5300000000000011</v>
      </c>
      <c r="BN225" s="304">
        <f t="shared" si="223"/>
        <v>8.5300000000000011</v>
      </c>
      <c r="BO225" s="306">
        <f t="shared" si="224"/>
        <v>755.67923607665568</v>
      </c>
      <c r="BP225" s="306"/>
    </row>
    <row r="226" spans="1:68">
      <c r="A226" s="299">
        <f t="shared" si="170"/>
        <v>3</v>
      </c>
      <c r="B226" s="300">
        <f t="shared" si="171"/>
        <v>38191</v>
      </c>
      <c r="C226" s="301" t="e">
        <f t="shared" si="203"/>
        <v>#N/A</v>
      </c>
      <c r="D226" s="301" t="e">
        <f t="shared" si="172"/>
        <v>#N/A</v>
      </c>
      <c r="E226" s="299">
        <f t="shared" si="173"/>
        <v>205</v>
      </c>
      <c r="F226" s="396">
        <f>Weather!M210</f>
        <v>0.2</v>
      </c>
      <c r="G226" s="301">
        <f>IF(Weather!C210="","",Weather!C210)</f>
        <v>4.3343943862690368</v>
      </c>
      <c r="H226" s="301">
        <f>IF(Weather!D210="","",Weather!D210)</f>
        <v>4.0457230402672915</v>
      </c>
      <c r="I226" s="502">
        <f>IF(Weather!E210="","",Weather!E210)</f>
        <v>4.0457230402672915</v>
      </c>
      <c r="J226" s="397">
        <f>IF(RnSplint!N254&lt;0,0,RnSplint!N254)</f>
        <v>34.078460727310144</v>
      </c>
      <c r="K226" s="302">
        <f t="shared" si="204"/>
        <v>1.0500000000000007</v>
      </c>
      <c r="L226" s="303">
        <f t="shared" si="205"/>
        <v>38191</v>
      </c>
      <c r="M226" s="346" t="str">
        <f t="shared" si="174"/>
        <v/>
      </c>
      <c r="N226" s="304">
        <f t="shared" si="206"/>
        <v>1.0500000000000007</v>
      </c>
      <c r="O226" s="304">
        <f t="shared" si="207"/>
        <v>0</v>
      </c>
      <c r="P226" s="304">
        <f t="shared" si="175"/>
        <v>1.0500000000000007</v>
      </c>
      <c r="Q226" s="304">
        <f t="shared" si="176"/>
        <v>0.28463901291549959</v>
      </c>
      <c r="R226" s="304">
        <f t="shared" si="177"/>
        <v>1.0500000000000007</v>
      </c>
      <c r="S226" s="305">
        <f t="shared" si="208"/>
        <v>1.0500000000000007</v>
      </c>
      <c r="T226" s="304">
        <f t="shared" si="178"/>
        <v>0.20573214562671588</v>
      </c>
      <c r="U226" s="304">
        <f t="shared" si="222"/>
        <v>1.0500000000000007</v>
      </c>
      <c r="V226" s="305">
        <f t="shared" si="179"/>
        <v>1.0500000000000007</v>
      </c>
      <c r="W226" s="305">
        <f t="shared" si="209"/>
        <v>1.0500000000000007</v>
      </c>
      <c r="X226" s="304">
        <f t="shared" si="210"/>
        <v>1.0500000000000007</v>
      </c>
      <c r="Z226" s="304" t="str">
        <f t="shared" si="180"/>
        <v/>
      </c>
      <c r="AA226" s="305">
        <f t="shared" si="181"/>
        <v>1.0500000000000007</v>
      </c>
      <c r="AB226" s="304">
        <f t="shared" si="182"/>
        <v>4.2480091922806587</v>
      </c>
      <c r="AC226" s="304" t="str">
        <f t="shared" si="211"/>
        <v/>
      </c>
      <c r="AD226" s="306">
        <f t="shared" si="183"/>
        <v>286.0755834141242</v>
      </c>
      <c r="AE226" s="307">
        <f t="shared" si="212"/>
        <v>4.2480091922806587</v>
      </c>
      <c r="AF226" s="308">
        <f t="shared" si="184"/>
        <v>286.0755834141242</v>
      </c>
      <c r="AG226" s="306">
        <f t="shared" si="213"/>
        <v>427.3882336101039</v>
      </c>
      <c r="AH226" s="306">
        <f t="shared" si="185"/>
        <v>0</v>
      </c>
      <c r="AI226" s="306">
        <f t="shared" si="214"/>
        <v>4.0457230402672915</v>
      </c>
      <c r="AJ226" s="306">
        <f t="shared" si="215"/>
        <v>0</v>
      </c>
      <c r="AK226" s="306">
        <f t="shared" si="186"/>
        <v>0</v>
      </c>
      <c r="AL226" s="306">
        <f t="shared" si="216"/>
        <v>4.2480091922806587</v>
      </c>
      <c r="AM226" s="306">
        <f t="shared" si="187"/>
        <v>0</v>
      </c>
      <c r="AN226" s="304">
        <f>KcSplint!$N255</f>
        <v>1.0830287540638066</v>
      </c>
      <c r="AO226" s="304">
        <f t="shared" si="188"/>
        <v>1.0551154230400821</v>
      </c>
      <c r="AP226" s="304">
        <f t="shared" si="217"/>
        <v>1.0551154230400821</v>
      </c>
      <c r="AQ226" s="305">
        <f t="shared" si="218"/>
        <v>1.0551154230400821</v>
      </c>
      <c r="AR226" s="304">
        <f t="shared" si="219"/>
        <v>4.26870477713463</v>
      </c>
      <c r="AS226" s="306">
        <f t="shared" si="189"/>
        <v>325.40303637977848</v>
      </c>
      <c r="AT226" s="307">
        <f t="shared" si="220"/>
        <v>4.26870477713463</v>
      </c>
      <c r="AU226" s="307">
        <f t="shared" si="221"/>
        <v>325.40303637977848</v>
      </c>
      <c r="AV226" s="304">
        <f t="shared" si="190"/>
        <v>4.0457230402672915</v>
      </c>
      <c r="AW226" s="309">
        <f t="shared" si="191"/>
        <v>79.671406538437324</v>
      </c>
      <c r="AX226" s="306">
        <f>IF(ISERROR(Weather!M210),#N/A,Weather!M210)</f>
        <v>0.2</v>
      </c>
      <c r="AY226" s="310">
        <f t="shared" si="192"/>
        <v>18</v>
      </c>
      <c r="AZ226" s="309">
        <f t="shared" si="193"/>
        <v>0.28463901291549959</v>
      </c>
      <c r="BA226" s="309">
        <f t="shared" si="194"/>
        <v>149.46631114120967</v>
      </c>
      <c r="BB226" s="311">
        <f>Irrig!H228</f>
        <v>0</v>
      </c>
      <c r="BC226" s="310">
        <f t="shared" si="195"/>
        <v>33</v>
      </c>
      <c r="BD226" s="309">
        <f t="shared" si="196"/>
        <v>0.20573214562671588</v>
      </c>
      <c r="BE226" s="309">
        <f t="shared" si="197"/>
        <v>0.20573214562671588</v>
      </c>
      <c r="BF226" s="306">
        <f>DailyMet!H209</f>
        <v>21.95</v>
      </c>
      <c r="BG226" s="306">
        <f>DailyMet!I209</f>
        <v>16.7</v>
      </c>
      <c r="BH226" s="306">
        <f t="shared" si="198"/>
        <v>21.95</v>
      </c>
      <c r="BI226" s="306">
        <f t="shared" si="199"/>
        <v>16.7</v>
      </c>
      <c r="BJ226" s="306">
        <f t="shared" si="200"/>
        <v>9.3249999999999993</v>
      </c>
      <c r="BK226" s="306">
        <f t="shared" si="169"/>
        <v>780.47500000000025</v>
      </c>
      <c r="BL226" s="304">
        <f t="shared" si="201"/>
        <v>0</v>
      </c>
      <c r="BM226" s="304">
        <f t="shared" si="202"/>
        <v>9.3249999999999993</v>
      </c>
      <c r="BN226" s="304">
        <f t="shared" si="223"/>
        <v>9.3249999999999993</v>
      </c>
      <c r="BO226" s="306">
        <f t="shared" si="224"/>
        <v>765.00423607665573</v>
      </c>
      <c r="BP226" s="306"/>
    </row>
    <row r="227" spans="1:68">
      <c r="A227" s="299">
        <f t="shared" si="170"/>
        <v>3</v>
      </c>
      <c r="B227" s="300">
        <f t="shared" si="171"/>
        <v>38192</v>
      </c>
      <c r="C227" s="301" t="e">
        <f t="shared" si="203"/>
        <v>#N/A</v>
      </c>
      <c r="D227" s="301" t="e">
        <f t="shared" si="172"/>
        <v>#N/A</v>
      </c>
      <c r="E227" s="299">
        <f t="shared" si="173"/>
        <v>206</v>
      </c>
      <c r="F227" s="396">
        <f>Weather!M211</f>
        <v>0</v>
      </c>
      <c r="G227" s="301">
        <f>IF(Weather!C211="","",Weather!C211)</f>
        <v>4.3196244317172692</v>
      </c>
      <c r="H227" s="301">
        <f>IF(Weather!D211="","",Weather!D211)</f>
        <v>4.087687667829055</v>
      </c>
      <c r="I227" s="502">
        <f>IF(Weather!E211="","",Weather!E211)</f>
        <v>4.087687667829055</v>
      </c>
      <c r="J227" s="397">
        <f>IF(RnSplint!N255&lt;0,0,RnSplint!N255)</f>
        <v>34.335151636320262</v>
      </c>
      <c r="K227" s="302">
        <f t="shared" si="204"/>
        <v>1.0500000000000007</v>
      </c>
      <c r="L227" s="303">
        <f t="shared" si="205"/>
        <v>38192</v>
      </c>
      <c r="M227" s="346" t="str">
        <f t="shared" si="174"/>
        <v/>
      </c>
      <c r="N227" s="304">
        <f t="shared" si="206"/>
        <v>1.0500000000000007</v>
      </c>
      <c r="O227" s="304">
        <f t="shared" si="207"/>
        <v>0</v>
      </c>
      <c r="P227" s="304">
        <f t="shared" si="175"/>
        <v>1.0500000000000007</v>
      </c>
      <c r="Q227" s="304">
        <f t="shared" si="176"/>
        <v>0.27738438476279165</v>
      </c>
      <c r="R227" s="304">
        <f t="shared" si="177"/>
        <v>1.0500000000000007</v>
      </c>
      <c r="S227" s="305">
        <f t="shared" si="208"/>
        <v>1.0500000000000007</v>
      </c>
      <c r="T227" s="304">
        <f t="shared" si="178"/>
        <v>1.2</v>
      </c>
      <c r="U227" s="304">
        <f t="shared" si="222"/>
        <v>1.2</v>
      </c>
      <c r="V227" s="305">
        <f t="shared" si="179"/>
        <v>1.2</v>
      </c>
      <c r="W227" s="305">
        <f t="shared" si="209"/>
        <v>1.0500000000000007</v>
      </c>
      <c r="X227" s="304">
        <f t="shared" si="210"/>
        <v>1.2</v>
      </c>
      <c r="Z227" s="304" t="str">
        <f t="shared" si="180"/>
        <v/>
      </c>
      <c r="AA227" s="305">
        <f t="shared" si="181"/>
        <v>1.2</v>
      </c>
      <c r="AB227" s="304">
        <f t="shared" si="182"/>
        <v>4.9052252013948658</v>
      </c>
      <c r="AC227" s="304" t="str">
        <f t="shared" si="211"/>
        <v/>
      </c>
      <c r="AD227" s="306">
        <f t="shared" si="183"/>
        <v>290.98080861551904</v>
      </c>
      <c r="AE227" s="307">
        <f t="shared" si="212"/>
        <v>4.9052252013948658</v>
      </c>
      <c r="AF227" s="308">
        <f t="shared" si="184"/>
        <v>290.98080861551904</v>
      </c>
      <c r="AG227" s="306">
        <f t="shared" si="213"/>
        <v>431.47592127793297</v>
      </c>
      <c r="AH227" s="306">
        <f t="shared" si="185"/>
        <v>0</v>
      </c>
      <c r="AI227" s="306">
        <f t="shared" si="214"/>
        <v>4.087687667829055</v>
      </c>
      <c r="AJ227" s="306">
        <f t="shared" si="215"/>
        <v>0</v>
      </c>
      <c r="AK227" s="306">
        <f t="shared" si="186"/>
        <v>0</v>
      </c>
      <c r="AL227" s="306">
        <f t="shared" si="216"/>
        <v>4.9052252013948658</v>
      </c>
      <c r="AM227" s="306">
        <f t="shared" si="187"/>
        <v>0</v>
      </c>
      <c r="AN227" s="304">
        <f>KcSplint!$N256</f>
        <v>1.0840128652159884</v>
      </c>
      <c r="AO227" s="304">
        <f t="shared" si="188"/>
        <v>1.0551154230400821</v>
      </c>
      <c r="AP227" s="304">
        <f t="shared" si="217"/>
        <v>1.0551154230400821</v>
      </c>
      <c r="AQ227" s="305">
        <f t="shared" si="218"/>
        <v>1.0551154230400821</v>
      </c>
      <c r="AR227" s="304">
        <f t="shared" si="219"/>
        <v>4.3129823028971801</v>
      </c>
      <c r="AS227" s="306">
        <f t="shared" si="189"/>
        <v>329.71601868267567</v>
      </c>
      <c r="AT227" s="307">
        <f t="shared" si="220"/>
        <v>4.3129823028971801</v>
      </c>
      <c r="AU227" s="307">
        <f t="shared" si="221"/>
        <v>329.71601868267567</v>
      </c>
      <c r="AV227" s="304">
        <f t="shared" si="190"/>
        <v>4.087687667829055</v>
      </c>
      <c r="AW227" s="309">
        <f t="shared" si="191"/>
        <v>83.759094206266383</v>
      </c>
      <c r="AX227" s="306">
        <f>IF(ISERROR(Weather!M211),#N/A,Weather!M211)</f>
        <v>0</v>
      </c>
      <c r="AY227" s="310">
        <f t="shared" si="192"/>
        <v>19</v>
      </c>
      <c r="AZ227" s="309">
        <f t="shared" si="193"/>
        <v>0.27738438476279165</v>
      </c>
      <c r="BA227" s="309">
        <f t="shared" si="194"/>
        <v>4.087687667829055</v>
      </c>
      <c r="BB227" s="311">
        <f>Irrig!H229</f>
        <v>120</v>
      </c>
      <c r="BC227" s="310">
        <f t="shared" si="195"/>
        <v>1</v>
      </c>
      <c r="BD227" s="309">
        <f t="shared" si="196"/>
        <v>1.2</v>
      </c>
      <c r="BE227" s="309">
        <f t="shared" si="197"/>
        <v>1.2</v>
      </c>
      <c r="BF227" s="306">
        <f>DailyMet!H210</f>
        <v>23.57</v>
      </c>
      <c r="BG227" s="306">
        <f>DailyMet!I210</f>
        <v>16.100000000000001</v>
      </c>
      <c r="BH227" s="306">
        <f t="shared" si="198"/>
        <v>23.57</v>
      </c>
      <c r="BI227" s="306">
        <f t="shared" si="199"/>
        <v>16.100000000000001</v>
      </c>
      <c r="BJ227" s="306">
        <f t="shared" si="200"/>
        <v>9.8350000000000009</v>
      </c>
      <c r="BK227" s="306">
        <f t="shared" si="169"/>
        <v>790.31000000000029</v>
      </c>
      <c r="BL227" s="304">
        <f t="shared" si="201"/>
        <v>0</v>
      </c>
      <c r="BM227" s="304">
        <f t="shared" si="202"/>
        <v>9.8350000000000009</v>
      </c>
      <c r="BN227" s="304">
        <f t="shared" si="223"/>
        <v>9.8350000000000009</v>
      </c>
      <c r="BO227" s="306">
        <f t="shared" si="224"/>
        <v>774.83923607665577</v>
      </c>
      <c r="BP227" s="306"/>
    </row>
    <row r="228" spans="1:68">
      <c r="A228" s="299">
        <f t="shared" si="170"/>
        <v>3</v>
      </c>
      <c r="B228" s="300">
        <f t="shared" si="171"/>
        <v>38193</v>
      </c>
      <c r="C228" s="301" t="e">
        <f t="shared" si="203"/>
        <v>#N/A</v>
      </c>
      <c r="D228" s="301" t="e">
        <f t="shared" si="172"/>
        <v>#N/A</v>
      </c>
      <c r="E228" s="299">
        <f t="shared" si="173"/>
        <v>207</v>
      </c>
      <c r="F228" s="396">
        <f>Weather!M212</f>
        <v>0</v>
      </c>
      <c r="G228" s="301">
        <f>IF(Weather!C212="","",Weather!C212)</f>
        <v>4.3039186285067119</v>
      </c>
      <c r="H228" s="301">
        <f>IF(Weather!D212="","",Weather!D212)</f>
        <v>3.7454392842547892</v>
      </c>
      <c r="I228" s="502">
        <f>IF(Weather!E212="","",Weather!E212)</f>
        <v>3.7454392842547892</v>
      </c>
      <c r="J228" s="397">
        <f>IF(RnSplint!N256&lt;0,0,RnSplint!N256)</f>
        <v>34.549640490545784</v>
      </c>
      <c r="K228" s="302">
        <f t="shared" si="204"/>
        <v>1.0500000000000007</v>
      </c>
      <c r="L228" s="303">
        <f t="shared" si="205"/>
        <v>38193</v>
      </c>
      <c r="M228" s="346" t="str">
        <f t="shared" si="174"/>
        <v/>
      </c>
      <c r="N228" s="304">
        <f t="shared" si="206"/>
        <v>1.0500000000000007</v>
      </c>
      <c r="O228" s="304">
        <f t="shared" si="207"/>
        <v>0</v>
      </c>
      <c r="P228" s="304">
        <f t="shared" si="175"/>
        <v>1.0500000000000007</v>
      </c>
      <c r="Q228" s="304">
        <f t="shared" si="176"/>
        <v>0.27119316576660024</v>
      </c>
      <c r="R228" s="304">
        <f t="shared" si="177"/>
        <v>1.0500000000000007</v>
      </c>
      <c r="S228" s="305">
        <f t="shared" si="208"/>
        <v>1.0500000000000007</v>
      </c>
      <c r="T228" s="304">
        <f t="shared" si="178"/>
        <v>0.94209773865843804</v>
      </c>
      <c r="U228" s="304">
        <f t="shared" si="222"/>
        <v>1.0500000000000007</v>
      </c>
      <c r="V228" s="305">
        <f t="shared" si="179"/>
        <v>1.0500000000000007</v>
      </c>
      <c r="W228" s="305">
        <f t="shared" si="209"/>
        <v>1.0500000000000007</v>
      </c>
      <c r="X228" s="304">
        <f t="shared" si="210"/>
        <v>1.0500000000000007</v>
      </c>
      <c r="Z228" s="304" t="str">
        <f t="shared" si="180"/>
        <v/>
      </c>
      <c r="AA228" s="305">
        <f t="shared" si="181"/>
        <v>1.0500000000000007</v>
      </c>
      <c r="AB228" s="304">
        <f t="shared" si="182"/>
        <v>3.9327112484675313</v>
      </c>
      <c r="AC228" s="304" t="str">
        <f t="shared" si="211"/>
        <v/>
      </c>
      <c r="AD228" s="306">
        <f t="shared" si="183"/>
        <v>294.91351986398655</v>
      </c>
      <c r="AE228" s="307">
        <f t="shared" si="212"/>
        <v>3.9327112484675313</v>
      </c>
      <c r="AF228" s="308">
        <f t="shared" si="184"/>
        <v>294.91351986398655</v>
      </c>
      <c r="AG228" s="306">
        <f t="shared" si="213"/>
        <v>435.22136056218778</v>
      </c>
      <c r="AH228" s="306">
        <f t="shared" si="185"/>
        <v>0</v>
      </c>
      <c r="AI228" s="306">
        <f t="shared" si="214"/>
        <v>3.7454392842547892</v>
      </c>
      <c r="AJ228" s="306">
        <f t="shared" si="215"/>
        <v>0</v>
      </c>
      <c r="AK228" s="306">
        <f t="shared" si="186"/>
        <v>0</v>
      </c>
      <c r="AL228" s="306">
        <f t="shared" si="216"/>
        <v>3.9327112484675313</v>
      </c>
      <c r="AM228" s="306">
        <f t="shared" si="187"/>
        <v>0</v>
      </c>
      <c r="AN228" s="304">
        <f>KcSplint!$N257</f>
        <v>1.084600370612776</v>
      </c>
      <c r="AO228" s="304">
        <f t="shared" si="188"/>
        <v>1.0551154230400821</v>
      </c>
      <c r="AP228" s="304">
        <f t="shared" si="217"/>
        <v>1.0551154230400821</v>
      </c>
      <c r="AQ228" s="305">
        <f t="shared" si="218"/>
        <v>1.0551154230400821</v>
      </c>
      <c r="AR228" s="304">
        <f t="shared" si="219"/>
        <v>3.9518707548774343</v>
      </c>
      <c r="AS228" s="306">
        <f t="shared" si="189"/>
        <v>333.66788943755313</v>
      </c>
      <c r="AT228" s="307">
        <f t="shared" si="220"/>
        <v>3.9518707548774343</v>
      </c>
      <c r="AU228" s="307">
        <f t="shared" si="221"/>
        <v>333.66788943755313</v>
      </c>
      <c r="AV228" s="304">
        <f t="shared" si="190"/>
        <v>3.7454392842547892</v>
      </c>
      <c r="AW228" s="309">
        <f t="shared" si="191"/>
        <v>87.504533490521169</v>
      </c>
      <c r="AX228" s="306">
        <f>IF(ISERROR(Weather!M212),#N/A,Weather!M212)</f>
        <v>0</v>
      </c>
      <c r="AY228" s="310">
        <f t="shared" si="192"/>
        <v>20</v>
      </c>
      <c r="AZ228" s="309">
        <f t="shared" si="193"/>
        <v>0.27119316576660024</v>
      </c>
      <c r="BA228" s="309">
        <f t="shared" si="194"/>
        <v>7.8331269520838447</v>
      </c>
      <c r="BB228" s="311">
        <f>Irrig!H230</f>
        <v>0</v>
      </c>
      <c r="BC228" s="310">
        <f t="shared" si="195"/>
        <v>2</v>
      </c>
      <c r="BD228" s="309">
        <f t="shared" si="196"/>
        <v>0.94209773865843804</v>
      </c>
      <c r="BE228" s="309">
        <f t="shared" si="197"/>
        <v>0.94209773865843804</v>
      </c>
      <c r="BF228" s="306">
        <f>DailyMet!H211</f>
        <v>25.6</v>
      </c>
      <c r="BG228" s="306">
        <f>DailyMet!I211</f>
        <v>17.7</v>
      </c>
      <c r="BH228" s="306">
        <f t="shared" si="198"/>
        <v>25.6</v>
      </c>
      <c r="BI228" s="306">
        <f t="shared" si="199"/>
        <v>17.7</v>
      </c>
      <c r="BJ228" s="306">
        <f t="shared" si="200"/>
        <v>11.649999999999999</v>
      </c>
      <c r="BK228" s="306">
        <f t="shared" si="169"/>
        <v>801.96000000000026</v>
      </c>
      <c r="BL228" s="304">
        <f t="shared" si="201"/>
        <v>0</v>
      </c>
      <c r="BM228" s="304">
        <f t="shared" si="202"/>
        <v>11.649999999999999</v>
      </c>
      <c r="BN228" s="304">
        <f t="shared" si="223"/>
        <v>11.649999999999999</v>
      </c>
      <c r="BO228" s="306">
        <f t="shared" si="224"/>
        <v>786.48923607665574</v>
      </c>
      <c r="BP228" s="306"/>
    </row>
    <row r="229" spans="1:68">
      <c r="A229" s="299">
        <f t="shared" si="170"/>
        <v>3</v>
      </c>
      <c r="B229" s="300">
        <f t="shared" si="171"/>
        <v>38194</v>
      </c>
      <c r="C229" s="301" t="e">
        <f t="shared" si="203"/>
        <v>#N/A</v>
      </c>
      <c r="D229" s="301" t="e">
        <f t="shared" si="172"/>
        <v>#N/A</v>
      </c>
      <c r="E229" s="299">
        <f t="shared" si="173"/>
        <v>208</v>
      </c>
      <c r="F229" s="396">
        <f>Weather!M213</f>
        <v>0</v>
      </c>
      <c r="G229" s="301">
        <f>IF(Weather!C213="","",Weather!C213)</f>
        <v>4.2872460872132701</v>
      </c>
      <c r="H229" s="301">
        <f>IF(Weather!D213="","",Weather!D213)</f>
        <v>4.4864865244293437</v>
      </c>
      <c r="I229" s="502">
        <f>IF(Weather!E213="","",Weather!E213)</f>
        <v>4.4864865244293437</v>
      </c>
      <c r="J229" s="397">
        <f>IF(RnSplint!N257&lt;0,0,RnSplint!N257)</f>
        <v>34.723117371299452</v>
      </c>
      <c r="K229" s="302">
        <f t="shared" si="204"/>
        <v>1.0500000000000007</v>
      </c>
      <c r="L229" s="303">
        <f t="shared" si="205"/>
        <v>38194</v>
      </c>
      <c r="M229" s="346" t="str">
        <f t="shared" si="174"/>
        <v/>
      </c>
      <c r="N229" s="304">
        <f t="shared" si="206"/>
        <v>1.0500000000000007</v>
      </c>
      <c r="O229" s="304">
        <f t="shared" si="207"/>
        <v>0</v>
      </c>
      <c r="P229" s="304">
        <f t="shared" si="175"/>
        <v>1.0500000000000007</v>
      </c>
      <c r="Q229" s="304">
        <f t="shared" si="176"/>
        <v>0.26428582020730629</v>
      </c>
      <c r="R229" s="304">
        <f t="shared" si="177"/>
        <v>1.0500000000000007</v>
      </c>
      <c r="S229" s="305">
        <f t="shared" si="208"/>
        <v>1.0500000000000007</v>
      </c>
      <c r="T229" s="304">
        <f t="shared" si="178"/>
        <v>0.7457931879182117</v>
      </c>
      <c r="U229" s="304">
        <f t="shared" si="222"/>
        <v>1.0500000000000007</v>
      </c>
      <c r="V229" s="305">
        <f t="shared" si="179"/>
        <v>1.0500000000000007</v>
      </c>
      <c r="W229" s="305">
        <f t="shared" si="209"/>
        <v>1.0500000000000007</v>
      </c>
      <c r="X229" s="304">
        <f t="shared" si="210"/>
        <v>1.0500000000000007</v>
      </c>
      <c r="Z229" s="304" t="str">
        <f t="shared" si="180"/>
        <v/>
      </c>
      <c r="AA229" s="305">
        <f t="shared" si="181"/>
        <v>1.0500000000000007</v>
      </c>
      <c r="AB229" s="304">
        <f t="shared" si="182"/>
        <v>4.7108108506508142</v>
      </c>
      <c r="AC229" s="304" t="str">
        <f t="shared" si="211"/>
        <v/>
      </c>
      <c r="AD229" s="306">
        <f t="shared" si="183"/>
        <v>299.62433071463738</v>
      </c>
      <c r="AE229" s="307">
        <f t="shared" si="212"/>
        <v>4.7108108506508142</v>
      </c>
      <c r="AF229" s="308">
        <f t="shared" si="184"/>
        <v>299.62433071463738</v>
      </c>
      <c r="AG229" s="306">
        <f t="shared" si="213"/>
        <v>439.70784708661711</v>
      </c>
      <c r="AH229" s="306">
        <f t="shared" si="185"/>
        <v>0</v>
      </c>
      <c r="AI229" s="306">
        <f t="shared" si="214"/>
        <v>4.4864865244293437</v>
      </c>
      <c r="AJ229" s="306">
        <f t="shared" si="215"/>
        <v>0</v>
      </c>
      <c r="AK229" s="306">
        <f t="shared" si="186"/>
        <v>0</v>
      </c>
      <c r="AL229" s="306">
        <f t="shared" si="216"/>
        <v>4.7108108506508142</v>
      </c>
      <c r="AM229" s="306">
        <f t="shared" si="187"/>
        <v>0</v>
      </c>
      <c r="AN229" s="304">
        <f>KcSplint!$N258</f>
        <v>1.0848012755733152</v>
      </c>
      <c r="AO229" s="304">
        <f t="shared" si="188"/>
        <v>1.0551154230400821</v>
      </c>
      <c r="AP229" s="304">
        <f t="shared" si="217"/>
        <v>1.0551154230400821</v>
      </c>
      <c r="AQ229" s="305">
        <f t="shared" si="218"/>
        <v>1.0551154230400821</v>
      </c>
      <c r="AR229" s="304">
        <f t="shared" si="219"/>
        <v>4.7337611271868942</v>
      </c>
      <c r="AS229" s="306">
        <f t="shared" si="189"/>
        <v>338.40165056474001</v>
      </c>
      <c r="AT229" s="307">
        <f t="shared" si="220"/>
        <v>4.7337611271868942</v>
      </c>
      <c r="AU229" s="307">
        <f t="shared" si="221"/>
        <v>338.40165056474001</v>
      </c>
      <c r="AV229" s="304">
        <f t="shared" si="190"/>
        <v>4.4864865244293437</v>
      </c>
      <c r="AW229" s="309">
        <f t="shared" si="191"/>
        <v>91.991020014950507</v>
      </c>
      <c r="AX229" s="306">
        <f>IF(ISERROR(Weather!M213),#N/A,Weather!M213)</f>
        <v>0</v>
      </c>
      <c r="AY229" s="310">
        <f t="shared" si="192"/>
        <v>21</v>
      </c>
      <c r="AZ229" s="309">
        <f t="shared" si="193"/>
        <v>0.26428582020730629</v>
      </c>
      <c r="BA229" s="309">
        <f t="shared" si="194"/>
        <v>12.319613476513188</v>
      </c>
      <c r="BB229" s="311">
        <f>Irrig!H231</f>
        <v>0</v>
      </c>
      <c r="BC229" s="310">
        <f t="shared" si="195"/>
        <v>3</v>
      </c>
      <c r="BD229" s="309">
        <f t="shared" si="196"/>
        <v>0.7457931879182117</v>
      </c>
      <c r="BE229" s="309">
        <f t="shared" si="197"/>
        <v>0.7457931879182117</v>
      </c>
      <c r="BF229" s="306">
        <f>DailyMet!H212</f>
        <v>26.46</v>
      </c>
      <c r="BG229" s="306">
        <f>DailyMet!I212</f>
        <v>18</v>
      </c>
      <c r="BH229" s="306">
        <f t="shared" si="198"/>
        <v>26.46</v>
      </c>
      <c r="BI229" s="306">
        <f t="shared" si="199"/>
        <v>18</v>
      </c>
      <c r="BJ229" s="306">
        <f t="shared" si="200"/>
        <v>12.23</v>
      </c>
      <c r="BK229" s="306">
        <f t="shared" si="169"/>
        <v>814.19000000000028</v>
      </c>
      <c r="BL229" s="304">
        <f t="shared" si="201"/>
        <v>0</v>
      </c>
      <c r="BM229" s="304">
        <f t="shared" si="202"/>
        <v>12.23</v>
      </c>
      <c r="BN229" s="304">
        <f t="shared" si="223"/>
        <v>12.23</v>
      </c>
      <c r="BO229" s="306">
        <f t="shared" si="224"/>
        <v>798.71923607665576</v>
      </c>
      <c r="BP229" s="306"/>
    </row>
    <row r="230" spans="1:68">
      <c r="A230" s="299">
        <f t="shared" si="170"/>
        <v>3</v>
      </c>
      <c r="B230" s="300">
        <f t="shared" si="171"/>
        <v>38195</v>
      </c>
      <c r="C230" s="301" t="e">
        <f t="shared" si="203"/>
        <v>#N/A</v>
      </c>
      <c r="D230" s="301" t="e">
        <f t="shared" si="172"/>
        <v>#N/A</v>
      </c>
      <c r="E230" s="299">
        <f t="shared" si="173"/>
        <v>209</v>
      </c>
      <c r="F230" s="396">
        <f>Weather!M214</f>
        <v>0</v>
      </c>
      <c r="G230" s="301">
        <f>IF(Weather!C214="","",Weather!C214)</f>
        <v>4.2695759184128503</v>
      </c>
      <c r="H230" s="301">
        <f>IF(Weather!D214="","",Weather!D214)</f>
        <v>3.6827022385919621</v>
      </c>
      <c r="I230" s="502">
        <f>IF(Weather!E214="","",Weather!E214)</f>
        <v>3.6827022385919621</v>
      </c>
      <c r="J230" s="397">
        <f>IF(RnSplint!N258&lt;0,0,RnSplint!N258)</f>
        <v>34.856772359894009</v>
      </c>
      <c r="K230" s="302">
        <f t="shared" si="204"/>
        <v>1.0500000000000007</v>
      </c>
      <c r="L230" s="303">
        <f t="shared" si="205"/>
        <v>38195</v>
      </c>
      <c r="M230" s="346" t="str">
        <f t="shared" si="174"/>
        <v/>
      </c>
      <c r="N230" s="304">
        <f t="shared" si="206"/>
        <v>1.0500000000000007</v>
      </c>
      <c r="O230" s="304">
        <f t="shared" si="207"/>
        <v>0</v>
      </c>
      <c r="P230" s="304">
        <f t="shared" si="175"/>
        <v>1.0500000000000007</v>
      </c>
      <c r="Q230" s="304">
        <f t="shared" si="176"/>
        <v>0.25898671584316968</v>
      </c>
      <c r="R230" s="304">
        <f t="shared" si="177"/>
        <v>1.0500000000000007</v>
      </c>
      <c r="S230" s="305">
        <f t="shared" si="208"/>
        <v>1.0500000000000007</v>
      </c>
      <c r="T230" s="304">
        <f t="shared" si="178"/>
        <v>0.65164064370035668</v>
      </c>
      <c r="U230" s="304">
        <f t="shared" si="222"/>
        <v>1.0500000000000007</v>
      </c>
      <c r="V230" s="305">
        <f t="shared" si="179"/>
        <v>1.0500000000000007</v>
      </c>
      <c r="W230" s="305">
        <f t="shared" si="209"/>
        <v>1.0500000000000007</v>
      </c>
      <c r="X230" s="304">
        <f t="shared" si="210"/>
        <v>1.0500000000000007</v>
      </c>
      <c r="Z230" s="304" t="str">
        <f t="shared" si="180"/>
        <v/>
      </c>
      <c r="AA230" s="305">
        <f t="shared" si="181"/>
        <v>1.0500000000000007</v>
      </c>
      <c r="AB230" s="304">
        <f t="shared" si="182"/>
        <v>3.8668373505215627</v>
      </c>
      <c r="AC230" s="304" t="str">
        <f t="shared" si="211"/>
        <v/>
      </c>
      <c r="AD230" s="306">
        <f t="shared" si="183"/>
        <v>303.49116806515894</v>
      </c>
      <c r="AE230" s="307">
        <f t="shared" si="212"/>
        <v>3.8668373505215627</v>
      </c>
      <c r="AF230" s="308">
        <f t="shared" si="184"/>
        <v>303.49116806515894</v>
      </c>
      <c r="AG230" s="306">
        <f t="shared" si="213"/>
        <v>443.39054932520907</v>
      </c>
      <c r="AH230" s="306">
        <f t="shared" si="185"/>
        <v>0</v>
      </c>
      <c r="AI230" s="306">
        <f t="shared" si="214"/>
        <v>3.6827022385919621</v>
      </c>
      <c r="AJ230" s="306">
        <f t="shared" si="215"/>
        <v>0</v>
      </c>
      <c r="AK230" s="306">
        <f t="shared" si="186"/>
        <v>0</v>
      </c>
      <c r="AL230" s="306">
        <f t="shared" si="216"/>
        <v>3.8668373505215627</v>
      </c>
      <c r="AM230" s="306">
        <f t="shared" si="187"/>
        <v>0</v>
      </c>
      <c r="AN230" s="304">
        <f>KcSplint!$N259</f>
        <v>1.0846255854167497</v>
      </c>
      <c r="AO230" s="304">
        <f t="shared" si="188"/>
        <v>1.0551154230400821</v>
      </c>
      <c r="AP230" s="304">
        <f t="shared" si="217"/>
        <v>1.0551154230400821</v>
      </c>
      <c r="AQ230" s="305">
        <f t="shared" si="218"/>
        <v>1.0551154230400821</v>
      </c>
      <c r="AR230" s="304">
        <f t="shared" si="219"/>
        <v>3.8856759304026154</v>
      </c>
      <c r="AS230" s="306">
        <f t="shared" si="189"/>
        <v>342.28732649514262</v>
      </c>
      <c r="AT230" s="307">
        <f t="shared" si="220"/>
        <v>3.8856759304026154</v>
      </c>
      <c r="AU230" s="307">
        <f t="shared" si="221"/>
        <v>342.28732649514262</v>
      </c>
      <c r="AV230" s="304">
        <f t="shared" si="190"/>
        <v>3.6827022385919621</v>
      </c>
      <c r="AW230" s="309">
        <f t="shared" si="191"/>
        <v>95.673722253542465</v>
      </c>
      <c r="AX230" s="306">
        <f>IF(ISERROR(Weather!M214),#N/A,Weather!M214)</f>
        <v>0</v>
      </c>
      <c r="AY230" s="310">
        <f t="shared" si="192"/>
        <v>22</v>
      </c>
      <c r="AZ230" s="309">
        <f t="shared" si="193"/>
        <v>0.25898671584316968</v>
      </c>
      <c r="BA230" s="309">
        <f t="shared" si="194"/>
        <v>16.002315715105151</v>
      </c>
      <c r="BB230" s="311">
        <f>Irrig!H232</f>
        <v>0</v>
      </c>
      <c r="BC230" s="310">
        <f t="shared" si="195"/>
        <v>4</v>
      </c>
      <c r="BD230" s="309">
        <f t="shared" si="196"/>
        <v>0.65164064370035668</v>
      </c>
      <c r="BE230" s="309">
        <f t="shared" si="197"/>
        <v>0.65164064370035668</v>
      </c>
      <c r="BF230" s="306">
        <f>DailyMet!H213</f>
        <v>28.68</v>
      </c>
      <c r="BG230" s="306">
        <f>DailyMet!I213</f>
        <v>18.899999999999999</v>
      </c>
      <c r="BH230" s="306">
        <f t="shared" si="198"/>
        <v>28.68</v>
      </c>
      <c r="BI230" s="306">
        <f t="shared" si="199"/>
        <v>18.899999999999999</v>
      </c>
      <c r="BJ230" s="306">
        <f t="shared" si="200"/>
        <v>13.79</v>
      </c>
      <c r="BK230" s="306">
        <f t="shared" si="169"/>
        <v>827.98000000000025</v>
      </c>
      <c r="BL230" s="304">
        <f t="shared" si="201"/>
        <v>0</v>
      </c>
      <c r="BM230" s="304">
        <f t="shared" si="202"/>
        <v>13.79</v>
      </c>
      <c r="BN230" s="304">
        <f t="shared" si="223"/>
        <v>13.79</v>
      </c>
      <c r="BO230" s="306">
        <f t="shared" si="224"/>
        <v>812.50923607665572</v>
      </c>
      <c r="BP230" s="306"/>
    </row>
    <row r="231" spans="1:68">
      <c r="A231" s="299">
        <f t="shared" si="170"/>
        <v>3</v>
      </c>
      <c r="B231" s="300">
        <f t="shared" si="171"/>
        <v>38196</v>
      </c>
      <c r="C231" s="301" t="e">
        <f t="shared" si="203"/>
        <v>#N/A</v>
      </c>
      <c r="D231" s="301" t="e">
        <f t="shared" si="172"/>
        <v>#N/A</v>
      </c>
      <c r="E231" s="299">
        <f t="shared" si="173"/>
        <v>210</v>
      </c>
      <c r="F231" s="396">
        <f>Weather!M215</f>
        <v>0</v>
      </c>
      <c r="G231" s="301">
        <f>IF(Weather!C215="","",Weather!C215)</f>
        <v>4.2508772326813578</v>
      </c>
      <c r="H231" s="301">
        <f>IF(Weather!D215="","",Weather!D215)</f>
        <v>4.5469371783869423</v>
      </c>
      <c r="I231" s="502">
        <f>IF(Weather!E215="","",Weather!E215)</f>
        <v>4.5469371783869423</v>
      </c>
      <c r="J231" s="397">
        <f>IF(RnSplint!N259&lt;0,0,RnSplint!N259)</f>
        <v>34.951795537642205</v>
      </c>
      <c r="K231" s="302">
        <f t="shared" si="204"/>
        <v>1.0500000000000007</v>
      </c>
      <c r="L231" s="303">
        <f t="shared" si="205"/>
        <v>38196</v>
      </c>
      <c r="M231" s="346" t="str">
        <f t="shared" si="174"/>
        <v/>
      </c>
      <c r="N231" s="304">
        <f t="shared" si="206"/>
        <v>1.0500000000000007</v>
      </c>
      <c r="O231" s="304">
        <f t="shared" si="207"/>
        <v>0</v>
      </c>
      <c r="P231" s="304">
        <f t="shared" si="175"/>
        <v>1.0500000000000007</v>
      </c>
      <c r="Q231" s="304">
        <f t="shared" si="176"/>
        <v>0.25285559191667994</v>
      </c>
      <c r="R231" s="304">
        <f t="shared" si="177"/>
        <v>1.0500000000000007</v>
      </c>
      <c r="S231" s="305">
        <f t="shared" si="208"/>
        <v>1.0500000000000007</v>
      </c>
      <c r="T231" s="304">
        <f t="shared" si="178"/>
        <v>0.57274822450136964</v>
      </c>
      <c r="U231" s="304">
        <f t="shared" si="222"/>
        <v>1.0500000000000007</v>
      </c>
      <c r="V231" s="305">
        <f t="shared" si="179"/>
        <v>1.0500000000000007</v>
      </c>
      <c r="W231" s="305">
        <f t="shared" si="209"/>
        <v>1.0500000000000007</v>
      </c>
      <c r="X231" s="304">
        <f t="shared" si="210"/>
        <v>1.0500000000000007</v>
      </c>
      <c r="Z231" s="304" t="str">
        <f t="shared" si="180"/>
        <v/>
      </c>
      <c r="AA231" s="305">
        <f t="shared" si="181"/>
        <v>1.0500000000000007</v>
      </c>
      <c r="AB231" s="304">
        <f t="shared" si="182"/>
        <v>4.7742840373062929</v>
      </c>
      <c r="AC231" s="304" t="str">
        <f t="shared" si="211"/>
        <v/>
      </c>
      <c r="AD231" s="306">
        <f t="shared" si="183"/>
        <v>308.26545210246525</v>
      </c>
      <c r="AE231" s="307">
        <f t="shared" si="212"/>
        <v>4.7742840373062929</v>
      </c>
      <c r="AF231" s="308">
        <f t="shared" si="184"/>
        <v>308.26545210246525</v>
      </c>
      <c r="AG231" s="306">
        <f t="shared" si="213"/>
        <v>447.93748650359601</v>
      </c>
      <c r="AH231" s="306">
        <f t="shared" si="185"/>
        <v>0</v>
      </c>
      <c r="AI231" s="306">
        <f t="shared" si="214"/>
        <v>4.5469371783869423</v>
      </c>
      <c r="AJ231" s="306">
        <f t="shared" si="215"/>
        <v>0</v>
      </c>
      <c r="AK231" s="306">
        <f t="shared" si="186"/>
        <v>0</v>
      </c>
      <c r="AL231" s="306">
        <f t="shared" si="216"/>
        <v>4.7742840373062929</v>
      </c>
      <c r="AM231" s="306">
        <f t="shared" si="187"/>
        <v>0</v>
      </c>
      <c r="AN231" s="304">
        <f>KcSplint!$N260</f>
        <v>1.0840833054622241</v>
      </c>
      <c r="AO231" s="304">
        <f t="shared" si="188"/>
        <v>1.0551154230400821</v>
      </c>
      <c r="AP231" s="304">
        <f t="shared" si="217"/>
        <v>1.0551154230400821</v>
      </c>
      <c r="AQ231" s="305">
        <f t="shared" si="218"/>
        <v>1.0551154230400821</v>
      </c>
      <c r="AR231" s="304">
        <f t="shared" si="219"/>
        <v>4.7975435445104155</v>
      </c>
      <c r="AS231" s="306">
        <f t="shared" si="189"/>
        <v>347.08487003965303</v>
      </c>
      <c r="AT231" s="307">
        <f t="shared" si="220"/>
        <v>4.7975435445104155</v>
      </c>
      <c r="AU231" s="307">
        <f t="shared" si="221"/>
        <v>347.08487003965303</v>
      </c>
      <c r="AV231" s="304">
        <f t="shared" si="190"/>
        <v>4.5469371783869423</v>
      </c>
      <c r="AW231" s="309">
        <f t="shared" si="191"/>
        <v>100.22065943192941</v>
      </c>
      <c r="AX231" s="306">
        <f>IF(ISERROR(Weather!M215),#N/A,Weather!M215)</f>
        <v>0</v>
      </c>
      <c r="AY231" s="310">
        <f t="shared" si="192"/>
        <v>23</v>
      </c>
      <c r="AZ231" s="309">
        <f t="shared" si="193"/>
        <v>0.25285559191667994</v>
      </c>
      <c r="BA231" s="309">
        <f t="shared" si="194"/>
        <v>20.549252893492095</v>
      </c>
      <c r="BB231" s="311">
        <f>Irrig!H233</f>
        <v>0</v>
      </c>
      <c r="BC231" s="310">
        <f t="shared" si="195"/>
        <v>5</v>
      </c>
      <c r="BD231" s="309">
        <f t="shared" si="196"/>
        <v>0.57274822450136964</v>
      </c>
      <c r="BE231" s="309">
        <f t="shared" si="197"/>
        <v>0.57274822450136964</v>
      </c>
      <c r="BF231" s="306">
        <f>DailyMet!H214</f>
        <v>28.79</v>
      </c>
      <c r="BG231" s="306">
        <f>DailyMet!I214</f>
        <v>21.1</v>
      </c>
      <c r="BH231" s="306">
        <f t="shared" si="198"/>
        <v>28.79</v>
      </c>
      <c r="BI231" s="306">
        <f t="shared" si="199"/>
        <v>21.1</v>
      </c>
      <c r="BJ231" s="306">
        <f t="shared" si="200"/>
        <v>14.945</v>
      </c>
      <c r="BK231" s="306">
        <f t="shared" si="169"/>
        <v>842.9250000000003</v>
      </c>
      <c r="BL231" s="304">
        <f t="shared" si="201"/>
        <v>0</v>
      </c>
      <c r="BM231" s="304">
        <f t="shared" si="202"/>
        <v>14.945</v>
      </c>
      <c r="BN231" s="304">
        <f t="shared" si="223"/>
        <v>14.945</v>
      </c>
      <c r="BO231" s="306">
        <f t="shared" si="224"/>
        <v>827.45423607665577</v>
      </c>
      <c r="BP231" s="306"/>
    </row>
    <row r="232" spans="1:68">
      <c r="A232" s="299">
        <f t="shared" si="170"/>
        <v>3</v>
      </c>
      <c r="B232" s="300">
        <f t="shared" si="171"/>
        <v>38197</v>
      </c>
      <c r="C232" s="301" t="e">
        <f t="shared" si="203"/>
        <v>#N/A</v>
      </c>
      <c r="D232" s="301" t="e">
        <f t="shared" si="172"/>
        <v>#N/A</v>
      </c>
      <c r="E232" s="299">
        <f t="shared" si="173"/>
        <v>211</v>
      </c>
      <c r="F232" s="396">
        <f>Weather!M216</f>
        <v>0</v>
      </c>
      <c r="G232" s="301">
        <f>IF(Weather!C216="","",Weather!C216)</f>
        <v>4.2311191405946973</v>
      </c>
      <c r="H232" s="301">
        <f>IF(Weather!D216="","",Weather!D216)</f>
        <v>4.4553960861591095</v>
      </c>
      <c r="I232" s="502">
        <f>IF(Weather!E216="","",Weather!E216)</f>
        <v>4.4553960861591095</v>
      </c>
      <c r="J232" s="397">
        <f>IF(RnSplint!N260&lt;0,0,RnSplint!N260)</f>
        <v>35.00937698585679</v>
      </c>
      <c r="K232" s="302">
        <f t="shared" si="204"/>
        <v>1.0500000000000007</v>
      </c>
      <c r="L232" s="303">
        <f t="shared" si="205"/>
        <v>38197</v>
      </c>
      <c r="M232" s="346" t="str">
        <f t="shared" si="174"/>
        <v/>
      </c>
      <c r="N232" s="304">
        <f t="shared" si="206"/>
        <v>1.0500000000000007</v>
      </c>
      <c r="O232" s="304">
        <f t="shared" si="207"/>
        <v>0</v>
      </c>
      <c r="P232" s="304">
        <f t="shared" si="175"/>
        <v>1.0500000000000007</v>
      </c>
      <c r="Q232" s="304">
        <f t="shared" si="176"/>
        <v>0.24724372300917608</v>
      </c>
      <c r="R232" s="304">
        <f t="shared" si="177"/>
        <v>1.0500000000000007</v>
      </c>
      <c r="S232" s="305">
        <f t="shared" si="208"/>
        <v>1.0500000000000007</v>
      </c>
      <c r="T232" s="304">
        <f t="shared" si="178"/>
        <v>0.51759228381098454</v>
      </c>
      <c r="U232" s="304">
        <f t="shared" si="222"/>
        <v>1.0500000000000007</v>
      </c>
      <c r="V232" s="305">
        <f t="shared" si="179"/>
        <v>1.0500000000000007</v>
      </c>
      <c r="W232" s="305">
        <f t="shared" si="209"/>
        <v>1.0500000000000007</v>
      </c>
      <c r="X232" s="304">
        <f t="shared" si="210"/>
        <v>1.0500000000000007</v>
      </c>
      <c r="Z232" s="304" t="str">
        <f t="shared" si="180"/>
        <v/>
      </c>
      <c r="AA232" s="305">
        <f t="shared" si="181"/>
        <v>1.0500000000000007</v>
      </c>
      <c r="AB232" s="304">
        <f t="shared" si="182"/>
        <v>4.678165890467068</v>
      </c>
      <c r="AC232" s="304" t="str">
        <f t="shared" si="211"/>
        <v/>
      </c>
      <c r="AD232" s="306">
        <f t="shared" si="183"/>
        <v>312.94361799293233</v>
      </c>
      <c r="AE232" s="307">
        <f t="shared" si="212"/>
        <v>4.678165890467068</v>
      </c>
      <c r="AF232" s="308">
        <f t="shared" si="184"/>
        <v>312.94361799293233</v>
      </c>
      <c r="AG232" s="306">
        <f t="shared" si="213"/>
        <v>452.39288258975512</v>
      </c>
      <c r="AH232" s="306">
        <f t="shared" si="185"/>
        <v>0</v>
      </c>
      <c r="AI232" s="306">
        <f t="shared" si="214"/>
        <v>4.4553960861591095</v>
      </c>
      <c r="AJ232" s="306">
        <f t="shared" si="215"/>
        <v>0</v>
      </c>
      <c r="AK232" s="306">
        <f t="shared" si="186"/>
        <v>0</v>
      </c>
      <c r="AL232" s="306">
        <f t="shared" si="216"/>
        <v>4.678165890467068</v>
      </c>
      <c r="AM232" s="306">
        <f t="shared" si="187"/>
        <v>0</v>
      </c>
      <c r="AN232" s="304">
        <f>KcSplint!$N261</f>
        <v>1.0831844410288829</v>
      </c>
      <c r="AO232" s="304">
        <f t="shared" si="188"/>
        <v>1.0551154230400821</v>
      </c>
      <c r="AP232" s="304">
        <f t="shared" si="217"/>
        <v>1.0551154230400821</v>
      </c>
      <c r="AQ232" s="305">
        <f t="shared" si="218"/>
        <v>1.0551154230400821</v>
      </c>
      <c r="AR232" s="304">
        <f t="shared" si="219"/>
        <v>4.7009571262588947</v>
      </c>
      <c r="AS232" s="306">
        <f t="shared" si="189"/>
        <v>351.78582716591194</v>
      </c>
      <c r="AT232" s="307">
        <f t="shared" si="220"/>
        <v>4.7009571262588947</v>
      </c>
      <c r="AU232" s="307">
        <f t="shared" si="221"/>
        <v>351.78582716591194</v>
      </c>
      <c r="AV232" s="304">
        <f t="shared" si="190"/>
        <v>4.4553960861591095</v>
      </c>
      <c r="AW232" s="309">
        <f t="shared" si="191"/>
        <v>104.67605551808852</v>
      </c>
      <c r="AX232" s="306">
        <f>IF(ISERROR(Weather!M216),#N/A,Weather!M216)</f>
        <v>0</v>
      </c>
      <c r="AY232" s="310">
        <f t="shared" si="192"/>
        <v>24</v>
      </c>
      <c r="AZ232" s="309">
        <f t="shared" si="193"/>
        <v>0.24724372300917608</v>
      </c>
      <c r="BA232" s="309">
        <f t="shared" si="194"/>
        <v>25.004648979651204</v>
      </c>
      <c r="BB232" s="311">
        <f>Irrig!H234</f>
        <v>0</v>
      </c>
      <c r="BC232" s="310">
        <f t="shared" si="195"/>
        <v>6</v>
      </c>
      <c r="BD232" s="309">
        <f t="shared" si="196"/>
        <v>0.51759228381098454</v>
      </c>
      <c r="BE232" s="309">
        <f t="shared" si="197"/>
        <v>0.51759228381098454</v>
      </c>
      <c r="BF232" s="306">
        <f>DailyMet!H215</f>
        <v>27.51</v>
      </c>
      <c r="BG232" s="306">
        <f>DailyMet!I215</f>
        <v>19.3</v>
      </c>
      <c r="BH232" s="306">
        <f t="shared" si="198"/>
        <v>27.51</v>
      </c>
      <c r="BI232" s="306">
        <f t="shared" si="199"/>
        <v>19.3</v>
      </c>
      <c r="BJ232" s="306">
        <f t="shared" si="200"/>
        <v>13.405000000000001</v>
      </c>
      <c r="BK232" s="306">
        <f t="shared" si="169"/>
        <v>856.33000000000027</v>
      </c>
      <c r="BL232" s="304">
        <f t="shared" si="201"/>
        <v>0</v>
      </c>
      <c r="BM232" s="304">
        <f t="shared" si="202"/>
        <v>13.405000000000001</v>
      </c>
      <c r="BN232" s="304">
        <f t="shared" si="223"/>
        <v>13.405000000000001</v>
      </c>
      <c r="BO232" s="306">
        <f t="shared" si="224"/>
        <v>840.85923607665575</v>
      </c>
      <c r="BP232" s="306"/>
    </row>
    <row r="233" spans="1:68">
      <c r="A233" s="299">
        <f t="shared" si="170"/>
        <v>3</v>
      </c>
      <c r="B233" s="300">
        <f t="shared" si="171"/>
        <v>38198</v>
      </c>
      <c r="C233" s="301" t="e">
        <f t="shared" si="203"/>
        <v>#N/A</v>
      </c>
      <c r="D233" s="301" t="e">
        <f t="shared" si="172"/>
        <v>#N/A</v>
      </c>
      <c r="E233" s="299">
        <f t="shared" si="173"/>
        <v>212</v>
      </c>
      <c r="F233" s="396">
        <f>Weather!M217</f>
        <v>0</v>
      </c>
      <c r="G233" s="301">
        <f>IF(Weather!C217="","",Weather!C217)</f>
        <v>4.210270752728773</v>
      </c>
      <c r="H233" s="301">
        <f>IF(Weather!D217="","",Weather!D217)</f>
        <v>3.8584668114409286</v>
      </c>
      <c r="I233" s="502">
        <f>IF(Weather!E217="","",Weather!E217)</f>
        <v>3.8584668114409286</v>
      </c>
      <c r="J233" s="397">
        <f>IF(RnSplint!N261&lt;0,0,RnSplint!N261)</f>
        <v>35.030706785850498</v>
      </c>
      <c r="K233" s="302">
        <f t="shared" si="204"/>
        <v>1.0500000000000007</v>
      </c>
      <c r="L233" s="303">
        <f t="shared" si="205"/>
        <v>38198</v>
      </c>
      <c r="M233" s="346" t="str">
        <f t="shared" si="174"/>
        <v/>
      </c>
      <c r="N233" s="304">
        <f t="shared" si="206"/>
        <v>1.0500000000000007</v>
      </c>
      <c r="O233" s="304">
        <f t="shared" si="207"/>
        <v>0</v>
      </c>
      <c r="P233" s="304">
        <f t="shared" si="175"/>
        <v>1.0500000000000007</v>
      </c>
      <c r="Q233" s="304">
        <f t="shared" si="176"/>
        <v>0.24266853629869425</v>
      </c>
      <c r="R233" s="304">
        <f t="shared" si="177"/>
        <v>1.0500000000000007</v>
      </c>
      <c r="S233" s="305">
        <f t="shared" si="208"/>
        <v>1.0500000000000007</v>
      </c>
      <c r="T233" s="304">
        <f t="shared" si="178"/>
        <v>0.48065051214974619</v>
      </c>
      <c r="U233" s="304">
        <f t="shared" si="222"/>
        <v>1.0500000000000007</v>
      </c>
      <c r="V233" s="305">
        <f t="shared" si="179"/>
        <v>1.0500000000000007</v>
      </c>
      <c r="W233" s="305">
        <f t="shared" si="209"/>
        <v>1.0500000000000007</v>
      </c>
      <c r="X233" s="304">
        <f t="shared" si="210"/>
        <v>1.0500000000000007</v>
      </c>
      <c r="Y233" s="304">
        <f>AVERAGE(X203:X233)</f>
        <v>1.0596774193548395</v>
      </c>
      <c r="Z233" s="304" t="str">
        <f t="shared" si="180"/>
        <v/>
      </c>
      <c r="AA233" s="305">
        <f t="shared" si="181"/>
        <v>1.0500000000000007</v>
      </c>
      <c r="AB233" s="304">
        <f t="shared" si="182"/>
        <v>4.0513901520129778</v>
      </c>
      <c r="AC233" s="304" t="str">
        <f t="shared" si="211"/>
        <v/>
      </c>
      <c r="AD233" s="306">
        <f t="shared" si="183"/>
        <v>316.9950081449453</v>
      </c>
      <c r="AE233" s="307">
        <f t="shared" si="212"/>
        <v>4.0513901520129778</v>
      </c>
      <c r="AF233" s="308">
        <f t="shared" si="184"/>
        <v>316.9950081449453</v>
      </c>
      <c r="AG233" s="306">
        <f t="shared" si="213"/>
        <v>456.25134940119602</v>
      </c>
      <c r="AH233" s="306">
        <f t="shared" si="185"/>
        <v>0</v>
      </c>
      <c r="AI233" s="306">
        <f t="shared" si="214"/>
        <v>3.8584668114409286</v>
      </c>
      <c r="AJ233" s="306">
        <f t="shared" si="215"/>
        <v>0</v>
      </c>
      <c r="AK233" s="306">
        <f t="shared" si="186"/>
        <v>0</v>
      </c>
      <c r="AL233" s="306">
        <f t="shared" si="216"/>
        <v>4.0513901520129778</v>
      </c>
      <c r="AM233" s="306">
        <f t="shared" si="187"/>
        <v>0</v>
      </c>
      <c r="AN233" s="304">
        <f>KcSplint!$N262</f>
        <v>1.0819389974358711</v>
      </c>
      <c r="AO233" s="304">
        <f t="shared" si="188"/>
        <v>1.0551154230400821</v>
      </c>
      <c r="AP233" s="304">
        <f t="shared" si="217"/>
        <v>1.0551154230400821</v>
      </c>
      <c r="AQ233" s="305">
        <f t="shared" si="218"/>
        <v>1.0551154230400821</v>
      </c>
      <c r="AR233" s="304">
        <f t="shared" si="219"/>
        <v>4.071127842039612</v>
      </c>
      <c r="AS233" s="306">
        <f t="shared" si="189"/>
        <v>355.85695500795157</v>
      </c>
      <c r="AT233" s="307">
        <f t="shared" si="220"/>
        <v>4.071127842039612</v>
      </c>
      <c r="AU233" s="307">
        <f t="shared" si="221"/>
        <v>355.85695500795157</v>
      </c>
      <c r="AV233" s="304">
        <f t="shared" si="190"/>
        <v>3.8584668114409286</v>
      </c>
      <c r="AW233" s="309">
        <f t="shared" si="191"/>
        <v>108.53452232952945</v>
      </c>
      <c r="AX233" s="306">
        <f>IF(ISERROR(Weather!M217),#N/A,Weather!M217)</f>
        <v>0</v>
      </c>
      <c r="AY233" s="310">
        <f t="shared" si="192"/>
        <v>25</v>
      </c>
      <c r="AZ233" s="309">
        <f t="shared" si="193"/>
        <v>0.24266853629869425</v>
      </c>
      <c r="BA233" s="309">
        <f t="shared" si="194"/>
        <v>28.863115791092135</v>
      </c>
      <c r="BB233" s="311">
        <f>Irrig!H235</f>
        <v>0</v>
      </c>
      <c r="BC233" s="310">
        <f t="shared" si="195"/>
        <v>7</v>
      </c>
      <c r="BD233" s="309">
        <f t="shared" si="196"/>
        <v>0.48065051214974619</v>
      </c>
      <c r="BE233" s="309">
        <f t="shared" si="197"/>
        <v>0.48065051214974619</v>
      </c>
      <c r="BF233" s="306">
        <f>DailyMet!H216</f>
        <v>26.56</v>
      </c>
      <c r="BG233" s="306">
        <f>DailyMet!I216</f>
        <v>16.7</v>
      </c>
      <c r="BH233" s="306">
        <f t="shared" si="198"/>
        <v>26.56</v>
      </c>
      <c r="BI233" s="306">
        <f t="shared" si="199"/>
        <v>16.7</v>
      </c>
      <c r="BJ233" s="306">
        <f t="shared" si="200"/>
        <v>11.629999999999999</v>
      </c>
      <c r="BK233" s="306">
        <f t="shared" si="169"/>
        <v>867.96000000000026</v>
      </c>
      <c r="BL233" s="304">
        <f t="shared" si="201"/>
        <v>0</v>
      </c>
      <c r="BM233" s="304">
        <f t="shared" si="202"/>
        <v>11.629999999999999</v>
      </c>
      <c r="BN233" s="304">
        <f t="shared" si="223"/>
        <v>11.629999999999999</v>
      </c>
      <c r="BO233" s="306">
        <f t="shared" si="224"/>
        <v>852.48923607665574</v>
      </c>
      <c r="BP233" s="306"/>
    </row>
    <row r="234" spans="1:68">
      <c r="A234" s="299">
        <f t="shared" si="170"/>
        <v>3</v>
      </c>
      <c r="B234" s="300">
        <f t="shared" si="171"/>
        <v>38199</v>
      </c>
      <c r="C234" s="301" t="e">
        <f t="shared" si="203"/>
        <v>#N/A</v>
      </c>
      <c r="D234" s="301" t="e">
        <f t="shared" si="172"/>
        <v>#N/A</v>
      </c>
      <c r="E234" s="299">
        <f t="shared" si="173"/>
        <v>213</v>
      </c>
      <c r="F234" s="396">
        <f>Weather!M218</f>
        <v>0</v>
      </c>
      <c r="G234" s="301">
        <f>IF(Weather!C218="","",Weather!C218)</f>
        <v>4.1883011796594918</v>
      </c>
      <c r="H234" s="301">
        <f>IF(Weather!D218="","",Weather!D218)</f>
        <v>3.6949662527290243</v>
      </c>
      <c r="I234" s="502">
        <f>IF(Weather!E218="","",Weather!E218)</f>
        <v>3.6949662527290243</v>
      </c>
      <c r="J234" s="397">
        <f>IF(RnSplint!N262&lt;0,0,RnSplint!N262)</f>
        <v>35.01697501893608</v>
      </c>
      <c r="K234" s="302">
        <f t="shared" si="204"/>
        <v>1.0500000000000007</v>
      </c>
      <c r="L234" s="303">
        <f t="shared" si="205"/>
        <v>38199</v>
      </c>
      <c r="M234" s="346">
        <f t="shared" si="174"/>
        <v>7</v>
      </c>
      <c r="N234" s="304">
        <f t="shared" si="206"/>
        <v>1.0500000000000007</v>
      </c>
      <c r="O234" s="304">
        <f t="shared" si="207"/>
        <v>0</v>
      </c>
      <c r="P234" s="304">
        <f t="shared" si="175"/>
        <v>1.0500000000000007</v>
      </c>
      <c r="Q234" s="304">
        <f t="shared" si="176"/>
        <v>0.23851258698210129</v>
      </c>
      <c r="R234" s="304">
        <f t="shared" si="177"/>
        <v>1.0500000000000007</v>
      </c>
      <c r="S234" s="305">
        <f t="shared" si="208"/>
        <v>1.0500000000000007</v>
      </c>
      <c r="T234" s="304">
        <f t="shared" si="178"/>
        <v>0.4516838462480614</v>
      </c>
      <c r="U234" s="304">
        <f t="shared" si="222"/>
        <v>1.0500000000000007</v>
      </c>
      <c r="V234" s="305">
        <f t="shared" si="179"/>
        <v>1.0500000000000007</v>
      </c>
      <c r="W234" s="305">
        <f t="shared" si="209"/>
        <v>1.0500000000000007</v>
      </c>
      <c r="X234" s="304">
        <f t="shared" si="210"/>
        <v>1.0500000000000007</v>
      </c>
      <c r="Y234" s="304">
        <f>AVERAGE(X204:X234)</f>
        <v>1.0596774193548395</v>
      </c>
      <c r="Z234" s="304" t="str">
        <f t="shared" si="180"/>
        <v/>
      </c>
      <c r="AA234" s="305">
        <f t="shared" si="181"/>
        <v>1.0500000000000007</v>
      </c>
      <c r="AB234" s="304">
        <f t="shared" si="182"/>
        <v>3.8797145653654783</v>
      </c>
      <c r="AC234" s="304" t="str">
        <f t="shared" si="211"/>
        <v/>
      </c>
      <c r="AD234" s="306">
        <f t="shared" si="183"/>
        <v>320.87472271031078</v>
      </c>
      <c r="AE234" s="307">
        <f t="shared" si="212"/>
        <v>3.8797145653654783</v>
      </c>
      <c r="AF234" s="308">
        <f t="shared" si="184"/>
        <v>320.87472271031078</v>
      </c>
      <c r="AG234" s="306">
        <f t="shared" si="213"/>
        <v>459.94631565392507</v>
      </c>
      <c r="AH234" s="306">
        <f t="shared" si="185"/>
        <v>0</v>
      </c>
      <c r="AI234" s="306">
        <f t="shared" si="214"/>
        <v>3.6949662527290243</v>
      </c>
      <c r="AJ234" s="306">
        <f t="shared" si="215"/>
        <v>0</v>
      </c>
      <c r="AK234" s="306">
        <f t="shared" si="186"/>
        <v>0</v>
      </c>
      <c r="AL234" s="306">
        <f t="shared" si="216"/>
        <v>3.8797145653654783</v>
      </c>
      <c r="AM234" s="306">
        <f t="shared" si="187"/>
        <v>0</v>
      </c>
      <c r="AN234" s="304">
        <f>KcSplint!$N263</f>
        <v>1.0803569800023327</v>
      </c>
      <c r="AO234" s="304">
        <f t="shared" si="188"/>
        <v>1.0551154230400821</v>
      </c>
      <c r="AP234" s="304">
        <f t="shared" si="217"/>
        <v>1.0551154230400821</v>
      </c>
      <c r="AQ234" s="305">
        <f t="shared" si="218"/>
        <v>1.0551154230400821</v>
      </c>
      <c r="AR234" s="304">
        <f t="shared" si="219"/>
        <v>3.8986158808670113</v>
      </c>
      <c r="AS234" s="306">
        <f t="shared" si="189"/>
        <v>359.75557088881857</v>
      </c>
      <c r="AT234" s="307">
        <f t="shared" si="220"/>
        <v>3.8986158808670113</v>
      </c>
      <c r="AU234" s="307">
        <f t="shared" si="221"/>
        <v>359.75557088881857</v>
      </c>
      <c r="AV234" s="304">
        <f t="shared" si="190"/>
        <v>3.6949662527290243</v>
      </c>
      <c r="AW234" s="309">
        <f t="shared" si="191"/>
        <v>112.22948858225848</v>
      </c>
      <c r="AX234" s="306">
        <f>IF(ISERROR(Weather!M218),#N/A,Weather!M218)</f>
        <v>0</v>
      </c>
      <c r="AY234" s="310">
        <f t="shared" si="192"/>
        <v>26</v>
      </c>
      <c r="AZ234" s="309">
        <f t="shared" si="193"/>
        <v>0.23851258698210129</v>
      </c>
      <c r="BA234" s="309">
        <f t="shared" si="194"/>
        <v>32.558082043821159</v>
      </c>
      <c r="BB234" s="311">
        <f>Irrig!H236</f>
        <v>0</v>
      </c>
      <c r="BC234" s="310">
        <f t="shared" si="195"/>
        <v>8</v>
      </c>
      <c r="BD234" s="309">
        <f t="shared" si="196"/>
        <v>0.4516838462480614</v>
      </c>
      <c r="BE234" s="309">
        <f t="shared" si="197"/>
        <v>0.4516838462480614</v>
      </c>
      <c r="BF234" s="306">
        <f>DailyMet!H217</f>
        <v>27.05</v>
      </c>
      <c r="BG234" s="306">
        <f>DailyMet!I217</f>
        <v>20.2</v>
      </c>
      <c r="BH234" s="306">
        <f t="shared" si="198"/>
        <v>27.05</v>
      </c>
      <c r="BI234" s="306">
        <f t="shared" si="199"/>
        <v>20.2</v>
      </c>
      <c r="BJ234" s="306">
        <f t="shared" si="200"/>
        <v>13.625</v>
      </c>
      <c r="BK234" s="306">
        <f t="shared" si="169"/>
        <v>881.58500000000026</v>
      </c>
      <c r="BL234" s="304">
        <f t="shared" si="201"/>
        <v>0</v>
      </c>
      <c r="BM234" s="304">
        <f t="shared" si="202"/>
        <v>13.625</v>
      </c>
      <c r="BN234" s="304">
        <f t="shared" si="223"/>
        <v>13.625</v>
      </c>
      <c r="BO234" s="306">
        <f t="shared" si="224"/>
        <v>866.11423607665574</v>
      </c>
      <c r="BP234" s="306"/>
    </row>
    <row r="235" spans="1:68">
      <c r="A235" s="299">
        <f t="shared" si="170"/>
        <v>3</v>
      </c>
      <c r="B235" s="300">
        <f t="shared" si="171"/>
        <v>38200</v>
      </c>
      <c r="C235" s="301" t="e">
        <f t="shared" si="203"/>
        <v>#N/A</v>
      </c>
      <c r="D235" s="301" t="e">
        <f t="shared" si="172"/>
        <v>#N/A</v>
      </c>
      <c r="E235" s="299">
        <f t="shared" si="173"/>
        <v>214</v>
      </c>
      <c r="F235" s="396">
        <f>Weather!M219</f>
        <v>0</v>
      </c>
      <c r="G235" s="301">
        <f>IF(Weather!C219="","",Weather!C219)</f>
        <v>4.1651795319627585</v>
      </c>
      <c r="H235" s="301">
        <f>IF(Weather!D219="","",Weather!D219)</f>
        <v>4.4242680611832448</v>
      </c>
      <c r="I235" s="502">
        <f>IF(Weather!E219="","",Weather!E219)</f>
        <v>4.4242680611832448</v>
      </c>
      <c r="J235" s="397">
        <f>IF(RnSplint!N263&lt;0,0,RnSplint!N263)</f>
        <v>34.969371766426278</v>
      </c>
      <c r="K235" s="302">
        <f t="shared" si="204"/>
        <v>1.0500000000000007</v>
      </c>
      <c r="L235" s="303">
        <f t="shared" si="205"/>
        <v>38200</v>
      </c>
      <c r="M235" s="346" t="str">
        <f t="shared" si="174"/>
        <v/>
      </c>
      <c r="N235" s="304">
        <f t="shared" si="206"/>
        <v>1.0500000000000007</v>
      </c>
      <c r="O235" s="304">
        <f t="shared" si="207"/>
        <v>0</v>
      </c>
      <c r="P235" s="304">
        <f t="shared" si="175"/>
        <v>1.0500000000000007</v>
      </c>
      <c r="Q235" s="304">
        <f t="shared" si="176"/>
        <v>0.23380121427771575</v>
      </c>
      <c r="R235" s="304">
        <f t="shared" si="177"/>
        <v>1.0500000000000007</v>
      </c>
      <c r="S235" s="305">
        <f t="shared" si="208"/>
        <v>1.0500000000000007</v>
      </c>
      <c r="T235" s="304">
        <f t="shared" si="178"/>
        <v>0.42294251327248716</v>
      </c>
      <c r="U235" s="304">
        <f t="shared" si="222"/>
        <v>1.0500000000000007</v>
      </c>
      <c r="V235" s="305">
        <f t="shared" si="179"/>
        <v>1.0500000000000007</v>
      </c>
      <c r="W235" s="305">
        <f t="shared" si="209"/>
        <v>1.0500000000000007</v>
      </c>
      <c r="X235" s="304">
        <f t="shared" si="210"/>
        <v>1.0500000000000007</v>
      </c>
      <c r="Z235" s="304" t="str">
        <f t="shared" si="180"/>
        <v/>
      </c>
      <c r="AA235" s="305">
        <f t="shared" si="181"/>
        <v>1.0500000000000007</v>
      </c>
      <c r="AB235" s="304">
        <f t="shared" si="182"/>
        <v>4.64548146424241</v>
      </c>
      <c r="AC235" s="304" t="str">
        <f t="shared" si="211"/>
        <v/>
      </c>
      <c r="AD235" s="306">
        <f t="shared" si="183"/>
        <v>325.52020417455321</v>
      </c>
      <c r="AE235" s="307">
        <f t="shared" si="212"/>
        <v>4.64548146424241</v>
      </c>
      <c r="AF235" s="308">
        <f t="shared" si="184"/>
        <v>325.52020417455321</v>
      </c>
      <c r="AG235" s="306">
        <f t="shared" si="213"/>
        <v>464.3705837151083</v>
      </c>
      <c r="AH235" s="306">
        <f t="shared" si="185"/>
        <v>0</v>
      </c>
      <c r="AI235" s="306">
        <f t="shared" si="214"/>
        <v>4.4242680611832448</v>
      </c>
      <c r="AJ235" s="306">
        <f t="shared" si="215"/>
        <v>0</v>
      </c>
      <c r="AK235" s="306">
        <f t="shared" si="186"/>
        <v>0</v>
      </c>
      <c r="AL235" s="306">
        <f t="shared" si="216"/>
        <v>4.64548146424241</v>
      </c>
      <c r="AM235" s="306">
        <f t="shared" si="187"/>
        <v>0</v>
      </c>
      <c r="AN235" s="304">
        <f>KcSplint!$N264</f>
        <v>1.0784483940474123</v>
      </c>
      <c r="AO235" s="304">
        <f t="shared" si="188"/>
        <v>1.0551154230400821</v>
      </c>
      <c r="AP235" s="304">
        <f t="shared" si="217"/>
        <v>1.0551154230400821</v>
      </c>
      <c r="AQ235" s="305">
        <f t="shared" si="218"/>
        <v>1.0551154230400821</v>
      </c>
      <c r="AR235" s="304">
        <f t="shared" si="219"/>
        <v>4.6681134670180828</v>
      </c>
      <c r="AS235" s="306">
        <f t="shared" si="189"/>
        <v>364.42368435583666</v>
      </c>
      <c r="AT235" s="307">
        <f t="shared" si="220"/>
        <v>4.6681134670180828</v>
      </c>
      <c r="AU235" s="307">
        <f t="shared" si="221"/>
        <v>364.42368435583666</v>
      </c>
      <c r="AV235" s="304">
        <f t="shared" si="190"/>
        <v>4.4242680611832448</v>
      </c>
      <c r="AW235" s="309">
        <f t="shared" si="191"/>
        <v>116.65375664344172</v>
      </c>
      <c r="AX235" s="306">
        <f>IF(ISERROR(Weather!M219),#N/A,Weather!M219)</f>
        <v>0</v>
      </c>
      <c r="AY235" s="310">
        <f t="shared" si="192"/>
        <v>27</v>
      </c>
      <c r="AZ235" s="309">
        <f t="shared" si="193"/>
        <v>0.23380121427771575</v>
      </c>
      <c r="BA235" s="309">
        <f t="shared" si="194"/>
        <v>36.9823501050044</v>
      </c>
      <c r="BB235" s="311">
        <f>Irrig!H237</f>
        <v>0</v>
      </c>
      <c r="BC235" s="310">
        <f t="shared" si="195"/>
        <v>9</v>
      </c>
      <c r="BD235" s="309">
        <f t="shared" si="196"/>
        <v>0.42294251327248716</v>
      </c>
      <c r="BE235" s="309">
        <f t="shared" si="197"/>
        <v>0.42294251327248716</v>
      </c>
      <c r="BF235" s="306">
        <f>DailyMet!H218</f>
        <v>27.66</v>
      </c>
      <c r="BG235" s="306">
        <f>DailyMet!I218</f>
        <v>18.7</v>
      </c>
      <c r="BH235" s="306">
        <f t="shared" si="198"/>
        <v>27.66</v>
      </c>
      <c r="BI235" s="306">
        <f t="shared" si="199"/>
        <v>18.7</v>
      </c>
      <c r="BJ235" s="306">
        <f t="shared" si="200"/>
        <v>13.18</v>
      </c>
      <c r="BK235" s="306">
        <f t="shared" si="169"/>
        <v>894.76500000000021</v>
      </c>
      <c r="BL235" s="304">
        <f t="shared" si="201"/>
        <v>0</v>
      </c>
      <c r="BM235" s="304">
        <f t="shared" si="202"/>
        <v>13.18</v>
      </c>
      <c r="BN235" s="304">
        <f t="shared" si="223"/>
        <v>13.18</v>
      </c>
      <c r="BO235" s="306">
        <f t="shared" si="224"/>
        <v>879.29423607665569</v>
      </c>
      <c r="BP235" s="306"/>
    </row>
    <row r="236" spans="1:68">
      <c r="A236" s="299">
        <f t="shared" si="170"/>
        <v>3</v>
      </c>
      <c r="B236" s="300">
        <f t="shared" si="171"/>
        <v>38201</v>
      </c>
      <c r="C236" s="301" t="e">
        <f t="shared" si="203"/>
        <v>#N/A</v>
      </c>
      <c r="D236" s="301" t="e">
        <f t="shared" si="172"/>
        <v>#N/A</v>
      </c>
      <c r="E236" s="299">
        <f t="shared" si="173"/>
        <v>215</v>
      </c>
      <c r="F236" s="396">
        <f>Weather!M220</f>
        <v>0</v>
      </c>
      <c r="G236" s="301">
        <f>IF(Weather!C220="","",Weather!C220)</f>
        <v>4.140874920214479</v>
      </c>
      <c r="H236" s="301">
        <f>IF(Weather!D220="","",Weather!D220)</f>
        <v>3.118024395994059</v>
      </c>
      <c r="I236" s="502">
        <f>IF(Weather!E220="","",Weather!E220)</f>
        <v>3.118024395994059</v>
      </c>
      <c r="J236" s="397">
        <f>IF(RnSplint!N264&lt;0,0,RnSplint!N264)</f>
        <v>34.889087109633842</v>
      </c>
      <c r="K236" s="302">
        <f t="shared" si="204"/>
        <v>1.0500000000000007</v>
      </c>
      <c r="L236" s="303">
        <f t="shared" si="205"/>
        <v>38201</v>
      </c>
      <c r="M236" s="346" t="str">
        <f t="shared" si="174"/>
        <v/>
      </c>
      <c r="N236" s="304">
        <f t="shared" si="206"/>
        <v>1.0500000000000007</v>
      </c>
      <c r="O236" s="304">
        <f t="shared" si="207"/>
        <v>0</v>
      </c>
      <c r="P236" s="304">
        <f t="shared" si="175"/>
        <v>1.0500000000000007</v>
      </c>
      <c r="Q236" s="304">
        <f t="shared" si="176"/>
        <v>0.23064050518903428</v>
      </c>
      <c r="R236" s="304">
        <f t="shared" si="177"/>
        <v>1.0500000000000007</v>
      </c>
      <c r="S236" s="305">
        <f t="shared" si="208"/>
        <v>1.0500000000000007</v>
      </c>
      <c r="T236" s="304">
        <f t="shared" si="178"/>
        <v>0.40564106799288974</v>
      </c>
      <c r="U236" s="304">
        <f t="shared" si="222"/>
        <v>1.0500000000000007</v>
      </c>
      <c r="V236" s="305">
        <f t="shared" si="179"/>
        <v>1.0500000000000007</v>
      </c>
      <c r="W236" s="305">
        <f t="shared" si="209"/>
        <v>1.0500000000000007</v>
      </c>
      <c r="X236" s="304">
        <f t="shared" si="210"/>
        <v>1.0500000000000007</v>
      </c>
      <c r="Z236" s="304" t="str">
        <f t="shared" si="180"/>
        <v/>
      </c>
      <c r="AA236" s="305">
        <f t="shared" si="181"/>
        <v>1.0500000000000007</v>
      </c>
      <c r="AB236" s="304">
        <f t="shared" si="182"/>
        <v>3.2739256157937642</v>
      </c>
      <c r="AC236" s="304" t="str">
        <f t="shared" si="211"/>
        <v/>
      </c>
      <c r="AD236" s="306">
        <f t="shared" si="183"/>
        <v>328.79412979034697</v>
      </c>
      <c r="AE236" s="307">
        <f t="shared" si="212"/>
        <v>3.2739256157937642</v>
      </c>
      <c r="AF236" s="308">
        <f t="shared" si="184"/>
        <v>328.79412979034697</v>
      </c>
      <c r="AG236" s="306">
        <f t="shared" si="213"/>
        <v>467.48860811110234</v>
      </c>
      <c r="AH236" s="306">
        <f t="shared" si="185"/>
        <v>0</v>
      </c>
      <c r="AI236" s="306">
        <f t="shared" si="214"/>
        <v>3.118024395994059</v>
      </c>
      <c r="AJ236" s="306">
        <f t="shared" si="215"/>
        <v>0</v>
      </c>
      <c r="AK236" s="306">
        <f t="shared" si="186"/>
        <v>0</v>
      </c>
      <c r="AL236" s="306">
        <f t="shared" si="216"/>
        <v>3.2739256157937642</v>
      </c>
      <c r="AM236" s="306">
        <f t="shared" si="187"/>
        <v>0</v>
      </c>
      <c r="AN236" s="304">
        <f>KcSplint!$N265</f>
        <v>1.0762232448902551</v>
      </c>
      <c r="AO236" s="304">
        <f t="shared" si="188"/>
        <v>1.0551154230400821</v>
      </c>
      <c r="AP236" s="304">
        <f t="shared" si="217"/>
        <v>1.0551154230400821</v>
      </c>
      <c r="AQ236" s="305">
        <f t="shared" si="218"/>
        <v>1.0551154230400821</v>
      </c>
      <c r="AR236" s="304">
        <f t="shared" si="219"/>
        <v>3.2898756296285678</v>
      </c>
      <c r="AS236" s="306">
        <f t="shared" si="189"/>
        <v>367.71355998546522</v>
      </c>
      <c r="AT236" s="307">
        <f t="shared" si="220"/>
        <v>3.2898756296285678</v>
      </c>
      <c r="AU236" s="307">
        <f t="shared" si="221"/>
        <v>367.71355998546522</v>
      </c>
      <c r="AV236" s="304">
        <f t="shared" si="190"/>
        <v>3.118024395994059</v>
      </c>
      <c r="AW236" s="309">
        <f t="shared" si="191"/>
        <v>119.77178103943578</v>
      </c>
      <c r="AX236" s="306">
        <f>IF(ISERROR(Weather!M220),#N/A,Weather!M220)</f>
        <v>0</v>
      </c>
      <c r="AY236" s="310">
        <f t="shared" si="192"/>
        <v>28</v>
      </c>
      <c r="AZ236" s="309">
        <f t="shared" si="193"/>
        <v>0.23064050518903428</v>
      </c>
      <c r="BA236" s="309">
        <f t="shared" si="194"/>
        <v>40.100374500998456</v>
      </c>
      <c r="BB236" s="311">
        <f>Irrig!H238</f>
        <v>0</v>
      </c>
      <c r="BC236" s="310">
        <f t="shared" si="195"/>
        <v>10</v>
      </c>
      <c r="BD236" s="309">
        <f t="shared" si="196"/>
        <v>0.40564106799288974</v>
      </c>
      <c r="BE236" s="309">
        <f t="shared" si="197"/>
        <v>0.40564106799288974</v>
      </c>
      <c r="BF236" s="306">
        <f>DailyMet!H219</f>
        <v>27.99</v>
      </c>
      <c r="BG236" s="306">
        <f>DailyMet!I219</f>
        <v>17.8</v>
      </c>
      <c r="BH236" s="306">
        <f t="shared" si="198"/>
        <v>27.99</v>
      </c>
      <c r="BI236" s="306">
        <f t="shared" si="199"/>
        <v>17.8</v>
      </c>
      <c r="BJ236" s="306">
        <f t="shared" si="200"/>
        <v>12.895</v>
      </c>
      <c r="BK236" s="306">
        <f t="shared" si="169"/>
        <v>907.6600000000002</v>
      </c>
      <c r="BL236" s="304">
        <f t="shared" si="201"/>
        <v>0</v>
      </c>
      <c r="BM236" s="304">
        <f t="shared" si="202"/>
        <v>12.895</v>
      </c>
      <c r="BN236" s="304">
        <f t="shared" si="223"/>
        <v>12.895</v>
      </c>
      <c r="BO236" s="306">
        <f t="shared" si="224"/>
        <v>892.18923607665567</v>
      </c>
      <c r="BP236" s="306"/>
    </row>
    <row r="237" spans="1:68">
      <c r="A237" s="299">
        <f t="shared" si="170"/>
        <v>3</v>
      </c>
      <c r="B237" s="300">
        <f t="shared" si="171"/>
        <v>38202</v>
      </c>
      <c r="C237" s="301" t="e">
        <f t="shared" si="203"/>
        <v>#N/A</v>
      </c>
      <c r="D237" s="301" t="e">
        <f t="shared" si="172"/>
        <v>#N/A</v>
      </c>
      <c r="E237" s="299">
        <f t="shared" si="173"/>
        <v>216</v>
      </c>
      <c r="F237" s="396">
        <f>Weather!M221</f>
        <v>0</v>
      </c>
      <c r="G237" s="301">
        <f>IF(Weather!C221="","",Weather!C221)</f>
        <v>4.1153564549905566</v>
      </c>
      <c r="H237" s="301">
        <f>IF(Weather!D221="","",Weather!D221)</f>
        <v>4.5357482562597031</v>
      </c>
      <c r="I237" s="502">
        <f>IF(Weather!E221="","",Weather!E221)</f>
        <v>4.5357482562597031</v>
      </c>
      <c r="J237" s="397">
        <f>IF(RnSplint!N265&lt;0,0,RnSplint!N265)</f>
        <v>34.777311129871507</v>
      </c>
      <c r="K237" s="302">
        <f t="shared" si="204"/>
        <v>1.0500000000000007</v>
      </c>
      <c r="L237" s="303">
        <f t="shared" si="205"/>
        <v>38202</v>
      </c>
      <c r="M237" s="346" t="str">
        <f t="shared" si="174"/>
        <v/>
      </c>
      <c r="N237" s="304">
        <f t="shared" si="206"/>
        <v>1.0500000000000007</v>
      </c>
      <c r="O237" s="304">
        <f t="shared" si="207"/>
        <v>0</v>
      </c>
      <c r="P237" s="304">
        <f t="shared" si="175"/>
        <v>1.0500000000000007</v>
      </c>
      <c r="Q237" s="304">
        <f t="shared" si="176"/>
        <v>0.22625898281538345</v>
      </c>
      <c r="R237" s="304">
        <f t="shared" si="177"/>
        <v>1.0500000000000007</v>
      </c>
      <c r="S237" s="305">
        <f t="shared" si="208"/>
        <v>1.0500000000000007</v>
      </c>
      <c r="T237" s="304">
        <f t="shared" si="178"/>
        <v>0.38382061020474689</v>
      </c>
      <c r="U237" s="304">
        <f t="shared" si="222"/>
        <v>1.0500000000000007</v>
      </c>
      <c r="V237" s="305">
        <f t="shared" si="179"/>
        <v>1.0500000000000007</v>
      </c>
      <c r="W237" s="305">
        <f t="shared" si="209"/>
        <v>1.0500000000000007</v>
      </c>
      <c r="X237" s="304">
        <f t="shared" si="210"/>
        <v>1.0500000000000007</v>
      </c>
      <c r="Z237" s="304" t="str">
        <f t="shared" si="180"/>
        <v/>
      </c>
      <c r="AA237" s="305">
        <f t="shared" si="181"/>
        <v>1.0500000000000007</v>
      </c>
      <c r="AB237" s="304">
        <f t="shared" si="182"/>
        <v>4.7625356690726912</v>
      </c>
      <c r="AC237" s="304" t="str">
        <f t="shared" si="211"/>
        <v/>
      </c>
      <c r="AD237" s="306">
        <f t="shared" si="183"/>
        <v>333.55666545941966</v>
      </c>
      <c r="AE237" s="307">
        <f t="shared" si="212"/>
        <v>4.7625356690726912</v>
      </c>
      <c r="AF237" s="308">
        <f t="shared" si="184"/>
        <v>333.55666545941966</v>
      </c>
      <c r="AG237" s="306">
        <f t="shared" si="213"/>
        <v>472.02435636736203</v>
      </c>
      <c r="AH237" s="306">
        <f t="shared" si="185"/>
        <v>0</v>
      </c>
      <c r="AI237" s="306">
        <f t="shared" si="214"/>
        <v>4.5357482562597031</v>
      </c>
      <c r="AJ237" s="306">
        <f t="shared" si="215"/>
        <v>0</v>
      </c>
      <c r="AK237" s="306">
        <f t="shared" si="186"/>
        <v>0</v>
      </c>
      <c r="AL237" s="306">
        <f t="shared" si="216"/>
        <v>4.7625356690726912</v>
      </c>
      <c r="AM237" s="306">
        <f t="shared" si="187"/>
        <v>0</v>
      </c>
      <c r="AN237" s="304">
        <f>KcSplint!$N266</f>
        <v>1.0736915378500049</v>
      </c>
      <c r="AO237" s="304">
        <f t="shared" si="188"/>
        <v>1.0551154230400821</v>
      </c>
      <c r="AP237" s="304">
        <f t="shared" si="217"/>
        <v>1.0551154230400821</v>
      </c>
      <c r="AQ237" s="305">
        <f t="shared" si="218"/>
        <v>1.0551154230400821</v>
      </c>
      <c r="AR237" s="304">
        <f t="shared" si="219"/>
        <v>4.7857379402067712</v>
      </c>
      <c r="AS237" s="306">
        <f t="shared" si="189"/>
        <v>372.49929792567201</v>
      </c>
      <c r="AT237" s="307">
        <f t="shared" si="220"/>
        <v>4.7857379402067712</v>
      </c>
      <c r="AU237" s="307">
        <f t="shared" si="221"/>
        <v>372.49929792567201</v>
      </c>
      <c r="AV237" s="304">
        <f t="shared" si="190"/>
        <v>4.5357482562597031</v>
      </c>
      <c r="AW237" s="309">
        <f t="shared" si="191"/>
        <v>124.30752929569549</v>
      </c>
      <c r="AX237" s="306">
        <f>IF(ISERROR(Weather!M221),#N/A,Weather!M221)</f>
        <v>0</v>
      </c>
      <c r="AY237" s="310">
        <f t="shared" si="192"/>
        <v>29</v>
      </c>
      <c r="AZ237" s="309">
        <f t="shared" si="193"/>
        <v>0.22625898281538345</v>
      </c>
      <c r="BA237" s="309">
        <f t="shared" si="194"/>
        <v>44.636122757258157</v>
      </c>
      <c r="BB237" s="311">
        <f>Irrig!H239</f>
        <v>0</v>
      </c>
      <c r="BC237" s="310">
        <f t="shared" si="195"/>
        <v>11</v>
      </c>
      <c r="BD237" s="309">
        <f t="shared" si="196"/>
        <v>0.38382061020474689</v>
      </c>
      <c r="BE237" s="309">
        <f t="shared" si="197"/>
        <v>0.38382061020474689</v>
      </c>
      <c r="BF237" s="306">
        <f>DailyMet!H220</f>
        <v>27.57</v>
      </c>
      <c r="BG237" s="306">
        <f>DailyMet!I220</f>
        <v>19.7</v>
      </c>
      <c r="BH237" s="306">
        <f t="shared" si="198"/>
        <v>27.57</v>
      </c>
      <c r="BI237" s="306">
        <f t="shared" si="199"/>
        <v>19.7</v>
      </c>
      <c r="BJ237" s="306">
        <f t="shared" si="200"/>
        <v>13.634999999999998</v>
      </c>
      <c r="BK237" s="306">
        <f t="shared" si="169"/>
        <v>921.29500000000019</v>
      </c>
      <c r="BL237" s="304">
        <f t="shared" si="201"/>
        <v>0</v>
      </c>
      <c r="BM237" s="304">
        <f t="shared" si="202"/>
        <v>13.634999999999998</v>
      </c>
      <c r="BN237" s="304">
        <f t="shared" si="223"/>
        <v>13.634999999999998</v>
      </c>
      <c r="BO237" s="306">
        <f t="shared" si="224"/>
        <v>905.82423607665567</v>
      </c>
      <c r="BP237" s="306"/>
    </row>
    <row r="238" spans="1:68">
      <c r="A238" s="299">
        <f t="shared" si="170"/>
        <v>3</v>
      </c>
      <c r="B238" s="300">
        <f t="shared" si="171"/>
        <v>38203</v>
      </c>
      <c r="C238" s="301" t="e">
        <f t="shared" si="203"/>
        <v>#N/A</v>
      </c>
      <c r="D238" s="301" t="e">
        <f t="shared" si="172"/>
        <v>#N/A</v>
      </c>
      <c r="E238" s="299">
        <f t="shared" si="173"/>
        <v>217</v>
      </c>
      <c r="F238" s="396">
        <f>Weather!M222</f>
        <v>0</v>
      </c>
      <c r="G238" s="301">
        <f>IF(Weather!C222="","",Weather!C222)</f>
        <v>4.088593246866898</v>
      </c>
      <c r="H238" s="301">
        <f>IF(Weather!D222="","",Weather!D222)</f>
        <v>4.20416831576504</v>
      </c>
      <c r="I238" s="502">
        <f>IF(Weather!E222="","",Weather!E222)</f>
        <v>4.20416831576504</v>
      </c>
      <c r="J238" s="397">
        <f>IF(RnSplint!N266&lt;0,0,RnSplint!N266)</f>
        <v>34.63523390845203</v>
      </c>
      <c r="K238" s="302">
        <f t="shared" si="204"/>
        <v>1.0500000000000007</v>
      </c>
      <c r="L238" s="303">
        <f t="shared" si="205"/>
        <v>38203</v>
      </c>
      <c r="M238" s="346" t="str">
        <f t="shared" si="174"/>
        <v/>
      </c>
      <c r="N238" s="304">
        <f t="shared" si="206"/>
        <v>1.0500000000000007</v>
      </c>
      <c r="O238" s="304">
        <f t="shared" si="207"/>
        <v>0</v>
      </c>
      <c r="P238" s="304">
        <f t="shared" si="175"/>
        <v>1.0500000000000007</v>
      </c>
      <c r="Q238" s="304">
        <f t="shared" si="176"/>
        <v>0.22240886497661472</v>
      </c>
      <c r="R238" s="304">
        <f t="shared" si="177"/>
        <v>1.0500000000000007</v>
      </c>
      <c r="S238" s="305">
        <f t="shared" si="208"/>
        <v>1.0500000000000007</v>
      </c>
      <c r="T238" s="304">
        <f t="shared" si="178"/>
        <v>0.3664012384629392</v>
      </c>
      <c r="U238" s="304">
        <f t="shared" si="222"/>
        <v>1.0500000000000007</v>
      </c>
      <c r="V238" s="305">
        <f t="shared" si="179"/>
        <v>1.0500000000000007</v>
      </c>
      <c r="W238" s="305">
        <f t="shared" si="209"/>
        <v>1.0500000000000007</v>
      </c>
      <c r="X238" s="304">
        <f t="shared" si="210"/>
        <v>1.0500000000000007</v>
      </c>
      <c r="Z238" s="304" t="str">
        <f t="shared" si="180"/>
        <v/>
      </c>
      <c r="AA238" s="305">
        <f t="shared" si="181"/>
        <v>1.0500000000000007</v>
      </c>
      <c r="AB238" s="304">
        <f t="shared" si="182"/>
        <v>4.4143767315532951</v>
      </c>
      <c r="AC238" s="304" t="str">
        <f t="shared" si="211"/>
        <v/>
      </c>
      <c r="AD238" s="306">
        <f t="shared" si="183"/>
        <v>337.97104219097298</v>
      </c>
      <c r="AE238" s="307">
        <f t="shared" si="212"/>
        <v>4.4143767315532951</v>
      </c>
      <c r="AF238" s="308">
        <f t="shared" si="184"/>
        <v>337.97104219097298</v>
      </c>
      <c r="AG238" s="306">
        <f t="shared" si="213"/>
        <v>476.22852468312709</v>
      </c>
      <c r="AH238" s="306">
        <f t="shared" si="185"/>
        <v>0</v>
      </c>
      <c r="AI238" s="306">
        <f t="shared" si="214"/>
        <v>4.20416831576504</v>
      </c>
      <c r="AJ238" s="306">
        <f t="shared" si="215"/>
        <v>0</v>
      </c>
      <c r="AK238" s="306">
        <f t="shared" si="186"/>
        <v>0</v>
      </c>
      <c r="AL238" s="306">
        <f t="shared" si="216"/>
        <v>4.4143767315532951</v>
      </c>
      <c r="AM238" s="306">
        <f t="shared" si="187"/>
        <v>0</v>
      </c>
      <c r="AN238" s="304">
        <f>KcSplint!$N267</f>
        <v>1.0708632782458065</v>
      </c>
      <c r="AO238" s="304">
        <f t="shared" si="188"/>
        <v>1.0551154230400821</v>
      </c>
      <c r="AP238" s="304">
        <f t="shared" si="217"/>
        <v>1.0551154230400821</v>
      </c>
      <c r="AQ238" s="305">
        <f t="shared" si="218"/>
        <v>1.0551154230400821</v>
      </c>
      <c r="AR238" s="304">
        <f t="shared" si="219"/>
        <v>4.4358828310201392</v>
      </c>
      <c r="AS238" s="306">
        <f t="shared" si="189"/>
        <v>376.93518075669215</v>
      </c>
      <c r="AT238" s="307">
        <f t="shared" si="220"/>
        <v>4.4358828310201392</v>
      </c>
      <c r="AU238" s="307">
        <f t="shared" si="221"/>
        <v>376.93518075669215</v>
      </c>
      <c r="AV238" s="304">
        <f t="shared" si="190"/>
        <v>4.20416831576504</v>
      </c>
      <c r="AW238" s="309">
        <f t="shared" si="191"/>
        <v>128.51169761146053</v>
      </c>
      <c r="AX238" s="306">
        <f>IF(ISERROR(Weather!M222),#N/A,Weather!M222)</f>
        <v>0</v>
      </c>
      <c r="AY238" s="310">
        <f t="shared" si="192"/>
        <v>30</v>
      </c>
      <c r="AZ238" s="309">
        <f t="shared" si="193"/>
        <v>0.22240886497661472</v>
      </c>
      <c r="BA238" s="309">
        <f t="shared" si="194"/>
        <v>48.840291073023195</v>
      </c>
      <c r="BB238" s="311">
        <f>Irrig!H240</f>
        <v>0</v>
      </c>
      <c r="BC238" s="310">
        <f t="shared" si="195"/>
        <v>12</v>
      </c>
      <c r="BD238" s="309">
        <f t="shared" si="196"/>
        <v>0.3664012384629392</v>
      </c>
      <c r="BE238" s="309">
        <f t="shared" si="197"/>
        <v>0.3664012384629392</v>
      </c>
      <c r="BF238" s="306">
        <f>DailyMet!H221</f>
        <v>27.83</v>
      </c>
      <c r="BG238" s="306">
        <f>DailyMet!I221</f>
        <v>19.600000000000001</v>
      </c>
      <c r="BH238" s="306">
        <f t="shared" si="198"/>
        <v>27.83</v>
      </c>
      <c r="BI238" s="306">
        <f t="shared" si="199"/>
        <v>19.600000000000001</v>
      </c>
      <c r="BJ238" s="306">
        <f t="shared" si="200"/>
        <v>13.715</v>
      </c>
      <c r="BK238" s="306">
        <f t="shared" si="169"/>
        <v>935.01000000000022</v>
      </c>
      <c r="BL238" s="304">
        <f t="shared" si="201"/>
        <v>0</v>
      </c>
      <c r="BM238" s="304">
        <f t="shared" si="202"/>
        <v>13.715</v>
      </c>
      <c r="BN238" s="304">
        <f t="shared" si="223"/>
        <v>13.715</v>
      </c>
      <c r="BO238" s="306">
        <f t="shared" si="224"/>
        <v>919.5392360766557</v>
      </c>
      <c r="BP238" s="306"/>
    </row>
    <row r="239" spans="1:68">
      <c r="A239" s="299">
        <f t="shared" si="170"/>
        <v>3</v>
      </c>
      <c r="B239" s="300">
        <f t="shared" si="171"/>
        <v>38204</v>
      </c>
      <c r="C239" s="301" t="e">
        <f t="shared" si="203"/>
        <v>#N/A</v>
      </c>
      <c r="D239" s="301" t="e">
        <f t="shared" si="172"/>
        <v>#N/A</v>
      </c>
      <c r="E239" s="299">
        <f t="shared" si="173"/>
        <v>218</v>
      </c>
      <c r="F239" s="396">
        <f>Weather!M223</f>
        <v>0</v>
      </c>
      <c r="G239" s="301">
        <f>IF(Weather!C223="","",Weather!C223)</f>
        <v>4.0605544064194081</v>
      </c>
      <c r="H239" s="301">
        <f>IF(Weather!D223="","",Weather!D223)</f>
        <v>3.9882386942261037</v>
      </c>
      <c r="I239" s="502">
        <f>IF(Weather!E223="","",Weather!E223)</f>
        <v>3.9882386942261037</v>
      </c>
      <c r="J239" s="397">
        <f>IF(RnSplint!N267&lt;0,0,RnSplint!N267)</f>
        <v>34.464045526688153</v>
      </c>
      <c r="K239" s="302">
        <f t="shared" si="204"/>
        <v>1.0500000000000007</v>
      </c>
      <c r="L239" s="303">
        <f t="shared" si="205"/>
        <v>38204</v>
      </c>
      <c r="M239" s="346" t="str">
        <f t="shared" si="174"/>
        <v/>
      </c>
      <c r="N239" s="304">
        <f t="shared" si="206"/>
        <v>1.0500000000000007</v>
      </c>
      <c r="O239" s="304">
        <f t="shared" si="207"/>
        <v>0</v>
      </c>
      <c r="P239" s="304">
        <f t="shared" si="175"/>
        <v>1.0500000000000007</v>
      </c>
      <c r="Q239" s="304">
        <f t="shared" si="176"/>
        <v>0.21892896360654909</v>
      </c>
      <c r="R239" s="304">
        <f t="shared" si="177"/>
        <v>1.0500000000000007</v>
      </c>
      <c r="S239" s="305">
        <f t="shared" si="208"/>
        <v>1.0500000000000007</v>
      </c>
      <c r="T239" s="304">
        <f t="shared" si="178"/>
        <v>0.35185712360689947</v>
      </c>
      <c r="U239" s="304">
        <f t="shared" si="222"/>
        <v>1.0500000000000007</v>
      </c>
      <c r="V239" s="305">
        <f t="shared" si="179"/>
        <v>1.0500000000000007</v>
      </c>
      <c r="W239" s="305">
        <f t="shared" si="209"/>
        <v>1.0500000000000007</v>
      </c>
      <c r="X239" s="304">
        <f t="shared" si="210"/>
        <v>1.0500000000000007</v>
      </c>
      <c r="Z239" s="304" t="str">
        <f t="shared" si="180"/>
        <v/>
      </c>
      <c r="AA239" s="305">
        <f t="shared" si="181"/>
        <v>1.0500000000000007</v>
      </c>
      <c r="AB239" s="304">
        <f t="shared" si="182"/>
        <v>4.187650628937412</v>
      </c>
      <c r="AC239" s="304" t="str">
        <f t="shared" si="211"/>
        <v/>
      </c>
      <c r="AD239" s="306">
        <f t="shared" si="183"/>
        <v>342.15869281991041</v>
      </c>
      <c r="AE239" s="307">
        <f t="shared" si="212"/>
        <v>4.187650628937412</v>
      </c>
      <c r="AF239" s="308">
        <f t="shared" si="184"/>
        <v>342.15869281991041</v>
      </c>
      <c r="AG239" s="306">
        <f t="shared" si="213"/>
        <v>480.21676337735317</v>
      </c>
      <c r="AH239" s="306">
        <f t="shared" si="185"/>
        <v>0</v>
      </c>
      <c r="AI239" s="306">
        <f t="shared" si="214"/>
        <v>3.9882386942261037</v>
      </c>
      <c r="AJ239" s="306">
        <f t="shared" si="215"/>
        <v>0</v>
      </c>
      <c r="AK239" s="306">
        <f t="shared" si="186"/>
        <v>0</v>
      </c>
      <c r="AL239" s="306">
        <f t="shared" si="216"/>
        <v>4.187650628937412</v>
      </c>
      <c r="AM239" s="306">
        <f t="shared" si="187"/>
        <v>0</v>
      </c>
      <c r="AN239" s="304">
        <f>KcSplint!$N268</f>
        <v>1.0677484713968042</v>
      </c>
      <c r="AO239" s="304">
        <f t="shared" si="188"/>
        <v>1.0551154230400821</v>
      </c>
      <c r="AP239" s="304">
        <f t="shared" si="217"/>
        <v>1.0551154230400821</v>
      </c>
      <c r="AQ239" s="305">
        <f t="shared" si="218"/>
        <v>1.0551154230400821</v>
      </c>
      <c r="AR239" s="304">
        <f t="shared" si="219"/>
        <v>4.2080521570432001</v>
      </c>
      <c r="AS239" s="306">
        <f t="shared" si="189"/>
        <v>381.14323291373535</v>
      </c>
      <c r="AT239" s="307">
        <f t="shared" si="220"/>
        <v>4.2080521570432001</v>
      </c>
      <c r="AU239" s="307">
        <f t="shared" si="221"/>
        <v>381.14323291373535</v>
      </c>
      <c r="AV239" s="304">
        <f t="shared" si="190"/>
        <v>3.9882386942261037</v>
      </c>
      <c r="AW239" s="309">
        <f t="shared" si="191"/>
        <v>132.49993630568665</v>
      </c>
      <c r="AX239" s="306">
        <f>IF(ISERROR(Weather!M223),#N/A,Weather!M223)</f>
        <v>0</v>
      </c>
      <c r="AY239" s="310">
        <f t="shared" si="192"/>
        <v>31</v>
      </c>
      <c r="AZ239" s="309">
        <f t="shared" si="193"/>
        <v>0.21892896360654909</v>
      </c>
      <c r="BA239" s="309">
        <f t="shared" si="194"/>
        <v>52.8285297672493</v>
      </c>
      <c r="BB239" s="311">
        <f>Irrig!H241</f>
        <v>0</v>
      </c>
      <c r="BC239" s="310">
        <f t="shared" si="195"/>
        <v>13</v>
      </c>
      <c r="BD239" s="309">
        <f t="shared" si="196"/>
        <v>0.35185712360689947</v>
      </c>
      <c r="BE239" s="309">
        <f t="shared" si="197"/>
        <v>0.35185712360689947</v>
      </c>
      <c r="BF239" s="306">
        <f>DailyMet!H222</f>
        <v>28.32</v>
      </c>
      <c r="BG239" s="306">
        <f>DailyMet!I222</f>
        <v>21.7</v>
      </c>
      <c r="BH239" s="306">
        <f t="shared" si="198"/>
        <v>28.32</v>
      </c>
      <c r="BI239" s="306">
        <f t="shared" si="199"/>
        <v>21.7</v>
      </c>
      <c r="BJ239" s="306">
        <f t="shared" si="200"/>
        <v>15.009999999999998</v>
      </c>
      <c r="BK239" s="306">
        <f t="shared" si="169"/>
        <v>950.02000000000021</v>
      </c>
      <c r="BL239" s="304">
        <f t="shared" si="201"/>
        <v>0</v>
      </c>
      <c r="BM239" s="304">
        <f t="shared" si="202"/>
        <v>15.009999999999998</v>
      </c>
      <c r="BN239" s="304">
        <f t="shared" si="223"/>
        <v>15.009999999999998</v>
      </c>
      <c r="BO239" s="306">
        <f t="shared" si="224"/>
        <v>934.54923607665569</v>
      </c>
      <c r="BP239" s="306"/>
    </row>
    <row r="240" spans="1:68">
      <c r="A240" s="299">
        <f t="shared" si="170"/>
        <v>3</v>
      </c>
      <c r="B240" s="300">
        <f t="shared" si="171"/>
        <v>38205</v>
      </c>
      <c r="C240" s="301" t="e">
        <f t="shared" si="203"/>
        <v>#N/A</v>
      </c>
      <c r="D240" s="301" t="e">
        <f t="shared" si="172"/>
        <v>#N/A</v>
      </c>
      <c r="E240" s="299">
        <f t="shared" si="173"/>
        <v>219</v>
      </c>
      <c r="F240" s="396">
        <f>Weather!M224</f>
        <v>0</v>
      </c>
      <c r="G240" s="301">
        <f>IF(Weather!C224="","",Weather!C224)</f>
        <v>4.0312090442239912</v>
      </c>
      <c r="H240" s="301">
        <f>IF(Weather!D224="","",Weather!D224)</f>
        <v>4.4909729125824436</v>
      </c>
      <c r="I240" s="502">
        <f>IF(Weather!E224="","",Weather!E224)</f>
        <v>4.4909729125824436</v>
      </c>
      <c r="J240" s="397">
        <f>IF(RnSplint!N268&lt;0,0,RnSplint!N268)</f>
        <v>34.264936065892613</v>
      </c>
      <c r="K240" s="302">
        <f t="shared" si="204"/>
        <v>1.0500000000000007</v>
      </c>
      <c r="L240" s="303">
        <f t="shared" si="205"/>
        <v>38205</v>
      </c>
      <c r="M240" s="346" t="str">
        <f t="shared" si="174"/>
        <v/>
      </c>
      <c r="N240" s="304">
        <f t="shared" si="206"/>
        <v>1.0500000000000007</v>
      </c>
      <c r="O240" s="304">
        <f t="shared" si="207"/>
        <v>0</v>
      </c>
      <c r="P240" s="304">
        <f t="shared" si="175"/>
        <v>1.0500000000000007</v>
      </c>
      <c r="Q240" s="304">
        <f t="shared" si="176"/>
        <v>0.21519568785508258</v>
      </c>
      <c r="R240" s="304">
        <f t="shared" si="177"/>
        <v>1.0500000000000007</v>
      </c>
      <c r="S240" s="305">
        <f t="shared" si="208"/>
        <v>1.0500000000000007</v>
      </c>
      <c r="T240" s="304">
        <f t="shared" si="178"/>
        <v>0.33735135676999545</v>
      </c>
      <c r="U240" s="304">
        <f t="shared" si="222"/>
        <v>1.0500000000000007</v>
      </c>
      <c r="V240" s="305">
        <f t="shared" si="179"/>
        <v>1.0500000000000007</v>
      </c>
      <c r="W240" s="305">
        <f t="shared" si="209"/>
        <v>1.0500000000000007</v>
      </c>
      <c r="X240" s="304">
        <f t="shared" si="210"/>
        <v>1.0500000000000007</v>
      </c>
      <c r="Z240" s="304" t="str">
        <f t="shared" si="180"/>
        <v/>
      </c>
      <c r="AA240" s="305">
        <f t="shared" si="181"/>
        <v>1.0500000000000007</v>
      </c>
      <c r="AB240" s="304">
        <f t="shared" si="182"/>
        <v>4.7155215582115693</v>
      </c>
      <c r="AC240" s="304" t="str">
        <f t="shared" si="211"/>
        <v/>
      </c>
      <c r="AD240" s="306">
        <f t="shared" si="183"/>
        <v>346.87421437812196</v>
      </c>
      <c r="AE240" s="307">
        <f t="shared" si="212"/>
        <v>4.7155215582115693</v>
      </c>
      <c r="AF240" s="308">
        <f t="shared" si="184"/>
        <v>346.87421437812196</v>
      </c>
      <c r="AG240" s="306">
        <f t="shared" si="213"/>
        <v>484.70773628993561</v>
      </c>
      <c r="AH240" s="306">
        <f t="shared" si="185"/>
        <v>0</v>
      </c>
      <c r="AI240" s="306">
        <f t="shared" si="214"/>
        <v>4.4909729125824436</v>
      </c>
      <c r="AJ240" s="306">
        <f t="shared" si="215"/>
        <v>0</v>
      </c>
      <c r="AK240" s="306">
        <f t="shared" si="186"/>
        <v>0</v>
      </c>
      <c r="AL240" s="306">
        <f t="shared" si="216"/>
        <v>4.7155215582115693</v>
      </c>
      <c r="AM240" s="306">
        <f t="shared" si="187"/>
        <v>0</v>
      </c>
      <c r="AN240" s="304">
        <f>KcSplint!$N269</f>
        <v>1.0643571226221431</v>
      </c>
      <c r="AO240" s="304">
        <f t="shared" si="188"/>
        <v>1.0551154230400821</v>
      </c>
      <c r="AP240" s="304">
        <f t="shared" si="217"/>
        <v>1.0551154230400821</v>
      </c>
      <c r="AQ240" s="305">
        <f t="shared" si="218"/>
        <v>1.0551154230400821</v>
      </c>
      <c r="AR240" s="304">
        <f t="shared" si="219"/>
        <v>4.7384947845209746</v>
      </c>
      <c r="AS240" s="306">
        <f t="shared" si="189"/>
        <v>385.88172769825633</v>
      </c>
      <c r="AT240" s="307">
        <f t="shared" si="220"/>
        <v>4.7384947845209746</v>
      </c>
      <c r="AU240" s="307">
        <f t="shared" si="221"/>
        <v>385.88172769825633</v>
      </c>
      <c r="AV240" s="304">
        <f t="shared" si="190"/>
        <v>4.4909729125824436</v>
      </c>
      <c r="AW240" s="309">
        <f t="shared" si="191"/>
        <v>136.99090921826908</v>
      </c>
      <c r="AX240" s="306">
        <f>IF(ISERROR(Weather!M224),#N/A,Weather!M224)</f>
        <v>0</v>
      </c>
      <c r="AY240" s="310">
        <f t="shared" si="192"/>
        <v>32</v>
      </c>
      <c r="AZ240" s="309">
        <f t="shared" si="193"/>
        <v>0.21519568785508258</v>
      </c>
      <c r="BA240" s="309">
        <f t="shared" si="194"/>
        <v>57.319502679831743</v>
      </c>
      <c r="BB240" s="311">
        <f>Irrig!H242</f>
        <v>0</v>
      </c>
      <c r="BC240" s="310">
        <f t="shared" si="195"/>
        <v>14</v>
      </c>
      <c r="BD240" s="309">
        <f t="shared" si="196"/>
        <v>0.33735135676999545</v>
      </c>
      <c r="BE240" s="309">
        <f t="shared" si="197"/>
        <v>0.33735135676999545</v>
      </c>
      <c r="BF240" s="306">
        <f>DailyMet!H223</f>
        <v>28.17</v>
      </c>
      <c r="BG240" s="306">
        <f>DailyMet!I223</f>
        <v>22.5</v>
      </c>
      <c r="BH240" s="306">
        <f t="shared" si="198"/>
        <v>28.17</v>
      </c>
      <c r="BI240" s="306">
        <f t="shared" si="199"/>
        <v>22.5</v>
      </c>
      <c r="BJ240" s="306">
        <f t="shared" si="200"/>
        <v>15.335000000000001</v>
      </c>
      <c r="BK240" s="306">
        <f t="shared" si="169"/>
        <v>965.35500000000025</v>
      </c>
      <c r="BL240" s="304">
        <f t="shared" si="201"/>
        <v>0</v>
      </c>
      <c r="BM240" s="304">
        <f t="shared" si="202"/>
        <v>15.335000000000001</v>
      </c>
      <c r="BN240" s="304">
        <f t="shared" si="223"/>
        <v>15.335000000000001</v>
      </c>
      <c r="BO240" s="306">
        <f t="shared" si="224"/>
        <v>949.88423607665572</v>
      </c>
      <c r="BP240" s="306"/>
    </row>
    <row r="241" spans="1:68">
      <c r="A241" s="299">
        <f t="shared" si="170"/>
        <v>3</v>
      </c>
      <c r="B241" s="300">
        <f t="shared" si="171"/>
        <v>38206</v>
      </c>
      <c r="C241" s="301" t="e">
        <f t="shared" si="203"/>
        <v>#N/A</v>
      </c>
      <c r="D241" s="301" t="e">
        <f t="shared" si="172"/>
        <v>#N/A</v>
      </c>
      <c r="E241" s="299">
        <f t="shared" si="173"/>
        <v>220</v>
      </c>
      <c r="F241" s="396">
        <f>Weather!M225</f>
        <v>0</v>
      </c>
      <c r="G241" s="301">
        <f>IF(Weather!C225="","",Weather!C225)</f>
        <v>4.0005262708565548</v>
      </c>
      <c r="H241" s="301">
        <f>IF(Weather!D225="","",Weather!D225)</f>
        <v>4.7594598896694214</v>
      </c>
      <c r="I241" s="502">
        <f>IF(Weather!E225="","",Weather!E225)</f>
        <v>4.7594598896694214</v>
      </c>
      <c r="J241" s="397">
        <f>IF(RnSplint!N269&lt;0,0,RnSplint!N269)</f>
        <v>34.039095607378165</v>
      </c>
      <c r="K241" s="302">
        <f t="shared" si="204"/>
        <v>1.0500000000000007</v>
      </c>
      <c r="L241" s="303">
        <f t="shared" si="205"/>
        <v>38206</v>
      </c>
      <c r="M241" s="346" t="str">
        <f t="shared" si="174"/>
        <v/>
      </c>
      <c r="N241" s="304">
        <f t="shared" si="206"/>
        <v>1.0500000000000007</v>
      </c>
      <c r="O241" s="304">
        <f t="shared" si="207"/>
        <v>0</v>
      </c>
      <c r="P241" s="304">
        <f t="shared" si="175"/>
        <v>1.0500000000000007</v>
      </c>
      <c r="Q241" s="304">
        <f t="shared" si="176"/>
        <v>0.21143652877284819</v>
      </c>
      <c r="R241" s="304">
        <f t="shared" si="177"/>
        <v>1.0500000000000007</v>
      </c>
      <c r="S241" s="305">
        <f t="shared" si="208"/>
        <v>1.0500000000000007</v>
      </c>
      <c r="T241" s="304">
        <f t="shared" si="178"/>
        <v>0.32374805659180278</v>
      </c>
      <c r="U241" s="304">
        <f t="shared" si="222"/>
        <v>1.0500000000000007</v>
      </c>
      <c r="V241" s="305">
        <f t="shared" si="179"/>
        <v>1.0500000000000007</v>
      </c>
      <c r="W241" s="305">
        <f t="shared" si="209"/>
        <v>1.0500000000000007</v>
      </c>
      <c r="X241" s="304">
        <f t="shared" si="210"/>
        <v>1.0500000000000007</v>
      </c>
      <c r="Z241" s="304" t="str">
        <f t="shared" si="180"/>
        <v/>
      </c>
      <c r="AA241" s="305">
        <f t="shared" si="181"/>
        <v>1.0500000000000007</v>
      </c>
      <c r="AB241" s="304">
        <f t="shared" si="182"/>
        <v>4.9974328841528957</v>
      </c>
      <c r="AC241" s="304" t="str">
        <f t="shared" si="211"/>
        <v/>
      </c>
      <c r="AD241" s="306">
        <f t="shared" si="183"/>
        <v>351.87164726227485</v>
      </c>
      <c r="AE241" s="307">
        <f t="shared" si="212"/>
        <v>4.9974328841528957</v>
      </c>
      <c r="AF241" s="308">
        <f t="shared" si="184"/>
        <v>351.87164726227485</v>
      </c>
      <c r="AG241" s="306">
        <f t="shared" si="213"/>
        <v>489.46719617960503</v>
      </c>
      <c r="AH241" s="306">
        <f t="shared" si="185"/>
        <v>0</v>
      </c>
      <c r="AI241" s="306">
        <f t="shared" si="214"/>
        <v>4.7594598896694214</v>
      </c>
      <c r="AJ241" s="306">
        <f t="shared" si="215"/>
        <v>0</v>
      </c>
      <c r="AK241" s="306">
        <f t="shared" si="186"/>
        <v>0</v>
      </c>
      <c r="AL241" s="306">
        <f t="shared" si="216"/>
        <v>4.9974328841528957</v>
      </c>
      <c r="AM241" s="306">
        <f t="shared" si="187"/>
        <v>0</v>
      </c>
      <c r="AN241" s="304">
        <f>KcSplint!$N270</f>
        <v>1.0606992372409672</v>
      </c>
      <c r="AO241" s="304">
        <f t="shared" si="188"/>
        <v>1.0551154230400821</v>
      </c>
      <c r="AP241" s="304">
        <f t="shared" si="217"/>
        <v>1.0551154230400821</v>
      </c>
      <c r="AQ241" s="305">
        <f t="shared" si="218"/>
        <v>1.0551154230400821</v>
      </c>
      <c r="AR241" s="304">
        <f t="shared" si="219"/>
        <v>5.0217795349308538</v>
      </c>
      <c r="AS241" s="306">
        <f t="shared" si="189"/>
        <v>390.90350723318716</v>
      </c>
      <c r="AT241" s="307">
        <f t="shared" si="220"/>
        <v>5.0217795349308538</v>
      </c>
      <c r="AU241" s="307">
        <f t="shared" si="221"/>
        <v>390.90350723318716</v>
      </c>
      <c r="AV241" s="304">
        <f t="shared" si="190"/>
        <v>4.7594598896694214</v>
      </c>
      <c r="AW241" s="309">
        <f t="shared" si="191"/>
        <v>141.7503691079385</v>
      </c>
      <c r="AX241" s="306">
        <f>IF(ISERROR(Weather!M225),#N/A,Weather!M225)</f>
        <v>0</v>
      </c>
      <c r="AY241" s="310">
        <f t="shared" si="192"/>
        <v>33</v>
      </c>
      <c r="AZ241" s="309">
        <f t="shared" si="193"/>
        <v>0.21143652877284819</v>
      </c>
      <c r="BA241" s="309">
        <f t="shared" si="194"/>
        <v>62.078962569501165</v>
      </c>
      <c r="BB241" s="311">
        <f>Irrig!H243</f>
        <v>0</v>
      </c>
      <c r="BC241" s="310">
        <f t="shared" si="195"/>
        <v>15</v>
      </c>
      <c r="BD241" s="309">
        <f t="shared" si="196"/>
        <v>0.32374805659180278</v>
      </c>
      <c r="BE241" s="309">
        <f t="shared" si="197"/>
        <v>0.32374805659180278</v>
      </c>
      <c r="BF241" s="306">
        <f>DailyMet!H224</f>
        <v>27.74</v>
      </c>
      <c r="BG241" s="306">
        <f>DailyMet!I224</f>
        <v>21</v>
      </c>
      <c r="BH241" s="306">
        <f t="shared" si="198"/>
        <v>27.74</v>
      </c>
      <c r="BI241" s="306">
        <f t="shared" si="199"/>
        <v>21</v>
      </c>
      <c r="BJ241" s="306">
        <f t="shared" si="200"/>
        <v>14.369999999999997</v>
      </c>
      <c r="BK241" s="306">
        <f t="shared" si="169"/>
        <v>979.72500000000025</v>
      </c>
      <c r="BL241" s="304">
        <f t="shared" si="201"/>
        <v>0</v>
      </c>
      <c r="BM241" s="304">
        <f t="shared" si="202"/>
        <v>14.369999999999997</v>
      </c>
      <c r="BN241" s="304">
        <f t="shared" si="223"/>
        <v>14.369999999999997</v>
      </c>
      <c r="BO241" s="306">
        <f t="shared" si="224"/>
        <v>964.25423607665573</v>
      </c>
      <c r="BP241" s="306"/>
    </row>
    <row r="242" spans="1:68">
      <c r="A242" s="299">
        <f t="shared" si="170"/>
        <v>3</v>
      </c>
      <c r="B242" s="300">
        <f t="shared" si="171"/>
        <v>38207</v>
      </c>
      <c r="C242" s="301" t="e">
        <f t="shared" si="203"/>
        <v>#N/A</v>
      </c>
      <c r="D242" s="301" t="e">
        <f t="shared" si="172"/>
        <v>#N/A</v>
      </c>
      <c r="E242" s="299">
        <f t="shared" si="173"/>
        <v>221</v>
      </c>
      <c r="F242" s="396">
        <f>Weather!M226</f>
        <v>0</v>
      </c>
      <c r="G242" s="301">
        <f>IF(Weather!C226="","",Weather!C226)</f>
        <v>3.9684751968930017</v>
      </c>
      <c r="H242" s="301">
        <f>IF(Weather!D226="","",Weather!D226)</f>
        <v>3.5860255885033321</v>
      </c>
      <c r="I242" s="502">
        <f>IF(Weather!E226="","",Weather!E226)</f>
        <v>3.5860255885033321</v>
      </c>
      <c r="J242" s="397">
        <f>IF(RnSplint!N270&lt;0,0,RnSplint!N270)</f>
        <v>33.787714232457546</v>
      </c>
      <c r="K242" s="302">
        <f t="shared" si="204"/>
        <v>1.0500000000000007</v>
      </c>
      <c r="L242" s="303">
        <f t="shared" si="205"/>
        <v>38207</v>
      </c>
      <c r="M242" s="346" t="str">
        <f t="shared" si="174"/>
        <v/>
      </c>
      <c r="N242" s="304">
        <f t="shared" si="206"/>
        <v>1.0500000000000007</v>
      </c>
      <c r="O242" s="304">
        <f t="shared" si="207"/>
        <v>0</v>
      </c>
      <c r="P242" s="304">
        <f t="shared" si="175"/>
        <v>1.0500000000000007</v>
      </c>
      <c r="Q242" s="304">
        <f t="shared" si="176"/>
        <v>0.20872829480712593</v>
      </c>
      <c r="R242" s="304">
        <f t="shared" si="177"/>
        <v>1.0500000000000007</v>
      </c>
      <c r="S242" s="305">
        <f t="shared" si="208"/>
        <v>1.0500000000000007</v>
      </c>
      <c r="T242" s="304">
        <f t="shared" si="178"/>
        <v>0.31450114401121021</v>
      </c>
      <c r="U242" s="304">
        <f t="shared" si="222"/>
        <v>1.0500000000000007</v>
      </c>
      <c r="V242" s="305">
        <f t="shared" si="179"/>
        <v>1.0500000000000007</v>
      </c>
      <c r="W242" s="305">
        <f t="shared" si="209"/>
        <v>1.0500000000000007</v>
      </c>
      <c r="X242" s="304">
        <f t="shared" si="210"/>
        <v>1.0500000000000007</v>
      </c>
      <c r="Z242" s="304" t="str">
        <f t="shared" si="180"/>
        <v/>
      </c>
      <c r="AA242" s="305">
        <f t="shared" si="181"/>
        <v>1.0500000000000007</v>
      </c>
      <c r="AB242" s="304">
        <f t="shared" si="182"/>
        <v>3.765326867928501</v>
      </c>
      <c r="AC242" s="304" t="str">
        <f t="shared" si="211"/>
        <v/>
      </c>
      <c r="AD242" s="306">
        <f t="shared" si="183"/>
        <v>355.63697413020333</v>
      </c>
      <c r="AE242" s="307">
        <f t="shared" si="212"/>
        <v>3.765326867928501</v>
      </c>
      <c r="AF242" s="308">
        <f t="shared" si="184"/>
        <v>355.63697413020333</v>
      </c>
      <c r="AG242" s="306">
        <f t="shared" si="213"/>
        <v>493.05322176810836</v>
      </c>
      <c r="AH242" s="306">
        <f t="shared" si="185"/>
        <v>0</v>
      </c>
      <c r="AI242" s="306">
        <f t="shared" si="214"/>
        <v>3.5860255885033321</v>
      </c>
      <c r="AJ242" s="306">
        <f t="shared" si="215"/>
        <v>0</v>
      </c>
      <c r="AK242" s="306">
        <f t="shared" si="186"/>
        <v>0</v>
      </c>
      <c r="AL242" s="306">
        <f t="shared" si="216"/>
        <v>3.765326867928501</v>
      </c>
      <c r="AM242" s="306">
        <f t="shared" si="187"/>
        <v>0</v>
      </c>
      <c r="AN242" s="304">
        <f>KcSplint!$N271</f>
        <v>1.0567848205724213</v>
      </c>
      <c r="AO242" s="304">
        <f t="shared" si="188"/>
        <v>1.0551154230400821</v>
      </c>
      <c r="AP242" s="304">
        <f t="shared" si="217"/>
        <v>1.0551154230400821</v>
      </c>
      <c r="AQ242" s="305">
        <f t="shared" si="218"/>
        <v>1.0551154230400821</v>
      </c>
      <c r="AR242" s="304">
        <f t="shared" si="219"/>
        <v>3.7836709058462525</v>
      </c>
      <c r="AS242" s="306">
        <f t="shared" si="189"/>
        <v>394.68717813903339</v>
      </c>
      <c r="AT242" s="307">
        <f t="shared" si="220"/>
        <v>3.7836709058462525</v>
      </c>
      <c r="AU242" s="307">
        <f t="shared" si="221"/>
        <v>394.68717813903339</v>
      </c>
      <c r="AV242" s="304">
        <f t="shared" si="190"/>
        <v>3.5860255885033321</v>
      </c>
      <c r="AW242" s="309">
        <f t="shared" si="191"/>
        <v>145.33639469644183</v>
      </c>
      <c r="AX242" s="306">
        <f>IF(ISERROR(Weather!M226),#N/A,Weather!M226)</f>
        <v>0</v>
      </c>
      <c r="AY242" s="310">
        <f t="shared" si="192"/>
        <v>34</v>
      </c>
      <c r="AZ242" s="309">
        <f t="shared" si="193"/>
        <v>0.20872829480712593</v>
      </c>
      <c r="BA242" s="309">
        <f t="shared" si="194"/>
        <v>65.664988158004491</v>
      </c>
      <c r="BB242" s="311">
        <f>Irrig!H244</f>
        <v>0</v>
      </c>
      <c r="BC242" s="310">
        <f t="shared" si="195"/>
        <v>16</v>
      </c>
      <c r="BD242" s="309">
        <f t="shared" si="196"/>
        <v>0.31450114401121021</v>
      </c>
      <c r="BE242" s="309">
        <f t="shared" si="197"/>
        <v>0.31450114401121021</v>
      </c>
      <c r="BF242" s="306">
        <f>DailyMet!H225</f>
        <v>26.96</v>
      </c>
      <c r="BG242" s="306">
        <f>DailyMet!I225</f>
        <v>18.100000000000001</v>
      </c>
      <c r="BH242" s="306">
        <f t="shared" si="198"/>
        <v>26.96</v>
      </c>
      <c r="BI242" s="306">
        <f t="shared" si="199"/>
        <v>18.100000000000001</v>
      </c>
      <c r="BJ242" s="306">
        <f t="shared" si="200"/>
        <v>12.530000000000001</v>
      </c>
      <c r="BK242" s="306">
        <f t="shared" si="169"/>
        <v>992.25500000000022</v>
      </c>
      <c r="BL242" s="304">
        <f t="shared" si="201"/>
        <v>0</v>
      </c>
      <c r="BM242" s="304">
        <f t="shared" si="202"/>
        <v>12.530000000000001</v>
      </c>
      <c r="BN242" s="304">
        <f t="shared" si="223"/>
        <v>12.530000000000001</v>
      </c>
      <c r="BO242" s="306">
        <f t="shared" si="224"/>
        <v>976.7842360766557</v>
      </c>
      <c r="BP242" s="306"/>
    </row>
    <row r="243" spans="1:68">
      <c r="A243" s="299">
        <f t="shared" si="170"/>
        <v>3</v>
      </c>
      <c r="B243" s="300">
        <f t="shared" si="171"/>
        <v>38208</v>
      </c>
      <c r="C243" s="301" t="e">
        <f t="shared" si="203"/>
        <v>#N/A</v>
      </c>
      <c r="D243" s="301" t="e">
        <f t="shared" si="172"/>
        <v>#N/A</v>
      </c>
      <c r="E243" s="299">
        <f t="shared" si="173"/>
        <v>222</v>
      </c>
      <c r="F243" s="396">
        <f>Weather!M227</f>
        <v>0</v>
      </c>
      <c r="G243" s="301">
        <f>IF(Weather!C227="","",Weather!C227)</f>
        <v>3.9350249329092386</v>
      </c>
      <c r="H243" s="301">
        <f>IF(Weather!D227="","",Weather!D227)</f>
        <v>4.1359534061889187</v>
      </c>
      <c r="I243" s="502">
        <f>IF(Weather!E227="","",Weather!E227)</f>
        <v>4.1359534061889187</v>
      </c>
      <c r="J243" s="397">
        <f>IF(RnSplint!N271&lt;0,0,RnSplint!N271)</f>
        <v>33.511982022443512</v>
      </c>
      <c r="K243" s="302">
        <f t="shared" si="204"/>
        <v>1.0500000000000007</v>
      </c>
      <c r="L243" s="303">
        <f t="shared" si="205"/>
        <v>38208</v>
      </c>
      <c r="M243" s="346" t="str">
        <f t="shared" si="174"/>
        <v/>
      </c>
      <c r="N243" s="304">
        <f t="shared" si="206"/>
        <v>1.0500000000000007</v>
      </c>
      <c r="O243" s="304">
        <f t="shared" si="207"/>
        <v>0</v>
      </c>
      <c r="P243" s="304">
        <f t="shared" si="175"/>
        <v>1.0500000000000007</v>
      </c>
      <c r="Q243" s="304">
        <f t="shared" si="176"/>
        <v>0.20572785803280524</v>
      </c>
      <c r="R243" s="304">
        <f t="shared" si="177"/>
        <v>1.0500000000000007</v>
      </c>
      <c r="S243" s="305">
        <f t="shared" si="208"/>
        <v>1.0500000000000007</v>
      </c>
      <c r="T243" s="304">
        <f t="shared" si="178"/>
        <v>0.30474324351809506</v>
      </c>
      <c r="U243" s="304">
        <f t="shared" si="222"/>
        <v>1.0500000000000007</v>
      </c>
      <c r="V243" s="305">
        <f t="shared" si="179"/>
        <v>1.0500000000000007</v>
      </c>
      <c r="W243" s="305">
        <f t="shared" si="209"/>
        <v>1.0500000000000007</v>
      </c>
      <c r="X243" s="304">
        <f t="shared" si="210"/>
        <v>1.0500000000000007</v>
      </c>
      <c r="Z243" s="304" t="str">
        <f t="shared" si="180"/>
        <v/>
      </c>
      <c r="AA243" s="305">
        <f t="shared" si="181"/>
        <v>1.0500000000000007</v>
      </c>
      <c r="AB243" s="304">
        <f t="shared" si="182"/>
        <v>4.3427510764983674</v>
      </c>
      <c r="AC243" s="304" t="str">
        <f t="shared" si="211"/>
        <v/>
      </c>
      <c r="AD243" s="306">
        <f t="shared" si="183"/>
        <v>359.97972520670169</v>
      </c>
      <c r="AE243" s="307">
        <f t="shared" si="212"/>
        <v>4.3427510764983674</v>
      </c>
      <c r="AF243" s="308">
        <f t="shared" si="184"/>
        <v>359.97972520670169</v>
      </c>
      <c r="AG243" s="306">
        <f t="shared" si="213"/>
        <v>497.1891751742973</v>
      </c>
      <c r="AH243" s="306">
        <f t="shared" si="185"/>
        <v>0</v>
      </c>
      <c r="AI243" s="306">
        <f t="shared" si="214"/>
        <v>4.1359534061889187</v>
      </c>
      <c r="AJ243" s="306">
        <f t="shared" si="215"/>
        <v>0</v>
      </c>
      <c r="AK243" s="306">
        <f t="shared" si="186"/>
        <v>0</v>
      </c>
      <c r="AL243" s="306">
        <f t="shared" si="216"/>
        <v>4.3427510764983674</v>
      </c>
      <c r="AM243" s="306">
        <f t="shared" si="187"/>
        <v>0</v>
      </c>
      <c r="AN243" s="304">
        <f>KcSplint!$N272</f>
        <v>1.0526238779356498</v>
      </c>
      <c r="AO243" s="304">
        <f t="shared" si="188"/>
        <v>1.0551154230400821</v>
      </c>
      <c r="AP243" s="304">
        <f t="shared" si="217"/>
        <v>1.0551154230400821</v>
      </c>
      <c r="AQ243" s="305">
        <f t="shared" si="218"/>
        <v>1.0551154230400821</v>
      </c>
      <c r="AR243" s="304">
        <f t="shared" si="219"/>
        <v>4.3639082278450898</v>
      </c>
      <c r="AS243" s="306">
        <f t="shared" si="189"/>
        <v>399.05108636687851</v>
      </c>
      <c r="AT243" s="307">
        <f t="shared" si="220"/>
        <v>4.3639082278450898</v>
      </c>
      <c r="AU243" s="307">
        <f t="shared" si="221"/>
        <v>399.05108636687851</v>
      </c>
      <c r="AV243" s="304">
        <f t="shared" si="190"/>
        <v>4.1359534061889187</v>
      </c>
      <c r="AW243" s="309">
        <f t="shared" si="191"/>
        <v>149.47234810263075</v>
      </c>
      <c r="AX243" s="306">
        <f>IF(ISERROR(Weather!M227),#N/A,Weather!M227)</f>
        <v>0</v>
      </c>
      <c r="AY243" s="310">
        <f t="shared" si="192"/>
        <v>35</v>
      </c>
      <c r="AZ243" s="309">
        <f t="shared" si="193"/>
        <v>0.20572785803280524</v>
      </c>
      <c r="BA243" s="309">
        <f t="shared" si="194"/>
        <v>69.800941564193408</v>
      </c>
      <c r="BB243" s="311">
        <f>Irrig!H245</f>
        <v>0</v>
      </c>
      <c r="BC243" s="310">
        <f t="shared" si="195"/>
        <v>17</v>
      </c>
      <c r="BD243" s="309">
        <f t="shared" si="196"/>
        <v>0.30474324351809506</v>
      </c>
      <c r="BE243" s="309">
        <f t="shared" si="197"/>
        <v>0.30474324351809506</v>
      </c>
      <c r="BF243" s="306">
        <f>DailyMet!H226</f>
        <v>26.83</v>
      </c>
      <c r="BG243" s="306">
        <f>DailyMet!I226</f>
        <v>18</v>
      </c>
      <c r="BH243" s="306">
        <f t="shared" si="198"/>
        <v>26.83</v>
      </c>
      <c r="BI243" s="306">
        <f t="shared" si="199"/>
        <v>18</v>
      </c>
      <c r="BJ243" s="306">
        <f t="shared" si="200"/>
        <v>12.414999999999999</v>
      </c>
      <c r="BK243" s="306">
        <f t="shared" si="169"/>
        <v>1004.6700000000002</v>
      </c>
      <c r="BL243" s="304">
        <f t="shared" si="201"/>
        <v>0</v>
      </c>
      <c r="BM243" s="304">
        <f t="shared" si="202"/>
        <v>12.414999999999999</v>
      </c>
      <c r="BN243" s="304">
        <f t="shared" si="223"/>
        <v>12.414999999999999</v>
      </c>
      <c r="BO243" s="306">
        <f t="shared" si="224"/>
        <v>989.19923607665567</v>
      </c>
      <c r="BP243" s="306"/>
    </row>
    <row r="244" spans="1:68">
      <c r="A244" s="299">
        <f t="shared" si="170"/>
        <v>3</v>
      </c>
      <c r="B244" s="300">
        <f t="shared" si="171"/>
        <v>38209</v>
      </c>
      <c r="C244" s="301" t="e">
        <f t="shared" si="203"/>
        <v>#N/A</v>
      </c>
      <c r="D244" s="301" t="e">
        <f t="shared" si="172"/>
        <v>#N/A</v>
      </c>
      <c r="E244" s="299">
        <f t="shared" si="173"/>
        <v>223</v>
      </c>
      <c r="F244" s="396">
        <f>Weather!M228</f>
        <v>0</v>
      </c>
      <c r="G244" s="301">
        <f>IF(Weather!C228="","",Weather!C228)</f>
        <v>3.9001445894811702</v>
      </c>
      <c r="H244" s="301">
        <f>IF(Weather!D228="","",Weather!D228)</f>
        <v>3.8777053791530784</v>
      </c>
      <c r="I244" s="502">
        <f>IF(Weather!E228="","",Weather!E228)</f>
        <v>3.8777053791530784</v>
      </c>
      <c r="J244" s="397">
        <f>IF(RnSplint!N272&lt;0,0,RnSplint!N272)</f>
        <v>33.213089058648791</v>
      </c>
      <c r="K244" s="302">
        <f t="shared" si="204"/>
        <v>1.0500000000000007</v>
      </c>
      <c r="L244" s="303">
        <f t="shared" si="205"/>
        <v>38209</v>
      </c>
      <c r="M244" s="346" t="str">
        <f t="shared" si="174"/>
        <v/>
      </c>
      <c r="N244" s="304">
        <f t="shared" si="206"/>
        <v>1.0500000000000007</v>
      </c>
      <c r="O244" s="304">
        <f t="shared" si="207"/>
        <v>0</v>
      </c>
      <c r="P244" s="304">
        <f t="shared" si="175"/>
        <v>1.0500000000000007</v>
      </c>
      <c r="Q244" s="304">
        <f t="shared" si="176"/>
        <v>0.20302690670637175</v>
      </c>
      <c r="R244" s="304">
        <f t="shared" si="177"/>
        <v>1.0500000000000007</v>
      </c>
      <c r="S244" s="305">
        <f t="shared" si="208"/>
        <v>1.0500000000000007</v>
      </c>
      <c r="T244" s="304">
        <f t="shared" si="178"/>
        <v>0.29635906741437978</v>
      </c>
      <c r="U244" s="304">
        <f t="shared" si="222"/>
        <v>1.0500000000000007</v>
      </c>
      <c r="V244" s="305">
        <f t="shared" si="179"/>
        <v>1.0500000000000007</v>
      </c>
      <c r="W244" s="305">
        <f t="shared" si="209"/>
        <v>1.0500000000000007</v>
      </c>
      <c r="X244" s="304">
        <f t="shared" si="210"/>
        <v>1.0500000000000007</v>
      </c>
      <c r="Z244" s="304" t="str">
        <f t="shared" si="180"/>
        <v/>
      </c>
      <c r="AA244" s="305">
        <f t="shared" si="181"/>
        <v>1.0500000000000007</v>
      </c>
      <c r="AB244" s="304">
        <f t="shared" si="182"/>
        <v>4.0715906481107353</v>
      </c>
      <c r="AC244" s="304" t="str">
        <f t="shared" si="211"/>
        <v/>
      </c>
      <c r="AD244" s="306">
        <f t="shared" si="183"/>
        <v>364.0513158548124</v>
      </c>
      <c r="AE244" s="307">
        <f t="shared" si="212"/>
        <v>4.0715906481107353</v>
      </c>
      <c r="AF244" s="308">
        <f t="shared" si="184"/>
        <v>364.0513158548124</v>
      </c>
      <c r="AG244" s="306">
        <f t="shared" si="213"/>
        <v>501.0668805534504</v>
      </c>
      <c r="AH244" s="306">
        <f t="shared" si="185"/>
        <v>0</v>
      </c>
      <c r="AI244" s="306">
        <f t="shared" si="214"/>
        <v>3.8777053791530784</v>
      </c>
      <c r="AJ244" s="306">
        <f t="shared" si="215"/>
        <v>0</v>
      </c>
      <c r="AK244" s="306">
        <f t="shared" si="186"/>
        <v>0</v>
      </c>
      <c r="AL244" s="306">
        <f t="shared" si="216"/>
        <v>4.0715906481107353</v>
      </c>
      <c r="AM244" s="306">
        <f t="shared" si="187"/>
        <v>0</v>
      </c>
      <c r="AN244" s="304">
        <f>KcSplint!$N273</f>
        <v>1.048226414649797</v>
      </c>
      <c r="AO244" s="304">
        <f t="shared" si="188"/>
        <v>1.0551154230400821</v>
      </c>
      <c r="AP244" s="304">
        <f t="shared" si="217"/>
        <v>1.0551154230400821</v>
      </c>
      <c r="AQ244" s="305">
        <f t="shared" si="218"/>
        <v>1.0551154230400821</v>
      </c>
      <c r="AR244" s="304">
        <f t="shared" si="219"/>
        <v>4.0914267515499025</v>
      </c>
      <c r="AS244" s="306">
        <f t="shared" si="189"/>
        <v>403.14251311842838</v>
      </c>
      <c r="AT244" s="307">
        <f t="shared" si="220"/>
        <v>4.0914267515499025</v>
      </c>
      <c r="AU244" s="307">
        <f t="shared" si="221"/>
        <v>403.14251311842838</v>
      </c>
      <c r="AV244" s="304">
        <f t="shared" si="190"/>
        <v>3.8777053791530784</v>
      </c>
      <c r="AW244" s="309">
        <f t="shared" si="191"/>
        <v>153.35005348178382</v>
      </c>
      <c r="AX244" s="306">
        <f>IF(ISERROR(Weather!M228),#N/A,Weather!M228)</f>
        <v>0</v>
      </c>
      <c r="AY244" s="310">
        <f t="shared" si="192"/>
        <v>36</v>
      </c>
      <c r="AZ244" s="309">
        <f t="shared" si="193"/>
        <v>0.20302690670637175</v>
      </c>
      <c r="BA244" s="309">
        <f t="shared" si="194"/>
        <v>73.678646943346493</v>
      </c>
      <c r="BB244" s="311">
        <f>Irrig!H246</f>
        <v>0</v>
      </c>
      <c r="BC244" s="310">
        <f t="shared" si="195"/>
        <v>18</v>
      </c>
      <c r="BD244" s="309">
        <f t="shared" si="196"/>
        <v>0.29635906741437978</v>
      </c>
      <c r="BE244" s="309">
        <f t="shared" si="197"/>
        <v>0.29635906741437978</v>
      </c>
      <c r="BF244" s="306">
        <f>DailyMet!H227</f>
        <v>25.95</v>
      </c>
      <c r="BG244" s="306">
        <f>DailyMet!I227</f>
        <v>19.8</v>
      </c>
      <c r="BH244" s="306">
        <f t="shared" si="198"/>
        <v>25.95</v>
      </c>
      <c r="BI244" s="306">
        <f t="shared" si="199"/>
        <v>19.8</v>
      </c>
      <c r="BJ244" s="306">
        <f t="shared" si="200"/>
        <v>12.875</v>
      </c>
      <c r="BK244" s="306">
        <f t="shared" si="169"/>
        <v>1017.5450000000002</v>
      </c>
      <c r="BL244" s="304">
        <f t="shared" si="201"/>
        <v>0</v>
      </c>
      <c r="BM244" s="304">
        <f t="shared" si="202"/>
        <v>12.875</v>
      </c>
      <c r="BN244" s="304">
        <f t="shared" si="223"/>
        <v>12.875</v>
      </c>
      <c r="BO244" s="306">
        <f t="shared" si="224"/>
        <v>1002.0742360766557</v>
      </c>
      <c r="BP244" s="306"/>
    </row>
    <row r="245" spans="1:68">
      <c r="A245" s="299">
        <f t="shared" si="170"/>
        <v>3</v>
      </c>
      <c r="B245" s="300">
        <f t="shared" si="171"/>
        <v>38210</v>
      </c>
      <c r="C245" s="301" t="e">
        <f t="shared" si="203"/>
        <v>#N/A</v>
      </c>
      <c r="D245" s="301" t="e">
        <f t="shared" si="172"/>
        <v>#N/A</v>
      </c>
      <c r="E245" s="299">
        <f t="shared" si="173"/>
        <v>224</v>
      </c>
      <c r="F245" s="396">
        <f>Weather!M229</f>
        <v>0</v>
      </c>
      <c r="G245" s="301">
        <f>IF(Weather!C229="","",Weather!C229)</f>
        <v>3.8638032771847031</v>
      </c>
      <c r="H245" s="301">
        <f>IF(Weather!D229="","",Weather!D229)</f>
        <v>3.3740396451178154</v>
      </c>
      <c r="I245" s="502">
        <f>IF(Weather!E229="","",Weather!E229)</f>
        <v>3.3740396451178154</v>
      </c>
      <c r="J245" s="397">
        <f>IF(RnSplint!N273&lt;0,0,RnSplint!N273)</f>
        <v>32.892225422386147</v>
      </c>
      <c r="K245" s="302">
        <f t="shared" si="204"/>
        <v>1.0500000000000007</v>
      </c>
      <c r="L245" s="303">
        <f t="shared" si="205"/>
        <v>38210</v>
      </c>
      <c r="M245" s="346" t="str">
        <f t="shared" si="174"/>
        <v/>
      </c>
      <c r="N245" s="304">
        <f t="shared" si="206"/>
        <v>1.0500000000000007</v>
      </c>
      <c r="O245" s="304">
        <f t="shared" si="207"/>
        <v>0</v>
      </c>
      <c r="P245" s="304">
        <f t="shared" si="175"/>
        <v>1.0500000000000007</v>
      </c>
      <c r="Q245" s="304">
        <f t="shared" si="176"/>
        <v>0.20075966005049278</v>
      </c>
      <c r="R245" s="304">
        <f t="shared" si="177"/>
        <v>1.0500000000000007</v>
      </c>
      <c r="S245" s="305">
        <f t="shared" si="208"/>
        <v>1.0500000000000007</v>
      </c>
      <c r="T245" s="304">
        <f t="shared" si="178"/>
        <v>0.28959029887509097</v>
      </c>
      <c r="U245" s="304">
        <f t="shared" si="222"/>
        <v>1.0500000000000007</v>
      </c>
      <c r="V245" s="305">
        <f t="shared" si="179"/>
        <v>1.0500000000000007</v>
      </c>
      <c r="W245" s="305">
        <f t="shared" si="209"/>
        <v>1.0500000000000007</v>
      </c>
      <c r="X245" s="304">
        <f t="shared" si="210"/>
        <v>1.0500000000000007</v>
      </c>
      <c r="Z245" s="304" t="str">
        <f t="shared" si="180"/>
        <v/>
      </c>
      <c r="AA245" s="305">
        <f t="shared" si="181"/>
        <v>1.0500000000000007</v>
      </c>
      <c r="AB245" s="304">
        <f t="shared" si="182"/>
        <v>3.5427416273737085</v>
      </c>
      <c r="AC245" s="304" t="str">
        <f t="shared" si="211"/>
        <v/>
      </c>
      <c r="AD245" s="306">
        <f t="shared" si="183"/>
        <v>367.59405748218609</v>
      </c>
      <c r="AE245" s="307">
        <f t="shared" si="212"/>
        <v>3.5427416273737085</v>
      </c>
      <c r="AF245" s="308">
        <f t="shared" si="184"/>
        <v>367.59405748218609</v>
      </c>
      <c r="AG245" s="306">
        <f t="shared" si="213"/>
        <v>504.44092019856822</v>
      </c>
      <c r="AH245" s="306">
        <f t="shared" si="185"/>
        <v>0</v>
      </c>
      <c r="AI245" s="306">
        <f t="shared" si="214"/>
        <v>3.3740396451178154</v>
      </c>
      <c r="AJ245" s="306">
        <f t="shared" si="215"/>
        <v>0</v>
      </c>
      <c r="AK245" s="306">
        <f t="shared" si="186"/>
        <v>0</v>
      </c>
      <c r="AL245" s="306">
        <f t="shared" si="216"/>
        <v>3.5427416273737085</v>
      </c>
      <c r="AM245" s="306">
        <f t="shared" si="187"/>
        <v>0</v>
      </c>
      <c r="AN245" s="304">
        <f>KcSplint!$N274</f>
        <v>1.0436024360340082</v>
      </c>
      <c r="AO245" s="304">
        <f t="shared" si="188"/>
        <v>1.0551154230400821</v>
      </c>
      <c r="AP245" s="304">
        <f t="shared" si="217"/>
        <v>1.0551154230400821</v>
      </c>
      <c r="AQ245" s="305">
        <f t="shared" si="218"/>
        <v>1.0551154230400821</v>
      </c>
      <c r="AR245" s="304">
        <f t="shared" si="219"/>
        <v>3.5600012675124924</v>
      </c>
      <c r="AS245" s="306">
        <f t="shared" si="189"/>
        <v>406.7025143859409</v>
      </c>
      <c r="AT245" s="307">
        <f t="shared" si="220"/>
        <v>3.5600012675124924</v>
      </c>
      <c r="AU245" s="307">
        <f t="shared" si="221"/>
        <v>406.7025143859409</v>
      </c>
      <c r="AV245" s="304">
        <f t="shared" si="190"/>
        <v>3.3740396451178154</v>
      </c>
      <c r="AW245" s="309">
        <f t="shared" si="191"/>
        <v>156.72409312690164</v>
      </c>
      <c r="AX245" s="306">
        <f>IF(ISERROR(Weather!M229),#N/A,Weather!M229)</f>
        <v>0</v>
      </c>
      <c r="AY245" s="310">
        <f t="shared" si="192"/>
        <v>37</v>
      </c>
      <c r="AZ245" s="309">
        <f t="shared" si="193"/>
        <v>0.20075966005049278</v>
      </c>
      <c r="BA245" s="309">
        <f t="shared" si="194"/>
        <v>77.052686588464312</v>
      </c>
      <c r="BB245" s="311">
        <f>Irrig!H247</f>
        <v>0</v>
      </c>
      <c r="BC245" s="310">
        <f t="shared" si="195"/>
        <v>19</v>
      </c>
      <c r="BD245" s="309">
        <f t="shared" si="196"/>
        <v>0.28959029887509097</v>
      </c>
      <c r="BE245" s="309">
        <f t="shared" si="197"/>
        <v>0.28959029887509097</v>
      </c>
      <c r="BF245" s="306">
        <f>DailyMet!H228</f>
        <v>25.48</v>
      </c>
      <c r="BG245" s="306">
        <f>DailyMet!I228</f>
        <v>17</v>
      </c>
      <c r="BH245" s="306">
        <f t="shared" si="198"/>
        <v>25.48</v>
      </c>
      <c r="BI245" s="306">
        <f t="shared" si="199"/>
        <v>17</v>
      </c>
      <c r="BJ245" s="306">
        <f t="shared" si="200"/>
        <v>11.240000000000002</v>
      </c>
      <c r="BK245" s="306">
        <f t="shared" si="169"/>
        <v>1028.7850000000001</v>
      </c>
      <c r="BL245" s="304">
        <f t="shared" si="201"/>
        <v>0</v>
      </c>
      <c r="BM245" s="304">
        <f t="shared" si="202"/>
        <v>11.240000000000002</v>
      </c>
      <c r="BN245" s="304">
        <f t="shared" si="223"/>
        <v>11.240000000000002</v>
      </c>
      <c r="BO245" s="306">
        <f t="shared" si="224"/>
        <v>1013.3142360766557</v>
      </c>
      <c r="BP245" s="306"/>
    </row>
    <row r="246" spans="1:68">
      <c r="A246" s="299">
        <f t="shared" si="170"/>
        <v>3</v>
      </c>
      <c r="B246" s="300">
        <f t="shared" si="171"/>
        <v>38211</v>
      </c>
      <c r="C246" s="301" t="e">
        <f t="shared" si="203"/>
        <v>#N/A</v>
      </c>
      <c r="D246" s="301" t="e">
        <f t="shared" si="172"/>
        <v>#N/A</v>
      </c>
      <c r="E246" s="299">
        <f t="shared" si="173"/>
        <v>225</v>
      </c>
      <c r="F246" s="396">
        <f>Weather!M230</f>
        <v>0</v>
      </c>
      <c r="G246" s="301">
        <f>IF(Weather!C230="","",Weather!C230)</f>
        <v>3.8259701065957397</v>
      </c>
      <c r="H246" s="301">
        <f>IF(Weather!D230="","",Weather!D230)</f>
        <v>3.3160077738536158</v>
      </c>
      <c r="I246" s="502">
        <f>IF(Weather!E230="","",Weather!E230)</f>
        <v>3.3160077738536158</v>
      </c>
      <c r="J246" s="397">
        <f>IF(RnSplint!N274&lt;0,0,RnSplint!N274)</f>
        <v>32.550581194968309</v>
      </c>
      <c r="K246" s="302">
        <f t="shared" si="204"/>
        <v>1.0500000000000007</v>
      </c>
      <c r="L246" s="303">
        <f t="shared" si="205"/>
        <v>38211</v>
      </c>
      <c r="M246" s="346" t="str">
        <f t="shared" si="174"/>
        <v/>
      </c>
      <c r="N246" s="304">
        <f t="shared" si="206"/>
        <v>1.0500000000000007</v>
      </c>
      <c r="O246" s="304">
        <f t="shared" si="207"/>
        <v>0</v>
      </c>
      <c r="P246" s="304">
        <f t="shared" si="175"/>
        <v>1.0500000000000007</v>
      </c>
      <c r="Q246" s="304">
        <f t="shared" si="176"/>
        <v>0.19860237479840998</v>
      </c>
      <c r="R246" s="304">
        <f t="shared" si="177"/>
        <v>1.0500000000000007</v>
      </c>
      <c r="S246" s="305">
        <f t="shared" si="208"/>
        <v>1.0500000000000007</v>
      </c>
      <c r="T246" s="304">
        <f t="shared" si="178"/>
        <v>0.28336203284795802</v>
      </c>
      <c r="U246" s="304">
        <f t="shared" si="222"/>
        <v>1.0500000000000007</v>
      </c>
      <c r="V246" s="305">
        <f t="shared" si="179"/>
        <v>1.0500000000000007</v>
      </c>
      <c r="W246" s="305">
        <f t="shared" si="209"/>
        <v>1.0500000000000007</v>
      </c>
      <c r="X246" s="304">
        <f t="shared" si="210"/>
        <v>1.0500000000000007</v>
      </c>
      <c r="Z246" s="304" t="str">
        <f t="shared" si="180"/>
        <v/>
      </c>
      <c r="AA246" s="305">
        <f t="shared" si="181"/>
        <v>1.0500000000000007</v>
      </c>
      <c r="AB246" s="304">
        <f t="shared" si="182"/>
        <v>3.4818081625462991</v>
      </c>
      <c r="AC246" s="304" t="str">
        <f t="shared" si="211"/>
        <v/>
      </c>
      <c r="AD246" s="306">
        <f t="shared" si="183"/>
        <v>371.0758656447324</v>
      </c>
      <c r="AE246" s="307">
        <f t="shared" si="212"/>
        <v>3.4818081625462991</v>
      </c>
      <c r="AF246" s="308">
        <f t="shared" si="184"/>
        <v>371.0758656447324</v>
      </c>
      <c r="AG246" s="306">
        <f t="shared" si="213"/>
        <v>507.75692797242186</v>
      </c>
      <c r="AH246" s="306">
        <f t="shared" si="185"/>
        <v>0</v>
      </c>
      <c r="AI246" s="306">
        <f t="shared" si="214"/>
        <v>3.3160077738536158</v>
      </c>
      <c r="AJ246" s="306">
        <f t="shared" si="215"/>
        <v>0</v>
      </c>
      <c r="AK246" s="306">
        <f t="shared" si="186"/>
        <v>0</v>
      </c>
      <c r="AL246" s="306">
        <f t="shared" si="216"/>
        <v>3.4818081625462991</v>
      </c>
      <c r="AM246" s="306">
        <f t="shared" si="187"/>
        <v>0</v>
      </c>
      <c r="AN246" s="304">
        <f>KcSplint!$N275</f>
        <v>1.0387619474074272</v>
      </c>
      <c r="AO246" s="304">
        <f t="shared" si="188"/>
        <v>1.0551154230400821</v>
      </c>
      <c r="AP246" s="304">
        <f t="shared" si="217"/>
        <v>1.0551154230400821</v>
      </c>
      <c r="AQ246" s="305">
        <f t="shared" si="218"/>
        <v>1.0551154230400821</v>
      </c>
      <c r="AR246" s="304">
        <f t="shared" si="219"/>
        <v>3.4987709451137587</v>
      </c>
      <c r="AS246" s="306">
        <f t="shared" si="189"/>
        <v>410.20128533105463</v>
      </c>
      <c r="AT246" s="307">
        <f t="shared" si="220"/>
        <v>3.4987709451137587</v>
      </c>
      <c r="AU246" s="307">
        <f t="shared" si="221"/>
        <v>410.20128533105463</v>
      </c>
      <c r="AV246" s="304">
        <f t="shared" si="190"/>
        <v>3.3160077738536158</v>
      </c>
      <c r="AW246" s="309">
        <f t="shared" si="191"/>
        <v>160.04010090075525</v>
      </c>
      <c r="AX246" s="306">
        <f>IF(ISERROR(Weather!M230),#N/A,Weather!M230)</f>
        <v>0</v>
      </c>
      <c r="AY246" s="310">
        <f t="shared" si="192"/>
        <v>38</v>
      </c>
      <c r="AZ246" s="309">
        <f t="shared" si="193"/>
        <v>0.19860237479840998</v>
      </c>
      <c r="BA246" s="309">
        <f t="shared" si="194"/>
        <v>80.368694362317925</v>
      </c>
      <c r="BB246" s="311">
        <f>Irrig!H248</f>
        <v>0</v>
      </c>
      <c r="BC246" s="310">
        <f t="shared" si="195"/>
        <v>20</v>
      </c>
      <c r="BD246" s="309">
        <f t="shared" si="196"/>
        <v>0.28336203284795802</v>
      </c>
      <c r="BE246" s="309">
        <f t="shared" si="197"/>
        <v>0.28336203284795802</v>
      </c>
      <c r="BF246" s="306">
        <f>DailyMet!H229</f>
        <v>24.11</v>
      </c>
      <c r="BG246" s="306">
        <f>DailyMet!I229</f>
        <v>18.5</v>
      </c>
      <c r="BH246" s="306">
        <f t="shared" si="198"/>
        <v>24.11</v>
      </c>
      <c r="BI246" s="306">
        <f t="shared" si="199"/>
        <v>18.5</v>
      </c>
      <c r="BJ246" s="306">
        <f t="shared" si="200"/>
        <v>11.305</v>
      </c>
      <c r="BK246" s="306">
        <f t="shared" si="169"/>
        <v>1040.0900000000001</v>
      </c>
      <c r="BL246" s="304">
        <f t="shared" si="201"/>
        <v>0</v>
      </c>
      <c r="BM246" s="304">
        <f t="shared" si="202"/>
        <v>11.305</v>
      </c>
      <c r="BN246" s="304">
        <f t="shared" si="223"/>
        <v>11.305</v>
      </c>
      <c r="BO246" s="306">
        <f t="shared" si="224"/>
        <v>1024.6192360766556</v>
      </c>
      <c r="BP246" s="306"/>
    </row>
    <row r="247" spans="1:68">
      <c r="A247" s="299">
        <f t="shared" si="170"/>
        <v>3</v>
      </c>
      <c r="B247" s="300">
        <f t="shared" si="171"/>
        <v>38212</v>
      </c>
      <c r="C247" s="301" t="e">
        <f t="shared" si="203"/>
        <v>#N/A</v>
      </c>
      <c r="D247" s="301" t="e">
        <f t="shared" si="172"/>
        <v>#N/A</v>
      </c>
      <c r="E247" s="299">
        <f t="shared" si="173"/>
        <v>226</v>
      </c>
      <c r="F247" s="396">
        <f>Weather!M231</f>
        <v>0</v>
      </c>
      <c r="G247" s="301">
        <f>IF(Weather!C231="","",Weather!C231)</f>
        <v>3.7866141882901876</v>
      </c>
      <c r="H247" s="301">
        <f>IF(Weather!D231="","",Weather!D231)</f>
        <v>3.9755356514785003</v>
      </c>
      <c r="I247" s="502">
        <f>IF(Weather!E231="","",Weather!E231)</f>
        <v>3.9755356514785003</v>
      </c>
      <c r="J247" s="397">
        <f>IF(RnSplint!N275&lt;0,0,RnSplint!N275)</f>
        <v>32.189346457708034</v>
      </c>
      <c r="K247" s="302">
        <f t="shared" si="204"/>
        <v>1.0500000000000007</v>
      </c>
      <c r="L247" s="303">
        <f t="shared" si="205"/>
        <v>38212</v>
      </c>
      <c r="M247" s="346" t="str">
        <f t="shared" si="174"/>
        <v/>
      </c>
      <c r="N247" s="304">
        <f t="shared" si="206"/>
        <v>1.0500000000000007</v>
      </c>
      <c r="O247" s="304">
        <f t="shared" si="207"/>
        <v>0</v>
      </c>
      <c r="P247" s="304">
        <f t="shared" si="175"/>
        <v>1.0500000000000007</v>
      </c>
      <c r="Q247" s="304">
        <f t="shared" si="176"/>
        <v>0.19610366740831761</v>
      </c>
      <c r="R247" s="304">
        <f t="shared" si="177"/>
        <v>1.0500000000000007</v>
      </c>
      <c r="S247" s="305">
        <f t="shared" si="208"/>
        <v>1.0500000000000007</v>
      </c>
      <c r="T247" s="304">
        <f t="shared" si="178"/>
        <v>0.27638974909477421</v>
      </c>
      <c r="U247" s="304">
        <f t="shared" si="222"/>
        <v>1.0500000000000007</v>
      </c>
      <c r="V247" s="305">
        <f t="shared" si="179"/>
        <v>1.0500000000000007</v>
      </c>
      <c r="W247" s="305">
        <f t="shared" si="209"/>
        <v>1.0500000000000007</v>
      </c>
      <c r="X247" s="304">
        <f t="shared" si="210"/>
        <v>1.0500000000000007</v>
      </c>
      <c r="Z247" s="304" t="str">
        <f t="shared" si="180"/>
        <v/>
      </c>
      <c r="AA247" s="305">
        <f t="shared" si="181"/>
        <v>1.0500000000000007</v>
      </c>
      <c r="AB247" s="304">
        <f t="shared" si="182"/>
        <v>4.1743124340524282</v>
      </c>
      <c r="AC247" s="304" t="str">
        <f t="shared" si="211"/>
        <v/>
      </c>
      <c r="AD247" s="306">
        <f t="shared" si="183"/>
        <v>375.25017807878481</v>
      </c>
      <c r="AE247" s="307">
        <f t="shared" si="212"/>
        <v>4.1743124340524282</v>
      </c>
      <c r="AF247" s="308">
        <f t="shared" si="184"/>
        <v>375.25017807878481</v>
      </c>
      <c r="AG247" s="306">
        <f t="shared" si="213"/>
        <v>511.73246362390034</v>
      </c>
      <c r="AH247" s="306">
        <f t="shared" si="185"/>
        <v>0</v>
      </c>
      <c r="AI247" s="306">
        <f t="shared" si="214"/>
        <v>3.9755356514785003</v>
      </c>
      <c r="AJ247" s="306">
        <f t="shared" si="215"/>
        <v>0</v>
      </c>
      <c r="AK247" s="306">
        <f t="shared" si="186"/>
        <v>0</v>
      </c>
      <c r="AL247" s="306">
        <f t="shared" si="216"/>
        <v>4.1743124340524282</v>
      </c>
      <c r="AM247" s="306">
        <f t="shared" si="187"/>
        <v>0</v>
      </c>
      <c r="AN247" s="304">
        <f>KcSplint!$N276</f>
        <v>1.033714954089199</v>
      </c>
      <c r="AO247" s="304">
        <f t="shared" si="188"/>
        <v>1.0551154230400821</v>
      </c>
      <c r="AP247" s="304">
        <f t="shared" si="217"/>
        <v>1.0551154230400821</v>
      </c>
      <c r="AQ247" s="305">
        <f t="shared" si="218"/>
        <v>1.0551154230400821</v>
      </c>
      <c r="AR247" s="304">
        <f t="shared" si="219"/>
        <v>4.1946489807206664</v>
      </c>
      <c r="AS247" s="306">
        <f t="shared" si="189"/>
        <v>414.39593431177531</v>
      </c>
      <c r="AT247" s="307">
        <f t="shared" si="220"/>
        <v>4.1946489807206664</v>
      </c>
      <c r="AU247" s="307">
        <f t="shared" si="221"/>
        <v>414.39593431177531</v>
      </c>
      <c r="AV247" s="304">
        <f t="shared" si="190"/>
        <v>3.9755356514785003</v>
      </c>
      <c r="AW247" s="309">
        <f t="shared" si="191"/>
        <v>164.01563655223376</v>
      </c>
      <c r="AX247" s="306">
        <f>IF(ISERROR(Weather!M231),#N/A,Weather!M231)</f>
        <v>0</v>
      </c>
      <c r="AY247" s="310">
        <f t="shared" si="192"/>
        <v>39</v>
      </c>
      <c r="AZ247" s="309">
        <f t="shared" si="193"/>
        <v>0.19610366740831761</v>
      </c>
      <c r="BA247" s="309">
        <f t="shared" si="194"/>
        <v>84.34423001379642</v>
      </c>
      <c r="BB247" s="311">
        <f>Irrig!H249</f>
        <v>0</v>
      </c>
      <c r="BC247" s="310">
        <f t="shared" si="195"/>
        <v>21</v>
      </c>
      <c r="BD247" s="309">
        <f t="shared" si="196"/>
        <v>0.27638974909477421</v>
      </c>
      <c r="BE247" s="309">
        <f t="shared" si="197"/>
        <v>0.27638974909477421</v>
      </c>
      <c r="BF247" s="306">
        <f>DailyMet!H230</f>
        <v>24.83</v>
      </c>
      <c r="BG247" s="306">
        <f>DailyMet!I230</f>
        <v>17.7</v>
      </c>
      <c r="BH247" s="306">
        <f t="shared" si="198"/>
        <v>24.83</v>
      </c>
      <c r="BI247" s="306">
        <f t="shared" si="199"/>
        <v>17.7</v>
      </c>
      <c r="BJ247" s="306">
        <f t="shared" si="200"/>
        <v>11.265000000000001</v>
      </c>
      <c r="BK247" s="306">
        <f t="shared" si="169"/>
        <v>1051.3550000000002</v>
      </c>
      <c r="BL247" s="304">
        <f t="shared" si="201"/>
        <v>0</v>
      </c>
      <c r="BM247" s="304">
        <f t="shared" si="202"/>
        <v>11.265000000000001</v>
      </c>
      <c r="BN247" s="304">
        <f t="shared" si="223"/>
        <v>11.265000000000001</v>
      </c>
      <c r="BO247" s="306">
        <f t="shared" si="224"/>
        <v>1035.8842360766557</v>
      </c>
      <c r="BP247" s="306"/>
    </row>
    <row r="248" spans="1:68">
      <c r="A248" s="299">
        <f t="shared" si="170"/>
        <v>3</v>
      </c>
      <c r="B248" s="300">
        <f t="shared" si="171"/>
        <v>38213</v>
      </c>
      <c r="C248" s="301" t="e">
        <f t="shared" si="203"/>
        <v>#N/A</v>
      </c>
      <c r="D248" s="301" t="e">
        <f t="shared" si="172"/>
        <v>#N/A</v>
      </c>
      <c r="E248" s="299">
        <f t="shared" si="173"/>
        <v>227</v>
      </c>
      <c r="F248" s="396">
        <f>Weather!M232</f>
        <v>0</v>
      </c>
      <c r="G248" s="301">
        <f>IF(Weather!C232="","",Weather!C232)</f>
        <v>3.7457046328439509</v>
      </c>
      <c r="H248" s="301">
        <f>IF(Weather!D232="","",Weather!D232)</f>
        <v>3.7997193760539565</v>
      </c>
      <c r="I248" s="502">
        <f>IF(Weather!E232="","",Weather!E232)</f>
        <v>3.7997193760539565</v>
      </c>
      <c r="J248" s="397">
        <f>IF(RnSplint!N276&lt;0,0,RnSplint!N276)</f>
        <v>31.80971129191806</v>
      </c>
      <c r="K248" s="302">
        <f t="shared" si="204"/>
        <v>1.0500000000000007</v>
      </c>
      <c r="L248" s="303">
        <f t="shared" si="205"/>
        <v>38213</v>
      </c>
      <c r="M248" s="346" t="str">
        <f t="shared" si="174"/>
        <v/>
      </c>
      <c r="N248" s="304">
        <f t="shared" si="206"/>
        <v>1.0500000000000007</v>
      </c>
      <c r="O248" s="304">
        <f t="shared" si="207"/>
        <v>0</v>
      </c>
      <c r="P248" s="304">
        <f t="shared" si="175"/>
        <v>1.0500000000000007</v>
      </c>
      <c r="Q248" s="304">
        <f t="shared" si="176"/>
        <v>0.19379981147686801</v>
      </c>
      <c r="R248" s="304">
        <f t="shared" si="177"/>
        <v>1.0500000000000007</v>
      </c>
      <c r="S248" s="305">
        <f t="shared" si="208"/>
        <v>1.0500000000000007</v>
      </c>
      <c r="T248" s="304">
        <f t="shared" si="178"/>
        <v>0.27017625263309725</v>
      </c>
      <c r="U248" s="304">
        <f t="shared" si="222"/>
        <v>1.0500000000000007</v>
      </c>
      <c r="V248" s="305">
        <f t="shared" si="179"/>
        <v>1.0500000000000007</v>
      </c>
      <c r="W248" s="305">
        <f t="shared" si="209"/>
        <v>1.0500000000000007</v>
      </c>
      <c r="X248" s="304">
        <f t="shared" si="210"/>
        <v>1.0500000000000007</v>
      </c>
      <c r="Z248" s="304" t="str">
        <f t="shared" si="180"/>
        <v/>
      </c>
      <c r="AA248" s="305">
        <f t="shared" si="181"/>
        <v>1.0500000000000007</v>
      </c>
      <c r="AB248" s="304">
        <f t="shared" si="182"/>
        <v>3.9897053448566568</v>
      </c>
      <c r="AC248" s="304" t="str">
        <f t="shared" si="211"/>
        <v/>
      </c>
      <c r="AD248" s="306">
        <f t="shared" si="183"/>
        <v>379.23988342364146</v>
      </c>
      <c r="AE248" s="307">
        <f t="shared" si="212"/>
        <v>3.9897053448566568</v>
      </c>
      <c r="AF248" s="308">
        <f t="shared" si="184"/>
        <v>379.23988342364146</v>
      </c>
      <c r="AG248" s="306">
        <f t="shared" si="213"/>
        <v>515.53218299995433</v>
      </c>
      <c r="AH248" s="306">
        <f t="shared" si="185"/>
        <v>0</v>
      </c>
      <c r="AI248" s="306">
        <f t="shared" si="214"/>
        <v>3.7997193760539565</v>
      </c>
      <c r="AJ248" s="306">
        <f t="shared" si="215"/>
        <v>0</v>
      </c>
      <c r="AK248" s="306">
        <f t="shared" si="186"/>
        <v>0</v>
      </c>
      <c r="AL248" s="306">
        <f t="shared" si="216"/>
        <v>3.9897053448566568</v>
      </c>
      <c r="AM248" s="306">
        <f t="shared" si="187"/>
        <v>0</v>
      </c>
      <c r="AN248" s="304">
        <f>KcSplint!$N277</f>
        <v>1.028471461398468</v>
      </c>
      <c r="AO248" s="304">
        <f t="shared" si="188"/>
        <v>1.0551154230400821</v>
      </c>
      <c r="AP248" s="304">
        <f t="shared" si="217"/>
        <v>1.0551154230400821</v>
      </c>
      <c r="AQ248" s="305">
        <f t="shared" si="218"/>
        <v>1.0551154230400821</v>
      </c>
      <c r="AR248" s="304">
        <f t="shared" si="219"/>
        <v>4.0091425168987671</v>
      </c>
      <c r="AS248" s="306">
        <f t="shared" si="189"/>
        <v>418.40507682867405</v>
      </c>
      <c r="AT248" s="307">
        <f t="shared" si="220"/>
        <v>4.0091425168987671</v>
      </c>
      <c r="AU248" s="307">
        <f t="shared" si="221"/>
        <v>418.40507682867405</v>
      </c>
      <c r="AV248" s="304">
        <f t="shared" si="190"/>
        <v>3.7997193760539565</v>
      </c>
      <c r="AW248" s="309">
        <f t="shared" si="191"/>
        <v>167.81535592828772</v>
      </c>
      <c r="AX248" s="306">
        <f>IF(ISERROR(Weather!M232),#N/A,Weather!M232)</f>
        <v>0</v>
      </c>
      <c r="AY248" s="310">
        <f t="shared" si="192"/>
        <v>40</v>
      </c>
      <c r="AZ248" s="309">
        <f t="shared" si="193"/>
        <v>0.19379981147686801</v>
      </c>
      <c r="BA248" s="309">
        <f t="shared" si="194"/>
        <v>88.143949389850377</v>
      </c>
      <c r="BB248" s="311">
        <f>Irrig!H250</f>
        <v>0</v>
      </c>
      <c r="BC248" s="310">
        <f t="shared" si="195"/>
        <v>22</v>
      </c>
      <c r="BD248" s="309">
        <f t="shared" si="196"/>
        <v>0.27017625263309725</v>
      </c>
      <c r="BE248" s="309">
        <f t="shared" si="197"/>
        <v>0.27017625263309725</v>
      </c>
      <c r="BF248" s="306">
        <f>DailyMet!H231</f>
        <v>26.18</v>
      </c>
      <c r="BG248" s="306">
        <f>DailyMet!I231</f>
        <v>20.5</v>
      </c>
      <c r="BH248" s="306">
        <f t="shared" si="198"/>
        <v>26.18</v>
      </c>
      <c r="BI248" s="306">
        <f t="shared" si="199"/>
        <v>20.5</v>
      </c>
      <c r="BJ248" s="306">
        <f t="shared" si="200"/>
        <v>13.34</v>
      </c>
      <c r="BK248" s="306">
        <f t="shared" si="169"/>
        <v>1064.6950000000002</v>
      </c>
      <c r="BL248" s="304">
        <f t="shared" si="201"/>
        <v>0</v>
      </c>
      <c r="BM248" s="304">
        <f t="shared" si="202"/>
        <v>13.34</v>
      </c>
      <c r="BN248" s="304">
        <f t="shared" si="223"/>
        <v>13.34</v>
      </c>
      <c r="BO248" s="306">
        <f t="shared" si="224"/>
        <v>1049.2242360766556</v>
      </c>
      <c r="BP248" s="306"/>
    </row>
    <row r="249" spans="1:68">
      <c r="A249" s="299">
        <f t="shared" si="170"/>
        <v>3</v>
      </c>
      <c r="B249" s="300">
        <f t="shared" si="171"/>
        <v>38214</v>
      </c>
      <c r="C249" s="301" t="e">
        <f t="shared" si="203"/>
        <v>#N/A</v>
      </c>
      <c r="D249" s="301" t="e">
        <f t="shared" si="172"/>
        <v>#N/A</v>
      </c>
      <c r="E249" s="299">
        <f t="shared" si="173"/>
        <v>228</v>
      </c>
      <c r="F249" s="396">
        <f>Weather!M233</f>
        <v>0</v>
      </c>
      <c r="G249" s="301">
        <f>IF(Weather!C233="","",Weather!C233)</f>
        <v>3.7032105508329356</v>
      </c>
      <c r="H249" s="301">
        <f>IF(Weather!D233="","",Weather!D233)</f>
        <v>1.4804598800034643</v>
      </c>
      <c r="I249" s="502">
        <f>IF(Weather!E233="","",Weather!E233)</f>
        <v>1.4804598800034643</v>
      </c>
      <c r="J249" s="397">
        <f>IF(RnSplint!N277&lt;0,0,RnSplint!N277)</f>
        <v>31.412865778911133</v>
      </c>
      <c r="K249" s="302">
        <f t="shared" si="204"/>
        <v>1.0500000000000007</v>
      </c>
      <c r="L249" s="303">
        <f t="shared" si="205"/>
        <v>38214</v>
      </c>
      <c r="M249" s="346" t="str">
        <f t="shared" si="174"/>
        <v/>
      </c>
      <c r="N249" s="304">
        <f t="shared" si="206"/>
        <v>1.0500000000000007</v>
      </c>
      <c r="O249" s="304">
        <f t="shared" si="207"/>
        <v>0</v>
      </c>
      <c r="P249" s="304">
        <f t="shared" si="175"/>
        <v>1.0500000000000007</v>
      </c>
      <c r="Q249" s="304">
        <f t="shared" si="176"/>
        <v>0.19292346557313289</v>
      </c>
      <c r="R249" s="304">
        <f t="shared" si="177"/>
        <v>1.0500000000000007</v>
      </c>
      <c r="S249" s="305">
        <f t="shared" si="208"/>
        <v>1.0500000000000007</v>
      </c>
      <c r="T249" s="304">
        <f t="shared" si="178"/>
        <v>0.26786411273546079</v>
      </c>
      <c r="U249" s="304">
        <f t="shared" si="222"/>
        <v>1.0500000000000007</v>
      </c>
      <c r="V249" s="305">
        <f t="shared" si="179"/>
        <v>1.0500000000000007</v>
      </c>
      <c r="W249" s="305">
        <f t="shared" si="209"/>
        <v>1.0500000000000007</v>
      </c>
      <c r="X249" s="304">
        <f t="shared" si="210"/>
        <v>1.0500000000000007</v>
      </c>
      <c r="Z249" s="304" t="str">
        <f t="shared" si="180"/>
        <v/>
      </c>
      <c r="AA249" s="305">
        <f t="shared" si="181"/>
        <v>1.0500000000000007</v>
      </c>
      <c r="AB249" s="304">
        <f t="shared" si="182"/>
        <v>1.5544828740036385</v>
      </c>
      <c r="AC249" s="304" t="str">
        <f t="shared" si="211"/>
        <v/>
      </c>
      <c r="AD249" s="306">
        <f t="shared" si="183"/>
        <v>380.79436629764507</v>
      </c>
      <c r="AE249" s="307">
        <f t="shared" si="212"/>
        <v>1.5544828740036385</v>
      </c>
      <c r="AF249" s="308">
        <f t="shared" si="184"/>
        <v>380.79436629764507</v>
      </c>
      <c r="AG249" s="306">
        <f t="shared" si="213"/>
        <v>517.01264287995775</v>
      </c>
      <c r="AH249" s="306">
        <f t="shared" si="185"/>
        <v>0</v>
      </c>
      <c r="AI249" s="306">
        <f t="shared" si="214"/>
        <v>1.4804598800034643</v>
      </c>
      <c r="AJ249" s="306">
        <f t="shared" si="215"/>
        <v>0</v>
      </c>
      <c r="AK249" s="306">
        <f t="shared" si="186"/>
        <v>0</v>
      </c>
      <c r="AL249" s="306">
        <f t="shared" si="216"/>
        <v>1.5544828740036385</v>
      </c>
      <c r="AM249" s="306">
        <f t="shared" si="187"/>
        <v>0</v>
      </c>
      <c r="AN249" s="304">
        <f>KcSplint!$N278</f>
        <v>1.0230414746543786</v>
      </c>
      <c r="AO249" s="304">
        <f t="shared" si="188"/>
        <v>1.0551154230400821</v>
      </c>
      <c r="AP249" s="304">
        <f t="shared" si="217"/>
        <v>1.0551154230400821</v>
      </c>
      <c r="AQ249" s="305">
        <f t="shared" si="218"/>
        <v>1.0551154230400821</v>
      </c>
      <c r="AR249" s="304">
        <f t="shared" si="219"/>
        <v>1.5620560525837244</v>
      </c>
      <c r="AS249" s="306">
        <f t="shared" si="189"/>
        <v>419.96713288125778</v>
      </c>
      <c r="AT249" s="307">
        <f t="shared" si="220"/>
        <v>1.5620560525837244</v>
      </c>
      <c r="AU249" s="307">
        <f t="shared" si="221"/>
        <v>419.96713288125778</v>
      </c>
      <c r="AV249" s="304">
        <f t="shared" si="190"/>
        <v>1.4804598800034643</v>
      </c>
      <c r="AW249" s="309">
        <f t="shared" si="191"/>
        <v>169.29581580829117</v>
      </c>
      <c r="AX249" s="306">
        <f>IF(ISERROR(Weather!M233),#N/A,Weather!M233)</f>
        <v>0</v>
      </c>
      <c r="AY249" s="310">
        <f t="shared" si="192"/>
        <v>41</v>
      </c>
      <c r="AZ249" s="309">
        <f t="shared" si="193"/>
        <v>0.19292346557313289</v>
      </c>
      <c r="BA249" s="309">
        <f t="shared" si="194"/>
        <v>89.624409269853842</v>
      </c>
      <c r="BB249" s="311">
        <f>Irrig!H251</f>
        <v>0</v>
      </c>
      <c r="BC249" s="310">
        <f t="shared" si="195"/>
        <v>23</v>
      </c>
      <c r="BD249" s="309">
        <f t="shared" si="196"/>
        <v>0.26786411273546079</v>
      </c>
      <c r="BE249" s="309">
        <f t="shared" si="197"/>
        <v>0.26786411273546079</v>
      </c>
      <c r="BF249" s="306">
        <f>DailyMet!H232</f>
        <v>27.7</v>
      </c>
      <c r="BG249" s="306">
        <f>DailyMet!I232</f>
        <v>20.3</v>
      </c>
      <c r="BH249" s="306">
        <f t="shared" si="198"/>
        <v>27.7</v>
      </c>
      <c r="BI249" s="306">
        <f t="shared" si="199"/>
        <v>20.3</v>
      </c>
      <c r="BJ249" s="306">
        <f t="shared" si="200"/>
        <v>14</v>
      </c>
      <c r="BK249" s="306">
        <f t="shared" si="169"/>
        <v>1078.6950000000002</v>
      </c>
      <c r="BL249" s="304">
        <f t="shared" si="201"/>
        <v>0</v>
      </c>
      <c r="BM249" s="304">
        <f t="shared" si="202"/>
        <v>14</v>
      </c>
      <c r="BN249" s="304">
        <f t="shared" si="223"/>
        <v>14</v>
      </c>
      <c r="BO249" s="306">
        <f t="shared" si="224"/>
        <v>1063.2242360766556</v>
      </c>
      <c r="BP249" s="306"/>
    </row>
    <row r="250" spans="1:68">
      <c r="A250" s="299">
        <f t="shared" si="170"/>
        <v>3</v>
      </c>
      <c r="B250" s="300">
        <f t="shared" si="171"/>
        <v>38215</v>
      </c>
      <c r="C250" s="301" t="e">
        <f t="shared" si="203"/>
        <v>#N/A</v>
      </c>
      <c r="D250" s="301" t="e">
        <f t="shared" si="172"/>
        <v>#N/A</v>
      </c>
      <c r="E250" s="299">
        <f t="shared" si="173"/>
        <v>229</v>
      </c>
      <c r="F250" s="396">
        <f>Weather!M234</f>
        <v>0</v>
      </c>
      <c r="G250" s="301">
        <f>IF(Weather!C234="","",Weather!C234)</f>
        <v>3.6591010528330465</v>
      </c>
      <c r="H250" s="301">
        <f>IF(Weather!D234="","",Weather!D234)</f>
        <v>2.3526245965089925</v>
      </c>
      <c r="I250" s="502">
        <f>IF(Weather!E234="","",Weather!E234)</f>
        <v>2.3526245965089925</v>
      </c>
      <c r="J250" s="397">
        <f>IF(RnSplint!N278&lt;0,0,RnSplint!N278)</f>
        <v>31</v>
      </c>
      <c r="K250" s="302">
        <f t="shared" si="204"/>
        <v>1.0500000000000007</v>
      </c>
      <c r="L250" s="303">
        <f t="shared" si="205"/>
        <v>38215</v>
      </c>
      <c r="M250" s="346" t="str">
        <f t="shared" si="174"/>
        <v/>
      </c>
      <c r="N250" s="304">
        <f t="shared" si="206"/>
        <v>1.0500000000000007</v>
      </c>
      <c r="O250" s="304">
        <f t="shared" si="207"/>
        <v>0</v>
      </c>
      <c r="P250" s="304">
        <f t="shared" si="175"/>
        <v>1.0500000000000007</v>
      </c>
      <c r="Q250" s="304">
        <f t="shared" si="176"/>
        <v>0.19155449075610292</v>
      </c>
      <c r="R250" s="304">
        <f t="shared" si="177"/>
        <v>1.0500000000000007</v>
      </c>
      <c r="S250" s="305">
        <f t="shared" si="208"/>
        <v>1.0500000000000007</v>
      </c>
      <c r="T250" s="304">
        <f t="shared" si="178"/>
        <v>0.26430655627114519</v>
      </c>
      <c r="U250" s="304">
        <f t="shared" si="222"/>
        <v>1.0500000000000007</v>
      </c>
      <c r="V250" s="305">
        <f t="shared" si="179"/>
        <v>1.0500000000000007</v>
      </c>
      <c r="W250" s="305">
        <f t="shared" si="209"/>
        <v>1.0500000000000007</v>
      </c>
      <c r="X250" s="304">
        <f t="shared" si="210"/>
        <v>1.0500000000000007</v>
      </c>
      <c r="Z250" s="304" t="str">
        <f t="shared" si="180"/>
        <v/>
      </c>
      <c r="AA250" s="305">
        <f t="shared" si="181"/>
        <v>1.0500000000000007</v>
      </c>
      <c r="AB250" s="304">
        <f t="shared" si="182"/>
        <v>2.4702558263344438</v>
      </c>
      <c r="AC250" s="304" t="str">
        <f t="shared" si="211"/>
        <v/>
      </c>
      <c r="AD250" s="306">
        <f t="shared" si="183"/>
        <v>383.26462212397951</v>
      </c>
      <c r="AE250" s="307">
        <f t="shared" si="212"/>
        <v>2.4702558263344438</v>
      </c>
      <c r="AF250" s="308">
        <f t="shared" si="184"/>
        <v>383.26462212397951</v>
      </c>
      <c r="AG250" s="306">
        <f t="shared" si="213"/>
        <v>519.36526747646678</v>
      </c>
      <c r="AH250" s="306">
        <f t="shared" si="185"/>
        <v>0</v>
      </c>
      <c r="AI250" s="306">
        <f t="shared" si="214"/>
        <v>2.3526245965089925</v>
      </c>
      <c r="AJ250" s="306">
        <f t="shared" si="215"/>
        <v>0</v>
      </c>
      <c r="AK250" s="306">
        <f t="shared" si="186"/>
        <v>0</v>
      </c>
      <c r="AL250" s="306">
        <f t="shared" si="216"/>
        <v>2.4702558263344438</v>
      </c>
      <c r="AM250" s="306">
        <f t="shared" si="187"/>
        <v>0</v>
      </c>
      <c r="AN250" s="304">
        <f>KcSplint!$N279</f>
        <v>1.0174366542307611</v>
      </c>
      <c r="AO250" s="304">
        <f t="shared" si="188"/>
        <v>1.0551154230400821</v>
      </c>
      <c r="AP250" s="304">
        <f t="shared" si="217"/>
        <v>1.0551154230400821</v>
      </c>
      <c r="AQ250" s="305">
        <f t="shared" si="218"/>
        <v>1.0551154230400821</v>
      </c>
      <c r="AR250" s="304">
        <f t="shared" si="219"/>
        <v>2.482290496400088</v>
      </c>
      <c r="AS250" s="306">
        <f t="shared" si="189"/>
        <v>422.44942337765787</v>
      </c>
      <c r="AT250" s="307">
        <f t="shared" si="220"/>
        <v>2.482290496400088</v>
      </c>
      <c r="AU250" s="307">
        <f t="shared" si="221"/>
        <v>422.44942337765787</v>
      </c>
      <c r="AV250" s="304">
        <f t="shared" si="190"/>
        <v>2.3526245965089925</v>
      </c>
      <c r="AW250" s="309">
        <f t="shared" si="191"/>
        <v>171.64844040480017</v>
      </c>
      <c r="AX250" s="306">
        <f>IF(ISERROR(Weather!M234),#N/A,Weather!M234)</f>
        <v>0</v>
      </c>
      <c r="AY250" s="310">
        <f t="shared" si="192"/>
        <v>42</v>
      </c>
      <c r="AZ250" s="309">
        <f t="shared" si="193"/>
        <v>0.19155449075610292</v>
      </c>
      <c r="BA250" s="309">
        <f t="shared" si="194"/>
        <v>91.977033866362831</v>
      </c>
      <c r="BB250" s="311">
        <f>Irrig!H252</f>
        <v>0</v>
      </c>
      <c r="BC250" s="310">
        <f t="shared" si="195"/>
        <v>24</v>
      </c>
      <c r="BD250" s="309">
        <f t="shared" si="196"/>
        <v>0.26430655627114519</v>
      </c>
      <c r="BE250" s="309">
        <f t="shared" si="197"/>
        <v>0.26430655627114519</v>
      </c>
      <c r="BF250" s="306">
        <f>DailyMet!H233</f>
        <v>27.5</v>
      </c>
      <c r="BG250" s="306">
        <f>DailyMet!I233</f>
        <v>20.2</v>
      </c>
      <c r="BH250" s="306">
        <f t="shared" si="198"/>
        <v>27.5</v>
      </c>
      <c r="BI250" s="306">
        <f t="shared" si="199"/>
        <v>20.2</v>
      </c>
      <c r="BJ250" s="306">
        <f t="shared" si="200"/>
        <v>13.850000000000001</v>
      </c>
      <c r="BK250" s="306">
        <f t="shared" si="169"/>
        <v>1092.5450000000001</v>
      </c>
      <c r="BL250" s="304">
        <f t="shared" si="201"/>
        <v>0</v>
      </c>
      <c r="BM250" s="304">
        <f t="shared" si="202"/>
        <v>13.850000000000001</v>
      </c>
      <c r="BN250" s="304">
        <f t="shared" si="223"/>
        <v>13.850000000000001</v>
      </c>
      <c r="BO250" s="306">
        <f t="shared" si="224"/>
        <v>1077.0742360766556</v>
      </c>
      <c r="BP250" s="306"/>
    </row>
    <row r="251" spans="1:68">
      <c r="A251" s="299">
        <f t="shared" si="170"/>
        <v>3</v>
      </c>
      <c r="B251" s="300">
        <f t="shared" si="171"/>
        <v>38216</v>
      </c>
      <c r="C251" s="301" t="e">
        <f t="shared" si="203"/>
        <v>#N/A</v>
      </c>
      <c r="D251" s="301" t="e">
        <f t="shared" si="172"/>
        <v>#N/A</v>
      </c>
      <c r="E251" s="299">
        <f t="shared" si="173"/>
        <v>230</v>
      </c>
      <c r="F251" s="396">
        <f>Weather!M235</f>
        <v>0</v>
      </c>
      <c r="G251" s="301">
        <f>IF(Weather!C235="","",Weather!C235)</f>
        <v>3.6133671648428796</v>
      </c>
      <c r="H251" s="301">
        <f>IF(Weather!D235="","",Weather!D235)</f>
        <v>4.1749276666966058</v>
      </c>
      <c r="I251" s="502">
        <f>IF(Weather!E235="","",Weather!E235)</f>
        <v>4.1749276666966058</v>
      </c>
      <c r="J251" s="397">
        <f>IF(RnSplint!N279&lt;0,0,RnSplint!N279)</f>
        <v>30.572227465893761</v>
      </c>
      <c r="K251" s="302">
        <f t="shared" si="204"/>
        <v>1.0500000000000007</v>
      </c>
      <c r="L251" s="303">
        <f t="shared" si="205"/>
        <v>38216</v>
      </c>
      <c r="M251" s="346" t="str">
        <f t="shared" si="174"/>
        <v/>
      </c>
      <c r="N251" s="304">
        <f t="shared" si="206"/>
        <v>1.0500000000000007</v>
      </c>
      <c r="O251" s="304">
        <f t="shared" si="207"/>
        <v>0</v>
      </c>
      <c r="P251" s="304">
        <f t="shared" si="175"/>
        <v>1.0500000000000007</v>
      </c>
      <c r="Q251" s="304">
        <f t="shared" si="176"/>
        <v>0.18919383629916686</v>
      </c>
      <c r="R251" s="304">
        <f t="shared" si="177"/>
        <v>1.0500000000000007</v>
      </c>
      <c r="S251" s="305">
        <f t="shared" si="208"/>
        <v>1.0500000000000007</v>
      </c>
      <c r="T251" s="304">
        <f t="shared" si="178"/>
        <v>0.25832123125748818</v>
      </c>
      <c r="U251" s="304">
        <f t="shared" si="222"/>
        <v>1.0500000000000007</v>
      </c>
      <c r="V251" s="305">
        <f t="shared" si="179"/>
        <v>1.0500000000000007</v>
      </c>
      <c r="W251" s="305">
        <f t="shared" si="209"/>
        <v>1.0500000000000007</v>
      </c>
      <c r="X251" s="304">
        <f t="shared" si="210"/>
        <v>1.0500000000000007</v>
      </c>
      <c r="Z251" s="304" t="str">
        <f t="shared" si="180"/>
        <v/>
      </c>
      <c r="AA251" s="305">
        <f t="shared" si="181"/>
        <v>1.0500000000000007</v>
      </c>
      <c r="AB251" s="304">
        <f t="shared" si="182"/>
        <v>4.3836740500314386</v>
      </c>
      <c r="AC251" s="304" t="str">
        <f t="shared" si="211"/>
        <v/>
      </c>
      <c r="AD251" s="306">
        <f t="shared" si="183"/>
        <v>387.64829617401097</v>
      </c>
      <c r="AE251" s="307">
        <f t="shared" si="212"/>
        <v>4.3836740500314386</v>
      </c>
      <c r="AF251" s="308">
        <f t="shared" si="184"/>
        <v>387.64829617401097</v>
      </c>
      <c r="AG251" s="306">
        <f t="shared" si="213"/>
        <v>523.54019514316337</v>
      </c>
      <c r="AH251" s="306">
        <f t="shared" si="185"/>
        <v>0</v>
      </c>
      <c r="AI251" s="306">
        <f t="shared" si="214"/>
        <v>4.1749276666966058</v>
      </c>
      <c r="AJ251" s="306">
        <f t="shared" si="215"/>
        <v>0</v>
      </c>
      <c r="AK251" s="306">
        <f t="shared" si="186"/>
        <v>0</v>
      </c>
      <c r="AL251" s="306">
        <f t="shared" si="216"/>
        <v>4.3836740500314386</v>
      </c>
      <c r="AM251" s="306">
        <f t="shared" si="187"/>
        <v>0</v>
      </c>
      <c r="AN251" s="304">
        <f>KcSplint!$N280</f>
        <v>1.0116752807201888</v>
      </c>
      <c r="AO251" s="304">
        <f t="shared" si="188"/>
        <v>1.0551154230400821</v>
      </c>
      <c r="AP251" s="304">
        <f t="shared" si="217"/>
        <v>1.0551154230400821</v>
      </c>
      <c r="AQ251" s="305">
        <f t="shared" si="218"/>
        <v>1.0551154230400821</v>
      </c>
      <c r="AR251" s="304">
        <f t="shared" si="219"/>
        <v>4.4050305712083322</v>
      </c>
      <c r="AS251" s="306">
        <f t="shared" si="189"/>
        <v>426.85445394886619</v>
      </c>
      <c r="AT251" s="307">
        <f t="shared" si="220"/>
        <v>4.4050305712083322</v>
      </c>
      <c r="AU251" s="307">
        <f t="shared" si="221"/>
        <v>426.85445394886619</v>
      </c>
      <c r="AV251" s="304">
        <f t="shared" si="190"/>
        <v>4.1749276666966058</v>
      </c>
      <c r="AW251" s="309">
        <f t="shared" si="191"/>
        <v>175.82336807149679</v>
      </c>
      <c r="AX251" s="306">
        <f>IF(ISERROR(Weather!M235),#N/A,Weather!M235)</f>
        <v>0</v>
      </c>
      <c r="AY251" s="310">
        <f t="shared" si="192"/>
        <v>43</v>
      </c>
      <c r="AZ251" s="309">
        <f t="shared" si="193"/>
        <v>0.18919383629916686</v>
      </c>
      <c r="BA251" s="309">
        <f t="shared" si="194"/>
        <v>96.151961533059435</v>
      </c>
      <c r="BB251" s="311">
        <f>Irrig!H253</f>
        <v>0</v>
      </c>
      <c r="BC251" s="310">
        <f t="shared" si="195"/>
        <v>25</v>
      </c>
      <c r="BD251" s="309">
        <f t="shared" si="196"/>
        <v>0.25832123125748818</v>
      </c>
      <c r="BE251" s="309">
        <f t="shared" si="197"/>
        <v>0.25832123125748818</v>
      </c>
      <c r="BF251" s="306">
        <f>DailyMet!H234</f>
        <v>27.94</v>
      </c>
      <c r="BG251" s="306">
        <f>DailyMet!I234</f>
        <v>20.2</v>
      </c>
      <c r="BH251" s="306">
        <f t="shared" si="198"/>
        <v>27.94</v>
      </c>
      <c r="BI251" s="306">
        <f t="shared" si="199"/>
        <v>20.2</v>
      </c>
      <c r="BJ251" s="306">
        <f t="shared" si="200"/>
        <v>14.07</v>
      </c>
      <c r="BK251" s="306">
        <f t="shared" si="169"/>
        <v>1106.615</v>
      </c>
      <c r="BL251" s="304">
        <f t="shared" si="201"/>
        <v>0</v>
      </c>
      <c r="BM251" s="304">
        <f t="shared" si="202"/>
        <v>14.07</v>
      </c>
      <c r="BN251" s="304">
        <f t="shared" si="223"/>
        <v>14.07</v>
      </c>
      <c r="BO251" s="306">
        <f t="shared" si="224"/>
        <v>1091.1442360766555</v>
      </c>
      <c r="BP251" s="306"/>
    </row>
    <row r="252" spans="1:68">
      <c r="A252" s="299">
        <f t="shared" si="170"/>
        <v>3</v>
      </c>
      <c r="B252" s="300">
        <f t="shared" si="171"/>
        <v>38217</v>
      </c>
      <c r="C252" s="301" t="e">
        <f t="shared" si="203"/>
        <v>#N/A</v>
      </c>
      <c r="D252" s="301" t="e">
        <f t="shared" si="172"/>
        <v>#N/A</v>
      </c>
      <c r="E252" s="299">
        <f t="shared" si="173"/>
        <v>231</v>
      </c>
      <c r="F252" s="396">
        <f>Weather!M236</f>
        <v>0</v>
      </c>
      <c r="G252" s="301">
        <f>IF(Weather!C236="","",Weather!C236)</f>
        <v>3.5660875745517968</v>
      </c>
      <c r="H252" s="301">
        <f>IF(Weather!D236="","",Weather!D236)</f>
        <v>3.0294218913691475</v>
      </c>
      <c r="I252" s="502">
        <f>IF(Weather!E236="","",Weather!E236)</f>
        <v>3.0294218913691475</v>
      </c>
      <c r="J252" s="397">
        <f>IF(RnSplint!N280&lt;0,0,RnSplint!N280)</f>
        <v>30.130355404886931</v>
      </c>
      <c r="K252" s="302">
        <f t="shared" si="204"/>
        <v>1.0500000000000007</v>
      </c>
      <c r="L252" s="303">
        <f t="shared" si="205"/>
        <v>38217</v>
      </c>
      <c r="M252" s="346" t="str">
        <f t="shared" si="174"/>
        <v/>
      </c>
      <c r="N252" s="304">
        <f t="shared" si="206"/>
        <v>1.0500000000000007</v>
      </c>
      <c r="O252" s="304">
        <f t="shared" si="207"/>
        <v>0</v>
      </c>
      <c r="P252" s="304">
        <f t="shared" si="175"/>
        <v>1.0500000000000007</v>
      </c>
      <c r="Q252" s="304">
        <f t="shared" si="176"/>
        <v>0.18753343800489136</v>
      </c>
      <c r="R252" s="304">
        <f t="shared" si="177"/>
        <v>1.0500000000000007</v>
      </c>
      <c r="S252" s="305">
        <f t="shared" si="208"/>
        <v>1.0500000000000007</v>
      </c>
      <c r="T252" s="304">
        <f t="shared" si="178"/>
        <v>0.25421931441129791</v>
      </c>
      <c r="U252" s="304">
        <f t="shared" si="222"/>
        <v>1.0500000000000007</v>
      </c>
      <c r="V252" s="305">
        <f t="shared" si="179"/>
        <v>1.0500000000000007</v>
      </c>
      <c r="W252" s="305">
        <f t="shared" si="209"/>
        <v>1.0500000000000007</v>
      </c>
      <c r="X252" s="304">
        <f t="shared" si="210"/>
        <v>1.0500000000000007</v>
      </c>
      <c r="Z252" s="304" t="str">
        <f t="shared" si="180"/>
        <v/>
      </c>
      <c r="AA252" s="305">
        <f t="shared" si="181"/>
        <v>1.0500000000000007</v>
      </c>
      <c r="AB252" s="304">
        <f t="shared" si="182"/>
        <v>3.1808929859376072</v>
      </c>
      <c r="AC252" s="304" t="str">
        <f t="shared" si="211"/>
        <v/>
      </c>
      <c r="AD252" s="306">
        <f t="shared" si="183"/>
        <v>390.82918915994856</v>
      </c>
      <c r="AE252" s="307">
        <f t="shared" si="212"/>
        <v>3.1808929859376072</v>
      </c>
      <c r="AF252" s="308">
        <f t="shared" si="184"/>
        <v>390.82918915994856</v>
      </c>
      <c r="AG252" s="306">
        <f t="shared" si="213"/>
        <v>526.56961703453248</v>
      </c>
      <c r="AH252" s="306">
        <f t="shared" si="185"/>
        <v>0</v>
      </c>
      <c r="AI252" s="306">
        <f t="shared" si="214"/>
        <v>3.0294218913691475</v>
      </c>
      <c r="AJ252" s="306">
        <f t="shared" si="215"/>
        <v>0</v>
      </c>
      <c r="AK252" s="306">
        <f t="shared" si="186"/>
        <v>0</v>
      </c>
      <c r="AL252" s="306">
        <f t="shared" si="216"/>
        <v>3.1808929859376072</v>
      </c>
      <c r="AM252" s="306">
        <f t="shared" si="187"/>
        <v>0</v>
      </c>
      <c r="AN252" s="304">
        <f>KcSplint!$N281</f>
        <v>1.0057772897699202</v>
      </c>
      <c r="AO252" s="304">
        <f t="shared" si="188"/>
        <v>1.0551154230400821</v>
      </c>
      <c r="AP252" s="304">
        <f t="shared" si="217"/>
        <v>1.0551154230400821</v>
      </c>
      <c r="AQ252" s="305">
        <f t="shared" si="218"/>
        <v>1.0551154230400821</v>
      </c>
      <c r="AR252" s="304">
        <f t="shared" si="219"/>
        <v>3.1963897604788438</v>
      </c>
      <c r="AS252" s="306">
        <f t="shared" si="189"/>
        <v>430.05084370934503</v>
      </c>
      <c r="AT252" s="307">
        <f t="shared" si="220"/>
        <v>3.1963897604788438</v>
      </c>
      <c r="AU252" s="307">
        <f t="shared" si="221"/>
        <v>430.05084370934503</v>
      </c>
      <c r="AV252" s="304">
        <f t="shared" si="190"/>
        <v>3.0294218913691475</v>
      </c>
      <c r="AW252" s="309">
        <f t="shared" si="191"/>
        <v>178.85278996286593</v>
      </c>
      <c r="AX252" s="306">
        <f>IF(ISERROR(Weather!M236),#N/A,Weather!M236)</f>
        <v>0</v>
      </c>
      <c r="AY252" s="310">
        <f t="shared" si="192"/>
        <v>44</v>
      </c>
      <c r="AZ252" s="309">
        <f t="shared" si="193"/>
        <v>0.18753343800489136</v>
      </c>
      <c r="BA252" s="309">
        <f t="shared" si="194"/>
        <v>99.181383424428589</v>
      </c>
      <c r="BB252" s="311">
        <f>Irrig!H254</f>
        <v>0</v>
      </c>
      <c r="BC252" s="310">
        <f t="shared" si="195"/>
        <v>26</v>
      </c>
      <c r="BD252" s="309">
        <f t="shared" si="196"/>
        <v>0.25421931441129791</v>
      </c>
      <c r="BE252" s="309">
        <f t="shared" si="197"/>
        <v>0.25421931441129791</v>
      </c>
      <c r="BF252" s="306">
        <f>DailyMet!H235</f>
        <v>28.11</v>
      </c>
      <c r="BG252" s="306">
        <f>DailyMet!I235</f>
        <v>18.7</v>
      </c>
      <c r="BH252" s="306">
        <f t="shared" si="198"/>
        <v>28.11</v>
      </c>
      <c r="BI252" s="306">
        <f t="shared" si="199"/>
        <v>18.7</v>
      </c>
      <c r="BJ252" s="306">
        <f t="shared" si="200"/>
        <v>13.405000000000001</v>
      </c>
      <c r="BK252" s="306">
        <f t="shared" si="169"/>
        <v>1120.02</v>
      </c>
      <c r="BL252" s="304">
        <f t="shared" si="201"/>
        <v>0</v>
      </c>
      <c r="BM252" s="304">
        <f t="shared" si="202"/>
        <v>13.405000000000001</v>
      </c>
      <c r="BN252" s="304">
        <f t="shared" si="223"/>
        <v>13.405000000000001</v>
      </c>
      <c r="BO252" s="306">
        <f t="shared" si="224"/>
        <v>1104.5492360766555</v>
      </c>
      <c r="BP252" s="306"/>
    </row>
    <row r="253" spans="1:68">
      <c r="A253" s="299">
        <f t="shared" si="170"/>
        <v>3</v>
      </c>
      <c r="B253" s="300">
        <f t="shared" si="171"/>
        <v>38218</v>
      </c>
      <c r="C253" s="301">
        <f t="shared" si="203"/>
        <v>1.05</v>
      </c>
      <c r="D253" s="301">
        <f t="shared" si="172"/>
        <v>0.18536630905038032</v>
      </c>
      <c r="E253" s="299">
        <f t="shared" si="173"/>
        <v>232</v>
      </c>
      <c r="F253" s="396">
        <f>Weather!M237</f>
        <v>0</v>
      </c>
      <c r="G253" s="301">
        <f>IF(Weather!C237="","",Weather!C237)</f>
        <v>3.5173628850718486</v>
      </c>
      <c r="H253" s="301">
        <f>IF(Weather!D237="","",Weather!D237)</f>
        <v>4.0744982807337342</v>
      </c>
      <c r="I253" s="502">
        <f>IF(Weather!E237="","",Weather!E237)</f>
        <v>4.0744982807337342</v>
      </c>
      <c r="J253" s="397">
        <f>IF(RnSplint!N281&lt;0,0,RnSplint!N281)</f>
        <v>29.675114474670387</v>
      </c>
      <c r="K253" s="302">
        <f t="shared" si="204"/>
        <v>1.0500000000000007</v>
      </c>
      <c r="L253" s="303">
        <f t="shared" si="205"/>
        <v>38218</v>
      </c>
      <c r="M253" s="346" t="str">
        <f t="shared" si="174"/>
        <v/>
      </c>
      <c r="N253" s="304">
        <f t="shared" si="206"/>
        <v>1.0500000000000007</v>
      </c>
      <c r="O253" s="304">
        <f t="shared" si="207"/>
        <v>0</v>
      </c>
      <c r="P253" s="304">
        <f t="shared" si="175"/>
        <v>1.0500000000000007</v>
      </c>
      <c r="Q253" s="304">
        <f t="shared" si="176"/>
        <v>0.18536630905038032</v>
      </c>
      <c r="R253" s="304">
        <f t="shared" si="177"/>
        <v>1.0500000000000007</v>
      </c>
      <c r="S253" s="305">
        <f t="shared" si="208"/>
        <v>1.0500000000000007</v>
      </c>
      <c r="T253" s="304">
        <f t="shared" si="178"/>
        <v>0.24899261714875093</v>
      </c>
      <c r="U253" s="304">
        <f t="shared" si="222"/>
        <v>1.0500000000000007</v>
      </c>
      <c r="V253" s="305">
        <f t="shared" si="179"/>
        <v>1.0500000000000007</v>
      </c>
      <c r="W253" s="305">
        <f t="shared" si="209"/>
        <v>1.0500000000000007</v>
      </c>
      <c r="X253" s="304">
        <f t="shared" si="210"/>
        <v>1.0500000000000007</v>
      </c>
      <c r="Z253" s="304" t="str">
        <f t="shared" si="180"/>
        <v/>
      </c>
      <c r="AA253" s="305">
        <f t="shared" si="181"/>
        <v>1.0500000000000007</v>
      </c>
      <c r="AB253" s="304">
        <f t="shared" si="182"/>
        <v>4.2782231947704235</v>
      </c>
      <c r="AC253" s="304" t="str">
        <f t="shared" si="211"/>
        <v/>
      </c>
      <c r="AD253" s="306">
        <f t="shared" si="183"/>
        <v>395.10741235471897</v>
      </c>
      <c r="AE253" s="307">
        <f t="shared" si="212"/>
        <v>4.2782231947704235</v>
      </c>
      <c r="AF253" s="308">
        <f t="shared" si="184"/>
        <v>395.10741235471897</v>
      </c>
      <c r="AG253" s="306">
        <f t="shared" si="213"/>
        <v>530.64411531526616</v>
      </c>
      <c r="AH253" s="306">
        <f t="shared" si="185"/>
        <v>0</v>
      </c>
      <c r="AI253" s="306">
        <f t="shared" si="214"/>
        <v>4.0744982807337342</v>
      </c>
      <c r="AJ253" s="306">
        <f t="shared" si="215"/>
        <v>0</v>
      </c>
      <c r="AK253" s="306">
        <f t="shared" si="186"/>
        <v>0</v>
      </c>
      <c r="AL253" s="306">
        <f t="shared" si="216"/>
        <v>4.2782231947704235</v>
      </c>
      <c r="AM253" s="306">
        <f t="shared" si="187"/>
        <v>0</v>
      </c>
      <c r="AN253" s="304">
        <f>KcSplint!$N282</f>
        <v>0.99976261702721447</v>
      </c>
      <c r="AO253" s="304">
        <f t="shared" si="188"/>
        <v>1.0551154230400821</v>
      </c>
      <c r="AP253" s="304">
        <f t="shared" si="217"/>
        <v>1.0551154230400821</v>
      </c>
      <c r="AQ253" s="305">
        <f t="shared" si="218"/>
        <v>1.0551154230400821</v>
      </c>
      <c r="AR253" s="304">
        <f t="shared" si="219"/>
        <v>4.2990659771524609</v>
      </c>
      <c r="AS253" s="306">
        <f t="shared" si="189"/>
        <v>434.34990968649748</v>
      </c>
      <c r="AT253" s="307">
        <f t="shared" si="220"/>
        <v>4.2990659771524609</v>
      </c>
      <c r="AU253" s="307">
        <f t="shared" si="221"/>
        <v>434.34990968649748</v>
      </c>
      <c r="AV253" s="304">
        <f t="shared" si="190"/>
        <v>4.0744982807337342</v>
      </c>
      <c r="AW253" s="309">
        <f t="shared" si="191"/>
        <v>182.92728824359966</v>
      </c>
      <c r="AX253" s="306">
        <f>IF(ISERROR(Weather!M237),#N/A,Weather!M237)</f>
        <v>0</v>
      </c>
      <c r="AY253" s="310">
        <f t="shared" si="192"/>
        <v>45</v>
      </c>
      <c r="AZ253" s="309">
        <f t="shared" si="193"/>
        <v>0.18536630905038032</v>
      </c>
      <c r="BA253" s="309">
        <f t="shared" si="194"/>
        <v>103.25588170516232</v>
      </c>
      <c r="BB253" s="311">
        <f>Irrig!H255</f>
        <v>0</v>
      </c>
      <c r="BC253" s="310">
        <f t="shared" si="195"/>
        <v>27</v>
      </c>
      <c r="BD253" s="309">
        <f t="shared" si="196"/>
        <v>0.24899261714875093</v>
      </c>
      <c r="BE253" s="309">
        <f t="shared" si="197"/>
        <v>0.24899261714875093</v>
      </c>
      <c r="BF253" s="306">
        <f>DailyMet!H236</f>
        <v>28.33</v>
      </c>
      <c r="BG253" s="306">
        <f>DailyMet!I236</f>
        <v>18.5</v>
      </c>
      <c r="BH253" s="306">
        <f t="shared" si="198"/>
        <v>28.33</v>
      </c>
      <c r="BI253" s="306">
        <f t="shared" si="199"/>
        <v>18.5</v>
      </c>
      <c r="BJ253" s="306">
        <f t="shared" si="200"/>
        <v>13.414999999999999</v>
      </c>
      <c r="BK253" s="306">
        <f t="shared" si="169"/>
        <v>1133.4349999999999</v>
      </c>
      <c r="BL253" s="304">
        <f t="shared" si="201"/>
        <v>0</v>
      </c>
      <c r="BM253" s="304">
        <f t="shared" si="202"/>
        <v>13.414999999999999</v>
      </c>
      <c r="BN253" s="304">
        <f t="shared" si="223"/>
        <v>13.414999999999999</v>
      </c>
      <c r="BO253" s="306">
        <f t="shared" si="224"/>
        <v>1117.9642360766554</v>
      </c>
      <c r="BP253" s="306"/>
    </row>
    <row r="254" spans="1:68">
      <c r="A254" s="299">
        <f t="shared" si="170"/>
        <v>4</v>
      </c>
      <c r="B254" s="300">
        <f t="shared" si="171"/>
        <v>38219</v>
      </c>
      <c r="C254" s="301" t="e">
        <f t="shared" si="203"/>
        <v>#N/A</v>
      </c>
      <c r="D254" s="301" t="e">
        <f t="shared" si="172"/>
        <v>#N/A</v>
      </c>
      <c r="E254" s="299">
        <f t="shared" si="173"/>
        <v>233</v>
      </c>
      <c r="F254" s="396">
        <f>Weather!M238</f>
        <v>0</v>
      </c>
      <c r="G254" s="301">
        <f>IF(Weather!C238="","",Weather!C238)</f>
        <v>3.4672936995150878</v>
      </c>
      <c r="H254" s="301">
        <f>IF(Weather!D238="","",Weather!D238)</f>
        <v>4.259246672317726</v>
      </c>
      <c r="I254" s="502">
        <f>IF(Weather!E238="","",Weather!E238)</f>
        <v>4.259246672317726</v>
      </c>
      <c r="J254" s="397">
        <f>IF(RnSplint!N282&lt;0,0,RnSplint!N282)</f>
        <v>29.207235332934996</v>
      </c>
      <c r="K254" s="302">
        <f t="shared" si="204"/>
        <v>1.039285714285715</v>
      </c>
      <c r="L254" s="303">
        <f t="shared" si="205"/>
        <v>38219</v>
      </c>
      <c r="M254" s="346" t="str">
        <f t="shared" si="174"/>
        <v/>
      </c>
      <c r="N254" s="304">
        <f t="shared" si="206"/>
        <v>1.039285714285715</v>
      </c>
      <c r="O254" s="304">
        <f t="shared" si="207"/>
        <v>0</v>
      </c>
      <c r="P254" s="304">
        <f t="shared" si="175"/>
        <v>1.039285714285715</v>
      </c>
      <c r="Q254" s="304">
        <f t="shared" si="176"/>
        <v>0.18317778806115109</v>
      </c>
      <c r="R254" s="304">
        <f t="shared" si="177"/>
        <v>1.039285714285715</v>
      </c>
      <c r="S254" s="305">
        <f t="shared" si="208"/>
        <v>1.039285714285715</v>
      </c>
      <c r="T254" s="304">
        <f t="shared" si="178"/>
        <v>0.2438530570431178</v>
      </c>
      <c r="U254" s="304">
        <f t="shared" si="222"/>
        <v>1.039285714285715</v>
      </c>
      <c r="V254" s="305">
        <f t="shared" si="179"/>
        <v>1.039285714285715</v>
      </c>
      <c r="W254" s="305">
        <f t="shared" si="209"/>
        <v>1.039285714285715</v>
      </c>
      <c r="X254" s="304">
        <f t="shared" si="210"/>
        <v>1.039285714285715</v>
      </c>
      <c r="Z254" s="304" t="str">
        <f t="shared" si="180"/>
        <v/>
      </c>
      <c r="AA254" s="305">
        <f t="shared" si="181"/>
        <v>1.039285714285715</v>
      </c>
      <c r="AB254" s="304">
        <f t="shared" si="182"/>
        <v>4.4265742201587823</v>
      </c>
      <c r="AC254" s="304">
        <f t="shared" si="211"/>
        <v>1.039285714285715</v>
      </c>
      <c r="AD254" s="306">
        <f t="shared" si="183"/>
        <v>399.53398657487776</v>
      </c>
      <c r="AE254" s="307">
        <f t="shared" si="212"/>
        <v>4.4265742201587823</v>
      </c>
      <c r="AF254" s="308">
        <f t="shared" si="184"/>
        <v>399.53398657487776</v>
      </c>
      <c r="AG254" s="306">
        <f t="shared" si="213"/>
        <v>534.90336198758393</v>
      </c>
      <c r="AH254" s="306">
        <f t="shared" si="185"/>
        <v>0</v>
      </c>
      <c r="AI254" s="306">
        <f t="shared" si="214"/>
        <v>0</v>
      </c>
      <c r="AJ254" s="306">
        <f t="shared" si="215"/>
        <v>4.259246672317726</v>
      </c>
      <c r="AK254" s="306">
        <f t="shared" si="186"/>
        <v>0</v>
      </c>
      <c r="AL254" s="306">
        <f t="shared" si="216"/>
        <v>0</v>
      </c>
      <c r="AM254" s="306">
        <f t="shared" si="187"/>
        <v>4.4265742201587823</v>
      </c>
      <c r="AN254" s="304">
        <f>KcSplint!$N283</f>
        <v>0.99365119813933034</v>
      </c>
      <c r="AO254" s="304">
        <f t="shared" si="188"/>
        <v>1.0477248197026012</v>
      </c>
      <c r="AP254" s="304">
        <f t="shared" si="217"/>
        <v>1.0477248197026012</v>
      </c>
      <c r="AQ254" s="305">
        <f t="shared" si="218"/>
        <v>1.0477248197026012</v>
      </c>
      <c r="AR254" s="304">
        <f t="shared" si="219"/>
        <v>4.4625184518229934</v>
      </c>
      <c r="AS254" s="306">
        <f t="shared" si="189"/>
        <v>438.81242813832046</v>
      </c>
      <c r="AT254" s="307">
        <f t="shared" si="220"/>
        <v>4.4625184518229934</v>
      </c>
      <c r="AU254" s="307">
        <f t="shared" si="221"/>
        <v>438.81242813832046</v>
      </c>
      <c r="AV254" s="304">
        <f t="shared" si="190"/>
        <v>4.259246672317726</v>
      </c>
      <c r="AW254" s="309">
        <f t="shared" si="191"/>
        <v>187.18653491591738</v>
      </c>
      <c r="AX254" s="306">
        <f>IF(ISERROR(Weather!M238),#N/A,Weather!M238)</f>
        <v>0</v>
      </c>
      <c r="AY254" s="310">
        <f t="shared" si="192"/>
        <v>46</v>
      </c>
      <c r="AZ254" s="309">
        <f t="shared" si="193"/>
        <v>0.18317778806115109</v>
      </c>
      <c r="BA254" s="309">
        <f t="shared" si="194"/>
        <v>107.51512837748005</v>
      </c>
      <c r="BB254" s="311">
        <f>Irrig!H256</f>
        <v>0</v>
      </c>
      <c r="BC254" s="310">
        <f t="shared" si="195"/>
        <v>28</v>
      </c>
      <c r="BD254" s="309">
        <f t="shared" si="196"/>
        <v>0.2438530570431178</v>
      </c>
      <c r="BE254" s="309">
        <f t="shared" si="197"/>
        <v>0.2438530570431178</v>
      </c>
      <c r="BF254" s="306">
        <f>DailyMet!H237</f>
        <v>29.4</v>
      </c>
      <c r="BG254" s="306">
        <f>DailyMet!I237</f>
        <v>19.3</v>
      </c>
      <c r="BH254" s="306">
        <f t="shared" si="198"/>
        <v>29.4</v>
      </c>
      <c r="BI254" s="306">
        <f t="shared" si="199"/>
        <v>19.3</v>
      </c>
      <c r="BJ254" s="306">
        <f t="shared" si="200"/>
        <v>14.350000000000001</v>
      </c>
      <c r="BK254" s="306">
        <f t="shared" si="169"/>
        <v>1147.7849999999999</v>
      </c>
      <c r="BL254" s="304">
        <f t="shared" si="201"/>
        <v>0</v>
      </c>
      <c r="BM254" s="304">
        <f t="shared" si="202"/>
        <v>14.350000000000001</v>
      </c>
      <c r="BN254" s="304">
        <f t="shared" si="223"/>
        <v>14.350000000000001</v>
      </c>
      <c r="BO254" s="306">
        <f t="shared" si="224"/>
        <v>1132.3142360766553</v>
      </c>
      <c r="BP254" s="306"/>
    </row>
    <row r="255" spans="1:68">
      <c r="A255" s="299">
        <f t="shared" si="170"/>
        <v>4</v>
      </c>
      <c r="B255" s="300">
        <f t="shared" si="171"/>
        <v>38220</v>
      </c>
      <c r="C255" s="301" t="e">
        <f t="shared" si="203"/>
        <v>#N/A</v>
      </c>
      <c r="D255" s="301" t="e">
        <f t="shared" si="172"/>
        <v>#N/A</v>
      </c>
      <c r="E255" s="299">
        <f t="shared" si="173"/>
        <v>234</v>
      </c>
      <c r="F255" s="396">
        <f>Weather!M239</f>
        <v>0</v>
      </c>
      <c r="G255" s="301">
        <f>IF(Weather!C239="","",Weather!C239)</f>
        <v>3.4159806209935648</v>
      </c>
      <c r="H255" s="301">
        <f>IF(Weather!D239="","",Weather!D239)</f>
        <v>4.3146765128124835</v>
      </c>
      <c r="I255" s="502">
        <f>IF(Weather!E239="","",Weather!E239)</f>
        <v>4.3146765128124835</v>
      </c>
      <c r="J255" s="397">
        <f>IF(RnSplint!N283&lt;0,0,RnSplint!N283)</f>
        <v>28.727448637371637</v>
      </c>
      <c r="K255" s="302">
        <f t="shared" si="204"/>
        <v>1.0285714285714294</v>
      </c>
      <c r="L255" s="303">
        <f t="shared" si="205"/>
        <v>38220</v>
      </c>
      <c r="M255" s="346" t="str">
        <f t="shared" si="174"/>
        <v/>
      </c>
      <c r="N255" s="304">
        <f t="shared" si="206"/>
        <v>1.0285714285714294</v>
      </c>
      <c r="O255" s="304">
        <f t="shared" si="207"/>
        <v>0</v>
      </c>
      <c r="P255" s="304">
        <f t="shared" si="175"/>
        <v>1.0285714285714294</v>
      </c>
      <c r="Q255" s="304">
        <f t="shared" si="176"/>
        <v>0.18103643939801609</v>
      </c>
      <c r="R255" s="304">
        <f t="shared" si="177"/>
        <v>1.0285714285714294</v>
      </c>
      <c r="S255" s="305">
        <f t="shared" si="208"/>
        <v>1.0285714285714294</v>
      </c>
      <c r="T255" s="304">
        <f t="shared" si="178"/>
        <v>0.23895207267133492</v>
      </c>
      <c r="U255" s="304">
        <f t="shared" si="222"/>
        <v>1.0285714285714294</v>
      </c>
      <c r="V255" s="305">
        <f t="shared" si="179"/>
        <v>1.0285714285714294</v>
      </c>
      <c r="W255" s="305">
        <f t="shared" si="209"/>
        <v>1.0285714285714294</v>
      </c>
      <c r="X255" s="304">
        <f t="shared" si="210"/>
        <v>1.0285714285714294</v>
      </c>
      <c r="Z255" s="304" t="str">
        <f t="shared" si="180"/>
        <v/>
      </c>
      <c r="AA255" s="305">
        <f t="shared" si="181"/>
        <v>1.0285714285714294</v>
      </c>
      <c r="AB255" s="304">
        <f t="shared" si="182"/>
        <v>4.4379529846071293</v>
      </c>
      <c r="AC255" s="304">
        <f t="shared" si="211"/>
        <v>1.0285714285714294</v>
      </c>
      <c r="AD255" s="306">
        <f t="shared" si="183"/>
        <v>403.97193955948489</v>
      </c>
      <c r="AE255" s="307">
        <f t="shared" si="212"/>
        <v>4.4379529846071293</v>
      </c>
      <c r="AF255" s="308">
        <f t="shared" si="184"/>
        <v>403.97193955948489</v>
      </c>
      <c r="AG255" s="306">
        <f t="shared" si="213"/>
        <v>539.21803850039646</v>
      </c>
      <c r="AH255" s="306">
        <f t="shared" si="185"/>
        <v>0</v>
      </c>
      <c r="AI255" s="306">
        <f t="shared" si="214"/>
        <v>0</v>
      </c>
      <c r="AJ255" s="306">
        <f t="shared" si="215"/>
        <v>4.3146765128124835</v>
      </c>
      <c r="AK255" s="306">
        <f t="shared" si="186"/>
        <v>0</v>
      </c>
      <c r="AL255" s="306">
        <f t="shared" si="216"/>
        <v>0</v>
      </c>
      <c r="AM255" s="306">
        <f t="shared" si="187"/>
        <v>4.4379529846071293</v>
      </c>
      <c r="AN255" s="304">
        <f>KcSplint!$N284</f>
        <v>0.98746296875352657</v>
      </c>
      <c r="AO255" s="304">
        <f t="shared" si="188"/>
        <v>1.0403342163651204</v>
      </c>
      <c r="AP255" s="304">
        <f t="shared" si="217"/>
        <v>1.0403342163651204</v>
      </c>
      <c r="AQ255" s="305">
        <f t="shared" si="218"/>
        <v>1.0403342163651204</v>
      </c>
      <c r="AR255" s="304">
        <f t="shared" si="219"/>
        <v>4.4887056088257653</v>
      </c>
      <c r="AS255" s="306">
        <f t="shared" si="189"/>
        <v>443.3011337471462</v>
      </c>
      <c r="AT255" s="307">
        <f t="shared" si="220"/>
        <v>4.4887056088257653</v>
      </c>
      <c r="AU255" s="307">
        <f t="shared" si="221"/>
        <v>443.3011337471462</v>
      </c>
      <c r="AV255" s="304">
        <f t="shared" si="190"/>
        <v>4.3146765128124835</v>
      </c>
      <c r="AW255" s="309">
        <f t="shared" si="191"/>
        <v>191.50121142872987</v>
      </c>
      <c r="AX255" s="306">
        <f>IF(ISERROR(Weather!M239),#N/A,Weather!M239)</f>
        <v>0</v>
      </c>
      <c r="AY255" s="310">
        <f t="shared" si="192"/>
        <v>47</v>
      </c>
      <c r="AZ255" s="309">
        <f t="shared" si="193"/>
        <v>0.18103643939801609</v>
      </c>
      <c r="BA255" s="309">
        <f t="shared" si="194"/>
        <v>111.82980489029254</v>
      </c>
      <c r="BB255" s="311">
        <f>Irrig!H257</f>
        <v>0</v>
      </c>
      <c r="BC255" s="310">
        <f t="shared" si="195"/>
        <v>29</v>
      </c>
      <c r="BD255" s="309">
        <f t="shared" si="196"/>
        <v>0.23895207267133492</v>
      </c>
      <c r="BE255" s="309">
        <f t="shared" si="197"/>
        <v>0.23895207267133492</v>
      </c>
      <c r="BF255" s="306">
        <f>DailyMet!H238</f>
        <v>29.81</v>
      </c>
      <c r="BG255" s="306">
        <f>DailyMet!I238</f>
        <v>19.7</v>
      </c>
      <c r="BH255" s="306">
        <f t="shared" si="198"/>
        <v>29.81</v>
      </c>
      <c r="BI255" s="306">
        <f t="shared" si="199"/>
        <v>19.7</v>
      </c>
      <c r="BJ255" s="306">
        <f t="shared" si="200"/>
        <v>14.754999999999999</v>
      </c>
      <c r="BK255" s="306">
        <f t="shared" si="169"/>
        <v>1162.54</v>
      </c>
      <c r="BL255" s="304">
        <f t="shared" si="201"/>
        <v>0</v>
      </c>
      <c r="BM255" s="304">
        <f t="shared" si="202"/>
        <v>14.754999999999999</v>
      </c>
      <c r="BN255" s="304">
        <f t="shared" si="223"/>
        <v>14.754999999999999</v>
      </c>
      <c r="BO255" s="306">
        <f t="shared" si="224"/>
        <v>1147.0692360766554</v>
      </c>
      <c r="BP255" s="306"/>
    </row>
    <row r="256" spans="1:68">
      <c r="A256" s="299">
        <f t="shared" si="170"/>
        <v>4</v>
      </c>
      <c r="B256" s="300">
        <f t="shared" si="171"/>
        <v>38221</v>
      </c>
      <c r="C256" s="301" t="e">
        <f t="shared" si="203"/>
        <v>#N/A</v>
      </c>
      <c r="D256" s="301" t="e">
        <f t="shared" si="172"/>
        <v>#N/A</v>
      </c>
      <c r="E256" s="299">
        <f t="shared" si="173"/>
        <v>235</v>
      </c>
      <c r="F256" s="396">
        <f>Weather!M240</f>
        <v>0</v>
      </c>
      <c r="G256" s="301">
        <f>IF(Weather!C240="","",Weather!C240)</f>
        <v>3.3635242526193334</v>
      </c>
      <c r="H256" s="301">
        <f>IF(Weather!D240="","",Weather!D240)</f>
        <v>3.9046189691941287</v>
      </c>
      <c r="I256" s="502">
        <f>IF(Weather!E240="","",Weather!E240)</f>
        <v>3.9046189691941287</v>
      </c>
      <c r="J256" s="397">
        <f>IF(RnSplint!N284&lt;0,0,RnSplint!N284)</f>
        <v>28.236485045671177</v>
      </c>
      <c r="K256" s="302">
        <f t="shared" si="204"/>
        <v>1.0178571428571437</v>
      </c>
      <c r="L256" s="303">
        <f t="shared" si="205"/>
        <v>38221</v>
      </c>
      <c r="M256" s="346" t="str">
        <f t="shared" si="174"/>
        <v/>
      </c>
      <c r="N256" s="304">
        <f t="shared" si="206"/>
        <v>1.0178571428571437</v>
      </c>
      <c r="O256" s="304">
        <f t="shared" si="207"/>
        <v>0</v>
      </c>
      <c r="P256" s="304">
        <f t="shared" si="175"/>
        <v>1.0178571428571437</v>
      </c>
      <c r="Q256" s="304">
        <f t="shared" si="176"/>
        <v>0.17916069869000215</v>
      </c>
      <c r="R256" s="304">
        <f t="shared" si="177"/>
        <v>1.0178571428571437</v>
      </c>
      <c r="S256" s="305">
        <f t="shared" si="208"/>
        <v>1.0178571428571437</v>
      </c>
      <c r="T256" s="304">
        <f t="shared" si="178"/>
        <v>0.23475769070698013</v>
      </c>
      <c r="U256" s="304">
        <f t="shared" si="222"/>
        <v>1.0178571428571437</v>
      </c>
      <c r="V256" s="305">
        <f t="shared" si="179"/>
        <v>1.0178571428571437</v>
      </c>
      <c r="W256" s="305">
        <f t="shared" si="209"/>
        <v>1.0178571428571437</v>
      </c>
      <c r="X256" s="304">
        <f t="shared" si="210"/>
        <v>1.0178571428571437</v>
      </c>
      <c r="Z256" s="304" t="str">
        <f t="shared" si="180"/>
        <v/>
      </c>
      <c r="AA256" s="305">
        <f t="shared" si="181"/>
        <v>1.0178571428571437</v>
      </c>
      <c r="AB256" s="304">
        <f t="shared" si="182"/>
        <v>3.9743443079297411</v>
      </c>
      <c r="AC256" s="304">
        <f t="shared" si="211"/>
        <v>1.0178571428571437</v>
      </c>
      <c r="AD256" s="306">
        <f t="shared" si="183"/>
        <v>407.94628386741465</v>
      </c>
      <c r="AE256" s="307">
        <f t="shared" si="212"/>
        <v>3.9743443079297411</v>
      </c>
      <c r="AF256" s="308">
        <f t="shared" si="184"/>
        <v>407.94628386741465</v>
      </c>
      <c r="AG256" s="306">
        <f t="shared" si="213"/>
        <v>543.12265746959054</v>
      </c>
      <c r="AH256" s="306">
        <f t="shared" si="185"/>
        <v>0</v>
      </c>
      <c r="AI256" s="306">
        <f t="shared" si="214"/>
        <v>0</v>
      </c>
      <c r="AJ256" s="306">
        <f t="shared" si="215"/>
        <v>3.9046189691941287</v>
      </c>
      <c r="AK256" s="306">
        <f t="shared" si="186"/>
        <v>0</v>
      </c>
      <c r="AL256" s="306">
        <f t="shared" si="216"/>
        <v>0</v>
      </c>
      <c r="AM256" s="306">
        <f t="shared" si="187"/>
        <v>3.9743443079297411</v>
      </c>
      <c r="AN256" s="304">
        <f>KcSplint!$N285</f>
        <v>0.98121786451706194</v>
      </c>
      <c r="AO256" s="304">
        <f t="shared" si="188"/>
        <v>1.0329436130276395</v>
      </c>
      <c r="AP256" s="304">
        <f t="shared" si="217"/>
        <v>1.0329436130276395</v>
      </c>
      <c r="AQ256" s="305">
        <f t="shared" si="218"/>
        <v>1.0329436130276395</v>
      </c>
      <c r="AR256" s="304">
        <f t="shared" si="219"/>
        <v>4.0332512255356407</v>
      </c>
      <c r="AS256" s="306">
        <f t="shared" si="189"/>
        <v>447.33438497268185</v>
      </c>
      <c r="AT256" s="307">
        <f t="shared" si="220"/>
        <v>4.0332512255356407</v>
      </c>
      <c r="AU256" s="307">
        <f t="shared" si="221"/>
        <v>447.33438497268185</v>
      </c>
      <c r="AV256" s="304">
        <f t="shared" si="190"/>
        <v>3.9046189691941287</v>
      </c>
      <c r="AW256" s="309">
        <f t="shared" si="191"/>
        <v>195.40583039792401</v>
      </c>
      <c r="AX256" s="306">
        <f>IF(ISERROR(Weather!M240),#N/A,Weather!M240)</f>
        <v>0</v>
      </c>
      <c r="AY256" s="310">
        <f t="shared" si="192"/>
        <v>48</v>
      </c>
      <c r="AZ256" s="309">
        <f t="shared" si="193"/>
        <v>0.17916069869000215</v>
      </c>
      <c r="BA256" s="309">
        <f t="shared" si="194"/>
        <v>115.73442385948667</v>
      </c>
      <c r="BB256" s="311">
        <f>Irrig!H258</f>
        <v>0</v>
      </c>
      <c r="BC256" s="310">
        <f t="shared" si="195"/>
        <v>30</v>
      </c>
      <c r="BD256" s="309">
        <f t="shared" si="196"/>
        <v>0.23475769070698013</v>
      </c>
      <c r="BE256" s="309">
        <f t="shared" si="197"/>
        <v>0.23475769070698013</v>
      </c>
      <c r="BF256" s="306">
        <f>DailyMet!H239</f>
        <v>29.73</v>
      </c>
      <c r="BG256" s="306">
        <f>DailyMet!I239</f>
        <v>20.2</v>
      </c>
      <c r="BH256" s="306">
        <f t="shared" si="198"/>
        <v>29.73</v>
      </c>
      <c r="BI256" s="306">
        <f t="shared" si="199"/>
        <v>20.2</v>
      </c>
      <c r="BJ256" s="306">
        <f t="shared" si="200"/>
        <v>14.965</v>
      </c>
      <c r="BK256" s="306">
        <f t="shared" si="169"/>
        <v>1177.5049999999999</v>
      </c>
      <c r="BL256" s="304">
        <f t="shared" si="201"/>
        <v>0</v>
      </c>
      <c r="BM256" s="304">
        <f t="shared" si="202"/>
        <v>14.965</v>
      </c>
      <c r="BN256" s="304">
        <f t="shared" si="223"/>
        <v>14.965</v>
      </c>
      <c r="BO256" s="306">
        <f t="shared" si="224"/>
        <v>1162.0342360766554</v>
      </c>
      <c r="BP256" s="306"/>
    </row>
    <row r="257" spans="1:68">
      <c r="A257" s="299">
        <f t="shared" si="170"/>
        <v>4</v>
      </c>
      <c r="B257" s="300">
        <f t="shared" si="171"/>
        <v>38222</v>
      </c>
      <c r="C257" s="301" t="e">
        <f t="shared" si="203"/>
        <v>#N/A</v>
      </c>
      <c r="D257" s="301" t="e">
        <f t="shared" si="172"/>
        <v>#N/A</v>
      </c>
      <c r="E257" s="299">
        <f t="shared" si="173"/>
        <v>236</v>
      </c>
      <c r="F257" s="396">
        <f>Weather!M241</f>
        <v>0</v>
      </c>
      <c r="G257" s="301">
        <f>IF(Weather!C241="","",Weather!C241)</f>
        <v>3.3100251975044439</v>
      </c>
      <c r="H257" s="301">
        <f>IF(Weather!D241="","",Weather!D241)</f>
        <v>3.1599844462605367</v>
      </c>
      <c r="I257" s="502">
        <f>IF(Weather!E241="","",Weather!E241)</f>
        <v>3.1599844462605367</v>
      </c>
      <c r="J257" s="397">
        <f>IF(RnSplint!N285&lt;0,0,RnSplint!N285)</f>
        <v>27.735075215524493</v>
      </c>
      <c r="K257" s="302">
        <f t="shared" si="204"/>
        <v>1.007142857142858</v>
      </c>
      <c r="L257" s="303">
        <f t="shared" si="205"/>
        <v>38222</v>
      </c>
      <c r="M257" s="346" t="str">
        <f t="shared" si="174"/>
        <v/>
      </c>
      <c r="N257" s="304">
        <f t="shared" si="206"/>
        <v>1.007142857142858</v>
      </c>
      <c r="O257" s="304">
        <f t="shared" si="207"/>
        <v>0</v>
      </c>
      <c r="P257" s="304">
        <f t="shared" si="175"/>
        <v>1.007142857142858</v>
      </c>
      <c r="Q257" s="304">
        <f t="shared" si="176"/>
        <v>0.17768378369379079</v>
      </c>
      <c r="R257" s="304">
        <f t="shared" si="177"/>
        <v>1.007142857142858</v>
      </c>
      <c r="S257" s="305">
        <f t="shared" si="208"/>
        <v>1.007142857142858</v>
      </c>
      <c r="T257" s="304">
        <f t="shared" si="178"/>
        <v>0.23151717195592872</v>
      </c>
      <c r="U257" s="304">
        <f t="shared" si="222"/>
        <v>1.007142857142858</v>
      </c>
      <c r="V257" s="305">
        <f t="shared" si="179"/>
        <v>1.007142857142858</v>
      </c>
      <c r="W257" s="305">
        <f t="shared" si="209"/>
        <v>1.007142857142858</v>
      </c>
      <c r="X257" s="304">
        <f t="shared" si="210"/>
        <v>1.007142857142858</v>
      </c>
      <c r="Z257" s="304" t="str">
        <f t="shared" si="180"/>
        <v/>
      </c>
      <c r="AA257" s="305">
        <f t="shared" si="181"/>
        <v>1.007142857142858</v>
      </c>
      <c r="AB257" s="304">
        <f t="shared" si="182"/>
        <v>3.1825557637338289</v>
      </c>
      <c r="AC257" s="304">
        <f t="shared" si="211"/>
        <v>1.007142857142858</v>
      </c>
      <c r="AD257" s="306">
        <f t="shared" si="183"/>
        <v>411.12883963114848</v>
      </c>
      <c r="AE257" s="307">
        <f t="shared" si="212"/>
        <v>3.1825557637338289</v>
      </c>
      <c r="AF257" s="308">
        <f t="shared" si="184"/>
        <v>411.12883963114848</v>
      </c>
      <c r="AG257" s="306">
        <f t="shared" si="213"/>
        <v>546.28264191585106</v>
      </c>
      <c r="AH257" s="306">
        <f t="shared" si="185"/>
        <v>0</v>
      </c>
      <c r="AI257" s="306">
        <f t="shared" si="214"/>
        <v>0</v>
      </c>
      <c r="AJ257" s="306">
        <f t="shared" si="215"/>
        <v>3.1599844462605367</v>
      </c>
      <c r="AK257" s="306">
        <f t="shared" si="186"/>
        <v>0</v>
      </c>
      <c r="AL257" s="306">
        <f t="shared" si="216"/>
        <v>0</v>
      </c>
      <c r="AM257" s="306">
        <f t="shared" si="187"/>
        <v>3.1825557637338289</v>
      </c>
      <c r="AN257" s="304">
        <f>KcSplint!$N286</f>
        <v>0.97493582107719512</v>
      </c>
      <c r="AO257" s="304">
        <f t="shared" si="188"/>
        <v>1.0255530096901586</v>
      </c>
      <c r="AP257" s="304">
        <f t="shared" si="217"/>
        <v>1.0255530096901586</v>
      </c>
      <c r="AQ257" s="305">
        <f t="shared" si="218"/>
        <v>1.0255530096901586</v>
      </c>
      <c r="AR257" s="304">
        <f t="shared" si="219"/>
        <v>3.2407315594365826</v>
      </c>
      <c r="AS257" s="306">
        <f t="shared" si="189"/>
        <v>450.57511653211844</v>
      </c>
      <c r="AT257" s="307">
        <f t="shared" si="220"/>
        <v>3.2407315594365826</v>
      </c>
      <c r="AU257" s="307">
        <f t="shared" si="221"/>
        <v>450.57511653211844</v>
      </c>
      <c r="AV257" s="304">
        <f t="shared" si="190"/>
        <v>3.1599844462605367</v>
      </c>
      <c r="AW257" s="309">
        <f t="shared" si="191"/>
        <v>198.56581484418453</v>
      </c>
      <c r="AX257" s="306">
        <f>IF(ISERROR(Weather!M241),#N/A,Weather!M241)</f>
        <v>0</v>
      </c>
      <c r="AY257" s="310">
        <f t="shared" si="192"/>
        <v>49</v>
      </c>
      <c r="AZ257" s="309">
        <f t="shared" si="193"/>
        <v>0.17768378369379079</v>
      </c>
      <c r="BA257" s="309">
        <f t="shared" si="194"/>
        <v>118.89440830574721</v>
      </c>
      <c r="BB257" s="311">
        <f>Irrig!H259</f>
        <v>0</v>
      </c>
      <c r="BC257" s="310">
        <f t="shared" si="195"/>
        <v>31</v>
      </c>
      <c r="BD257" s="309">
        <f t="shared" si="196"/>
        <v>0.23151717195592872</v>
      </c>
      <c r="BE257" s="309">
        <f t="shared" si="197"/>
        <v>0.23151717195592872</v>
      </c>
      <c r="BF257" s="306">
        <f>DailyMet!H240</f>
        <v>29.33</v>
      </c>
      <c r="BG257" s="306">
        <f>DailyMet!I240</f>
        <v>22.5</v>
      </c>
      <c r="BH257" s="306">
        <f t="shared" si="198"/>
        <v>29.33</v>
      </c>
      <c r="BI257" s="306">
        <f t="shared" si="199"/>
        <v>22.5</v>
      </c>
      <c r="BJ257" s="306">
        <f t="shared" si="200"/>
        <v>15.914999999999999</v>
      </c>
      <c r="BK257" s="306">
        <f t="shared" si="169"/>
        <v>1193.4199999999998</v>
      </c>
      <c r="BL257" s="304">
        <f t="shared" si="201"/>
        <v>0</v>
      </c>
      <c r="BM257" s="304">
        <f t="shared" si="202"/>
        <v>15.914999999999999</v>
      </c>
      <c r="BN257" s="304">
        <f t="shared" si="223"/>
        <v>15.914999999999999</v>
      </c>
      <c r="BO257" s="306">
        <f t="shared" si="224"/>
        <v>1177.9492360766553</v>
      </c>
      <c r="BP257" s="306"/>
    </row>
    <row r="258" spans="1:68">
      <c r="A258" s="299">
        <f t="shared" si="170"/>
        <v>4</v>
      </c>
      <c r="B258" s="300">
        <f t="shared" si="171"/>
        <v>38223</v>
      </c>
      <c r="C258" s="301" t="e">
        <f t="shared" si="203"/>
        <v>#N/A</v>
      </c>
      <c r="D258" s="301" t="e">
        <f t="shared" si="172"/>
        <v>#N/A</v>
      </c>
      <c r="E258" s="299">
        <f t="shared" si="173"/>
        <v>237</v>
      </c>
      <c r="F258" s="396">
        <f>Weather!M242</f>
        <v>0</v>
      </c>
      <c r="G258" s="301">
        <f>IF(Weather!C242="","",Weather!C242)</f>
        <v>3.2555840587609484</v>
      </c>
      <c r="H258" s="301">
        <f>IF(Weather!D242="","",Weather!D242)</f>
        <v>3.8247380758573639</v>
      </c>
      <c r="I258" s="502">
        <f>IF(Weather!E242="","",Weather!E242)</f>
        <v>3.8247380758573639</v>
      </c>
      <c r="J258" s="397">
        <f>IF(RnSplint!N286&lt;0,0,RnSplint!N286)</f>
        <v>27.223949804622453</v>
      </c>
      <c r="K258" s="302">
        <f t="shared" si="204"/>
        <v>0.99642857142857233</v>
      </c>
      <c r="L258" s="303">
        <f t="shared" si="205"/>
        <v>38223</v>
      </c>
      <c r="M258" s="346" t="str">
        <f t="shared" si="174"/>
        <v/>
      </c>
      <c r="N258" s="304">
        <f t="shared" si="206"/>
        <v>0.99642857142857233</v>
      </c>
      <c r="O258" s="304">
        <f t="shared" si="207"/>
        <v>0</v>
      </c>
      <c r="P258" s="304">
        <f t="shared" si="175"/>
        <v>0.99642857142857233</v>
      </c>
      <c r="Q258" s="304">
        <f t="shared" si="176"/>
        <v>0.17594314241894723</v>
      </c>
      <c r="R258" s="304">
        <f t="shared" si="177"/>
        <v>0.99642857142857233</v>
      </c>
      <c r="S258" s="305">
        <f t="shared" si="208"/>
        <v>0.99642857142857233</v>
      </c>
      <c r="T258" s="304">
        <f t="shared" si="178"/>
        <v>0.22776539777837532</v>
      </c>
      <c r="U258" s="304">
        <f t="shared" si="222"/>
        <v>0.99642857142857233</v>
      </c>
      <c r="V258" s="305">
        <f t="shared" si="179"/>
        <v>0.99642857142857233</v>
      </c>
      <c r="W258" s="305">
        <f t="shared" si="209"/>
        <v>0.99642857142857233</v>
      </c>
      <c r="X258" s="304">
        <f t="shared" si="210"/>
        <v>0.99642857142857233</v>
      </c>
      <c r="Z258" s="304" t="str">
        <f t="shared" si="180"/>
        <v/>
      </c>
      <c r="AA258" s="305">
        <f t="shared" si="181"/>
        <v>0.99642857142857233</v>
      </c>
      <c r="AB258" s="304">
        <f t="shared" si="182"/>
        <v>3.8110782970150194</v>
      </c>
      <c r="AC258" s="304">
        <f t="shared" si="211"/>
        <v>0.99642857142857233</v>
      </c>
      <c r="AD258" s="306">
        <f t="shared" si="183"/>
        <v>414.93991792816348</v>
      </c>
      <c r="AE258" s="307">
        <f t="shared" si="212"/>
        <v>3.8110782970150194</v>
      </c>
      <c r="AF258" s="308">
        <f t="shared" si="184"/>
        <v>414.93991792816348</v>
      </c>
      <c r="AG258" s="306">
        <f t="shared" si="213"/>
        <v>550.1073799917084</v>
      </c>
      <c r="AH258" s="306">
        <f t="shared" si="185"/>
        <v>0</v>
      </c>
      <c r="AI258" s="306">
        <f t="shared" si="214"/>
        <v>0</v>
      </c>
      <c r="AJ258" s="306">
        <f t="shared" si="215"/>
        <v>3.8247380758573639</v>
      </c>
      <c r="AK258" s="306">
        <f t="shared" si="186"/>
        <v>0</v>
      </c>
      <c r="AL258" s="306">
        <f t="shared" si="216"/>
        <v>0</v>
      </c>
      <c r="AM258" s="306">
        <f t="shared" si="187"/>
        <v>3.8110782970150194</v>
      </c>
      <c r="AN258" s="304">
        <f>KcSplint!$N287</f>
        <v>0.96863677408118554</v>
      </c>
      <c r="AO258" s="304">
        <f t="shared" si="188"/>
        <v>1.0181624063526777</v>
      </c>
      <c r="AP258" s="304">
        <f t="shared" si="217"/>
        <v>1.0181624063526777</v>
      </c>
      <c r="AQ258" s="305">
        <f t="shared" si="218"/>
        <v>1.0181624063526777</v>
      </c>
      <c r="AR258" s="304">
        <f t="shared" si="219"/>
        <v>3.8942045229836442</v>
      </c>
      <c r="AS258" s="306">
        <f t="shared" si="189"/>
        <v>454.46932105510211</v>
      </c>
      <c r="AT258" s="307">
        <f t="shared" si="220"/>
        <v>3.8942045229836442</v>
      </c>
      <c r="AU258" s="307">
        <f t="shared" si="221"/>
        <v>454.46932105510211</v>
      </c>
      <c r="AV258" s="304">
        <f t="shared" si="190"/>
        <v>3.8247380758573639</v>
      </c>
      <c r="AW258" s="309">
        <f t="shared" si="191"/>
        <v>202.3905529200419</v>
      </c>
      <c r="AX258" s="306">
        <f>IF(ISERROR(Weather!M242),#N/A,Weather!M242)</f>
        <v>0</v>
      </c>
      <c r="AY258" s="310">
        <f t="shared" si="192"/>
        <v>50</v>
      </c>
      <c r="AZ258" s="309">
        <f t="shared" si="193"/>
        <v>0.17594314241894723</v>
      </c>
      <c r="BA258" s="309">
        <f t="shared" si="194"/>
        <v>122.71914638160457</v>
      </c>
      <c r="BB258" s="311">
        <f>Irrig!H260</f>
        <v>0</v>
      </c>
      <c r="BC258" s="310">
        <f t="shared" si="195"/>
        <v>32</v>
      </c>
      <c r="BD258" s="309">
        <f t="shared" si="196"/>
        <v>0.22776539777837532</v>
      </c>
      <c r="BE258" s="309">
        <f t="shared" si="197"/>
        <v>0.22776539777837532</v>
      </c>
      <c r="BF258" s="306">
        <f>DailyMet!H241</f>
        <v>29.5</v>
      </c>
      <c r="BG258" s="306">
        <f>DailyMet!I241</f>
        <v>21.1</v>
      </c>
      <c r="BH258" s="306">
        <f t="shared" si="198"/>
        <v>29.5</v>
      </c>
      <c r="BI258" s="306">
        <f t="shared" si="199"/>
        <v>21.1</v>
      </c>
      <c r="BJ258" s="306">
        <f t="shared" si="200"/>
        <v>15.3</v>
      </c>
      <c r="BK258" s="306">
        <f t="shared" si="169"/>
        <v>1208.7199999999998</v>
      </c>
      <c r="BL258" s="304">
        <f t="shared" si="201"/>
        <v>0</v>
      </c>
      <c r="BM258" s="304">
        <f t="shared" si="202"/>
        <v>15.3</v>
      </c>
      <c r="BN258" s="304">
        <f t="shared" si="223"/>
        <v>15.3</v>
      </c>
      <c r="BO258" s="306">
        <f t="shared" si="224"/>
        <v>1193.2492360766553</v>
      </c>
      <c r="BP258" s="306"/>
    </row>
    <row r="259" spans="1:68">
      <c r="A259" s="299">
        <f t="shared" si="170"/>
        <v>4</v>
      </c>
      <c r="B259" s="300">
        <f t="shared" si="171"/>
        <v>38224</v>
      </c>
      <c r="C259" s="301" t="e">
        <f t="shared" si="203"/>
        <v>#N/A</v>
      </c>
      <c r="D259" s="301" t="e">
        <f t="shared" si="172"/>
        <v>#N/A</v>
      </c>
      <c r="E259" s="299">
        <f t="shared" si="173"/>
        <v>238</v>
      </c>
      <c r="F259" s="396">
        <f>Weather!M243</f>
        <v>0</v>
      </c>
      <c r="G259" s="301">
        <f>IF(Weather!C243="","",Weather!C243)</f>
        <v>3.2003014395008988</v>
      </c>
      <c r="H259" s="301">
        <f>IF(Weather!D243="","",Weather!D243)</f>
        <v>3.7913485075397029</v>
      </c>
      <c r="I259" s="502">
        <f>IF(Weather!E243="","",Weather!E243)</f>
        <v>3.7913485075397029</v>
      </c>
      <c r="J259" s="397">
        <f>IF(RnSplint!N287&lt;0,0,RnSplint!N287)</f>
        <v>26.703839470655939</v>
      </c>
      <c r="K259" s="302">
        <f t="shared" si="204"/>
        <v>0.98571428571428665</v>
      </c>
      <c r="L259" s="303">
        <f t="shared" si="205"/>
        <v>38224</v>
      </c>
      <c r="M259" s="346" t="str">
        <f t="shared" si="174"/>
        <v/>
      </c>
      <c r="N259" s="304">
        <f t="shared" si="206"/>
        <v>0.98571428571428665</v>
      </c>
      <c r="O259" s="304">
        <f t="shared" si="207"/>
        <v>0</v>
      </c>
      <c r="P259" s="304">
        <f t="shared" si="175"/>
        <v>0.98571428571428665</v>
      </c>
      <c r="Q259" s="304">
        <f t="shared" si="176"/>
        <v>0.17426622671069714</v>
      </c>
      <c r="R259" s="304">
        <f t="shared" si="177"/>
        <v>0.98571428571428665</v>
      </c>
      <c r="S259" s="305">
        <f t="shared" si="208"/>
        <v>0.98571428571428665</v>
      </c>
      <c r="T259" s="304">
        <f t="shared" si="178"/>
        <v>0.22421734434082888</v>
      </c>
      <c r="U259" s="304">
        <f t="shared" si="222"/>
        <v>0.98571428571428665</v>
      </c>
      <c r="V259" s="305">
        <f t="shared" si="179"/>
        <v>0.98571428571428665</v>
      </c>
      <c r="W259" s="305">
        <f t="shared" si="209"/>
        <v>0.98571428571428665</v>
      </c>
      <c r="X259" s="304">
        <f t="shared" si="210"/>
        <v>0.98571428571428665</v>
      </c>
      <c r="Z259" s="304" t="str">
        <f t="shared" si="180"/>
        <v/>
      </c>
      <c r="AA259" s="305">
        <f t="shared" si="181"/>
        <v>0.98571428571428665</v>
      </c>
      <c r="AB259" s="304">
        <f t="shared" si="182"/>
        <v>3.7371863860034251</v>
      </c>
      <c r="AC259" s="304">
        <f t="shared" si="211"/>
        <v>0.98571428571428665</v>
      </c>
      <c r="AD259" s="306">
        <f t="shared" si="183"/>
        <v>418.67710431416691</v>
      </c>
      <c r="AE259" s="307">
        <f t="shared" si="212"/>
        <v>3.7371863860034251</v>
      </c>
      <c r="AF259" s="308">
        <f t="shared" si="184"/>
        <v>418.67710431416691</v>
      </c>
      <c r="AG259" s="306">
        <f t="shared" si="213"/>
        <v>553.89872849924814</v>
      </c>
      <c r="AH259" s="306">
        <f t="shared" si="185"/>
        <v>0</v>
      </c>
      <c r="AI259" s="306">
        <f t="shared" si="214"/>
        <v>0</v>
      </c>
      <c r="AJ259" s="306">
        <f t="shared" si="215"/>
        <v>3.7913485075397029</v>
      </c>
      <c r="AK259" s="306">
        <f t="shared" si="186"/>
        <v>0</v>
      </c>
      <c r="AL259" s="306">
        <f t="shared" si="216"/>
        <v>0</v>
      </c>
      <c r="AM259" s="306">
        <f t="shared" si="187"/>
        <v>3.7371863860034251</v>
      </c>
      <c r="AN259" s="304">
        <f>KcSplint!$N288</f>
        <v>0.96234065917629164</v>
      </c>
      <c r="AO259" s="304">
        <f t="shared" si="188"/>
        <v>1.0107718030151969</v>
      </c>
      <c r="AP259" s="304">
        <f t="shared" si="217"/>
        <v>1.0107718030151969</v>
      </c>
      <c r="AQ259" s="305">
        <f t="shared" si="218"/>
        <v>1.0107718030151969</v>
      </c>
      <c r="AR259" s="304">
        <f t="shared" si="219"/>
        <v>3.8321881668248814</v>
      </c>
      <c r="AS259" s="306">
        <f t="shared" si="189"/>
        <v>458.30150922192701</v>
      </c>
      <c r="AT259" s="307">
        <f t="shared" si="220"/>
        <v>3.8321881668248814</v>
      </c>
      <c r="AU259" s="307">
        <f t="shared" si="221"/>
        <v>458.30150922192701</v>
      </c>
      <c r="AV259" s="304">
        <f t="shared" si="190"/>
        <v>3.7913485075397029</v>
      </c>
      <c r="AW259" s="309">
        <f t="shared" si="191"/>
        <v>206.18190142758161</v>
      </c>
      <c r="AX259" s="306">
        <f>IF(ISERROR(Weather!M243),#N/A,Weather!M243)</f>
        <v>0</v>
      </c>
      <c r="AY259" s="310">
        <f t="shared" si="192"/>
        <v>51</v>
      </c>
      <c r="AZ259" s="309">
        <f t="shared" si="193"/>
        <v>0.17426622671069714</v>
      </c>
      <c r="BA259" s="309">
        <f t="shared" si="194"/>
        <v>126.51049488914428</v>
      </c>
      <c r="BB259" s="311">
        <f>Irrig!H261</f>
        <v>0</v>
      </c>
      <c r="BC259" s="310">
        <f t="shared" si="195"/>
        <v>33</v>
      </c>
      <c r="BD259" s="309">
        <f t="shared" si="196"/>
        <v>0.22421734434082888</v>
      </c>
      <c r="BE259" s="309">
        <f t="shared" si="197"/>
        <v>0.22421734434082888</v>
      </c>
      <c r="BF259" s="306">
        <f>DailyMet!H242</f>
        <v>29</v>
      </c>
      <c r="BG259" s="306">
        <f>DailyMet!I242</f>
        <v>19.399999999999999</v>
      </c>
      <c r="BH259" s="306">
        <f t="shared" si="198"/>
        <v>29</v>
      </c>
      <c r="BI259" s="306">
        <f t="shared" si="199"/>
        <v>19.399999999999999</v>
      </c>
      <c r="BJ259" s="306">
        <f t="shared" si="200"/>
        <v>14.2</v>
      </c>
      <c r="BK259" s="306">
        <f t="shared" si="169"/>
        <v>1222.9199999999998</v>
      </c>
      <c r="BL259" s="304">
        <f t="shared" si="201"/>
        <v>0</v>
      </c>
      <c r="BM259" s="304">
        <f t="shared" si="202"/>
        <v>14.2</v>
      </c>
      <c r="BN259" s="304">
        <f t="shared" si="223"/>
        <v>14.2</v>
      </c>
      <c r="BO259" s="306">
        <f t="shared" si="224"/>
        <v>1207.4492360766553</v>
      </c>
      <c r="BP259" s="306"/>
    </row>
    <row r="260" spans="1:68">
      <c r="A260" s="299">
        <f t="shared" si="170"/>
        <v>4</v>
      </c>
      <c r="B260" s="300">
        <f t="shared" si="171"/>
        <v>38225</v>
      </c>
      <c r="C260" s="301" t="e">
        <f t="shared" si="203"/>
        <v>#N/A</v>
      </c>
      <c r="D260" s="301" t="e">
        <f t="shared" si="172"/>
        <v>#N/A</v>
      </c>
      <c r="E260" s="299">
        <f t="shared" si="173"/>
        <v>239</v>
      </c>
      <c r="F260" s="396">
        <f>Weather!M244</f>
        <v>0.2</v>
      </c>
      <c r="G260" s="301">
        <f>IF(Weather!C244="","",Weather!C244)</f>
        <v>3.144277942836347</v>
      </c>
      <c r="H260" s="301">
        <f>IF(Weather!D244="","",Weather!D244)</f>
        <v>3.2718370581858034</v>
      </c>
      <c r="I260" s="502">
        <f>IF(Weather!E244="","",Weather!E244)</f>
        <v>3.2718370581858034</v>
      </c>
      <c r="J260" s="397">
        <f>IF(RnSplint!N288&lt;0,0,RnSplint!N288)</f>
        <v>26.175474871315814</v>
      </c>
      <c r="K260" s="302">
        <f t="shared" si="204"/>
        <v>0.97500000000000098</v>
      </c>
      <c r="L260" s="303">
        <f t="shared" si="205"/>
        <v>38225</v>
      </c>
      <c r="M260" s="346" t="str">
        <f t="shared" si="174"/>
        <v/>
      </c>
      <c r="N260" s="304">
        <f t="shared" si="206"/>
        <v>0.97500000000000098</v>
      </c>
      <c r="O260" s="304">
        <f t="shared" si="207"/>
        <v>0</v>
      </c>
      <c r="P260" s="304">
        <f t="shared" si="175"/>
        <v>0.97500000000000098</v>
      </c>
      <c r="Q260" s="304">
        <f t="shared" si="176"/>
        <v>0.17285623070518508</v>
      </c>
      <c r="R260" s="304">
        <f t="shared" si="177"/>
        <v>0.97500000000000098</v>
      </c>
      <c r="S260" s="305">
        <f t="shared" si="208"/>
        <v>0.97500000000000098</v>
      </c>
      <c r="T260" s="304">
        <f t="shared" si="178"/>
        <v>0.22128260262057892</v>
      </c>
      <c r="U260" s="304">
        <f t="shared" si="222"/>
        <v>0.97500000000000098</v>
      </c>
      <c r="V260" s="305">
        <f t="shared" si="179"/>
        <v>0.97500000000000098</v>
      </c>
      <c r="W260" s="305">
        <f t="shared" si="209"/>
        <v>0.97500000000000098</v>
      </c>
      <c r="X260" s="304">
        <f t="shared" si="210"/>
        <v>0.97500000000000098</v>
      </c>
      <c r="Z260" s="304" t="str">
        <f t="shared" si="180"/>
        <v/>
      </c>
      <c r="AA260" s="305">
        <f t="shared" si="181"/>
        <v>0.97500000000000098</v>
      </c>
      <c r="AB260" s="304">
        <f t="shared" si="182"/>
        <v>3.1900411317311614</v>
      </c>
      <c r="AC260" s="304">
        <f t="shared" si="211"/>
        <v>0.97500000000000098</v>
      </c>
      <c r="AD260" s="306">
        <f t="shared" si="183"/>
        <v>421.86714544589807</v>
      </c>
      <c r="AE260" s="307">
        <f t="shared" si="212"/>
        <v>3.1900411317311614</v>
      </c>
      <c r="AF260" s="308">
        <f t="shared" si="184"/>
        <v>421.86714544589807</v>
      </c>
      <c r="AG260" s="306">
        <f t="shared" si="213"/>
        <v>557.17056555743397</v>
      </c>
      <c r="AH260" s="306">
        <f t="shared" si="185"/>
        <v>0</v>
      </c>
      <c r="AI260" s="306">
        <f t="shared" si="214"/>
        <v>0</v>
      </c>
      <c r="AJ260" s="306">
        <f t="shared" si="215"/>
        <v>3.2718370581858034</v>
      </c>
      <c r="AK260" s="306">
        <f t="shared" si="186"/>
        <v>0</v>
      </c>
      <c r="AL260" s="306">
        <f t="shared" si="216"/>
        <v>0</v>
      </c>
      <c r="AM260" s="306">
        <f t="shared" si="187"/>
        <v>3.1900411317311614</v>
      </c>
      <c r="AN260" s="304">
        <f>KcSplint!$N289</f>
        <v>0.9560674120097723</v>
      </c>
      <c r="AO260" s="304">
        <f t="shared" si="188"/>
        <v>1.003381199677716</v>
      </c>
      <c r="AP260" s="304">
        <f t="shared" si="217"/>
        <v>1.003381199677716</v>
      </c>
      <c r="AQ260" s="305">
        <f t="shared" si="218"/>
        <v>1.003381199677716</v>
      </c>
      <c r="AR260" s="304">
        <f t="shared" si="219"/>
        <v>3.2828997925924805</v>
      </c>
      <c r="AS260" s="306">
        <f t="shared" si="189"/>
        <v>461.58440901451951</v>
      </c>
      <c r="AT260" s="307">
        <f t="shared" si="220"/>
        <v>3.2828997925924805</v>
      </c>
      <c r="AU260" s="307">
        <f t="shared" si="221"/>
        <v>461.58440901451951</v>
      </c>
      <c r="AV260" s="304">
        <f t="shared" si="190"/>
        <v>3.2718370581858034</v>
      </c>
      <c r="AW260" s="309">
        <f t="shared" si="191"/>
        <v>209.45373848576742</v>
      </c>
      <c r="AX260" s="306">
        <f>IF(ISERROR(Weather!M244),#N/A,Weather!M244)</f>
        <v>0.2</v>
      </c>
      <c r="AY260" s="310">
        <f t="shared" si="192"/>
        <v>52</v>
      </c>
      <c r="AZ260" s="309">
        <f t="shared" si="193"/>
        <v>0.17285623070518508</v>
      </c>
      <c r="BA260" s="309">
        <f t="shared" si="194"/>
        <v>129.78233194733008</v>
      </c>
      <c r="BB260" s="311">
        <f>Irrig!H262</f>
        <v>0</v>
      </c>
      <c r="BC260" s="310">
        <f t="shared" si="195"/>
        <v>34</v>
      </c>
      <c r="BD260" s="309">
        <f t="shared" si="196"/>
        <v>0.22128260262057892</v>
      </c>
      <c r="BE260" s="309">
        <f t="shared" si="197"/>
        <v>0.22128260262057892</v>
      </c>
      <c r="BF260" s="306">
        <f>DailyMet!H243</f>
        <v>24.65</v>
      </c>
      <c r="BG260" s="306">
        <f>DailyMet!I243</f>
        <v>15.8</v>
      </c>
      <c r="BH260" s="306">
        <f t="shared" si="198"/>
        <v>24.65</v>
      </c>
      <c r="BI260" s="306">
        <f t="shared" si="199"/>
        <v>15.8</v>
      </c>
      <c r="BJ260" s="306">
        <f t="shared" si="200"/>
        <v>10.225000000000001</v>
      </c>
      <c r="BK260" s="306">
        <f t="shared" si="169"/>
        <v>1233.1449999999998</v>
      </c>
      <c r="BL260" s="304">
        <f t="shared" si="201"/>
        <v>0</v>
      </c>
      <c r="BM260" s="304">
        <f t="shared" si="202"/>
        <v>10.225000000000001</v>
      </c>
      <c r="BN260" s="304">
        <f t="shared" si="223"/>
        <v>10.225000000000001</v>
      </c>
      <c r="BO260" s="306">
        <f t="shared" si="224"/>
        <v>1217.6742360766552</v>
      </c>
      <c r="BP260" s="306"/>
    </row>
    <row r="261" spans="1:68">
      <c r="A261" s="299">
        <f t="shared" si="170"/>
        <v>4</v>
      </c>
      <c r="B261" s="300">
        <f t="shared" si="171"/>
        <v>38226</v>
      </c>
      <c r="C261" s="301" t="e">
        <f t="shared" si="203"/>
        <v>#N/A</v>
      </c>
      <c r="D261" s="301" t="e">
        <f t="shared" si="172"/>
        <v>#N/A</v>
      </c>
      <c r="E261" s="299">
        <f t="shared" si="173"/>
        <v>240</v>
      </c>
      <c r="F261" s="396">
        <f>Weather!M245</f>
        <v>0</v>
      </c>
      <c r="G261" s="301">
        <f>IF(Weather!C245="","",Weather!C245)</f>
        <v>3.0876141718793457</v>
      </c>
      <c r="H261" s="301">
        <f>IF(Weather!D245="","",Weather!D245)</f>
        <v>2.394984867373108</v>
      </c>
      <c r="I261" s="502">
        <f>IF(Weather!E245="","",Weather!E245)</f>
        <v>2.394984867373108</v>
      </c>
      <c r="J261" s="397">
        <f>IF(RnSplint!N289&lt;0,0,RnSplint!N289)</f>
        <v>25.63958666429296</v>
      </c>
      <c r="K261" s="302">
        <f t="shared" si="204"/>
        <v>0.9642857142857153</v>
      </c>
      <c r="L261" s="303">
        <f t="shared" si="205"/>
        <v>38226</v>
      </c>
      <c r="M261" s="346" t="str">
        <f t="shared" si="174"/>
        <v/>
      </c>
      <c r="N261" s="304">
        <f t="shared" si="206"/>
        <v>0.9642857142857153</v>
      </c>
      <c r="O261" s="304">
        <f t="shared" si="207"/>
        <v>0</v>
      </c>
      <c r="P261" s="304">
        <f t="shared" si="175"/>
        <v>0.9642857142857153</v>
      </c>
      <c r="Q261" s="304">
        <f t="shared" si="176"/>
        <v>0.17184510563594038</v>
      </c>
      <c r="R261" s="304">
        <f t="shared" si="177"/>
        <v>0.9642857142857153</v>
      </c>
      <c r="S261" s="305">
        <f t="shared" si="208"/>
        <v>0.9642857142857153</v>
      </c>
      <c r="T261" s="304">
        <f t="shared" si="178"/>
        <v>0.21920453256796207</v>
      </c>
      <c r="U261" s="304">
        <f t="shared" si="222"/>
        <v>0.9642857142857153</v>
      </c>
      <c r="V261" s="305">
        <f t="shared" si="179"/>
        <v>0.9642857142857153</v>
      </c>
      <c r="W261" s="305">
        <f t="shared" si="209"/>
        <v>0.9642857142857153</v>
      </c>
      <c r="X261" s="304">
        <f t="shared" si="210"/>
        <v>0.9642857142857153</v>
      </c>
      <c r="Z261" s="304" t="str">
        <f t="shared" si="180"/>
        <v/>
      </c>
      <c r="AA261" s="305">
        <f t="shared" si="181"/>
        <v>0.9642857142857153</v>
      </c>
      <c r="AB261" s="304">
        <f t="shared" si="182"/>
        <v>2.3094496935383564</v>
      </c>
      <c r="AC261" s="304">
        <f t="shared" si="211"/>
        <v>0.9642857142857153</v>
      </c>
      <c r="AD261" s="306">
        <f t="shared" si="183"/>
        <v>424.17659513943642</v>
      </c>
      <c r="AE261" s="307">
        <f t="shared" si="212"/>
        <v>2.3094496935383564</v>
      </c>
      <c r="AF261" s="308">
        <f t="shared" si="184"/>
        <v>424.17659513943642</v>
      </c>
      <c r="AG261" s="306">
        <f t="shared" si="213"/>
        <v>559.56555042480704</v>
      </c>
      <c r="AH261" s="306">
        <f t="shared" si="185"/>
        <v>0</v>
      </c>
      <c r="AI261" s="306">
        <f t="shared" si="214"/>
        <v>0</v>
      </c>
      <c r="AJ261" s="306">
        <f t="shared" si="215"/>
        <v>2.394984867373108</v>
      </c>
      <c r="AK261" s="306">
        <f t="shared" si="186"/>
        <v>0</v>
      </c>
      <c r="AL261" s="306">
        <f t="shared" si="216"/>
        <v>0</v>
      </c>
      <c r="AM261" s="306">
        <f t="shared" si="187"/>
        <v>2.3094496935383564</v>
      </c>
      <c r="AN261" s="304">
        <f>KcSplint!$N290</f>
        <v>0.94983696822888641</v>
      </c>
      <c r="AO261" s="304">
        <f t="shared" si="188"/>
        <v>0.99599059634023512</v>
      </c>
      <c r="AP261" s="304">
        <f t="shared" si="217"/>
        <v>0.99599059634023512</v>
      </c>
      <c r="AQ261" s="305">
        <f t="shared" si="218"/>
        <v>0.99599059634023512</v>
      </c>
      <c r="AR261" s="304">
        <f t="shared" si="219"/>
        <v>2.3853824062807809</v>
      </c>
      <c r="AS261" s="306">
        <f t="shared" si="189"/>
        <v>463.96979142080028</v>
      </c>
      <c r="AT261" s="307">
        <f t="shared" si="220"/>
        <v>2.3853824062807809</v>
      </c>
      <c r="AU261" s="307">
        <f t="shared" si="221"/>
        <v>463.96979142080028</v>
      </c>
      <c r="AV261" s="304">
        <f t="shared" si="190"/>
        <v>2.394984867373108</v>
      </c>
      <c r="AW261" s="309">
        <f t="shared" si="191"/>
        <v>211.84872335314051</v>
      </c>
      <c r="AX261" s="306">
        <f>IF(ISERROR(Weather!M245),#N/A,Weather!M245)</f>
        <v>0</v>
      </c>
      <c r="AY261" s="310">
        <f t="shared" si="192"/>
        <v>53</v>
      </c>
      <c r="AZ261" s="309">
        <f t="shared" si="193"/>
        <v>0.17184510563594038</v>
      </c>
      <c r="BA261" s="309">
        <f t="shared" si="194"/>
        <v>132.17731681470318</v>
      </c>
      <c r="BB261" s="311">
        <f>Irrig!H263</f>
        <v>0</v>
      </c>
      <c r="BC261" s="310">
        <f t="shared" si="195"/>
        <v>35</v>
      </c>
      <c r="BD261" s="309">
        <f t="shared" si="196"/>
        <v>0.21920453256796207</v>
      </c>
      <c r="BE261" s="309">
        <f t="shared" si="197"/>
        <v>0.21920453256796207</v>
      </c>
      <c r="BF261" s="306">
        <f>DailyMet!H244</f>
        <v>22.28</v>
      </c>
      <c r="BG261" s="306">
        <f>DailyMet!I244</f>
        <v>13.6</v>
      </c>
      <c r="BH261" s="306">
        <f t="shared" si="198"/>
        <v>22.28</v>
      </c>
      <c r="BI261" s="306">
        <f t="shared" si="199"/>
        <v>13.6</v>
      </c>
      <c r="BJ261" s="306">
        <f t="shared" si="200"/>
        <v>7.9400000000000013</v>
      </c>
      <c r="BK261" s="306">
        <f t="shared" si="169"/>
        <v>1241.0849999999998</v>
      </c>
      <c r="BL261" s="304">
        <f t="shared" si="201"/>
        <v>0</v>
      </c>
      <c r="BM261" s="304">
        <f t="shared" si="202"/>
        <v>7.9400000000000013</v>
      </c>
      <c r="BN261" s="304">
        <f t="shared" si="223"/>
        <v>7.9400000000000013</v>
      </c>
      <c r="BO261" s="306">
        <f t="shared" si="224"/>
        <v>1225.6142360766553</v>
      </c>
      <c r="BP261" s="306"/>
    </row>
    <row r="262" spans="1:68">
      <c r="A262" s="299">
        <f t="shared" si="170"/>
        <v>4</v>
      </c>
      <c r="B262" s="300">
        <f t="shared" si="171"/>
        <v>38227</v>
      </c>
      <c r="C262" s="301" t="e">
        <f t="shared" si="203"/>
        <v>#N/A</v>
      </c>
      <c r="D262" s="301" t="e">
        <f t="shared" si="172"/>
        <v>#N/A</v>
      </c>
      <c r="E262" s="299">
        <f t="shared" si="173"/>
        <v>241</v>
      </c>
      <c r="F262" s="396">
        <f>Weather!M246</f>
        <v>0</v>
      </c>
      <c r="G262" s="301">
        <f>IF(Weather!C246="","",Weather!C246)</f>
        <v>3.0304107297419449</v>
      </c>
      <c r="H262" s="301">
        <f>IF(Weather!D246="","",Weather!D246)</f>
        <v>3.2809923263348102</v>
      </c>
      <c r="I262" s="502">
        <f>IF(Weather!E246="","",Weather!E246)</f>
        <v>3.2809923263348102</v>
      </c>
      <c r="J262" s="397">
        <f>IF(RnSplint!N290&lt;0,0,RnSplint!N290)</f>
        <v>25.09690550727824</v>
      </c>
      <c r="K262" s="302">
        <f t="shared" si="204"/>
        <v>0.95357142857142962</v>
      </c>
      <c r="L262" s="303">
        <f t="shared" si="205"/>
        <v>38227</v>
      </c>
      <c r="M262" s="346" t="str">
        <f t="shared" si="174"/>
        <v/>
      </c>
      <c r="N262" s="304">
        <f t="shared" si="206"/>
        <v>0.95357142857142962</v>
      </c>
      <c r="O262" s="304">
        <f t="shared" si="207"/>
        <v>0</v>
      </c>
      <c r="P262" s="304">
        <f t="shared" si="175"/>
        <v>0.95357142857142962</v>
      </c>
      <c r="Q262" s="304">
        <f t="shared" si="176"/>
        <v>0.17048771832224113</v>
      </c>
      <c r="R262" s="304">
        <f t="shared" si="177"/>
        <v>0.95357142857142962</v>
      </c>
      <c r="S262" s="305">
        <f t="shared" si="208"/>
        <v>0.95357142857142962</v>
      </c>
      <c r="T262" s="304">
        <f t="shared" si="178"/>
        <v>0.21644860497289123</v>
      </c>
      <c r="U262" s="304">
        <f t="shared" si="222"/>
        <v>0.95357142857142962</v>
      </c>
      <c r="V262" s="305">
        <f t="shared" si="179"/>
        <v>0.95357142857142962</v>
      </c>
      <c r="W262" s="305">
        <f t="shared" si="209"/>
        <v>0.95357142857142962</v>
      </c>
      <c r="X262" s="304">
        <f t="shared" si="210"/>
        <v>0.95357142857142962</v>
      </c>
      <c r="Z262" s="304" t="str">
        <f t="shared" si="180"/>
        <v/>
      </c>
      <c r="AA262" s="305">
        <f t="shared" si="181"/>
        <v>0.95357142857142962</v>
      </c>
      <c r="AB262" s="304">
        <f t="shared" si="182"/>
        <v>3.1286605397549834</v>
      </c>
      <c r="AC262" s="304">
        <f t="shared" si="211"/>
        <v>0.95357142857142962</v>
      </c>
      <c r="AD262" s="306">
        <f t="shared" si="183"/>
        <v>427.30525567919142</v>
      </c>
      <c r="AE262" s="307">
        <f t="shared" si="212"/>
        <v>3.1286605397549834</v>
      </c>
      <c r="AF262" s="308">
        <f t="shared" si="184"/>
        <v>427.30525567919142</v>
      </c>
      <c r="AG262" s="306">
        <f t="shared" si="213"/>
        <v>562.8465427511419</v>
      </c>
      <c r="AH262" s="306">
        <f t="shared" si="185"/>
        <v>0</v>
      </c>
      <c r="AI262" s="306">
        <f t="shared" si="214"/>
        <v>0</v>
      </c>
      <c r="AJ262" s="306">
        <f t="shared" si="215"/>
        <v>3.2809923263348102</v>
      </c>
      <c r="AK262" s="306">
        <f t="shared" si="186"/>
        <v>0</v>
      </c>
      <c r="AL262" s="306">
        <f t="shared" si="216"/>
        <v>0</v>
      </c>
      <c r="AM262" s="306">
        <f t="shared" si="187"/>
        <v>3.1286605397549834</v>
      </c>
      <c r="AN262" s="304">
        <f>KcSplint!$N291</f>
        <v>0.94366926348089264</v>
      </c>
      <c r="AO262" s="304">
        <f t="shared" si="188"/>
        <v>0.98859999300275425</v>
      </c>
      <c r="AP262" s="304">
        <f t="shared" si="217"/>
        <v>0.98859999300275425</v>
      </c>
      <c r="AQ262" s="305">
        <f t="shared" si="218"/>
        <v>0.98859999300275425</v>
      </c>
      <c r="AR262" s="304">
        <f t="shared" si="219"/>
        <v>3.2435889908566837</v>
      </c>
      <c r="AS262" s="306">
        <f t="shared" si="189"/>
        <v>467.21338041165694</v>
      </c>
      <c r="AT262" s="307">
        <f t="shared" si="220"/>
        <v>3.2435889908566837</v>
      </c>
      <c r="AU262" s="307">
        <f t="shared" si="221"/>
        <v>467.21338041165694</v>
      </c>
      <c r="AV262" s="304">
        <f t="shared" si="190"/>
        <v>3.2809923263348102</v>
      </c>
      <c r="AW262" s="309">
        <f t="shared" si="191"/>
        <v>215.12971567947531</v>
      </c>
      <c r="AX262" s="306">
        <f>IF(ISERROR(Weather!M246),#N/A,Weather!M246)</f>
        <v>0</v>
      </c>
      <c r="AY262" s="310">
        <f t="shared" si="192"/>
        <v>54</v>
      </c>
      <c r="AZ262" s="309">
        <f t="shared" si="193"/>
        <v>0.17048771832224113</v>
      </c>
      <c r="BA262" s="309">
        <f t="shared" si="194"/>
        <v>135.45830914103797</v>
      </c>
      <c r="BB262" s="311">
        <f>Irrig!H264</f>
        <v>0</v>
      </c>
      <c r="BC262" s="310">
        <f t="shared" si="195"/>
        <v>36</v>
      </c>
      <c r="BD262" s="309">
        <f t="shared" si="196"/>
        <v>0.21644860497289123</v>
      </c>
      <c r="BE262" s="309">
        <f t="shared" si="197"/>
        <v>0.21644860497289123</v>
      </c>
      <c r="BF262" s="306">
        <f>DailyMet!H245</f>
        <v>23.79</v>
      </c>
      <c r="BG262" s="306">
        <f>DailyMet!I245</f>
        <v>14.8</v>
      </c>
      <c r="BH262" s="306">
        <f t="shared" si="198"/>
        <v>23.79</v>
      </c>
      <c r="BI262" s="306">
        <f t="shared" si="199"/>
        <v>14.8</v>
      </c>
      <c r="BJ262" s="306">
        <f t="shared" si="200"/>
        <v>9.2950000000000017</v>
      </c>
      <c r="BK262" s="306">
        <f t="shared" si="169"/>
        <v>1250.3799999999999</v>
      </c>
      <c r="BL262" s="304">
        <f t="shared" si="201"/>
        <v>0</v>
      </c>
      <c r="BM262" s="304">
        <f t="shared" si="202"/>
        <v>9.2950000000000017</v>
      </c>
      <c r="BN262" s="304">
        <f t="shared" si="223"/>
        <v>9.2950000000000017</v>
      </c>
      <c r="BO262" s="306">
        <f t="shared" si="224"/>
        <v>1234.9092360766554</v>
      </c>
      <c r="BP262" s="306"/>
    </row>
    <row r="263" spans="1:68">
      <c r="A263" s="299">
        <f t="shared" si="170"/>
        <v>4</v>
      </c>
      <c r="B263" s="300">
        <f t="shared" si="171"/>
        <v>38228</v>
      </c>
      <c r="C263" s="301" t="e">
        <f t="shared" si="203"/>
        <v>#N/A</v>
      </c>
      <c r="D263" s="301" t="e">
        <f t="shared" si="172"/>
        <v>#N/A</v>
      </c>
      <c r="E263" s="299">
        <f t="shared" si="173"/>
        <v>242</v>
      </c>
      <c r="F263" s="396">
        <f>Weather!M247</f>
        <v>0</v>
      </c>
      <c r="G263" s="301">
        <f>IF(Weather!C247="","",Weather!C247)</f>
        <v>2.9727682195361984</v>
      </c>
      <c r="H263" s="301">
        <f>IF(Weather!D247="","",Weather!D247)</f>
        <v>3.6588226044606817</v>
      </c>
      <c r="I263" s="502">
        <f>IF(Weather!E247="","",Weather!E247)</f>
        <v>3.6588226044606817</v>
      </c>
      <c r="J263" s="397">
        <f>IF(RnSplint!N291&lt;0,0,RnSplint!N291)</f>
        <v>24.548162057962536</v>
      </c>
      <c r="K263" s="302">
        <f t="shared" si="204"/>
        <v>0.94285714285714395</v>
      </c>
      <c r="L263" s="303">
        <f t="shared" si="205"/>
        <v>38228</v>
      </c>
      <c r="M263" s="346" t="str">
        <f t="shared" si="174"/>
        <v/>
      </c>
      <c r="N263" s="304">
        <f t="shared" si="206"/>
        <v>0.94285714285714395</v>
      </c>
      <c r="O263" s="304">
        <f t="shared" si="207"/>
        <v>0</v>
      </c>
      <c r="P263" s="304">
        <f t="shared" si="175"/>
        <v>0.94285714285714395</v>
      </c>
      <c r="Q263" s="304">
        <f t="shared" si="176"/>
        <v>0.16901055587564506</v>
      </c>
      <c r="R263" s="304">
        <f t="shared" si="177"/>
        <v>0.94285714285714395</v>
      </c>
      <c r="S263" s="305">
        <f t="shared" si="208"/>
        <v>0.94285714285714395</v>
      </c>
      <c r="T263" s="304">
        <f t="shared" si="178"/>
        <v>0.21349224753544724</v>
      </c>
      <c r="U263" s="304">
        <f t="shared" si="222"/>
        <v>0.94285714285714395</v>
      </c>
      <c r="V263" s="305">
        <f t="shared" si="179"/>
        <v>0.94285714285714395</v>
      </c>
      <c r="W263" s="305">
        <f t="shared" si="209"/>
        <v>0.94285714285714395</v>
      </c>
      <c r="X263" s="304">
        <f t="shared" si="210"/>
        <v>0.94285714285714395</v>
      </c>
      <c r="Z263" s="304" t="str">
        <f t="shared" si="180"/>
        <v/>
      </c>
      <c r="AA263" s="305">
        <f t="shared" si="181"/>
        <v>0.94285714285714395</v>
      </c>
      <c r="AB263" s="304">
        <f t="shared" si="182"/>
        <v>3.4497470270629327</v>
      </c>
      <c r="AC263" s="304">
        <f t="shared" si="211"/>
        <v>0.94285714285714395</v>
      </c>
      <c r="AD263" s="306">
        <f t="shared" si="183"/>
        <v>430.75500270625434</v>
      </c>
      <c r="AE263" s="307">
        <f t="shared" si="212"/>
        <v>3.4497470270629327</v>
      </c>
      <c r="AF263" s="308">
        <f t="shared" si="184"/>
        <v>430.75500270625434</v>
      </c>
      <c r="AG263" s="306">
        <f t="shared" si="213"/>
        <v>566.50536535560263</v>
      </c>
      <c r="AH263" s="306">
        <f t="shared" si="185"/>
        <v>0</v>
      </c>
      <c r="AI263" s="306">
        <f t="shared" si="214"/>
        <v>0</v>
      </c>
      <c r="AJ263" s="306">
        <f t="shared" si="215"/>
        <v>3.6588226044606817</v>
      </c>
      <c r="AK263" s="306">
        <f t="shared" si="186"/>
        <v>0</v>
      </c>
      <c r="AL263" s="306">
        <f t="shared" si="216"/>
        <v>0</v>
      </c>
      <c r="AM263" s="306">
        <f t="shared" si="187"/>
        <v>3.4497470270629327</v>
      </c>
      <c r="AN263" s="304">
        <f>KcSplint!$N292</f>
        <v>0.93758423341304997</v>
      </c>
      <c r="AO263" s="304">
        <f t="shared" si="188"/>
        <v>0.98120938966527338</v>
      </c>
      <c r="AP263" s="304">
        <f t="shared" si="217"/>
        <v>0.98120938966527338</v>
      </c>
      <c r="AQ263" s="305">
        <f t="shared" si="218"/>
        <v>0.98120938966527338</v>
      </c>
      <c r="AR263" s="304">
        <f t="shared" si="219"/>
        <v>3.5900710946163716</v>
      </c>
      <c r="AS263" s="306">
        <f t="shared" si="189"/>
        <v>470.80345150627329</v>
      </c>
      <c r="AT263" s="307">
        <f t="shared" si="220"/>
        <v>3.5900710946163716</v>
      </c>
      <c r="AU263" s="307">
        <f t="shared" si="221"/>
        <v>470.80345150627329</v>
      </c>
      <c r="AV263" s="304">
        <f t="shared" si="190"/>
        <v>3.6588226044606817</v>
      </c>
      <c r="AW263" s="309">
        <f t="shared" si="191"/>
        <v>218.78853828393599</v>
      </c>
      <c r="AX263" s="306">
        <f>IF(ISERROR(Weather!M247),#N/A,Weather!M247)</f>
        <v>0</v>
      </c>
      <c r="AY263" s="310">
        <f t="shared" si="192"/>
        <v>55</v>
      </c>
      <c r="AZ263" s="309">
        <f t="shared" si="193"/>
        <v>0.16901055587564506</v>
      </c>
      <c r="BA263" s="309">
        <f t="shared" si="194"/>
        <v>139.11713174549865</v>
      </c>
      <c r="BB263" s="311">
        <f>Irrig!H265</f>
        <v>0</v>
      </c>
      <c r="BC263" s="310">
        <f t="shared" si="195"/>
        <v>37</v>
      </c>
      <c r="BD263" s="309">
        <f t="shared" si="196"/>
        <v>0.21349224753544724</v>
      </c>
      <c r="BE263" s="309">
        <f t="shared" si="197"/>
        <v>0.21349224753544724</v>
      </c>
      <c r="BF263" s="306">
        <f>DailyMet!H246</f>
        <v>24.65</v>
      </c>
      <c r="BG263" s="306">
        <f>DailyMet!I246</f>
        <v>14.9</v>
      </c>
      <c r="BH263" s="306">
        <f t="shared" si="198"/>
        <v>24.65</v>
      </c>
      <c r="BI263" s="306">
        <f t="shared" si="199"/>
        <v>14.9</v>
      </c>
      <c r="BJ263" s="306">
        <f t="shared" si="200"/>
        <v>9.7749999999999986</v>
      </c>
      <c r="BK263" s="306">
        <f t="shared" si="169"/>
        <v>1260.155</v>
      </c>
      <c r="BL263" s="304">
        <f t="shared" si="201"/>
        <v>0</v>
      </c>
      <c r="BM263" s="304">
        <f t="shared" si="202"/>
        <v>9.7749999999999986</v>
      </c>
      <c r="BN263" s="304">
        <f t="shared" si="223"/>
        <v>9.7749999999999986</v>
      </c>
      <c r="BO263" s="306">
        <f t="shared" si="224"/>
        <v>1244.6842360766555</v>
      </c>
      <c r="BP263" s="306"/>
    </row>
    <row r="264" spans="1:68">
      <c r="A264" s="299">
        <f t="shared" si="170"/>
        <v>4</v>
      </c>
      <c r="B264" s="300">
        <f t="shared" si="171"/>
        <v>38229</v>
      </c>
      <c r="C264" s="301" t="e">
        <f t="shared" si="203"/>
        <v>#N/A</v>
      </c>
      <c r="D264" s="301" t="e">
        <f t="shared" si="172"/>
        <v>#N/A</v>
      </c>
      <c r="E264" s="299">
        <f t="shared" si="173"/>
        <v>243</v>
      </c>
      <c r="F264" s="396">
        <f>Weather!M248</f>
        <v>0</v>
      </c>
      <c r="G264" s="301">
        <f>IF(Weather!C248="","",Weather!C248)</f>
        <v>2.9147872443741556</v>
      </c>
      <c r="H264" s="301">
        <f>IF(Weather!D248="","",Weather!D248)</f>
        <v>3.7539661230494863</v>
      </c>
      <c r="I264" s="502">
        <f>IF(Weather!E248="","",Weather!E248)</f>
        <v>3.7539661230494863</v>
      </c>
      <c r="J264" s="397">
        <f>IF(RnSplint!N292&lt;0,0,RnSplint!N292)</f>
        <v>23.994086974036712</v>
      </c>
      <c r="K264" s="302">
        <f t="shared" si="204"/>
        <v>0.93214285714285827</v>
      </c>
      <c r="L264" s="303">
        <f t="shared" si="205"/>
        <v>38229</v>
      </c>
      <c r="M264" s="346" t="str">
        <f t="shared" si="174"/>
        <v/>
      </c>
      <c r="N264" s="304">
        <f t="shared" si="206"/>
        <v>0.93214285714285827</v>
      </c>
      <c r="O264" s="304">
        <f t="shared" si="207"/>
        <v>0</v>
      </c>
      <c r="P264" s="304">
        <f t="shared" si="175"/>
        <v>0.93214285714285827</v>
      </c>
      <c r="Q264" s="304">
        <f t="shared" si="176"/>
        <v>0.16753340430433422</v>
      </c>
      <c r="R264" s="304">
        <f t="shared" si="177"/>
        <v>0.93214285714285827</v>
      </c>
      <c r="S264" s="305">
        <f t="shared" si="208"/>
        <v>0.93214285714285827</v>
      </c>
      <c r="T264" s="304">
        <f t="shared" si="178"/>
        <v>0.21057907104671347</v>
      </c>
      <c r="U264" s="304">
        <f t="shared" si="222"/>
        <v>0.93214285714285827</v>
      </c>
      <c r="V264" s="305">
        <f t="shared" si="179"/>
        <v>0.93214285714285827</v>
      </c>
      <c r="W264" s="305">
        <f t="shared" si="209"/>
        <v>0.93214285714285827</v>
      </c>
      <c r="X264" s="304">
        <f t="shared" si="210"/>
        <v>0.93214285714285827</v>
      </c>
      <c r="Y264" s="304">
        <f>AVERAGE(X234:X264)</f>
        <v>1.0271889400921665</v>
      </c>
      <c r="Z264" s="304" t="str">
        <f t="shared" si="180"/>
        <v/>
      </c>
      <c r="AA264" s="305">
        <f t="shared" si="181"/>
        <v>0.93214285714285827</v>
      </c>
      <c r="AB264" s="304">
        <f t="shared" si="182"/>
        <v>3.499232707556847</v>
      </c>
      <c r="AC264" s="304">
        <f t="shared" si="211"/>
        <v>0.93214285714285827</v>
      </c>
      <c r="AD264" s="306">
        <f t="shared" si="183"/>
        <v>434.25423541381122</v>
      </c>
      <c r="AE264" s="307">
        <f t="shared" si="212"/>
        <v>3.499232707556847</v>
      </c>
      <c r="AF264" s="308">
        <f t="shared" si="184"/>
        <v>434.25423541381122</v>
      </c>
      <c r="AG264" s="306">
        <f t="shared" si="213"/>
        <v>570.25933147865214</v>
      </c>
      <c r="AH264" s="306">
        <f t="shared" si="185"/>
        <v>0</v>
      </c>
      <c r="AI264" s="306">
        <f t="shared" si="214"/>
        <v>0</v>
      </c>
      <c r="AJ264" s="306">
        <f t="shared" si="215"/>
        <v>3.7539661230494863</v>
      </c>
      <c r="AK264" s="306">
        <f t="shared" si="186"/>
        <v>0</v>
      </c>
      <c r="AL264" s="306">
        <f t="shared" si="216"/>
        <v>0</v>
      </c>
      <c r="AM264" s="306">
        <f t="shared" si="187"/>
        <v>3.499232707556847</v>
      </c>
      <c r="AN264" s="304">
        <f>KcSplint!$N293</f>
        <v>0.9316018136726173</v>
      </c>
      <c r="AO264" s="304">
        <f t="shared" si="188"/>
        <v>0.97381878632779251</v>
      </c>
      <c r="AP264" s="304">
        <f t="shared" si="217"/>
        <v>0.97381878632779251</v>
      </c>
      <c r="AQ264" s="305">
        <f t="shared" si="218"/>
        <v>0.97381878632779251</v>
      </c>
      <c r="AR264" s="304">
        <f t="shared" si="219"/>
        <v>3.6556827338636992</v>
      </c>
      <c r="AS264" s="306">
        <f t="shared" si="189"/>
        <v>474.45913424013702</v>
      </c>
      <c r="AT264" s="307">
        <f t="shared" si="220"/>
        <v>3.6556827338636992</v>
      </c>
      <c r="AU264" s="307">
        <f t="shared" si="221"/>
        <v>474.45913424013702</v>
      </c>
      <c r="AV264" s="304">
        <f t="shared" si="190"/>
        <v>3.7539661230494863</v>
      </c>
      <c r="AW264" s="309">
        <f t="shared" si="191"/>
        <v>222.54250440698547</v>
      </c>
      <c r="AX264" s="306">
        <f>IF(ISERROR(Weather!M248),#N/A,Weather!M248)</f>
        <v>0</v>
      </c>
      <c r="AY264" s="310">
        <f t="shared" si="192"/>
        <v>56</v>
      </c>
      <c r="AZ264" s="309">
        <f t="shared" si="193"/>
        <v>0.16753340430433422</v>
      </c>
      <c r="BA264" s="309">
        <f t="shared" si="194"/>
        <v>142.87109786854813</v>
      </c>
      <c r="BB264" s="311">
        <f>Irrig!H266</f>
        <v>0</v>
      </c>
      <c r="BC264" s="310">
        <f t="shared" si="195"/>
        <v>38</v>
      </c>
      <c r="BD264" s="309">
        <f t="shared" si="196"/>
        <v>0.21057907104671347</v>
      </c>
      <c r="BE264" s="309">
        <f t="shared" si="197"/>
        <v>0.21057907104671347</v>
      </c>
      <c r="BF264" s="306">
        <f>DailyMet!H247</f>
        <v>25.9</v>
      </c>
      <c r="BG264" s="306">
        <f>DailyMet!I247</f>
        <v>17.2</v>
      </c>
      <c r="BH264" s="306">
        <f t="shared" si="198"/>
        <v>25.9</v>
      </c>
      <c r="BI264" s="306">
        <f t="shared" si="199"/>
        <v>17.2</v>
      </c>
      <c r="BJ264" s="306">
        <f t="shared" si="200"/>
        <v>11.549999999999997</v>
      </c>
      <c r="BK264" s="306">
        <f t="shared" ref="BK264:BK327" si="225">IF(AP264="",0,BK263+BJ264)</f>
        <v>1271.7049999999999</v>
      </c>
      <c r="BL264" s="304">
        <f t="shared" si="201"/>
        <v>0</v>
      </c>
      <c r="BM264" s="304">
        <f t="shared" si="202"/>
        <v>11.549999999999997</v>
      </c>
      <c r="BN264" s="304">
        <f t="shared" si="223"/>
        <v>11.549999999999997</v>
      </c>
      <c r="BO264" s="306">
        <f t="shared" si="224"/>
        <v>1256.2342360766554</v>
      </c>
      <c r="BP264" s="306"/>
    </row>
    <row r="265" spans="1:68">
      <c r="A265" s="299">
        <f t="shared" si="170"/>
        <v>4</v>
      </c>
      <c r="B265" s="300">
        <f t="shared" si="171"/>
        <v>38230</v>
      </c>
      <c r="C265" s="301" t="e">
        <f t="shared" si="203"/>
        <v>#N/A</v>
      </c>
      <c r="D265" s="301" t="e">
        <f t="shared" si="172"/>
        <v>#N/A</v>
      </c>
      <c r="E265" s="299">
        <f t="shared" si="173"/>
        <v>244</v>
      </c>
      <c r="F265" s="396">
        <f>Weather!M249</f>
        <v>0.2</v>
      </c>
      <c r="G265" s="301">
        <f>IF(Weather!C249="","",Weather!C249)</f>
        <v>2.8565684073678708</v>
      </c>
      <c r="H265" s="301">
        <f>IF(Weather!D249="","",Weather!D249)</f>
        <v>3.1191168130974036</v>
      </c>
      <c r="I265" s="502">
        <f>IF(Weather!E249="","",Weather!E249)</f>
        <v>3.1191168130974036</v>
      </c>
      <c r="J265" s="397">
        <f>IF(RnSplint!N293&lt;0,0,RnSplint!N293)</f>
        <v>23.435410913191646</v>
      </c>
      <c r="K265" s="302">
        <f t="shared" si="204"/>
        <v>0.9214285714285726</v>
      </c>
      <c r="L265" s="303">
        <f t="shared" si="205"/>
        <v>38230</v>
      </c>
      <c r="M265" s="346">
        <f t="shared" si="174"/>
        <v>8</v>
      </c>
      <c r="N265" s="304">
        <f t="shared" si="206"/>
        <v>0.9214285714285726</v>
      </c>
      <c r="O265" s="304">
        <f t="shared" si="207"/>
        <v>0</v>
      </c>
      <c r="P265" s="304">
        <f t="shared" si="175"/>
        <v>0.9214285714285726</v>
      </c>
      <c r="Q265" s="304">
        <f t="shared" si="176"/>
        <v>0.16633449783390106</v>
      </c>
      <c r="R265" s="304">
        <f t="shared" si="177"/>
        <v>0.9214285714285726</v>
      </c>
      <c r="S265" s="305">
        <f t="shared" si="208"/>
        <v>0.9214285714285726</v>
      </c>
      <c r="T265" s="304">
        <f t="shared" si="178"/>
        <v>0.2082454173291978</v>
      </c>
      <c r="U265" s="304">
        <f t="shared" si="222"/>
        <v>0.9214285714285726</v>
      </c>
      <c r="V265" s="305">
        <f t="shared" si="179"/>
        <v>0.9214285714285726</v>
      </c>
      <c r="W265" s="305">
        <f t="shared" si="209"/>
        <v>0.9214285714285726</v>
      </c>
      <c r="X265" s="304">
        <f t="shared" si="210"/>
        <v>0.9214285714285726</v>
      </c>
      <c r="Y265" s="304">
        <f>AVERAGE(X235:X265)</f>
        <v>1.0230414746543786</v>
      </c>
      <c r="Z265" s="304" t="str">
        <f t="shared" si="180"/>
        <v/>
      </c>
      <c r="AA265" s="305">
        <f t="shared" si="181"/>
        <v>0.9214285714285726</v>
      </c>
      <c r="AB265" s="304">
        <f t="shared" si="182"/>
        <v>2.8740433492111825</v>
      </c>
      <c r="AC265" s="304">
        <f t="shared" si="211"/>
        <v>0.9214285714285726</v>
      </c>
      <c r="AD265" s="306">
        <f t="shared" si="183"/>
        <v>437.12827876302242</v>
      </c>
      <c r="AE265" s="307">
        <f t="shared" si="212"/>
        <v>2.8740433492111825</v>
      </c>
      <c r="AF265" s="308">
        <f t="shared" si="184"/>
        <v>437.12827876302242</v>
      </c>
      <c r="AG265" s="306">
        <f t="shared" si="213"/>
        <v>573.37844829174958</v>
      </c>
      <c r="AH265" s="306">
        <f t="shared" si="185"/>
        <v>0</v>
      </c>
      <c r="AI265" s="306">
        <f t="shared" si="214"/>
        <v>0</v>
      </c>
      <c r="AJ265" s="306">
        <f t="shared" si="215"/>
        <v>3.1191168130974036</v>
      </c>
      <c r="AK265" s="306">
        <f t="shared" si="186"/>
        <v>0</v>
      </c>
      <c r="AL265" s="306">
        <f t="shared" si="216"/>
        <v>0</v>
      </c>
      <c r="AM265" s="306">
        <f t="shared" si="187"/>
        <v>2.8740433492111825</v>
      </c>
      <c r="AN265" s="304">
        <f>KcSplint!$N294</f>
        <v>0.92574193990685316</v>
      </c>
      <c r="AO265" s="304">
        <f t="shared" si="188"/>
        <v>0.96642818299031163</v>
      </c>
      <c r="AP265" s="304">
        <f t="shared" si="217"/>
        <v>0.96642818299031163</v>
      </c>
      <c r="AQ265" s="305">
        <f t="shared" si="218"/>
        <v>0.96642818299031163</v>
      </c>
      <c r="AR265" s="304">
        <f t="shared" si="219"/>
        <v>3.0144023942162552</v>
      </c>
      <c r="AS265" s="306">
        <f t="shared" si="189"/>
        <v>477.47353663435325</v>
      </c>
      <c r="AT265" s="307">
        <f t="shared" si="220"/>
        <v>3.0144023942162552</v>
      </c>
      <c r="AU265" s="307">
        <f t="shared" si="221"/>
        <v>477.47353663435325</v>
      </c>
      <c r="AV265" s="304">
        <f t="shared" si="190"/>
        <v>3.1191168130974036</v>
      </c>
      <c r="AW265" s="309">
        <f t="shared" si="191"/>
        <v>225.66162122008288</v>
      </c>
      <c r="AX265" s="306">
        <f>IF(ISERROR(Weather!M249),#N/A,Weather!M249)</f>
        <v>0.2</v>
      </c>
      <c r="AY265" s="310">
        <f t="shared" si="192"/>
        <v>57</v>
      </c>
      <c r="AZ265" s="309">
        <f t="shared" si="193"/>
        <v>0.16633449783390106</v>
      </c>
      <c r="BA265" s="309">
        <f t="shared" si="194"/>
        <v>145.99021468164554</v>
      </c>
      <c r="BB265" s="311">
        <f>Irrig!H267</f>
        <v>0</v>
      </c>
      <c r="BC265" s="310">
        <f t="shared" si="195"/>
        <v>39</v>
      </c>
      <c r="BD265" s="309">
        <f t="shared" si="196"/>
        <v>0.2082454173291978</v>
      </c>
      <c r="BE265" s="309">
        <f t="shared" si="197"/>
        <v>0.2082454173291978</v>
      </c>
      <c r="BF265" s="306">
        <f>DailyMet!H248</f>
        <v>21.91</v>
      </c>
      <c r="BG265" s="306">
        <f>DailyMet!I248</f>
        <v>15.3</v>
      </c>
      <c r="BH265" s="306">
        <f t="shared" si="198"/>
        <v>21.91</v>
      </c>
      <c r="BI265" s="306">
        <f t="shared" si="199"/>
        <v>15.3</v>
      </c>
      <c r="BJ265" s="306">
        <f t="shared" si="200"/>
        <v>8.6050000000000004</v>
      </c>
      <c r="BK265" s="306">
        <f t="shared" si="225"/>
        <v>1280.31</v>
      </c>
      <c r="BL265" s="304">
        <f t="shared" si="201"/>
        <v>0</v>
      </c>
      <c r="BM265" s="304">
        <f t="shared" si="202"/>
        <v>8.6050000000000004</v>
      </c>
      <c r="BN265" s="304">
        <f t="shared" si="223"/>
        <v>8.6050000000000004</v>
      </c>
      <c r="BO265" s="306">
        <f t="shared" si="224"/>
        <v>1264.8392360766554</v>
      </c>
      <c r="BP265" s="306"/>
    </row>
    <row r="266" spans="1:68">
      <c r="A266" s="299">
        <f t="shared" si="170"/>
        <v>4</v>
      </c>
      <c r="B266" s="300">
        <f t="shared" si="171"/>
        <v>38231</v>
      </c>
      <c r="C266" s="301" t="e">
        <f t="shared" si="203"/>
        <v>#N/A</v>
      </c>
      <c r="D266" s="301" t="e">
        <f t="shared" si="172"/>
        <v>#N/A</v>
      </c>
      <c r="E266" s="299">
        <f t="shared" si="173"/>
        <v>245</v>
      </c>
      <c r="F266" s="396">
        <f>Weather!M250</f>
        <v>50.8</v>
      </c>
      <c r="G266" s="301">
        <f>IF(Weather!C250="","",Weather!C250)</f>
        <v>2.7982123116293942</v>
      </c>
      <c r="H266" s="301">
        <f>IF(Weather!D250="","",Weather!D250)</f>
        <v>2.5079702328575904</v>
      </c>
      <c r="I266" s="502">
        <f>IF(Weather!E250="","",Weather!E250)</f>
        <v>2.5079702328575904</v>
      </c>
      <c r="J266" s="397">
        <f>IF(RnSplint!N294&lt;0,0,RnSplint!N294)</f>
        <v>22.872864533118214</v>
      </c>
      <c r="K266" s="302">
        <f t="shared" si="204"/>
        <v>0.91071428571428692</v>
      </c>
      <c r="L266" s="303">
        <f t="shared" si="205"/>
        <v>38231</v>
      </c>
      <c r="M266" s="346" t="str">
        <f t="shared" si="174"/>
        <v/>
      </c>
      <c r="N266" s="304">
        <f t="shared" si="206"/>
        <v>0.91071428571428692</v>
      </c>
      <c r="O266" s="304">
        <f t="shared" si="207"/>
        <v>0</v>
      </c>
      <c r="P266" s="304">
        <f t="shared" si="175"/>
        <v>0.91071428571428692</v>
      </c>
      <c r="Q266" s="304">
        <f t="shared" si="176"/>
        <v>1.2</v>
      </c>
      <c r="R266" s="304">
        <f t="shared" si="177"/>
        <v>1.2</v>
      </c>
      <c r="S266" s="305">
        <f t="shared" si="208"/>
        <v>1.2</v>
      </c>
      <c r="T266" s="304">
        <f t="shared" si="178"/>
        <v>0.20642314741471765</v>
      </c>
      <c r="U266" s="304">
        <f t="shared" si="222"/>
        <v>0.91071428571428692</v>
      </c>
      <c r="V266" s="305">
        <f t="shared" si="179"/>
        <v>0.91071428571428692</v>
      </c>
      <c r="W266" s="305">
        <f t="shared" si="209"/>
        <v>0.91071428571428692</v>
      </c>
      <c r="X266" s="304">
        <f t="shared" si="210"/>
        <v>1.2</v>
      </c>
      <c r="Z266" s="304" t="str">
        <f t="shared" si="180"/>
        <v/>
      </c>
      <c r="AA266" s="305">
        <f t="shared" si="181"/>
        <v>1.2</v>
      </c>
      <c r="AB266" s="304">
        <f t="shared" si="182"/>
        <v>3.0095642794291084</v>
      </c>
      <c r="AC266" s="304">
        <f t="shared" si="211"/>
        <v>1.2</v>
      </c>
      <c r="AD266" s="306">
        <f t="shared" si="183"/>
        <v>440.13784304245155</v>
      </c>
      <c r="AE266" s="307">
        <f t="shared" si="212"/>
        <v>3.0095642794291084</v>
      </c>
      <c r="AF266" s="308">
        <f t="shared" si="184"/>
        <v>440.13784304245155</v>
      </c>
      <c r="AG266" s="306">
        <f t="shared" si="213"/>
        <v>575.88641852460717</v>
      </c>
      <c r="AH266" s="306">
        <f t="shared" si="185"/>
        <v>0</v>
      </c>
      <c r="AI266" s="306">
        <f t="shared" si="214"/>
        <v>0</v>
      </c>
      <c r="AJ266" s="306">
        <f t="shared" si="215"/>
        <v>2.5079702328575904</v>
      </c>
      <c r="AK266" s="306">
        <f t="shared" si="186"/>
        <v>0</v>
      </c>
      <c r="AL266" s="306">
        <f t="shared" si="216"/>
        <v>0</v>
      </c>
      <c r="AM266" s="306">
        <f t="shared" si="187"/>
        <v>3.0095642794291084</v>
      </c>
      <c r="AN266" s="304">
        <f>KcSplint!$N295</f>
        <v>0.92002454776301668</v>
      </c>
      <c r="AO266" s="304">
        <f t="shared" si="188"/>
        <v>0.95903757965283076</v>
      </c>
      <c r="AP266" s="304">
        <f t="shared" si="217"/>
        <v>0.95903757965283076</v>
      </c>
      <c r="AQ266" s="305">
        <f t="shared" si="218"/>
        <v>0.95903757965283076</v>
      </c>
      <c r="AR266" s="304">
        <f t="shared" si="219"/>
        <v>2.4052377019610898</v>
      </c>
      <c r="AS266" s="306">
        <f t="shared" si="189"/>
        <v>479.87877433631434</v>
      </c>
      <c r="AT266" s="307">
        <f t="shared" si="220"/>
        <v>2.4052377019610898</v>
      </c>
      <c r="AU266" s="307">
        <f t="shared" si="221"/>
        <v>479.87877433631434</v>
      </c>
      <c r="AV266" s="304">
        <f t="shared" si="190"/>
        <v>2.5079702328575904</v>
      </c>
      <c r="AW266" s="309">
        <f t="shared" si="191"/>
        <v>2.5079702328575904</v>
      </c>
      <c r="AX266" s="306">
        <f>IF(ISERROR(Weather!M250),#N/A,Weather!M250)</f>
        <v>50.8</v>
      </c>
      <c r="AY266" s="310">
        <f t="shared" si="192"/>
        <v>1</v>
      </c>
      <c r="AZ266" s="309">
        <f t="shared" si="193"/>
        <v>1.2</v>
      </c>
      <c r="BA266" s="309">
        <f t="shared" si="194"/>
        <v>148.49818491450313</v>
      </c>
      <c r="BB266" s="311">
        <f>Irrig!H268</f>
        <v>0</v>
      </c>
      <c r="BC266" s="310">
        <f t="shared" si="195"/>
        <v>40</v>
      </c>
      <c r="BD266" s="309">
        <f t="shared" si="196"/>
        <v>0.20642314741471765</v>
      </c>
      <c r="BE266" s="309">
        <f t="shared" si="197"/>
        <v>0.20642314741471765</v>
      </c>
      <c r="BF266" s="306">
        <f>DailyMet!H249</f>
        <v>17.510000000000002</v>
      </c>
      <c r="BG266" s="306">
        <f>DailyMet!I249</f>
        <v>13.6</v>
      </c>
      <c r="BH266" s="306">
        <f t="shared" si="198"/>
        <v>17.510000000000002</v>
      </c>
      <c r="BI266" s="306">
        <f t="shared" si="199"/>
        <v>13.6</v>
      </c>
      <c r="BJ266" s="306">
        <f t="shared" si="200"/>
        <v>5.5549999999999997</v>
      </c>
      <c r="BK266" s="306">
        <f t="shared" si="225"/>
        <v>1285.865</v>
      </c>
      <c r="BL266" s="304">
        <f t="shared" si="201"/>
        <v>0</v>
      </c>
      <c r="BM266" s="304">
        <f t="shared" si="202"/>
        <v>5.5549999999999997</v>
      </c>
      <c r="BN266" s="304">
        <f t="shared" si="223"/>
        <v>5.5549999999999997</v>
      </c>
      <c r="BO266" s="306">
        <f t="shared" si="224"/>
        <v>1270.3942360766555</v>
      </c>
      <c r="BP266" s="306"/>
    </row>
    <row r="267" spans="1:68">
      <c r="A267" s="299">
        <f t="shared" si="170"/>
        <v>4</v>
      </c>
      <c r="B267" s="300">
        <f t="shared" si="171"/>
        <v>38232</v>
      </c>
      <c r="C267" s="301" t="e">
        <f t="shared" si="203"/>
        <v>#N/A</v>
      </c>
      <c r="D267" s="301" t="e">
        <f t="shared" si="172"/>
        <v>#N/A</v>
      </c>
      <c r="E267" s="299">
        <f t="shared" si="173"/>
        <v>246</v>
      </c>
      <c r="F267" s="396">
        <f>Weather!M251</f>
        <v>0</v>
      </c>
      <c r="G267" s="301">
        <f>IF(Weather!C251="","",Weather!C251)</f>
        <v>2.7398195602707784</v>
      </c>
      <c r="H267" s="301">
        <f>IF(Weather!D251="","",Weather!D251)</f>
        <v>2.6826089915955298</v>
      </c>
      <c r="I267" s="502">
        <f>IF(Weather!E251="","",Weather!E251)</f>
        <v>2.6826089915955298</v>
      </c>
      <c r="J267" s="397">
        <f>IF(RnSplint!N295&lt;0,0,RnSplint!N295)</f>
        <v>22.30717849150728</v>
      </c>
      <c r="K267" s="302">
        <f t="shared" si="204"/>
        <v>0.90000000000000124</v>
      </c>
      <c r="L267" s="303">
        <f t="shared" si="205"/>
        <v>38232</v>
      </c>
      <c r="M267" s="346" t="str">
        <f t="shared" si="174"/>
        <v/>
      </c>
      <c r="N267" s="304">
        <f t="shared" si="206"/>
        <v>0.90000000000000124</v>
      </c>
      <c r="O267" s="304">
        <f t="shared" si="207"/>
        <v>0</v>
      </c>
      <c r="P267" s="304">
        <f t="shared" si="175"/>
        <v>0.90000000000000124</v>
      </c>
      <c r="Q267" s="304">
        <f t="shared" si="176"/>
        <v>1.164971072166771</v>
      </c>
      <c r="R267" s="304">
        <f t="shared" si="177"/>
        <v>1.164971072166771</v>
      </c>
      <c r="S267" s="305">
        <f t="shared" si="208"/>
        <v>1.164971072166771</v>
      </c>
      <c r="T267" s="304">
        <f t="shared" si="178"/>
        <v>0.20452492865644559</v>
      </c>
      <c r="U267" s="304">
        <f t="shared" si="222"/>
        <v>0.90000000000000124</v>
      </c>
      <c r="V267" s="305">
        <f t="shared" si="179"/>
        <v>0.90000000000000124</v>
      </c>
      <c r="W267" s="305">
        <f t="shared" si="209"/>
        <v>0.90000000000000124</v>
      </c>
      <c r="X267" s="304">
        <f t="shared" si="210"/>
        <v>1.164971072166771</v>
      </c>
      <c r="Z267" s="304" t="str">
        <f t="shared" si="180"/>
        <v/>
      </c>
      <c r="AA267" s="305">
        <f t="shared" si="181"/>
        <v>1.164971072166771</v>
      </c>
      <c r="AB267" s="304">
        <f t="shared" si="182"/>
        <v>3.1251618731432647</v>
      </c>
      <c r="AC267" s="304">
        <f t="shared" si="211"/>
        <v>1.164971072166771</v>
      </c>
      <c r="AD267" s="306">
        <f t="shared" si="183"/>
        <v>443.26300491559482</v>
      </c>
      <c r="AE267" s="307">
        <f t="shared" si="212"/>
        <v>3.1251618731432647</v>
      </c>
      <c r="AF267" s="308">
        <f t="shared" si="184"/>
        <v>443.26300491559482</v>
      </c>
      <c r="AG267" s="306">
        <f t="shared" si="213"/>
        <v>578.56902751620271</v>
      </c>
      <c r="AH267" s="306">
        <f t="shared" si="185"/>
        <v>0</v>
      </c>
      <c r="AI267" s="306">
        <f t="shared" si="214"/>
        <v>0</v>
      </c>
      <c r="AJ267" s="306">
        <f t="shared" si="215"/>
        <v>2.6826089915955298</v>
      </c>
      <c r="AK267" s="306">
        <f t="shared" si="186"/>
        <v>0</v>
      </c>
      <c r="AL267" s="306">
        <f t="shared" si="216"/>
        <v>0</v>
      </c>
      <c r="AM267" s="306">
        <f t="shared" si="187"/>
        <v>3.1251618731432647</v>
      </c>
      <c r="AN267" s="304">
        <f>KcSplint!$N296</f>
        <v>0.91446957288836661</v>
      </c>
      <c r="AO267" s="304">
        <f t="shared" si="188"/>
        <v>0.95164697631534989</v>
      </c>
      <c r="AP267" s="304">
        <f t="shared" si="217"/>
        <v>0.95164697631534989</v>
      </c>
      <c r="AQ267" s="305">
        <f t="shared" si="218"/>
        <v>0.95164697631534989</v>
      </c>
      <c r="AR267" s="304">
        <f t="shared" si="219"/>
        <v>2.5528967354882557</v>
      </c>
      <c r="AS267" s="306">
        <f t="shared" si="189"/>
        <v>482.43167107180261</v>
      </c>
      <c r="AT267" s="307">
        <f t="shared" si="220"/>
        <v>2.5528967354882557</v>
      </c>
      <c r="AU267" s="307">
        <f t="shared" si="221"/>
        <v>482.43167107180261</v>
      </c>
      <c r="AV267" s="304">
        <f t="shared" si="190"/>
        <v>2.6826089915955298</v>
      </c>
      <c r="AW267" s="309">
        <f t="shared" si="191"/>
        <v>5.1905792244531206</v>
      </c>
      <c r="AX267" s="306">
        <f>IF(ISERROR(Weather!M251),#N/A,Weather!M251)</f>
        <v>0</v>
      </c>
      <c r="AY267" s="310">
        <f t="shared" si="192"/>
        <v>2</v>
      </c>
      <c r="AZ267" s="309">
        <f t="shared" si="193"/>
        <v>1.164971072166771</v>
      </c>
      <c r="BA267" s="309">
        <f t="shared" si="194"/>
        <v>151.18079390609867</v>
      </c>
      <c r="BB267" s="311">
        <f>Irrig!H269</f>
        <v>0</v>
      </c>
      <c r="BC267" s="310">
        <f t="shared" si="195"/>
        <v>41</v>
      </c>
      <c r="BD267" s="309">
        <f t="shared" si="196"/>
        <v>0.20452492865644559</v>
      </c>
      <c r="BE267" s="309">
        <f t="shared" si="197"/>
        <v>0.20452492865644559</v>
      </c>
      <c r="BF267" s="306">
        <f>DailyMet!H250</f>
        <v>19.440000000000001</v>
      </c>
      <c r="BG267" s="306">
        <f>DailyMet!I250</f>
        <v>15.7</v>
      </c>
      <c r="BH267" s="306">
        <f t="shared" si="198"/>
        <v>19.440000000000001</v>
      </c>
      <c r="BI267" s="306">
        <f t="shared" si="199"/>
        <v>15.7</v>
      </c>
      <c r="BJ267" s="306">
        <f t="shared" si="200"/>
        <v>7.57</v>
      </c>
      <c r="BK267" s="306">
        <f t="shared" si="225"/>
        <v>1293.4349999999999</v>
      </c>
      <c r="BL267" s="304">
        <f t="shared" si="201"/>
        <v>0</v>
      </c>
      <c r="BM267" s="304">
        <f t="shared" si="202"/>
        <v>7.57</v>
      </c>
      <c r="BN267" s="304">
        <f t="shared" si="223"/>
        <v>7.57</v>
      </c>
      <c r="BO267" s="306">
        <f t="shared" si="224"/>
        <v>1277.9642360766554</v>
      </c>
      <c r="BP267" s="306"/>
    </row>
    <row r="268" spans="1:68">
      <c r="A268" s="299">
        <f t="shared" si="170"/>
        <v>4</v>
      </c>
      <c r="B268" s="300">
        <f t="shared" si="171"/>
        <v>38233</v>
      </c>
      <c r="C268" s="301" t="e">
        <f t="shared" si="203"/>
        <v>#N/A</v>
      </c>
      <c r="D268" s="301" t="e">
        <f t="shared" si="172"/>
        <v>#N/A</v>
      </c>
      <c r="E268" s="299">
        <f t="shared" si="173"/>
        <v>247</v>
      </c>
      <c r="F268" s="396">
        <f>Weather!M252</f>
        <v>36</v>
      </c>
      <c r="G268" s="301">
        <f>IF(Weather!C252="","",Weather!C252)</f>
        <v>2.6814907564040751</v>
      </c>
      <c r="H268" s="301">
        <f>IF(Weather!D252="","",Weather!D252)</f>
        <v>2.8397308044820977</v>
      </c>
      <c r="I268" s="502">
        <f>IF(Weather!E252="","",Weather!E252)</f>
        <v>2.8397308044820977</v>
      </c>
      <c r="J268" s="397">
        <f>IF(RnSplint!N296&lt;0,0,RnSplint!N296)</f>
        <v>21.739083446049719</v>
      </c>
      <c r="K268" s="302">
        <f t="shared" si="204"/>
        <v>0.88928571428571557</v>
      </c>
      <c r="L268" s="303">
        <f t="shared" si="205"/>
        <v>38233</v>
      </c>
      <c r="M268" s="346" t="str">
        <f t="shared" si="174"/>
        <v/>
      </c>
      <c r="N268" s="304">
        <f t="shared" si="206"/>
        <v>0.88928571428571557</v>
      </c>
      <c r="O268" s="304">
        <f t="shared" si="207"/>
        <v>0</v>
      </c>
      <c r="P268" s="304">
        <f t="shared" si="175"/>
        <v>0.88928571428571557</v>
      </c>
      <c r="Q268" s="304">
        <f t="shared" si="176"/>
        <v>1.2</v>
      </c>
      <c r="R268" s="304">
        <f t="shared" si="177"/>
        <v>1.2</v>
      </c>
      <c r="S268" s="305">
        <f t="shared" si="208"/>
        <v>1.2</v>
      </c>
      <c r="T268" s="304">
        <f t="shared" si="178"/>
        <v>0.20257038324263163</v>
      </c>
      <c r="U268" s="304">
        <f t="shared" si="222"/>
        <v>0.88928571428571557</v>
      </c>
      <c r="V268" s="305">
        <f t="shared" si="179"/>
        <v>0.88928571428571557</v>
      </c>
      <c r="W268" s="305">
        <f t="shared" si="209"/>
        <v>0.88928571428571557</v>
      </c>
      <c r="X268" s="304">
        <f t="shared" si="210"/>
        <v>1.2</v>
      </c>
      <c r="Z268" s="304" t="str">
        <f t="shared" si="180"/>
        <v/>
      </c>
      <c r="AA268" s="305">
        <f t="shared" si="181"/>
        <v>1.2</v>
      </c>
      <c r="AB268" s="304">
        <f t="shared" si="182"/>
        <v>3.4076769653785171</v>
      </c>
      <c r="AC268" s="304">
        <f t="shared" si="211"/>
        <v>1.2</v>
      </c>
      <c r="AD268" s="306">
        <f t="shared" si="183"/>
        <v>446.67068188097335</v>
      </c>
      <c r="AE268" s="307">
        <f t="shared" si="212"/>
        <v>3.4076769653785171</v>
      </c>
      <c r="AF268" s="308">
        <f t="shared" si="184"/>
        <v>446.67068188097335</v>
      </c>
      <c r="AG268" s="306">
        <f t="shared" si="213"/>
        <v>581.4087583206848</v>
      </c>
      <c r="AH268" s="306">
        <f t="shared" si="185"/>
        <v>0</v>
      </c>
      <c r="AI268" s="306">
        <f t="shared" si="214"/>
        <v>0</v>
      </c>
      <c r="AJ268" s="306">
        <f t="shared" si="215"/>
        <v>2.8397308044820977</v>
      </c>
      <c r="AK268" s="306">
        <f t="shared" si="186"/>
        <v>0</v>
      </c>
      <c r="AL268" s="306">
        <f t="shared" si="216"/>
        <v>0</v>
      </c>
      <c r="AM268" s="306">
        <f t="shared" si="187"/>
        <v>3.4076769653785171</v>
      </c>
      <c r="AN268" s="304">
        <f>KcSplint!$N297</f>
        <v>0.90909695093016174</v>
      </c>
      <c r="AO268" s="304">
        <f t="shared" si="188"/>
        <v>0.94425637297786902</v>
      </c>
      <c r="AP268" s="304">
        <f t="shared" si="217"/>
        <v>0.94425637297786902</v>
      </c>
      <c r="AQ268" s="305">
        <f t="shared" si="218"/>
        <v>0.94425637297786902</v>
      </c>
      <c r="AR268" s="304">
        <f t="shared" si="219"/>
        <v>2.6814339096737916</v>
      </c>
      <c r="AS268" s="306">
        <f t="shared" si="189"/>
        <v>485.1131049814764</v>
      </c>
      <c r="AT268" s="307">
        <f t="shared" si="220"/>
        <v>2.6814339096737916</v>
      </c>
      <c r="AU268" s="307">
        <f t="shared" si="221"/>
        <v>485.1131049814764</v>
      </c>
      <c r="AV268" s="304">
        <f t="shared" si="190"/>
        <v>2.8397308044820977</v>
      </c>
      <c r="AW268" s="309">
        <f t="shared" si="191"/>
        <v>2.8397308044820977</v>
      </c>
      <c r="AX268" s="306">
        <f>IF(ISERROR(Weather!M252),#N/A,Weather!M252)</f>
        <v>36</v>
      </c>
      <c r="AY268" s="310">
        <f t="shared" si="192"/>
        <v>1</v>
      </c>
      <c r="AZ268" s="309">
        <f t="shared" si="193"/>
        <v>1.2</v>
      </c>
      <c r="BA268" s="309">
        <f t="shared" si="194"/>
        <v>154.02052471058076</v>
      </c>
      <c r="BB268" s="311">
        <f>Irrig!H270</f>
        <v>0</v>
      </c>
      <c r="BC268" s="310">
        <f t="shared" si="195"/>
        <v>42</v>
      </c>
      <c r="BD268" s="309">
        <f t="shared" si="196"/>
        <v>0.20257038324263163</v>
      </c>
      <c r="BE268" s="309">
        <f t="shared" si="197"/>
        <v>0.20257038324263163</v>
      </c>
      <c r="BF268" s="306">
        <f>DailyMet!H251</f>
        <v>18.989999999999998</v>
      </c>
      <c r="BG268" s="306">
        <f>DailyMet!I251</f>
        <v>17.100000000000001</v>
      </c>
      <c r="BH268" s="306">
        <f t="shared" si="198"/>
        <v>18.989999999999998</v>
      </c>
      <c r="BI268" s="306">
        <f t="shared" si="199"/>
        <v>17.100000000000001</v>
      </c>
      <c r="BJ268" s="306">
        <f t="shared" si="200"/>
        <v>8.0450000000000017</v>
      </c>
      <c r="BK268" s="306">
        <f t="shared" si="225"/>
        <v>1301.48</v>
      </c>
      <c r="BL268" s="304">
        <f t="shared" si="201"/>
        <v>0</v>
      </c>
      <c r="BM268" s="304">
        <f t="shared" si="202"/>
        <v>8.0450000000000017</v>
      </c>
      <c r="BN268" s="304">
        <f t="shared" si="223"/>
        <v>8.0450000000000017</v>
      </c>
      <c r="BO268" s="306">
        <f t="shared" si="224"/>
        <v>1286.0092360766555</v>
      </c>
      <c r="BP268" s="306"/>
    </row>
    <row r="269" spans="1:68">
      <c r="A269" s="299">
        <f t="shared" si="170"/>
        <v>4</v>
      </c>
      <c r="B269" s="300">
        <f t="shared" si="171"/>
        <v>38234</v>
      </c>
      <c r="C269" s="301" t="e">
        <f t="shared" si="203"/>
        <v>#N/A</v>
      </c>
      <c r="D269" s="301" t="e">
        <f t="shared" si="172"/>
        <v>#N/A</v>
      </c>
      <c r="E269" s="299">
        <f t="shared" si="173"/>
        <v>248</v>
      </c>
      <c r="F269" s="396">
        <f>Weather!M253</f>
        <v>11</v>
      </c>
      <c r="G269" s="301">
        <f>IF(Weather!C253="","",Weather!C253)</f>
        <v>2.6233265031413349</v>
      </c>
      <c r="H269" s="301">
        <f>IF(Weather!D253="","",Weather!D253)</f>
        <v>2.7938136612243123</v>
      </c>
      <c r="I269" s="502">
        <f>IF(Weather!E253="","",Weather!E253)</f>
        <v>2.7938136612243123</v>
      </c>
      <c r="J269" s="397">
        <f>IF(RnSplint!N297&lt;0,0,RnSplint!N297)</f>
        <v>21.169310054436412</v>
      </c>
      <c r="K269" s="302">
        <f t="shared" si="204"/>
        <v>0.87857142857142989</v>
      </c>
      <c r="L269" s="303">
        <f t="shared" si="205"/>
        <v>38234</v>
      </c>
      <c r="M269" s="346" t="str">
        <f t="shared" si="174"/>
        <v/>
      </c>
      <c r="N269" s="304">
        <f t="shared" si="206"/>
        <v>0.87857142857142989</v>
      </c>
      <c r="O269" s="304">
        <f t="shared" si="207"/>
        <v>0</v>
      </c>
      <c r="P269" s="304">
        <f t="shared" si="175"/>
        <v>0.87857142857142989</v>
      </c>
      <c r="Q269" s="304">
        <f t="shared" si="176"/>
        <v>1.2</v>
      </c>
      <c r="R269" s="304">
        <f t="shared" si="177"/>
        <v>1.2</v>
      </c>
      <c r="S269" s="305">
        <f t="shared" si="208"/>
        <v>1.2</v>
      </c>
      <c r="T269" s="304">
        <f t="shared" si="178"/>
        <v>0.20070003548766815</v>
      </c>
      <c r="U269" s="304">
        <f t="shared" si="222"/>
        <v>0.87857142857142989</v>
      </c>
      <c r="V269" s="305">
        <f t="shared" si="179"/>
        <v>0.87857142857142989</v>
      </c>
      <c r="W269" s="305">
        <f t="shared" si="209"/>
        <v>0.87857142857142989</v>
      </c>
      <c r="X269" s="304">
        <f t="shared" si="210"/>
        <v>1.2</v>
      </c>
      <c r="Z269" s="304" t="str">
        <f t="shared" si="180"/>
        <v/>
      </c>
      <c r="AA269" s="305">
        <f t="shared" si="181"/>
        <v>1.2</v>
      </c>
      <c r="AB269" s="304">
        <f t="shared" si="182"/>
        <v>3.3525763934691746</v>
      </c>
      <c r="AC269" s="304">
        <f t="shared" si="211"/>
        <v>1.2</v>
      </c>
      <c r="AD269" s="306">
        <f t="shared" si="183"/>
        <v>450.02325827444253</v>
      </c>
      <c r="AE269" s="307">
        <f t="shared" si="212"/>
        <v>3.3525763934691746</v>
      </c>
      <c r="AF269" s="308">
        <f t="shared" si="184"/>
        <v>450.02325827444253</v>
      </c>
      <c r="AG269" s="306">
        <f t="shared" si="213"/>
        <v>584.20257198190916</v>
      </c>
      <c r="AH269" s="306">
        <f t="shared" si="185"/>
        <v>0</v>
      </c>
      <c r="AI269" s="306">
        <f t="shared" si="214"/>
        <v>0</v>
      </c>
      <c r="AJ269" s="306">
        <f t="shared" si="215"/>
        <v>2.7938136612243123</v>
      </c>
      <c r="AK269" s="306">
        <f t="shared" si="186"/>
        <v>0</v>
      </c>
      <c r="AL269" s="306">
        <f t="shared" si="216"/>
        <v>0</v>
      </c>
      <c r="AM269" s="306">
        <f t="shared" si="187"/>
        <v>3.3525763934691746</v>
      </c>
      <c r="AN269" s="304">
        <f>KcSplint!$N298</f>
        <v>0.90392661753566084</v>
      </c>
      <c r="AO269" s="304">
        <f t="shared" si="188"/>
        <v>0.93686576964038815</v>
      </c>
      <c r="AP269" s="304">
        <f t="shared" si="217"/>
        <v>0.93686576964038815</v>
      </c>
      <c r="AQ269" s="305">
        <f t="shared" si="218"/>
        <v>0.93686576964038815</v>
      </c>
      <c r="AR269" s="304">
        <f t="shared" si="219"/>
        <v>2.6174283859547458</v>
      </c>
      <c r="AS269" s="306">
        <f t="shared" si="189"/>
        <v>487.73053336743112</v>
      </c>
      <c r="AT269" s="307">
        <f t="shared" si="220"/>
        <v>2.6174283859547458</v>
      </c>
      <c r="AU269" s="307">
        <f t="shared" si="221"/>
        <v>487.73053336743112</v>
      </c>
      <c r="AV269" s="304">
        <f t="shared" si="190"/>
        <v>2.7938136612243123</v>
      </c>
      <c r="AW269" s="309">
        <f t="shared" si="191"/>
        <v>2.7938136612243123</v>
      </c>
      <c r="AX269" s="306">
        <f>IF(ISERROR(Weather!M253),#N/A,Weather!M253)</f>
        <v>11</v>
      </c>
      <c r="AY269" s="310">
        <f t="shared" si="192"/>
        <v>1</v>
      </c>
      <c r="AZ269" s="309">
        <f t="shared" si="193"/>
        <v>1.2</v>
      </c>
      <c r="BA269" s="309">
        <f t="shared" si="194"/>
        <v>156.81433837180506</v>
      </c>
      <c r="BB269" s="311">
        <f>Irrig!H271</f>
        <v>0</v>
      </c>
      <c r="BC269" s="310">
        <f t="shared" si="195"/>
        <v>43</v>
      </c>
      <c r="BD269" s="309">
        <f t="shared" si="196"/>
        <v>0.20070003548766815</v>
      </c>
      <c r="BE269" s="309">
        <f t="shared" si="197"/>
        <v>0.20070003548766815</v>
      </c>
      <c r="BF269" s="306">
        <f>DailyMet!H252</f>
        <v>19.78</v>
      </c>
      <c r="BG269" s="306">
        <f>DailyMet!I252</f>
        <v>17.3</v>
      </c>
      <c r="BH269" s="306">
        <f t="shared" si="198"/>
        <v>19.78</v>
      </c>
      <c r="BI269" s="306">
        <f t="shared" si="199"/>
        <v>17.3</v>
      </c>
      <c r="BJ269" s="306">
        <f t="shared" si="200"/>
        <v>8.5399999999999991</v>
      </c>
      <c r="BK269" s="306">
        <f t="shared" si="225"/>
        <v>1310.02</v>
      </c>
      <c r="BL269" s="304">
        <f t="shared" si="201"/>
        <v>0</v>
      </c>
      <c r="BM269" s="304">
        <f t="shared" si="202"/>
        <v>8.5399999999999991</v>
      </c>
      <c r="BN269" s="304">
        <f t="shared" si="223"/>
        <v>8.5399999999999991</v>
      </c>
      <c r="BO269" s="306">
        <f t="shared" si="224"/>
        <v>1294.5492360766555</v>
      </c>
      <c r="BP269" s="306"/>
    </row>
    <row r="270" spans="1:68">
      <c r="A270" s="299">
        <f t="shared" si="170"/>
        <v>4</v>
      </c>
      <c r="B270" s="300">
        <f t="shared" si="171"/>
        <v>38235</v>
      </c>
      <c r="C270" s="301" t="e">
        <f t="shared" si="203"/>
        <v>#N/A</v>
      </c>
      <c r="D270" s="301" t="e">
        <f t="shared" si="172"/>
        <v>#N/A</v>
      </c>
      <c r="E270" s="299">
        <f t="shared" si="173"/>
        <v>249</v>
      </c>
      <c r="F270" s="396">
        <f>Weather!M254</f>
        <v>2.2000000000000002</v>
      </c>
      <c r="G270" s="301">
        <f>IF(Weather!C254="","",Weather!C254)</f>
        <v>2.5654274035946112</v>
      </c>
      <c r="H270" s="301">
        <f>IF(Weather!D254="","",Weather!D254)</f>
        <v>2.6424369934627041</v>
      </c>
      <c r="I270" s="502">
        <f>IF(Weather!E254="","",Weather!E254)</f>
        <v>2.6424369934627041</v>
      </c>
      <c r="J270" s="397">
        <f>IF(RnSplint!N298&lt;0,0,RnSplint!N298)</f>
        <v>20.598588974358222</v>
      </c>
      <c r="K270" s="302">
        <f t="shared" si="204"/>
        <v>0.86785714285714421</v>
      </c>
      <c r="L270" s="303">
        <f t="shared" si="205"/>
        <v>38235</v>
      </c>
      <c r="M270" s="346" t="str">
        <f t="shared" si="174"/>
        <v/>
      </c>
      <c r="N270" s="304">
        <f t="shared" si="206"/>
        <v>0.86785714285714421</v>
      </c>
      <c r="O270" s="304">
        <f t="shared" si="207"/>
        <v>0</v>
      </c>
      <c r="P270" s="304">
        <f t="shared" si="175"/>
        <v>0.86785714285714421</v>
      </c>
      <c r="Q270" s="304">
        <f t="shared" si="176"/>
        <v>1.1375015013948462</v>
      </c>
      <c r="R270" s="304">
        <f t="shared" si="177"/>
        <v>1.1375015013948462</v>
      </c>
      <c r="S270" s="305">
        <f t="shared" si="208"/>
        <v>1.1375015013948462</v>
      </c>
      <c r="T270" s="304">
        <f t="shared" si="178"/>
        <v>0.19897693204162267</v>
      </c>
      <c r="U270" s="304">
        <f t="shared" si="222"/>
        <v>0.86785714285714421</v>
      </c>
      <c r="V270" s="305">
        <f t="shared" si="179"/>
        <v>0.86785714285714421</v>
      </c>
      <c r="W270" s="305">
        <f t="shared" si="209"/>
        <v>0.86785714285714421</v>
      </c>
      <c r="X270" s="304">
        <f t="shared" si="210"/>
        <v>1.1375015013948462</v>
      </c>
      <c r="Z270" s="304" t="str">
        <f t="shared" si="180"/>
        <v/>
      </c>
      <c r="AA270" s="305">
        <f t="shared" si="181"/>
        <v>1.1375015013948462</v>
      </c>
      <c r="AB270" s="304">
        <f t="shared" si="182"/>
        <v>3.0057760474051092</v>
      </c>
      <c r="AC270" s="304">
        <f t="shared" si="211"/>
        <v>1.1375015013948462</v>
      </c>
      <c r="AD270" s="306">
        <f t="shared" si="183"/>
        <v>453.02903432184763</v>
      </c>
      <c r="AE270" s="307">
        <f t="shared" si="212"/>
        <v>3.0057760474051092</v>
      </c>
      <c r="AF270" s="308">
        <f t="shared" si="184"/>
        <v>453.02903432184763</v>
      </c>
      <c r="AG270" s="306">
        <f t="shared" si="213"/>
        <v>586.84500897537191</v>
      </c>
      <c r="AH270" s="306">
        <f t="shared" si="185"/>
        <v>0</v>
      </c>
      <c r="AI270" s="306">
        <f t="shared" si="214"/>
        <v>0</v>
      </c>
      <c r="AJ270" s="306">
        <f t="shared" si="215"/>
        <v>2.6424369934627041</v>
      </c>
      <c r="AK270" s="306">
        <f t="shared" si="186"/>
        <v>0</v>
      </c>
      <c r="AL270" s="306">
        <f t="shared" si="216"/>
        <v>0</v>
      </c>
      <c r="AM270" s="306">
        <f t="shared" si="187"/>
        <v>3.0057760474051092</v>
      </c>
      <c r="AN270" s="304">
        <f>KcSplint!$N299</f>
        <v>0.89897850835212301</v>
      </c>
      <c r="AO270" s="304">
        <f t="shared" si="188"/>
        <v>0.92947516630290727</v>
      </c>
      <c r="AP270" s="304">
        <f t="shared" si="217"/>
        <v>0.92947516630290727</v>
      </c>
      <c r="AQ270" s="305">
        <f t="shared" si="218"/>
        <v>0.92947516630290727</v>
      </c>
      <c r="AR270" s="304">
        <f t="shared" si="219"/>
        <v>2.4560795639437014</v>
      </c>
      <c r="AS270" s="306">
        <f t="shared" si="189"/>
        <v>490.18661293137484</v>
      </c>
      <c r="AT270" s="307">
        <f t="shared" si="220"/>
        <v>2.4560795639437014</v>
      </c>
      <c r="AU270" s="307">
        <f t="shared" si="221"/>
        <v>490.18661293137484</v>
      </c>
      <c r="AV270" s="304">
        <f t="shared" si="190"/>
        <v>2.6424369934627041</v>
      </c>
      <c r="AW270" s="309">
        <f t="shared" si="191"/>
        <v>5.4362506546870168</v>
      </c>
      <c r="AX270" s="306">
        <f>IF(ISERROR(Weather!M254),#N/A,Weather!M254)</f>
        <v>2.2000000000000002</v>
      </c>
      <c r="AY270" s="310">
        <f t="shared" si="192"/>
        <v>2</v>
      </c>
      <c r="AZ270" s="309">
        <f t="shared" si="193"/>
        <v>1.1375015013948462</v>
      </c>
      <c r="BA270" s="309">
        <f t="shared" si="194"/>
        <v>159.45677536526776</v>
      </c>
      <c r="BB270" s="311">
        <f>Irrig!H272</f>
        <v>0</v>
      </c>
      <c r="BC270" s="310">
        <f t="shared" si="195"/>
        <v>44</v>
      </c>
      <c r="BD270" s="309">
        <f t="shared" si="196"/>
        <v>0.19897693204162267</v>
      </c>
      <c r="BE270" s="309">
        <f t="shared" si="197"/>
        <v>0.19897693204162267</v>
      </c>
      <c r="BF270" s="306">
        <f>DailyMet!H253</f>
        <v>20.11</v>
      </c>
      <c r="BG270" s="306">
        <f>DailyMet!I253</f>
        <v>17.8</v>
      </c>
      <c r="BH270" s="306">
        <f t="shared" si="198"/>
        <v>20.11</v>
      </c>
      <c r="BI270" s="306">
        <f t="shared" si="199"/>
        <v>17.8</v>
      </c>
      <c r="BJ270" s="306">
        <f t="shared" si="200"/>
        <v>8.9549999999999983</v>
      </c>
      <c r="BK270" s="306">
        <f t="shared" si="225"/>
        <v>1318.9749999999999</v>
      </c>
      <c r="BL270" s="304">
        <f t="shared" si="201"/>
        <v>0</v>
      </c>
      <c r="BM270" s="304">
        <f t="shared" si="202"/>
        <v>8.9549999999999983</v>
      </c>
      <c r="BN270" s="304">
        <f t="shared" si="223"/>
        <v>8.9549999999999983</v>
      </c>
      <c r="BO270" s="306">
        <f t="shared" si="224"/>
        <v>1303.5042360766554</v>
      </c>
      <c r="BP270" s="306"/>
    </row>
    <row r="271" spans="1:68">
      <c r="A271" s="299">
        <f t="shared" si="170"/>
        <v>4</v>
      </c>
      <c r="B271" s="300">
        <f t="shared" si="171"/>
        <v>38236</v>
      </c>
      <c r="C271" s="301" t="e">
        <f t="shared" si="203"/>
        <v>#N/A</v>
      </c>
      <c r="D271" s="301" t="e">
        <f t="shared" si="172"/>
        <v>#N/A</v>
      </c>
      <c r="E271" s="299">
        <f t="shared" si="173"/>
        <v>250</v>
      </c>
      <c r="F271" s="396">
        <f>Weather!M255</f>
        <v>0</v>
      </c>
      <c r="G271" s="301">
        <f>IF(Weather!C255="","",Weather!C255)</f>
        <v>2.5078940608759557</v>
      </c>
      <c r="H271" s="301">
        <f>IF(Weather!D255="","",Weather!D255)</f>
        <v>2.578113702697407</v>
      </c>
      <c r="I271" s="502">
        <f>IF(Weather!E255="","",Weather!E255)</f>
        <v>2.578113702697407</v>
      </c>
      <c r="J271" s="397">
        <f>IF(RnSplint!N299&lt;0,0,RnSplint!N299)</f>
        <v>20.027650863506025</v>
      </c>
      <c r="K271" s="302">
        <f t="shared" si="204"/>
        <v>0.85714285714285854</v>
      </c>
      <c r="L271" s="303">
        <f t="shared" si="205"/>
        <v>38236</v>
      </c>
      <c r="M271" s="346" t="str">
        <f t="shared" si="174"/>
        <v/>
      </c>
      <c r="N271" s="304">
        <f t="shared" si="206"/>
        <v>0.85714285714285854</v>
      </c>
      <c r="O271" s="304">
        <f t="shared" si="207"/>
        <v>0</v>
      </c>
      <c r="P271" s="304">
        <f t="shared" si="175"/>
        <v>0.85714285714285854</v>
      </c>
      <c r="Q271" s="304">
        <f t="shared" si="176"/>
        <v>0.93104368732006482</v>
      </c>
      <c r="R271" s="304">
        <f t="shared" si="177"/>
        <v>0.93104368732006482</v>
      </c>
      <c r="S271" s="305">
        <f t="shared" si="208"/>
        <v>0.93104368732006482</v>
      </c>
      <c r="T271" s="304">
        <f t="shared" si="178"/>
        <v>0.19733699108342509</v>
      </c>
      <c r="U271" s="304">
        <f t="shared" si="222"/>
        <v>0.85714285714285854</v>
      </c>
      <c r="V271" s="305">
        <f t="shared" si="179"/>
        <v>0.85714285714285854</v>
      </c>
      <c r="W271" s="305">
        <f t="shared" si="209"/>
        <v>0.85714285714285854</v>
      </c>
      <c r="X271" s="304">
        <f t="shared" si="210"/>
        <v>0.93104368732006482</v>
      </c>
      <c r="Z271" s="304" t="str">
        <f t="shared" si="180"/>
        <v/>
      </c>
      <c r="AA271" s="305">
        <f t="shared" si="181"/>
        <v>0.93104368732006482</v>
      </c>
      <c r="AB271" s="304">
        <f t="shared" si="182"/>
        <v>2.4003364880897791</v>
      </c>
      <c r="AC271" s="304">
        <f t="shared" si="211"/>
        <v>0.93104368732006482</v>
      </c>
      <c r="AD271" s="306">
        <f t="shared" si="183"/>
        <v>455.42937080993744</v>
      </c>
      <c r="AE271" s="307">
        <f t="shared" si="212"/>
        <v>2.4003364880897791</v>
      </c>
      <c r="AF271" s="308">
        <f t="shared" si="184"/>
        <v>455.42937080993744</v>
      </c>
      <c r="AG271" s="306">
        <f t="shared" si="213"/>
        <v>589.42312267806926</v>
      </c>
      <c r="AH271" s="306">
        <f t="shared" si="185"/>
        <v>0</v>
      </c>
      <c r="AI271" s="306">
        <f t="shared" si="214"/>
        <v>0</v>
      </c>
      <c r="AJ271" s="306">
        <f t="shared" si="215"/>
        <v>2.578113702697407</v>
      </c>
      <c r="AK271" s="306">
        <f t="shared" si="186"/>
        <v>0</v>
      </c>
      <c r="AL271" s="306">
        <f t="shared" si="216"/>
        <v>0</v>
      </c>
      <c r="AM271" s="306">
        <f t="shared" si="187"/>
        <v>2.4003364880897791</v>
      </c>
      <c r="AN271" s="304">
        <f>KcSplint!$N300</f>
        <v>0.89427255902680669</v>
      </c>
      <c r="AO271" s="304">
        <f t="shared" si="188"/>
        <v>0.9220845629654264</v>
      </c>
      <c r="AP271" s="304">
        <f t="shared" si="217"/>
        <v>0.9220845629654264</v>
      </c>
      <c r="AQ271" s="305">
        <f t="shared" si="218"/>
        <v>0.9220845629654264</v>
      </c>
      <c r="AR271" s="304">
        <f t="shared" si="219"/>
        <v>2.3772388468269159</v>
      </c>
      <c r="AS271" s="306">
        <f t="shared" si="189"/>
        <v>492.56385177820175</v>
      </c>
      <c r="AT271" s="307">
        <f t="shared" si="220"/>
        <v>2.3772388468269159</v>
      </c>
      <c r="AU271" s="307">
        <f t="shared" si="221"/>
        <v>492.56385177820175</v>
      </c>
      <c r="AV271" s="304">
        <f t="shared" si="190"/>
        <v>2.578113702697407</v>
      </c>
      <c r="AW271" s="309">
        <f t="shared" si="191"/>
        <v>8.014364357384423</v>
      </c>
      <c r="AX271" s="306">
        <f>IF(ISERROR(Weather!M255),#N/A,Weather!M255)</f>
        <v>0</v>
      </c>
      <c r="AY271" s="310">
        <f t="shared" si="192"/>
        <v>3</v>
      </c>
      <c r="AZ271" s="309">
        <f t="shared" si="193"/>
        <v>0.93104368732006482</v>
      </c>
      <c r="BA271" s="309">
        <f t="shared" si="194"/>
        <v>162.03488906796517</v>
      </c>
      <c r="BB271" s="311">
        <f>Irrig!H273</f>
        <v>0</v>
      </c>
      <c r="BC271" s="310">
        <f t="shared" si="195"/>
        <v>45</v>
      </c>
      <c r="BD271" s="309">
        <f t="shared" si="196"/>
        <v>0.19733699108342509</v>
      </c>
      <c r="BE271" s="309">
        <f t="shared" si="197"/>
        <v>0.19733699108342509</v>
      </c>
      <c r="BF271" s="306">
        <f>DailyMet!H254</f>
        <v>22.96</v>
      </c>
      <c r="BG271" s="306">
        <f>DailyMet!I254</f>
        <v>17.2</v>
      </c>
      <c r="BH271" s="306">
        <f t="shared" si="198"/>
        <v>22.96</v>
      </c>
      <c r="BI271" s="306">
        <f t="shared" si="199"/>
        <v>17.2</v>
      </c>
      <c r="BJ271" s="306">
        <f t="shared" si="200"/>
        <v>10.079999999999998</v>
      </c>
      <c r="BK271" s="306">
        <f t="shared" si="225"/>
        <v>1329.0549999999998</v>
      </c>
      <c r="BL271" s="304">
        <f t="shared" si="201"/>
        <v>0</v>
      </c>
      <c r="BM271" s="304">
        <f t="shared" si="202"/>
        <v>10.079999999999998</v>
      </c>
      <c r="BN271" s="304">
        <f t="shared" si="223"/>
        <v>10.079999999999998</v>
      </c>
      <c r="BO271" s="306">
        <f t="shared" si="224"/>
        <v>1313.5842360766553</v>
      </c>
      <c r="BP271" s="306"/>
    </row>
    <row r="272" spans="1:68">
      <c r="A272" s="299">
        <f t="shared" si="170"/>
        <v>4</v>
      </c>
      <c r="B272" s="300">
        <f t="shared" si="171"/>
        <v>38237</v>
      </c>
      <c r="C272" s="301" t="e">
        <f t="shared" si="203"/>
        <v>#N/A</v>
      </c>
      <c r="D272" s="301" t="e">
        <f t="shared" si="172"/>
        <v>#N/A</v>
      </c>
      <c r="E272" s="299">
        <f t="shared" si="173"/>
        <v>251</v>
      </c>
      <c r="F272" s="396">
        <f>Weather!M256</f>
        <v>0</v>
      </c>
      <c r="G272" s="301">
        <f>IF(Weather!C256="","",Weather!C256)</f>
        <v>2.4508270780974195</v>
      </c>
      <c r="H272" s="301">
        <f>IF(Weather!D256="","",Weather!D256)</f>
        <v>2.0862799704609447</v>
      </c>
      <c r="I272" s="502">
        <f>IF(Weather!E256="","",Weather!E256)</f>
        <v>2.0862799704609447</v>
      </c>
      <c r="J272" s="397">
        <f>IF(RnSplint!N300&lt;0,0,RnSplint!N300)</f>
        <v>19.457226379570699</v>
      </c>
      <c r="K272" s="302">
        <f t="shared" si="204"/>
        <v>0.84642857142857286</v>
      </c>
      <c r="L272" s="303">
        <f t="shared" si="205"/>
        <v>38237</v>
      </c>
      <c r="M272" s="346" t="str">
        <f t="shared" si="174"/>
        <v/>
      </c>
      <c r="N272" s="304">
        <f t="shared" si="206"/>
        <v>0.84642857142857286</v>
      </c>
      <c r="O272" s="304">
        <f t="shared" si="207"/>
        <v>0</v>
      </c>
      <c r="P272" s="304">
        <f t="shared" si="175"/>
        <v>0.84642857142857286</v>
      </c>
      <c r="Q272" s="304">
        <f t="shared" si="176"/>
        <v>0.82627075577701126</v>
      </c>
      <c r="R272" s="304">
        <f t="shared" si="177"/>
        <v>0.84642857142857286</v>
      </c>
      <c r="S272" s="305">
        <f t="shared" si="208"/>
        <v>0.84642857142857286</v>
      </c>
      <c r="T272" s="304">
        <f t="shared" si="178"/>
        <v>0.19603859084920211</v>
      </c>
      <c r="U272" s="304">
        <f t="shared" si="222"/>
        <v>0.84642857142857286</v>
      </c>
      <c r="V272" s="305">
        <f t="shared" si="179"/>
        <v>0.84642857142857286</v>
      </c>
      <c r="W272" s="305">
        <f t="shared" si="209"/>
        <v>0.84642857142857286</v>
      </c>
      <c r="X272" s="304">
        <f t="shared" si="210"/>
        <v>0.84642857142857286</v>
      </c>
      <c r="Z272" s="304" t="str">
        <f t="shared" si="180"/>
        <v/>
      </c>
      <c r="AA272" s="305">
        <f t="shared" si="181"/>
        <v>0.84642857142857286</v>
      </c>
      <c r="AB272" s="304">
        <f t="shared" si="182"/>
        <v>1.7658869749973025</v>
      </c>
      <c r="AC272" s="304">
        <f t="shared" si="211"/>
        <v>0.84642857142857286</v>
      </c>
      <c r="AD272" s="306">
        <f t="shared" si="183"/>
        <v>457.19525778493477</v>
      </c>
      <c r="AE272" s="307">
        <f t="shared" si="212"/>
        <v>1.7658869749973025</v>
      </c>
      <c r="AF272" s="308">
        <f t="shared" si="184"/>
        <v>457.19525778493477</v>
      </c>
      <c r="AG272" s="306">
        <f t="shared" si="213"/>
        <v>591.50940264853023</v>
      </c>
      <c r="AH272" s="306">
        <f t="shared" si="185"/>
        <v>0</v>
      </c>
      <c r="AI272" s="306">
        <f t="shared" si="214"/>
        <v>0</v>
      </c>
      <c r="AJ272" s="306">
        <f t="shared" si="215"/>
        <v>2.0862799704609447</v>
      </c>
      <c r="AK272" s="306">
        <f t="shared" si="186"/>
        <v>0</v>
      </c>
      <c r="AL272" s="306">
        <f t="shared" si="216"/>
        <v>0</v>
      </c>
      <c r="AM272" s="306">
        <f t="shared" si="187"/>
        <v>1.7658869749973025</v>
      </c>
      <c r="AN272" s="304">
        <f>KcSplint!$N301</f>
        <v>0.8898287052069711</v>
      </c>
      <c r="AO272" s="304">
        <f t="shared" si="188"/>
        <v>0.91469395962794553</v>
      </c>
      <c r="AP272" s="304">
        <f t="shared" si="217"/>
        <v>0.91469395962794553</v>
      </c>
      <c r="AQ272" s="305">
        <f t="shared" si="218"/>
        <v>0.91469395962794553</v>
      </c>
      <c r="AR272" s="304">
        <f t="shared" si="219"/>
        <v>1.9083076870733948</v>
      </c>
      <c r="AS272" s="306">
        <f t="shared" si="189"/>
        <v>494.47215946527513</v>
      </c>
      <c r="AT272" s="307">
        <f t="shared" si="220"/>
        <v>1.9083076870733948</v>
      </c>
      <c r="AU272" s="307">
        <f t="shared" si="221"/>
        <v>494.47215946527513</v>
      </c>
      <c r="AV272" s="304">
        <f t="shared" si="190"/>
        <v>2.0862799704609447</v>
      </c>
      <c r="AW272" s="309">
        <f t="shared" si="191"/>
        <v>10.100644327845368</v>
      </c>
      <c r="AX272" s="306">
        <f>IF(ISERROR(Weather!M256),#N/A,Weather!M256)</f>
        <v>0</v>
      </c>
      <c r="AY272" s="310">
        <f t="shared" si="192"/>
        <v>4</v>
      </c>
      <c r="AZ272" s="309">
        <f t="shared" si="193"/>
        <v>0.82627075577701126</v>
      </c>
      <c r="BA272" s="309">
        <f t="shared" si="194"/>
        <v>164.1211690384261</v>
      </c>
      <c r="BB272" s="311">
        <f>Irrig!H274</f>
        <v>0</v>
      </c>
      <c r="BC272" s="310">
        <f t="shared" si="195"/>
        <v>46</v>
      </c>
      <c r="BD272" s="309">
        <f t="shared" si="196"/>
        <v>0.19603859084920211</v>
      </c>
      <c r="BE272" s="309">
        <f t="shared" si="197"/>
        <v>0.19603859084920211</v>
      </c>
      <c r="BF272" s="306">
        <f>DailyMet!H255</f>
        <v>22.88</v>
      </c>
      <c r="BG272" s="306">
        <f>DailyMet!I255</f>
        <v>16.399999999999999</v>
      </c>
      <c r="BH272" s="306">
        <f t="shared" si="198"/>
        <v>22.88</v>
      </c>
      <c r="BI272" s="306">
        <f t="shared" si="199"/>
        <v>16.399999999999999</v>
      </c>
      <c r="BJ272" s="306">
        <f t="shared" si="200"/>
        <v>9.64</v>
      </c>
      <c r="BK272" s="306">
        <f t="shared" si="225"/>
        <v>1338.6949999999999</v>
      </c>
      <c r="BL272" s="304">
        <f t="shared" si="201"/>
        <v>0</v>
      </c>
      <c r="BM272" s="304">
        <f t="shared" si="202"/>
        <v>9.64</v>
      </c>
      <c r="BN272" s="304">
        <f t="shared" si="223"/>
        <v>9.64</v>
      </c>
      <c r="BO272" s="306">
        <f t="shared" si="224"/>
        <v>1323.2242360766554</v>
      </c>
      <c r="BP272" s="306"/>
    </row>
    <row r="273" spans="1:68">
      <c r="A273" s="299">
        <f t="shared" si="170"/>
        <v>4</v>
      </c>
      <c r="B273" s="300">
        <f t="shared" si="171"/>
        <v>38238</v>
      </c>
      <c r="C273" s="301" t="e">
        <f t="shared" si="203"/>
        <v>#N/A</v>
      </c>
      <c r="D273" s="301" t="e">
        <f t="shared" si="172"/>
        <v>#N/A</v>
      </c>
      <c r="E273" s="299">
        <f t="shared" si="173"/>
        <v>252</v>
      </c>
      <c r="F273" s="396">
        <f>Weather!M257</f>
        <v>0</v>
      </c>
      <c r="G273" s="301">
        <f>IF(Weather!C257="","",Weather!C257)</f>
        <v>2.3943270583710548</v>
      </c>
      <c r="H273" s="301">
        <f>IF(Weather!D257="","",Weather!D257)</f>
        <v>2.9138217266599553</v>
      </c>
      <c r="I273" s="502">
        <f>IF(Weather!E257="","",Weather!E257)</f>
        <v>2.9138217266599553</v>
      </c>
      <c r="J273" s="397">
        <f>IF(RnSplint!N301&lt;0,0,RnSplint!N301)</f>
        <v>18.888046180243112</v>
      </c>
      <c r="K273" s="302">
        <f t="shared" si="204"/>
        <v>0.83571428571428719</v>
      </c>
      <c r="L273" s="303">
        <f t="shared" si="205"/>
        <v>38238</v>
      </c>
      <c r="M273" s="346" t="str">
        <f t="shared" si="174"/>
        <v/>
      </c>
      <c r="N273" s="304">
        <f t="shared" si="206"/>
        <v>0.83571428571428719</v>
      </c>
      <c r="O273" s="304">
        <f t="shared" si="207"/>
        <v>0</v>
      </c>
      <c r="P273" s="304">
        <f t="shared" si="175"/>
        <v>0.83571428571428719</v>
      </c>
      <c r="Q273" s="304">
        <f t="shared" si="176"/>
        <v>0.72497412661926508</v>
      </c>
      <c r="R273" s="304">
        <f t="shared" si="177"/>
        <v>0.83571428571428719</v>
      </c>
      <c r="S273" s="305">
        <f t="shared" si="208"/>
        <v>0.83571428571428719</v>
      </c>
      <c r="T273" s="304">
        <f t="shared" si="178"/>
        <v>0.19426647441733549</v>
      </c>
      <c r="U273" s="304">
        <f t="shared" si="222"/>
        <v>0.83571428571428719</v>
      </c>
      <c r="V273" s="305">
        <f t="shared" si="179"/>
        <v>0.83571428571428719</v>
      </c>
      <c r="W273" s="305">
        <f t="shared" si="209"/>
        <v>0.83571428571428719</v>
      </c>
      <c r="X273" s="304">
        <f t="shared" si="210"/>
        <v>0.83571428571428719</v>
      </c>
      <c r="Z273" s="304" t="str">
        <f t="shared" si="180"/>
        <v/>
      </c>
      <c r="AA273" s="305">
        <f t="shared" si="181"/>
        <v>0.83571428571428719</v>
      </c>
      <c r="AB273" s="304">
        <f t="shared" si="182"/>
        <v>2.4351224429943956</v>
      </c>
      <c r="AC273" s="304">
        <f t="shared" si="211"/>
        <v>0.83571428571428719</v>
      </c>
      <c r="AD273" s="306">
        <f t="shared" si="183"/>
        <v>459.63038022792915</v>
      </c>
      <c r="AE273" s="307">
        <f t="shared" si="212"/>
        <v>2.4351224429943956</v>
      </c>
      <c r="AF273" s="308">
        <f t="shared" si="184"/>
        <v>459.63038022792915</v>
      </c>
      <c r="AG273" s="306">
        <f t="shared" si="213"/>
        <v>594.42322437519022</v>
      </c>
      <c r="AH273" s="306">
        <f t="shared" si="185"/>
        <v>0</v>
      </c>
      <c r="AI273" s="306">
        <f t="shared" si="214"/>
        <v>0</v>
      </c>
      <c r="AJ273" s="306">
        <f t="shared" si="215"/>
        <v>2.9138217266599553</v>
      </c>
      <c r="AK273" s="306">
        <f t="shared" si="186"/>
        <v>0</v>
      </c>
      <c r="AL273" s="306">
        <f t="shared" si="216"/>
        <v>0</v>
      </c>
      <c r="AM273" s="306">
        <f t="shared" si="187"/>
        <v>2.4351224429943956</v>
      </c>
      <c r="AN273" s="304">
        <f>KcSplint!$N302</f>
        <v>0.88566688253987491</v>
      </c>
      <c r="AO273" s="304">
        <f t="shared" si="188"/>
        <v>0.90730335629046466</v>
      </c>
      <c r="AP273" s="304">
        <f t="shared" si="217"/>
        <v>0.90730335629046466</v>
      </c>
      <c r="AQ273" s="305">
        <f t="shared" si="218"/>
        <v>0.90730335629046466</v>
      </c>
      <c r="AR273" s="304">
        <f t="shared" si="219"/>
        <v>2.6437202322306543</v>
      </c>
      <c r="AS273" s="306">
        <f t="shared" si="189"/>
        <v>497.11587969750576</v>
      </c>
      <c r="AT273" s="307">
        <f t="shared" si="220"/>
        <v>2.6437202322306543</v>
      </c>
      <c r="AU273" s="307">
        <f t="shared" si="221"/>
        <v>497.11587969750576</v>
      </c>
      <c r="AV273" s="304">
        <f t="shared" si="190"/>
        <v>2.9138217266599553</v>
      </c>
      <c r="AW273" s="309">
        <f t="shared" si="191"/>
        <v>13.014466054505323</v>
      </c>
      <c r="AX273" s="306">
        <f>IF(ISERROR(Weather!M257),#N/A,Weather!M257)</f>
        <v>0</v>
      </c>
      <c r="AY273" s="310">
        <f t="shared" si="192"/>
        <v>5</v>
      </c>
      <c r="AZ273" s="309">
        <f t="shared" si="193"/>
        <v>0.72497412661926508</v>
      </c>
      <c r="BA273" s="309">
        <f t="shared" si="194"/>
        <v>167.03499076508606</v>
      </c>
      <c r="BB273" s="311">
        <f>Irrig!H275</f>
        <v>0</v>
      </c>
      <c r="BC273" s="310">
        <f t="shared" si="195"/>
        <v>47</v>
      </c>
      <c r="BD273" s="309">
        <f t="shared" si="196"/>
        <v>0.19426647441733549</v>
      </c>
      <c r="BE273" s="309">
        <f t="shared" si="197"/>
        <v>0.19426647441733549</v>
      </c>
      <c r="BF273" s="306">
        <f>DailyMet!H256</f>
        <v>22.72</v>
      </c>
      <c r="BG273" s="306">
        <f>DailyMet!I256</f>
        <v>15.9</v>
      </c>
      <c r="BH273" s="306">
        <f t="shared" si="198"/>
        <v>22.72</v>
      </c>
      <c r="BI273" s="306">
        <f t="shared" si="199"/>
        <v>15.9</v>
      </c>
      <c r="BJ273" s="306">
        <f t="shared" si="200"/>
        <v>9.3099999999999987</v>
      </c>
      <c r="BK273" s="306">
        <f t="shared" si="225"/>
        <v>1348.0049999999999</v>
      </c>
      <c r="BL273" s="304">
        <f t="shared" si="201"/>
        <v>0</v>
      </c>
      <c r="BM273" s="304">
        <f t="shared" si="202"/>
        <v>9.3099999999999987</v>
      </c>
      <c r="BN273" s="304">
        <f t="shared" si="223"/>
        <v>9.3099999999999987</v>
      </c>
      <c r="BO273" s="306">
        <f t="shared" si="224"/>
        <v>1332.5342360766554</v>
      </c>
      <c r="BP273" s="306"/>
    </row>
    <row r="274" spans="1:68">
      <c r="A274" s="299">
        <f t="shared" si="170"/>
        <v>4</v>
      </c>
      <c r="B274" s="300">
        <f t="shared" si="171"/>
        <v>38239</v>
      </c>
      <c r="C274" s="301" t="e">
        <f t="shared" si="203"/>
        <v>#N/A</v>
      </c>
      <c r="D274" s="301" t="e">
        <f t="shared" si="172"/>
        <v>#N/A</v>
      </c>
      <c r="E274" s="299">
        <f t="shared" si="173"/>
        <v>253</v>
      </c>
      <c r="F274" s="396">
        <f>Weather!M258</f>
        <v>0</v>
      </c>
      <c r="G274" s="301">
        <f>IF(Weather!C258="","",Weather!C258)</f>
        <v>2.3384946048089135</v>
      </c>
      <c r="H274" s="301">
        <f>IF(Weather!D258="","",Weather!D258)</f>
        <v>2.9219428494973703</v>
      </c>
      <c r="I274" s="502">
        <f>IF(Weather!E258="","",Weather!E258)</f>
        <v>2.9219428494973703</v>
      </c>
      <c r="J274" s="397">
        <f>IF(RnSplint!N302&lt;0,0,RnSplint!N302)</f>
        <v>18.320840923214131</v>
      </c>
      <c r="K274" s="302">
        <f t="shared" si="204"/>
        <v>0.82500000000000151</v>
      </c>
      <c r="L274" s="303">
        <f t="shared" si="205"/>
        <v>38239</v>
      </c>
      <c r="M274" s="346" t="str">
        <f t="shared" si="174"/>
        <v/>
      </c>
      <c r="N274" s="304">
        <f t="shared" si="206"/>
        <v>0.82500000000000151</v>
      </c>
      <c r="O274" s="304">
        <f t="shared" si="207"/>
        <v>0</v>
      </c>
      <c r="P274" s="304">
        <f t="shared" si="175"/>
        <v>0.82500000000000151</v>
      </c>
      <c r="Q274" s="304">
        <f t="shared" si="176"/>
        <v>0.65302984032757672</v>
      </c>
      <c r="R274" s="304">
        <f t="shared" si="177"/>
        <v>0.82500000000000151</v>
      </c>
      <c r="S274" s="305">
        <f t="shared" si="208"/>
        <v>0.82500000000000151</v>
      </c>
      <c r="T274" s="304">
        <f t="shared" si="178"/>
        <v>0.19253586523564398</v>
      </c>
      <c r="U274" s="304">
        <f t="shared" si="222"/>
        <v>0.82500000000000151</v>
      </c>
      <c r="V274" s="305">
        <f t="shared" si="179"/>
        <v>0.82500000000000151</v>
      </c>
      <c r="W274" s="305">
        <f t="shared" si="209"/>
        <v>0.82500000000000151</v>
      </c>
      <c r="X274" s="304">
        <f t="shared" si="210"/>
        <v>0.82500000000000151</v>
      </c>
      <c r="Z274" s="304" t="str">
        <f t="shared" si="180"/>
        <v/>
      </c>
      <c r="AA274" s="305">
        <f t="shared" si="181"/>
        <v>0.82500000000000151</v>
      </c>
      <c r="AB274" s="304">
        <f t="shared" si="182"/>
        <v>2.410602850835335</v>
      </c>
      <c r="AC274" s="304">
        <f t="shared" si="211"/>
        <v>0.82500000000000151</v>
      </c>
      <c r="AD274" s="306">
        <f t="shared" si="183"/>
        <v>462.0409830787645</v>
      </c>
      <c r="AE274" s="307">
        <f t="shared" si="212"/>
        <v>2.410602850835335</v>
      </c>
      <c r="AF274" s="308">
        <f t="shared" si="184"/>
        <v>462.0409830787645</v>
      </c>
      <c r="AG274" s="306">
        <f t="shared" si="213"/>
        <v>597.34516722468754</v>
      </c>
      <c r="AH274" s="306">
        <f t="shared" si="185"/>
        <v>0</v>
      </c>
      <c r="AI274" s="306">
        <f t="shared" si="214"/>
        <v>0</v>
      </c>
      <c r="AJ274" s="306">
        <f t="shared" si="215"/>
        <v>2.9219428494973703</v>
      </c>
      <c r="AK274" s="306">
        <f t="shared" si="186"/>
        <v>0</v>
      </c>
      <c r="AL274" s="306">
        <f t="shared" si="216"/>
        <v>0</v>
      </c>
      <c r="AM274" s="306">
        <f t="shared" si="187"/>
        <v>2.410602850835335</v>
      </c>
      <c r="AN274" s="304">
        <f>KcSplint!$N303</f>
        <v>0.88180702667277688</v>
      </c>
      <c r="AO274" s="304">
        <f t="shared" si="188"/>
        <v>0.89991275295298379</v>
      </c>
      <c r="AP274" s="304">
        <f t="shared" si="217"/>
        <v>0.89991275295298379</v>
      </c>
      <c r="AQ274" s="305">
        <f t="shared" si="218"/>
        <v>0.89991275295298379</v>
      </c>
      <c r="AR274" s="304">
        <f t="shared" si="219"/>
        <v>2.6294936336624644</v>
      </c>
      <c r="AS274" s="306">
        <f t="shared" si="189"/>
        <v>499.74537333116825</v>
      </c>
      <c r="AT274" s="307">
        <f t="shared" si="220"/>
        <v>2.6294936336624644</v>
      </c>
      <c r="AU274" s="307">
        <f t="shared" si="221"/>
        <v>499.74537333116825</v>
      </c>
      <c r="AV274" s="304">
        <f t="shared" si="190"/>
        <v>2.9219428494973703</v>
      </c>
      <c r="AW274" s="309">
        <f t="shared" si="191"/>
        <v>15.936408904002693</v>
      </c>
      <c r="AX274" s="306">
        <f>IF(ISERROR(Weather!M258),#N/A,Weather!M258)</f>
        <v>0</v>
      </c>
      <c r="AY274" s="310">
        <f t="shared" si="192"/>
        <v>6</v>
      </c>
      <c r="AZ274" s="309">
        <f t="shared" si="193"/>
        <v>0.65302984032757672</v>
      </c>
      <c r="BA274" s="309">
        <f t="shared" si="194"/>
        <v>169.95693361458345</v>
      </c>
      <c r="BB274" s="311">
        <f>Irrig!H276</f>
        <v>0</v>
      </c>
      <c r="BC274" s="310">
        <f t="shared" si="195"/>
        <v>48</v>
      </c>
      <c r="BD274" s="309">
        <f t="shared" si="196"/>
        <v>0.19253586523564398</v>
      </c>
      <c r="BE274" s="309">
        <f t="shared" si="197"/>
        <v>0.19253586523564398</v>
      </c>
      <c r="BF274" s="306">
        <f>DailyMet!H257</f>
        <v>22.6</v>
      </c>
      <c r="BG274" s="306">
        <f>DailyMet!I257</f>
        <v>16.3</v>
      </c>
      <c r="BH274" s="306">
        <f t="shared" si="198"/>
        <v>22.6</v>
      </c>
      <c r="BI274" s="306">
        <f t="shared" si="199"/>
        <v>16.3</v>
      </c>
      <c r="BJ274" s="306">
        <f t="shared" si="200"/>
        <v>9.4500000000000028</v>
      </c>
      <c r="BK274" s="306">
        <f t="shared" si="225"/>
        <v>1357.4549999999999</v>
      </c>
      <c r="BL274" s="304">
        <f t="shared" si="201"/>
        <v>0</v>
      </c>
      <c r="BM274" s="304">
        <f t="shared" si="202"/>
        <v>9.4500000000000028</v>
      </c>
      <c r="BN274" s="304">
        <f t="shared" si="223"/>
        <v>9.4500000000000028</v>
      </c>
      <c r="BO274" s="306">
        <f t="shared" si="224"/>
        <v>1341.9842360766554</v>
      </c>
      <c r="BP274" s="306"/>
    </row>
    <row r="275" spans="1:68">
      <c r="A275" s="299">
        <f t="shared" si="170"/>
        <v>4</v>
      </c>
      <c r="B275" s="300">
        <f t="shared" si="171"/>
        <v>38240</v>
      </c>
      <c r="C275" s="301" t="e">
        <f t="shared" si="203"/>
        <v>#N/A</v>
      </c>
      <c r="D275" s="301" t="e">
        <f t="shared" si="172"/>
        <v>#N/A</v>
      </c>
      <c r="E275" s="299">
        <f t="shared" si="173"/>
        <v>254</v>
      </c>
      <c r="F275" s="396">
        <f>Weather!M259</f>
        <v>0</v>
      </c>
      <c r="G275" s="301">
        <f>IF(Weather!C259="","",Weather!C259)</f>
        <v>2.2834303205230468</v>
      </c>
      <c r="H275" s="301">
        <f>IF(Weather!D259="","",Weather!D259)</f>
        <v>2.6313715600740846</v>
      </c>
      <c r="I275" s="502">
        <f>IF(Weather!E259="","",Weather!E259)</f>
        <v>2.6313715600740846</v>
      </c>
      <c r="J275" s="397">
        <f>IF(RnSplint!N303&lt;0,0,RnSplint!N303)</f>
        <v>17.756341266174637</v>
      </c>
      <c r="K275" s="302">
        <f t="shared" si="204"/>
        <v>0.81428571428571583</v>
      </c>
      <c r="L275" s="303">
        <f t="shared" si="205"/>
        <v>38240</v>
      </c>
      <c r="M275" s="346" t="str">
        <f t="shared" si="174"/>
        <v/>
      </c>
      <c r="N275" s="304">
        <f t="shared" si="206"/>
        <v>0.81428571428571583</v>
      </c>
      <c r="O275" s="304">
        <f t="shared" si="207"/>
        <v>0</v>
      </c>
      <c r="P275" s="304">
        <f t="shared" si="175"/>
        <v>0.81428571428571583</v>
      </c>
      <c r="Q275" s="304">
        <f t="shared" si="176"/>
        <v>0.60351261222789609</v>
      </c>
      <c r="R275" s="304">
        <f t="shared" si="177"/>
        <v>0.81428571428571583</v>
      </c>
      <c r="S275" s="305">
        <f t="shared" si="208"/>
        <v>0.81428571428571583</v>
      </c>
      <c r="T275" s="304">
        <f t="shared" si="178"/>
        <v>0.1910155145985761</v>
      </c>
      <c r="U275" s="304">
        <f t="shared" si="222"/>
        <v>0.81428571428571583</v>
      </c>
      <c r="V275" s="305">
        <f t="shared" si="179"/>
        <v>0.81428571428571583</v>
      </c>
      <c r="W275" s="305">
        <f t="shared" si="209"/>
        <v>0.81428571428571583</v>
      </c>
      <c r="X275" s="304">
        <f t="shared" si="210"/>
        <v>0.81428571428571583</v>
      </c>
      <c r="Z275" s="304" t="str">
        <f t="shared" si="180"/>
        <v/>
      </c>
      <c r="AA275" s="305">
        <f t="shared" si="181"/>
        <v>0.81428571428571583</v>
      </c>
      <c r="AB275" s="304">
        <f t="shared" si="182"/>
        <v>2.1426882703460444</v>
      </c>
      <c r="AC275" s="304">
        <f t="shared" si="211"/>
        <v>0.81428571428571583</v>
      </c>
      <c r="AD275" s="306">
        <f t="shared" si="183"/>
        <v>464.18367134911057</v>
      </c>
      <c r="AE275" s="307">
        <f t="shared" si="212"/>
        <v>2.1426882703460444</v>
      </c>
      <c r="AF275" s="308">
        <f t="shared" si="184"/>
        <v>464.18367134911057</v>
      </c>
      <c r="AG275" s="306">
        <f t="shared" si="213"/>
        <v>599.9765387847616</v>
      </c>
      <c r="AH275" s="306">
        <f t="shared" si="185"/>
        <v>0</v>
      </c>
      <c r="AI275" s="306">
        <f t="shared" si="214"/>
        <v>0</v>
      </c>
      <c r="AJ275" s="306">
        <f t="shared" si="215"/>
        <v>2.6313715600740846</v>
      </c>
      <c r="AK275" s="306">
        <f t="shared" si="186"/>
        <v>0</v>
      </c>
      <c r="AL275" s="306">
        <f t="shared" si="216"/>
        <v>0</v>
      </c>
      <c r="AM275" s="306">
        <f t="shared" si="187"/>
        <v>2.1426882703460444</v>
      </c>
      <c r="AN275" s="304">
        <f>KcSplint!$N304</f>
        <v>0.87826907325293602</v>
      </c>
      <c r="AO275" s="304">
        <f t="shared" si="188"/>
        <v>0.89252214961550291</v>
      </c>
      <c r="AP275" s="304">
        <f t="shared" si="217"/>
        <v>0.89252214961550291</v>
      </c>
      <c r="AQ275" s="305">
        <f t="shared" si="218"/>
        <v>0.89252214961550291</v>
      </c>
      <c r="AR275" s="304">
        <f t="shared" si="219"/>
        <v>2.3485574012344212</v>
      </c>
      <c r="AS275" s="306">
        <f t="shared" si="189"/>
        <v>502.09393073240267</v>
      </c>
      <c r="AT275" s="307">
        <f t="shared" si="220"/>
        <v>2.3485574012344212</v>
      </c>
      <c r="AU275" s="307">
        <f t="shared" si="221"/>
        <v>502.09393073240267</v>
      </c>
      <c r="AV275" s="304">
        <f t="shared" si="190"/>
        <v>2.6313715600740846</v>
      </c>
      <c r="AW275" s="309">
        <f t="shared" si="191"/>
        <v>18.567780464076776</v>
      </c>
      <c r="AX275" s="306">
        <f>IF(ISERROR(Weather!M259),#N/A,Weather!M259)</f>
        <v>0</v>
      </c>
      <c r="AY275" s="310">
        <f t="shared" si="192"/>
        <v>7</v>
      </c>
      <c r="AZ275" s="309">
        <f t="shared" si="193"/>
        <v>0.60351261222789609</v>
      </c>
      <c r="BA275" s="309">
        <f t="shared" si="194"/>
        <v>172.58830517465753</v>
      </c>
      <c r="BB275" s="311">
        <f>Irrig!H277</f>
        <v>0</v>
      </c>
      <c r="BC275" s="310">
        <f t="shared" si="195"/>
        <v>49</v>
      </c>
      <c r="BD275" s="309">
        <f t="shared" si="196"/>
        <v>0.1910155145985761</v>
      </c>
      <c r="BE275" s="309">
        <f t="shared" si="197"/>
        <v>0.1910155145985761</v>
      </c>
      <c r="BF275" s="306">
        <f>DailyMet!H258</f>
        <v>22.45</v>
      </c>
      <c r="BG275" s="306">
        <f>DailyMet!I258</f>
        <v>15.2</v>
      </c>
      <c r="BH275" s="306">
        <f t="shared" si="198"/>
        <v>22.45</v>
      </c>
      <c r="BI275" s="306">
        <f t="shared" si="199"/>
        <v>15.2</v>
      </c>
      <c r="BJ275" s="306">
        <f t="shared" si="200"/>
        <v>8.8249999999999993</v>
      </c>
      <c r="BK275" s="306">
        <f t="shared" si="225"/>
        <v>1366.28</v>
      </c>
      <c r="BL275" s="304">
        <f t="shared" si="201"/>
        <v>0</v>
      </c>
      <c r="BM275" s="304">
        <f t="shared" si="202"/>
        <v>8.8249999999999993</v>
      </c>
      <c r="BN275" s="304">
        <f t="shared" si="223"/>
        <v>8.8249999999999993</v>
      </c>
      <c r="BO275" s="306">
        <f t="shared" si="224"/>
        <v>1350.8092360766555</v>
      </c>
      <c r="BP275" s="306"/>
    </row>
    <row r="276" spans="1:68">
      <c r="A276" s="299">
        <f t="shared" si="170"/>
        <v>4</v>
      </c>
      <c r="B276" s="300">
        <f t="shared" si="171"/>
        <v>38241</v>
      </c>
      <c r="C276" s="301" t="e">
        <f t="shared" si="203"/>
        <v>#N/A</v>
      </c>
      <c r="D276" s="301" t="e">
        <f t="shared" si="172"/>
        <v>#N/A</v>
      </c>
      <c r="E276" s="299">
        <f t="shared" si="173"/>
        <v>255</v>
      </c>
      <c r="F276" s="396">
        <f>Weather!M260</f>
        <v>0</v>
      </c>
      <c r="G276" s="301">
        <f>IF(Weather!C260="","",Weather!C260)</f>
        <v>2.2292348086255074</v>
      </c>
      <c r="H276" s="301">
        <f>IF(Weather!D260="","",Weather!D260)</f>
        <v>2.9416653353000819</v>
      </c>
      <c r="I276" s="502">
        <f>IF(Weather!E260="","",Weather!E260)</f>
        <v>2.9416653353000819</v>
      </c>
      <c r="J276" s="397">
        <f>IF(RnSplint!N304&lt;0,0,RnSplint!N304)</f>
        <v>17.195277866815506</v>
      </c>
      <c r="K276" s="302">
        <f t="shared" si="204"/>
        <v>0.80357142857143016</v>
      </c>
      <c r="L276" s="303">
        <f t="shared" si="205"/>
        <v>38241</v>
      </c>
      <c r="M276" s="346" t="str">
        <f t="shared" si="174"/>
        <v/>
      </c>
      <c r="N276" s="304">
        <f t="shared" si="206"/>
        <v>0.80357142857143016</v>
      </c>
      <c r="O276" s="304">
        <f t="shared" si="207"/>
        <v>0</v>
      </c>
      <c r="P276" s="304">
        <f t="shared" si="175"/>
        <v>0.80357142857143016</v>
      </c>
      <c r="Q276" s="304">
        <f t="shared" si="176"/>
        <v>0.55940948884696218</v>
      </c>
      <c r="R276" s="304">
        <f t="shared" si="177"/>
        <v>0.80357142857143016</v>
      </c>
      <c r="S276" s="305">
        <f t="shared" si="208"/>
        <v>0.80357142857143016</v>
      </c>
      <c r="T276" s="304">
        <f t="shared" si="178"/>
        <v>0.18935694846034279</v>
      </c>
      <c r="U276" s="304">
        <f t="shared" si="222"/>
        <v>0.80357142857143016</v>
      </c>
      <c r="V276" s="305">
        <f t="shared" si="179"/>
        <v>0.80357142857143016</v>
      </c>
      <c r="W276" s="305">
        <f t="shared" si="209"/>
        <v>0.80357142857143016</v>
      </c>
      <c r="X276" s="304">
        <f t="shared" si="210"/>
        <v>0.80357142857143016</v>
      </c>
      <c r="Z276" s="304" t="str">
        <f t="shared" si="180"/>
        <v/>
      </c>
      <c r="AA276" s="305">
        <f t="shared" si="181"/>
        <v>0.80357142857143016</v>
      </c>
      <c r="AB276" s="304">
        <f t="shared" si="182"/>
        <v>2.3638382158661417</v>
      </c>
      <c r="AC276" s="304">
        <f t="shared" si="211"/>
        <v>0.80357142857143016</v>
      </c>
      <c r="AD276" s="306">
        <f t="shared" si="183"/>
        <v>466.54750956497674</v>
      </c>
      <c r="AE276" s="307">
        <f t="shared" si="212"/>
        <v>2.3638382158661417</v>
      </c>
      <c r="AF276" s="308">
        <f t="shared" si="184"/>
        <v>466.54750956497674</v>
      </c>
      <c r="AG276" s="306">
        <f t="shared" si="213"/>
        <v>602.91820412006166</v>
      </c>
      <c r="AH276" s="306">
        <f t="shared" si="185"/>
        <v>0</v>
      </c>
      <c r="AI276" s="306">
        <f t="shared" si="214"/>
        <v>0</v>
      </c>
      <c r="AJ276" s="306">
        <f t="shared" si="215"/>
        <v>2.9416653353000819</v>
      </c>
      <c r="AK276" s="306">
        <f t="shared" si="186"/>
        <v>0</v>
      </c>
      <c r="AL276" s="306">
        <f t="shared" si="216"/>
        <v>0</v>
      </c>
      <c r="AM276" s="306">
        <f t="shared" si="187"/>
        <v>2.3638382158661417</v>
      </c>
      <c r="AN276" s="304">
        <f>KcSplint!$N305</f>
        <v>0.87507295792761075</v>
      </c>
      <c r="AO276" s="304">
        <f t="shared" si="188"/>
        <v>0.88513154627802204</v>
      </c>
      <c r="AP276" s="304">
        <f t="shared" si="217"/>
        <v>0.88513154627802204</v>
      </c>
      <c r="AQ276" s="305">
        <f t="shared" si="218"/>
        <v>0.88513154627802204</v>
      </c>
      <c r="AR276" s="304">
        <f t="shared" si="219"/>
        <v>2.6037607868666175</v>
      </c>
      <c r="AS276" s="306">
        <f t="shared" si="189"/>
        <v>504.69769151926931</v>
      </c>
      <c r="AT276" s="307">
        <f t="shared" si="220"/>
        <v>2.6037607868666175</v>
      </c>
      <c r="AU276" s="307">
        <f t="shared" si="221"/>
        <v>504.69769151926931</v>
      </c>
      <c r="AV276" s="304">
        <f t="shared" si="190"/>
        <v>2.9416653353000819</v>
      </c>
      <c r="AW276" s="309">
        <f t="shared" si="191"/>
        <v>21.509445799376859</v>
      </c>
      <c r="AX276" s="306">
        <f>IF(ISERROR(Weather!M260),#N/A,Weather!M260)</f>
        <v>0</v>
      </c>
      <c r="AY276" s="310">
        <f t="shared" si="192"/>
        <v>8</v>
      </c>
      <c r="AZ276" s="309">
        <f t="shared" si="193"/>
        <v>0.55940948884696218</v>
      </c>
      <c r="BA276" s="309">
        <f t="shared" si="194"/>
        <v>175.52997050995762</v>
      </c>
      <c r="BB276" s="311">
        <f>Irrig!H278</f>
        <v>0</v>
      </c>
      <c r="BC276" s="310">
        <f t="shared" si="195"/>
        <v>50</v>
      </c>
      <c r="BD276" s="309">
        <f t="shared" si="196"/>
        <v>0.18935694846034279</v>
      </c>
      <c r="BE276" s="309">
        <f t="shared" si="197"/>
        <v>0.18935694846034279</v>
      </c>
      <c r="BF276" s="306">
        <f>DailyMet!H259</f>
        <v>23.01</v>
      </c>
      <c r="BG276" s="306">
        <f>DailyMet!I259</f>
        <v>17.7</v>
      </c>
      <c r="BH276" s="306">
        <f t="shared" si="198"/>
        <v>23.01</v>
      </c>
      <c r="BI276" s="306">
        <f t="shared" si="199"/>
        <v>17.7</v>
      </c>
      <c r="BJ276" s="306">
        <f t="shared" si="200"/>
        <v>10.355</v>
      </c>
      <c r="BK276" s="306">
        <f t="shared" si="225"/>
        <v>1376.635</v>
      </c>
      <c r="BL276" s="304">
        <f t="shared" si="201"/>
        <v>0</v>
      </c>
      <c r="BM276" s="304">
        <f t="shared" si="202"/>
        <v>10.355</v>
      </c>
      <c r="BN276" s="304">
        <f t="shared" si="223"/>
        <v>10.355</v>
      </c>
      <c r="BO276" s="306">
        <f t="shared" si="224"/>
        <v>1361.1642360766555</v>
      </c>
      <c r="BP276" s="306"/>
    </row>
    <row r="277" spans="1:68">
      <c r="A277" s="299">
        <f t="shared" si="170"/>
        <v>4</v>
      </c>
      <c r="B277" s="300">
        <f t="shared" si="171"/>
        <v>38242</v>
      </c>
      <c r="C277" s="301" t="e">
        <f t="shared" si="203"/>
        <v>#N/A</v>
      </c>
      <c r="D277" s="301" t="e">
        <f t="shared" si="172"/>
        <v>#N/A</v>
      </c>
      <c r="E277" s="299">
        <f t="shared" si="173"/>
        <v>256</v>
      </c>
      <c r="F277" s="396">
        <f>Weather!M261</f>
        <v>9.4</v>
      </c>
      <c r="G277" s="301">
        <f>IF(Weather!C261="","",Weather!C261)</f>
        <v>2.1760086722283467</v>
      </c>
      <c r="H277" s="301">
        <f>IF(Weather!D261="","",Weather!D261)</f>
        <v>2.4586716698177891</v>
      </c>
      <c r="I277" s="502">
        <f>IF(Weather!E261="","",Weather!E261)</f>
        <v>2.4586716698177891</v>
      </c>
      <c r="J277" s="397">
        <f>IF(RnSplint!N305&lt;0,0,RnSplint!N305)</f>
        <v>16.638381382827603</v>
      </c>
      <c r="K277" s="302">
        <f t="shared" si="204"/>
        <v>0.79285714285714448</v>
      </c>
      <c r="L277" s="303">
        <f t="shared" si="205"/>
        <v>38242</v>
      </c>
      <c r="M277" s="346" t="str">
        <f t="shared" si="174"/>
        <v/>
      </c>
      <c r="N277" s="304">
        <f t="shared" si="206"/>
        <v>0.79285714285714448</v>
      </c>
      <c r="O277" s="304">
        <f t="shared" si="207"/>
        <v>0</v>
      </c>
      <c r="P277" s="304">
        <f t="shared" si="175"/>
        <v>0.79285714285714448</v>
      </c>
      <c r="Q277" s="304">
        <f t="shared" si="176"/>
        <v>1.2</v>
      </c>
      <c r="R277" s="304">
        <f t="shared" si="177"/>
        <v>1.2</v>
      </c>
      <c r="S277" s="305">
        <f t="shared" si="208"/>
        <v>1.2</v>
      </c>
      <c r="T277" s="304">
        <f t="shared" si="178"/>
        <v>0.18800269937681172</v>
      </c>
      <c r="U277" s="304">
        <f t="shared" si="222"/>
        <v>0.79285714285714448</v>
      </c>
      <c r="V277" s="305">
        <f t="shared" si="179"/>
        <v>0.79285714285714448</v>
      </c>
      <c r="W277" s="305">
        <f t="shared" si="209"/>
        <v>0.79285714285714448</v>
      </c>
      <c r="X277" s="304">
        <f t="shared" si="210"/>
        <v>1.2</v>
      </c>
      <c r="Z277" s="304" t="str">
        <f t="shared" si="180"/>
        <v/>
      </c>
      <c r="AA277" s="305">
        <f t="shared" si="181"/>
        <v>1.2</v>
      </c>
      <c r="AB277" s="304">
        <f t="shared" si="182"/>
        <v>2.9504060037813469</v>
      </c>
      <c r="AC277" s="304">
        <f t="shared" si="211"/>
        <v>1.2</v>
      </c>
      <c r="AD277" s="306">
        <f t="shared" si="183"/>
        <v>469.49791556875806</v>
      </c>
      <c r="AE277" s="307">
        <f t="shared" si="212"/>
        <v>2.9504060037813469</v>
      </c>
      <c r="AF277" s="308">
        <f t="shared" si="184"/>
        <v>469.49791556875806</v>
      </c>
      <c r="AG277" s="306">
        <f t="shared" si="213"/>
        <v>605.37687578987948</v>
      </c>
      <c r="AH277" s="306">
        <f t="shared" si="185"/>
        <v>0</v>
      </c>
      <c r="AI277" s="306">
        <f t="shared" si="214"/>
        <v>0</v>
      </c>
      <c r="AJ277" s="306">
        <f t="shared" si="215"/>
        <v>2.4586716698177891</v>
      </c>
      <c r="AK277" s="306">
        <f t="shared" si="186"/>
        <v>0</v>
      </c>
      <c r="AL277" s="306">
        <f t="shared" si="216"/>
        <v>0</v>
      </c>
      <c r="AM277" s="306">
        <f t="shared" si="187"/>
        <v>2.9504060037813469</v>
      </c>
      <c r="AN277" s="304">
        <f>KcSplint!$N306</f>
        <v>0.87223861634406041</v>
      </c>
      <c r="AO277" s="304">
        <f t="shared" si="188"/>
        <v>0.87774094294054117</v>
      </c>
      <c r="AP277" s="304">
        <f t="shared" si="217"/>
        <v>0.87774094294054117</v>
      </c>
      <c r="AQ277" s="305">
        <f t="shared" si="218"/>
        <v>0.87774094294054117</v>
      </c>
      <c r="AR277" s="304">
        <f t="shared" si="219"/>
        <v>2.158076789847061</v>
      </c>
      <c r="AS277" s="306">
        <f t="shared" si="189"/>
        <v>506.8557683091164</v>
      </c>
      <c r="AT277" s="307">
        <f t="shared" si="220"/>
        <v>2.158076789847061</v>
      </c>
      <c r="AU277" s="307">
        <f t="shared" si="221"/>
        <v>506.8557683091164</v>
      </c>
      <c r="AV277" s="304">
        <f t="shared" si="190"/>
        <v>2.4586716698177891</v>
      </c>
      <c r="AW277" s="309">
        <f t="shared" si="191"/>
        <v>2.4586716698177891</v>
      </c>
      <c r="AX277" s="306">
        <f>IF(ISERROR(Weather!M261),#N/A,Weather!M261)</f>
        <v>9.4</v>
      </c>
      <c r="AY277" s="310">
        <f t="shared" si="192"/>
        <v>1</v>
      </c>
      <c r="AZ277" s="309">
        <f t="shared" si="193"/>
        <v>1.2</v>
      </c>
      <c r="BA277" s="309">
        <f t="shared" si="194"/>
        <v>177.98864217977541</v>
      </c>
      <c r="BB277" s="311">
        <f>Irrig!H279</f>
        <v>0</v>
      </c>
      <c r="BC277" s="310">
        <f t="shared" si="195"/>
        <v>51</v>
      </c>
      <c r="BD277" s="309">
        <f t="shared" si="196"/>
        <v>0.18800269937681172</v>
      </c>
      <c r="BE277" s="309">
        <f t="shared" si="197"/>
        <v>0.18800269937681172</v>
      </c>
      <c r="BF277" s="306">
        <f>DailyMet!H260</f>
        <v>21.69</v>
      </c>
      <c r="BG277" s="306">
        <f>DailyMet!I260</f>
        <v>15.9</v>
      </c>
      <c r="BH277" s="306">
        <f t="shared" si="198"/>
        <v>21.69</v>
      </c>
      <c r="BI277" s="306">
        <f t="shared" si="199"/>
        <v>15.9</v>
      </c>
      <c r="BJ277" s="306">
        <f t="shared" si="200"/>
        <v>8.7950000000000017</v>
      </c>
      <c r="BK277" s="306">
        <f t="shared" si="225"/>
        <v>1385.43</v>
      </c>
      <c r="BL277" s="304">
        <f t="shared" si="201"/>
        <v>0</v>
      </c>
      <c r="BM277" s="304">
        <f t="shared" si="202"/>
        <v>8.7950000000000017</v>
      </c>
      <c r="BN277" s="304">
        <f t="shared" si="223"/>
        <v>8.7950000000000017</v>
      </c>
      <c r="BO277" s="306">
        <f t="shared" si="224"/>
        <v>1369.9592360766555</v>
      </c>
      <c r="BP277" s="306"/>
    </row>
    <row r="278" spans="1:68">
      <c r="A278" s="299">
        <f t="shared" ref="A278:A341" si="226">IF(B278&gt;K$12,0,IF(B278&gt;L$11,4,IF(B278&gt;=L$10,3,IF(B278&gt;L$9,2,IF(B278&gt;=K$8,1,0)))))</f>
        <v>4</v>
      </c>
      <c r="B278" s="300">
        <f t="shared" ref="B278:B341" si="227">B277+1</f>
        <v>38243</v>
      </c>
      <c r="C278" s="301" t="e">
        <f t="shared" si="203"/>
        <v>#N/A</v>
      </c>
      <c r="D278" s="301" t="e">
        <f t="shared" ref="D278:D341" si="228">IF(ISNA(C278),#N/A,IF(Q278&lt;C278,Q278,C278))</f>
        <v>#N/A</v>
      </c>
      <c r="E278" s="299">
        <f t="shared" ref="E278:E341" si="229">B278-DATE(K$2-1,12,31)</f>
        <v>257</v>
      </c>
      <c r="F278" s="396">
        <f>Weather!M262</f>
        <v>1.2</v>
      </c>
      <c r="G278" s="301">
        <f>IF(Weather!C262="","",Weather!C262)</f>
        <v>2.1238525144436156</v>
      </c>
      <c r="H278" s="301">
        <f>IF(Weather!D262="","",Weather!D262)</f>
        <v>0.60772138538312692</v>
      </c>
      <c r="I278" s="502">
        <f>IF(Weather!E262="","",Weather!E262)</f>
        <v>0.60772138538312692</v>
      </c>
      <c r="J278" s="397">
        <f>IF(RnSplint!N306&lt;0,0,RnSplint!N306)</f>
        <v>16.0863824719018</v>
      </c>
      <c r="K278" s="302">
        <f t="shared" si="204"/>
        <v>0.78214285714285881</v>
      </c>
      <c r="L278" s="303">
        <f t="shared" si="205"/>
        <v>38243</v>
      </c>
      <c r="M278" s="346" t="str">
        <f t="shared" ref="M278:M341" si="230">IF(OR(MONTH(L279)&gt;MONTH(L278),MONTH(L279)&lt;MONTH(L278)),MONTH(L278),"")</f>
        <v/>
      </c>
      <c r="N278" s="304">
        <f t="shared" si="206"/>
        <v>0.78214285714285881</v>
      </c>
      <c r="O278" s="304">
        <f t="shared" si="207"/>
        <v>0</v>
      </c>
      <c r="P278" s="304">
        <f t="shared" ref="P278:P341" si="231">IF($N278+$O278&gt;K$6,$K$6,$N278+$O278)</f>
        <v>0.78214285714285881</v>
      </c>
      <c r="Q278" s="304">
        <f t="shared" ref="Q278:Q341" si="232">AZ278</f>
        <v>1.2</v>
      </c>
      <c r="R278" s="304">
        <f t="shared" ref="R278:R341" si="233">IF(Q278&gt;P278,Q278,P278)</f>
        <v>1.2</v>
      </c>
      <c r="S278" s="305">
        <f t="shared" si="208"/>
        <v>1.2</v>
      </c>
      <c r="T278" s="304">
        <f t="shared" ref="T278:T341" si="234">BE278</f>
        <v>0.18767232696215139</v>
      </c>
      <c r="U278" s="304">
        <f t="shared" si="222"/>
        <v>0.78214285714285881</v>
      </c>
      <c r="V278" s="305">
        <f t="shared" ref="V278:V341" si="235">IF(N278=0,#N/A,U278)</f>
        <v>0.78214285714285881</v>
      </c>
      <c r="W278" s="305">
        <f t="shared" si="209"/>
        <v>0.78214285714285881</v>
      </c>
      <c r="X278" s="304">
        <f t="shared" si="210"/>
        <v>1.2</v>
      </c>
      <c r="Z278" s="304" t="str">
        <f t="shared" ref="Z278:Z341" si="236">IF(A278=2,X278,"")</f>
        <v/>
      </c>
      <c r="AA278" s="305">
        <f t="shared" ref="AA278:AA341" si="237">IF(N278=0,#N/A,X278)</f>
        <v>1.2</v>
      </c>
      <c r="AB278" s="304">
        <f t="shared" ref="AB278:AB341" si="238">X278*AV278</f>
        <v>0.72926566245975233</v>
      </c>
      <c r="AC278" s="304">
        <f t="shared" si="211"/>
        <v>1.2</v>
      </c>
      <c r="AD278" s="306">
        <f t="shared" ref="AD278:AD341" si="239">IF(OR(AND(L$3=4,E278&gt;366),AND(L$3=2,E278&gt;366)),0,IF(A278=0,0,AD277+AB278))</f>
        <v>470.2271812312178</v>
      </c>
      <c r="AE278" s="307">
        <f t="shared" si="212"/>
        <v>0.72926566245975233</v>
      </c>
      <c r="AF278" s="308">
        <f t="shared" ref="AF278:AF304" si="240">IF(AD278=0,#N/A,AD278)</f>
        <v>470.2271812312178</v>
      </c>
      <c r="AG278" s="306">
        <f t="shared" si="213"/>
        <v>605.98459717526259</v>
      </c>
      <c r="AH278" s="306">
        <f t="shared" ref="AH278:AH341" si="241">IF($A278=1,I278,0)</f>
        <v>0</v>
      </c>
      <c r="AI278" s="306">
        <f t="shared" si="214"/>
        <v>0</v>
      </c>
      <c r="AJ278" s="306">
        <f t="shared" si="215"/>
        <v>0.60772138538312692</v>
      </c>
      <c r="AK278" s="306">
        <f t="shared" ref="AK278:AK341" si="242">IF($A278=1,AE278,0)</f>
        <v>0</v>
      </c>
      <c r="AL278" s="306">
        <f t="shared" si="216"/>
        <v>0</v>
      </c>
      <c r="AM278" s="306">
        <f t="shared" ref="AM278:AM341" si="243">IF($A278=4,$AE278,0)</f>
        <v>0.72926566245975233</v>
      </c>
      <c r="AN278" s="304">
        <f>KcSplint!$N307</f>
        <v>0.86978598414954356</v>
      </c>
      <c r="AO278" s="304">
        <f t="shared" ref="AO278:AO341" si="244">IF($A278=1,$AC$9,IF($A278=2,$AP277+$AD$9,IF($A278=3,$AC$10,IF($A278=4,$AP277+$AD$11,""))))</f>
        <v>0.8703503396030603</v>
      </c>
      <c r="AP278" s="304">
        <f t="shared" si="217"/>
        <v>0.8703503396030603</v>
      </c>
      <c r="AQ278" s="305">
        <f t="shared" si="218"/>
        <v>0.8703503396030603</v>
      </c>
      <c r="AR278" s="304">
        <f t="shared" si="219"/>
        <v>0.52893051415224679</v>
      </c>
      <c r="AS278" s="306">
        <f t="shared" ref="AS278:AS341" si="245">IF(OR(AND(L$3=4,E278&gt;366),AND(L$3=2,E278&gt;366)),0,IF(AR278="",0,AS277+AR278))</f>
        <v>507.38469882326865</v>
      </c>
      <c r="AT278" s="307">
        <f t="shared" si="220"/>
        <v>0.52893051415224679</v>
      </c>
      <c r="AU278" s="307">
        <f t="shared" si="221"/>
        <v>507.38469882326865</v>
      </c>
      <c r="AV278" s="304">
        <f t="shared" ref="AV278:AV341" si="246">IF(I278&lt;0,0,I278)</f>
        <v>0.60772138538312692</v>
      </c>
      <c r="AW278" s="309">
        <f t="shared" ref="AW278:AW341" si="247">IF(AV278="",0,IF(AY278=1,AV278,AW277+AV278))</f>
        <v>3.066393055200916</v>
      </c>
      <c r="AX278" s="306">
        <f>IF(ISERROR(Weather!M262),#N/A,Weather!M262)</f>
        <v>1.2</v>
      </c>
      <c r="AY278" s="310">
        <f t="shared" ref="AY278:AY341" si="248">IF(AV278="",0,IF(AX278&gt;2*AV278,1,AY277+1))</f>
        <v>2</v>
      </c>
      <c r="AZ278" s="309">
        <f t="shared" ref="AZ278:AZ341" si="249">IF(2.725*$AW278^-0.516&gt;1.2,1.2,2.725*$AW278^-0.516)</f>
        <v>1.2</v>
      </c>
      <c r="BA278" s="309">
        <f t="shared" ref="BA278:BA341" si="250">IF($AV278="",0,IF(BC278=1,$AV278,BA277+$AV278))</f>
        <v>178.59636356515853</v>
      </c>
      <c r="BB278" s="311">
        <f>Irrig!H280</f>
        <v>0</v>
      </c>
      <c r="BC278" s="310">
        <f t="shared" ref="BC278:BC341" si="251">IF(A278=0,0,IF(BB278="",0,IF(BB278&gt;2*AV278,1,IF(A277=0,2,BC277+1))))</f>
        <v>52</v>
      </c>
      <c r="BD278" s="309">
        <f t="shared" ref="BD278:BD341" si="252">IF($A278=0,0,IF(2.725*$BA278^-0.516&gt;1.2,IF($A277=0,$Q278,1.2),IF($A277=0,$Q278,2.725*$BA278^-0.516)))</f>
        <v>0.18767232696215139</v>
      </c>
      <c r="BE278" s="309">
        <f t="shared" ref="BE278:BE341" si="253">(BE$18/100)*BD278</f>
        <v>0.18767232696215139</v>
      </c>
      <c r="BF278" s="306">
        <f>DailyMet!H261</f>
        <v>16.75</v>
      </c>
      <c r="BG278" s="306">
        <f>DailyMet!I261</f>
        <v>13.7</v>
      </c>
      <c r="BH278" s="306">
        <f t="shared" ref="BH278:BH341" si="254">IF(BF278&gt;$V$3,$V$3,BF278)</f>
        <v>16.75</v>
      </c>
      <c r="BI278" s="306">
        <f t="shared" ref="BI278:BI341" si="255">IF(BG278&lt;$V$4,$V$4,BG278)</f>
        <v>13.7</v>
      </c>
      <c r="BJ278" s="306">
        <f t="shared" ref="BJ278:BJ341" si="256">(BH278+BI278)/2-V$4</f>
        <v>5.2249999999999996</v>
      </c>
      <c r="BK278" s="306">
        <f t="shared" si="225"/>
        <v>1390.655</v>
      </c>
      <c r="BL278" s="304">
        <f t="shared" ref="BL278:BL341" si="257">IF($BG278&gt;$V$3,($BG278+$BF278)/2-$V$3,IF($BF278&gt;$V$3,($BF278-$V$3)^2/(2*($BF278-$BG278)),0))</f>
        <v>0</v>
      </c>
      <c r="BM278" s="304">
        <f t="shared" ref="BM278:BM341" si="258">IF($BG278&gt;$V$4,($BG278+$BF278)/2-$V$4,IF($BF278&gt;$V$4,($BF278-$V$4)^2/(2*($BF278-$BG278)),0))</f>
        <v>5.2249999999999996</v>
      </c>
      <c r="BN278" s="304">
        <f t="shared" si="223"/>
        <v>5.2249999999999996</v>
      </c>
      <c r="BO278" s="306">
        <f t="shared" si="224"/>
        <v>1375.1842360766555</v>
      </c>
      <c r="BP278" s="306"/>
    </row>
    <row r="279" spans="1:68">
      <c r="A279" s="299">
        <f t="shared" si="226"/>
        <v>4</v>
      </c>
      <c r="B279" s="300">
        <f t="shared" si="227"/>
        <v>38244</v>
      </c>
      <c r="C279" s="301" t="e">
        <f t="shared" ref="C279:C342" si="259">VLOOKUP(B279,$L$8:$R$12,7,FALSE)</f>
        <v>#N/A</v>
      </c>
      <c r="D279" s="301" t="e">
        <f t="shared" si="228"/>
        <v>#N/A</v>
      </c>
      <c r="E279" s="299">
        <f t="shared" si="229"/>
        <v>258</v>
      </c>
      <c r="F279" s="396">
        <f>Weather!M263</f>
        <v>0</v>
      </c>
      <c r="G279" s="301">
        <f>IF(Weather!C263="","",Weather!C263)</f>
        <v>2.0728669383833678</v>
      </c>
      <c r="H279" s="301">
        <f>IF(Weather!D263="","",Weather!D263)</f>
        <v>1.6459072285947327</v>
      </c>
      <c r="I279" s="502">
        <f>IF(Weather!E263="","",Weather!E263)</f>
        <v>1.6459072285947327</v>
      </c>
      <c r="J279" s="397">
        <f>IF(RnSplint!N307&lt;0,0,RnSplint!N307)</f>
        <v>15.540011791728976</v>
      </c>
      <c r="K279" s="302">
        <f t="shared" ref="K279:K342" si="260">IF(AND($B279&gt;=L$8,$B279&lt;=L$9),Z$9,IF(AND($B279&gt;L$9,$B279&lt;=L$10),N278+AA$9,IF(AND($B279&gt;L$10,$B279&lt;=L$11),N278+AA$10,IF(AND($B279&gt;L$11,$B279&lt;=L$12),N278+AA$11,0))))</f>
        <v>0.77142857142857313</v>
      </c>
      <c r="L279" s="303">
        <f t="shared" ref="L279:L342" si="261">B279</f>
        <v>38244</v>
      </c>
      <c r="M279" s="346" t="str">
        <f t="shared" si="230"/>
        <v/>
      </c>
      <c r="N279" s="304">
        <f t="shared" ref="N279:N342" si="262">K279</f>
        <v>0.77142857142857313</v>
      </c>
      <c r="O279" s="304">
        <f t="shared" ref="O279:O342" si="263">IF($L$3&lt;3,0,IF($R$3=E279,R$2,IF($R$4=E278,0,IF($R$5=E279,R$2,IF($R$6=E278,0,O278)))))</f>
        <v>0</v>
      </c>
      <c r="P279" s="304">
        <f t="shared" si="231"/>
        <v>0.77142857142857313</v>
      </c>
      <c r="Q279" s="304">
        <f t="shared" si="232"/>
        <v>1.2</v>
      </c>
      <c r="R279" s="304">
        <f t="shared" si="233"/>
        <v>1.2</v>
      </c>
      <c r="S279" s="305">
        <f t="shared" ref="S279:S342" si="264">IF(N279=0,#N/A,R279)</f>
        <v>1.2</v>
      </c>
      <c r="T279" s="304">
        <f t="shared" si="234"/>
        <v>0.18678606591271407</v>
      </c>
      <c r="U279" s="304">
        <f t="shared" si="222"/>
        <v>0.77142857142857313</v>
      </c>
      <c r="V279" s="305">
        <f t="shared" si="235"/>
        <v>0.77142857142857313</v>
      </c>
      <c r="W279" s="305">
        <f t="shared" ref="W279:W342" si="265">IF(OR(P279=0,P279=""),#N/A,P279)</f>
        <v>0.77142857142857313</v>
      </c>
      <c r="X279" s="304">
        <f t="shared" ref="X279:X342" si="266">IF(R279&gt;U279,R279,U279)</f>
        <v>1.2</v>
      </c>
      <c r="Z279" s="304" t="str">
        <f t="shared" si="236"/>
        <v/>
      </c>
      <c r="AA279" s="305">
        <f t="shared" si="237"/>
        <v>1.2</v>
      </c>
      <c r="AB279" s="304">
        <f t="shared" si="238"/>
        <v>1.9750886743136791</v>
      </c>
      <c r="AC279" s="304">
        <f t="shared" ref="AC279:AC342" si="267">IF($A279=4,$X279,"")</f>
        <v>1.2</v>
      </c>
      <c r="AD279" s="306">
        <f t="shared" si="239"/>
        <v>472.20226990553147</v>
      </c>
      <c r="AE279" s="307">
        <f t="shared" ref="AE279:AE342" si="268">IF(AB279="",#N/A,AB279)</f>
        <v>1.9750886743136791</v>
      </c>
      <c r="AF279" s="308">
        <f t="shared" si="240"/>
        <v>472.20226990553147</v>
      </c>
      <c r="AG279" s="306">
        <f t="shared" ref="AG279:AG342" si="269">AG278+$I279</f>
        <v>607.63050440385734</v>
      </c>
      <c r="AH279" s="306">
        <f t="shared" si="241"/>
        <v>0</v>
      </c>
      <c r="AI279" s="306">
        <f t="shared" ref="AI279:AI342" si="270">IF($A279=3,I279,0)</f>
        <v>0</v>
      </c>
      <c r="AJ279" s="306">
        <f t="shared" ref="AJ279:AJ342" si="271">IF($A279=4,$I279,0)</f>
        <v>1.6459072285947327</v>
      </c>
      <c r="AK279" s="306">
        <f t="shared" si="242"/>
        <v>0</v>
      </c>
      <c r="AL279" s="306">
        <f t="shared" ref="AL279:AL342" si="272">IF($A279=3,AE279,0)</f>
        <v>0</v>
      </c>
      <c r="AM279" s="306">
        <f t="shared" si="243"/>
        <v>1.9750886743136791</v>
      </c>
      <c r="AN279" s="304">
        <f>KcSplint!$N308</f>
        <v>0.86773499699131917</v>
      </c>
      <c r="AO279" s="304">
        <f t="shared" si="244"/>
        <v>0.86295973626557942</v>
      </c>
      <c r="AP279" s="304">
        <f t="shared" ref="AP279:AP342" si="273">IF(OR($L$3=2,$L$3=4),AN279,AO279)</f>
        <v>0.86295973626557942</v>
      </c>
      <c r="AQ279" s="305">
        <f t="shared" ref="AQ279:AQ308" si="274">IF(AP279="",#N/A,AP279)</f>
        <v>0.86295973626557942</v>
      </c>
      <c r="AR279" s="304">
        <f t="shared" ref="AR279:AR308" si="275">IF(AP279="","",AP279*AV279)</f>
        <v>1.4203516679057213</v>
      </c>
      <c r="AS279" s="306">
        <f t="shared" si="245"/>
        <v>508.80505049117437</v>
      </c>
      <c r="AT279" s="307">
        <f t="shared" ref="AT279:AT308" si="276">IF(AR279="",#N/A,AR279)</f>
        <v>1.4203516679057213</v>
      </c>
      <c r="AU279" s="307">
        <f t="shared" ref="AU279:AU308" si="277">IF(AS279=0,#N/A,AS279)</f>
        <v>508.80505049117437</v>
      </c>
      <c r="AV279" s="304">
        <f t="shared" si="246"/>
        <v>1.6459072285947327</v>
      </c>
      <c r="AW279" s="309">
        <f t="shared" si="247"/>
        <v>4.7123002837956491</v>
      </c>
      <c r="AX279" s="306">
        <f>IF(ISERROR(Weather!M263),#N/A,Weather!M263)</f>
        <v>0</v>
      </c>
      <c r="AY279" s="310">
        <f t="shared" si="248"/>
        <v>3</v>
      </c>
      <c r="AZ279" s="309">
        <f t="shared" si="249"/>
        <v>1.2</v>
      </c>
      <c r="BA279" s="309">
        <f t="shared" si="250"/>
        <v>180.24227079375325</v>
      </c>
      <c r="BB279" s="311">
        <f>Irrig!H281</f>
        <v>0</v>
      </c>
      <c r="BC279" s="310">
        <f t="shared" si="251"/>
        <v>53</v>
      </c>
      <c r="BD279" s="309">
        <f t="shared" si="252"/>
        <v>0.18678606591271407</v>
      </c>
      <c r="BE279" s="309">
        <f t="shared" si="253"/>
        <v>0.18678606591271407</v>
      </c>
      <c r="BF279" s="306">
        <f>DailyMet!H262</f>
        <v>18.46</v>
      </c>
      <c r="BG279" s="306">
        <f>DailyMet!I262</f>
        <v>14</v>
      </c>
      <c r="BH279" s="306">
        <f t="shared" si="254"/>
        <v>18.46</v>
      </c>
      <c r="BI279" s="306">
        <f t="shared" si="255"/>
        <v>14</v>
      </c>
      <c r="BJ279" s="306">
        <f t="shared" si="256"/>
        <v>6.23</v>
      </c>
      <c r="BK279" s="306">
        <f t="shared" si="225"/>
        <v>1396.885</v>
      </c>
      <c r="BL279" s="304">
        <f t="shared" si="257"/>
        <v>0</v>
      </c>
      <c r="BM279" s="304">
        <f t="shared" si="258"/>
        <v>6.23</v>
      </c>
      <c r="BN279" s="304">
        <f t="shared" si="223"/>
        <v>6.23</v>
      </c>
      <c r="BO279" s="306">
        <f t="shared" si="224"/>
        <v>1381.4142360766555</v>
      </c>
      <c r="BP279" s="306"/>
    </row>
    <row r="280" spans="1:68">
      <c r="A280" s="299">
        <f t="shared" si="226"/>
        <v>4</v>
      </c>
      <c r="B280" s="300">
        <f t="shared" si="227"/>
        <v>38245</v>
      </c>
      <c r="C280" s="301" t="e">
        <f t="shared" si="259"/>
        <v>#N/A</v>
      </c>
      <c r="D280" s="301" t="e">
        <f t="shared" si="228"/>
        <v>#N/A</v>
      </c>
      <c r="E280" s="299">
        <f t="shared" si="229"/>
        <v>259</v>
      </c>
      <c r="F280" s="396">
        <f>Weather!M264</f>
        <v>0</v>
      </c>
      <c r="G280" s="301">
        <f>IF(Weather!C264="","",Weather!C264)</f>
        <v>2.0231525471596536</v>
      </c>
      <c r="H280" s="301">
        <f>IF(Weather!D264="","",Weather!D264)</f>
        <v>1.7463882963650035</v>
      </c>
      <c r="I280" s="502">
        <f>IF(Weather!E264="","",Weather!E264)</f>
        <v>1.7463882963650035</v>
      </c>
      <c r="J280" s="397">
        <f>IF(RnSplint!N308&lt;0,0,RnSplint!N308)</f>
        <v>15</v>
      </c>
      <c r="K280" s="302">
        <f t="shared" si="260"/>
        <v>0.76071428571428745</v>
      </c>
      <c r="L280" s="303">
        <f t="shared" si="261"/>
        <v>38245</v>
      </c>
      <c r="M280" s="346" t="str">
        <f t="shared" si="230"/>
        <v/>
      </c>
      <c r="N280" s="304">
        <f t="shared" si="262"/>
        <v>0.76071428571428745</v>
      </c>
      <c r="O280" s="304">
        <f t="shared" si="263"/>
        <v>0</v>
      </c>
      <c r="P280" s="304">
        <f t="shared" si="231"/>
        <v>0.76071428571428745</v>
      </c>
      <c r="Q280" s="304">
        <f t="shared" si="232"/>
        <v>1.0407155047635945</v>
      </c>
      <c r="R280" s="304">
        <f t="shared" si="233"/>
        <v>1.0407155047635945</v>
      </c>
      <c r="S280" s="305">
        <f t="shared" si="264"/>
        <v>1.0407155047635945</v>
      </c>
      <c r="T280" s="304">
        <f t="shared" si="234"/>
        <v>0.18585901657779871</v>
      </c>
      <c r="U280" s="304">
        <f t="shared" ref="U280:U343" si="278">IF(T280&gt;P280,T280,P280)</f>
        <v>0.76071428571428745</v>
      </c>
      <c r="V280" s="305">
        <f t="shared" si="235"/>
        <v>0.76071428571428745</v>
      </c>
      <c r="W280" s="305">
        <f t="shared" si="265"/>
        <v>0.76071428571428745</v>
      </c>
      <c r="X280" s="304">
        <f t="shared" si="266"/>
        <v>1.0407155047635945</v>
      </c>
      <c r="Z280" s="304" t="str">
        <f t="shared" si="236"/>
        <v/>
      </c>
      <c r="AA280" s="305">
        <f t="shared" si="237"/>
        <v>1.0407155047635945</v>
      </c>
      <c r="AB280" s="304">
        <f t="shared" si="238"/>
        <v>1.8174933773647386</v>
      </c>
      <c r="AC280" s="304">
        <f t="shared" si="267"/>
        <v>1.0407155047635945</v>
      </c>
      <c r="AD280" s="306">
        <f t="shared" si="239"/>
        <v>474.01976328289618</v>
      </c>
      <c r="AE280" s="307">
        <f t="shared" si="268"/>
        <v>1.8174933773647386</v>
      </c>
      <c r="AF280" s="308">
        <f t="shared" si="240"/>
        <v>474.01976328289618</v>
      </c>
      <c r="AG280" s="306">
        <f t="shared" si="269"/>
        <v>609.37689270022236</v>
      </c>
      <c r="AH280" s="306">
        <f t="shared" si="241"/>
        <v>0</v>
      </c>
      <c r="AI280" s="306">
        <f t="shared" si="270"/>
        <v>0</v>
      </c>
      <c r="AJ280" s="306">
        <f t="shared" si="271"/>
        <v>1.7463882963650035</v>
      </c>
      <c r="AK280" s="306">
        <f t="shared" si="242"/>
        <v>0</v>
      </c>
      <c r="AL280" s="306">
        <f t="shared" si="272"/>
        <v>0</v>
      </c>
      <c r="AM280" s="306">
        <f t="shared" si="243"/>
        <v>1.8174933773647386</v>
      </c>
      <c r="AN280" s="304">
        <f>KcSplint!$N309</f>
        <v>0.8661010140477774</v>
      </c>
      <c r="AO280" s="304">
        <f t="shared" si="244"/>
        <v>0.85556913292809855</v>
      </c>
      <c r="AP280" s="304">
        <f t="shared" si="273"/>
        <v>0.85556913292809855</v>
      </c>
      <c r="AQ280" s="305">
        <f t="shared" si="274"/>
        <v>0.85556913292809855</v>
      </c>
      <c r="AR280" s="304">
        <f t="shared" si="275"/>
        <v>1.4941559204767851</v>
      </c>
      <c r="AS280" s="306">
        <f t="shared" si="245"/>
        <v>510.29920641165114</v>
      </c>
      <c r="AT280" s="307">
        <f t="shared" si="276"/>
        <v>1.4941559204767851</v>
      </c>
      <c r="AU280" s="307">
        <f t="shared" si="277"/>
        <v>510.29920641165114</v>
      </c>
      <c r="AV280" s="304">
        <f t="shared" si="246"/>
        <v>1.7463882963650035</v>
      </c>
      <c r="AW280" s="309">
        <f t="shared" si="247"/>
        <v>6.4586885801606524</v>
      </c>
      <c r="AX280" s="306">
        <f>IF(ISERROR(Weather!M264),#N/A,Weather!M264)</f>
        <v>0</v>
      </c>
      <c r="AY280" s="310">
        <f t="shared" si="248"/>
        <v>4</v>
      </c>
      <c r="AZ280" s="309">
        <f t="shared" si="249"/>
        <v>1.0407155047635945</v>
      </c>
      <c r="BA280" s="309">
        <f t="shared" si="250"/>
        <v>181.98865909011826</v>
      </c>
      <c r="BB280" s="311">
        <f>Irrig!H282</f>
        <v>0</v>
      </c>
      <c r="BC280" s="310">
        <f t="shared" si="251"/>
        <v>54</v>
      </c>
      <c r="BD280" s="309">
        <f t="shared" si="252"/>
        <v>0.18585901657779871</v>
      </c>
      <c r="BE280" s="309">
        <f t="shared" si="253"/>
        <v>0.18585901657779871</v>
      </c>
      <c r="BF280" s="306">
        <f>DailyMet!H263</f>
        <v>18.170000000000002</v>
      </c>
      <c r="BG280" s="306">
        <f>DailyMet!I263</f>
        <v>12.4</v>
      </c>
      <c r="BH280" s="306">
        <f t="shared" si="254"/>
        <v>18.170000000000002</v>
      </c>
      <c r="BI280" s="306">
        <f t="shared" si="255"/>
        <v>12.4</v>
      </c>
      <c r="BJ280" s="306">
        <f t="shared" si="256"/>
        <v>5.2850000000000001</v>
      </c>
      <c r="BK280" s="306">
        <f t="shared" si="225"/>
        <v>1402.17</v>
      </c>
      <c r="BL280" s="304">
        <f t="shared" si="257"/>
        <v>0</v>
      </c>
      <c r="BM280" s="304">
        <f t="shared" si="258"/>
        <v>5.2850000000000001</v>
      </c>
      <c r="BN280" s="304">
        <f t="shared" ref="BN280:BN343" si="279">BM280-BL280</f>
        <v>5.2850000000000001</v>
      </c>
      <c r="BO280" s="306">
        <f t="shared" ref="BO280:BO343" si="280">IF(AP280="",0,BO279+BN280)</f>
        <v>1386.6992360766556</v>
      </c>
      <c r="BP280" s="306"/>
    </row>
    <row r="281" spans="1:68">
      <c r="A281" s="299">
        <f t="shared" si="226"/>
        <v>4</v>
      </c>
      <c r="B281" s="300">
        <f t="shared" si="227"/>
        <v>38246</v>
      </c>
      <c r="C281" s="301" t="e">
        <f t="shared" si="259"/>
        <v>#N/A</v>
      </c>
      <c r="D281" s="301" t="e">
        <f t="shared" si="228"/>
        <v>#N/A</v>
      </c>
      <c r="E281" s="299">
        <f t="shared" si="229"/>
        <v>260</v>
      </c>
      <c r="F281" s="396">
        <f>Weather!M265</f>
        <v>0</v>
      </c>
      <c r="G281" s="301">
        <f>IF(Weather!C265="","",Weather!C265)</f>
        <v>1.9747874337649087</v>
      </c>
      <c r="H281" s="301">
        <f>IF(Weather!D265="","",Weather!D265)</f>
        <v>1.7418765144277353</v>
      </c>
      <c r="I281" s="502">
        <f>IF(Weather!E265="","",Weather!E265)</f>
        <v>1.7418765144277353</v>
      </c>
      <c r="J281" s="397">
        <f>IF(RnSplint!N309&lt;0,0,RnSplint!N309)</f>
        <v>14.467243348774762</v>
      </c>
      <c r="K281" s="302">
        <f t="shared" si="260"/>
        <v>0.75000000000000178</v>
      </c>
      <c r="L281" s="303">
        <f t="shared" si="261"/>
        <v>38246</v>
      </c>
      <c r="M281" s="346" t="str">
        <f t="shared" si="230"/>
        <v/>
      </c>
      <c r="N281" s="304">
        <f t="shared" si="262"/>
        <v>0.75000000000000178</v>
      </c>
      <c r="O281" s="304">
        <f t="shared" si="263"/>
        <v>0</v>
      </c>
      <c r="P281" s="304">
        <f t="shared" si="231"/>
        <v>0.75000000000000178</v>
      </c>
      <c r="Q281" s="304">
        <f t="shared" si="232"/>
        <v>0.92007475769731828</v>
      </c>
      <c r="R281" s="304">
        <f t="shared" si="233"/>
        <v>0.92007475769731828</v>
      </c>
      <c r="S281" s="305">
        <f t="shared" si="264"/>
        <v>0.92007475769731828</v>
      </c>
      <c r="T281" s="304">
        <f t="shared" si="234"/>
        <v>0.18494769991292523</v>
      </c>
      <c r="U281" s="304">
        <f t="shared" si="278"/>
        <v>0.75000000000000178</v>
      </c>
      <c r="V281" s="305">
        <f t="shared" si="235"/>
        <v>0.75000000000000178</v>
      </c>
      <c r="W281" s="305">
        <f t="shared" si="265"/>
        <v>0.75000000000000178</v>
      </c>
      <c r="X281" s="304">
        <f t="shared" si="266"/>
        <v>0.92007475769731828</v>
      </c>
      <c r="Z281" s="304" t="str">
        <f t="shared" si="236"/>
        <v/>
      </c>
      <c r="AA281" s="305">
        <f t="shared" si="237"/>
        <v>0.92007475769731828</v>
      </c>
      <c r="AB281" s="304">
        <f t="shared" si="238"/>
        <v>1.6026566119507479</v>
      </c>
      <c r="AC281" s="304">
        <f t="shared" si="267"/>
        <v>0.92007475769731828</v>
      </c>
      <c r="AD281" s="306">
        <f t="shared" si="239"/>
        <v>475.62241989484693</v>
      </c>
      <c r="AE281" s="307">
        <f t="shared" si="268"/>
        <v>1.6026566119507479</v>
      </c>
      <c r="AF281" s="308">
        <f t="shared" si="240"/>
        <v>475.62241989484693</v>
      </c>
      <c r="AG281" s="306">
        <f t="shared" si="269"/>
        <v>611.11876921465011</v>
      </c>
      <c r="AH281" s="306">
        <f t="shared" si="241"/>
        <v>0</v>
      </c>
      <c r="AI281" s="306">
        <f t="shared" si="270"/>
        <v>0</v>
      </c>
      <c r="AJ281" s="306">
        <f t="shared" si="271"/>
        <v>1.7418765144277353</v>
      </c>
      <c r="AK281" s="306">
        <f t="shared" si="242"/>
        <v>0</v>
      </c>
      <c r="AL281" s="306">
        <f t="shared" si="272"/>
        <v>0</v>
      </c>
      <c r="AM281" s="306">
        <f t="shared" si="243"/>
        <v>1.6026566119507479</v>
      </c>
      <c r="AN281" s="304">
        <f>KcSplint!$N310</f>
        <v>0.86488108862183433</v>
      </c>
      <c r="AO281" s="304">
        <f t="shared" si="244"/>
        <v>0.84817852959061768</v>
      </c>
      <c r="AP281" s="304">
        <f t="shared" si="273"/>
        <v>0.84817852959061768</v>
      </c>
      <c r="AQ281" s="305">
        <f t="shared" si="274"/>
        <v>0.84817852959061768</v>
      </c>
      <c r="AR281" s="304">
        <f t="shared" si="275"/>
        <v>1.4774222607357468</v>
      </c>
      <c r="AS281" s="306">
        <f t="shared" si="245"/>
        <v>511.77662867238689</v>
      </c>
      <c r="AT281" s="307">
        <f t="shared" si="276"/>
        <v>1.4774222607357468</v>
      </c>
      <c r="AU281" s="307">
        <f t="shared" si="277"/>
        <v>511.77662867238689</v>
      </c>
      <c r="AV281" s="304">
        <f t="shared" si="246"/>
        <v>1.7418765144277353</v>
      </c>
      <c r="AW281" s="309">
        <f t="shared" si="247"/>
        <v>8.2005650945883879</v>
      </c>
      <c r="AX281" s="306">
        <f>IF(ISERROR(Weather!M265),#N/A,Weather!M265)</f>
        <v>0</v>
      </c>
      <c r="AY281" s="310">
        <f t="shared" si="248"/>
        <v>5</v>
      </c>
      <c r="AZ281" s="309">
        <f t="shared" si="249"/>
        <v>0.92007475769731828</v>
      </c>
      <c r="BA281" s="309">
        <f t="shared" si="250"/>
        <v>183.73053560454599</v>
      </c>
      <c r="BB281" s="311">
        <f>Irrig!H283</f>
        <v>0</v>
      </c>
      <c r="BC281" s="310">
        <f t="shared" si="251"/>
        <v>55</v>
      </c>
      <c r="BD281" s="309">
        <f t="shared" si="252"/>
        <v>0.18494769991292523</v>
      </c>
      <c r="BE281" s="309">
        <f t="shared" si="253"/>
        <v>0.18494769991292523</v>
      </c>
      <c r="BF281" s="306">
        <f>DailyMet!H264</f>
        <v>18.760000000000002</v>
      </c>
      <c r="BG281" s="306">
        <f>DailyMet!I264</f>
        <v>11.4</v>
      </c>
      <c r="BH281" s="306">
        <f t="shared" si="254"/>
        <v>18.760000000000002</v>
      </c>
      <c r="BI281" s="306">
        <f t="shared" si="255"/>
        <v>11.4</v>
      </c>
      <c r="BJ281" s="306">
        <f t="shared" si="256"/>
        <v>5.0800000000000018</v>
      </c>
      <c r="BK281" s="306">
        <f t="shared" si="225"/>
        <v>1407.25</v>
      </c>
      <c r="BL281" s="304">
        <f t="shared" si="257"/>
        <v>0</v>
      </c>
      <c r="BM281" s="304">
        <f t="shared" si="258"/>
        <v>5.0800000000000018</v>
      </c>
      <c r="BN281" s="304">
        <f t="shared" si="279"/>
        <v>5.0800000000000018</v>
      </c>
      <c r="BO281" s="306">
        <f t="shared" si="280"/>
        <v>1391.7792360766555</v>
      </c>
      <c r="BP281" s="306"/>
    </row>
    <row r="282" spans="1:68">
      <c r="A282" s="299">
        <f t="shared" si="226"/>
        <v>4</v>
      </c>
      <c r="B282" s="300">
        <f t="shared" si="227"/>
        <v>38247</v>
      </c>
      <c r="C282" s="301" t="e">
        <f t="shared" si="259"/>
        <v>#N/A</v>
      </c>
      <c r="D282" s="301" t="e">
        <f t="shared" si="228"/>
        <v>#N/A</v>
      </c>
      <c r="E282" s="299">
        <f t="shared" si="229"/>
        <v>261</v>
      </c>
      <c r="F282" s="396">
        <f>Weather!M266</f>
        <v>0</v>
      </c>
      <c r="G282" s="301">
        <f>IF(Weather!C266="","",Weather!C266)</f>
        <v>1.9277596507131003</v>
      </c>
      <c r="H282" s="301">
        <f>IF(Weather!D266="","",Weather!D266)</f>
        <v>1.510606778004419</v>
      </c>
      <c r="I282" s="502">
        <f>IF(Weather!E266="","",Weather!E266)</f>
        <v>1.510606778004419</v>
      </c>
      <c r="J282" s="397">
        <f>IF(RnSplint!N310&lt;0,0,RnSplint!N310)</f>
        <v>13.943300467589218</v>
      </c>
      <c r="K282" s="302">
        <f t="shared" si="260"/>
        <v>0.7392857142857161</v>
      </c>
      <c r="L282" s="303">
        <f t="shared" si="261"/>
        <v>38247</v>
      </c>
      <c r="M282" s="346" t="str">
        <f t="shared" si="230"/>
        <v/>
      </c>
      <c r="N282" s="304">
        <f t="shared" si="262"/>
        <v>0.7392857142857161</v>
      </c>
      <c r="O282" s="304">
        <f t="shared" si="263"/>
        <v>0</v>
      </c>
      <c r="P282" s="304">
        <f t="shared" si="231"/>
        <v>0.7392857142857161</v>
      </c>
      <c r="Q282" s="304">
        <f t="shared" si="232"/>
        <v>0.84320726572590232</v>
      </c>
      <c r="R282" s="304">
        <f t="shared" si="233"/>
        <v>0.84320726572590232</v>
      </c>
      <c r="S282" s="305">
        <f t="shared" si="264"/>
        <v>0.84320726572590232</v>
      </c>
      <c r="T282" s="304">
        <f t="shared" si="234"/>
        <v>0.18416791953438028</v>
      </c>
      <c r="U282" s="304">
        <f t="shared" si="278"/>
        <v>0.7392857142857161</v>
      </c>
      <c r="V282" s="305">
        <f t="shared" si="235"/>
        <v>0.7392857142857161</v>
      </c>
      <c r="W282" s="305">
        <f t="shared" si="265"/>
        <v>0.7392857142857161</v>
      </c>
      <c r="X282" s="304">
        <f t="shared" si="266"/>
        <v>0.84320726572590232</v>
      </c>
      <c r="Z282" s="304" t="str">
        <f t="shared" si="236"/>
        <v/>
      </c>
      <c r="AA282" s="305">
        <f t="shared" si="237"/>
        <v>0.84320726572590232</v>
      </c>
      <c r="AB282" s="304">
        <f t="shared" si="238"/>
        <v>1.2737546108681213</v>
      </c>
      <c r="AC282" s="304">
        <f t="shared" si="267"/>
        <v>0.84320726572590232</v>
      </c>
      <c r="AD282" s="306">
        <f t="shared" si="239"/>
        <v>476.89617450571507</v>
      </c>
      <c r="AE282" s="307">
        <f t="shared" si="268"/>
        <v>1.2737546108681213</v>
      </c>
      <c r="AF282" s="308">
        <f t="shared" si="240"/>
        <v>476.89617450571507</v>
      </c>
      <c r="AG282" s="306">
        <f t="shared" si="269"/>
        <v>612.62937599265456</v>
      </c>
      <c r="AH282" s="306">
        <f t="shared" si="241"/>
        <v>0</v>
      </c>
      <c r="AI282" s="306">
        <f t="shared" si="270"/>
        <v>0</v>
      </c>
      <c r="AJ282" s="306">
        <f t="shared" si="271"/>
        <v>1.510606778004419</v>
      </c>
      <c r="AK282" s="306">
        <f t="shared" si="242"/>
        <v>0</v>
      </c>
      <c r="AL282" s="306">
        <f t="shared" si="272"/>
        <v>0</v>
      </c>
      <c r="AM282" s="306">
        <f t="shared" si="243"/>
        <v>1.2737546108681213</v>
      </c>
      <c r="AN282" s="304">
        <f>KcSplint!$N311</f>
        <v>0.86406769754753754</v>
      </c>
      <c r="AO282" s="304">
        <f t="shared" si="244"/>
        <v>0.84078792625313681</v>
      </c>
      <c r="AP282" s="304">
        <f t="shared" si="273"/>
        <v>0.84078792625313681</v>
      </c>
      <c r="AQ282" s="305">
        <f t="shared" si="274"/>
        <v>0.84078792625313681</v>
      </c>
      <c r="AR282" s="304">
        <f t="shared" si="275"/>
        <v>1.2700999402622681</v>
      </c>
      <c r="AS282" s="306">
        <f t="shared" si="245"/>
        <v>513.04672861264919</v>
      </c>
      <c r="AT282" s="307">
        <f t="shared" si="276"/>
        <v>1.2700999402622681</v>
      </c>
      <c r="AU282" s="307">
        <f t="shared" si="277"/>
        <v>513.04672861264919</v>
      </c>
      <c r="AV282" s="304">
        <f t="shared" si="246"/>
        <v>1.510606778004419</v>
      </c>
      <c r="AW282" s="309">
        <f t="shared" si="247"/>
        <v>9.7111718725928071</v>
      </c>
      <c r="AX282" s="306">
        <f>IF(ISERROR(Weather!M266),#N/A,Weather!M266)</f>
        <v>0</v>
      </c>
      <c r="AY282" s="310">
        <f t="shared" si="248"/>
        <v>6</v>
      </c>
      <c r="AZ282" s="309">
        <f t="shared" si="249"/>
        <v>0.84320726572590232</v>
      </c>
      <c r="BA282" s="309">
        <f t="shared" si="250"/>
        <v>185.24114238255041</v>
      </c>
      <c r="BB282" s="311">
        <f>Irrig!H284</f>
        <v>0</v>
      </c>
      <c r="BC282" s="310">
        <f t="shared" si="251"/>
        <v>56</v>
      </c>
      <c r="BD282" s="309">
        <f t="shared" si="252"/>
        <v>0.18416791953438028</v>
      </c>
      <c r="BE282" s="309">
        <f t="shared" si="253"/>
        <v>0.18416791953438028</v>
      </c>
      <c r="BF282" s="306">
        <f>DailyMet!H265</f>
        <v>18.82</v>
      </c>
      <c r="BG282" s="306">
        <f>DailyMet!I265</f>
        <v>12.5</v>
      </c>
      <c r="BH282" s="306">
        <f t="shared" si="254"/>
        <v>18.82</v>
      </c>
      <c r="BI282" s="306">
        <f t="shared" si="255"/>
        <v>12.5</v>
      </c>
      <c r="BJ282" s="306">
        <f t="shared" si="256"/>
        <v>5.66</v>
      </c>
      <c r="BK282" s="306">
        <f t="shared" si="225"/>
        <v>1412.91</v>
      </c>
      <c r="BL282" s="304">
        <f t="shared" si="257"/>
        <v>0</v>
      </c>
      <c r="BM282" s="304">
        <f t="shared" si="258"/>
        <v>5.66</v>
      </c>
      <c r="BN282" s="304">
        <f t="shared" si="279"/>
        <v>5.66</v>
      </c>
      <c r="BO282" s="306">
        <f t="shared" si="280"/>
        <v>1397.4392360766556</v>
      </c>
      <c r="BP282" s="306"/>
    </row>
    <row r="283" spans="1:68">
      <c r="A283" s="299">
        <f t="shared" si="226"/>
        <v>4</v>
      </c>
      <c r="B283" s="300">
        <f t="shared" si="227"/>
        <v>38248</v>
      </c>
      <c r="C283" s="301" t="e">
        <f t="shared" si="259"/>
        <v>#N/A</v>
      </c>
      <c r="D283" s="301" t="e">
        <f t="shared" si="228"/>
        <v>#N/A</v>
      </c>
      <c r="E283" s="299">
        <f t="shared" si="229"/>
        <v>262</v>
      </c>
      <c r="F283" s="396">
        <f>Weather!M267</f>
        <v>0</v>
      </c>
      <c r="G283" s="301">
        <f>IF(Weather!C267="","",Weather!C267)</f>
        <v>1.8820347403985793</v>
      </c>
      <c r="H283" s="301">
        <f>IF(Weather!D267="","",Weather!D267)</f>
        <v>2.0939021302323595</v>
      </c>
      <c r="I283" s="502">
        <f>IF(Weather!E267="","",Weather!E267)</f>
        <v>2.0939021302323595</v>
      </c>
      <c r="J283" s="397">
        <f>IF(RnSplint!N311&lt;0,0,RnSplint!N311)</f>
        <v>13.429895580348347</v>
      </c>
      <c r="K283" s="302">
        <f t="shared" si="260"/>
        <v>0.72857142857143042</v>
      </c>
      <c r="L283" s="303">
        <f t="shared" si="261"/>
        <v>38248</v>
      </c>
      <c r="M283" s="346" t="str">
        <f t="shared" si="230"/>
        <v/>
      </c>
      <c r="N283" s="304">
        <f t="shared" si="262"/>
        <v>0.72857142857143042</v>
      </c>
      <c r="O283" s="304">
        <f t="shared" si="263"/>
        <v>0</v>
      </c>
      <c r="P283" s="304">
        <f t="shared" si="231"/>
        <v>0.72857142857143042</v>
      </c>
      <c r="Q283" s="304">
        <f t="shared" si="232"/>
        <v>0.76239326352819414</v>
      </c>
      <c r="R283" s="304">
        <f t="shared" si="233"/>
        <v>0.76239326352819414</v>
      </c>
      <c r="S283" s="305">
        <f t="shared" si="264"/>
        <v>0.76239326352819414</v>
      </c>
      <c r="T283" s="304">
        <f t="shared" si="234"/>
        <v>0.18310284328868873</v>
      </c>
      <c r="U283" s="304">
        <f t="shared" si="278"/>
        <v>0.72857142857143042</v>
      </c>
      <c r="V283" s="305">
        <f t="shared" si="235"/>
        <v>0.72857142857143042</v>
      </c>
      <c r="W283" s="305">
        <f t="shared" si="265"/>
        <v>0.72857142857143042</v>
      </c>
      <c r="X283" s="304">
        <f t="shared" si="266"/>
        <v>0.76239326352819414</v>
      </c>
      <c r="Z283" s="304" t="str">
        <f t="shared" si="236"/>
        <v/>
      </c>
      <c r="AA283" s="305">
        <f t="shared" si="237"/>
        <v>0.76239326352819414</v>
      </c>
      <c r="AB283" s="304">
        <f t="shared" si="238"/>
        <v>1.5963768785764862</v>
      </c>
      <c r="AC283" s="304">
        <f t="shared" si="267"/>
        <v>0.76239326352819414</v>
      </c>
      <c r="AD283" s="306">
        <f t="shared" si="239"/>
        <v>478.49255138429157</v>
      </c>
      <c r="AE283" s="307">
        <f t="shared" si="268"/>
        <v>1.5963768785764862</v>
      </c>
      <c r="AF283" s="308">
        <f t="shared" si="240"/>
        <v>478.49255138429157</v>
      </c>
      <c r="AG283" s="306">
        <f t="shared" si="269"/>
        <v>614.72327812288688</v>
      </c>
      <c r="AH283" s="306">
        <f t="shared" si="241"/>
        <v>0</v>
      </c>
      <c r="AI283" s="306">
        <f t="shared" si="270"/>
        <v>0</v>
      </c>
      <c r="AJ283" s="306">
        <f t="shared" si="271"/>
        <v>2.0939021302323595</v>
      </c>
      <c r="AK283" s="306">
        <f t="shared" si="242"/>
        <v>0</v>
      </c>
      <c r="AL283" s="306">
        <f t="shared" si="272"/>
        <v>0</v>
      </c>
      <c r="AM283" s="306">
        <f t="shared" si="243"/>
        <v>1.5963768785764862</v>
      </c>
      <c r="AN283" s="304">
        <f>KcSplint!$N312</f>
        <v>0.86365331765893461</v>
      </c>
      <c r="AO283" s="304">
        <f t="shared" si="244"/>
        <v>0.83339732291565594</v>
      </c>
      <c r="AP283" s="304">
        <f t="shared" si="273"/>
        <v>0.83339732291565594</v>
      </c>
      <c r="AQ283" s="305">
        <f t="shared" si="274"/>
        <v>0.83339732291565594</v>
      </c>
      <c r="AR283" s="304">
        <f t="shared" si="275"/>
        <v>1.7450524297830377</v>
      </c>
      <c r="AS283" s="306">
        <f t="shared" si="245"/>
        <v>514.79178104243226</v>
      </c>
      <c r="AT283" s="307">
        <f t="shared" si="276"/>
        <v>1.7450524297830377</v>
      </c>
      <c r="AU283" s="307">
        <f t="shared" si="277"/>
        <v>514.79178104243226</v>
      </c>
      <c r="AV283" s="304">
        <f t="shared" si="246"/>
        <v>2.0939021302323595</v>
      </c>
      <c r="AW283" s="309">
        <f t="shared" si="247"/>
        <v>11.805074002825167</v>
      </c>
      <c r="AX283" s="306">
        <f>IF(ISERROR(Weather!M267),#N/A,Weather!M267)</f>
        <v>0</v>
      </c>
      <c r="AY283" s="310">
        <f t="shared" si="248"/>
        <v>7</v>
      </c>
      <c r="AZ283" s="309">
        <f t="shared" si="249"/>
        <v>0.76239326352819414</v>
      </c>
      <c r="BA283" s="309">
        <f t="shared" si="250"/>
        <v>187.33504451278276</v>
      </c>
      <c r="BB283" s="311">
        <f>Irrig!H285</f>
        <v>0</v>
      </c>
      <c r="BC283" s="310">
        <f t="shared" si="251"/>
        <v>57</v>
      </c>
      <c r="BD283" s="309">
        <f t="shared" si="252"/>
        <v>0.18310284328868873</v>
      </c>
      <c r="BE283" s="309">
        <f t="shared" si="253"/>
        <v>0.18310284328868873</v>
      </c>
      <c r="BF283" s="306">
        <f>DailyMet!H266</f>
        <v>20</v>
      </c>
      <c r="BG283" s="306">
        <f>DailyMet!I266</f>
        <v>11.9</v>
      </c>
      <c r="BH283" s="306">
        <f t="shared" si="254"/>
        <v>20</v>
      </c>
      <c r="BI283" s="306">
        <f t="shared" si="255"/>
        <v>11.9</v>
      </c>
      <c r="BJ283" s="306">
        <f t="shared" si="256"/>
        <v>5.9499999999999993</v>
      </c>
      <c r="BK283" s="306">
        <f t="shared" si="225"/>
        <v>1418.8600000000001</v>
      </c>
      <c r="BL283" s="304">
        <f t="shared" si="257"/>
        <v>0</v>
      </c>
      <c r="BM283" s="304">
        <f t="shared" si="258"/>
        <v>5.9499999999999993</v>
      </c>
      <c r="BN283" s="304">
        <f t="shared" si="279"/>
        <v>5.9499999999999993</v>
      </c>
      <c r="BO283" s="306">
        <f t="shared" si="280"/>
        <v>1403.3892360766556</v>
      </c>
      <c r="BP283" s="306"/>
    </row>
    <row r="284" spans="1:68">
      <c r="A284" s="299">
        <f t="shared" si="226"/>
        <v>4</v>
      </c>
      <c r="B284" s="300">
        <f t="shared" si="227"/>
        <v>38249</v>
      </c>
      <c r="C284" s="301" t="e">
        <f t="shared" si="259"/>
        <v>#N/A</v>
      </c>
      <c r="D284" s="301" t="e">
        <f t="shared" si="228"/>
        <v>#N/A</v>
      </c>
      <c r="E284" s="299">
        <f t="shared" si="229"/>
        <v>263</v>
      </c>
      <c r="F284" s="396">
        <f>Weather!M268</f>
        <v>0.2</v>
      </c>
      <c r="G284" s="301">
        <f>IF(Weather!C268="","",Weather!C268)</f>
        <v>1.837578245215697</v>
      </c>
      <c r="H284" s="301">
        <f>IF(Weather!D268="","",Weather!D268)</f>
        <v>2.0557482287284605</v>
      </c>
      <c r="I284" s="502">
        <f>IF(Weather!E268="","",Weather!E268)</f>
        <v>2.0557482287284605</v>
      </c>
      <c r="J284" s="397">
        <f>IF(RnSplint!N312&lt;0,0,RnSplint!N312)</f>
        <v>12.928752910957117</v>
      </c>
      <c r="K284" s="302">
        <f t="shared" si="260"/>
        <v>0.71785714285714475</v>
      </c>
      <c r="L284" s="303">
        <f t="shared" si="261"/>
        <v>38249</v>
      </c>
      <c r="M284" s="346" t="str">
        <f t="shared" si="230"/>
        <v/>
      </c>
      <c r="N284" s="304">
        <f t="shared" si="262"/>
        <v>0.71785714285714475</v>
      </c>
      <c r="O284" s="304">
        <f t="shared" si="263"/>
        <v>0</v>
      </c>
      <c r="P284" s="304">
        <f t="shared" si="231"/>
        <v>0.71785714285714475</v>
      </c>
      <c r="Q284" s="304">
        <f t="shared" si="232"/>
        <v>0.70178387622993943</v>
      </c>
      <c r="R284" s="304">
        <f t="shared" si="233"/>
        <v>0.71785714285714475</v>
      </c>
      <c r="S284" s="305">
        <f t="shared" si="264"/>
        <v>0.71785714285714475</v>
      </c>
      <c r="T284" s="304">
        <f t="shared" si="234"/>
        <v>0.18207458714977248</v>
      </c>
      <c r="U284" s="304">
        <f t="shared" si="278"/>
        <v>0.71785714285714475</v>
      </c>
      <c r="V284" s="305">
        <f t="shared" si="235"/>
        <v>0.71785714285714475</v>
      </c>
      <c r="W284" s="305">
        <f t="shared" si="265"/>
        <v>0.71785714285714475</v>
      </c>
      <c r="X284" s="304">
        <f t="shared" si="266"/>
        <v>0.71785714285714475</v>
      </c>
      <c r="Z284" s="304" t="str">
        <f t="shared" si="236"/>
        <v/>
      </c>
      <c r="AA284" s="305">
        <f t="shared" si="237"/>
        <v>0.71785714285714475</v>
      </c>
      <c r="AB284" s="304">
        <f t="shared" si="238"/>
        <v>1.4757335499086488</v>
      </c>
      <c r="AC284" s="304">
        <f t="shared" si="267"/>
        <v>0.71785714285714475</v>
      </c>
      <c r="AD284" s="306">
        <f t="shared" si="239"/>
        <v>479.9682849342002</v>
      </c>
      <c r="AE284" s="307">
        <f t="shared" si="268"/>
        <v>1.4757335499086488</v>
      </c>
      <c r="AF284" s="308">
        <f t="shared" si="240"/>
        <v>479.9682849342002</v>
      </c>
      <c r="AG284" s="306">
        <f t="shared" si="269"/>
        <v>616.77902635161536</v>
      </c>
      <c r="AH284" s="306">
        <f t="shared" si="241"/>
        <v>0</v>
      </c>
      <c r="AI284" s="306">
        <f t="shared" si="270"/>
        <v>0</v>
      </c>
      <c r="AJ284" s="306">
        <f t="shared" si="271"/>
        <v>2.0557482287284605</v>
      </c>
      <c r="AK284" s="306">
        <f t="shared" si="242"/>
        <v>0</v>
      </c>
      <c r="AL284" s="306">
        <f t="shared" si="272"/>
        <v>0</v>
      </c>
      <c r="AM284" s="306">
        <f t="shared" si="243"/>
        <v>1.4757335499086488</v>
      </c>
      <c r="AN284" s="304">
        <f>KcSplint!$N313</f>
        <v>0.86363042579007288</v>
      </c>
      <c r="AO284" s="304">
        <f t="shared" si="244"/>
        <v>0.82600671957817506</v>
      </c>
      <c r="AP284" s="304">
        <f t="shared" si="273"/>
        <v>0.82600671957817506</v>
      </c>
      <c r="AQ284" s="305">
        <f t="shared" si="274"/>
        <v>0.82600671957817506</v>
      </c>
      <c r="AR284" s="304">
        <f t="shared" si="275"/>
        <v>1.6980618506906395</v>
      </c>
      <c r="AS284" s="306">
        <f t="shared" si="245"/>
        <v>516.48984289312295</v>
      </c>
      <c r="AT284" s="307">
        <f t="shared" si="276"/>
        <v>1.6980618506906395</v>
      </c>
      <c r="AU284" s="307">
        <f t="shared" si="277"/>
        <v>516.48984289312295</v>
      </c>
      <c r="AV284" s="304">
        <f t="shared" si="246"/>
        <v>2.0557482287284605</v>
      </c>
      <c r="AW284" s="309">
        <f t="shared" si="247"/>
        <v>13.860822231553627</v>
      </c>
      <c r="AX284" s="306">
        <f>IF(ISERROR(Weather!M268),#N/A,Weather!M268)</f>
        <v>0.2</v>
      </c>
      <c r="AY284" s="310">
        <f t="shared" si="248"/>
        <v>8</v>
      </c>
      <c r="AZ284" s="309">
        <f t="shared" si="249"/>
        <v>0.70178387622993943</v>
      </c>
      <c r="BA284" s="309">
        <f t="shared" si="250"/>
        <v>189.39079274151121</v>
      </c>
      <c r="BB284" s="311">
        <f>Irrig!H286</f>
        <v>0</v>
      </c>
      <c r="BC284" s="310">
        <f t="shared" si="251"/>
        <v>58</v>
      </c>
      <c r="BD284" s="309">
        <f t="shared" si="252"/>
        <v>0.18207458714977248</v>
      </c>
      <c r="BE284" s="309">
        <f t="shared" si="253"/>
        <v>0.18207458714977248</v>
      </c>
      <c r="BF284" s="306">
        <f>DailyMet!H267</f>
        <v>18.510000000000002</v>
      </c>
      <c r="BG284" s="306">
        <f>DailyMet!I267</f>
        <v>14.7</v>
      </c>
      <c r="BH284" s="306">
        <f t="shared" si="254"/>
        <v>18.510000000000002</v>
      </c>
      <c r="BI284" s="306">
        <f t="shared" si="255"/>
        <v>14.7</v>
      </c>
      <c r="BJ284" s="306">
        <f t="shared" si="256"/>
        <v>6.6050000000000004</v>
      </c>
      <c r="BK284" s="306">
        <f t="shared" si="225"/>
        <v>1425.4650000000001</v>
      </c>
      <c r="BL284" s="304">
        <f t="shared" si="257"/>
        <v>0</v>
      </c>
      <c r="BM284" s="304">
        <f t="shared" si="258"/>
        <v>6.6050000000000004</v>
      </c>
      <c r="BN284" s="304">
        <f t="shared" si="279"/>
        <v>6.6050000000000004</v>
      </c>
      <c r="BO284" s="306">
        <f t="shared" si="280"/>
        <v>1409.9942360766556</v>
      </c>
      <c r="BP284" s="306"/>
    </row>
    <row r="285" spans="1:68">
      <c r="A285" s="299">
        <f t="shared" si="226"/>
        <v>4</v>
      </c>
      <c r="B285" s="300">
        <f t="shared" si="227"/>
        <v>38250</v>
      </c>
      <c r="C285" s="301" t="e">
        <f t="shared" si="259"/>
        <v>#N/A</v>
      </c>
      <c r="D285" s="301" t="e">
        <f t="shared" si="228"/>
        <v>#N/A</v>
      </c>
      <c r="E285" s="299">
        <f t="shared" si="229"/>
        <v>264</v>
      </c>
      <c r="F285" s="396">
        <f>Weather!M269</f>
        <v>0</v>
      </c>
      <c r="G285" s="301">
        <f>IF(Weather!C269="","",Weather!C269)</f>
        <v>1.7943557075588035</v>
      </c>
      <c r="H285" s="301">
        <f>IF(Weather!D269="","",Weather!D269)</f>
        <v>1.7686822371330457</v>
      </c>
      <c r="I285" s="502">
        <f>IF(Weather!E269="","",Weather!E269)</f>
        <v>1.7686822371330457</v>
      </c>
      <c r="J285" s="397">
        <f>IF(RnSplint!N313&lt;0,0,RnSplint!N313)</f>
        <v>12.441596683320505</v>
      </c>
      <c r="K285" s="302">
        <f t="shared" si="260"/>
        <v>0.70714285714285907</v>
      </c>
      <c r="L285" s="303">
        <f t="shared" si="261"/>
        <v>38250</v>
      </c>
      <c r="M285" s="346" t="str">
        <f t="shared" si="230"/>
        <v/>
      </c>
      <c r="N285" s="304">
        <f t="shared" si="262"/>
        <v>0.70714285714285907</v>
      </c>
      <c r="O285" s="304">
        <f t="shared" si="263"/>
        <v>0</v>
      </c>
      <c r="P285" s="304">
        <f t="shared" si="231"/>
        <v>0.70714285714285907</v>
      </c>
      <c r="Q285" s="304">
        <f t="shared" si="232"/>
        <v>0.65961538820870136</v>
      </c>
      <c r="R285" s="304">
        <f t="shared" si="233"/>
        <v>0.70714285714285907</v>
      </c>
      <c r="S285" s="305">
        <f t="shared" si="264"/>
        <v>0.70714285714285907</v>
      </c>
      <c r="T285" s="304">
        <f t="shared" si="234"/>
        <v>0.18120336517820471</v>
      </c>
      <c r="U285" s="304">
        <f t="shared" si="278"/>
        <v>0.70714285714285907</v>
      </c>
      <c r="V285" s="305">
        <f t="shared" si="235"/>
        <v>0.70714285714285907</v>
      </c>
      <c r="W285" s="305">
        <f t="shared" si="265"/>
        <v>0.70714285714285907</v>
      </c>
      <c r="X285" s="304">
        <f t="shared" si="266"/>
        <v>0.70714285714285907</v>
      </c>
      <c r="Z285" s="304" t="str">
        <f t="shared" si="236"/>
        <v/>
      </c>
      <c r="AA285" s="305">
        <f t="shared" si="237"/>
        <v>0.70714285714285907</v>
      </c>
      <c r="AB285" s="304">
        <f t="shared" si="238"/>
        <v>1.2507110105440857</v>
      </c>
      <c r="AC285" s="304">
        <f t="shared" si="267"/>
        <v>0.70714285714285907</v>
      </c>
      <c r="AD285" s="306">
        <f t="shared" si="239"/>
        <v>481.21899594474428</v>
      </c>
      <c r="AE285" s="307">
        <f t="shared" si="268"/>
        <v>1.2507110105440857</v>
      </c>
      <c r="AF285" s="308">
        <f t="shared" si="240"/>
        <v>481.21899594474428</v>
      </c>
      <c r="AG285" s="306">
        <f t="shared" si="269"/>
        <v>618.54770858874838</v>
      </c>
      <c r="AH285" s="306">
        <f t="shared" si="241"/>
        <v>0</v>
      </c>
      <c r="AI285" s="306">
        <f t="shared" si="270"/>
        <v>0</v>
      </c>
      <c r="AJ285" s="306">
        <f t="shared" si="271"/>
        <v>1.7686822371330457</v>
      </c>
      <c r="AK285" s="306">
        <f t="shared" si="242"/>
        <v>0</v>
      </c>
      <c r="AL285" s="306">
        <f t="shared" si="272"/>
        <v>0</v>
      </c>
      <c r="AM285" s="306">
        <f t="shared" si="243"/>
        <v>1.2507110105440857</v>
      </c>
      <c r="AN285" s="304">
        <f>KcSplint!$N314</f>
        <v>0.86399149877499992</v>
      </c>
      <c r="AO285" s="304">
        <f t="shared" si="244"/>
        <v>0.81861611624069419</v>
      </c>
      <c r="AP285" s="304">
        <f t="shared" si="273"/>
        <v>0.81861611624069419</v>
      </c>
      <c r="AQ285" s="305">
        <f t="shared" si="274"/>
        <v>0.81861611624069419</v>
      </c>
      <c r="AR285" s="304">
        <f t="shared" si="275"/>
        <v>1.4478717838257564</v>
      </c>
      <c r="AS285" s="306">
        <f t="shared" si="245"/>
        <v>517.93771467694876</v>
      </c>
      <c r="AT285" s="307">
        <f t="shared" si="276"/>
        <v>1.4478717838257564</v>
      </c>
      <c r="AU285" s="307">
        <f t="shared" si="277"/>
        <v>517.93771467694876</v>
      </c>
      <c r="AV285" s="304">
        <f t="shared" si="246"/>
        <v>1.7686822371330457</v>
      </c>
      <c r="AW285" s="309">
        <f t="shared" si="247"/>
        <v>15.629504468686672</v>
      </c>
      <c r="AX285" s="306">
        <f>IF(ISERROR(Weather!M269),#N/A,Weather!M269)</f>
        <v>0</v>
      </c>
      <c r="AY285" s="310">
        <f t="shared" si="248"/>
        <v>9</v>
      </c>
      <c r="AZ285" s="309">
        <f t="shared" si="249"/>
        <v>0.65961538820870136</v>
      </c>
      <c r="BA285" s="309">
        <f t="shared" si="250"/>
        <v>191.15947497864425</v>
      </c>
      <c r="BB285" s="311">
        <f>Irrig!H287</f>
        <v>0</v>
      </c>
      <c r="BC285" s="310">
        <f t="shared" si="251"/>
        <v>59</v>
      </c>
      <c r="BD285" s="309">
        <f t="shared" si="252"/>
        <v>0.18120336517820471</v>
      </c>
      <c r="BE285" s="309">
        <f t="shared" si="253"/>
        <v>0.18120336517820471</v>
      </c>
      <c r="BF285" s="306">
        <f>DailyMet!H268</f>
        <v>16.760000000000002</v>
      </c>
      <c r="BG285" s="306">
        <f>DailyMet!I268</f>
        <v>11.2</v>
      </c>
      <c r="BH285" s="306">
        <f t="shared" si="254"/>
        <v>16.760000000000002</v>
      </c>
      <c r="BI285" s="306">
        <f t="shared" si="255"/>
        <v>11.2</v>
      </c>
      <c r="BJ285" s="306">
        <f t="shared" si="256"/>
        <v>3.9800000000000004</v>
      </c>
      <c r="BK285" s="306">
        <f t="shared" si="225"/>
        <v>1429.4450000000002</v>
      </c>
      <c r="BL285" s="304">
        <f t="shared" si="257"/>
        <v>0</v>
      </c>
      <c r="BM285" s="304">
        <f t="shared" si="258"/>
        <v>3.9800000000000004</v>
      </c>
      <c r="BN285" s="304">
        <f t="shared" si="279"/>
        <v>3.9800000000000004</v>
      </c>
      <c r="BO285" s="306">
        <f t="shared" si="280"/>
        <v>1413.9742360766556</v>
      </c>
      <c r="BP285" s="306"/>
    </row>
    <row r="286" spans="1:68">
      <c r="A286" s="299">
        <f t="shared" si="226"/>
        <v>4</v>
      </c>
      <c r="B286" s="300">
        <f t="shared" si="227"/>
        <v>38251</v>
      </c>
      <c r="C286" s="301" t="e">
        <f t="shared" si="259"/>
        <v>#N/A</v>
      </c>
      <c r="D286" s="301" t="e">
        <f t="shared" si="228"/>
        <v>#N/A</v>
      </c>
      <c r="E286" s="299">
        <f t="shared" si="229"/>
        <v>265</v>
      </c>
      <c r="F286" s="396">
        <f>Weather!M270</f>
        <v>0</v>
      </c>
      <c r="G286" s="301">
        <f>IF(Weather!C270="","",Weather!C270)</f>
        <v>1.7523326698222499</v>
      </c>
      <c r="H286" s="301">
        <f>IF(Weather!D270="","",Weather!D270)</f>
        <v>1.7556894234257725</v>
      </c>
      <c r="I286" s="502">
        <f>IF(Weather!E270="","",Weather!E270)</f>
        <v>1.7556894234257725</v>
      </c>
      <c r="J286" s="397">
        <f>IF(RnSplint!N314&lt;0,0,RnSplint!N314)</f>
        <v>11.970151121343481</v>
      </c>
      <c r="K286" s="302">
        <f t="shared" si="260"/>
        <v>0.6964285714285734</v>
      </c>
      <c r="L286" s="303">
        <f t="shared" si="261"/>
        <v>38251</v>
      </c>
      <c r="M286" s="346" t="str">
        <f t="shared" si="230"/>
        <v/>
      </c>
      <c r="N286" s="304">
        <f t="shared" si="262"/>
        <v>0.6964285714285734</v>
      </c>
      <c r="O286" s="304">
        <f t="shared" si="263"/>
        <v>0</v>
      </c>
      <c r="P286" s="304">
        <f t="shared" si="231"/>
        <v>0.6964285714285734</v>
      </c>
      <c r="Q286" s="304">
        <f t="shared" si="232"/>
        <v>0.62435826440451059</v>
      </c>
      <c r="R286" s="304">
        <f t="shared" si="233"/>
        <v>0.6964285714285734</v>
      </c>
      <c r="S286" s="305">
        <f t="shared" si="264"/>
        <v>0.6964285714285734</v>
      </c>
      <c r="T286" s="304">
        <f t="shared" si="234"/>
        <v>0.18035054582681387</v>
      </c>
      <c r="U286" s="304">
        <f t="shared" si="278"/>
        <v>0.6964285714285734</v>
      </c>
      <c r="V286" s="305">
        <f t="shared" si="235"/>
        <v>0.6964285714285734</v>
      </c>
      <c r="W286" s="305">
        <f t="shared" si="265"/>
        <v>0.6964285714285734</v>
      </c>
      <c r="X286" s="304">
        <f t="shared" si="266"/>
        <v>0.6964285714285734</v>
      </c>
      <c r="Z286" s="304" t="str">
        <f t="shared" si="236"/>
        <v/>
      </c>
      <c r="AA286" s="305">
        <f t="shared" si="237"/>
        <v>0.6964285714285734</v>
      </c>
      <c r="AB286" s="304">
        <f t="shared" si="238"/>
        <v>1.2227122770286665</v>
      </c>
      <c r="AC286" s="304">
        <f t="shared" si="267"/>
        <v>0.6964285714285734</v>
      </c>
      <c r="AD286" s="306">
        <f t="shared" si="239"/>
        <v>482.44170822177296</v>
      </c>
      <c r="AE286" s="307">
        <f t="shared" si="268"/>
        <v>1.2227122770286665</v>
      </c>
      <c r="AF286" s="308">
        <f t="shared" si="240"/>
        <v>482.44170822177296</v>
      </c>
      <c r="AG286" s="306">
        <f t="shared" si="269"/>
        <v>620.30339801217417</v>
      </c>
      <c r="AH286" s="306">
        <f t="shared" si="241"/>
        <v>0</v>
      </c>
      <c r="AI286" s="306">
        <f t="shared" si="270"/>
        <v>0</v>
      </c>
      <c r="AJ286" s="306">
        <f t="shared" si="271"/>
        <v>1.7556894234257725</v>
      </c>
      <c r="AK286" s="306">
        <f t="shared" si="242"/>
        <v>0</v>
      </c>
      <c r="AL286" s="306">
        <f t="shared" si="272"/>
        <v>0</v>
      </c>
      <c r="AM286" s="306">
        <f t="shared" si="243"/>
        <v>1.2227122770286665</v>
      </c>
      <c r="AN286" s="304">
        <f>KcSplint!$N315</f>
        <v>0.86472901344776332</v>
      </c>
      <c r="AO286" s="304">
        <f t="shared" si="244"/>
        <v>0.81122551290321332</v>
      </c>
      <c r="AP286" s="304">
        <f t="shared" si="273"/>
        <v>0.81122551290321332</v>
      </c>
      <c r="AQ286" s="305">
        <f t="shared" si="274"/>
        <v>0.81122551290321332</v>
      </c>
      <c r="AR286" s="304">
        <f t="shared" si="275"/>
        <v>1.4242600530173191</v>
      </c>
      <c r="AS286" s="306">
        <f t="shared" si="245"/>
        <v>519.36197472996605</v>
      </c>
      <c r="AT286" s="307">
        <f t="shared" si="276"/>
        <v>1.4242600530173191</v>
      </c>
      <c r="AU286" s="307">
        <f t="shared" si="277"/>
        <v>519.36197472996605</v>
      </c>
      <c r="AV286" s="304">
        <f t="shared" si="246"/>
        <v>1.7556894234257725</v>
      </c>
      <c r="AW286" s="309">
        <f t="shared" si="247"/>
        <v>17.385193892112444</v>
      </c>
      <c r="AX286" s="306">
        <f>IF(ISERROR(Weather!M270),#N/A,Weather!M270)</f>
        <v>0</v>
      </c>
      <c r="AY286" s="310">
        <f t="shared" si="248"/>
        <v>10</v>
      </c>
      <c r="AZ286" s="309">
        <f t="shared" si="249"/>
        <v>0.62435826440451059</v>
      </c>
      <c r="BA286" s="309">
        <f t="shared" si="250"/>
        <v>192.91516440207002</v>
      </c>
      <c r="BB286" s="311">
        <f>Irrig!H288</f>
        <v>0</v>
      </c>
      <c r="BC286" s="310">
        <f t="shared" si="251"/>
        <v>60</v>
      </c>
      <c r="BD286" s="309">
        <f t="shared" si="252"/>
        <v>0.18035054582681387</v>
      </c>
      <c r="BE286" s="309">
        <f t="shared" si="253"/>
        <v>0.18035054582681387</v>
      </c>
      <c r="BF286" s="306">
        <f>DailyMet!H269</f>
        <v>16.38</v>
      </c>
      <c r="BG286" s="306">
        <f>DailyMet!I269</f>
        <v>7.2</v>
      </c>
      <c r="BH286" s="306">
        <f t="shared" si="254"/>
        <v>16.38</v>
      </c>
      <c r="BI286" s="306">
        <f t="shared" si="255"/>
        <v>10</v>
      </c>
      <c r="BJ286" s="306">
        <f t="shared" si="256"/>
        <v>3.1899999999999995</v>
      </c>
      <c r="BK286" s="306">
        <f t="shared" si="225"/>
        <v>1432.6350000000002</v>
      </c>
      <c r="BL286" s="304">
        <f t="shared" si="257"/>
        <v>0</v>
      </c>
      <c r="BM286" s="304">
        <f t="shared" si="258"/>
        <v>2.2170152505446614</v>
      </c>
      <c r="BN286" s="304">
        <f t="shared" si="279"/>
        <v>2.2170152505446614</v>
      </c>
      <c r="BO286" s="306">
        <f t="shared" si="280"/>
        <v>1416.1912513272002</v>
      </c>
      <c r="BP286" s="306"/>
    </row>
    <row r="287" spans="1:68">
      <c r="A287" s="299">
        <f t="shared" si="226"/>
        <v>4</v>
      </c>
      <c r="B287" s="300">
        <f t="shared" si="227"/>
        <v>38252</v>
      </c>
      <c r="C287" s="301" t="e">
        <f t="shared" si="259"/>
        <v>#N/A</v>
      </c>
      <c r="D287" s="301" t="e">
        <f t="shared" si="228"/>
        <v>#N/A</v>
      </c>
      <c r="E287" s="299">
        <f t="shared" si="229"/>
        <v>266</v>
      </c>
      <c r="F287" s="396">
        <f>Weather!M271</f>
        <v>0</v>
      </c>
      <c r="G287" s="301">
        <f>IF(Weather!C271="","",Weather!C271)</f>
        <v>1.711474674400387</v>
      </c>
      <c r="H287" s="301">
        <f>IF(Weather!D271="","",Weather!D271)</f>
        <v>1.5169243163561759</v>
      </c>
      <c r="I287" s="502">
        <f>IF(Weather!E271="","",Weather!E271)</f>
        <v>1.5169243163561759</v>
      </c>
      <c r="J287" s="397">
        <f>IF(RnSplint!N315&lt;0,0,RnSplint!N315)</f>
        <v>11.516140448931024</v>
      </c>
      <c r="K287" s="302">
        <f t="shared" si="260"/>
        <v>0.68571428571428772</v>
      </c>
      <c r="L287" s="303">
        <f t="shared" si="261"/>
        <v>38252</v>
      </c>
      <c r="M287" s="346" t="str">
        <f t="shared" si="230"/>
        <v/>
      </c>
      <c r="N287" s="304">
        <f t="shared" si="262"/>
        <v>0.68571428571428772</v>
      </c>
      <c r="O287" s="304">
        <f t="shared" si="263"/>
        <v>0</v>
      </c>
      <c r="P287" s="304">
        <f t="shared" si="231"/>
        <v>0.68571428571428772</v>
      </c>
      <c r="Q287" s="304">
        <f t="shared" si="232"/>
        <v>0.59798060965479261</v>
      </c>
      <c r="R287" s="304">
        <f t="shared" si="233"/>
        <v>0.68571428571428772</v>
      </c>
      <c r="S287" s="305">
        <f t="shared" si="264"/>
        <v>0.68571428571428772</v>
      </c>
      <c r="T287" s="304">
        <f t="shared" si="234"/>
        <v>0.1796231253862739</v>
      </c>
      <c r="U287" s="304">
        <f t="shared" si="278"/>
        <v>0.68571428571428772</v>
      </c>
      <c r="V287" s="305">
        <f t="shared" si="235"/>
        <v>0.68571428571428772</v>
      </c>
      <c r="W287" s="305">
        <f t="shared" si="265"/>
        <v>0.68571428571428772</v>
      </c>
      <c r="X287" s="304">
        <f t="shared" si="266"/>
        <v>0.68571428571428772</v>
      </c>
      <c r="Z287" s="304" t="str">
        <f t="shared" si="236"/>
        <v/>
      </c>
      <c r="AA287" s="305">
        <f t="shared" si="237"/>
        <v>0.68571428571428772</v>
      </c>
      <c r="AB287" s="304">
        <f t="shared" si="238"/>
        <v>1.0401766740728093</v>
      </c>
      <c r="AC287" s="304">
        <f t="shared" si="267"/>
        <v>0.68571428571428772</v>
      </c>
      <c r="AD287" s="306">
        <f t="shared" si="239"/>
        <v>483.48188489584578</v>
      </c>
      <c r="AE287" s="307">
        <f t="shared" si="268"/>
        <v>1.0401766740728093</v>
      </c>
      <c r="AF287" s="308">
        <f t="shared" si="240"/>
        <v>483.48188489584578</v>
      </c>
      <c r="AG287" s="306">
        <f t="shared" si="269"/>
        <v>621.82032232853032</v>
      </c>
      <c r="AH287" s="306">
        <f t="shared" si="241"/>
        <v>0</v>
      </c>
      <c r="AI287" s="306">
        <f t="shared" si="270"/>
        <v>0</v>
      </c>
      <c r="AJ287" s="306">
        <f t="shared" si="271"/>
        <v>1.5169243163561759</v>
      </c>
      <c r="AK287" s="306">
        <f t="shared" si="242"/>
        <v>0</v>
      </c>
      <c r="AL287" s="306">
        <f t="shared" si="272"/>
        <v>0</v>
      </c>
      <c r="AM287" s="306">
        <f t="shared" si="243"/>
        <v>1.0401766740728093</v>
      </c>
      <c r="AN287" s="304">
        <f>KcSplint!$N316</f>
        <v>0.86583544664241063</v>
      </c>
      <c r="AO287" s="304">
        <f t="shared" si="244"/>
        <v>0.80383490956573245</v>
      </c>
      <c r="AP287" s="304">
        <f t="shared" si="273"/>
        <v>0.80383490956573245</v>
      </c>
      <c r="AQ287" s="305">
        <f t="shared" si="274"/>
        <v>0.80383490956573245</v>
      </c>
      <c r="AR287" s="304">
        <f t="shared" si="275"/>
        <v>1.2193567206562272</v>
      </c>
      <c r="AS287" s="306">
        <f t="shared" si="245"/>
        <v>520.58133145062232</v>
      </c>
      <c r="AT287" s="307">
        <f t="shared" si="276"/>
        <v>1.2193567206562272</v>
      </c>
      <c r="AU287" s="307">
        <f t="shared" si="277"/>
        <v>520.58133145062232</v>
      </c>
      <c r="AV287" s="304">
        <f t="shared" si="246"/>
        <v>1.5169243163561759</v>
      </c>
      <c r="AW287" s="309">
        <f t="shared" si="247"/>
        <v>18.902118208468618</v>
      </c>
      <c r="AX287" s="306">
        <f>IF(ISERROR(Weather!M271),#N/A,Weather!M271)</f>
        <v>0</v>
      </c>
      <c r="AY287" s="310">
        <f t="shared" si="248"/>
        <v>11</v>
      </c>
      <c r="AZ287" s="309">
        <f t="shared" si="249"/>
        <v>0.59798060965479261</v>
      </c>
      <c r="BA287" s="309">
        <f t="shared" si="250"/>
        <v>194.4320887184262</v>
      </c>
      <c r="BB287" s="311">
        <f>Irrig!H289</f>
        <v>0</v>
      </c>
      <c r="BC287" s="310">
        <f t="shared" si="251"/>
        <v>61</v>
      </c>
      <c r="BD287" s="309">
        <f t="shared" si="252"/>
        <v>0.1796231253862739</v>
      </c>
      <c r="BE287" s="309">
        <f t="shared" si="253"/>
        <v>0.1796231253862739</v>
      </c>
      <c r="BF287" s="306">
        <f>DailyMet!H270</f>
        <v>18.04</v>
      </c>
      <c r="BG287" s="306">
        <f>DailyMet!I270</f>
        <v>9.1999999999999993</v>
      </c>
      <c r="BH287" s="306">
        <f t="shared" si="254"/>
        <v>18.04</v>
      </c>
      <c r="BI287" s="306">
        <f t="shared" si="255"/>
        <v>10</v>
      </c>
      <c r="BJ287" s="306">
        <f t="shared" si="256"/>
        <v>4.0199999999999996</v>
      </c>
      <c r="BK287" s="306">
        <f t="shared" si="225"/>
        <v>1436.6550000000002</v>
      </c>
      <c r="BL287" s="304">
        <f t="shared" si="257"/>
        <v>0</v>
      </c>
      <c r="BM287" s="304">
        <f t="shared" si="258"/>
        <v>3.6561990950226235</v>
      </c>
      <c r="BN287" s="304">
        <f t="shared" si="279"/>
        <v>3.6561990950226235</v>
      </c>
      <c r="BO287" s="306">
        <f t="shared" si="280"/>
        <v>1419.8474504222229</v>
      </c>
      <c r="BP287" s="306"/>
    </row>
    <row r="288" spans="1:68">
      <c r="A288" s="299">
        <f t="shared" si="226"/>
        <v>4</v>
      </c>
      <c r="B288" s="300">
        <f t="shared" si="227"/>
        <v>38253</v>
      </c>
      <c r="C288" s="301" t="e">
        <f t="shared" si="259"/>
        <v>#N/A</v>
      </c>
      <c r="D288" s="301" t="e">
        <f t="shared" si="228"/>
        <v>#N/A</v>
      </c>
      <c r="E288" s="299">
        <f t="shared" si="229"/>
        <v>267</v>
      </c>
      <c r="F288" s="396">
        <f>Weather!M272</f>
        <v>0</v>
      </c>
      <c r="G288" s="301">
        <f>IF(Weather!C272="","",Weather!C272)</f>
        <v>1.6717472636875654</v>
      </c>
      <c r="H288" s="301">
        <f>IF(Weather!D272="","",Weather!D272)</f>
        <v>1.8826041136831777</v>
      </c>
      <c r="I288" s="502">
        <f>IF(Weather!E272="","",Weather!E272)</f>
        <v>1.8826041136831777</v>
      </c>
      <c r="J288" s="397">
        <f>IF(RnSplint!N316&lt;0,0,RnSplint!N316)</f>
        <v>11.081288889988103</v>
      </c>
      <c r="K288" s="302">
        <f t="shared" si="260"/>
        <v>0.67500000000000204</v>
      </c>
      <c r="L288" s="303">
        <f t="shared" si="261"/>
        <v>38253</v>
      </c>
      <c r="M288" s="346" t="str">
        <f t="shared" si="230"/>
        <v/>
      </c>
      <c r="N288" s="304">
        <f t="shared" si="262"/>
        <v>0.67500000000000204</v>
      </c>
      <c r="O288" s="304">
        <f t="shared" si="263"/>
        <v>0</v>
      </c>
      <c r="P288" s="304">
        <f t="shared" si="231"/>
        <v>0.67500000000000204</v>
      </c>
      <c r="Q288" s="304">
        <f t="shared" si="232"/>
        <v>0.56939085226491981</v>
      </c>
      <c r="R288" s="304">
        <f t="shared" si="233"/>
        <v>0.67500000000000204</v>
      </c>
      <c r="S288" s="305">
        <f t="shared" si="264"/>
        <v>0.67500000000000204</v>
      </c>
      <c r="T288" s="304">
        <f t="shared" si="234"/>
        <v>0.17873222396276575</v>
      </c>
      <c r="U288" s="304">
        <f t="shared" si="278"/>
        <v>0.67500000000000204</v>
      </c>
      <c r="V288" s="305">
        <f t="shared" si="235"/>
        <v>0.67500000000000204</v>
      </c>
      <c r="W288" s="305">
        <f t="shared" si="265"/>
        <v>0.67500000000000204</v>
      </c>
      <c r="X288" s="304">
        <f t="shared" si="266"/>
        <v>0.67500000000000204</v>
      </c>
      <c r="Z288" s="304" t="str">
        <f t="shared" si="236"/>
        <v/>
      </c>
      <c r="AA288" s="305">
        <f t="shared" si="237"/>
        <v>0.67500000000000204</v>
      </c>
      <c r="AB288" s="304">
        <f t="shared" si="238"/>
        <v>1.2707577767361489</v>
      </c>
      <c r="AC288" s="304">
        <f t="shared" si="267"/>
        <v>0.67500000000000204</v>
      </c>
      <c r="AD288" s="306">
        <f t="shared" si="239"/>
        <v>484.75264267258194</v>
      </c>
      <c r="AE288" s="307">
        <f t="shared" si="268"/>
        <v>1.2707577767361489</v>
      </c>
      <c r="AF288" s="308">
        <f t="shared" si="240"/>
        <v>484.75264267258194</v>
      </c>
      <c r="AG288" s="306">
        <f t="shared" si="269"/>
        <v>623.70292644221354</v>
      </c>
      <c r="AH288" s="306">
        <f t="shared" si="241"/>
        <v>0</v>
      </c>
      <c r="AI288" s="306">
        <f t="shared" si="270"/>
        <v>0</v>
      </c>
      <c r="AJ288" s="306">
        <f t="shared" si="271"/>
        <v>1.8826041136831777</v>
      </c>
      <c r="AK288" s="306">
        <f t="shared" si="242"/>
        <v>0</v>
      </c>
      <c r="AL288" s="306">
        <f t="shared" si="272"/>
        <v>0</v>
      </c>
      <c r="AM288" s="306">
        <f t="shared" si="243"/>
        <v>1.2707577767361489</v>
      </c>
      <c r="AN288" s="304">
        <f>KcSplint!$N317</f>
        <v>0.86730327519298933</v>
      </c>
      <c r="AO288" s="304">
        <f t="shared" si="244"/>
        <v>0.79644430622825158</v>
      </c>
      <c r="AP288" s="304">
        <f t="shared" si="273"/>
        <v>0.79644430622825158</v>
      </c>
      <c r="AQ288" s="305">
        <f t="shared" si="274"/>
        <v>0.79644430622825158</v>
      </c>
      <c r="AR288" s="304">
        <f t="shared" si="275"/>
        <v>1.4993893272248509</v>
      </c>
      <c r="AS288" s="306">
        <f t="shared" si="245"/>
        <v>522.0807207778472</v>
      </c>
      <c r="AT288" s="307">
        <f t="shared" si="276"/>
        <v>1.4993893272248509</v>
      </c>
      <c r="AU288" s="307">
        <f t="shared" si="277"/>
        <v>522.0807207778472</v>
      </c>
      <c r="AV288" s="304">
        <f t="shared" si="246"/>
        <v>1.8826041136831777</v>
      </c>
      <c r="AW288" s="309">
        <f t="shared" si="247"/>
        <v>20.784722322151797</v>
      </c>
      <c r="AX288" s="306">
        <f>IF(ISERROR(Weather!M272),#N/A,Weather!M272)</f>
        <v>0</v>
      </c>
      <c r="AY288" s="310">
        <f t="shared" si="248"/>
        <v>12</v>
      </c>
      <c r="AZ288" s="309">
        <f t="shared" si="249"/>
        <v>0.56939085226491981</v>
      </c>
      <c r="BA288" s="309">
        <f t="shared" si="250"/>
        <v>196.31469283210939</v>
      </c>
      <c r="BB288" s="311">
        <f>Irrig!H290</f>
        <v>0</v>
      </c>
      <c r="BC288" s="310">
        <f t="shared" si="251"/>
        <v>62</v>
      </c>
      <c r="BD288" s="309">
        <f t="shared" si="252"/>
        <v>0.17873222396276575</v>
      </c>
      <c r="BE288" s="309">
        <f t="shared" si="253"/>
        <v>0.17873222396276575</v>
      </c>
      <c r="BF288" s="306">
        <f>DailyMet!H271</f>
        <v>20.63</v>
      </c>
      <c r="BG288" s="306">
        <f>DailyMet!I271</f>
        <v>16.600000000000001</v>
      </c>
      <c r="BH288" s="306">
        <f t="shared" si="254"/>
        <v>20.63</v>
      </c>
      <c r="BI288" s="306">
        <f t="shared" si="255"/>
        <v>16.600000000000001</v>
      </c>
      <c r="BJ288" s="306">
        <f t="shared" si="256"/>
        <v>8.615000000000002</v>
      </c>
      <c r="BK288" s="306">
        <f t="shared" si="225"/>
        <v>1445.2700000000002</v>
      </c>
      <c r="BL288" s="304">
        <f t="shared" si="257"/>
        <v>0</v>
      </c>
      <c r="BM288" s="304">
        <f t="shared" si="258"/>
        <v>8.615000000000002</v>
      </c>
      <c r="BN288" s="304">
        <f t="shared" si="279"/>
        <v>8.615000000000002</v>
      </c>
      <c r="BO288" s="306">
        <f t="shared" si="280"/>
        <v>1428.4624504222229</v>
      </c>
      <c r="BP288" s="306"/>
    </row>
    <row r="289" spans="1:68">
      <c r="A289" s="299">
        <f t="shared" si="226"/>
        <v>4</v>
      </c>
      <c r="B289" s="300">
        <f t="shared" si="227"/>
        <v>38254</v>
      </c>
      <c r="C289" s="301" t="e">
        <f t="shared" si="259"/>
        <v>#N/A</v>
      </c>
      <c r="D289" s="301" t="e">
        <f t="shared" si="228"/>
        <v>#N/A</v>
      </c>
      <c r="E289" s="299">
        <f t="shared" si="229"/>
        <v>268</v>
      </c>
      <c r="F289" s="396">
        <f>Weather!M273</f>
        <v>0</v>
      </c>
      <c r="G289" s="301">
        <f>IF(Weather!C273="","",Weather!C273)</f>
        <v>1.6331159800781363</v>
      </c>
      <c r="H289" s="301">
        <f>IF(Weather!D273="","",Weather!D273)</f>
        <v>0.52196974349221081</v>
      </c>
      <c r="I289" s="502">
        <f>IF(Weather!E273="","",Weather!E273)</f>
        <v>0.52196974349221081</v>
      </c>
      <c r="J289" s="397">
        <f>IF(RnSplint!N317&lt;0,0,RnSplint!N317)</f>
        <v>10.667320668419697</v>
      </c>
      <c r="K289" s="302">
        <f t="shared" si="260"/>
        <v>0.66428571428571637</v>
      </c>
      <c r="L289" s="303">
        <f t="shared" si="261"/>
        <v>38254</v>
      </c>
      <c r="M289" s="346" t="str">
        <f t="shared" si="230"/>
        <v/>
      </c>
      <c r="N289" s="304">
        <f t="shared" si="262"/>
        <v>0.66428571428571637</v>
      </c>
      <c r="O289" s="304">
        <f t="shared" si="263"/>
        <v>0</v>
      </c>
      <c r="P289" s="304">
        <f t="shared" si="231"/>
        <v>0.66428571428571637</v>
      </c>
      <c r="Q289" s="304">
        <f t="shared" si="232"/>
        <v>0.56215002653106416</v>
      </c>
      <c r="R289" s="304">
        <f t="shared" si="233"/>
        <v>0.66428571428571637</v>
      </c>
      <c r="S289" s="305">
        <f t="shared" si="264"/>
        <v>0.66428571428571637</v>
      </c>
      <c r="T289" s="304">
        <f t="shared" si="234"/>
        <v>0.17848750316744089</v>
      </c>
      <c r="U289" s="304">
        <f t="shared" si="278"/>
        <v>0.66428571428571637</v>
      </c>
      <c r="V289" s="305">
        <f t="shared" si="235"/>
        <v>0.66428571428571637</v>
      </c>
      <c r="W289" s="305">
        <f t="shared" si="265"/>
        <v>0.66428571428571637</v>
      </c>
      <c r="X289" s="304">
        <f t="shared" si="266"/>
        <v>0.66428571428571637</v>
      </c>
      <c r="Z289" s="304" t="str">
        <f t="shared" si="236"/>
        <v/>
      </c>
      <c r="AA289" s="305">
        <f t="shared" si="237"/>
        <v>0.66428571428571637</v>
      </c>
      <c r="AB289" s="304">
        <f t="shared" si="238"/>
        <v>0.34673704389125543</v>
      </c>
      <c r="AC289" s="304">
        <f t="shared" si="267"/>
        <v>0.66428571428571637</v>
      </c>
      <c r="AD289" s="306">
        <f t="shared" si="239"/>
        <v>485.09937971647321</v>
      </c>
      <c r="AE289" s="307">
        <f t="shared" si="268"/>
        <v>0.34673704389125543</v>
      </c>
      <c r="AF289" s="308">
        <f t="shared" si="240"/>
        <v>485.09937971647321</v>
      </c>
      <c r="AG289" s="306">
        <f t="shared" si="269"/>
        <v>624.2248961857058</v>
      </c>
      <c r="AH289" s="306">
        <f t="shared" si="241"/>
        <v>0</v>
      </c>
      <c r="AI289" s="306">
        <f t="shared" si="270"/>
        <v>0</v>
      </c>
      <c r="AJ289" s="306">
        <f t="shared" si="271"/>
        <v>0.52196974349221081</v>
      </c>
      <c r="AK289" s="306">
        <f t="shared" si="242"/>
        <v>0</v>
      </c>
      <c r="AL289" s="306">
        <f t="shared" si="272"/>
        <v>0</v>
      </c>
      <c r="AM289" s="306">
        <f t="shared" si="243"/>
        <v>0.34673704389125543</v>
      </c>
      <c r="AN289" s="304">
        <f>KcSplint!$N318</f>
        <v>0.86912497593354665</v>
      </c>
      <c r="AO289" s="304">
        <f t="shared" si="244"/>
        <v>0.7890537028907707</v>
      </c>
      <c r="AP289" s="304">
        <f t="shared" si="273"/>
        <v>0.7890537028907707</v>
      </c>
      <c r="AQ289" s="305">
        <f t="shared" si="274"/>
        <v>0.7890537028907707</v>
      </c>
      <c r="AR289" s="304">
        <f t="shared" si="275"/>
        <v>0.4118621588994747</v>
      </c>
      <c r="AS289" s="306">
        <f t="shared" si="245"/>
        <v>522.49258293674666</v>
      </c>
      <c r="AT289" s="307">
        <f t="shared" si="276"/>
        <v>0.4118621588994747</v>
      </c>
      <c r="AU289" s="307">
        <f t="shared" si="277"/>
        <v>522.49258293674666</v>
      </c>
      <c r="AV289" s="304">
        <f t="shared" si="246"/>
        <v>0.52196974349221081</v>
      </c>
      <c r="AW289" s="309">
        <f t="shared" si="247"/>
        <v>21.306692065644008</v>
      </c>
      <c r="AX289" s="306">
        <f>IF(ISERROR(Weather!M273),#N/A,Weather!M273)</f>
        <v>0</v>
      </c>
      <c r="AY289" s="310">
        <f t="shared" si="248"/>
        <v>13</v>
      </c>
      <c r="AZ289" s="309">
        <f t="shared" si="249"/>
        <v>0.56215002653106416</v>
      </c>
      <c r="BA289" s="309">
        <f t="shared" si="250"/>
        <v>196.83666257560159</v>
      </c>
      <c r="BB289" s="311">
        <f>Irrig!H291</f>
        <v>0</v>
      </c>
      <c r="BC289" s="310">
        <f t="shared" si="251"/>
        <v>63</v>
      </c>
      <c r="BD289" s="309">
        <f t="shared" si="252"/>
        <v>0.17848750316744089</v>
      </c>
      <c r="BE289" s="309">
        <f t="shared" si="253"/>
        <v>0.17848750316744089</v>
      </c>
      <c r="BF289" s="306">
        <f>DailyMet!H272</f>
        <v>20.73</v>
      </c>
      <c r="BG289" s="306">
        <f>DailyMet!I272</f>
        <v>15.7</v>
      </c>
      <c r="BH289" s="306">
        <f t="shared" si="254"/>
        <v>20.73</v>
      </c>
      <c r="BI289" s="306">
        <f t="shared" si="255"/>
        <v>15.7</v>
      </c>
      <c r="BJ289" s="306">
        <f t="shared" si="256"/>
        <v>8.2149999999999999</v>
      </c>
      <c r="BK289" s="306">
        <f t="shared" si="225"/>
        <v>1453.4850000000001</v>
      </c>
      <c r="BL289" s="304">
        <f t="shared" si="257"/>
        <v>0</v>
      </c>
      <c r="BM289" s="304">
        <f t="shared" si="258"/>
        <v>8.2149999999999999</v>
      </c>
      <c r="BN289" s="304">
        <f t="shared" si="279"/>
        <v>8.2149999999999999</v>
      </c>
      <c r="BO289" s="306">
        <f t="shared" si="280"/>
        <v>1436.6774504222228</v>
      </c>
      <c r="BP289" s="306"/>
    </row>
    <row r="290" spans="1:68">
      <c r="A290" s="299">
        <f t="shared" si="226"/>
        <v>4</v>
      </c>
      <c r="B290" s="300">
        <f t="shared" si="227"/>
        <v>38255</v>
      </c>
      <c r="C290" s="301" t="e">
        <f t="shared" si="259"/>
        <v>#N/A</v>
      </c>
      <c r="D290" s="301" t="e">
        <f t="shared" si="228"/>
        <v>#N/A</v>
      </c>
      <c r="E290" s="299">
        <f t="shared" si="229"/>
        <v>269</v>
      </c>
      <c r="F290" s="396">
        <f>Weather!M274</f>
        <v>2.2000000000000002</v>
      </c>
      <c r="G290" s="301">
        <f>IF(Weather!C274="","",Weather!C274)</f>
        <v>1.5955463659664495</v>
      </c>
      <c r="H290" s="301">
        <f>IF(Weather!D274="","",Weather!D274)</f>
        <v>1.4602956391032043</v>
      </c>
      <c r="I290" s="502">
        <f>IF(Weather!E274="","",Weather!E274)</f>
        <v>1.4602956391032043</v>
      </c>
      <c r="J290" s="397">
        <f>IF(RnSplint!N318&lt;0,0,RnSplint!N318)</f>
        <v>10.275960008130774</v>
      </c>
      <c r="K290" s="302">
        <f t="shared" si="260"/>
        <v>0.65357142857143069</v>
      </c>
      <c r="L290" s="303">
        <f t="shared" si="261"/>
        <v>38255</v>
      </c>
      <c r="M290" s="346" t="str">
        <f t="shared" si="230"/>
        <v/>
      </c>
      <c r="N290" s="304">
        <f t="shared" si="262"/>
        <v>0.65357142857143069</v>
      </c>
      <c r="O290" s="304">
        <f t="shared" si="263"/>
        <v>0</v>
      </c>
      <c r="P290" s="304">
        <f t="shared" si="231"/>
        <v>0.65357142857143069</v>
      </c>
      <c r="Q290" s="304">
        <f t="shared" si="232"/>
        <v>0.54324636739436305</v>
      </c>
      <c r="R290" s="304">
        <f t="shared" si="233"/>
        <v>0.65357142857143069</v>
      </c>
      <c r="S290" s="305">
        <f t="shared" si="264"/>
        <v>0.65357142857143069</v>
      </c>
      <c r="T290" s="304">
        <f t="shared" si="234"/>
        <v>0.17780805182530549</v>
      </c>
      <c r="U290" s="304">
        <f t="shared" si="278"/>
        <v>0.65357142857143069</v>
      </c>
      <c r="V290" s="305">
        <f t="shared" si="235"/>
        <v>0.65357142857143069</v>
      </c>
      <c r="W290" s="305">
        <f t="shared" si="265"/>
        <v>0.65357142857143069</v>
      </c>
      <c r="X290" s="304">
        <f t="shared" si="266"/>
        <v>0.65357142857143069</v>
      </c>
      <c r="Z290" s="304" t="str">
        <f t="shared" si="236"/>
        <v/>
      </c>
      <c r="AA290" s="305">
        <f t="shared" si="237"/>
        <v>0.65357142857143069</v>
      </c>
      <c r="AB290" s="304">
        <f t="shared" si="238"/>
        <v>0.95440750698531163</v>
      </c>
      <c r="AC290" s="304">
        <f t="shared" si="267"/>
        <v>0.65357142857143069</v>
      </c>
      <c r="AD290" s="306">
        <f t="shared" si="239"/>
        <v>486.05378722345853</v>
      </c>
      <c r="AE290" s="307">
        <f t="shared" si="268"/>
        <v>0.95440750698531163</v>
      </c>
      <c r="AF290" s="308">
        <f t="shared" si="240"/>
        <v>486.05378722345853</v>
      </c>
      <c r="AG290" s="306">
        <f t="shared" si="269"/>
        <v>625.68519182480895</v>
      </c>
      <c r="AH290" s="306">
        <f t="shared" si="241"/>
        <v>0</v>
      </c>
      <c r="AI290" s="306">
        <f t="shared" si="270"/>
        <v>0</v>
      </c>
      <c r="AJ290" s="306">
        <f t="shared" si="271"/>
        <v>1.4602956391032043</v>
      </c>
      <c r="AK290" s="306">
        <f t="shared" si="242"/>
        <v>0</v>
      </c>
      <c r="AL290" s="306">
        <f t="shared" si="272"/>
        <v>0</v>
      </c>
      <c r="AM290" s="306">
        <f t="shared" si="243"/>
        <v>0.95440750698531163</v>
      </c>
      <c r="AN290" s="304">
        <f>KcSplint!$N319</f>
        <v>0.87129302569813039</v>
      </c>
      <c r="AO290" s="304">
        <f t="shared" si="244"/>
        <v>0.78166309955328983</v>
      </c>
      <c r="AP290" s="304">
        <f t="shared" si="273"/>
        <v>0.78166309955328983</v>
      </c>
      <c r="AQ290" s="305">
        <f t="shared" si="274"/>
        <v>0.78166309955328983</v>
      </c>
      <c r="AR290" s="304">
        <f t="shared" si="275"/>
        <v>1.141459215525563</v>
      </c>
      <c r="AS290" s="306">
        <f t="shared" si="245"/>
        <v>523.63404215227217</v>
      </c>
      <c r="AT290" s="307">
        <f t="shared" si="276"/>
        <v>1.141459215525563</v>
      </c>
      <c r="AU290" s="307">
        <f t="shared" si="277"/>
        <v>523.63404215227217</v>
      </c>
      <c r="AV290" s="304">
        <f t="shared" si="246"/>
        <v>1.4602956391032043</v>
      </c>
      <c r="AW290" s="309">
        <f t="shared" si="247"/>
        <v>22.766987704747212</v>
      </c>
      <c r="AX290" s="306">
        <f>IF(ISERROR(Weather!M274),#N/A,Weather!M274)</f>
        <v>2.2000000000000002</v>
      </c>
      <c r="AY290" s="310">
        <f t="shared" si="248"/>
        <v>14</v>
      </c>
      <c r="AZ290" s="309">
        <f t="shared" si="249"/>
        <v>0.54324636739436305</v>
      </c>
      <c r="BA290" s="309">
        <f t="shared" si="250"/>
        <v>198.2969582147048</v>
      </c>
      <c r="BB290" s="311">
        <f>Irrig!H292</f>
        <v>0</v>
      </c>
      <c r="BC290" s="310">
        <f t="shared" si="251"/>
        <v>64</v>
      </c>
      <c r="BD290" s="309">
        <f t="shared" si="252"/>
        <v>0.17780805182530549</v>
      </c>
      <c r="BE290" s="309">
        <f t="shared" si="253"/>
        <v>0.17780805182530549</v>
      </c>
      <c r="BF290" s="306">
        <f>DailyMet!H273</f>
        <v>19.84</v>
      </c>
      <c r="BG290" s="306">
        <f>DailyMet!I273</f>
        <v>12</v>
      </c>
      <c r="BH290" s="306">
        <f t="shared" si="254"/>
        <v>19.84</v>
      </c>
      <c r="BI290" s="306">
        <f t="shared" si="255"/>
        <v>12</v>
      </c>
      <c r="BJ290" s="306">
        <f t="shared" si="256"/>
        <v>5.92</v>
      </c>
      <c r="BK290" s="306">
        <f t="shared" si="225"/>
        <v>1459.4050000000002</v>
      </c>
      <c r="BL290" s="304">
        <f t="shared" si="257"/>
        <v>0</v>
      </c>
      <c r="BM290" s="304">
        <f t="shared" si="258"/>
        <v>5.92</v>
      </c>
      <c r="BN290" s="304">
        <f t="shared" si="279"/>
        <v>5.92</v>
      </c>
      <c r="BO290" s="306">
        <f t="shared" si="280"/>
        <v>1442.5974504222229</v>
      </c>
      <c r="BP290" s="306"/>
    </row>
    <row r="291" spans="1:68">
      <c r="A291" s="299">
        <f t="shared" si="226"/>
        <v>4</v>
      </c>
      <c r="B291" s="300">
        <f t="shared" si="227"/>
        <v>38256</v>
      </c>
      <c r="C291" s="301" t="e">
        <f t="shared" si="259"/>
        <v>#N/A</v>
      </c>
      <c r="D291" s="301" t="e">
        <f t="shared" si="228"/>
        <v>#N/A</v>
      </c>
      <c r="E291" s="299">
        <f t="shared" si="229"/>
        <v>270</v>
      </c>
      <c r="F291" s="396">
        <f>Weather!M275</f>
        <v>0.2</v>
      </c>
      <c r="G291" s="301">
        <f>IF(Weather!C275="","",Weather!C275)</f>
        <v>1.5590039637468571</v>
      </c>
      <c r="H291" s="301">
        <f>IF(Weather!D275="","",Weather!D275)</f>
        <v>2.2341226653855277</v>
      </c>
      <c r="I291" s="502">
        <f>IF(Weather!E275="","",Weather!E275)</f>
        <v>2.2341226653855277</v>
      </c>
      <c r="J291" s="397">
        <f>IF(RnSplint!N319&lt;0,0,RnSplint!N319)</f>
        <v>9.9089311330263108</v>
      </c>
      <c r="K291" s="302">
        <f t="shared" si="260"/>
        <v>0.64285714285714501</v>
      </c>
      <c r="L291" s="303">
        <f t="shared" si="261"/>
        <v>38256</v>
      </c>
      <c r="M291" s="346" t="str">
        <f t="shared" si="230"/>
        <v/>
      </c>
      <c r="N291" s="304">
        <f t="shared" si="262"/>
        <v>0.64285714285714501</v>
      </c>
      <c r="O291" s="304">
        <f t="shared" si="263"/>
        <v>0</v>
      </c>
      <c r="P291" s="304">
        <f t="shared" si="231"/>
        <v>0.64285714285714501</v>
      </c>
      <c r="Q291" s="304">
        <f t="shared" si="232"/>
        <v>0.51763008417344325</v>
      </c>
      <c r="R291" s="304">
        <f t="shared" si="233"/>
        <v>0.64285714285714501</v>
      </c>
      <c r="S291" s="305">
        <f t="shared" si="264"/>
        <v>0.64285714285714501</v>
      </c>
      <c r="T291" s="304">
        <f t="shared" si="234"/>
        <v>0.17678310280677745</v>
      </c>
      <c r="U291" s="304">
        <f t="shared" si="278"/>
        <v>0.64285714285714501</v>
      </c>
      <c r="V291" s="305">
        <f t="shared" si="235"/>
        <v>0.64285714285714501</v>
      </c>
      <c r="W291" s="305">
        <f t="shared" si="265"/>
        <v>0.64285714285714501</v>
      </c>
      <c r="X291" s="304">
        <f t="shared" si="266"/>
        <v>0.64285714285714501</v>
      </c>
      <c r="Z291" s="304" t="str">
        <f t="shared" si="236"/>
        <v/>
      </c>
      <c r="AA291" s="305">
        <f t="shared" si="237"/>
        <v>0.64285714285714501</v>
      </c>
      <c r="AB291" s="304">
        <f t="shared" si="238"/>
        <v>1.4362217134621298</v>
      </c>
      <c r="AC291" s="304">
        <f t="shared" si="267"/>
        <v>0.64285714285714501</v>
      </c>
      <c r="AD291" s="306">
        <f t="shared" si="239"/>
        <v>487.49000893692067</v>
      </c>
      <c r="AE291" s="307">
        <f t="shared" si="268"/>
        <v>1.4362217134621298</v>
      </c>
      <c r="AF291" s="308">
        <f t="shared" si="240"/>
        <v>487.49000893692067</v>
      </c>
      <c r="AG291" s="306">
        <f t="shared" si="269"/>
        <v>627.91931449019444</v>
      </c>
      <c r="AH291" s="306">
        <f t="shared" si="241"/>
        <v>0</v>
      </c>
      <c r="AI291" s="306">
        <f t="shared" si="270"/>
        <v>0</v>
      </c>
      <c r="AJ291" s="306">
        <f t="shared" si="271"/>
        <v>2.2341226653855277</v>
      </c>
      <c r="AK291" s="306">
        <f t="shared" si="242"/>
        <v>0</v>
      </c>
      <c r="AL291" s="306">
        <f t="shared" si="272"/>
        <v>0</v>
      </c>
      <c r="AM291" s="306">
        <f t="shared" si="243"/>
        <v>1.4362217134621298</v>
      </c>
      <c r="AN291" s="304">
        <f>KcSplint!$N320</f>
        <v>0.87379990132078833</v>
      </c>
      <c r="AO291" s="304">
        <f t="shared" si="244"/>
        <v>0.77427249621580896</v>
      </c>
      <c r="AP291" s="304">
        <f t="shared" si="273"/>
        <v>0.77427249621580896</v>
      </c>
      <c r="AQ291" s="305">
        <f t="shared" si="274"/>
        <v>0.77427249621580896</v>
      </c>
      <c r="AR291" s="304">
        <f t="shared" si="275"/>
        <v>1.7298197329803691</v>
      </c>
      <c r="AS291" s="306">
        <f t="shared" si="245"/>
        <v>525.3638618852525</v>
      </c>
      <c r="AT291" s="307">
        <f t="shared" si="276"/>
        <v>1.7298197329803691</v>
      </c>
      <c r="AU291" s="307">
        <f t="shared" si="277"/>
        <v>525.3638618852525</v>
      </c>
      <c r="AV291" s="304">
        <f t="shared" si="246"/>
        <v>2.2341226653855277</v>
      </c>
      <c r="AW291" s="309">
        <f t="shared" si="247"/>
        <v>25.001110370132739</v>
      </c>
      <c r="AX291" s="306">
        <f>IF(ISERROR(Weather!M275),#N/A,Weather!M275)</f>
        <v>0.2</v>
      </c>
      <c r="AY291" s="310">
        <f t="shared" si="248"/>
        <v>15</v>
      </c>
      <c r="AZ291" s="309">
        <f t="shared" si="249"/>
        <v>0.51763008417344325</v>
      </c>
      <c r="BA291" s="309">
        <f t="shared" si="250"/>
        <v>200.53108088009034</v>
      </c>
      <c r="BB291" s="311">
        <f>Irrig!H293</f>
        <v>0</v>
      </c>
      <c r="BC291" s="310">
        <f t="shared" si="251"/>
        <v>65</v>
      </c>
      <c r="BD291" s="309">
        <f t="shared" si="252"/>
        <v>0.17678310280677745</v>
      </c>
      <c r="BE291" s="309">
        <f t="shared" si="253"/>
        <v>0.17678310280677745</v>
      </c>
      <c r="BF291" s="306">
        <f>DailyMet!H274</f>
        <v>21.73</v>
      </c>
      <c r="BG291" s="306">
        <f>DailyMet!I274</f>
        <v>16.600000000000001</v>
      </c>
      <c r="BH291" s="306">
        <f t="shared" si="254"/>
        <v>21.73</v>
      </c>
      <c r="BI291" s="306">
        <f t="shared" si="255"/>
        <v>16.600000000000001</v>
      </c>
      <c r="BJ291" s="306">
        <f t="shared" si="256"/>
        <v>9.1649999999999991</v>
      </c>
      <c r="BK291" s="306">
        <f t="shared" si="225"/>
        <v>1468.5700000000002</v>
      </c>
      <c r="BL291" s="304">
        <f t="shared" si="257"/>
        <v>0</v>
      </c>
      <c r="BM291" s="304">
        <f t="shared" si="258"/>
        <v>9.1649999999999991</v>
      </c>
      <c r="BN291" s="304">
        <f t="shared" si="279"/>
        <v>9.1649999999999991</v>
      </c>
      <c r="BO291" s="306">
        <f t="shared" si="280"/>
        <v>1451.7624504222229</v>
      </c>
      <c r="BP291" s="306"/>
    </row>
    <row r="292" spans="1:68">
      <c r="A292" s="299">
        <f t="shared" si="226"/>
        <v>4</v>
      </c>
      <c r="B292" s="300">
        <f t="shared" si="227"/>
        <v>38257</v>
      </c>
      <c r="C292" s="301" t="e">
        <f t="shared" si="259"/>
        <v>#N/A</v>
      </c>
      <c r="D292" s="301" t="e">
        <f t="shared" si="228"/>
        <v>#N/A</v>
      </c>
      <c r="E292" s="299">
        <f t="shared" si="229"/>
        <v>271</v>
      </c>
      <c r="F292" s="396">
        <f>Weather!M276</f>
        <v>0</v>
      </c>
      <c r="G292" s="301">
        <f>IF(Weather!C276="","",Weather!C276)</f>
        <v>1.5234543158137093</v>
      </c>
      <c r="H292" s="301">
        <f>IF(Weather!D276="","",Weather!D276)</f>
        <v>2.090242492287</v>
      </c>
      <c r="I292" s="502">
        <f>IF(Weather!E276="","",Weather!E276)</f>
        <v>2.090242492287</v>
      </c>
      <c r="J292" s="397">
        <f>IF(RnSplint!N320&lt;0,0,RnSplint!N320)</f>
        <v>9.5679582670112833</v>
      </c>
      <c r="K292" s="302">
        <f t="shared" si="260"/>
        <v>0.63214285714285934</v>
      </c>
      <c r="L292" s="303">
        <f t="shared" si="261"/>
        <v>38257</v>
      </c>
      <c r="M292" s="346" t="str">
        <f t="shared" si="230"/>
        <v/>
      </c>
      <c r="N292" s="304">
        <f t="shared" si="262"/>
        <v>0.63214285714285934</v>
      </c>
      <c r="O292" s="304">
        <f t="shared" si="263"/>
        <v>0</v>
      </c>
      <c r="P292" s="304">
        <f t="shared" si="231"/>
        <v>0.63214285714285934</v>
      </c>
      <c r="Q292" s="304">
        <f t="shared" si="232"/>
        <v>0.49662190218803759</v>
      </c>
      <c r="R292" s="304">
        <f t="shared" si="233"/>
        <v>0.63214285714285934</v>
      </c>
      <c r="S292" s="305">
        <f t="shared" si="264"/>
        <v>0.63214285714285934</v>
      </c>
      <c r="T292" s="304">
        <f t="shared" si="234"/>
        <v>0.17583971472278193</v>
      </c>
      <c r="U292" s="304">
        <f t="shared" si="278"/>
        <v>0.63214285714285934</v>
      </c>
      <c r="V292" s="305">
        <f t="shared" si="235"/>
        <v>0.63214285714285934</v>
      </c>
      <c r="W292" s="305">
        <f t="shared" si="265"/>
        <v>0.63214285714285934</v>
      </c>
      <c r="X292" s="304">
        <f t="shared" si="266"/>
        <v>0.63214285714285934</v>
      </c>
      <c r="Z292" s="304" t="str">
        <f t="shared" si="236"/>
        <v/>
      </c>
      <c r="AA292" s="305">
        <f t="shared" si="237"/>
        <v>0.63214285714285934</v>
      </c>
      <c r="AB292" s="304">
        <f t="shared" si="238"/>
        <v>1.3213318611957152</v>
      </c>
      <c r="AC292" s="304">
        <f t="shared" si="267"/>
        <v>0.63214285714285934</v>
      </c>
      <c r="AD292" s="306">
        <f t="shared" si="239"/>
        <v>488.81134079811636</v>
      </c>
      <c r="AE292" s="307">
        <f t="shared" si="268"/>
        <v>1.3213318611957152</v>
      </c>
      <c r="AF292" s="308">
        <f t="shared" si="240"/>
        <v>488.81134079811636</v>
      </c>
      <c r="AG292" s="306">
        <f t="shared" si="269"/>
        <v>630.0095569824814</v>
      </c>
      <c r="AH292" s="306">
        <f t="shared" si="241"/>
        <v>0</v>
      </c>
      <c r="AI292" s="306">
        <f t="shared" si="270"/>
        <v>0</v>
      </c>
      <c r="AJ292" s="306">
        <f t="shared" si="271"/>
        <v>2.090242492287</v>
      </c>
      <c r="AK292" s="306">
        <f t="shared" si="242"/>
        <v>0</v>
      </c>
      <c r="AL292" s="306">
        <f t="shared" si="272"/>
        <v>0</v>
      </c>
      <c r="AM292" s="306">
        <f t="shared" si="243"/>
        <v>1.3213318611957152</v>
      </c>
      <c r="AN292" s="304">
        <f>KcSplint!$N321</f>
        <v>0.87663807963556739</v>
      </c>
      <c r="AO292" s="304">
        <f t="shared" si="244"/>
        <v>0.76688189287832809</v>
      </c>
      <c r="AP292" s="304">
        <f t="shared" si="273"/>
        <v>0.76688189287832809</v>
      </c>
      <c r="AQ292" s="305">
        <f t="shared" si="274"/>
        <v>0.76688189287832809</v>
      </c>
      <c r="AR292" s="304">
        <f t="shared" si="275"/>
        <v>1.6029691190597686</v>
      </c>
      <c r="AS292" s="306">
        <f t="shared" si="245"/>
        <v>526.96683100431233</v>
      </c>
      <c r="AT292" s="307">
        <f t="shared" si="276"/>
        <v>1.6029691190597686</v>
      </c>
      <c r="AU292" s="307">
        <f t="shared" si="277"/>
        <v>526.96683100431233</v>
      </c>
      <c r="AV292" s="304">
        <f t="shared" si="246"/>
        <v>2.090242492287</v>
      </c>
      <c r="AW292" s="309">
        <f t="shared" si="247"/>
        <v>27.09135286241974</v>
      </c>
      <c r="AX292" s="306">
        <f>IF(ISERROR(Weather!M276),#N/A,Weather!M276)</f>
        <v>0</v>
      </c>
      <c r="AY292" s="310">
        <f t="shared" si="248"/>
        <v>16</v>
      </c>
      <c r="AZ292" s="309">
        <f t="shared" si="249"/>
        <v>0.49662190218803759</v>
      </c>
      <c r="BA292" s="309">
        <f t="shared" si="250"/>
        <v>202.62132337237733</v>
      </c>
      <c r="BB292" s="311">
        <f>Irrig!H294</f>
        <v>0</v>
      </c>
      <c r="BC292" s="310">
        <f t="shared" si="251"/>
        <v>66</v>
      </c>
      <c r="BD292" s="309">
        <f t="shared" si="252"/>
        <v>0.17583971472278193</v>
      </c>
      <c r="BE292" s="309">
        <f t="shared" si="253"/>
        <v>0.17583971472278193</v>
      </c>
      <c r="BF292" s="306">
        <f>DailyMet!H275</f>
        <v>21.5</v>
      </c>
      <c r="BG292" s="306">
        <f>DailyMet!I275</f>
        <v>15.1</v>
      </c>
      <c r="BH292" s="306">
        <f t="shared" si="254"/>
        <v>21.5</v>
      </c>
      <c r="BI292" s="306">
        <f t="shared" si="255"/>
        <v>15.1</v>
      </c>
      <c r="BJ292" s="306">
        <f t="shared" si="256"/>
        <v>8.3000000000000007</v>
      </c>
      <c r="BK292" s="306">
        <f t="shared" si="225"/>
        <v>1476.8700000000001</v>
      </c>
      <c r="BL292" s="304">
        <f t="shared" si="257"/>
        <v>0</v>
      </c>
      <c r="BM292" s="304">
        <f t="shared" si="258"/>
        <v>8.3000000000000007</v>
      </c>
      <c r="BN292" s="304">
        <f t="shared" si="279"/>
        <v>8.3000000000000007</v>
      </c>
      <c r="BO292" s="306">
        <f t="shared" si="280"/>
        <v>1460.0624504222228</v>
      </c>
      <c r="BP292" s="306"/>
    </row>
    <row r="293" spans="1:68">
      <c r="A293" s="299">
        <f t="shared" si="226"/>
        <v>4</v>
      </c>
      <c r="B293" s="300">
        <f t="shared" si="227"/>
        <v>38258</v>
      </c>
      <c r="C293" s="301" t="e">
        <f t="shared" si="259"/>
        <v>#N/A</v>
      </c>
      <c r="D293" s="301" t="e">
        <f t="shared" si="228"/>
        <v>#N/A</v>
      </c>
      <c r="E293" s="299">
        <f t="shared" si="229"/>
        <v>272</v>
      </c>
      <c r="F293" s="396">
        <f>Weather!M277</f>
        <v>0.2</v>
      </c>
      <c r="G293" s="301">
        <f>IF(Weather!C277="","",Weather!C277)</f>
        <v>1.4888629645613567</v>
      </c>
      <c r="H293" s="301">
        <f>IF(Weather!D277="","",Weather!D277)</f>
        <v>1.7635447241882989</v>
      </c>
      <c r="I293" s="502">
        <f>IF(Weather!E277="","",Weather!E277)</f>
        <v>1.7635447241882989</v>
      </c>
      <c r="J293" s="397">
        <f>IF(RnSplint!N321&lt;0,0,RnSplint!N321)</f>
        <v>9.2547656339906652</v>
      </c>
      <c r="K293" s="302">
        <f t="shared" si="260"/>
        <v>0.62142857142857366</v>
      </c>
      <c r="L293" s="303">
        <f t="shared" si="261"/>
        <v>38258</v>
      </c>
      <c r="M293" s="346" t="str">
        <f t="shared" si="230"/>
        <v/>
      </c>
      <c r="N293" s="304">
        <f t="shared" si="262"/>
        <v>0.62142857142857366</v>
      </c>
      <c r="O293" s="304">
        <f t="shared" si="263"/>
        <v>0</v>
      </c>
      <c r="P293" s="304">
        <f t="shared" si="231"/>
        <v>0.62142857142857366</v>
      </c>
      <c r="Q293" s="304">
        <f t="shared" si="232"/>
        <v>0.48072114497640106</v>
      </c>
      <c r="R293" s="304">
        <f t="shared" si="233"/>
        <v>0.62142857142857366</v>
      </c>
      <c r="S293" s="305">
        <f t="shared" si="264"/>
        <v>0.62142857142857366</v>
      </c>
      <c r="T293" s="304">
        <f t="shared" si="234"/>
        <v>0.17505517632699322</v>
      </c>
      <c r="U293" s="304">
        <f t="shared" si="278"/>
        <v>0.62142857142857366</v>
      </c>
      <c r="V293" s="305">
        <f t="shared" si="235"/>
        <v>0.62142857142857366</v>
      </c>
      <c r="W293" s="305">
        <f t="shared" si="265"/>
        <v>0.62142857142857366</v>
      </c>
      <c r="X293" s="304">
        <f t="shared" si="266"/>
        <v>0.62142857142857366</v>
      </c>
      <c r="Z293" s="304" t="str">
        <f t="shared" si="236"/>
        <v/>
      </c>
      <c r="AA293" s="305">
        <f t="shared" si="237"/>
        <v>0.62142857142857366</v>
      </c>
      <c r="AB293" s="304">
        <f t="shared" si="238"/>
        <v>1.0959170786027326</v>
      </c>
      <c r="AC293" s="304">
        <f t="shared" si="267"/>
        <v>0.62142857142857366</v>
      </c>
      <c r="AD293" s="306">
        <f t="shared" si="239"/>
        <v>489.90725787671909</v>
      </c>
      <c r="AE293" s="307">
        <f t="shared" si="268"/>
        <v>1.0959170786027326</v>
      </c>
      <c r="AF293" s="308">
        <f t="shared" si="240"/>
        <v>489.90725787671909</v>
      </c>
      <c r="AG293" s="306">
        <f t="shared" si="269"/>
        <v>631.77310170666965</v>
      </c>
      <c r="AH293" s="306">
        <f t="shared" si="241"/>
        <v>0</v>
      </c>
      <c r="AI293" s="306">
        <f t="shared" si="270"/>
        <v>0</v>
      </c>
      <c r="AJ293" s="306">
        <f t="shared" si="271"/>
        <v>1.7635447241882989</v>
      </c>
      <c r="AK293" s="306">
        <f t="shared" si="242"/>
        <v>0</v>
      </c>
      <c r="AL293" s="306">
        <f t="shared" si="272"/>
        <v>0</v>
      </c>
      <c r="AM293" s="306">
        <f t="shared" si="243"/>
        <v>1.0959170786027326</v>
      </c>
      <c r="AN293" s="304">
        <f>KcSplint!$N322</f>
        <v>0.87980003747651536</v>
      </c>
      <c r="AO293" s="304">
        <f t="shared" si="244"/>
        <v>0.75949128954084721</v>
      </c>
      <c r="AP293" s="304">
        <f t="shared" si="273"/>
        <v>0.75949128954084721</v>
      </c>
      <c r="AQ293" s="305">
        <f t="shared" si="274"/>
        <v>0.75949128954084721</v>
      </c>
      <c r="AR293" s="304">
        <f t="shared" si="275"/>
        <v>1.3393968567367289</v>
      </c>
      <c r="AS293" s="306">
        <f t="shared" si="245"/>
        <v>528.30622786104902</v>
      </c>
      <c r="AT293" s="307">
        <f t="shared" si="276"/>
        <v>1.3393968567367289</v>
      </c>
      <c r="AU293" s="307">
        <f t="shared" si="277"/>
        <v>528.30622786104902</v>
      </c>
      <c r="AV293" s="304">
        <f t="shared" si="246"/>
        <v>1.7635447241882989</v>
      </c>
      <c r="AW293" s="309">
        <f t="shared" si="247"/>
        <v>28.85489758660804</v>
      </c>
      <c r="AX293" s="306">
        <f>IF(ISERROR(Weather!M277),#N/A,Weather!M277)</f>
        <v>0.2</v>
      </c>
      <c r="AY293" s="310">
        <f t="shared" si="248"/>
        <v>17</v>
      </c>
      <c r="AZ293" s="309">
        <f t="shared" si="249"/>
        <v>0.48072114497640106</v>
      </c>
      <c r="BA293" s="309">
        <f t="shared" si="250"/>
        <v>204.38486809656564</v>
      </c>
      <c r="BB293" s="311">
        <f>Irrig!H295</f>
        <v>0</v>
      </c>
      <c r="BC293" s="310">
        <f t="shared" si="251"/>
        <v>67</v>
      </c>
      <c r="BD293" s="309">
        <f t="shared" si="252"/>
        <v>0.17505517632699322</v>
      </c>
      <c r="BE293" s="309">
        <f t="shared" si="253"/>
        <v>0.17505517632699322</v>
      </c>
      <c r="BF293" s="306">
        <f>DailyMet!H276</f>
        <v>19.100000000000001</v>
      </c>
      <c r="BG293" s="306">
        <f>DailyMet!I276</f>
        <v>13.2</v>
      </c>
      <c r="BH293" s="306">
        <f t="shared" si="254"/>
        <v>19.100000000000001</v>
      </c>
      <c r="BI293" s="306">
        <f t="shared" si="255"/>
        <v>13.2</v>
      </c>
      <c r="BJ293" s="306">
        <f t="shared" si="256"/>
        <v>6.1499999999999986</v>
      </c>
      <c r="BK293" s="306">
        <f t="shared" si="225"/>
        <v>1483.0200000000002</v>
      </c>
      <c r="BL293" s="304">
        <f t="shared" si="257"/>
        <v>0</v>
      </c>
      <c r="BM293" s="304">
        <f t="shared" si="258"/>
        <v>6.1499999999999986</v>
      </c>
      <c r="BN293" s="304">
        <f t="shared" si="279"/>
        <v>6.1499999999999986</v>
      </c>
      <c r="BO293" s="306">
        <f t="shared" si="280"/>
        <v>1466.2124504222229</v>
      </c>
      <c r="BP293" s="306"/>
    </row>
    <row r="294" spans="1:68">
      <c r="A294" s="299">
        <f t="shared" si="226"/>
        <v>4</v>
      </c>
      <c r="B294" s="300">
        <f t="shared" si="227"/>
        <v>38259</v>
      </c>
      <c r="C294" s="301" t="e">
        <f t="shared" si="259"/>
        <v>#N/A</v>
      </c>
      <c r="D294" s="301" t="e">
        <f t="shared" si="228"/>
        <v>#N/A</v>
      </c>
      <c r="E294" s="299">
        <f t="shared" si="229"/>
        <v>273</v>
      </c>
      <c r="F294" s="396">
        <f>Weather!M278</f>
        <v>2.6</v>
      </c>
      <c r="G294" s="301">
        <f>IF(Weather!C278="","",Weather!C278)</f>
        <v>1.4551954523841502</v>
      </c>
      <c r="H294" s="301">
        <f>IF(Weather!D278="","",Weather!D278)</f>
        <v>1.5355098261541054</v>
      </c>
      <c r="I294" s="502">
        <f>IF(Weather!E278="","",Weather!E278)</f>
        <v>1.5355098261541054</v>
      </c>
      <c r="J294" s="397">
        <f>IF(RnSplint!N322&lt;0,0,RnSplint!N322)</f>
        <v>8.9710774578694217</v>
      </c>
      <c r="K294" s="302">
        <f t="shared" si="260"/>
        <v>0.61071428571428799</v>
      </c>
      <c r="L294" s="303">
        <f t="shared" si="261"/>
        <v>38259</v>
      </c>
      <c r="M294" s="346" t="str">
        <f t="shared" si="230"/>
        <v/>
      </c>
      <c r="N294" s="304">
        <f t="shared" si="262"/>
        <v>0.61071428571428799</v>
      </c>
      <c r="O294" s="304">
        <f t="shared" si="263"/>
        <v>0</v>
      </c>
      <c r="P294" s="304">
        <f t="shared" si="231"/>
        <v>0.61071428571428799</v>
      </c>
      <c r="Q294" s="304">
        <f t="shared" si="232"/>
        <v>0.46803082933592427</v>
      </c>
      <c r="R294" s="304">
        <f t="shared" si="233"/>
        <v>0.61071428571428799</v>
      </c>
      <c r="S294" s="305">
        <f t="shared" si="264"/>
        <v>0.61071428571428799</v>
      </c>
      <c r="T294" s="304">
        <f t="shared" si="234"/>
        <v>0.17438039379650791</v>
      </c>
      <c r="U294" s="304">
        <f t="shared" si="278"/>
        <v>0.61071428571428799</v>
      </c>
      <c r="V294" s="305">
        <f t="shared" si="235"/>
        <v>0.61071428571428799</v>
      </c>
      <c r="W294" s="305">
        <f t="shared" si="265"/>
        <v>0.61071428571428799</v>
      </c>
      <c r="X294" s="304">
        <f t="shared" si="266"/>
        <v>0.61071428571428799</v>
      </c>
      <c r="Y294" s="304">
        <f>AVERAGE(X265:X294)</f>
        <v>0.87844928270560485</v>
      </c>
      <c r="Z294" s="304" t="str">
        <f t="shared" si="236"/>
        <v/>
      </c>
      <c r="AA294" s="305">
        <f t="shared" si="237"/>
        <v>0.61071428571428799</v>
      </c>
      <c r="AB294" s="304">
        <f t="shared" si="238"/>
        <v>0.93775778668697496</v>
      </c>
      <c r="AC294" s="304">
        <f t="shared" si="267"/>
        <v>0.61071428571428799</v>
      </c>
      <c r="AD294" s="306">
        <f t="shared" si="239"/>
        <v>490.84501566340606</v>
      </c>
      <c r="AE294" s="307">
        <f t="shared" si="268"/>
        <v>0.93775778668697496</v>
      </c>
      <c r="AF294" s="308">
        <f t="shared" si="240"/>
        <v>490.84501566340606</v>
      </c>
      <c r="AG294" s="306">
        <f t="shared" si="269"/>
        <v>633.30861153282376</v>
      </c>
      <c r="AH294" s="306">
        <f t="shared" si="241"/>
        <v>0</v>
      </c>
      <c r="AI294" s="306">
        <f t="shared" si="270"/>
        <v>0</v>
      </c>
      <c r="AJ294" s="306">
        <f t="shared" si="271"/>
        <v>1.5355098261541054</v>
      </c>
      <c r="AK294" s="306">
        <f t="shared" si="242"/>
        <v>0</v>
      </c>
      <c r="AL294" s="306">
        <f t="shared" si="272"/>
        <v>0</v>
      </c>
      <c r="AM294" s="306">
        <f t="shared" si="243"/>
        <v>0.93775778668697496</v>
      </c>
      <c r="AN294" s="304">
        <f>KcSplint!$N323</f>
        <v>0.88327825167768004</v>
      </c>
      <c r="AO294" s="304">
        <f t="shared" si="244"/>
        <v>0.75210068620336634</v>
      </c>
      <c r="AP294" s="304">
        <f t="shared" si="273"/>
        <v>0.75210068620336634</v>
      </c>
      <c r="AQ294" s="305">
        <f t="shared" si="274"/>
        <v>0.75210068620336634</v>
      </c>
      <c r="AR294" s="304">
        <f t="shared" si="275"/>
        <v>1.1548579939225143</v>
      </c>
      <c r="AS294" s="306">
        <f t="shared" si="245"/>
        <v>529.46108585497154</v>
      </c>
      <c r="AT294" s="307">
        <f t="shared" si="276"/>
        <v>1.1548579939225143</v>
      </c>
      <c r="AU294" s="307">
        <f t="shared" si="277"/>
        <v>529.46108585497154</v>
      </c>
      <c r="AV294" s="304">
        <f t="shared" si="246"/>
        <v>1.5355098261541054</v>
      </c>
      <c r="AW294" s="309">
        <f t="shared" si="247"/>
        <v>30.390407412762144</v>
      </c>
      <c r="AX294" s="306">
        <f>IF(ISERROR(Weather!M278),#N/A,Weather!M278)</f>
        <v>2.6</v>
      </c>
      <c r="AY294" s="310">
        <f t="shared" si="248"/>
        <v>18</v>
      </c>
      <c r="AZ294" s="309">
        <f t="shared" si="249"/>
        <v>0.46803082933592427</v>
      </c>
      <c r="BA294" s="309">
        <f t="shared" si="250"/>
        <v>205.92037792271975</v>
      </c>
      <c r="BB294" s="311">
        <f>Irrig!H296</f>
        <v>0</v>
      </c>
      <c r="BC294" s="310">
        <f t="shared" si="251"/>
        <v>68</v>
      </c>
      <c r="BD294" s="309">
        <f t="shared" si="252"/>
        <v>0.17438039379650791</v>
      </c>
      <c r="BE294" s="309">
        <f t="shared" si="253"/>
        <v>0.17438039379650791</v>
      </c>
      <c r="BF294" s="306">
        <f>DailyMet!H277</f>
        <v>17.829999999999998</v>
      </c>
      <c r="BG294" s="306">
        <f>DailyMet!I277</f>
        <v>16.3</v>
      </c>
      <c r="BH294" s="306">
        <f t="shared" si="254"/>
        <v>17.829999999999998</v>
      </c>
      <c r="BI294" s="306">
        <f t="shared" si="255"/>
        <v>16.3</v>
      </c>
      <c r="BJ294" s="306">
        <f t="shared" si="256"/>
        <v>7.0649999999999977</v>
      </c>
      <c r="BK294" s="306">
        <f t="shared" si="225"/>
        <v>1490.0850000000003</v>
      </c>
      <c r="BL294" s="304">
        <f t="shared" si="257"/>
        <v>0</v>
      </c>
      <c r="BM294" s="304">
        <f t="shared" si="258"/>
        <v>7.0649999999999977</v>
      </c>
      <c r="BN294" s="304">
        <f t="shared" si="279"/>
        <v>7.0649999999999977</v>
      </c>
      <c r="BO294" s="306">
        <f t="shared" si="280"/>
        <v>1473.277450422223</v>
      </c>
      <c r="BP294" s="306"/>
    </row>
    <row r="295" spans="1:68">
      <c r="A295" s="299">
        <f t="shared" si="226"/>
        <v>4</v>
      </c>
      <c r="B295" s="300">
        <f t="shared" si="227"/>
        <v>38260</v>
      </c>
      <c r="C295" s="301">
        <f t="shared" si="259"/>
        <v>0.6</v>
      </c>
      <c r="D295" s="301">
        <f t="shared" si="228"/>
        <v>0.46206968344766386</v>
      </c>
      <c r="E295" s="299">
        <f t="shared" si="229"/>
        <v>274</v>
      </c>
      <c r="F295" s="396">
        <f>Weather!M279</f>
        <v>0</v>
      </c>
      <c r="G295" s="301">
        <f>IF(Weather!C279="","",Weather!C279)</f>
        <v>1.4224173216764409</v>
      </c>
      <c r="H295" s="301">
        <f>IF(Weather!D279="","",Weather!D279)</f>
        <v>0.76441317371540662</v>
      </c>
      <c r="I295" s="502">
        <f>IF(Weather!E279="","",Weather!E279)</f>
        <v>0.76441317371540662</v>
      </c>
      <c r="J295" s="397">
        <f>IF(RnSplint!N323&lt;0,0,RnSplint!N323)</f>
        <v>8.7186179625525391</v>
      </c>
      <c r="K295" s="302">
        <f t="shared" si="260"/>
        <v>0.60000000000000231</v>
      </c>
      <c r="L295" s="303">
        <f t="shared" si="261"/>
        <v>38260</v>
      </c>
      <c r="M295" s="346">
        <f t="shared" si="230"/>
        <v>9</v>
      </c>
      <c r="N295" s="304">
        <f t="shared" si="262"/>
        <v>0.60000000000000231</v>
      </c>
      <c r="O295" s="304">
        <f t="shared" si="263"/>
        <v>0</v>
      </c>
      <c r="P295" s="304">
        <f t="shared" si="231"/>
        <v>0.60000000000000231</v>
      </c>
      <c r="Q295" s="304">
        <f t="shared" si="232"/>
        <v>0.46206968344766386</v>
      </c>
      <c r="R295" s="304">
        <f t="shared" si="233"/>
        <v>0.60000000000000231</v>
      </c>
      <c r="S295" s="305">
        <f t="shared" si="264"/>
        <v>0.60000000000000231</v>
      </c>
      <c r="T295" s="304">
        <f t="shared" si="234"/>
        <v>0.17404730790246459</v>
      </c>
      <c r="U295" s="304">
        <f t="shared" si="278"/>
        <v>0.60000000000000231</v>
      </c>
      <c r="V295" s="305">
        <f t="shared" si="235"/>
        <v>0.60000000000000231</v>
      </c>
      <c r="W295" s="305">
        <f t="shared" si="265"/>
        <v>0.60000000000000231</v>
      </c>
      <c r="X295" s="304">
        <f t="shared" si="266"/>
        <v>0.60000000000000231</v>
      </c>
      <c r="Y295" s="304">
        <f>AVERAGE(X266:X295)</f>
        <v>0.86773499699131917</v>
      </c>
      <c r="Z295" s="304" t="str">
        <f t="shared" si="236"/>
        <v/>
      </c>
      <c r="AA295" s="305">
        <f t="shared" si="237"/>
        <v>0.60000000000000231</v>
      </c>
      <c r="AB295" s="304">
        <f t="shared" si="238"/>
        <v>0.45864790422924573</v>
      </c>
      <c r="AC295" s="304">
        <f t="shared" si="267"/>
        <v>0.60000000000000231</v>
      </c>
      <c r="AD295" s="306">
        <f t="shared" si="239"/>
        <v>491.30366356763528</v>
      </c>
      <c r="AE295" s="307">
        <f t="shared" si="268"/>
        <v>0.45864790422924573</v>
      </c>
      <c r="AF295" s="308">
        <f t="shared" si="240"/>
        <v>491.30366356763528</v>
      </c>
      <c r="AG295" s="306">
        <f t="shared" si="269"/>
        <v>634.07302470653917</v>
      </c>
      <c r="AH295" s="306">
        <f t="shared" si="241"/>
        <v>0</v>
      </c>
      <c r="AI295" s="306">
        <f t="shared" si="270"/>
        <v>0</v>
      </c>
      <c r="AJ295" s="306">
        <f t="shared" si="271"/>
        <v>0.76441317371540662</v>
      </c>
      <c r="AK295" s="306">
        <f t="shared" si="242"/>
        <v>0</v>
      </c>
      <c r="AL295" s="306">
        <f t="shared" si="272"/>
        <v>0</v>
      </c>
      <c r="AM295" s="306">
        <f t="shared" si="243"/>
        <v>0.45864790422924573</v>
      </c>
      <c r="AN295" s="304">
        <f>KcSplint!$N324</f>
        <v>0.88706519907310843</v>
      </c>
      <c r="AO295" s="304">
        <f t="shared" si="244"/>
        <v>0.74471008286588547</v>
      </c>
      <c r="AP295" s="304">
        <f t="shared" si="273"/>
        <v>0.74471008286588547</v>
      </c>
      <c r="AQ295" s="305">
        <f t="shared" si="274"/>
        <v>0.74471008286588547</v>
      </c>
      <c r="AR295" s="304">
        <f t="shared" si="275"/>
        <v>0.56926619794137501</v>
      </c>
      <c r="AS295" s="306">
        <f t="shared" si="245"/>
        <v>530.03035205291292</v>
      </c>
      <c r="AT295" s="307">
        <f t="shared" si="276"/>
        <v>0.56926619794137501</v>
      </c>
      <c r="AU295" s="307">
        <f t="shared" si="277"/>
        <v>530.03035205291292</v>
      </c>
      <c r="AV295" s="304">
        <f t="shared" si="246"/>
        <v>0.76441317371540662</v>
      </c>
      <c r="AW295" s="309">
        <f t="shared" si="247"/>
        <v>31.154820586477552</v>
      </c>
      <c r="AX295" s="306">
        <f>IF(ISERROR(Weather!M279),#N/A,Weather!M279)</f>
        <v>0</v>
      </c>
      <c r="AY295" s="310">
        <f t="shared" si="248"/>
        <v>19</v>
      </c>
      <c r="AZ295" s="309">
        <f t="shared" si="249"/>
        <v>0.46206968344766386</v>
      </c>
      <c r="BA295" s="309">
        <f t="shared" si="250"/>
        <v>206.68479109643516</v>
      </c>
      <c r="BB295" s="311">
        <f>Irrig!H297</f>
        <v>0</v>
      </c>
      <c r="BC295" s="310">
        <f t="shared" si="251"/>
        <v>69</v>
      </c>
      <c r="BD295" s="309">
        <f t="shared" si="252"/>
        <v>0.17404730790246459</v>
      </c>
      <c r="BE295" s="309">
        <f t="shared" si="253"/>
        <v>0.17404730790246459</v>
      </c>
      <c r="BF295" s="306">
        <f>DailyMet!H278</f>
        <v>19.03</v>
      </c>
      <c r="BG295" s="306">
        <f>DailyMet!I278</f>
        <v>16</v>
      </c>
      <c r="BH295" s="306">
        <f t="shared" si="254"/>
        <v>19.03</v>
      </c>
      <c r="BI295" s="306">
        <f t="shared" si="255"/>
        <v>16</v>
      </c>
      <c r="BJ295" s="306">
        <f t="shared" si="256"/>
        <v>7.5150000000000006</v>
      </c>
      <c r="BK295" s="306">
        <f t="shared" si="225"/>
        <v>1497.6000000000004</v>
      </c>
      <c r="BL295" s="304">
        <f t="shared" si="257"/>
        <v>0</v>
      </c>
      <c r="BM295" s="304">
        <f t="shared" si="258"/>
        <v>7.5150000000000006</v>
      </c>
      <c r="BN295" s="304">
        <f t="shared" si="279"/>
        <v>7.5150000000000006</v>
      </c>
      <c r="BO295" s="306">
        <f t="shared" si="280"/>
        <v>1480.7924504222231</v>
      </c>
      <c r="BP295" s="306"/>
    </row>
    <row r="296" spans="1:68">
      <c r="A296" s="299">
        <f t="shared" si="226"/>
        <v>0</v>
      </c>
      <c r="B296" s="300">
        <f t="shared" si="227"/>
        <v>38261</v>
      </c>
      <c r="C296" s="301" t="e">
        <f t="shared" si="259"/>
        <v>#N/A</v>
      </c>
      <c r="D296" s="301" t="e">
        <f t="shared" si="228"/>
        <v>#N/A</v>
      </c>
      <c r="E296" s="299">
        <f t="shared" si="229"/>
        <v>275</v>
      </c>
      <c r="F296" s="396">
        <f>Weather!M280</f>
        <v>0</v>
      </c>
      <c r="G296" s="301">
        <f>IF(Weather!C280="","",Weather!C280)</f>
        <v>1.3904941148325791</v>
      </c>
      <c r="H296" s="301">
        <f>IF(Weather!D280="","",Weather!D280)</f>
        <v>1.2283871496208394</v>
      </c>
      <c r="I296" s="502">
        <f>IF(Weather!E280="","",Weather!E280)</f>
        <v>1.2283871496208394</v>
      </c>
      <c r="J296" s="397">
        <f>IF(RnSplint!N324&lt;0,0,RnSplint!N324)</f>
        <v>8.4991113719449842</v>
      </c>
      <c r="K296" s="302">
        <f t="shared" si="260"/>
        <v>0</v>
      </c>
      <c r="L296" s="303">
        <f t="shared" si="261"/>
        <v>38261</v>
      </c>
      <c r="M296" s="346" t="str">
        <f t="shared" si="230"/>
        <v/>
      </c>
      <c r="N296" s="304">
        <f t="shared" si="262"/>
        <v>0</v>
      </c>
      <c r="O296" s="304">
        <f t="shared" si="263"/>
        <v>0</v>
      </c>
      <c r="P296" s="304">
        <f t="shared" si="231"/>
        <v>0</v>
      </c>
      <c r="Q296" s="304">
        <f t="shared" si="232"/>
        <v>0.45294081358569399</v>
      </c>
      <c r="R296" s="304">
        <f t="shared" si="233"/>
        <v>0.45294081358569399</v>
      </c>
      <c r="S296" s="305" t="e">
        <f t="shared" si="264"/>
        <v>#N/A</v>
      </c>
      <c r="T296" s="304">
        <f t="shared" si="234"/>
        <v>0</v>
      </c>
      <c r="U296" s="304">
        <f t="shared" si="278"/>
        <v>0</v>
      </c>
      <c r="V296" s="305" t="e">
        <f t="shared" si="235"/>
        <v>#N/A</v>
      </c>
      <c r="W296" s="305" t="e">
        <f t="shared" si="265"/>
        <v>#N/A</v>
      </c>
      <c r="X296" s="304">
        <f t="shared" si="266"/>
        <v>0.45294081358569399</v>
      </c>
      <c r="Z296" s="304" t="str">
        <f t="shared" si="236"/>
        <v/>
      </c>
      <c r="AA296" s="305" t="e">
        <f t="shared" si="237"/>
        <v>#N/A</v>
      </c>
      <c r="AB296" s="304">
        <f t="shared" si="238"/>
        <v>0.55638667494747462</v>
      </c>
      <c r="AC296" s="304" t="str">
        <f t="shared" si="267"/>
        <v/>
      </c>
      <c r="AD296" s="306">
        <f t="shared" si="239"/>
        <v>0</v>
      </c>
      <c r="AE296" s="307">
        <f t="shared" si="268"/>
        <v>0.55638667494747462</v>
      </c>
      <c r="AF296" s="308" t="e">
        <f t="shared" si="240"/>
        <v>#N/A</v>
      </c>
      <c r="AG296" s="306">
        <f t="shared" si="269"/>
        <v>635.30141185616003</v>
      </c>
      <c r="AH296" s="306">
        <f t="shared" si="241"/>
        <v>0</v>
      </c>
      <c r="AI296" s="306">
        <f t="shared" si="270"/>
        <v>0</v>
      </c>
      <c r="AJ296" s="306">
        <f t="shared" si="271"/>
        <v>0</v>
      </c>
      <c r="AK296" s="306">
        <f t="shared" si="242"/>
        <v>0</v>
      </c>
      <c r="AL296" s="306">
        <f t="shared" si="272"/>
        <v>0</v>
      </c>
      <c r="AM296" s="306">
        <f t="shared" si="243"/>
        <v>0</v>
      </c>
      <c r="AN296" s="304">
        <f>KcSplint!$N325</f>
        <v>0.89115335649684835</v>
      </c>
      <c r="AO296" s="304" t="str">
        <f t="shared" si="244"/>
        <v/>
      </c>
      <c r="AP296" s="304" t="str">
        <f t="shared" si="273"/>
        <v/>
      </c>
      <c r="AQ296" s="305" t="e">
        <f t="shared" si="274"/>
        <v>#N/A</v>
      </c>
      <c r="AR296" s="304" t="str">
        <f t="shared" si="275"/>
        <v/>
      </c>
      <c r="AS296" s="306">
        <f t="shared" si="245"/>
        <v>0</v>
      </c>
      <c r="AT296" s="307" t="e">
        <f t="shared" si="276"/>
        <v>#N/A</v>
      </c>
      <c r="AU296" s="307" t="e">
        <f t="shared" si="277"/>
        <v>#N/A</v>
      </c>
      <c r="AV296" s="304">
        <f t="shared" si="246"/>
        <v>1.2283871496208394</v>
      </c>
      <c r="AW296" s="309">
        <f t="shared" si="247"/>
        <v>32.383207736098392</v>
      </c>
      <c r="AX296" s="306">
        <f>IF(ISERROR(Weather!M280),#N/A,Weather!M280)</f>
        <v>0</v>
      </c>
      <c r="AY296" s="310">
        <f t="shared" si="248"/>
        <v>20</v>
      </c>
      <c r="AZ296" s="309">
        <f t="shared" si="249"/>
        <v>0.45294081358569399</v>
      </c>
      <c r="BA296" s="309">
        <f t="shared" si="250"/>
        <v>207.91317824605599</v>
      </c>
      <c r="BB296" s="311">
        <f>Irrig!H298</f>
        <v>0</v>
      </c>
      <c r="BC296" s="310">
        <f t="shared" si="251"/>
        <v>0</v>
      </c>
      <c r="BD296" s="309">
        <f t="shared" si="252"/>
        <v>0</v>
      </c>
      <c r="BE296" s="309">
        <f t="shared" si="253"/>
        <v>0</v>
      </c>
      <c r="BF296" s="306">
        <f>DailyMet!H279</f>
        <v>18.46</v>
      </c>
      <c r="BG296" s="306">
        <f>DailyMet!I279</f>
        <v>15.7</v>
      </c>
      <c r="BH296" s="306">
        <f t="shared" si="254"/>
        <v>18.46</v>
      </c>
      <c r="BI296" s="306">
        <f t="shared" si="255"/>
        <v>15.7</v>
      </c>
      <c r="BJ296" s="306">
        <f t="shared" si="256"/>
        <v>7.0799999999999983</v>
      </c>
      <c r="BK296" s="306">
        <f t="shared" si="225"/>
        <v>0</v>
      </c>
      <c r="BL296" s="304">
        <f t="shared" si="257"/>
        <v>0</v>
      </c>
      <c r="BM296" s="304">
        <f t="shared" si="258"/>
        <v>7.0799999999999983</v>
      </c>
      <c r="BN296" s="304">
        <f t="shared" si="279"/>
        <v>7.0799999999999983</v>
      </c>
      <c r="BO296" s="306">
        <f t="shared" si="280"/>
        <v>0</v>
      </c>
      <c r="BP296" s="306"/>
    </row>
    <row r="297" spans="1:68">
      <c r="A297" s="299">
        <f t="shared" si="226"/>
        <v>0</v>
      </c>
      <c r="B297" s="300">
        <f t="shared" si="227"/>
        <v>38262</v>
      </c>
      <c r="C297" s="301" t="e">
        <f t="shared" si="259"/>
        <v>#N/A</v>
      </c>
      <c r="D297" s="301" t="e">
        <f t="shared" si="228"/>
        <v>#N/A</v>
      </c>
      <c r="E297" s="299">
        <f t="shared" si="229"/>
        <v>276</v>
      </c>
      <c r="F297" s="396">
        <f>Weather!M281</f>
        <v>0.2</v>
      </c>
      <c r="G297" s="301">
        <f>IF(Weather!C281="","",Weather!C281)</f>
        <v>1.3593913742469157</v>
      </c>
      <c r="H297" s="301">
        <f>IF(Weather!D281="","",Weather!D281)</f>
        <v>1.0207438910208613</v>
      </c>
      <c r="I297" s="502">
        <f>IF(Weather!E281="","",Weather!E281)</f>
        <v>1.0207438910208613</v>
      </c>
      <c r="J297" s="397">
        <f>IF(RnSplint!N325&lt;0,0,RnSplint!N325)</f>
        <v>8.3142819099517329</v>
      </c>
      <c r="K297" s="302">
        <f t="shared" si="260"/>
        <v>0</v>
      </c>
      <c r="L297" s="303">
        <f t="shared" si="261"/>
        <v>38262</v>
      </c>
      <c r="M297" s="346" t="str">
        <f t="shared" si="230"/>
        <v/>
      </c>
      <c r="N297" s="304">
        <f t="shared" si="262"/>
        <v>0</v>
      </c>
      <c r="O297" s="304">
        <f t="shared" si="263"/>
        <v>0</v>
      </c>
      <c r="P297" s="304">
        <f t="shared" si="231"/>
        <v>0</v>
      </c>
      <c r="Q297" s="304">
        <f t="shared" si="232"/>
        <v>0.44574534661028165</v>
      </c>
      <c r="R297" s="304">
        <f t="shared" si="233"/>
        <v>0.44574534661028165</v>
      </c>
      <c r="S297" s="305" t="e">
        <f t="shared" si="264"/>
        <v>#N/A</v>
      </c>
      <c r="T297" s="304">
        <f t="shared" si="234"/>
        <v>0</v>
      </c>
      <c r="U297" s="304">
        <f t="shared" si="278"/>
        <v>0</v>
      </c>
      <c r="V297" s="305" t="e">
        <f t="shared" si="235"/>
        <v>#N/A</v>
      </c>
      <c r="W297" s="305" t="e">
        <f t="shared" si="265"/>
        <v>#N/A</v>
      </c>
      <c r="X297" s="304">
        <f t="shared" si="266"/>
        <v>0.44574534661028165</v>
      </c>
      <c r="Z297" s="304" t="str">
        <f t="shared" si="236"/>
        <v/>
      </c>
      <c r="AA297" s="305" t="e">
        <f t="shared" si="237"/>
        <v>#N/A</v>
      </c>
      <c r="AB297" s="304">
        <f t="shared" si="238"/>
        <v>0.45499183950342137</v>
      </c>
      <c r="AC297" s="304" t="str">
        <f t="shared" si="267"/>
        <v/>
      </c>
      <c r="AD297" s="306">
        <f t="shared" si="239"/>
        <v>0</v>
      </c>
      <c r="AE297" s="307">
        <f t="shared" si="268"/>
        <v>0.45499183950342137</v>
      </c>
      <c r="AF297" s="308" t="e">
        <f t="shared" si="240"/>
        <v>#N/A</v>
      </c>
      <c r="AG297" s="306">
        <f t="shared" si="269"/>
        <v>636.32215574718089</v>
      </c>
      <c r="AH297" s="306">
        <f t="shared" si="241"/>
        <v>0</v>
      </c>
      <c r="AI297" s="306">
        <f t="shared" si="270"/>
        <v>0</v>
      </c>
      <c r="AJ297" s="306">
        <f t="shared" si="271"/>
        <v>0</v>
      </c>
      <c r="AK297" s="306">
        <f t="shared" si="242"/>
        <v>0</v>
      </c>
      <c r="AL297" s="306">
        <f t="shared" si="272"/>
        <v>0</v>
      </c>
      <c r="AM297" s="306">
        <f t="shared" si="243"/>
        <v>0</v>
      </c>
      <c r="AN297" s="304">
        <f>KcSplint!$N326</f>
        <v>0.89553520078294746</v>
      </c>
      <c r="AO297" s="304" t="str">
        <f t="shared" si="244"/>
        <v/>
      </c>
      <c r="AP297" s="304" t="str">
        <f t="shared" si="273"/>
        <v/>
      </c>
      <c r="AQ297" s="305" t="e">
        <f t="shared" si="274"/>
        <v>#N/A</v>
      </c>
      <c r="AR297" s="304" t="str">
        <f t="shared" si="275"/>
        <v/>
      </c>
      <c r="AS297" s="306">
        <f t="shared" si="245"/>
        <v>0</v>
      </c>
      <c r="AT297" s="307" t="e">
        <f t="shared" si="276"/>
        <v>#N/A</v>
      </c>
      <c r="AU297" s="307" t="e">
        <f t="shared" si="277"/>
        <v>#N/A</v>
      </c>
      <c r="AV297" s="304">
        <f t="shared" si="246"/>
        <v>1.0207438910208613</v>
      </c>
      <c r="AW297" s="309">
        <f t="shared" si="247"/>
        <v>33.403951627119255</v>
      </c>
      <c r="AX297" s="306">
        <f>IF(ISERROR(Weather!M281),#N/A,Weather!M281)</f>
        <v>0.2</v>
      </c>
      <c r="AY297" s="310">
        <f t="shared" si="248"/>
        <v>21</v>
      </c>
      <c r="AZ297" s="309">
        <f t="shared" si="249"/>
        <v>0.44574534661028165</v>
      </c>
      <c r="BA297" s="309">
        <f t="shared" si="250"/>
        <v>208.93392213707685</v>
      </c>
      <c r="BB297" s="311">
        <f>Irrig!H299</f>
        <v>0</v>
      </c>
      <c r="BC297" s="310">
        <f t="shared" si="251"/>
        <v>0</v>
      </c>
      <c r="BD297" s="309">
        <f t="shared" si="252"/>
        <v>0</v>
      </c>
      <c r="BE297" s="309">
        <f t="shared" si="253"/>
        <v>0</v>
      </c>
      <c r="BF297" s="306">
        <f>DailyMet!H280</f>
        <v>19.010000000000002</v>
      </c>
      <c r="BG297" s="306">
        <f>DailyMet!I280</f>
        <v>15.8</v>
      </c>
      <c r="BH297" s="306">
        <f t="shared" si="254"/>
        <v>19.010000000000002</v>
      </c>
      <c r="BI297" s="306">
        <f t="shared" si="255"/>
        <v>15.8</v>
      </c>
      <c r="BJ297" s="306">
        <f t="shared" si="256"/>
        <v>7.4050000000000011</v>
      </c>
      <c r="BK297" s="306">
        <f t="shared" si="225"/>
        <v>0</v>
      </c>
      <c r="BL297" s="304">
        <f t="shared" si="257"/>
        <v>0</v>
      </c>
      <c r="BM297" s="304">
        <f t="shared" si="258"/>
        <v>7.4050000000000011</v>
      </c>
      <c r="BN297" s="304">
        <f t="shared" si="279"/>
        <v>7.4050000000000011</v>
      </c>
      <c r="BO297" s="306">
        <f t="shared" si="280"/>
        <v>0</v>
      </c>
      <c r="BP297" s="306"/>
    </row>
    <row r="298" spans="1:68">
      <c r="A298" s="299">
        <f t="shared" si="226"/>
        <v>0</v>
      </c>
      <c r="B298" s="300">
        <f t="shared" si="227"/>
        <v>38263</v>
      </c>
      <c r="C298" s="301" t="e">
        <f t="shared" si="259"/>
        <v>#N/A</v>
      </c>
      <c r="D298" s="301" t="e">
        <f t="shared" si="228"/>
        <v>#N/A</v>
      </c>
      <c r="E298" s="299">
        <f t="shared" si="229"/>
        <v>277</v>
      </c>
      <c r="F298" s="396">
        <f>Weather!M282</f>
        <v>0</v>
      </c>
      <c r="G298" s="301">
        <f>IF(Weather!C282="","",Weather!C282)</f>
        <v>1.329074642313802</v>
      </c>
      <c r="H298" s="301">
        <f>IF(Weather!D282="","",Weather!D282)</f>
        <v>1.6491328487668226</v>
      </c>
      <c r="I298" s="502">
        <f>IF(Weather!E282="","",Weather!E282)</f>
        <v>1.6491328487668226</v>
      </c>
      <c r="J298" s="397">
        <f>IF(RnSplint!N326&lt;0,0,RnSplint!N326)</f>
        <v>8.165853800477759</v>
      </c>
      <c r="K298" s="302">
        <f t="shared" si="260"/>
        <v>0</v>
      </c>
      <c r="L298" s="303">
        <f t="shared" si="261"/>
        <v>38263</v>
      </c>
      <c r="M298" s="346" t="str">
        <f t="shared" si="230"/>
        <v/>
      </c>
      <c r="N298" s="304">
        <f t="shared" si="262"/>
        <v>0</v>
      </c>
      <c r="O298" s="304">
        <f t="shared" si="263"/>
        <v>0</v>
      </c>
      <c r="P298" s="304">
        <f t="shared" si="231"/>
        <v>0</v>
      </c>
      <c r="Q298" s="304">
        <f t="shared" si="232"/>
        <v>0.43479822957411718</v>
      </c>
      <c r="R298" s="304">
        <f t="shared" si="233"/>
        <v>0.43479822957411718</v>
      </c>
      <c r="S298" s="305" t="e">
        <f t="shared" si="264"/>
        <v>#N/A</v>
      </c>
      <c r="T298" s="304">
        <f t="shared" si="234"/>
        <v>0</v>
      </c>
      <c r="U298" s="304">
        <f t="shared" si="278"/>
        <v>0</v>
      </c>
      <c r="V298" s="305" t="e">
        <f t="shared" si="235"/>
        <v>#N/A</v>
      </c>
      <c r="W298" s="305" t="e">
        <f t="shared" si="265"/>
        <v>#N/A</v>
      </c>
      <c r="X298" s="304">
        <f t="shared" si="266"/>
        <v>0.43479822957411718</v>
      </c>
      <c r="Z298" s="304" t="str">
        <f t="shared" si="236"/>
        <v/>
      </c>
      <c r="AA298" s="305" t="e">
        <f t="shared" si="237"/>
        <v>#N/A</v>
      </c>
      <c r="AB298" s="304">
        <f t="shared" si="238"/>
        <v>0.71704004297633483</v>
      </c>
      <c r="AC298" s="304" t="str">
        <f t="shared" si="267"/>
        <v/>
      </c>
      <c r="AD298" s="306">
        <f t="shared" si="239"/>
        <v>0</v>
      </c>
      <c r="AE298" s="307">
        <f t="shared" si="268"/>
        <v>0.71704004297633483</v>
      </c>
      <c r="AF298" s="308" t="e">
        <f t="shared" si="240"/>
        <v>#N/A</v>
      </c>
      <c r="AG298" s="306">
        <f t="shared" si="269"/>
        <v>637.97128859594773</v>
      </c>
      <c r="AH298" s="306">
        <f t="shared" si="241"/>
        <v>0</v>
      </c>
      <c r="AI298" s="306">
        <f t="shared" si="270"/>
        <v>0</v>
      </c>
      <c r="AJ298" s="306">
        <f t="shared" si="271"/>
        <v>0</v>
      </c>
      <c r="AK298" s="306">
        <f t="shared" si="242"/>
        <v>0</v>
      </c>
      <c r="AL298" s="306">
        <f t="shared" si="272"/>
        <v>0</v>
      </c>
      <c r="AM298" s="306">
        <f t="shared" si="243"/>
        <v>0</v>
      </c>
      <c r="AN298" s="304">
        <f>KcSplint!$N327</f>
        <v>0.9002032087654529</v>
      </c>
      <c r="AO298" s="304" t="str">
        <f t="shared" si="244"/>
        <v/>
      </c>
      <c r="AP298" s="304" t="str">
        <f t="shared" si="273"/>
        <v/>
      </c>
      <c r="AQ298" s="305" t="e">
        <f t="shared" si="274"/>
        <v>#N/A</v>
      </c>
      <c r="AR298" s="304" t="str">
        <f t="shared" si="275"/>
        <v/>
      </c>
      <c r="AS298" s="306">
        <f t="shared" si="245"/>
        <v>0</v>
      </c>
      <c r="AT298" s="307" t="e">
        <f t="shared" si="276"/>
        <v>#N/A</v>
      </c>
      <c r="AU298" s="307" t="e">
        <f t="shared" si="277"/>
        <v>#N/A</v>
      </c>
      <c r="AV298" s="304">
        <f t="shared" si="246"/>
        <v>1.6491328487668226</v>
      </c>
      <c r="AW298" s="309">
        <f t="shared" si="247"/>
        <v>35.053084475886081</v>
      </c>
      <c r="AX298" s="306">
        <f>IF(ISERROR(Weather!M282),#N/A,Weather!M282)</f>
        <v>0</v>
      </c>
      <c r="AY298" s="310">
        <f t="shared" si="248"/>
        <v>22</v>
      </c>
      <c r="AZ298" s="309">
        <f t="shared" si="249"/>
        <v>0.43479822957411718</v>
      </c>
      <c r="BA298" s="309">
        <f t="shared" si="250"/>
        <v>210.58305498584366</v>
      </c>
      <c r="BB298" s="311">
        <f>Irrig!H300</f>
        <v>0</v>
      </c>
      <c r="BC298" s="310">
        <f t="shared" si="251"/>
        <v>0</v>
      </c>
      <c r="BD298" s="309">
        <f t="shared" si="252"/>
        <v>0</v>
      </c>
      <c r="BE298" s="309">
        <f t="shared" si="253"/>
        <v>0</v>
      </c>
      <c r="BF298" s="306">
        <f>DailyMet!H281</f>
        <v>18.63</v>
      </c>
      <c r="BG298" s="306">
        <f>DailyMet!I281</f>
        <v>14.3</v>
      </c>
      <c r="BH298" s="306">
        <f t="shared" si="254"/>
        <v>18.63</v>
      </c>
      <c r="BI298" s="306">
        <f t="shared" si="255"/>
        <v>14.3</v>
      </c>
      <c r="BJ298" s="306">
        <f t="shared" si="256"/>
        <v>6.4649999999999999</v>
      </c>
      <c r="BK298" s="306">
        <f t="shared" si="225"/>
        <v>0</v>
      </c>
      <c r="BL298" s="304">
        <f t="shared" si="257"/>
        <v>0</v>
      </c>
      <c r="BM298" s="304">
        <f t="shared" si="258"/>
        <v>6.4649999999999999</v>
      </c>
      <c r="BN298" s="304">
        <f t="shared" si="279"/>
        <v>6.4649999999999999</v>
      </c>
      <c r="BO298" s="306">
        <f t="shared" si="280"/>
        <v>0</v>
      </c>
      <c r="BP298" s="306"/>
    </row>
    <row r="299" spans="1:68">
      <c r="A299" s="299">
        <f t="shared" si="226"/>
        <v>0</v>
      </c>
      <c r="B299" s="300">
        <f t="shared" si="227"/>
        <v>38264</v>
      </c>
      <c r="C299" s="301" t="e">
        <f t="shared" si="259"/>
        <v>#N/A</v>
      </c>
      <c r="D299" s="301" t="e">
        <f t="shared" si="228"/>
        <v>#N/A</v>
      </c>
      <c r="E299" s="299">
        <f t="shared" si="229"/>
        <v>278</v>
      </c>
      <c r="F299" s="396">
        <f>Weather!M283</f>
        <v>0</v>
      </c>
      <c r="G299" s="301">
        <f>IF(Weather!C283="","",Weather!C283)</f>
        <v>1.2995094614275877</v>
      </c>
      <c r="H299" s="301">
        <f>IF(Weather!D283="","",Weather!D283)</f>
        <v>1.7470272988959599</v>
      </c>
      <c r="I299" s="502">
        <f>IF(Weather!E283="","",Weather!E283)</f>
        <v>1.7470272988959599</v>
      </c>
      <c r="J299" s="397">
        <f>IF(RnSplint!N327&lt;0,0,RnSplint!N327)</f>
        <v>8.055551267428033</v>
      </c>
      <c r="K299" s="302">
        <f t="shared" si="260"/>
        <v>0</v>
      </c>
      <c r="L299" s="303">
        <f t="shared" si="261"/>
        <v>38264</v>
      </c>
      <c r="M299" s="346" t="str">
        <f t="shared" si="230"/>
        <v/>
      </c>
      <c r="N299" s="304">
        <f t="shared" si="262"/>
        <v>0</v>
      </c>
      <c r="O299" s="304">
        <f t="shared" si="263"/>
        <v>0</v>
      </c>
      <c r="P299" s="304">
        <f t="shared" si="231"/>
        <v>0</v>
      </c>
      <c r="Q299" s="304">
        <f t="shared" si="232"/>
        <v>0.42402196227659233</v>
      </c>
      <c r="R299" s="304">
        <f t="shared" si="233"/>
        <v>0.42402196227659233</v>
      </c>
      <c r="S299" s="305" t="e">
        <f t="shared" si="264"/>
        <v>#N/A</v>
      </c>
      <c r="T299" s="304">
        <f t="shared" si="234"/>
        <v>0</v>
      </c>
      <c r="U299" s="304">
        <f t="shared" si="278"/>
        <v>0</v>
      </c>
      <c r="V299" s="305" t="e">
        <f t="shared" si="235"/>
        <v>#N/A</v>
      </c>
      <c r="W299" s="305" t="e">
        <f t="shared" si="265"/>
        <v>#N/A</v>
      </c>
      <c r="X299" s="304">
        <f t="shared" si="266"/>
        <v>0.42402196227659233</v>
      </c>
      <c r="Z299" s="304" t="str">
        <f t="shared" si="236"/>
        <v/>
      </c>
      <c r="AA299" s="305" t="e">
        <f t="shared" si="237"/>
        <v>#N/A</v>
      </c>
      <c r="AB299" s="304">
        <f t="shared" si="238"/>
        <v>0.74077794342863967</v>
      </c>
      <c r="AC299" s="304" t="str">
        <f t="shared" si="267"/>
        <v/>
      </c>
      <c r="AD299" s="306">
        <f t="shared" si="239"/>
        <v>0</v>
      </c>
      <c r="AE299" s="307">
        <f t="shared" si="268"/>
        <v>0.74077794342863967</v>
      </c>
      <c r="AF299" s="308" t="e">
        <f t="shared" si="240"/>
        <v>#N/A</v>
      </c>
      <c r="AG299" s="306">
        <f t="shared" si="269"/>
        <v>639.71831589484373</v>
      </c>
      <c r="AH299" s="306">
        <f t="shared" si="241"/>
        <v>0</v>
      </c>
      <c r="AI299" s="306">
        <f t="shared" si="270"/>
        <v>0</v>
      </c>
      <c r="AJ299" s="306">
        <f t="shared" si="271"/>
        <v>0</v>
      </c>
      <c r="AK299" s="306">
        <f t="shared" si="242"/>
        <v>0</v>
      </c>
      <c r="AL299" s="306">
        <f t="shared" si="272"/>
        <v>0</v>
      </c>
      <c r="AM299" s="306">
        <f t="shared" si="243"/>
        <v>0</v>
      </c>
      <c r="AN299" s="304">
        <f>KcSplint!$N328</f>
        <v>0.90514985727841257</v>
      </c>
      <c r="AO299" s="304" t="str">
        <f t="shared" si="244"/>
        <v/>
      </c>
      <c r="AP299" s="304" t="str">
        <f t="shared" si="273"/>
        <v/>
      </c>
      <c r="AQ299" s="305" t="e">
        <f t="shared" si="274"/>
        <v>#N/A</v>
      </c>
      <c r="AR299" s="304" t="str">
        <f t="shared" si="275"/>
        <v/>
      </c>
      <c r="AS299" s="306">
        <f t="shared" si="245"/>
        <v>0</v>
      </c>
      <c r="AT299" s="307" t="e">
        <f t="shared" si="276"/>
        <v>#N/A</v>
      </c>
      <c r="AU299" s="307" t="e">
        <f t="shared" si="277"/>
        <v>#N/A</v>
      </c>
      <c r="AV299" s="304">
        <f t="shared" si="246"/>
        <v>1.7470272988959599</v>
      </c>
      <c r="AW299" s="309">
        <f t="shared" si="247"/>
        <v>36.800111774782039</v>
      </c>
      <c r="AX299" s="306">
        <f>IF(ISERROR(Weather!M283),#N/A,Weather!M283)</f>
        <v>0</v>
      </c>
      <c r="AY299" s="310">
        <f t="shared" si="248"/>
        <v>23</v>
      </c>
      <c r="AZ299" s="309">
        <f t="shared" si="249"/>
        <v>0.42402196227659233</v>
      </c>
      <c r="BA299" s="309">
        <f t="shared" si="250"/>
        <v>212.33008228473963</v>
      </c>
      <c r="BB299" s="311">
        <f>Irrig!H301</f>
        <v>0</v>
      </c>
      <c r="BC299" s="310">
        <f t="shared" si="251"/>
        <v>0</v>
      </c>
      <c r="BD299" s="309">
        <f t="shared" si="252"/>
        <v>0</v>
      </c>
      <c r="BE299" s="309">
        <f t="shared" si="253"/>
        <v>0</v>
      </c>
      <c r="BF299" s="306">
        <f>DailyMet!H282</f>
        <v>18.86</v>
      </c>
      <c r="BG299" s="306">
        <f>DailyMet!I282</f>
        <v>12.7</v>
      </c>
      <c r="BH299" s="306">
        <f t="shared" si="254"/>
        <v>18.86</v>
      </c>
      <c r="BI299" s="306">
        <f t="shared" si="255"/>
        <v>12.7</v>
      </c>
      <c r="BJ299" s="306">
        <f t="shared" si="256"/>
        <v>5.7799999999999994</v>
      </c>
      <c r="BK299" s="306">
        <f t="shared" si="225"/>
        <v>0</v>
      </c>
      <c r="BL299" s="304">
        <f t="shared" si="257"/>
        <v>0</v>
      </c>
      <c r="BM299" s="304">
        <f t="shared" si="258"/>
        <v>5.7799999999999994</v>
      </c>
      <c r="BN299" s="304">
        <f t="shared" si="279"/>
        <v>5.7799999999999994</v>
      </c>
      <c r="BO299" s="306">
        <f t="shared" si="280"/>
        <v>0</v>
      </c>
      <c r="BP299" s="306"/>
    </row>
    <row r="300" spans="1:68">
      <c r="A300" s="299">
        <f t="shared" si="226"/>
        <v>0</v>
      </c>
      <c r="B300" s="300">
        <f t="shared" si="227"/>
        <v>38265</v>
      </c>
      <c r="C300" s="301" t="e">
        <f t="shared" si="259"/>
        <v>#N/A</v>
      </c>
      <c r="D300" s="301" t="e">
        <f t="shared" si="228"/>
        <v>#N/A</v>
      </c>
      <c r="E300" s="299">
        <f t="shared" si="229"/>
        <v>279</v>
      </c>
      <c r="F300" s="396">
        <f>Weather!M284</f>
        <v>0</v>
      </c>
      <c r="G300" s="301">
        <f>IF(Weather!C284="","",Weather!C284)</f>
        <v>1.2706613739826247</v>
      </c>
      <c r="H300" s="301">
        <f>IF(Weather!D284="","",Weather!D284)</f>
        <v>1.686918001811976</v>
      </c>
      <c r="I300" s="502">
        <f>IF(Weather!E284="","",Weather!E284)</f>
        <v>1.686918001811976</v>
      </c>
      <c r="J300" s="397">
        <f>IF(RnSplint!N328&lt;0,0,RnSplint!N328)</f>
        <v>7.9850985347075305</v>
      </c>
      <c r="K300" s="302">
        <f t="shared" si="260"/>
        <v>0</v>
      </c>
      <c r="L300" s="303">
        <f t="shared" si="261"/>
        <v>38265</v>
      </c>
      <c r="M300" s="346" t="str">
        <f t="shared" si="230"/>
        <v/>
      </c>
      <c r="N300" s="304">
        <f t="shared" si="262"/>
        <v>0</v>
      </c>
      <c r="O300" s="304">
        <f t="shared" si="263"/>
        <v>0</v>
      </c>
      <c r="P300" s="304">
        <f t="shared" si="231"/>
        <v>0</v>
      </c>
      <c r="Q300" s="304">
        <f t="shared" si="232"/>
        <v>0.41432799498012124</v>
      </c>
      <c r="R300" s="304">
        <f t="shared" si="233"/>
        <v>0.41432799498012124</v>
      </c>
      <c r="S300" s="305" t="e">
        <f t="shared" si="264"/>
        <v>#N/A</v>
      </c>
      <c r="T300" s="304">
        <f t="shared" si="234"/>
        <v>0</v>
      </c>
      <c r="U300" s="304">
        <f t="shared" si="278"/>
        <v>0</v>
      </c>
      <c r="V300" s="305" t="e">
        <f t="shared" si="235"/>
        <v>#N/A</v>
      </c>
      <c r="W300" s="305" t="e">
        <f t="shared" si="265"/>
        <v>#N/A</v>
      </c>
      <c r="X300" s="304">
        <f t="shared" si="266"/>
        <v>0.41432799498012124</v>
      </c>
      <c r="Z300" s="304" t="str">
        <f t="shared" si="236"/>
        <v/>
      </c>
      <c r="AA300" s="305" t="e">
        <f t="shared" si="237"/>
        <v>#N/A</v>
      </c>
      <c r="AB300" s="304">
        <f t="shared" si="238"/>
        <v>0.69893735338662855</v>
      </c>
      <c r="AC300" s="304" t="str">
        <f t="shared" si="267"/>
        <v/>
      </c>
      <c r="AD300" s="306">
        <f t="shared" si="239"/>
        <v>0</v>
      </c>
      <c r="AE300" s="307">
        <f t="shared" si="268"/>
        <v>0.69893735338662855</v>
      </c>
      <c r="AF300" s="308" t="e">
        <f t="shared" si="240"/>
        <v>#N/A</v>
      </c>
      <c r="AG300" s="306">
        <f t="shared" si="269"/>
        <v>641.40523389665566</v>
      </c>
      <c r="AH300" s="306">
        <f t="shared" si="241"/>
        <v>0</v>
      </c>
      <c r="AI300" s="306">
        <f t="shared" si="270"/>
        <v>0</v>
      </c>
      <c r="AJ300" s="306">
        <f t="shared" si="271"/>
        <v>0</v>
      </c>
      <c r="AK300" s="306">
        <f t="shared" si="242"/>
        <v>0</v>
      </c>
      <c r="AL300" s="306">
        <f t="shared" si="272"/>
        <v>0</v>
      </c>
      <c r="AM300" s="306">
        <f t="shared" si="243"/>
        <v>0</v>
      </c>
      <c r="AN300" s="304">
        <f>KcSplint!$N329</f>
        <v>0.9103676231558735</v>
      </c>
      <c r="AO300" s="304" t="str">
        <f t="shared" si="244"/>
        <v/>
      </c>
      <c r="AP300" s="304" t="str">
        <f t="shared" si="273"/>
        <v/>
      </c>
      <c r="AQ300" s="305" t="e">
        <f t="shared" si="274"/>
        <v>#N/A</v>
      </c>
      <c r="AR300" s="304" t="str">
        <f t="shared" si="275"/>
        <v/>
      </c>
      <c r="AS300" s="306">
        <f t="shared" si="245"/>
        <v>0</v>
      </c>
      <c r="AT300" s="307" t="e">
        <f t="shared" si="276"/>
        <v>#N/A</v>
      </c>
      <c r="AU300" s="307" t="e">
        <f t="shared" si="277"/>
        <v>#N/A</v>
      </c>
      <c r="AV300" s="304">
        <f t="shared" si="246"/>
        <v>1.686918001811976</v>
      </c>
      <c r="AW300" s="309">
        <f t="shared" si="247"/>
        <v>38.487029776594014</v>
      </c>
      <c r="AX300" s="306">
        <f>IF(ISERROR(Weather!M284),#N/A,Weather!M284)</f>
        <v>0</v>
      </c>
      <c r="AY300" s="310">
        <f t="shared" si="248"/>
        <v>24</v>
      </c>
      <c r="AZ300" s="309">
        <f t="shared" si="249"/>
        <v>0.41432799498012124</v>
      </c>
      <c r="BA300" s="309">
        <f t="shared" si="250"/>
        <v>214.01700028655162</v>
      </c>
      <c r="BB300" s="311">
        <f>Irrig!H302</f>
        <v>0</v>
      </c>
      <c r="BC300" s="310">
        <f t="shared" si="251"/>
        <v>0</v>
      </c>
      <c r="BD300" s="309">
        <f t="shared" si="252"/>
        <v>0</v>
      </c>
      <c r="BE300" s="309">
        <f t="shared" si="253"/>
        <v>0</v>
      </c>
      <c r="BF300" s="306">
        <f>DailyMet!H283</f>
        <v>18.829999999999998</v>
      </c>
      <c r="BG300" s="306">
        <f>DailyMet!I283</f>
        <v>14.7</v>
      </c>
      <c r="BH300" s="306">
        <f t="shared" si="254"/>
        <v>18.829999999999998</v>
      </c>
      <c r="BI300" s="306">
        <f t="shared" si="255"/>
        <v>14.7</v>
      </c>
      <c r="BJ300" s="306">
        <f t="shared" si="256"/>
        <v>6.7650000000000006</v>
      </c>
      <c r="BK300" s="306">
        <f t="shared" si="225"/>
        <v>0</v>
      </c>
      <c r="BL300" s="304">
        <f t="shared" si="257"/>
        <v>0</v>
      </c>
      <c r="BM300" s="304">
        <f t="shared" si="258"/>
        <v>6.7650000000000006</v>
      </c>
      <c r="BN300" s="304">
        <f t="shared" si="279"/>
        <v>6.7650000000000006</v>
      </c>
      <c r="BO300" s="306">
        <f t="shared" si="280"/>
        <v>0</v>
      </c>
      <c r="BP300" s="306"/>
    </row>
    <row r="301" spans="1:68">
      <c r="A301" s="299">
        <f t="shared" si="226"/>
        <v>0</v>
      </c>
      <c r="B301" s="300">
        <f t="shared" si="227"/>
        <v>38266</v>
      </c>
      <c r="C301" s="301" t="e">
        <f t="shared" si="259"/>
        <v>#N/A</v>
      </c>
      <c r="D301" s="301" t="e">
        <f t="shared" si="228"/>
        <v>#N/A</v>
      </c>
      <c r="E301" s="299">
        <f t="shared" si="229"/>
        <v>280</v>
      </c>
      <c r="F301" s="396">
        <f>Weather!M285</f>
        <v>0</v>
      </c>
      <c r="G301" s="301">
        <f>IF(Weather!C285="","",Weather!C285)</f>
        <v>1.2424959223732632</v>
      </c>
      <c r="H301" s="301">
        <f>IF(Weather!D285="","",Weather!D285)</f>
        <v>1.1149775155232635</v>
      </c>
      <c r="I301" s="502">
        <f>IF(Weather!E285="","",Weather!E285)</f>
        <v>1.1149775155232635</v>
      </c>
      <c r="J301" s="397">
        <f>IF(RnSplint!N329&lt;0,0,RnSplint!N329)</f>
        <v>7.9562198262212274</v>
      </c>
      <c r="K301" s="302">
        <f t="shared" si="260"/>
        <v>0</v>
      </c>
      <c r="L301" s="303">
        <f t="shared" si="261"/>
        <v>38266</v>
      </c>
      <c r="M301" s="346" t="str">
        <f t="shared" si="230"/>
        <v/>
      </c>
      <c r="N301" s="304">
        <f t="shared" si="262"/>
        <v>0</v>
      </c>
      <c r="O301" s="304">
        <f t="shared" si="263"/>
        <v>0</v>
      </c>
      <c r="P301" s="304">
        <f t="shared" si="231"/>
        <v>0</v>
      </c>
      <c r="Q301" s="304">
        <f t="shared" si="232"/>
        <v>0.40826714492600097</v>
      </c>
      <c r="R301" s="304">
        <f t="shared" si="233"/>
        <v>0.40826714492600097</v>
      </c>
      <c r="S301" s="305" t="e">
        <f t="shared" si="264"/>
        <v>#N/A</v>
      </c>
      <c r="T301" s="304">
        <f t="shared" si="234"/>
        <v>0</v>
      </c>
      <c r="U301" s="304">
        <f t="shared" si="278"/>
        <v>0</v>
      </c>
      <c r="V301" s="305" t="e">
        <f t="shared" si="235"/>
        <v>#N/A</v>
      </c>
      <c r="W301" s="305" t="e">
        <f t="shared" si="265"/>
        <v>#N/A</v>
      </c>
      <c r="X301" s="304">
        <f t="shared" si="266"/>
        <v>0.40826714492600097</v>
      </c>
      <c r="Z301" s="304" t="str">
        <f t="shared" si="236"/>
        <v/>
      </c>
      <c r="AA301" s="305" t="e">
        <f t="shared" si="237"/>
        <v>#N/A</v>
      </c>
      <c r="AB301" s="304">
        <f t="shared" si="238"/>
        <v>0.45520868691936872</v>
      </c>
      <c r="AC301" s="304" t="str">
        <f t="shared" si="267"/>
        <v/>
      </c>
      <c r="AD301" s="306">
        <f t="shared" si="239"/>
        <v>0</v>
      </c>
      <c r="AE301" s="307">
        <f t="shared" si="268"/>
        <v>0.45520868691936872</v>
      </c>
      <c r="AF301" s="308" t="e">
        <f t="shared" si="240"/>
        <v>#N/A</v>
      </c>
      <c r="AG301" s="306">
        <f t="shared" si="269"/>
        <v>642.52021141217892</v>
      </c>
      <c r="AH301" s="306">
        <f t="shared" si="241"/>
        <v>0</v>
      </c>
      <c r="AI301" s="306">
        <f t="shared" si="270"/>
        <v>0</v>
      </c>
      <c r="AJ301" s="306">
        <f t="shared" si="271"/>
        <v>0</v>
      </c>
      <c r="AK301" s="306">
        <f t="shared" si="242"/>
        <v>0</v>
      </c>
      <c r="AL301" s="306">
        <f t="shared" si="272"/>
        <v>0</v>
      </c>
      <c r="AM301" s="306">
        <f t="shared" si="243"/>
        <v>0</v>
      </c>
      <c r="AN301" s="304">
        <f>KcSplint!$N330</f>
        <v>0.91584898323188368</v>
      </c>
      <c r="AO301" s="304" t="str">
        <f t="shared" si="244"/>
        <v/>
      </c>
      <c r="AP301" s="304" t="str">
        <f t="shared" si="273"/>
        <v/>
      </c>
      <c r="AQ301" s="305" t="e">
        <f t="shared" si="274"/>
        <v>#N/A</v>
      </c>
      <c r="AR301" s="304" t="str">
        <f t="shared" si="275"/>
        <v/>
      </c>
      <c r="AS301" s="306">
        <f t="shared" si="245"/>
        <v>0</v>
      </c>
      <c r="AT301" s="307" t="e">
        <f t="shared" si="276"/>
        <v>#N/A</v>
      </c>
      <c r="AU301" s="307" t="e">
        <f t="shared" si="277"/>
        <v>#N/A</v>
      </c>
      <c r="AV301" s="304">
        <f t="shared" si="246"/>
        <v>1.1149775155232635</v>
      </c>
      <c r="AW301" s="309">
        <f t="shared" si="247"/>
        <v>39.602007292117278</v>
      </c>
      <c r="AX301" s="306">
        <f>IF(ISERROR(Weather!M285),#N/A,Weather!M285)</f>
        <v>0</v>
      </c>
      <c r="AY301" s="310">
        <f t="shared" si="248"/>
        <v>25</v>
      </c>
      <c r="AZ301" s="309">
        <f t="shared" si="249"/>
        <v>0.40826714492600097</v>
      </c>
      <c r="BA301" s="309">
        <f t="shared" si="250"/>
        <v>215.13197780207489</v>
      </c>
      <c r="BB301" s="311">
        <f>Irrig!H303</f>
        <v>0</v>
      </c>
      <c r="BC301" s="310">
        <f t="shared" si="251"/>
        <v>0</v>
      </c>
      <c r="BD301" s="309">
        <f t="shared" si="252"/>
        <v>0</v>
      </c>
      <c r="BE301" s="309">
        <f t="shared" si="253"/>
        <v>0</v>
      </c>
      <c r="BF301" s="306">
        <f>DailyMet!H284</f>
        <v>19.149999999999999</v>
      </c>
      <c r="BG301" s="306">
        <f>DailyMet!I284</f>
        <v>14.4</v>
      </c>
      <c r="BH301" s="306">
        <f t="shared" si="254"/>
        <v>19.149999999999999</v>
      </c>
      <c r="BI301" s="306">
        <f t="shared" si="255"/>
        <v>14.4</v>
      </c>
      <c r="BJ301" s="306">
        <f t="shared" si="256"/>
        <v>6.7749999999999986</v>
      </c>
      <c r="BK301" s="306">
        <f t="shared" si="225"/>
        <v>0</v>
      </c>
      <c r="BL301" s="304">
        <f t="shared" si="257"/>
        <v>0</v>
      </c>
      <c r="BM301" s="304">
        <f t="shared" si="258"/>
        <v>6.7749999999999986</v>
      </c>
      <c r="BN301" s="304">
        <f t="shared" si="279"/>
        <v>6.7749999999999986</v>
      </c>
      <c r="BO301" s="306">
        <f t="shared" si="280"/>
        <v>0</v>
      </c>
      <c r="BP301" s="306"/>
    </row>
    <row r="302" spans="1:68">
      <c r="A302" s="299">
        <f t="shared" si="226"/>
        <v>0</v>
      </c>
      <c r="B302" s="300">
        <f t="shared" si="227"/>
        <v>38267</v>
      </c>
      <c r="C302" s="301" t="e">
        <f t="shared" si="259"/>
        <v>#N/A</v>
      </c>
      <c r="D302" s="301" t="e">
        <f t="shared" si="228"/>
        <v>#N/A</v>
      </c>
      <c r="E302" s="299">
        <f t="shared" si="229"/>
        <v>281</v>
      </c>
      <c r="F302" s="396">
        <f>Weather!M286</f>
        <v>0</v>
      </c>
      <c r="G302" s="301">
        <f>IF(Weather!C286="","",Weather!C286)</f>
        <v>1.2149786489938543</v>
      </c>
      <c r="H302" s="301">
        <f>IF(Weather!D286="","",Weather!D286)</f>
        <v>1.8464129891664798</v>
      </c>
      <c r="I302" s="502">
        <f>IF(Weather!E286="","",Weather!E286)</f>
        <v>1.8464129891664798</v>
      </c>
      <c r="J302" s="397">
        <f>IF(RnSplint!N330&lt;0,0,RnSplint!N330)</f>
        <v>7.9706393658740975</v>
      </c>
      <c r="K302" s="302">
        <f t="shared" si="260"/>
        <v>0</v>
      </c>
      <c r="L302" s="303">
        <f t="shared" si="261"/>
        <v>38267</v>
      </c>
      <c r="M302" s="346" t="str">
        <f t="shared" si="230"/>
        <v/>
      </c>
      <c r="N302" s="304">
        <f t="shared" si="262"/>
        <v>0</v>
      </c>
      <c r="O302" s="304">
        <f t="shared" si="263"/>
        <v>0</v>
      </c>
      <c r="P302" s="304">
        <f t="shared" si="231"/>
        <v>0</v>
      </c>
      <c r="Q302" s="304">
        <f t="shared" si="232"/>
        <v>0.39877909863641331</v>
      </c>
      <c r="R302" s="304">
        <f t="shared" si="233"/>
        <v>0.39877909863641331</v>
      </c>
      <c r="S302" s="305" t="e">
        <f t="shared" si="264"/>
        <v>#N/A</v>
      </c>
      <c r="T302" s="304">
        <f t="shared" si="234"/>
        <v>0</v>
      </c>
      <c r="U302" s="304">
        <f t="shared" si="278"/>
        <v>0</v>
      </c>
      <c r="V302" s="305" t="e">
        <f t="shared" si="235"/>
        <v>#N/A</v>
      </c>
      <c r="W302" s="305" t="e">
        <f t="shared" si="265"/>
        <v>#N/A</v>
      </c>
      <c r="X302" s="304">
        <f t="shared" si="266"/>
        <v>0.39877909863641331</v>
      </c>
      <c r="Z302" s="304" t="str">
        <f t="shared" si="236"/>
        <v/>
      </c>
      <c r="AA302" s="305" t="e">
        <f t="shared" si="237"/>
        <v>#N/A</v>
      </c>
      <c r="AB302" s="304">
        <f t="shared" si="238"/>
        <v>0.73631090753037443</v>
      </c>
      <c r="AC302" s="304" t="str">
        <f t="shared" si="267"/>
        <v/>
      </c>
      <c r="AD302" s="306">
        <f t="shared" si="239"/>
        <v>0</v>
      </c>
      <c r="AE302" s="307">
        <f t="shared" si="268"/>
        <v>0.73631090753037443</v>
      </c>
      <c r="AF302" s="308" t="e">
        <f t="shared" si="240"/>
        <v>#N/A</v>
      </c>
      <c r="AG302" s="306">
        <f t="shared" si="269"/>
        <v>644.36662440134535</v>
      </c>
      <c r="AH302" s="306">
        <f t="shared" si="241"/>
        <v>0</v>
      </c>
      <c r="AI302" s="306">
        <f t="shared" si="270"/>
        <v>0</v>
      </c>
      <c r="AJ302" s="306">
        <f t="shared" si="271"/>
        <v>0</v>
      </c>
      <c r="AK302" s="306">
        <f t="shared" si="242"/>
        <v>0</v>
      </c>
      <c r="AL302" s="306">
        <f t="shared" si="272"/>
        <v>0</v>
      </c>
      <c r="AM302" s="306">
        <f t="shared" si="243"/>
        <v>0</v>
      </c>
      <c r="AN302" s="304">
        <f>KcSplint!$N331</f>
        <v>0.92158641434049027</v>
      </c>
      <c r="AO302" s="304" t="str">
        <f t="shared" si="244"/>
        <v/>
      </c>
      <c r="AP302" s="304" t="str">
        <f t="shared" si="273"/>
        <v/>
      </c>
      <c r="AQ302" s="305" t="e">
        <f t="shared" si="274"/>
        <v>#N/A</v>
      </c>
      <c r="AR302" s="304" t="str">
        <f t="shared" si="275"/>
        <v/>
      </c>
      <c r="AS302" s="306">
        <f t="shared" si="245"/>
        <v>0</v>
      </c>
      <c r="AT302" s="307" t="e">
        <f t="shared" si="276"/>
        <v>#N/A</v>
      </c>
      <c r="AU302" s="307" t="e">
        <f t="shared" si="277"/>
        <v>#N/A</v>
      </c>
      <c r="AV302" s="304">
        <f t="shared" si="246"/>
        <v>1.8464129891664798</v>
      </c>
      <c r="AW302" s="309">
        <f t="shared" si="247"/>
        <v>41.448420281283759</v>
      </c>
      <c r="AX302" s="306">
        <f>IF(ISERROR(Weather!M286),#N/A,Weather!M286)</f>
        <v>0</v>
      </c>
      <c r="AY302" s="310">
        <f t="shared" si="248"/>
        <v>26</v>
      </c>
      <c r="AZ302" s="309">
        <f t="shared" si="249"/>
        <v>0.39877909863641331</v>
      </c>
      <c r="BA302" s="309">
        <f t="shared" si="250"/>
        <v>216.97839079124137</v>
      </c>
      <c r="BB302" s="311">
        <f>Irrig!H304</f>
        <v>0</v>
      </c>
      <c r="BC302" s="310">
        <f t="shared" si="251"/>
        <v>0</v>
      </c>
      <c r="BD302" s="309">
        <f t="shared" si="252"/>
        <v>0</v>
      </c>
      <c r="BE302" s="309">
        <f t="shared" si="253"/>
        <v>0</v>
      </c>
      <c r="BF302" s="306">
        <f>DailyMet!H285</f>
        <v>19.899999999999999</v>
      </c>
      <c r="BG302" s="306">
        <f>DailyMet!I285</f>
        <v>15.4</v>
      </c>
      <c r="BH302" s="306">
        <f t="shared" si="254"/>
        <v>19.899999999999999</v>
      </c>
      <c r="BI302" s="306">
        <f t="shared" si="255"/>
        <v>15.4</v>
      </c>
      <c r="BJ302" s="306">
        <f t="shared" si="256"/>
        <v>7.6499999999999986</v>
      </c>
      <c r="BK302" s="306">
        <f t="shared" si="225"/>
        <v>0</v>
      </c>
      <c r="BL302" s="304">
        <f t="shared" si="257"/>
        <v>0</v>
      </c>
      <c r="BM302" s="304">
        <f t="shared" si="258"/>
        <v>7.6499999999999986</v>
      </c>
      <c r="BN302" s="304">
        <f t="shared" si="279"/>
        <v>7.6499999999999986</v>
      </c>
      <c r="BO302" s="306">
        <f t="shared" si="280"/>
        <v>0</v>
      </c>
      <c r="BP302" s="306"/>
    </row>
    <row r="303" spans="1:68">
      <c r="A303" s="299">
        <f t="shared" si="226"/>
        <v>0</v>
      </c>
      <c r="B303" s="300">
        <f t="shared" si="227"/>
        <v>38268</v>
      </c>
      <c r="C303" s="301" t="e">
        <f t="shared" si="259"/>
        <v>#N/A</v>
      </c>
      <c r="D303" s="301" t="e">
        <f t="shared" si="228"/>
        <v>#N/A</v>
      </c>
      <c r="E303" s="299">
        <f t="shared" si="229"/>
        <v>282</v>
      </c>
      <c r="F303" s="396">
        <f>Weather!M287</f>
        <v>0</v>
      </c>
      <c r="G303" s="301">
        <f>IF(Weather!C287="","",Weather!C287)</f>
        <v>1.1880750962387485</v>
      </c>
      <c r="H303" s="301">
        <f>IF(Weather!D287="","",Weather!D287)</f>
        <v>1.5303036358472843</v>
      </c>
      <c r="I303" s="502">
        <f>IF(Weather!E287="","",Weather!E287)</f>
        <v>1.5303036358472843</v>
      </c>
      <c r="J303" s="397">
        <f>IF(RnSplint!N331&lt;0,0,RnSplint!N331)</f>
        <v>8.0300813775711113</v>
      </c>
      <c r="K303" s="302">
        <f t="shared" si="260"/>
        <v>0</v>
      </c>
      <c r="L303" s="303">
        <f t="shared" si="261"/>
        <v>38268</v>
      </c>
      <c r="M303" s="346" t="str">
        <f t="shared" si="230"/>
        <v/>
      </c>
      <c r="N303" s="304">
        <f t="shared" si="262"/>
        <v>0</v>
      </c>
      <c r="O303" s="304">
        <f t="shared" si="263"/>
        <v>0</v>
      </c>
      <c r="P303" s="304">
        <f t="shared" si="231"/>
        <v>0</v>
      </c>
      <c r="Q303" s="304">
        <f t="shared" si="232"/>
        <v>0.39138816761525747</v>
      </c>
      <c r="R303" s="304">
        <f t="shared" si="233"/>
        <v>0.39138816761525747</v>
      </c>
      <c r="S303" s="305" t="e">
        <f t="shared" si="264"/>
        <v>#N/A</v>
      </c>
      <c r="T303" s="304">
        <f t="shared" si="234"/>
        <v>0</v>
      </c>
      <c r="U303" s="304">
        <f t="shared" si="278"/>
        <v>0</v>
      </c>
      <c r="V303" s="305" t="e">
        <f t="shared" si="235"/>
        <v>#N/A</v>
      </c>
      <c r="W303" s="305" t="e">
        <f t="shared" si="265"/>
        <v>#N/A</v>
      </c>
      <c r="X303" s="304">
        <f t="shared" si="266"/>
        <v>0.39138816761525747</v>
      </c>
      <c r="Z303" s="304" t="str">
        <f t="shared" si="236"/>
        <v/>
      </c>
      <c r="AA303" s="305" t="e">
        <f t="shared" si="237"/>
        <v>#N/A</v>
      </c>
      <c r="AB303" s="304">
        <f t="shared" si="238"/>
        <v>0.59894273592923486</v>
      </c>
      <c r="AC303" s="304" t="str">
        <f t="shared" si="267"/>
        <v/>
      </c>
      <c r="AD303" s="306">
        <f t="shared" si="239"/>
        <v>0</v>
      </c>
      <c r="AE303" s="307">
        <f t="shared" si="268"/>
        <v>0.59894273592923486</v>
      </c>
      <c r="AF303" s="308" t="e">
        <f t="shared" si="240"/>
        <v>#N/A</v>
      </c>
      <c r="AG303" s="306">
        <f t="shared" si="269"/>
        <v>645.89692803719265</v>
      </c>
      <c r="AH303" s="306">
        <f t="shared" si="241"/>
        <v>0</v>
      </c>
      <c r="AI303" s="306">
        <f t="shared" si="270"/>
        <v>0</v>
      </c>
      <c r="AJ303" s="306">
        <f t="shared" si="271"/>
        <v>0</v>
      </c>
      <c r="AK303" s="306">
        <f t="shared" si="242"/>
        <v>0</v>
      </c>
      <c r="AL303" s="306">
        <f t="shared" si="272"/>
        <v>0</v>
      </c>
      <c r="AM303" s="306">
        <f t="shared" si="243"/>
        <v>0</v>
      </c>
      <c r="AN303" s="304">
        <f>KcSplint!$N332</f>
        <v>0.92757239331574104</v>
      </c>
      <c r="AO303" s="304" t="str">
        <f t="shared" si="244"/>
        <v/>
      </c>
      <c r="AP303" s="304" t="str">
        <f t="shared" si="273"/>
        <v/>
      </c>
      <c r="AQ303" s="305" t="e">
        <f t="shared" si="274"/>
        <v>#N/A</v>
      </c>
      <c r="AR303" s="304" t="str">
        <f t="shared" si="275"/>
        <v/>
      </c>
      <c r="AS303" s="306">
        <f t="shared" si="245"/>
        <v>0</v>
      </c>
      <c r="AT303" s="307" t="e">
        <f t="shared" si="276"/>
        <v>#N/A</v>
      </c>
      <c r="AU303" s="307" t="e">
        <f t="shared" si="277"/>
        <v>#N/A</v>
      </c>
      <c r="AV303" s="304">
        <f t="shared" si="246"/>
        <v>1.5303036358472843</v>
      </c>
      <c r="AW303" s="309">
        <f t="shared" si="247"/>
        <v>42.978723917131042</v>
      </c>
      <c r="AX303" s="306">
        <f>IF(ISERROR(Weather!M287),#N/A,Weather!M287)</f>
        <v>0</v>
      </c>
      <c r="AY303" s="310">
        <f t="shared" si="248"/>
        <v>27</v>
      </c>
      <c r="AZ303" s="309">
        <f t="shared" si="249"/>
        <v>0.39138816761525747</v>
      </c>
      <c r="BA303" s="309">
        <f t="shared" si="250"/>
        <v>218.50869442708864</v>
      </c>
      <c r="BB303" s="311">
        <f>Irrig!H305</f>
        <v>0</v>
      </c>
      <c r="BC303" s="310">
        <f t="shared" si="251"/>
        <v>0</v>
      </c>
      <c r="BD303" s="309">
        <f t="shared" si="252"/>
        <v>0</v>
      </c>
      <c r="BE303" s="309">
        <f t="shared" si="253"/>
        <v>0</v>
      </c>
      <c r="BF303" s="306">
        <f>DailyMet!H286</f>
        <v>17.850000000000001</v>
      </c>
      <c r="BG303" s="306">
        <f>DailyMet!I286</f>
        <v>14.6</v>
      </c>
      <c r="BH303" s="306">
        <f t="shared" si="254"/>
        <v>17.850000000000001</v>
      </c>
      <c r="BI303" s="306">
        <f t="shared" si="255"/>
        <v>14.6</v>
      </c>
      <c r="BJ303" s="306">
        <f t="shared" si="256"/>
        <v>6.2250000000000014</v>
      </c>
      <c r="BK303" s="306">
        <f t="shared" si="225"/>
        <v>0</v>
      </c>
      <c r="BL303" s="304">
        <f t="shared" si="257"/>
        <v>0</v>
      </c>
      <c r="BM303" s="304">
        <f t="shared" si="258"/>
        <v>6.2250000000000014</v>
      </c>
      <c r="BN303" s="304">
        <f t="shared" si="279"/>
        <v>6.2250000000000014</v>
      </c>
      <c r="BO303" s="306">
        <f t="shared" si="280"/>
        <v>0</v>
      </c>
      <c r="BP303" s="306"/>
    </row>
    <row r="304" spans="1:68">
      <c r="A304" s="299">
        <f t="shared" si="226"/>
        <v>0</v>
      </c>
      <c r="B304" s="300">
        <f t="shared" si="227"/>
        <v>38269</v>
      </c>
      <c r="C304" s="301" t="e">
        <f t="shared" si="259"/>
        <v>#N/A</v>
      </c>
      <c r="D304" s="301" t="e">
        <f t="shared" si="228"/>
        <v>#N/A</v>
      </c>
      <c r="E304" s="299">
        <f t="shared" si="229"/>
        <v>283</v>
      </c>
      <c r="F304" s="396">
        <f>Weather!M288</f>
        <v>3.4</v>
      </c>
      <c r="G304" s="301">
        <f>IF(Weather!C288="","",Weather!C288)</f>
        <v>1.1617508065022966</v>
      </c>
      <c r="H304" s="301">
        <f>IF(Weather!D288="","",Weather!D288)</f>
        <v>1.3902745849596458</v>
      </c>
      <c r="I304" s="502">
        <f>IF(Weather!E288="","",Weather!E288)</f>
        <v>1.3902745849596458</v>
      </c>
      <c r="J304" s="397">
        <f>IF(RnSplint!N332&lt;0,0,RnSplint!N332)</f>
        <v>8.1362700852172445</v>
      </c>
      <c r="K304" s="302">
        <f t="shared" si="260"/>
        <v>0</v>
      </c>
      <c r="L304" s="303">
        <f t="shared" si="261"/>
        <v>38269</v>
      </c>
      <c r="M304" s="346" t="str">
        <f t="shared" si="230"/>
        <v/>
      </c>
      <c r="N304" s="304">
        <f t="shared" si="262"/>
        <v>0</v>
      </c>
      <c r="O304" s="304">
        <f t="shared" si="263"/>
        <v>0</v>
      </c>
      <c r="P304" s="304">
        <f t="shared" si="231"/>
        <v>0</v>
      </c>
      <c r="Q304" s="304">
        <f t="shared" si="232"/>
        <v>1.2</v>
      </c>
      <c r="R304" s="304">
        <f t="shared" si="233"/>
        <v>1.2</v>
      </c>
      <c r="S304" s="305" t="e">
        <f t="shared" si="264"/>
        <v>#N/A</v>
      </c>
      <c r="T304" s="304">
        <f t="shared" si="234"/>
        <v>0</v>
      </c>
      <c r="U304" s="304">
        <f t="shared" si="278"/>
        <v>0</v>
      </c>
      <c r="V304" s="305" t="e">
        <f t="shared" si="235"/>
        <v>#N/A</v>
      </c>
      <c r="W304" s="305" t="e">
        <f t="shared" si="265"/>
        <v>#N/A</v>
      </c>
      <c r="X304" s="304">
        <f t="shared" si="266"/>
        <v>1.2</v>
      </c>
      <c r="Z304" s="304" t="str">
        <f t="shared" si="236"/>
        <v/>
      </c>
      <c r="AA304" s="305" t="e">
        <f t="shared" si="237"/>
        <v>#N/A</v>
      </c>
      <c r="AB304" s="304">
        <f t="shared" si="238"/>
        <v>1.6683295019515749</v>
      </c>
      <c r="AC304" s="304" t="str">
        <f t="shared" si="267"/>
        <v/>
      </c>
      <c r="AD304" s="306">
        <f t="shared" si="239"/>
        <v>0</v>
      </c>
      <c r="AE304" s="307">
        <f t="shared" si="268"/>
        <v>1.6683295019515749</v>
      </c>
      <c r="AF304" s="308" t="e">
        <f t="shared" si="240"/>
        <v>#N/A</v>
      </c>
      <c r="AG304" s="306">
        <f t="shared" si="269"/>
        <v>647.28720262215234</v>
      </c>
      <c r="AH304" s="306">
        <f t="shared" si="241"/>
        <v>0</v>
      </c>
      <c r="AI304" s="306">
        <f t="shared" si="270"/>
        <v>0</v>
      </c>
      <c r="AJ304" s="306">
        <f t="shared" si="271"/>
        <v>0</v>
      </c>
      <c r="AK304" s="306">
        <f t="shared" si="242"/>
        <v>0</v>
      </c>
      <c r="AL304" s="306">
        <f t="shared" si="272"/>
        <v>0</v>
      </c>
      <c r="AM304" s="306">
        <f t="shared" si="243"/>
        <v>0</v>
      </c>
      <c r="AN304" s="304">
        <f>KcSplint!$N333</f>
        <v>0.93379939699168346</v>
      </c>
      <c r="AO304" s="304" t="str">
        <f t="shared" si="244"/>
        <v/>
      </c>
      <c r="AP304" s="304" t="str">
        <f t="shared" si="273"/>
        <v/>
      </c>
      <c r="AQ304" s="305" t="e">
        <f t="shared" si="274"/>
        <v>#N/A</v>
      </c>
      <c r="AR304" s="304" t="str">
        <f t="shared" si="275"/>
        <v/>
      </c>
      <c r="AS304" s="306">
        <f t="shared" si="245"/>
        <v>0</v>
      </c>
      <c r="AT304" s="307" t="e">
        <f t="shared" si="276"/>
        <v>#N/A</v>
      </c>
      <c r="AU304" s="307" t="e">
        <f t="shared" si="277"/>
        <v>#N/A</v>
      </c>
      <c r="AV304" s="304">
        <f t="shared" si="246"/>
        <v>1.3902745849596458</v>
      </c>
      <c r="AW304" s="309">
        <f t="shared" si="247"/>
        <v>1.3902745849596458</v>
      </c>
      <c r="AX304" s="306">
        <f>IF(ISERROR(Weather!M288),#N/A,Weather!M288)</f>
        <v>3.4</v>
      </c>
      <c r="AY304" s="310">
        <f t="shared" si="248"/>
        <v>1</v>
      </c>
      <c r="AZ304" s="309">
        <f t="shared" si="249"/>
        <v>1.2</v>
      </c>
      <c r="BA304" s="309">
        <f t="shared" si="250"/>
        <v>219.8989690120483</v>
      </c>
      <c r="BB304" s="311">
        <f>Irrig!H306</f>
        <v>0</v>
      </c>
      <c r="BC304" s="310">
        <f t="shared" si="251"/>
        <v>0</v>
      </c>
      <c r="BD304" s="309">
        <f t="shared" si="252"/>
        <v>0</v>
      </c>
      <c r="BE304" s="309">
        <f t="shared" si="253"/>
        <v>0</v>
      </c>
      <c r="BF304" s="306">
        <f>DailyMet!H287</f>
        <v>17</v>
      </c>
      <c r="BG304" s="306">
        <f>DailyMet!I287</f>
        <v>13.4</v>
      </c>
      <c r="BH304" s="306">
        <f t="shared" si="254"/>
        <v>17</v>
      </c>
      <c r="BI304" s="306">
        <f t="shared" si="255"/>
        <v>13.4</v>
      </c>
      <c r="BJ304" s="306">
        <f t="shared" si="256"/>
        <v>5.1999999999999993</v>
      </c>
      <c r="BK304" s="306">
        <f t="shared" si="225"/>
        <v>0</v>
      </c>
      <c r="BL304" s="304">
        <f t="shared" si="257"/>
        <v>0</v>
      </c>
      <c r="BM304" s="304">
        <f t="shared" si="258"/>
        <v>5.1999999999999993</v>
      </c>
      <c r="BN304" s="304">
        <f t="shared" si="279"/>
        <v>5.1999999999999993</v>
      </c>
      <c r="BO304" s="306">
        <f t="shared" si="280"/>
        <v>0</v>
      </c>
      <c r="BP304" s="306"/>
    </row>
    <row r="305" spans="1:68">
      <c r="A305" s="299">
        <f t="shared" si="226"/>
        <v>0</v>
      </c>
      <c r="B305" s="300">
        <f t="shared" si="227"/>
        <v>38270</v>
      </c>
      <c r="C305" s="301" t="e">
        <f t="shared" si="259"/>
        <v>#N/A</v>
      </c>
      <c r="D305" s="301" t="e">
        <f t="shared" si="228"/>
        <v>#N/A</v>
      </c>
      <c r="E305" s="299">
        <f t="shared" si="229"/>
        <v>284</v>
      </c>
      <c r="F305" s="396">
        <f>Weather!M289</f>
        <v>0</v>
      </c>
      <c r="G305" s="301">
        <f>IF(Weather!C289="","",Weather!C289)</f>
        <v>1.1359713221788499</v>
      </c>
      <c r="H305" s="301">
        <f>IF(Weather!D289="","",Weather!D289)</f>
        <v>1.3337837455308192</v>
      </c>
      <c r="I305" s="502">
        <f>IF(Weather!E289="","",Weather!E289)</f>
        <v>1.3337837455308192</v>
      </c>
      <c r="J305" s="397">
        <f>IF(RnSplint!N333&lt;0,0,RnSplint!N333)</f>
        <v>8.2909297127174728</v>
      </c>
      <c r="K305" s="302">
        <f t="shared" si="260"/>
        <v>0</v>
      </c>
      <c r="L305" s="303">
        <f t="shared" si="261"/>
        <v>38270</v>
      </c>
      <c r="M305" s="346" t="str">
        <f t="shared" si="230"/>
        <v/>
      </c>
      <c r="N305" s="304">
        <f t="shared" si="262"/>
        <v>0</v>
      </c>
      <c r="O305" s="304">
        <f t="shared" si="263"/>
        <v>0</v>
      </c>
      <c r="P305" s="304">
        <f t="shared" si="231"/>
        <v>0</v>
      </c>
      <c r="Q305" s="304">
        <f t="shared" si="232"/>
        <v>1.2</v>
      </c>
      <c r="R305" s="304">
        <f t="shared" si="233"/>
        <v>1.2</v>
      </c>
      <c r="S305" s="305" t="e">
        <f t="shared" si="264"/>
        <v>#N/A</v>
      </c>
      <c r="T305" s="304">
        <f t="shared" si="234"/>
        <v>0</v>
      </c>
      <c r="U305" s="304">
        <f t="shared" si="278"/>
        <v>0</v>
      </c>
      <c r="V305" s="305" t="e">
        <f t="shared" si="235"/>
        <v>#N/A</v>
      </c>
      <c r="W305" s="305" t="e">
        <f t="shared" si="265"/>
        <v>#N/A</v>
      </c>
      <c r="X305" s="304">
        <f t="shared" si="266"/>
        <v>1.2</v>
      </c>
      <c r="Z305" s="304" t="str">
        <f t="shared" si="236"/>
        <v/>
      </c>
      <c r="AA305" s="305" t="e">
        <f t="shared" si="237"/>
        <v>#N/A</v>
      </c>
      <c r="AB305" s="304">
        <f t="shared" si="238"/>
        <v>1.600540494636983</v>
      </c>
      <c r="AC305" s="304" t="str">
        <f t="shared" si="267"/>
        <v/>
      </c>
      <c r="AD305" s="306">
        <f t="shared" si="239"/>
        <v>0</v>
      </c>
      <c r="AE305" s="307">
        <f t="shared" si="268"/>
        <v>1.600540494636983</v>
      </c>
      <c r="AF305" s="308" t="e">
        <f>IF(AD305=0,#N/A,AD305)</f>
        <v>#N/A</v>
      </c>
      <c r="AG305" s="306">
        <f t="shared" si="269"/>
        <v>648.62098636768314</v>
      </c>
      <c r="AH305" s="306">
        <f t="shared" si="241"/>
        <v>0</v>
      </c>
      <c r="AI305" s="306">
        <f t="shared" si="270"/>
        <v>0</v>
      </c>
      <c r="AJ305" s="306">
        <f t="shared" si="271"/>
        <v>0</v>
      </c>
      <c r="AK305" s="306">
        <f t="shared" si="242"/>
        <v>0</v>
      </c>
      <c r="AL305" s="306">
        <f t="shared" si="272"/>
        <v>0</v>
      </c>
      <c r="AM305" s="306">
        <f t="shared" si="243"/>
        <v>0</v>
      </c>
      <c r="AN305" s="304">
        <f>KcSplint!$N334</f>
        <v>0.94025990220236511</v>
      </c>
      <c r="AO305" s="304" t="str">
        <f t="shared" si="244"/>
        <v/>
      </c>
      <c r="AP305" s="304" t="str">
        <f t="shared" si="273"/>
        <v/>
      </c>
      <c r="AQ305" s="305" t="e">
        <f t="shared" si="274"/>
        <v>#N/A</v>
      </c>
      <c r="AR305" s="304" t="str">
        <f t="shared" si="275"/>
        <v/>
      </c>
      <c r="AS305" s="306">
        <f t="shared" si="245"/>
        <v>0</v>
      </c>
      <c r="AT305" s="307" t="e">
        <f t="shared" si="276"/>
        <v>#N/A</v>
      </c>
      <c r="AU305" s="307" t="e">
        <f t="shared" si="277"/>
        <v>#N/A</v>
      </c>
      <c r="AV305" s="304">
        <f t="shared" si="246"/>
        <v>1.3337837455308192</v>
      </c>
      <c r="AW305" s="309">
        <f t="shared" si="247"/>
        <v>2.7240583304904651</v>
      </c>
      <c r="AX305" s="306">
        <f>IF(ISERROR(Weather!M289),#N/A,Weather!M289)</f>
        <v>0</v>
      </c>
      <c r="AY305" s="310">
        <f t="shared" si="248"/>
        <v>2</v>
      </c>
      <c r="AZ305" s="309">
        <f t="shared" si="249"/>
        <v>1.2</v>
      </c>
      <c r="BA305" s="309">
        <f t="shared" si="250"/>
        <v>221.23275275757911</v>
      </c>
      <c r="BB305" s="311">
        <f>Irrig!H307</f>
        <v>0</v>
      </c>
      <c r="BC305" s="310">
        <f t="shared" si="251"/>
        <v>0</v>
      </c>
      <c r="BD305" s="309">
        <f t="shared" si="252"/>
        <v>0</v>
      </c>
      <c r="BE305" s="309">
        <f t="shared" si="253"/>
        <v>0</v>
      </c>
      <c r="BF305" s="306">
        <f>DailyMet!H288</f>
        <v>17.420000000000002</v>
      </c>
      <c r="BG305" s="306">
        <f>DailyMet!I288</f>
        <v>13.1</v>
      </c>
      <c r="BH305" s="306">
        <f t="shared" si="254"/>
        <v>17.420000000000002</v>
      </c>
      <c r="BI305" s="306">
        <f t="shared" si="255"/>
        <v>13.1</v>
      </c>
      <c r="BJ305" s="306">
        <f t="shared" si="256"/>
        <v>5.2600000000000016</v>
      </c>
      <c r="BK305" s="306">
        <f t="shared" si="225"/>
        <v>0</v>
      </c>
      <c r="BL305" s="304">
        <f t="shared" si="257"/>
        <v>0</v>
      </c>
      <c r="BM305" s="304">
        <f t="shared" si="258"/>
        <v>5.2600000000000016</v>
      </c>
      <c r="BN305" s="304">
        <f t="shared" si="279"/>
        <v>5.2600000000000016</v>
      </c>
      <c r="BO305" s="306">
        <f t="shared" si="280"/>
        <v>0</v>
      </c>
      <c r="BP305" s="306"/>
    </row>
    <row r="306" spans="1:68">
      <c r="A306" s="299">
        <f t="shared" si="226"/>
        <v>0</v>
      </c>
      <c r="B306" s="300">
        <f t="shared" si="227"/>
        <v>38271</v>
      </c>
      <c r="C306" s="301" t="e">
        <f t="shared" si="259"/>
        <v>#N/A</v>
      </c>
      <c r="D306" s="301" t="e">
        <f t="shared" si="228"/>
        <v>#N/A</v>
      </c>
      <c r="E306" s="299">
        <f t="shared" si="229"/>
        <v>285</v>
      </c>
      <c r="F306" s="396">
        <f>Weather!M290</f>
        <v>2</v>
      </c>
      <c r="G306" s="301">
        <f>IF(Weather!C290="","",Weather!C290)</f>
        <v>1.1107021856627586</v>
      </c>
      <c r="H306" s="301">
        <f>IF(Weather!D290="","",Weather!D290)</f>
        <v>1.2083903019037199</v>
      </c>
      <c r="I306" s="502">
        <f>IF(Weather!E290="","",Weather!E290)</f>
        <v>1.2083903019037199</v>
      </c>
      <c r="J306" s="397">
        <f>IF(RnSplint!N334&lt;0,0,RnSplint!N334)</f>
        <v>8.4957844839767684</v>
      </c>
      <c r="K306" s="302">
        <f t="shared" si="260"/>
        <v>0</v>
      </c>
      <c r="L306" s="303">
        <f t="shared" si="261"/>
        <v>38271</v>
      </c>
      <c r="M306" s="346" t="str">
        <f t="shared" si="230"/>
        <v/>
      </c>
      <c r="N306" s="304">
        <f t="shared" si="262"/>
        <v>0</v>
      </c>
      <c r="O306" s="304">
        <f t="shared" si="263"/>
        <v>0</v>
      </c>
      <c r="P306" s="304">
        <f t="shared" si="231"/>
        <v>0</v>
      </c>
      <c r="Q306" s="304">
        <f t="shared" si="232"/>
        <v>1.2</v>
      </c>
      <c r="R306" s="304">
        <f t="shared" si="233"/>
        <v>1.2</v>
      </c>
      <c r="S306" s="305" t="e">
        <f t="shared" si="264"/>
        <v>#N/A</v>
      </c>
      <c r="T306" s="304">
        <f t="shared" si="234"/>
        <v>0</v>
      </c>
      <c r="U306" s="304">
        <f t="shared" si="278"/>
        <v>0</v>
      </c>
      <c r="V306" s="305" t="e">
        <f t="shared" si="235"/>
        <v>#N/A</v>
      </c>
      <c r="W306" s="305" t="e">
        <f t="shared" si="265"/>
        <v>#N/A</v>
      </c>
      <c r="X306" s="304">
        <f t="shared" si="266"/>
        <v>1.2</v>
      </c>
      <c r="Z306" s="304" t="str">
        <f t="shared" si="236"/>
        <v/>
      </c>
      <c r="AA306" s="305" t="e">
        <f t="shared" si="237"/>
        <v>#N/A</v>
      </c>
      <c r="AB306" s="304">
        <f t="shared" si="238"/>
        <v>1.4500683622844639</v>
      </c>
      <c r="AC306" s="304" t="str">
        <f t="shared" si="267"/>
        <v/>
      </c>
      <c r="AD306" s="306">
        <f t="shared" si="239"/>
        <v>0</v>
      </c>
      <c r="AE306" s="307">
        <f t="shared" si="268"/>
        <v>1.4500683622844639</v>
      </c>
      <c r="AF306" s="308" t="e">
        <f t="shared" ref="AF306:AF369" si="281">IF(AD306=0,#N/A,AD306)</f>
        <v>#N/A</v>
      </c>
      <c r="AG306" s="306">
        <f t="shared" si="269"/>
        <v>649.82937666958685</v>
      </c>
      <c r="AH306" s="306">
        <f t="shared" si="241"/>
        <v>0</v>
      </c>
      <c r="AI306" s="306">
        <f t="shared" si="270"/>
        <v>0</v>
      </c>
      <c r="AJ306" s="306">
        <f t="shared" si="271"/>
        <v>0</v>
      </c>
      <c r="AK306" s="306">
        <f t="shared" si="242"/>
        <v>0</v>
      </c>
      <c r="AL306" s="306">
        <f t="shared" si="272"/>
        <v>0</v>
      </c>
      <c r="AM306" s="306">
        <f t="shared" si="243"/>
        <v>0</v>
      </c>
      <c r="AN306" s="304">
        <f>KcSplint!$N335</f>
        <v>0.94694638578183321</v>
      </c>
      <c r="AO306" s="304" t="str">
        <f t="shared" si="244"/>
        <v/>
      </c>
      <c r="AP306" s="304" t="str">
        <f t="shared" si="273"/>
        <v/>
      </c>
      <c r="AQ306" s="305" t="e">
        <f t="shared" si="274"/>
        <v>#N/A</v>
      </c>
      <c r="AR306" s="304" t="str">
        <f t="shared" si="275"/>
        <v/>
      </c>
      <c r="AS306" s="306">
        <f t="shared" si="245"/>
        <v>0</v>
      </c>
      <c r="AT306" s="307" t="e">
        <f t="shared" si="276"/>
        <v>#N/A</v>
      </c>
      <c r="AU306" s="307" t="e">
        <f t="shared" si="277"/>
        <v>#N/A</v>
      </c>
      <c r="AV306" s="304">
        <f t="shared" si="246"/>
        <v>1.2083903019037199</v>
      </c>
      <c r="AW306" s="309">
        <f t="shared" si="247"/>
        <v>3.932448632394185</v>
      </c>
      <c r="AX306" s="306">
        <f>IF(ISERROR(Weather!M290),#N/A,Weather!M290)</f>
        <v>2</v>
      </c>
      <c r="AY306" s="310">
        <f t="shared" si="248"/>
        <v>3</v>
      </c>
      <c r="AZ306" s="309">
        <f t="shared" si="249"/>
        <v>1.2</v>
      </c>
      <c r="BA306" s="309">
        <f t="shared" si="250"/>
        <v>222.44114305948284</v>
      </c>
      <c r="BB306" s="311">
        <f>Irrig!H308</f>
        <v>0</v>
      </c>
      <c r="BC306" s="310">
        <f t="shared" si="251"/>
        <v>0</v>
      </c>
      <c r="BD306" s="309">
        <f t="shared" si="252"/>
        <v>0</v>
      </c>
      <c r="BE306" s="309">
        <f t="shared" si="253"/>
        <v>0</v>
      </c>
      <c r="BF306" s="306">
        <f>DailyMet!H289</f>
        <v>15.79</v>
      </c>
      <c r="BG306" s="306">
        <f>DailyMet!I289</f>
        <v>11.4</v>
      </c>
      <c r="BH306" s="306">
        <f t="shared" si="254"/>
        <v>15.79</v>
      </c>
      <c r="BI306" s="306">
        <f t="shared" si="255"/>
        <v>11.4</v>
      </c>
      <c r="BJ306" s="306">
        <f t="shared" si="256"/>
        <v>3.5949999999999989</v>
      </c>
      <c r="BK306" s="306">
        <f t="shared" si="225"/>
        <v>0</v>
      </c>
      <c r="BL306" s="304">
        <f t="shared" si="257"/>
        <v>0</v>
      </c>
      <c r="BM306" s="304">
        <f t="shared" si="258"/>
        <v>3.5949999999999989</v>
      </c>
      <c r="BN306" s="304">
        <f t="shared" si="279"/>
        <v>3.5949999999999989</v>
      </c>
      <c r="BO306" s="306">
        <f t="shared" si="280"/>
        <v>0</v>
      </c>
      <c r="BP306" s="306"/>
    </row>
    <row r="307" spans="1:68">
      <c r="A307" s="299">
        <f t="shared" si="226"/>
        <v>0</v>
      </c>
      <c r="B307" s="300">
        <f t="shared" si="227"/>
        <v>38272</v>
      </c>
      <c r="C307" s="301" t="e">
        <f t="shared" si="259"/>
        <v>#N/A</v>
      </c>
      <c r="D307" s="301" t="e">
        <f t="shared" si="228"/>
        <v>#N/A</v>
      </c>
      <c r="E307" s="299">
        <f t="shared" si="229"/>
        <v>286</v>
      </c>
      <c r="F307" s="396">
        <f>Weather!M291</f>
        <v>5.8</v>
      </c>
      <c r="G307" s="301">
        <f>IF(Weather!C291="","",Weather!C291)</f>
        <v>1.0859089393483734</v>
      </c>
      <c r="H307" s="301">
        <f>IF(Weather!D291="","",Weather!D291)</f>
        <v>1.1288149993848837</v>
      </c>
      <c r="I307" s="502">
        <f>IF(Weather!E291="","",Weather!E291)</f>
        <v>1.1288149993848837</v>
      </c>
      <c r="J307" s="397">
        <f>IF(RnSplint!N335&lt;0,0,RnSplint!N335)</f>
        <v>8.7525586229001018</v>
      </c>
      <c r="K307" s="302">
        <f t="shared" si="260"/>
        <v>0</v>
      </c>
      <c r="L307" s="303">
        <f t="shared" si="261"/>
        <v>38272</v>
      </c>
      <c r="M307" s="346" t="str">
        <f t="shared" si="230"/>
        <v/>
      </c>
      <c r="N307" s="304">
        <f t="shared" si="262"/>
        <v>0</v>
      </c>
      <c r="O307" s="304">
        <f t="shared" si="263"/>
        <v>0</v>
      </c>
      <c r="P307" s="304">
        <f t="shared" si="231"/>
        <v>0</v>
      </c>
      <c r="Q307" s="304">
        <f t="shared" si="232"/>
        <v>1.2</v>
      </c>
      <c r="R307" s="304">
        <f t="shared" si="233"/>
        <v>1.2</v>
      </c>
      <c r="S307" s="305" t="e">
        <f t="shared" si="264"/>
        <v>#N/A</v>
      </c>
      <c r="T307" s="304">
        <f t="shared" si="234"/>
        <v>0</v>
      </c>
      <c r="U307" s="304">
        <f t="shared" si="278"/>
        <v>0</v>
      </c>
      <c r="V307" s="305" t="e">
        <f t="shared" si="235"/>
        <v>#N/A</v>
      </c>
      <c r="W307" s="305" t="e">
        <f t="shared" si="265"/>
        <v>#N/A</v>
      </c>
      <c r="X307" s="304">
        <f t="shared" si="266"/>
        <v>1.2</v>
      </c>
      <c r="Z307" s="304" t="str">
        <f t="shared" si="236"/>
        <v/>
      </c>
      <c r="AA307" s="305" t="e">
        <f t="shared" si="237"/>
        <v>#N/A</v>
      </c>
      <c r="AB307" s="304">
        <f t="shared" si="238"/>
        <v>1.3545779992618605</v>
      </c>
      <c r="AC307" s="304" t="str">
        <f t="shared" si="267"/>
        <v/>
      </c>
      <c r="AD307" s="306">
        <f t="shared" si="239"/>
        <v>0</v>
      </c>
      <c r="AE307" s="307">
        <f t="shared" si="268"/>
        <v>1.3545779992618605</v>
      </c>
      <c r="AF307" s="308" t="e">
        <f t="shared" si="281"/>
        <v>#N/A</v>
      </c>
      <c r="AG307" s="306">
        <f t="shared" si="269"/>
        <v>650.95819166897172</v>
      </c>
      <c r="AH307" s="306">
        <f t="shared" si="241"/>
        <v>0</v>
      </c>
      <c r="AI307" s="306">
        <f t="shared" si="270"/>
        <v>0</v>
      </c>
      <c r="AJ307" s="306">
        <f t="shared" si="271"/>
        <v>0</v>
      </c>
      <c r="AK307" s="306">
        <f t="shared" si="242"/>
        <v>0</v>
      </c>
      <c r="AL307" s="306">
        <f t="shared" si="272"/>
        <v>0</v>
      </c>
      <c r="AM307" s="306">
        <f t="shared" si="243"/>
        <v>0</v>
      </c>
      <c r="AN307" s="304">
        <f>KcSplint!$N336</f>
        <v>0.95385132456413546</v>
      </c>
      <c r="AO307" s="304" t="str">
        <f t="shared" si="244"/>
        <v/>
      </c>
      <c r="AP307" s="304" t="str">
        <f t="shared" si="273"/>
        <v/>
      </c>
      <c r="AQ307" s="305" t="e">
        <f t="shared" si="274"/>
        <v>#N/A</v>
      </c>
      <c r="AR307" s="304" t="str">
        <f t="shared" si="275"/>
        <v/>
      </c>
      <c r="AS307" s="306">
        <f t="shared" si="245"/>
        <v>0</v>
      </c>
      <c r="AT307" s="307" t="e">
        <f t="shared" si="276"/>
        <v>#N/A</v>
      </c>
      <c r="AU307" s="307" t="e">
        <f t="shared" si="277"/>
        <v>#N/A</v>
      </c>
      <c r="AV307" s="304">
        <f t="shared" si="246"/>
        <v>1.1288149993848837</v>
      </c>
      <c r="AW307" s="309">
        <f t="shared" si="247"/>
        <v>1.1288149993848837</v>
      </c>
      <c r="AX307" s="306">
        <f>IF(ISERROR(Weather!M291),#N/A,Weather!M291)</f>
        <v>5.8</v>
      </c>
      <c r="AY307" s="310">
        <f t="shared" si="248"/>
        <v>1</v>
      </c>
      <c r="AZ307" s="309">
        <f t="shared" si="249"/>
        <v>1.2</v>
      </c>
      <c r="BA307" s="309">
        <f t="shared" si="250"/>
        <v>223.56995805886771</v>
      </c>
      <c r="BB307" s="311">
        <f>Irrig!H309</f>
        <v>0</v>
      </c>
      <c r="BC307" s="310">
        <f t="shared" si="251"/>
        <v>0</v>
      </c>
      <c r="BD307" s="309">
        <f t="shared" si="252"/>
        <v>0</v>
      </c>
      <c r="BE307" s="309">
        <f t="shared" si="253"/>
        <v>0</v>
      </c>
      <c r="BF307" s="306">
        <f>DailyMet!H290</f>
        <v>14.8</v>
      </c>
      <c r="BG307" s="306">
        <f>DailyMet!I290</f>
        <v>12.4</v>
      </c>
      <c r="BH307" s="306">
        <f t="shared" si="254"/>
        <v>14.8</v>
      </c>
      <c r="BI307" s="306">
        <f t="shared" si="255"/>
        <v>12.4</v>
      </c>
      <c r="BJ307" s="306">
        <f t="shared" si="256"/>
        <v>3.6000000000000014</v>
      </c>
      <c r="BK307" s="306">
        <f t="shared" si="225"/>
        <v>0</v>
      </c>
      <c r="BL307" s="304">
        <f t="shared" si="257"/>
        <v>0</v>
      </c>
      <c r="BM307" s="304">
        <f t="shared" si="258"/>
        <v>3.6000000000000014</v>
      </c>
      <c r="BN307" s="304">
        <f t="shared" si="279"/>
        <v>3.6000000000000014</v>
      </c>
      <c r="BO307" s="306">
        <f t="shared" si="280"/>
        <v>0</v>
      </c>
      <c r="BP307" s="306"/>
    </row>
    <row r="308" spans="1:68">
      <c r="A308" s="299">
        <f t="shared" si="226"/>
        <v>0</v>
      </c>
      <c r="B308" s="300">
        <f t="shared" si="227"/>
        <v>38273</v>
      </c>
      <c r="C308" s="301" t="e">
        <f t="shared" si="259"/>
        <v>#N/A</v>
      </c>
      <c r="D308" s="301" t="e">
        <f t="shared" si="228"/>
        <v>#N/A</v>
      </c>
      <c r="E308" s="299">
        <f t="shared" si="229"/>
        <v>287</v>
      </c>
      <c r="F308" s="396">
        <f>Weather!M292</f>
        <v>0.4</v>
      </c>
      <c r="G308" s="301">
        <f>IF(Weather!C292="","",Weather!C292)</f>
        <v>1.0615571256300456</v>
      </c>
      <c r="H308" s="301">
        <f>IF(Weather!D292="","",Weather!D292)</f>
        <v>1.1134455470638116</v>
      </c>
      <c r="I308" s="502">
        <f>IF(Weather!E292="","",Weather!E292)</f>
        <v>1.1134455470638116</v>
      </c>
      <c r="J308" s="397">
        <f>IF(RnSplint!N336&lt;0,0,RnSplint!N336)</f>
        <v>9.0629763533924539</v>
      </c>
      <c r="K308" s="302">
        <f t="shared" si="260"/>
        <v>0</v>
      </c>
      <c r="L308" s="303">
        <f t="shared" si="261"/>
        <v>38273</v>
      </c>
      <c r="M308" s="346" t="str">
        <f t="shared" si="230"/>
        <v/>
      </c>
      <c r="N308" s="304">
        <f t="shared" si="262"/>
        <v>0</v>
      </c>
      <c r="O308" s="304">
        <f t="shared" si="263"/>
        <v>0</v>
      </c>
      <c r="P308" s="304">
        <f t="shared" si="231"/>
        <v>0</v>
      </c>
      <c r="Q308" s="304">
        <f t="shared" si="232"/>
        <v>1.2</v>
      </c>
      <c r="R308" s="304">
        <f t="shared" si="233"/>
        <v>1.2</v>
      </c>
      <c r="S308" s="305" t="e">
        <f t="shared" si="264"/>
        <v>#N/A</v>
      </c>
      <c r="T308" s="304">
        <f t="shared" si="234"/>
        <v>0</v>
      </c>
      <c r="U308" s="304">
        <f t="shared" si="278"/>
        <v>0</v>
      </c>
      <c r="V308" s="305" t="e">
        <f t="shared" si="235"/>
        <v>#N/A</v>
      </c>
      <c r="W308" s="305" t="e">
        <f t="shared" si="265"/>
        <v>#N/A</v>
      </c>
      <c r="X308" s="304">
        <f t="shared" si="266"/>
        <v>1.2</v>
      </c>
      <c r="Z308" s="304" t="str">
        <f t="shared" si="236"/>
        <v/>
      </c>
      <c r="AA308" s="305" t="e">
        <f t="shared" si="237"/>
        <v>#N/A</v>
      </c>
      <c r="AB308" s="304">
        <f t="shared" si="238"/>
        <v>1.3361346564765739</v>
      </c>
      <c r="AC308" s="304" t="str">
        <f t="shared" si="267"/>
        <v/>
      </c>
      <c r="AD308" s="306">
        <f t="shared" si="239"/>
        <v>0</v>
      </c>
      <c r="AE308" s="307">
        <f t="shared" si="268"/>
        <v>1.3361346564765739</v>
      </c>
      <c r="AF308" s="308" t="e">
        <f t="shared" si="281"/>
        <v>#N/A</v>
      </c>
      <c r="AG308" s="306">
        <f t="shared" si="269"/>
        <v>652.07163721603558</v>
      </c>
      <c r="AH308" s="306">
        <f t="shared" si="241"/>
        <v>0</v>
      </c>
      <c r="AI308" s="306">
        <f t="shared" si="270"/>
        <v>0</v>
      </c>
      <c r="AJ308" s="306">
        <f t="shared" si="271"/>
        <v>0</v>
      </c>
      <c r="AK308" s="306">
        <f t="shared" si="242"/>
        <v>0</v>
      </c>
      <c r="AL308" s="306">
        <f t="shared" si="272"/>
        <v>0</v>
      </c>
      <c r="AM308" s="306">
        <f t="shared" si="243"/>
        <v>0</v>
      </c>
      <c r="AN308" s="304">
        <f>KcSplint!$N337</f>
        <v>0.96096719538331965</v>
      </c>
      <c r="AO308" s="304" t="str">
        <f t="shared" si="244"/>
        <v/>
      </c>
      <c r="AP308" s="304" t="str">
        <f t="shared" si="273"/>
        <v/>
      </c>
      <c r="AQ308" s="305" t="e">
        <f t="shared" si="274"/>
        <v>#N/A</v>
      </c>
      <c r="AR308" s="304" t="str">
        <f t="shared" si="275"/>
        <v/>
      </c>
      <c r="AS308" s="306">
        <f t="shared" si="245"/>
        <v>0</v>
      </c>
      <c r="AT308" s="307" t="e">
        <f t="shared" si="276"/>
        <v>#N/A</v>
      </c>
      <c r="AU308" s="307" t="e">
        <f t="shared" si="277"/>
        <v>#N/A</v>
      </c>
      <c r="AV308" s="304">
        <f t="shared" si="246"/>
        <v>1.1134455470638116</v>
      </c>
      <c r="AW308" s="309">
        <f t="shared" si="247"/>
        <v>2.2422605464486951</v>
      </c>
      <c r="AX308" s="306">
        <f>IF(ISERROR(Weather!M292),#N/A,Weather!M292)</f>
        <v>0.4</v>
      </c>
      <c r="AY308" s="310">
        <f t="shared" si="248"/>
        <v>2</v>
      </c>
      <c r="AZ308" s="309">
        <f t="shared" si="249"/>
        <v>1.2</v>
      </c>
      <c r="BA308" s="309">
        <f t="shared" si="250"/>
        <v>224.68340360593152</v>
      </c>
      <c r="BB308" s="311">
        <f>Irrig!H310</f>
        <v>0</v>
      </c>
      <c r="BC308" s="310">
        <f t="shared" si="251"/>
        <v>0</v>
      </c>
      <c r="BD308" s="309">
        <f t="shared" si="252"/>
        <v>0</v>
      </c>
      <c r="BE308" s="309">
        <f t="shared" si="253"/>
        <v>0</v>
      </c>
      <c r="BF308" s="306">
        <f>DailyMet!H291</f>
        <v>15.5</v>
      </c>
      <c r="BG308" s="306">
        <f>DailyMet!I291</f>
        <v>12.6</v>
      </c>
      <c r="BH308" s="306">
        <f t="shared" si="254"/>
        <v>15.5</v>
      </c>
      <c r="BI308" s="306">
        <f t="shared" si="255"/>
        <v>12.6</v>
      </c>
      <c r="BJ308" s="306">
        <f t="shared" si="256"/>
        <v>4.0500000000000007</v>
      </c>
      <c r="BK308" s="306">
        <f t="shared" si="225"/>
        <v>0</v>
      </c>
      <c r="BL308" s="304">
        <f t="shared" si="257"/>
        <v>0</v>
      </c>
      <c r="BM308" s="304">
        <f t="shared" si="258"/>
        <v>4.0500000000000007</v>
      </c>
      <c r="BN308" s="304">
        <f t="shared" si="279"/>
        <v>4.0500000000000007</v>
      </c>
      <c r="BO308" s="306">
        <f t="shared" si="280"/>
        <v>0</v>
      </c>
      <c r="BP308" s="306"/>
    </row>
    <row r="309" spans="1:68">
      <c r="A309" s="299">
        <f t="shared" si="226"/>
        <v>0</v>
      </c>
      <c r="B309" s="300">
        <f t="shared" si="227"/>
        <v>38274</v>
      </c>
      <c r="C309" s="301" t="e">
        <f t="shared" si="259"/>
        <v>#N/A</v>
      </c>
      <c r="D309" s="301" t="e">
        <f t="shared" si="228"/>
        <v>#N/A</v>
      </c>
      <c r="E309" s="299">
        <f t="shared" si="229"/>
        <v>288</v>
      </c>
      <c r="F309" s="396">
        <f>Weather!M293</f>
        <v>0.2</v>
      </c>
      <c r="G309" s="301">
        <f>IF(Weather!C293="","",Weather!C293)</f>
        <v>1.0376122869021256</v>
      </c>
      <c r="H309" s="301">
        <f>IF(Weather!D293="","",Weather!D293)</f>
        <v>1.1510967075143896</v>
      </c>
      <c r="I309" s="502">
        <f>IF(Weather!E293="","",Weather!E293)</f>
        <v>1.1510967075143896</v>
      </c>
      <c r="J309" s="397">
        <f>IF(RnSplint!N337&lt;0,0,RnSplint!N337)</f>
        <v>9.4287618993587898</v>
      </c>
      <c r="K309" s="302">
        <f t="shared" si="260"/>
        <v>0</v>
      </c>
      <c r="L309" s="303">
        <f t="shared" si="261"/>
        <v>38274</v>
      </c>
      <c r="M309" s="346" t="str">
        <f t="shared" si="230"/>
        <v/>
      </c>
      <c r="N309" s="304">
        <f t="shared" si="262"/>
        <v>0</v>
      </c>
      <c r="O309" s="304">
        <f t="shared" si="263"/>
        <v>0</v>
      </c>
      <c r="P309" s="304">
        <f t="shared" si="231"/>
        <v>0</v>
      </c>
      <c r="Q309" s="304">
        <f t="shared" si="232"/>
        <v>1.2</v>
      </c>
      <c r="R309" s="304">
        <f t="shared" si="233"/>
        <v>1.2</v>
      </c>
      <c r="S309" s="305" t="e">
        <f t="shared" si="264"/>
        <v>#N/A</v>
      </c>
      <c r="T309" s="304">
        <f t="shared" si="234"/>
        <v>0</v>
      </c>
      <c r="U309" s="304">
        <f t="shared" si="278"/>
        <v>0</v>
      </c>
      <c r="V309" s="305" t="e">
        <f t="shared" si="235"/>
        <v>#N/A</v>
      </c>
      <c r="W309" s="305" t="e">
        <f t="shared" si="265"/>
        <v>#N/A</v>
      </c>
      <c r="X309" s="304">
        <f t="shared" si="266"/>
        <v>1.2</v>
      </c>
      <c r="Z309" s="304" t="str">
        <f t="shared" si="236"/>
        <v/>
      </c>
      <c r="AA309" s="305" t="e">
        <f t="shared" si="237"/>
        <v>#N/A</v>
      </c>
      <c r="AB309" s="304">
        <f t="shared" si="238"/>
        <v>1.3813160490172676</v>
      </c>
      <c r="AC309" s="304" t="str">
        <f t="shared" si="267"/>
        <v/>
      </c>
      <c r="AD309" s="306">
        <f t="shared" si="239"/>
        <v>0</v>
      </c>
      <c r="AE309" s="307">
        <f t="shared" si="268"/>
        <v>1.3813160490172676</v>
      </c>
      <c r="AF309" s="308" t="e">
        <f t="shared" si="281"/>
        <v>#N/A</v>
      </c>
      <c r="AG309" s="306">
        <f t="shared" si="269"/>
        <v>653.22273392354998</v>
      </c>
      <c r="AH309" s="306">
        <f t="shared" si="241"/>
        <v>0</v>
      </c>
      <c r="AI309" s="306">
        <f t="shared" si="270"/>
        <v>0</v>
      </c>
      <c r="AJ309" s="306">
        <f t="shared" si="271"/>
        <v>0</v>
      </c>
      <c r="AK309" s="306">
        <f t="shared" si="242"/>
        <v>0</v>
      </c>
      <c r="AL309" s="306">
        <f t="shared" si="272"/>
        <v>0</v>
      </c>
      <c r="AM309" s="306">
        <f t="shared" si="243"/>
        <v>0</v>
      </c>
      <c r="AN309" s="304">
        <f>KcSplint!$N338</f>
        <v>0.96828647507343291</v>
      </c>
      <c r="AO309" s="304" t="str">
        <f t="shared" si="244"/>
        <v/>
      </c>
      <c r="AP309" s="304" t="str">
        <f t="shared" si="273"/>
        <v/>
      </c>
      <c r="AQ309" s="305" t="e">
        <f t="shared" ref="AQ309:AQ372" si="282">IF(AP309="",#N/A,AP309)</f>
        <v>#N/A</v>
      </c>
      <c r="AR309" s="304" t="str">
        <f t="shared" ref="AR309:AR372" si="283">IF(AP309="","",AP309*AV309)</f>
        <v/>
      </c>
      <c r="AS309" s="306">
        <f t="shared" si="245"/>
        <v>0</v>
      </c>
      <c r="AT309" s="307" t="e">
        <f t="shared" ref="AT309:AT372" si="284">IF(AR309="",#N/A,AR309)</f>
        <v>#N/A</v>
      </c>
      <c r="AU309" s="307" t="e">
        <f t="shared" ref="AU309:AU372" si="285">IF(AS309=0,#N/A,AS309)</f>
        <v>#N/A</v>
      </c>
      <c r="AV309" s="304">
        <f t="shared" si="246"/>
        <v>1.1510967075143896</v>
      </c>
      <c r="AW309" s="309">
        <f t="shared" si="247"/>
        <v>3.3933572539630847</v>
      </c>
      <c r="AX309" s="306">
        <f>IF(ISERROR(Weather!M293),#N/A,Weather!M293)</f>
        <v>0.2</v>
      </c>
      <c r="AY309" s="310">
        <f t="shared" si="248"/>
        <v>3</v>
      </c>
      <c r="AZ309" s="309">
        <f t="shared" si="249"/>
        <v>1.2</v>
      </c>
      <c r="BA309" s="309">
        <f t="shared" si="250"/>
        <v>225.83450031344591</v>
      </c>
      <c r="BB309" s="311">
        <f>Irrig!H311</f>
        <v>0</v>
      </c>
      <c r="BC309" s="310">
        <f t="shared" si="251"/>
        <v>0</v>
      </c>
      <c r="BD309" s="309">
        <f t="shared" si="252"/>
        <v>0</v>
      </c>
      <c r="BE309" s="309">
        <f t="shared" si="253"/>
        <v>0</v>
      </c>
      <c r="BF309" s="306">
        <f>DailyMet!H292</f>
        <v>14.56</v>
      </c>
      <c r="BG309" s="306">
        <f>DailyMet!I292</f>
        <v>11.2</v>
      </c>
      <c r="BH309" s="306">
        <f t="shared" si="254"/>
        <v>14.56</v>
      </c>
      <c r="BI309" s="306">
        <f t="shared" si="255"/>
        <v>11.2</v>
      </c>
      <c r="BJ309" s="306">
        <f t="shared" si="256"/>
        <v>2.879999999999999</v>
      </c>
      <c r="BK309" s="306">
        <f t="shared" si="225"/>
        <v>0</v>
      </c>
      <c r="BL309" s="304">
        <f t="shared" si="257"/>
        <v>0</v>
      </c>
      <c r="BM309" s="304">
        <f t="shared" si="258"/>
        <v>2.879999999999999</v>
      </c>
      <c r="BN309" s="304">
        <f t="shared" si="279"/>
        <v>2.879999999999999</v>
      </c>
      <c r="BO309" s="306">
        <f t="shared" si="280"/>
        <v>0</v>
      </c>
      <c r="BP309" s="306"/>
    </row>
    <row r="310" spans="1:68">
      <c r="A310" s="299">
        <f t="shared" si="226"/>
        <v>0</v>
      </c>
      <c r="B310" s="300">
        <f t="shared" si="227"/>
        <v>38275</v>
      </c>
      <c r="C310" s="301" t="e">
        <f t="shared" si="259"/>
        <v>#N/A</v>
      </c>
      <c r="D310" s="301" t="e">
        <f t="shared" si="228"/>
        <v>#N/A</v>
      </c>
      <c r="E310" s="299">
        <f t="shared" si="229"/>
        <v>289</v>
      </c>
      <c r="F310" s="396">
        <f>Weather!M294</f>
        <v>4.2</v>
      </c>
      <c r="G310" s="301">
        <f>IF(Weather!C294="","",Weather!C294)</f>
        <v>1.0140399655589647</v>
      </c>
      <c r="H310" s="301">
        <f>IF(Weather!D294="","",Weather!D294)</f>
        <v>1.1727987746997555</v>
      </c>
      <c r="I310" s="502">
        <f>IF(Weather!E294="","",Weather!E294)</f>
        <v>1.1727987746997555</v>
      </c>
      <c r="J310" s="397">
        <f>IF(RnSplint!N338&lt;0,0,RnSplint!N338)</f>
        <v>9.851639484704096</v>
      </c>
      <c r="K310" s="302">
        <f t="shared" si="260"/>
        <v>0</v>
      </c>
      <c r="L310" s="303">
        <f t="shared" si="261"/>
        <v>38275</v>
      </c>
      <c r="M310" s="346" t="str">
        <f t="shared" si="230"/>
        <v/>
      </c>
      <c r="N310" s="304">
        <f t="shared" si="262"/>
        <v>0</v>
      </c>
      <c r="O310" s="304">
        <f t="shared" si="263"/>
        <v>0</v>
      </c>
      <c r="P310" s="304">
        <f t="shared" si="231"/>
        <v>0</v>
      </c>
      <c r="Q310" s="304">
        <f t="shared" si="232"/>
        <v>1.2</v>
      </c>
      <c r="R310" s="304">
        <f t="shared" si="233"/>
        <v>1.2</v>
      </c>
      <c r="S310" s="305" t="e">
        <f t="shared" si="264"/>
        <v>#N/A</v>
      </c>
      <c r="T310" s="304">
        <f t="shared" si="234"/>
        <v>0</v>
      </c>
      <c r="U310" s="304">
        <f t="shared" si="278"/>
        <v>0</v>
      </c>
      <c r="V310" s="305" t="e">
        <f t="shared" si="235"/>
        <v>#N/A</v>
      </c>
      <c r="W310" s="305" t="e">
        <f t="shared" si="265"/>
        <v>#N/A</v>
      </c>
      <c r="X310" s="304">
        <f t="shared" si="266"/>
        <v>1.2</v>
      </c>
      <c r="Z310" s="304" t="str">
        <f t="shared" si="236"/>
        <v/>
      </c>
      <c r="AA310" s="305" t="e">
        <f t="shared" si="237"/>
        <v>#N/A</v>
      </c>
      <c r="AB310" s="304">
        <f t="shared" si="238"/>
        <v>1.4073585296397064</v>
      </c>
      <c r="AC310" s="304" t="str">
        <f t="shared" si="267"/>
        <v/>
      </c>
      <c r="AD310" s="306">
        <f t="shared" si="239"/>
        <v>0</v>
      </c>
      <c r="AE310" s="307">
        <f t="shared" si="268"/>
        <v>1.4073585296397064</v>
      </c>
      <c r="AF310" s="308" t="e">
        <f t="shared" si="281"/>
        <v>#N/A</v>
      </c>
      <c r="AG310" s="306">
        <f t="shared" si="269"/>
        <v>654.39553269824978</v>
      </c>
      <c r="AH310" s="306">
        <f t="shared" si="241"/>
        <v>0</v>
      </c>
      <c r="AI310" s="306">
        <f t="shared" si="270"/>
        <v>0</v>
      </c>
      <c r="AJ310" s="306">
        <f t="shared" si="271"/>
        <v>0</v>
      </c>
      <c r="AK310" s="306">
        <f t="shared" si="242"/>
        <v>0</v>
      </c>
      <c r="AL310" s="306">
        <f t="shared" si="272"/>
        <v>0</v>
      </c>
      <c r="AM310" s="306">
        <f t="shared" si="243"/>
        <v>0</v>
      </c>
      <c r="AN310" s="304">
        <f>KcSplint!$N339</f>
        <v>0.97580164046852269</v>
      </c>
      <c r="AO310" s="304" t="str">
        <f t="shared" si="244"/>
        <v/>
      </c>
      <c r="AP310" s="304" t="str">
        <f t="shared" si="273"/>
        <v/>
      </c>
      <c r="AQ310" s="305" t="e">
        <f t="shared" si="282"/>
        <v>#N/A</v>
      </c>
      <c r="AR310" s="304" t="str">
        <f t="shared" si="283"/>
        <v/>
      </c>
      <c r="AS310" s="306">
        <f t="shared" si="245"/>
        <v>0</v>
      </c>
      <c r="AT310" s="307" t="e">
        <f t="shared" si="284"/>
        <v>#N/A</v>
      </c>
      <c r="AU310" s="307" t="e">
        <f t="shared" si="285"/>
        <v>#N/A</v>
      </c>
      <c r="AV310" s="304">
        <f t="shared" si="246"/>
        <v>1.1727987746997555</v>
      </c>
      <c r="AW310" s="309">
        <f t="shared" si="247"/>
        <v>1.1727987746997555</v>
      </c>
      <c r="AX310" s="306">
        <f>IF(ISERROR(Weather!M294),#N/A,Weather!M294)</f>
        <v>4.2</v>
      </c>
      <c r="AY310" s="310">
        <f t="shared" si="248"/>
        <v>1</v>
      </c>
      <c r="AZ310" s="309">
        <f t="shared" si="249"/>
        <v>1.2</v>
      </c>
      <c r="BA310" s="309">
        <f t="shared" si="250"/>
        <v>227.00729908814566</v>
      </c>
      <c r="BB310" s="311">
        <f>Irrig!H312</f>
        <v>0</v>
      </c>
      <c r="BC310" s="310">
        <f t="shared" si="251"/>
        <v>0</v>
      </c>
      <c r="BD310" s="309">
        <f t="shared" si="252"/>
        <v>0</v>
      </c>
      <c r="BE310" s="309">
        <f t="shared" si="253"/>
        <v>0</v>
      </c>
      <c r="BF310" s="306">
        <f>DailyMet!H293</f>
        <v>14.5</v>
      </c>
      <c r="BG310" s="306">
        <f>DailyMet!I293</f>
        <v>10.5</v>
      </c>
      <c r="BH310" s="306">
        <f t="shared" si="254"/>
        <v>14.5</v>
      </c>
      <c r="BI310" s="306">
        <f t="shared" si="255"/>
        <v>10.5</v>
      </c>
      <c r="BJ310" s="306">
        <f t="shared" si="256"/>
        <v>2.5</v>
      </c>
      <c r="BK310" s="306">
        <f t="shared" si="225"/>
        <v>0</v>
      </c>
      <c r="BL310" s="304">
        <f t="shared" si="257"/>
        <v>0</v>
      </c>
      <c r="BM310" s="304">
        <f t="shared" si="258"/>
        <v>2.5</v>
      </c>
      <c r="BN310" s="304">
        <f t="shared" si="279"/>
        <v>2.5</v>
      </c>
      <c r="BO310" s="306">
        <f t="shared" si="280"/>
        <v>0</v>
      </c>
      <c r="BP310" s="306"/>
    </row>
    <row r="311" spans="1:68">
      <c r="A311" s="299">
        <f t="shared" si="226"/>
        <v>0</v>
      </c>
      <c r="B311" s="300">
        <f t="shared" si="227"/>
        <v>38276</v>
      </c>
      <c r="C311" s="301" t="e">
        <f t="shared" si="259"/>
        <v>#N/A</v>
      </c>
      <c r="D311" s="301" t="e">
        <f t="shared" si="228"/>
        <v>#N/A</v>
      </c>
      <c r="E311" s="299">
        <f t="shared" si="229"/>
        <v>290</v>
      </c>
      <c r="F311" s="396">
        <f>Weather!M295</f>
        <v>0</v>
      </c>
      <c r="G311" s="301">
        <f>IF(Weather!C295="","",Weather!C295)</f>
        <v>0.99080570399491297</v>
      </c>
      <c r="H311" s="301">
        <f>IF(Weather!D295="","",Weather!D295)</f>
        <v>1.0443698197165927</v>
      </c>
      <c r="I311" s="502">
        <f>IF(Weather!E295="","",Weather!E295)</f>
        <v>1.0443698197165927</v>
      </c>
      <c r="J311" s="397">
        <f>IF(RnSplint!N339&lt;0,0,RnSplint!N339)</f>
        <v>10.333333333333334</v>
      </c>
      <c r="K311" s="302">
        <f t="shared" si="260"/>
        <v>0</v>
      </c>
      <c r="L311" s="303">
        <f t="shared" si="261"/>
        <v>38276</v>
      </c>
      <c r="M311" s="346" t="str">
        <f t="shared" si="230"/>
        <v/>
      </c>
      <c r="N311" s="304">
        <f t="shared" si="262"/>
        <v>0</v>
      </c>
      <c r="O311" s="304">
        <f t="shared" si="263"/>
        <v>0</v>
      </c>
      <c r="P311" s="304">
        <f t="shared" si="231"/>
        <v>0</v>
      </c>
      <c r="Q311" s="304">
        <f t="shared" si="232"/>
        <v>1.2</v>
      </c>
      <c r="R311" s="304">
        <f t="shared" si="233"/>
        <v>1.2</v>
      </c>
      <c r="S311" s="305" t="e">
        <f t="shared" si="264"/>
        <v>#N/A</v>
      </c>
      <c r="T311" s="304">
        <f t="shared" si="234"/>
        <v>0</v>
      </c>
      <c r="U311" s="304">
        <f t="shared" si="278"/>
        <v>0</v>
      </c>
      <c r="V311" s="305" t="e">
        <f t="shared" si="235"/>
        <v>#N/A</v>
      </c>
      <c r="W311" s="305" t="e">
        <f t="shared" si="265"/>
        <v>#N/A</v>
      </c>
      <c r="X311" s="304">
        <f t="shared" si="266"/>
        <v>1.2</v>
      </c>
      <c r="Z311" s="304" t="str">
        <f t="shared" si="236"/>
        <v/>
      </c>
      <c r="AA311" s="305" t="e">
        <f t="shared" si="237"/>
        <v>#N/A</v>
      </c>
      <c r="AB311" s="304">
        <f t="shared" si="238"/>
        <v>1.2532437836599113</v>
      </c>
      <c r="AC311" s="304" t="str">
        <f t="shared" si="267"/>
        <v/>
      </c>
      <c r="AD311" s="306">
        <f t="shared" si="239"/>
        <v>0</v>
      </c>
      <c r="AE311" s="307">
        <f t="shared" si="268"/>
        <v>1.2532437836599113</v>
      </c>
      <c r="AF311" s="308" t="e">
        <f t="shared" si="281"/>
        <v>#N/A</v>
      </c>
      <c r="AG311" s="306">
        <f t="shared" si="269"/>
        <v>655.4399025179664</v>
      </c>
      <c r="AH311" s="306">
        <f t="shared" si="241"/>
        <v>0</v>
      </c>
      <c r="AI311" s="306">
        <f t="shared" si="270"/>
        <v>0</v>
      </c>
      <c r="AJ311" s="306">
        <f t="shared" si="271"/>
        <v>0</v>
      </c>
      <c r="AK311" s="306">
        <f t="shared" si="242"/>
        <v>0</v>
      </c>
      <c r="AL311" s="306">
        <f t="shared" si="272"/>
        <v>0</v>
      </c>
      <c r="AM311" s="306">
        <f t="shared" si="243"/>
        <v>0</v>
      </c>
      <c r="AN311" s="304">
        <f>KcSplint!$N340</f>
        <v>0.98350282530663613</v>
      </c>
      <c r="AO311" s="304" t="str">
        <f t="shared" si="244"/>
        <v/>
      </c>
      <c r="AP311" s="304" t="str">
        <f t="shared" si="273"/>
        <v/>
      </c>
      <c r="AQ311" s="305" t="e">
        <f t="shared" si="282"/>
        <v>#N/A</v>
      </c>
      <c r="AR311" s="304" t="str">
        <f t="shared" si="283"/>
        <v/>
      </c>
      <c r="AS311" s="306">
        <f t="shared" si="245"/>
        <v>0</v>
      </c>
      <c r="AT311" s="307" t="e">
        <f t="shared" si="284"/>
        <v>#N/A</v>
      </c>
      <c r="AU311" s="307" t="e">
        <f t="shared" si="285"/>
        <v>#N/A</v>
      </c>
      <c r="AV311" s="304">
        <f t="shared" si="246"/>
        <v>1.0443698197165927</v>
      </c>
      <c r="AW311" s="309">
        <f t="shared" si="247"/>
        <v>2.2171685944163482</v>
      </c>
      <c r="AX311" s="306">
        <f>IF(ISERROR(Weather!M295),#N/A,Weather!M295)</f>
        <v>0</v>
      </c>
      <c r="AY311" s="310">
        <f t="shared" si="248"/>
        <v>2</v>
      </c>
      <c r="AZ311" s="309">
        <f t="shared" si="249"/>
        <v>1.2</v>
      </c>
      <c r="BA311" s="309">
        <f t="shared" si="250"/>
        <v>228.05166890786225</v>
      </c>
      <c r="BB311" s="311">
        <f>Irrig!H313</f>
        <v>0</v>
      </c>
      <c r="BC311" s="310">
        <f t="shared" si="251"/>
        <v>0</v>
      </c>
      <c r="BD311" s="309">
        <f t="shared" si="252"/>
        <v>0</v>
      </c>
      <c r="BE311" s="309">
        <f t="shared" si="253"/>
        <v>0</v>
      </c>
      <c r="BF311" s="306">
        <f>DailyMet!H294</f>
        <v>12.38</v>
      </c>
      <c r="BG311" s="306">
        <f>DailyMet!I294</f>
        <v>8</v>
      </c>
      <c r="BH311" s="306">
        <f t="shared" si="254"/>
        <v>12.38</v>
      </c>
      <c r="BI311" s="306">
        <f t="shared" si="255"/>
        <v>10</v>
      </c>
      <c r="BJ311" s="306">
        <f t="shared" si="256"/>
        <v>1.1900000000000013</v>
      </c>
      <c r="BK311" s="306">
        <f t="shared" si="225"/>
        <v>0</v>
      </c>
      <c r="BL311" s="304">
        <f t="shared" si="257"/>
        <v>0</v>
      </c>
      <c r="BM311" s="304">
        <f t="shared" si="258"/>
        <v>0.64662100456621041</v>
      </c>
      <c r="BN311" s="304">
        <f t="shared" si="279"/>
        <v>0.64662100456621041</v>
      </c>
      <c r="BO311" s="306">
        <f t="shared" si="280"/>
        <v>0</v>
      </c>
      <c r="BP311" s="306"/>
    </row>
    <row r="312" spans="1:68">
      <c r="A312" s="299">
        <f t="shared" si="226"/>
        <v>0</v>
      </c>
      <c r="B312" s="300">
        <f t="shared" si="227"/>
        <v>38277</v>
      </c>
      <c r="C312" s="301" t="e">
        <f t="shared" si="259"/>
        <v>#N/A</v>
      </c>
      <c r="D312" s="301" t="e">
        <f t="shared" si="228"/>
        <v>#N/A</v>
      </c>
      <c r="E312" s="299">
        <f t="shared" si="229"/>
        <v>291</v>
      </c>
      <c r="F312" s="396">
        <f>Weather!M296</f>
        <v>0</v>
      </c>
      <c r="G312" s="301">
        <f>IF(Weather!C296="","",Weather!C296)</f>
        <v>0.96788101036671126</v>
      </c>
      <c r="H312" s="301">
        <f>IF(Weather!D296="","",Weather!D296)</f>
        <v>0.92688630504524805</v>
      </c>
      <c r="I312" s="502">
        <f>IF(Weather!E296="","",Weather!E296)</f>
        <v>0.92688630504524805</v>
      </c>
      <c r="J312" s="397">
        <f>IF(RnSplint!N340&lt;0,0,RnSplint!N340)</f>
        <v>10.87443115575193</v>
      </c>
      <c r="K312" s="302">
        <f t="shared" si="260"/>
        <v>0</v>
      </c>
      <c r="L312" s="303">
        <f t="shared" si="261"/>
        <v>38277</v>
      </c>
      <c r="M312" s="346" t="str">
        <f t="shared" si="230"/>
        <v/>
      </c>
      <c r="N312" s="304">
        <f t="shared" si="262"/>
        <v>0</v>
      </c>
      <c r="O312" s="304">
        <f t="shared" si="263"/>
        <v>0</v>
      </c>
      <c r="P312" s="304">
        <f t="shared" si="231"/>
        <v>0</v>
      </c>
      <c r="Q312" s="304">
        <f t="shared" si="232"/>
        <v>1.2</v>
      </c>
      <c r="R312" s="304">
        <f t="shared" si="233"/>
        <v>1.2</v>
      </c>
      <c r="S312" s="305" t="e">
        <f t="shared" si="264"/>
        <v>#N/A</v>
      </c>
      <c r="T312" s="304">
        <f t="shared" si="234"/>
        <v>0</v>
      </c>
      <c r="U312" s="304">
        <f t="shared" si="278"/>
        <v>0</v>
      </c>
      <c r="V312" s="305" t="e">
        <f t="shared" si="235"/>
        <v>#N/A</v>
      </c>
      <c r="W312" s="305" t="e">
        <f t="shared" si="265"/>
        <v>#N/A</v>
      </c>
      <c r="X312" s="304">
        <f t="shared" si="266"/>
        <v>1.2</v>
      </c>
      <c r="Z312" s="304" t="str">
        <f t="shared" si="236"/>
        <v/>
      </c>
      <c r="AA312" s="305" t="e">
        <f t="shared" si="237"/>
        <v>#N/A</v>
      </c>
      <c r="AB312" s="304">
        <f t="shared" si="238"/>
        <v>1.1122635660542977</v>
      </c>
      <c r="AC312" s="304" t="str">
        <f t="shared" si="267"/>
        <v/>
      </c>
      <c r="AD312" s="306">
        <f t="shared" si="239"/>
        <v>0</v>
      </c>
      <c r="AE312" s="307">
        <f t="shared" si="268"/>
        <v>1.1122635660542977</v>
      </c>
      <c r="AF312" s="308" t="e">
        <f t="shared" si="281"/>
        <v>#N/A</v>
      </c>
      <c r="AG312" s="306">
        <f t="shared" si="269"/>
        <v>656.36678882301169</v>
      </c>
      <c r="AH312" s="306">
        <f t="shared" si="241"/>
        <v>0</v>
      </c>
      <c r="AI312" s="306">
        <f t="shared" si="270"/>
        <v>0</v>
      </c>
      <c r="AJ312" s="306">
        <f t="shared" si="271"/>
        <v>0</v>
      </c>
      <c r="AK312" s="306">
        <f t="shared" si="242"/>
        <v>0</v>
      </c>
      <c r="AL312" s="306">
        <f t="shared" si="272"/>
        <v>0</v>
      </c>
      <c r="AM312" s="306">
        <f t="shared" si="243"/>
        <v>0</v>
      </c>
      <c r="AN312" s="304">
        <f>KcSplint!$N341</f>
        <v>0.99137079094181679</v>
      </c>
      <c r="AO312" s="304" t="str">
        <f t="shared" si="244"/>
        <v/>
      </c>
      <c r="AP312" s="304" t="str">
        <f t="shared" si="273"/>
        <v/>
      </c>
      <c r="AQ312" s="305" t="e">
        <f t="shared" si="282"/>
        <v>#N/A</v>
      </c>
      <c r="AR312" s="304" t="str">
        <f t="shared" si="283"/>
        <v/>
      </c>
      <c r="AS312" s="306">
        <f t="shared" si="245"/>
        <v>0</v>
      </c>
      <c r="AT312" s="307" t="e">
        <f t="shared" si="284"/>
        <v>#N/A</v>
      </c>
      <c r="AU312" s="307" t="e">
        <f t="shared" si="285"/>
        <v>#N/A</v>
      </c>
      <c r="AV312" s="304">
        <f t="shared" si="246"/>
        <v>0.92688630504524805</v>
      </c>
      <c r="AW312" s="309">
        <f t="shared" si="247"/>
        <v>3.1440548994615964</v>
      </c>
      <c r="AX312" s="306">
        <f>IF(ISERROR(Weather!M296),#N/A,Weather!M296)</f>
        <v>0</v>
      </c>
      <c r="AY312" s="310">
        <f t="shared" si="248"/>
        <v>3</v>
      </c>
      <c r="AZ312" s="309">
        <f t="shared" si="249"/>
        <v>1.2</v>
      </c>
      <c r="BA312" s="309">
        <f t="shared" si="250"/>
        <v>228.97855521290751</v>
      </c>
      <c r="BB312" s="311">
        <f>Irrig!H314</f>
        <v>0</v>
      </c>
      <c r="BC312" s="310">
        <f t="shared" si="251"/>
        <v>0</v>
      </c>
      <c r="BD312" s="309">
        <f t="shared" si="252"/>
        <v>0</v>
      </c>
      <c r="BE312" s="309">
        <f t="shared" si="253"/>
        <v>0</v>
      </c>
      <c r="BF312" s="306">
        <f>DailyMet!H295</f>
        <v>13.61</v>
      </c>
      <c r="BG312" s="306">
        <f>DailyMet!I295</f>
        <v>7.7</v>
      </c>
      <c r="BH312" s="306">
        <f t="shared" si="254"/>
        <v>13.61</v>
      </c>
      <c r="BI312" s="306">
        <f t="shared" si="255"/>
        <v>10</v>
      </c>
      <c r="BJ312" s="306">
        <f t="shared" si="256"/>
        <v>1.8049999999999997</v>
      </c>
      <c r="BK312" s="306">
        <f t="shared" si="225"/>
        <v>0</v>
      </c>
      <c r="BL312" s="304">
        <f t="shared" si="257"/>
        <v>0</v>
      </c>
      <c r="BM312" s="304">
        <f t="shared" si="258"/>
        <v>1.1025465313028764</v>
      </c>
      <c r="BN312" s="304">
        <f t="shared" si="279"/>
        <v>1.1025465313028764</v>
      </c>
      <c r="BO312" s="306">
        <f t="shared" si="280"/>
        <v>0</v>
      </c>
      <c r="BP312" s="306"/>
    </row>
    <row r="313" spans="1:68">
      <c r="A313" s="299">
        <f t="shared" si="226"/>
        <v>0</v>
      </c>
      <c r="B313" s="300">
        <f t="shared" si="227"/>
        <v>38278</v>
      </c>
      <c r="C313" s="301" t="e">
        <f t="shared" si="259"/>
        <v>#N/A</v>
      </c>
      <c r="D313" s="301" t="e">
        <f t="shared" si="228"/>
        <v>#N/A</v>
      </c>
      <c r="E313" s="299">
        <f t="shared" si="229"/>
        <v>292</v>
      </c>
      <c r="F313" s="396">
        <f>Weather!M297</f>
        <v>0</v>
      </c>
      <c r="G313" s="301">
        <f>IF(Weather!C297="","",Weather!C297)</f>
        <v>0.94526125588065835</v>
      </c>
      <c r="H313" s="301">
        <f>IF(Weather!D297="","",Weather!D297)</f>
        <v>0.40507062756410828</v>
      </c>
      <c r="I313" s="502">
        <f>IF(Weather!E297="","",Weather!E297)</f>
        <v>0.40507062756410828</v>
      </c>
      <c r="J313" s="397">
        <f>IF(RnSplint!N341&lt;0,0,RnSplint!N341)</f>
        <v>11.470974608867099</v>
      </c>
      <c r="K313" s="302">
        <f t="shared" si="260"/>
        <v>0</v>
      </c>
      <c r="L313" s="303">
        <f t="shared" si="261"/>
        <v>38278</v>
      </c>
      <c r="M313" s="346" t="str">
        <f t="shared" si="230"/>
        <v/>
      </c>
      <c r="N313" s="304">
        <f t="shared" si="262"/>
        <v>0</v>
      </c>
      <c r="O313" s="304">
        <f t="shared" si="263"/>
        <v>0</v>
      </c>
      <c r="P313" s="304">
        <f t="shared" si="231"/>
        <v>0</v>
      </c>
      <c r="Q313" s="304">
        <f t="shared" si="232"/>
        <v>1.2</v>
      </c>
      <c r="R313" s="304">
        <f t="shared" si="233"/>
        <v>1.2</v>
      </c>
      <c r="S313" s="305" t="e">
        <f t="shared" si="264"/>
        <v>#N/A</v>
      </c>
      <c r="T313" s="304">
        <f t="shared" si="234"/>
        <v>0</v>
      </c>
      <c r="U313" s="304">
        <f t="shared" si="278"/>
        <v>0</v>
      </c>
      <c r="V313" s="305" t="e">
        <f t="shared" si="235"/>
        <v>#N/A</v>
      </c>
      <c r="W313" s="305" t="e">
        <f t="shared" si="265"/>
        <v>#N/A</v>
      </c>
      <c r="X313" s="304">
        <f t="shared" si="266"/>
        <v>1.2</v>
      </c>
      <c r="Z313" s="304" t="str">
        <f t="shared" si="236"/>
        <v/>
      </c>
      <c r="AA313" s="305" t="e">
        <f t="shared" si="237"/>
        <v>#N/A</v>
      </c>
      <c r="AB313" s="304">
        <f t="shared" si="238"/>
        <v>0.48608475307692989</v>
      </c>
      <c r="AC313" s="304" t="str">
        <f t="shared" si="267"/>
        <v/>
      </c>
      <c r="AD313" s="306">
        <f t="shared" si="239"/>
        <v>0</v>
      </c>
      <c r="AE313" s="307">
        <f t="shared" si="268"/>
        <v>0.48608475307692989</v>
      </c>
      <c r="AF313" s="308" t="e">
        <f t="shared" si="281"/>
        <v>#N/A</v>
      </c>
      <c r="AG313" s="306">
        <f t="shared" si="269"/>
        <v>656.77185945057579</v>
      </c>
      <c r="AH313" s="306">
        <f t="shared" si="241"/>
        <v>0</v>
      </c>
      <c r="AI313" s="306">
        <f t="shared" si="270"/>
        <v>0</v>
      </c>
      <c r="AJ313" s="306">
        <f t="shared" si="271"/>
        <v>0</v>
      </c>
      <c r="AK313" s="306">
        <f t="shared" si="242"/>
        <v>0</v>
      </c>
      <c r="AL313" s="306">
        <f t="shared" si="272"/>
        <v>0</v>
      </c>
      <c r="AM313" s="306">
        <f t="shared" si="243"/>
        <v>0</v>
      </c>
      <c r="AN313" s="304">
        <f>KcSplint!$N342</f>
        <v>0.9993839556321078</v>
      </c>
      <c r="AO313" s="304" t="str">
        <f t="shared" si="244"/>
        <v/>
      </c>
      <c r="AP313" s="304" t="str">
        <f t="shared" si="273"/>
        <v/>
      </c>
      <c r="AQ313" s="305" t="e">
        <f t="shared" si="282"/>
        <v>#N/A</v>
      </c>
      <c r="AR313" s="304" t="str">
        <f t="shared" si="283"/>
        <v/>
      </c>
      <c r="AS313" s="306">
        <f t="shared" si="245"/>
        <v>0</v>
      </c>
      <c r="AT313" s="307" t="e">
        <f t="shared" si="284"/>
        <v>#N/A</v>
      </c>
      <c r="AU313" s="307" t="e">
        <f t="shared" si="285"/>
        <v>#N/A</v>
      </c>
      <c r="AV313" s="304">
        <f t="shared" si="246"/>
        <v>0.40507062756410828</v>
      </c>
      <c r="AW313" s="309">
        <f t="shared" si="247"/>
        <v>3.5491255270257049</v>
      </c>
      <c r="AX313" s="306">
        <f>IF(ISERROR(Weather!M297),#N/A,Weather!M297)</f>
        <v>0</v>
      </c>
      <c r="AY313" s="310">
        <f t="shared" si="248"/>
        <v>4</v>
      </c>
      <c r="AZ313" s="309">
        <f t="shared" si="249"/>
        <v>1.2</v>
      </c>
      <c r="BA313" s="309">
        <f t="shared" si="250"/>
        <v>229.38362584047161</v>
      </c>
      <c r="BB313" s="311">
        <f>Irrig!H315</f>
        <v>0</v>
      </c>
      <c r="BC313" s="310">
        <f t="shared" si="251"/>
        <v>0</v>
      </c>
      <c r="BD313" s="309">
        <f t="shared" si="252"/>
        <v>0</v>
      </c>
      <c r="BE313" s="309">
        <f t="shared" si="253"/>
        <v>0</v>
      </c>
      <c r="BF313" s="306">
        <f>DailyMet!H296</f>
        <v>14.39</v>
      </c>
      <c r="BG313" s="306">
        <f>DailyMet!I296</f>
        <v>11.3</v>
      </c>
      <c r="BH313" s="306">
        <f t="shared" si="254"/>
        <v>14.39</v>
      </c>
      <c r="BI313" s="306">
        <f t="shared" si="255"/>
        <v>11.3</v>
      </c>
      <c r="BJ313" s="306">
        <f t="shared" si="256"/>
        <v>2.8450000000000006</v>
      </c>
      <c r="BK313" s="306">
        <f t="shared" si="225"/>
        <v>0</v>
      </c>
      <c r="BL313" s="304">
        <f t="shared" si="257"/>
        <v>0</v>
      </c>
      <c r="BM313" s="304">
        <f t="shared" si="258"/>
        <v>2.8450000000000006</v>
      </c>
      <c r="BN313" s="304">
        <f t="shared" si="279"/>
        <v>2.8450000000000006</v>
      </c>
      <c r="BO313" s="306">
        <f t="shared" si="280"/>
        <v>0</v>
      </c>
      <c r="BP313" s="306"/>
    </row>
    <row r="314" spans="1:68">
      <c r="A314" s="299">
        <f t="shared" si="226"/>
        <v>0</v>
      </c>
      <c r="B314" s="300">
        <f t="shared" si="227"/>
        <v>38279</v>
      </c>
      <c r="C314" s="301" t="e">
        <f t="shared" si="259"/>
        <v>#N/A</v>
      </c>
      <c r="D314" s="301" t="e">
        <f t="shared" si="228"/>
        <v>#N/A</v>
      </c>
      <c r="E314" s="299">
        <f t="shared" si="229"/>
        <v>293</v>
      </c>
      <c r="F314" s="396">
        <f>Weather!M298</f>
        <v>0</v>
      </c>
      <c r="G314" s="301">
        <f>IF(Weather!C298="","",Weather!C298)</f>
        <v>0.92294777750544288</v>
      </c>
      <c r="H314" s="301">
        <f>IF(Weather!D298="","",Weather!D298)</f>
        <v>0.51944233409834339</v>
      </c>
      <c r="I314" s="502">
        <f>IF(Weather!E298="","",Weather!E298)</f>
        <v>0.51944233409834339</v>
      </c>
      <c r="J314" s="397">
        <f>IF(RnSplint!N342&lt;0,0,RnSplint!N342)</f>
        <v>12.117868836186496</v>
      </c>
      <c r="K314" s="302">
        <f t="shared" si="260"/>
        <v>0</v>
      </c>
      <c r="L314" s="303">
        <f t="shared" si="261"/>
        <v>38279</v>
      </c>
      <c r="M314" s="346" t="str">
        <f t="shared" si="230"/>
        <v/>
      </c>
      <c r="N314" s="304">
        <f t="shared" si="262"/>
        <v>0</v>
      </c>
      <c r="O314" s="304">
        <f t="shared" si="263"/>
        <v>0</v>
      </c>
      <c r="P314" s="304">
        <f t="shared" si="231"/>
        <v>0</v>
      </c>
      <c r="Q314" s="304">
        <f t="shared" si="232"/>
        <v>1.2</v>
      </c>
      <c r="R314" s="304">
        <f t="shared" si="233"/>
        <v>1.2</v>
      </c>
      <c r="S314" s="305" t="e">
        <f t="shared" si="264"/>
        <v>#N/A</v>
      </c>
      <c r="T314" s="304">
        <f t="shared" si="234"/>
        <v>0</v>
      </c>
      <c r="U314" s="304">
        <f t="shared" si="278"/>
        <v>0</v>
      </c>
      <c r="V314" s="305" t="e">
        <f t="shared" si="235"/>
        <v>#N/A</v>
      </c>
      <c r="W314" s="305" t="e">
        <f t="shared" si="265"/>
        <v>#N/A</v>
      </c>
      <c r="X314" s="304">
        <f t="shared" si="266"/>
        <v>1.2</v>
      </c>
      <c r="Z314" s="304" t="str">
        <f t="shared" si="236"/>
        <v/>
      </c>
      <c r="AA314" s="305" t="e">
        <f t="shared" si="237"/>
        <v>#N/A</v>
      </c>
      <c r="AB314" s="304">
        <f t="shared" si="238"/>
        <v>0.62333080091801207</v>
      </c>
      <c r="AC314" s="304" t="str">
        <f t="shared" si="267"/>
        <v/>
      </c>
      <c r="AD314" s="306">
        <f t="shared" si="239"/>
        <v>0</v>
      </c>
      <c r="AE314" s="307">
        <f t="shared" si="268"/>
        <v>0.62333080091801207</v>
      </c>
      <c r="AF314" s="308" t="e">
        <f t="shared" si="281"/>
        <v>#N/A</v>
      </c>
      <c r="AG314" s="306">
        <f t="shared" si="269"/>
        <v>657.29130178467415</v>
      </c>
      <c r="AH314" s="306">
        <f t="shared" si="241"/>
        <v>0</v>
      </c>
      <c r="AI314" s="306">
        <f t="shared" si="270"/>
        <v>0</v>
      </c>
      <c r="AJ314" s="306">
        <f t="shared" si="271"/>
        <v>0</v>
      </c>
      <c r="AK314" s="306">
        <f t="shared" si="242"/>
        <v>0</v>
      </c>
      <c r="AL314" s="306">
        <f t="shared" si="272"/>
        <v>0</v>
      </c>
      <c r="AM314" s="306">
        <f t="shared" si="243"/>
        <v>0</v>
      </c>
      <c r="AN314" s="304">
        <f>KcSplint!$N343</f>
        <v>1.0075207376355522</v>
      </c>
      <c r="AO314" s="304" t="str">
        <f t="shared" si="244"/>
        <v/>
      </c>
      <c r="AP314" s="304" t="str">
        <f t="shared" si="273"/>
        <v/>
      </c>
      <c r="AQ314" s="305" t="e">
        <f t="shared" si="282"/>
        <v>#N/A</v>
      </c>
      <c r="AR314" s="304" t="str">
        <f t="shared" si="283"/>
        <v/>
      </c>
      <c r="AS314" s="306">
        <f t="shared" si="245"/>
        <v>0</v>
      </c>
      <c r="AT314" s="307" t="e">
        <f t="shared" si="284"/>
        <v>#N/A</v>
      </c>
      <c r="AU314" s="307" t="e">
        <f t="shared" si="285"/>
        <v>#N/A</v>
      </c>
      <c r="AV314" s="304">
        <f t="shared" si="246"/>
        <v>0.51944233409834339</v>
      </c>
      <c r="AW314" s="309">
        <f t="shared" si="247"/>
        <v>4.0685678611240483</v>
      </c>
      <c r="AX314" s="306">
        <f>IF(ISERROR(Weather!M298),#N/A,Weather!M298)</f>
        <v>0</v>
      </c>
      <c r="AY314" s="310">
        <f t="shared" si="248"/>
        <v>5</v>
      </c>
      <c r="AZ314" s="309">
        <f t="shared" si="249"/>
        <v>1.2</v>
      </c>
      <c r="BA314" s="309">
        <f t="shared" si="250"/>
        <v>229.90306817456997</v>
      </c>
      <c r="BB314" s="311">
        <f>Irrig!H316</f>
        <v>0</v>
      </c>
      <c r="BC314" s="310">
        <f t="shared" si="251"/>
        <v>0</v>
      </c>
      <c r="BD314" s="309">
        <f t="shared" si="252"/>
        <v>0</v>
      </c>
      <c r="BE314" s="309">
        <f t="shared" si="253"/>
        <v>0</v>
      </c>
      <c r="BF314" s="306">
        <f>DailyMet!H297</f>
        <v>14.22</v>
      </c>
      <c r="BG314" s="306">
        <f>DailyMet!I297</f>
        <v>10.199999999999999</v>
      </c>
      <c r="BH314" s="306">
        <f t="shared" si="254"/>
        <v>14.22</v>
      </c>
      <c r="BI314" s="306">
        <f t="shared" si="255"/>
        <v>10.199999999999999</v>
      </c>
      <c r="BJ314" s="306">
        <f t="shared" si="256"/>
        <v>2.2100000000000009</v>
      </c>
      <c r="BK314" s="306">
        <f t="shared" si="225"/>
        <v>0</v>
      </c>
      <c r="BL314" s="304">
        <f t="shared" si="257"/>
        <v>0</v>
      </c>
      <c r="BM314" s="304">
        <f t="shared" si="258"/>
        <v>2.2100000000000009</v>
      </c>
      <c r="BN314" s="304">
        <f t="shared" si="279"/>
        <v>2.2100000000000009</v>
      </c>
      <c r="BO314" s="306">
        <f t="shared" si="280"/>
        <v>0</v>
      </c>
      <c r="BP314" s="306"/>
    </row>
    <row r="315" spans="1:68">
      <c r="A315" s="299">
        <f t="shared" si="226"/>
        <v>0</v>
      </c>
      <c r="B315" s="300">
        <f t="shared" si="227"/>
        <v>38280</v>
      </c>
      <c r="C315" s="301" t="e">
        <f t="shared" si="259"/>
        <v>#N/A</v>
      </c>
      <c r="D315" s="301" t="e">
        <f t="shared" si="228"/>
        <v>#N/A</v>
      </c>
      <c r="E315" s="299">
        <f t="shared" si="229"/>
        <v>294</v>
      </c>
      <c r="F315" s="396">
        <f>Weather!M299</f>
        <v>0.2</v>
      </c>
      <c r="G315" s="301">
        <f>IF(Weather!C299="","",Weather!C299)</f>
        <v>0.90094191220975317</v>
      </c>
      <c r="H315" s="301">
        <f>IF(Weather!D299="","",Weather!D299)</f>
        <v>0.60898906706801759</v>
      </c>
      <c r="I315" s="502">
        <f>IF(Weather!E299="","",Weather!E299)</f>
        <v>0.60898906706801759</v>
      </c>
      <c r="J315" s="397">
        <f>IF(RnSplint!N343&lt;0,0,RnSplint!N343)</f>
        <v>12.810018981217782</v>
      </c>
      <c r="K315" s="302">
        <f t="shared" si="260"/>
        <v>0</v>
      </c>
      <c r="L315" s="303">
        <f t="shared" si="261"/>
        <v>38280</v>
      </c>
      <c r="M315" s="346" t="str">
        <f t="shared" si="230"/>
        <v/>
      </c>
      <c r="N315" s="304">
        <f t="shared" si="262"/>
        <v>0</v>
      </c>
      <c r="O315" s="304">
        <f t="shared" si="263"/>
        <v>0</v>
      </c>
      <c r="P315" s="304">
        <f t="shared" si="231"/>
        <v>0</v>
      </c>
      <c r="Q315" s="304">
        <f t="shared" si="232"/>
        <v>1.2</v>
      </c>
      <c r="R315" s="304">
        <f t="shared" si="233"/>
        <v>1.2</v>
      </c>
      <c r="S315" s="305" t="e">
        <f t="shared" si="264"/>
        <v>#N/A</v>
      </c>
      <c r="T315" s="304">
        <f t="shared" si="234"/>
        <v>0</v>
      </c>
      <c r="U315" s="304">
        <f t="shared" si="278"/>
        <v>0</v>
      </c>
      <c r="V315" s="305" t="e">
        <f t="shared" si="235"/>
        <v>#N/A</v>
      </c>
      <c r="W315" s="305" t="e">
        <f t="shared" si="265"/>
        <v>#N/A</v>
      </c>
      <c r="X315" s="304">
        <f t="shared" si="266"/>
        <v>1.2</v>
      </c>
      <c r="Z315" s="304" t="str">
        <f t="shared" si="236"/>
        <v/>
      </c>
      <c r="AA315" s="305" t="e">
        <f t="shared" si="237"/>
        <v>#N/A</v>
      </c>
      <c r="AB315" s="304">
        <f t="shared" si="238"/>
        <v>0.7307868804816211</v>
      </c>
      <c r="AC315" s="304" t="str">
        <f t="shared" si="267"/>
        <v/>
      </c>
      <c r="AD315" s="306">
        <f t="shared" si="239"/>
        <v>0</v>
      </c>
      <c r="AE315" s="307">
        <f t="shared" si="268"/>
        <v>0.7307868804816211</v>
      </c>
      <c r="AF315" s="308" t="e">
        <f t="shared" si="281"/>
        <v>#N/A</v>
      </c>
      <c r="AG315" s="306">
        <f t="shared" si="269"/>
        <v>657.90029085174217</v>
      </c>
      <c r="AH315" s="306">
        <f t="shared" si="241"/>
        <v>0</v>
      </c>
      <c r="AI315" s="306">
        <f t="shared" si="270"/>
        <v>0</v>
      </c>
      <c r="AJ315" s="306">
        <f t="shared" si="271"/>
        <v>0</v>
      </c>
      <c r="AK315" s="306">
        <f t="shared" si="242"/>
        <v>0</v>
      </c>
      <c r="AL315" s="306">
        <f t="shared" si="272"/>
        <v>0</v>
      </c>
      <c r="AM315" s="306">
        <f t="shared" si="243"/>
        <v>0</v>
      </c>
      <c r="AN315" s="304">
        <f>KcSplint!$N344</f>
        <v>1.0157595552101932</v>
      </c>
      <c r="AO315" s="304" t="str">
        <f t="shared" si="244"/>
        <v/>
      </c>
      <c r="AP315" s="304" t="str">
        <f t="shared" si="273"/>
        <v/>
      </c>
      <c r="AQ315" s="305" t="e">
        <f t="shared" si="282"/>
        <v>#N/A</v>
      </c>
      <c r="AR315" s="304" t="str">
        <f t="shared" si="283"/>
        <v/>
      </c>
      <c r="AS315" s="306">
        <f t="shared" si="245"/>
        <v>0</v>
      </c>
      <c r="AT315" s="307" t="e">
        <f t="shared" si="284"/>
        <v>#N/A</v>
      </c>
      <c r="AU315" s="307" t="e">
        <f t="shared" si="285"/>
        <v>#N/A</v>
      </c>
      <c r="AV315" s="304">
        <f t="shared" si="246"/>
        <v>0.60898906706801759</v>
      </c>
      <c r="AW315" s="309">
        <f t="shared" si="247"/>
        <v>4.6775569281920664</v>
      </c>
      <c r="AX315" s="306">
        <f>IF(ISERROR(Weather!M299),#N/A,Weather!M299)</f>
        <v>0.2</v>
      </c>
      <c r="AY315" s="310">
        <f t="shared" si="248"/>
        <v>6</v>
      </c>
      <c r="AZ315" s="309">
        <f t="shared" si="249"/>
        <v>1.2</v>
      </c>
      <c r="BA315" s="309">
        <f t="shared" si="250"/>
        <v>230.51205724163799</v>
      </c>
      <c r="BB315" s="311">
        <f>Irrig!H317</f>
        <v>0</v>
      </c>
      <c r="BC315" s="310">
        <f t="shared" si="251"/>
        <v>0</v>
      </c>
      <c r="BD315" s="309">
        <f t="shared" si="252"/>
        <v>0</v>
      </c>
      <c r="BE315" s="309">
        <f t="shared" si="253"/>
        <v>0</v>
      </c>
      <c r="BF315" s="306">
        <f>DailyMet!H298</f>
        <v>15.28</v>
      </c>
      <c r="BG315" s="306">
        <f>DailyMet!I298</f>
        <v>11</v>
      </c>
      <c r="BH315" s="306">
        <f t="shared" si="254"/>
        <v>15.28</v>
      </c>
      <c r="BI315" s="306">
        <f t="shared" si="255"/>
        <v>11</v>
      </c>
      <c r="BJ315" s="306">
        <f t="shared" si="256"/>
        <v>3.1400000000000006</v>
      </c>
      <c r="BK315" s="306">
        <f t="shared" si="225"/>
        <v>0</v>
      </c>
      <c r="BL315" s="304">
        <f t="shared" si="257"/>
        <v>0</v>
      </c>
      <c r="BM315" s="304">
        <f t="shared" si="258"/>
        <v>3.1400000000000006</v>
      </c>
      <c r="BN315" s="304">
        <f t="shared" si="279"/>
        <v>3.1400000000000006</v>
      </c>
      <c r="BO315" s="306">
        <f t="shared" si="280"/>
        <v>0</v>
      </c>
      <c r="BP315" s="306"/>
    </row>
    <row r="316" spans="1:68">
      <c r="A316" s="299">
        <f t="shared" si="226"/>
        <v>0</v>
      </c>
      <c r="B316" s="300">
        <f t="shared" si="227"/>
        <v>38281</v>
      </c>
      <c r="C316" s="301" t="e">
        <f t="shared" si="259"/>
        <v>#N/A</v>
      </c>
      <c r="D316" s="301" t="e">
        <f t="shared" si="228"/>
        <v>#N/A</v>
      </c>
      <c r="E316" s="299">
        <f t="shared" si="229"/>
        <v>295</v>
      </c>
      <c r="F316" s="396">
        <f>Weather!M300</f>
        <v>0.2</v>
      </c>
      <c r="G316" s="301">
        <f>IF(Weather!C300="","",Weather!C300)</f>
        <v>0.87924499696227787</v>
      </c>
      <c r="H316" s="301">
        <f>IF(Weather!D300="","",Weather!D300)</f>
        <v>0.65869711822841781</v>
      </c>
      <c r="I316" s="502">
        <f>IF(Weather!E300="","",Weather!E300)</f>
        <v>0.65869711822841781</v>
      </c>
      <c r="J316" s="397">
        <f>IF(RnSplint!N344&lt;0,0,RnSplint!N344)</f>
        <v>13.542330187468623</v>
      </c>
      <c r="K316" s="302">
        <f t="shared" si="260"/>
        <v>0</v>
      </c>
      <c r="L316" s="303">
        <f t="shared" si="261"/>
        <v>38281</v>
      </c>
      <c r="M316" s="346" t="str">
        <f t="shared" si="230"/>
        <v/>
      </c>
      <c r="N316" s="304">
        <f t="shared" si="262"/>
        <v>0</v>
      </c>
      <c r="O316" s="304">
        <f t="shared" si="263"/>
        <v>0</v>
      </c>
      <c r="P316" s="304">
        <f t="shared" si="231"/>
        <v>0</v>
      </c>
      <c r="Q316" s="304">
        <f t="shared" si="232"/>
        <v>1.148451010170253</v>
      </c>
      <c r="R316" s="304">
        <f t="shared" si="233"/>
        <v>1.148451010170253</v>
      </c>
      <c r="S316" s="305" t="e">
        <f t="shared" si="264"/>
        <v>#N/A</v>
      </c>
      <c r="T316" s="304">
        <f t="shared" si="234"/>
        <v>0</v>
      </c>
      <c r="U316" s="304">
        <f t="shared" si="278"/>
        <v>0</v>
      </c>
      <c r="V316" s="305" t="e">
        <f t="shared" si="235"/>
        <v>#N/A</v>
      </c>
      <c r="W316" s="305" t="e">
        <f t="shared" si="265"/>
        <v>#N/A</v>
      </c>
      <c r="X316" s="304">
        <f t="shared" si="266"/>
        <v>1.148451010170253</v>
      </c>
      <c r="Z316" s="304" t="str">
        <f t="shared" si="236"/>
        <v/>
      </c>
      <c r="AA316" s="305" t="e">
        <f t="shared" si="237"/>
        <v>#N/A</v>
      </c>
      <c r="AB316" s="304">
        <f t="shared" si="238"/>
        <v>0.75648137082566103</v>
      </c>
      <c r="AC316" s="304" t="str">
        <f t="shared" si="267"/>
        <v/>
      </c>
      <c r="AD316" s="306">
        <f t="shared" si="239"/>
        <v>0</v>
      </c>
      <c r="AE316" s="307">
        <f t="shared" si="268"/>
        <v>0.75648137082566103</v>
      </c>
      <c r="AF316" s="308" t="e">
        <f t="shared" si="281"/>
        <v>#N/A</v>
      </c>
      <c r="AG316" s="306">
        <f t="shared" si="269"/>
        <v>658.55898796997064</v>
      </c>
      <c r="AH316" s="306">
        <f t="shared" si="241"/>
        <v>0</v>
      </c>
      <c r="AI316" s="306">
        <f t="shared" si="270"/>
        <v>0</v>
      </c>
      <c r="AJ316" s="306">
        <f t="shared" si="271"/>
        <v>0</v>
      </c>
      <c r="AK316" s="306">
        <f t="shared" si="242"/>
        <v>0</v>
      </c>
      <c r="AL316" s="306">
        <f t="shared" si="272"/>
        <v>0</v>
      </c>
      <c r="AM316" s="306">
        <f t="shared" si="243"/>
        <v>0</v>
      </c>
      <c r="AN316" s="304">
        <f>KcSplint!$N345</f>
        <v>1.0240788266140735</v>
      </c>
      <c r="AO316" s="304" t="str">
        <f t="shared" si="244"/>
        <v/>
      </c>
      <c r="AP316" s="304" t="str">
        <f t="shared" si="273"/>
        <v/>
      </c>
      <c r="AQ316" s="305" t="e">
        <f t="shared" si="282"/>
        <v>#N/A</v>
      </c>
      <c r="AR316" s="304" t="str">
        <f t="shared" si="283"/>
        <v/>
      </c>
      <c r="AS316" s="306">
        <f t="shared" si="245"/>
        <v>0</v>
      </c>
      <c r="AT316" s="307" t="e">
        <f t="shared" si="284"/>
        <v>#N/A</v>
      </c>
      <c r="AU316" s="307" t="e">
        <f t="shared" si="285"/>
        <v>#N/A</v>
      </c>
      <c r="AV316" s="304">
        <f t="shared" si="246"/>
        <v>0.65869711822841781</v>
      </c>
      <c r="AW316" s="309">
        <f t="shared" si="247"/>
        <v>5.3362540464204837</v>
      </c>
      <c r="AX316" s="306">
        <f>IF(ISERROR(Weather!M300),#N/A,Weather!M300)</f>
        <v>0.2</v>
      </c>
      <c r="AY316" s="310">
        <f t="shared" si="248"/>
        <v>7</v>
      </c>
      <c r="AZ316" s="309">
        <f t="shared" si="249"/>
        <v>1.148451010170253</v>
      </c>
      <c r="BA316" s="309">
        <f t="shared" si="250"/>
        <v>231.17075435986641</v>
      </c>
      <c r="BB316" s="311">
        <f>Irrig!H318</f>
        <v>0</v>
      </c>
      <c r="BC316" s="310">
        <f t="shared" si="251"/>
        <v>0</v>
      </c>
      <c r="BD316" s="309">
        <f t="shared" si="252"/>
        <v>0</v>
      </c>
      <c r="BE316" s="309">
        <f t="shared" si="253"/>
        <v>0</v>
      </c>
      <c r="BF316" s="306">
        <f>DailyMet!H299</f>
        <v>13.32</v>
      </c>
      <c r="BG316" s="306">
        <f>DailyMet!I299</f>
        <v>9.6999999999999993</v>
      </c>
      <c r="BH316" s="306">
        <f t="shared" si="254"/>
        <v>13.32</v>
      </c>
      <c r="BI316" s="306">
        <f t="shared" si="255"/>
        <v>10</v>
      </c>
      <c r="BJ316" s="306">
        <f t="shared" si="256"/>
        <v>1.6600000000000001</v>
      </c>
      <c r="BK316" s="306">
        <f t="shared" si="225"/>
        <v>0</v>
      </c>
      <c r="BL316" s="304">
        <f t="shared" si="257"/>
        <v>0</v>
      </c>
      <c r="BM316" s="304">
        <f t="shared" si="258"/>
        <v>1.5224309392265192</v>
      </c>
      <c r="BN316" s="304">
        <f t="shared" si="279"/>
        <v>1.5224309392265192</v>
      </c>
      <c r="BO316" s="306">
        <f t="shared" si="280"/>
        <v>0</v>
      </c>
      <c r="BP316" s="306"/>
    </row>
    <row r="317" spans="1:68">
      <c r="A317" s="299">
        <f t="shared" si="226"/>
        <v>0</v>
      </c>
      <c r="B317" s="300">
        <f t="shared" si="227"/>
        <v>38282</v>
      </c>
      <c r="C317" s="301" t="e">
        <f t="shared" si="259"/>
        <v>#N/A</v>
      </c>
      <c r="D317" s="301" t="e">
        <f t="shared" si="228"/>
        <v>#N/A</v>
      </c>
      <c r="E317" s="299">
        <f t="shared" si="229"/>
        <v>296</v>
      </c>
      <c r="F317" s="396">
        <f>Weather!M301</f>
        <v>0</v>
      </c>
      <c r="G317" s="301">
        <f>IF(Weather!C301="","",Weather!C301)</f>
        <v>0.85785836873170562</v>
      </c>
      <c r="H317" s="301">
        <f>IF(Weather!D301="","",Weather!D301)</f>
        <v>0.17202542745231658</v>
      </c>
      <c r="I317" s="502">
        <f>IF(Weather!E301="","",Weather!E301)</f>
        <v>0.17202542745231658</v>
      </c>
      <c r="J317" s="397">
        <f>IF(RnSplint!N345&lt;0,0,RnSplint!N345)</f>
        <v>14.309707598446675</v>
      </c>
      <c r="K317" s="302">
        <f t="shared" si="260"/>
        <v>0</v>
      </c>
      <c r="L317" s="303">
        <f t="shared" si="261"/>
        <v>38282</v>
      </c>
      <c r="M317" s="346" t="str">
        <f t="shared" si="230"/>
        <v/>
      </c>
      <c r="N317" s="304">
        <f t="shared" si="262"/>
        <v>0</v>
      </c>
      <c r="O317" s="304">
        <f t="shared" si="263"/>
        <v>0</v>
      </c>
      <c r="P317" s="304">
        <f t="shared" si="231"/>
        <v>0</v>
      </c>
      <c r="Q317" s="304">
        <f t="shared" si="232"/>
        <v>1.1298018138898229</v>
      </c>
      <c r="R317" s="304">
        <f t="shared" si="233"/>
        <v>1.1298018138898229</v>
      </c>
      <c r="S317" s="305" t="e">
        <f t="shared" si="264"/>
        <v>#N/A</v>
      </c>
      <c r="T317" s="304">
        <f t="shared" si="234"/>
        <v>0</v>
      </c>
      <c r="U317" s="304">
        <f t="shared" si="278"/>
        <v>0</v>
      </c>
      <c r="V317" s="305" t="e">
        <f t="shared" si="235"/>
        <v>#N/A</v>
      </c>
      <c r="W317" s="305" t="e">
        <f t="shared" si="265"/>
        <v>#N/A</v>
      </c>
      <c r="X317" s="304">
        <f t="shared" si="266"/>
        <v>1.1298018138898229</v>
      </c>
      <c r="Z317" s="304" t="str">
        <f t="shared" si="236"/>
        <v/>
      </c>
      <c r="AA317" s="305" t="e">
        <f t="shared" si="237"/>
        <v>#N/A</v>
      </c>
      <c r="AB317" s="304">
        <f t="shared" si="238"/>
        <v>0.19435463997079941</v>
      </c>
      <c r="AC317" s="304" t="str">
        <f t="shared" si="267"/>
        <v/>
      </c>
      <c r="AD317" s="306">
        <f t="shared" si="239"/>
        <v>0</v>
      </c>
      <c r="AE317" s="307">
        <f t="shared" si="268"/>
        <v>0.19435463997079941</v>
      </c>
      <c r="AF317" s="308" t="e">
        <f t="shared" si="281"/>
        <v>#N/A</v>
      </c>
      <c r="AG317" s="306">
        <f t="shared" si="269"/>
        <v>658.731013397423</v>
      </c>
      <c r="AH317" s="306">
        <f t="shared" si="241"/>
        <v>0</v>
      </c>
      <c r="AI317" s="306">
        <f t="shared" si="270"/>
        <v>0</v>
      </c>
      <c r="AJ317" s="306">
        <f t="shared" si="271"/>
        <v>0</v>
      </c>
      <c r="AK317" s="306">
        <f t="shared" si="242"/>
        <v>0</v>
      </c>
      <c r="AL317" s="306">
        <f t="shared" si="272"/>
        <v>0</v>
      </c>
      <c r="AM317" s="306">
        <f t="shared" si="243"/>
        <v>0</v>
      </c>
      <c r="AN317" s="304">
        <f>KcSplint!$N346</f>
        <v>1.0324569701052364</v>
      </c>
      <c r="AO317" s="304" t="str">
        <f t="shared" si="244"/>
        <v/>
      </c>
      <c r="AP317" s="304" t="str">
        <f t="shared" si="273"/>
        <v/>
      </c>
      <c r="AQ317" s="305" t="e">
        <f t="shared" si="282"/>
        <v>#N/A</v>
      </c>
      <c r="AR317" s="304" t="str">
        <f t="shared" si="283"/>
        <v/>
      </c>
      <c r="AS317" s="306">
        <f t="shared" si="245"/>
        <v>0</v>
      </c>
      <c r="AT317" s="307" t="e">
        <f t="shared" si="284"/>
        <v>#N/A</v>
      </c>
      <c r="AU317" s="307" t="e">
        <f t="shared" si="285"/>
        <v>#N/A</v>
      </c>
      <c r="AV317" s="304">
        <f t="shared" si="246"/>
        <v>0.17202542745231658</v>
      </c>
      <c r="AW317" s="309">
        <f t="shared" si="247"/>
        <v>5.5082794738728005</v>
      </c>
      <c r="AX317" s="306">
        <f>IF(ISERROR(Weather!M301),#N/A,Weather!M301)</f>
        <v>0</v>
      </c>
      <c r="AY317" s="310">
        <f t="shared" si="248"/>
        <v>8</v>
      </c>
      <c r="AZ317" s="309">
        <f t="shared" si="249"/>
        <v>1.1298018138898229</v>
      </c>
      <c r="BA317" s="309">
        <f t="shared" si="250"/>
        <v>231.34277978731873</v>
      </c>
      <c r="BB317" s="311">
        <f>Irrig!H319</f>
        <v>0</v>
      </c>
      <c r="BC317" s="310">
        <f t="shared" si="251"/>
        <v>0</v>
      </c>
      <c r="BD317" s="309">
        <f t="shared" si="252"/>
        <v>0</v>
      </c>
      <c r="BE317" s="309">
        <f t="shared" si="253"/>
        <v>0</v>
      </c>
      <c r="BF317" s="306">
        <f>DailyMet!H300</f>
        <v>14.7</v>
      </c>
      <c r="BG317" s="306">
        <f>DailyMet!I300</f>
        <v>9.3000000000000007</v>
      </c>
      <c r="BH317" s="306">
        <f t="shared" si="254"/>
        <v>14.7</v>
      </c>
      <c r="BI317" s="306">
        <f t="shared" si="255"/>
        <v>10</v>
      </c>
      <c r="BJ317" s="306">
        <f t="shared" si="256"/>
        <v>2.3499999999999996</v>
      </c>
      <c r="BK317" s="306">
        <f t="shared" si="225"/>
        <v>0</v>
      </c>
      <c r="BL317" s="304">
        <f t="shared" si="257"/>
        <v>0</v>
      </c>
      <c r="BM317" s="304">
        <f t="shared" si="258"/>
        <v>2.0453703703703701</v>
      </c>
      <c r="BN317" s="304">
        <f t="shared" si="279"/>
        <v>2.0453703703703701</v>
      </c>
      <c r="BO317" s="306">
        <f t="shared" si="280"/>
        <v>0</v>
      </c>
      <c r="BP317" s="306"/>
    </row>
    <row r="318" spans="1:68">
      <c r="A318" s="299">
        <f t="shared" si="226"/>
        <v>0</v>
      </c>
      <c r="B318" s="300">
        <f t="shared" si="227"/>
        <v>38283</v>
      </c>
      <c r="C318" s="301" t="e">
        <f t="shared" si="259"/>
        <v>#N/A</v>
      </c>
      <c r="D318" s="301" t="e">
        <f t="shared" si="228"/>
        <v>#N/A</v>
      </c>
      <c r="E318" s="299">
        <f t="shared" si="229"/>
        <v>297</v>
      </c>
      <c r="F318" s="396">
        <f>Weather!M302</f>
        <v>0.2</v>
      </c>
      <c r="G318" s="301">
        <f>IF(Weather!C302="","",Weather!C302)</f>
        <v>0.83678336448672463</v>
      </c>
      <c r="H318" s="301">
        <f>IF(Weather!D302="","",Weather!D302)</f>
        <v>0.68359126446427765</v>
      </c>
      <c r="I318" s="502">
        <f>IF(Weather!E302="","",Weather!E302)</f>
        <v>0.68359126446427765</v>
      </c>
      <c r="J318" s="397">
        <f>IF(RnSplint!N346&lt;0,0,RnSplint!N346)</f>
        <v>15.107056357659598</v>
      </c>
      <c r="K318" s="302">
        <f t="shared" si="260"/>
        <v>0</v>
      </c>
      <c r="L318" s="303">
        <f t="shared" si="261"/>
        <v>38283</v>
      </c>
      <c r="M318" s="346" t="str">
        <f t="shared" si="230"/>
        <v/>
      </c>
      <c r="N318" s="304">
        <f t="shared" si="262"/>
        <v>0</v>
      </c>
      <c r="O318" s="304">
        <f t="shared" si="263"/>
        <v>0</v>
      </c>
      <c r="P318" s="304">
        <f t="shared" si="231"/>
        <v>0</v>
      </c>
      <c r="Q318" s="304">
        <f t="shared" si="232"/>
        <v>1.063619805822321</v>
      </c>
      <c r="R318" s="304">
        <f t="shared" si="233"/>
        <v>1.063619805822321</v>
      </c>
      <c r="S318" s="305" t="e">
        <f t="shared" si="264"/>
        <v>#N/A</v>
      </c>
      <c r="T318" s="304">
        <f t="shared" si="234"/>
        <v>0</v>
      </c>
      <c r="U318" s="304">
        <f t="shared" si="278"/>
        <v>0</v>
      </c>
      <c r="V318" s="305" t="e">
        <f t="shared" si="235"/>
        <v>#N/A</v>
      </c>
      <c r="W318" s="305" t="e">
        <f t="shared" si="265"/>
        <v>#N/A</v>
      </c>
      <c r="X318" s="304">
        <f t="shared" si="266"/>
        <v>1.063619805822321</v>
      </c>
      <c r="Z318" s="304" t="str">
        <f t="shared" si="236"/>
        <v/>
      </c>
      <c r="AA318" s="305" t="e">
        <f t="shared" si="237"/>
        <v>#N/A</v>
      </c>
      <c r="AB318" s="304">
        <f t="shared" si="238"/>
        <v>0.7270812079713298</v>
      </c>
      <c r="AC318" s="304" t="str">
        <f t="shared" si="267"/>
        <v/>
      </c>
      <c r="AD318" s="306">
        <f t="shared" si="239"/>
        <v>0</v>
      </c>
      <c r="AE318" s="307">
        <f t="shared" si="268"/>
        <v>0.7270812079713298</v>
      </c>
      <c r="AF318" s="308" t="e">
        <f t="shared" si="281"/>
        <v>#N/A</v>
      </c>
      <c r="AG318" s="306">
        <f t="shared" si="269"/>
        <v>659.41460466188732</v>
      </c>
      <c r="AH318" s="306">
        <f t="shared" si="241"/>
        <v>0</v>
      </c>
      <c r="AI318" s="306">
        <f t="shared" si="270"/>
        <v>0</v>
      </c>
      <c r="AJ318" s="306">
        <f t="shared" si="271"/>
        <v>0</v>
      </c>
      <c r="AK318" s="306">
        <f t="shared" si="242"/>
        <v>0</v>
      </c>
      <c r="AL318" s="306">
        <f t="shared" si="272"/>
        <v>0</v>
      </c>
      <c r="AM318" s="306">
        <f t="shared" si="243"/>
        <v>0</v>
      </c>
      <c r="AN318" s="304">
        <f>KcSplint!$N347</f>
        <v>1.0408724039417252</v>
      </c>
      <c r="AO318" s="304" t="str">
        <f t="shared" si="244"/>
        <v/>
      </c>
      <c r="AP318" s="304" t="str">
        <f t="shared" si="273"/>
        <v/>
      </c>
      <c r="AQ318" s="305" t="e">
        <f t="shared" si="282"/>
        <v>#N/A</v>
      </c>
      <c r="AR318" s="304" t="str">
        <f t="shared" si="283"/>
        <v/>
      </c>
      <c r="AS318" s="306">
        <f t="shared" si="245"/>
        <v>0</v>
      </c>
      <c r="AT318" s="307" t="e">
        <f t="shared" si="284"/>
        <v>#N/A</v>
      </c>
      <c r="AU318" s="307" t="e">
        <f t="shared" si="285"/>
        <v>#N/A</v>
      </c>
      <c r="AV318" s="304">
        <f t="shared" si="246"/>
        <v>0.68359126446427765</v>
      </c>
      <c r="AW318" s="309">
        <f t="shared" si="247"/>
        <v>6.1918707383370784</v>
      </c>
      <c r="AX318" s="306">
        <f>IF(ISERROR(Weather!M302),#N/A,Weather!M302)</f>
        <v>0.2</v>
      </c>
      <c r="AY318" s="310">
        <f t="shared" si="248"/>
        <v>9</v>
      </c>
      <c r="AZ318" s="309">
        <f t="shared" si="249"/>
        <v>1.063619805822321</v>
      </c>
      <c r="BA318" s="309">
        <f t="shared" si="250"/>
        <v>232.026371051783</v>
      </c>
      <c r="BB318" s="311">
        <f>Irrig!H320</f>
        <v>0</v>
      </c>
      <c r="BC318" s="310">
        <f t="shared" si="251"/>
        <v>0</v>
      </c>
      <c r="BD318" s="309">
        <f t="shared" si="252"/>
        <v>0</v>
      </c>
      <c r="BE318" s="309">
        <f t="shared" si="253"/>
        <v>0</v>
      </c>
      <c r="BF318" s="306">
        <f>DailyMet!H301</f>
        <v>13.46</v>
      </c>
      <c r="BG318" s="306">
        <f>DailyMet!I301</f>
        <v>7.8</v>
      </c>
      <c r="BH318" s="306">
        <f t="shared" si="254"/>
        <v>13.46</v>
      </c>
      <c r="BI318" s="306">
        <f t="shared" si="255"/>
        <v>10</v>
      </c>
      <c r="BJ318" s="306">
        <f t="shared" si="256"/>
        <v>1.7300000000000004</v>
      </c>
      <c r="BK318" s="306">
        <f t="shared" si="225"/>
        <v>0</v>
      </c>
      <c r="BL318" s="304">
        <f t="shared" si="257"/>
        <v>0</v>
      </c>
      <c r="BM318" s="304">
        <f t="shared" si="258"/>
        <v>1.0575618374558307</v>
      </c>
      <c r="BN318" s="304">
        <f t="shared" si="279"/>
        <v>1.0575618374558307</v>
      </c>
      <c r="BO318" s="306">
        <f t="shared" si="280"/>
        <v>0</v>
      </c>
      <c r="BP318" s="306"/>
    </row>
    <row r="319" spans="1:68">
      <c r="A319" s="299">
        <f t="shared" si="226"/>
        <v>0</v>
      </c>
      <c r="B319" s="300">
        <f t="shared" si="227"/>
        <v>38284</v>
      </c>
      <c r="C319" s="301" t="e">
        <f t="shared" si="259"/>
        <v>#N/A</v>
      </c>
      <c r="D319" s="301" t="e">
        <f t="shared" si="228"/>
        <v>#N/A</v>
      </c>
      <c r="E319" s="299">
        <f t="shared" si="229"/>
        <v>298</v>
      </c>
      <c r="F319" s="396">
        <f>Weather!M303</f>
        <v>0.2</v>
      </c>
      <c r="G319" s="301">
        <f>IF(Weather!C303="","",Weather!C303)</f>
        <v>0.81602132119602344</v>
      </c>
      <c r="H319" s="301">
        <f>IF(Weather!D303="","",Weather!D303)</f>
        <v>0.85043660947984545</v>
      </c>
      <c r="I319" s="502">
        <f>IF(Weather!E303="","",Weather!E303)</f>
        <v>0.85043660947984545</v>
      </c>
      <c r="J319" s="397">
        <f>IF(RnSplint!N347&lt;0,0,RnSplint!N347)</f>
        <v>15.929281608615049</v>
      </c>
      <c r="K319" s="302">
        <f t="shared" si="260"/>
        <v>0</v>
      </c>
      <c r="L319" s="303">
        <f t="shared" si="261"/>
        <v>38284</v>
      </c>
      <c r="M319" s="346" t="str">
        <f t="shared" si="230"/>
        <v/>
      </c>
      <c r="N319" s="304">
        <f t="shared" si="262"/>
        <v>0</v>
      </c>
      <c r="O319" s="304">
        <f t="shared" si="263"/>
        <v>0</v>
      </c>
      <c r="P319" s="304">
        <f t="shared" si="231"/>
        <v>0</v>
      </c>
      <c r="Q319" s="304">
        <f t="shared" si="232"/>
        <v>0.99528069299818656</v>
      </c>
      <c r="R319" s="304">
        <f t="shared" si="233"/>
        <v>0.99528069299818656</v>
      </c>
      <c r="S319" s="305" t="e">
        <f t="shared" si="264"/>
        <v>#N/A</v>
      </c>
      <c r="T319" s="304">
        <f t="shared" si="234"/>
        <v>0</v>
      </c>
      <c r="U319" s="304">
        <f t="shared" si="278"/>
        <v>0</v>
      </c>
      <c r="V319" s="305" t="e">
        <f t="shared" si="235"/>
        <v>#N/A</v>
      </c>
      <c r="W319" s="305" t="e">
        <f t="shared" si="265"/>
        <v>#N/A</v>
      </c>
      <c r="X319" s="304">
        <f t="shared" si="266"/>
        <v>0.99528069299818656</v>
      </c>
      <c r="Z319" s="304" t="str">
        <f t="shared" si="236"/>
        <v/>
      </c>
      <c r="AA319" s="305" t="e">
        <f t="shared" si="237"/>
        <v>#N/A</v>
      </c>
      <c r="AB319" s="304">
        <f t="shared" si="238"/>
        <v>0.84642313803412872</v>
      </c>
      <c r="AC319" s="304" t="str">
        <f t="shared" si="267"/>
        <v/>
      </c>
      <c r="AD319" s="306">
        <f t="shared" si="239"/>
        <v>0</v>
      </c>
      <c r="AE319" s="307">
        <f t="shared" si="268"/>
        <v>0.84642313803412872</v>
      </c>
      <c r="AF319" s="308" t="e">
        <f t="shared" si="281"/>
        <v>#N/A</v>
      </c>
      <c r="AG319" s="306">
        <f t="shared" si="269"/>
        <v>660.26504127136718</v>
      </c>
      <c r="AH319" s="306">
        <f t="shared" si="241"/>
        <v>0</v>
      </c>
      <c r="AI319" s="306">
        <f t="shared" si="270"/>
        <v>0</v>
      </c>
      <c r="AJ319" s="306">
        <f t="shared" si="271"/>
        <v>0</v>
      </c>
      <c r="AK319" s="306">
        <f t="shared" si="242"/>
        <v>0</v>
      </c>
      <c r="AL319" s="306">
        <f t="shared" si="272"/>
        <v>0</v>
      </c>
      <c r="AM319" s="306">
        <f t="shared" si="243"/>
        <v>0</v>
      </c>
      <c r="AN319" s="304">
        <f>KcSplint!$N348</f>
        <v>1.0493035463815825</v>
      </c>
      <c r="AO319" s="304" t="str">
        <f t="shared" si="244"/>
        <v/>
      </c>
      <c r="AP319" s="304" t="str">
        <f t="shared" si="273"/>
        <v/>
      </c>
      <c r="AQ319" s="305" t="e">
        <f t="shared" si="282"/>
        <v>#N/A</v>
      </c>
      <c r="AR319" s="304" t="str">
        <f t="shared" si="283"/>
        <v/>
      </c>
      <c r="AS319" s="306">
        <f t="shared" si="245"/>
        <v>0</v>
      </c>
      <c r="AT319" s="307" t="e">
        <f t="shared" si="284"/>
        <v>#N/A</v>
      </c>
      <c r="AU319" s="307" t="e">
        <f t="shared" si="285"/>
        <v>#N/A</v>
      </c>
      <c r="AV319" s="304">
        <f t="shared" si="246"/>
        <v>0.85043660947984545</v>
      </c>
      <c r="AW319" s="309">
        <f t="shared" si="247"/>
        <v>7.0423073478169238</v>
      </c>
      <c r="AX319" s="306">
        <f>IF(ISERROR(Weather!M303),#N/A,Weather!M303)</f>
        <v>0.2</v>
      </c>
      <c r="AY319" s="310">
        <f t="shared" si="248"/>
        <v>10</v>
      </c>
      <c r="AZ319" s="309">
        <f t="shared" si="249"/>
        <v>0.99528069299818656</v>
      </c>
      <c r="BA319" s="309">
        <f t="shared" si="250"/>
        <v>232.87680766126286</v>
      </c>
      <c r="BB319" s="311">
        <f>Irrig!H321</f>
        <v>0</v>
      </c>
      <c r="BC319" s="310">
        <f t="shared" si="251"/>
        <v>0</v>
      </c>
      <c r="BD319" s="309">
        <f t="shared" si="252"/>
        <v>0</v>
      </c>
      <c r="BE319" s="309">
        <f t="shared" si="253"/>
        <v>0</v>
      </c>
      <c r="BF319" s="306">
        <f>DailyMet!H302</f>
        <v>12.51</v>
      </c>
      <c r="BG319" s="306">
        <f>DailyMet!I302</f>
        <v>7.1</v>
      </c>
      <c r="BH319" s="306">
        <f t="shared" si="254"/>
        <v>12.51</v>
      </c>
      <c r="BI319" s="306">
        <f t="shared" si="255"/>
        <v>10</v>
      </c>
      <c r="BJ319" s="306">
        <f t="shared" si="256"/>
        <v>1.254999999999999</v>
      </c>
      <c r="BK319" s="306">
        <f t="shared" si="225"/>
        <v>0</v>
      </c>
      <c r="BL319" s="304">
        <f t="shared" si="257"/>
        <v>0</v>
      </c>
      <c r="BM319" s="304">
        <f t="shared" si="258"/>
        <v>0.58226432532347494</v>
      </c>
      <c r="BN319" s="304">
        <f t="shared" si="279"/>
        <v>0.58226432532347494</v>
      </c>
      <c r="BO319" s="306">
        <f t="shared" si="280"/>
        <v>0</v>
      </c>
      <c r="BP319" s="306"/>
    </row>
    <row r="320" spans="1:68">
      <c r="A320" s="299">
        <f t="shared" si="226"/>
        <v>0</v>
      </c>
      <c r="B320" s="300">
        <f t="shared" si="227"/>
        <v>38285</v>
      </c>
      <c r="C320" s="301" t="e">
        <f t="shared" si="259"/>
        <v>#N/A</v>
      </c>
      <c r="D320" s="301" t="e">
        <f t="shared" si="228"/>
        <v>#N/A</v>
      </c>
      <c r="E320" s="299">
        <f t="shared" si="229"/>
        <v>299</v>
      </c>
      <c r="F320" s="396">
        <f>Weather!M304</f>
        <v>0.2</v>
      </c>
      <c r="G320" s="301">
        <f>IF(Weather!C304="","",Weather!C304)</f>
        <v>0.79557357582829102</v>
      </c>
      <c r="H320" s="301">
        <f>IF(Weather!D304="","",Weather!D304)</f>
        <v>0.78548823208261953</v>
      </c>
      <c r="I320" s="502">
        <f>IF(Weather!E304="","",Weather!E304)</f>
        <v>0.78548823208261953</v>
      </c>
      <c r="J320" s="397">
        <f>IF(RnSplint!N348&lt;0,0,RnSplint!N348)</f>
        <v>16.771288494820698</v>
      </c>
      <c r="K320" s="302">
        <f t="shared" si="260"/>
        <v>0</v>
      </c>
      <c r="L320" s="303">
        <f t="shared" si="261"/>
        <v>38285</v>
      </c>
      <c r="M320" s="346" t="str">
        <f t="shared" si="230"/>
        <v/>
      </c>
      <c r="N320" s="304">
        <f t="shared" si="262"/>
        <v>0</v>
      </c>
      <c r="O320" s="304">
        <f t="shared" si="263"/>
        <v>0</v>
      </c>
      <c r="P320" s="304">
        <f t="shared" si="231"/>
        <v>0</v>
      </c>
      <c r="Q320" s="304">
        <f t="shared" si="232"/>
        <v>0.94242877343915288</v>
      </c>
      <c r="R320" s="304">
        <f t="shared" si="233"/>
        <v>0.94242877343915288</v>
      </c>
      <c r="S320" s="305" t="e">
        <f t="shared" si="264"/>
        <v>#N/A</v>
      </c>
      <c r="T320" s="304">
        <f t="shared" si="234"/>
        <v>0</v>
      </c>
      <c r="U320" s="304">
        <f t="shared" si="278"/>
        <v>0</v>
      </c>
      <c r="V320" s="305" t="e">
        <f t="shared" si="235"/>
        <v>#N/A</v>
      </c>
      <c r="W320" s="305" t="e">
        <f t="shared" si="265"/>
        <v>#N/A</v>
      </c>
      <c r="X320" s="304">
        <f t="shared" si="266"/>
        <v>0.94242877343915288</v>
      </c>
      <c r="Z320" s="304" t="str">
        <f t="shared" si="236"/>
        <v/>
      </c>
      <c r="AA320" s="305" t="e">
        <f t="shared" si="237"/>
        <v>#N/A</v>
      </c>
      <c r="AB320" s="304">
        <f t="shared" si="238"/>
        <v>0.74026671111251174</v>
      </c>
      <c r="AC320" s="304" t="str">
        <f t="shared" si="267"/>
        <v/>
      </c>
      <c r="AD320" s="306">
        <f t="shared" si="239"/>
        <v>0</v>
      </c>
      <c r="AE320" s="307">
        <f t="shared" si="268"/>
        <v>0.74026671111251174</v>
      </c>
      <c r="AF320" s="308" t="e">
        <f t="shared" si="281"/>
        <v>#N/A</v>
      </c>
      <c r="AG320" s="306">
        <f t="shared" si="269"/>
        <v>661.05052950344975</v>
      </c>
      <c r="AH320" s="306">
        <f t="shared" si="241"/>
        <v>0</v>
      </c>
      <c r="AI320" s="306">
        <f t="shared" si="270"/>
        <v>0</v>
      </c>
      <c r="AJ320" s="306">
        <f t="shared" si="271"/>
        <v>0</v>
      </c>
      <c r="AK320" s="306">
        <f t="shared" si="242"/>
        <v>0</v>
      </c>
      <c r="AL320" s="306">
        <f t="shared" si="272"/>
        <v>0</v>
      </c>
      <c r="AM320" s="306">
        <f t="shared" si="243"/>
        <v>0</v>
      </c>
      <c r="AN320" s="304">
        <f>KcSplint!$N349</f>
        <v>1.0577288156828519</v>
      </c>
      <c r="AO320" s="304" t="str">
        <f t="shared" si="244"/>
        <v/>
      </c>
      <c r="AP320" s="304" t="str">
        <f t="shared" si="273"/>
        <v/>
      </c>
      <c r="AQ320" s="305" t="e">
        <f t="shared" si="282"/>
        <v>#N/A</v>
      </c>
      <c r="AR320" s="304" t="str">
        <f t="shared" si="283"/>
        <v/>
      </c>
      <c r="AS320" s="306">
        <f t="shared" si="245"/>
        <v>0</v>
      </c>
      <c r="AT320" s="307" t="e">
        <f t="shared" si="284"/>
        <v>#N/A</v>
      </c>
      <c r="AU320" s="307" t="e">
        <f t="shared" si="285"/>
        <v>#N/A</v>
      </c>
      <c r="AV320" s="304">
        <f t="shared" si="246"/>
        <v>0.78548823208261953</v>
      </c>
      <c r="AW320" s="309">
        <f t="shared" si="247"/>
        <v>7.8277955798995436</v>
      </c>
      <c r="AX320" s="306">
        <f>IF(ISERROR(Weather!M304),#N/A,Weather!M304)</f>
        <v>0.2</v>
      </c>
      <c r="AY320" s="310">
        <f t="shared" si="248"/>
        <v>11</v>
      </c>
      <c r="AZ320" s="309">
        <f t="shared" si="249"/>
        <v>0.94242877343915288</v>
      </c>
      <c r="BA320" s="309">
        <f t="shared" si="250"/>
        <v>233.66229589334549</v>
      </c>
      <c r="BB320" s="311">
        <f>Irrig!H322</f>
        <v>0</v>
      </c>
      <c r="BC320" s="310">
        <f t="shared" si="251"/>
        <v>0</v>
      </c>
      <c r="BD320" s="309">
        <f t="shared" si="252"/>
        <v>0</v>
      </c>
      <c r="BE320" s="309">
        <f t="shared" si="253"/>
        <v>0</v>
      </c>
      <c r="BF320" s="306">
        <f>DailyMet!H303</f>
        <v>12.57</v>
      </c>
      <c r="BG320" s="306">
        <f>DailyMet!I303</f>
        <v>7.9</v>
      </c>
      <c r="BH320" s="306">
        <f t="shared" si="254"/>
        <v>12.57</v>
      </c>
      <c r="BI320" s="306">
        <f t="shared" si="255"/>
        <v>10</v>
      </c>
      <c r="BJ320" s="306">
        <f t="shared" si="256"/>
        <v>1.2850000000000001</v>
      </c>
      <c r="BK320" s="306">
        <f t="shared" si="225"/>
        <v>0</v>
      </c>
      <c r="BL320" s="304">
        <f t="shared" si="257"/>
        <v>0</v>
      </c>
      <c r="BM320" s="304">
        <f t="shared" si="258"/>
        <v>0.70716274089935782</v>
      </c>
      <c r="BN320" s="304">
        <f t="shared" si="279"/>
        <v>0.70716274089935782</v>
      </c>
      <c r="BO320" s="306">
        <f t="shared" si="280"/>
        <v>0</v>
      </c>
      <c r="BP320" s="306"/>
    </row>
    <row r="321" spans="1:68">
      <c r="A321" s="299">
        <f t="shared" si="226"/>
        <v>0</v>
      </c>
      <c r="B321" s="300">
        <f t="shared" si="227"/>
        <v>38286</v>
      </c>
      <c r="C321" s="301" t="e">
        <f t="shared" si="259"/>
        <v>#N/A</v>
      </c>
      <c r="D321" s="301" t="e">
        <f t="shared" si="228"/>
        <v>#N/A</v>
      </c>
      <c r="E321" s="299">
        <f t="shared" si="229"/>
        <v>300</v>
      </c>
      <c r="F321" s="396">
        <f>Weather!M305</f>
        <v>22</v>
      </c>
      <c r="G321" s="301">
        <f>IF(Weather!C305="","",Weather!C305)</f>
        <v>0.77544146535221559</v>
      </c>
      <c r="H321" s="301">
        <f>IF(Weather!D305="","",Weather!D305)</f>
        <v>0.78457355239869742</v>
      </c>
      <c r="I321" s="502">
        <f>IF(Weather!E305="","",Weather!E305)</f>
        <v>0.78457355239869742</v>
      </c>
      <c r="J321" s="397">
        <f>IF(RnSplint!N349&lt;0,0,RnSplint!N349)</f>
        <v>17.627982159784196</v>
      </c>
      <c r="K321" s="302">
        <f t="shared" si="260"/>
        <v>0</v>
      </c>
      <c r="L321" s="303">
        <f t="shared" si="261"/>
        <v>38286</v>
      </c>
      <c r="M321" s="346" t="str">
        <f t="shared" si="230"/>
        <v/>
      </c>
      <c r="N321" s="304">
        <f t="shared" si="262"/>
        <v>0</v>
      </c>
      <c r="O321" s="304">
        <f t="shared" si="263"/>
        <v>0</v>
      </c>
      <c r="P321" s="304">
        <f t="shared" si="231"/>
        <v>0</v>
      </c>
      <c r="Q321" s="304">
        <f t="shared" si="232"/>
        <v>1.2</v>
      </c>
      <c r="R321" s="304">
        <f t="shared" si="233"/>
        <v>1.2</v>
      </c>
      <c r="S321" s="305" t="e">
        <f t="shared" si="264"/>
        <v>#N/A</v>
      </c>
      <c r="T321" s="304">
        <f t="shared" si="234"/>
        <v>0</v>
      </c>
      <c r="U321" s="304">
        <f t="shared" si="278"/>
        <v>0</v>
      </c>
      <c r="V321" s="305" t="e">
        <f t="shared" si="235"/>
        <v>#N/A</v>
      </c>
      <c r="W321" s="305" t="e">
        <f t="shared" si="265"/>
        <v>#N/A</v>
      </c>
      <c r="X321" s="304">
        <f t="shared" si="266"/>
        <v>1.2</v>
      </c>
      <c r="Z321" s="304" t="str">
        <f t="shared" si="236"/>
        <v/>
      </c>
      <c r="AA321" s="305" t="e">
        <f t="shared" si="237"/>
        <v>#N/A</v>
      </c>
      <c r="AB321" s="304">
        <f t="shared" si="238"/>
        <v>0.9414882628784369</v>
      </c>
      <c r="AC321" s="304" t="str">
        <f t="shared" si="267"/>
        <v/>
      </c>
      <c r="AD321" s="306">
        <f t="shared" si="239"/>
        <v>0</v>
      </c>
      <c r="AE321" s="307">
        <f t="shared" si="268"/>
        <v>0.9414882628784369</v>
      </c>
      <c r="AF321" s="308" t="e">
        <f t="shared" si="281"/>
        <v>#N/A</v>
      </c>
      <c r="AG321" s="306">
        <f t="shared" si="269"/>
        <v>661.83510305584844</v>
      </c>
      <c r="AH321" s="306">
        <f t="shared" si="241"/>
        <v>0</v>
      </c>
      <c r="AI321" s="306">
        <f t="shared" si="270"/>
        <v>0</v>
      </c>
      <c r="AJ321" s="306">
        <f t="shared" si="271"/>
        <v>0</v>
      </c>
      <c r="AK321" s="306">
        <f t="shared" si="242"/>
        <v>0</v>
      </c>
      <c r="AL321" s="306">
        <f t="shared" si="272"/>
        <v>0</v>
      </c>
      <c r="AM321" s="306">
        <f t="shared" si="243"/>
        <v>0</v>
      </c>
      <c r="AN321" s="304">
        <f>KcSplint!$N350</f>
        <v>1.0661266301035757</v>
      </c>
      <c r="AO321" s="304" t="str">
        <f t="shared" si="244"/>
        <v/>
      </c>
      <c r="AP321" s="304" t="str">
        <f t="shared" si="273"/>
        <v/>
      </c>
      <c r="AQ321" s="305" t="e">
        <f t="shared" si="282"/>
        <v>#N/A</v>
      </c>
      <c r="AR321" s="304" t="str">
        <f t="shared" si="283"/>
        <v/>
      </c>
      <c r="AS321" s="306">
        <f t="shared" si="245"/>
        <v>0</v>
      </c>
      <c r="AT321" s="307" t="e">
        <f t="shared" si="284"/>
        <v>#N/A</v>
      </c>
      <c r="AU321" s="307" t="e">
        <f t="shared" si="285"/>
        <v>#N/A</v>
      </c>
      <c r="AV321" s="304">
        <f t="shared" si="246"/>
        <v>0.78457355239869742</v>
      </c>
      <c r="AW321" s="309">
        <f t="shared" si="247"/>
        <v>0.78457355239869742</v>
      </c>
      <c r="AX321" s="306">
        <f>IF(ISERROR(Weather!M305),#N/A,Weather!M305)</f>
        <v>22</v>
      </c>
      <c r="AY321" s="310">
        <f t="shared" si="248"/>
        <v>1</v>
      </c>
      <c r="AZ321" s="309">
        <f t="shared" si="249"/>
        <v>1.2</v>
      </c>
      <c r="BA321" s="309">
        <f t="shared" si="250"/>
        <v>234.4468694457442</v>
      </c>
      <c r="BB321" s="311">
        <f>Irrig!H323</f>
        <v>0</v>
      </c>
      <c r="BC321" s="310">
        <f t="shared" si="251"/>
        <v>0</v>
      </c>
      <c r="BD321" s="309">
        <f t="shared" si="252"/>
        <v>0</v>
      </c>
      <c r="BE321" s="309">
        <f t="shared" si="253"/>
        <v>0</v>
      </c>
      <c r="BF321" s="306">
        <f>DailyMet!H304</f>
        <v>12.14</v>
      </c>
      <c r="BG321" s="306">
        <f>DailyMet!I304</f>
        <v>7.4</v>
      </c>
      <c r="BH321" s="306">
        <f t="shared" si="254"/>
        <v>12.14</v>
      </c>
      <c r="BI321" s="306">
        <f t="shared" si="255"/>
        <v>10</v>
      </c>
      <c r="BJ321" s="306">
        <f t="shared" si="256"/>
        <v>1.0700000000000003</v>
      </c>
      <c r="BK321" s="306">
        <f t="shared" si="225"/>
        <v>0</v>
      </c>
      <c r="BL321" s="304">
        <f t="shared" si="257"/>
        <v>0</v>
      </c>
      <c r="BM321" s="304">
        <f t="shared" si="258"/>
        <v>0.48308016877637155</v>
      </c>
      <c r="BN321" s="304">
        <f t="shared" si="279"/>
        <v>0.48308016877637155</v>
      </c>
      <c r="BO321" s="306">
        <f t="shared" si="280"/>
        <v>0</v>
      </c>
      <c r="BP321" s="306"/>
    </row>
    <row r="322" spans="1:68">
      <c r="A322" s="299">
        <f t="shared" si="226"/>
        <v>0</v>
      </c>
      <c r="B322" s="300">
        <f t="shared" si="227"/>
        <v>38287</v>
      </c>
      <c r="C322" s="301" t="e">
        <f t="shared" si="259"/>
        <v>#N/A</v>
      </c>
      <c r="D322" s="301" t="e">
        <f t="shared" si="228"/>
        <v>#N/A</v>
      </c>
      <c r="E322" s="299">
        <f t="shared" si="229"/>
        <v>301</v>
      </c>
      <c r="F322" s="396">
        <f>Weather!M306</f>
        <v>7.8</v>
      </c>
      <c r="G322" s="301">
        <f>IF(Weather!C306="","",Weather!C306)</f>
        <v>0.75562632673648578</v>
      </c>
      <c r="H322" s="301">
        <f>IF(Weather!D306="","",Weather!D306)</f>
        <v>0.60504683058495901</v>
      </c>
      <c r="I322" s="502">
        <f>IF(Weather!E306="","",Weather!E306)</f>
        <v>0.60504683058495901</v>
      </c>
      <c r="J322" s="397">
        <f>IF(RnSplint!N350&lt;0,0,RnSplint!N350)</f>
        <v>18.494267747013208</v>
      </c>
      <c r="K322" s="302">
        <f t="shared" si="260"/>
        <v>0</v>
      </c>
      <c r="L322" s="303">
        <f t="shared" si="261"/>
        <v>38287</v>
      </c>
      <c r="M322" s="346" t="str">
        <f t="shared" si="230"/>
        <v/>
      </c>
      <c r="N322" s="304">
        <f t="shared" si="262"/>
        <v>0</v>
      </c>
      <c r="O322" s="304">
        <f t="shared" si="263"/>
        <v>0</v>
      </c>
      <c r="P322" s="304">
        <f t="shared" si="231"/>
        <v>0</v>
      </c>
      <c r="Q322" s="304">
        <f t="shared" si="232"/>
        <v>1.2</v>
      </c>
      <c r="R322" s="304">
        <f t="shared" si="233"/>
        <v>1.2</v>
      </c>
      <c r="S322" s="305" t="e">
        <f t="shared" si="264"/>
        <v>#N/A</v>
      </c>
      <c r="T322" s="304">
        <f t="shared" si="234"/>
        <v>0</v>
      </c>
      <c r="U322" s="304">
        <f t="shared" si="278"/>
        <v>0</v>
      </c>
      <c r="V322" s="305" t="e">
        <f t="shared" si="235"/>
        <v>#N/A</v>
      </c>
      <c r="W322" s="305" t="e">
        <f t="shared" si="265"/>
        <v>#N/A</v>
      </c>
      <c r="X322" s="304">
        <f t="shared" si="266"/>
        <v>1.2</v>
      </c>
      <c r="Z322" s="304" t="str">
        <f t="shared" si="236"/>
        <v/>
      </c>
      <c r="AA322" s="305" t="e">
        <f t="shared" si="237"/>
        <v>#N/A</v>
      </c>
      <c r="AB322" s="304">
        <f t="shared" si="238"/>
        <v>0.72605619670195076</v>
      </c>
      <c r="AC322" s="304" t="str">
        <f t="shared" si="267"/>
        <v/>
      </c>
      <c r="AD322" s="306">
        <f t="shared" si="239"/>
        <v>0</v>
      </c>
      <c r="AE322" s="307">
        <f t="shared" si="268"/>
        <v>0.72605619670195076</v>
      </c>
      <c r="AF322" s="308" t="e">
        <f t="shared" si="281"/>
        <v>#N/A</v>
      </c>
      <c r="AG322" s="306">
        <f t="shared" si="269"/>
        <v>662.44014988643335</v>
      </c>
      <c r="AH322" s="306">
        <f t="shared" si="241"/>
        <v>0</v>
      </c>
      <c r="AI322" s="306">
        <f t="shared" si="270"/>
        <v>0</v>
      </c>
      <c r="AJ322" s="306">
        <f t="shared" si="271"/>
        <v>0</v>
      </c>
      <c r="AK322" s="306">
        <f t="shared" si="242"/>
        <v>0</v>
      </c>
      <c r="AL322" s="306">
        <f t="shared" si="272"/>
        <v>0</v>
      </c>
      <c r="AM322" s="306">
        <f t="shared" si="243"/>
        <v>0</v>
      </c>
      <c r="AN322" s="304">
        <f>KcSplint!$N351</f>
        <v>1.0744754079017977</v>
      </c>
      <c r="AO322" s="304" t="str">
        <f t="shared" si="244"/>
        <v/>
      </c>
      <c r="AP322" s="304" t="str">
        <f t="shared" si="273"/>
        <v/>
      </c>
      <c r="AQ322" s="305" t="e">
        <f t="shared" si="282"/>
        <v>#N/A</v>
      </c>
      <c r="AR322" s="304" t="str">
        <f t="shared" si="283"/>
        <v/>
      </c>
      <c r="AS322" s="306">
        <f t="shared" si="245"/>
        <v>0</v>
      </c>
      <c r="AT322" s="307" t="e">
        <f t="shared" si="284"/>
        <v>#N/A</v>
      </c>
      <c r="AU322" s="307" t="e">
        <f t="shared" si="285"/>
        <v>#N/A</v>
      </c>
      <c r="AV322" s="304">
        <f t="shared" si="246"/>
        <v>0.60504683058495901</v>
      </c>
      <c r="AW322" s="309">
        <f t="shared" si="247"/>
        <v>0.60504683058495901</v>
      </c>
      <c r="AX322" s="306">
        <f>IF(ISERROR(Weather!M306),#N/A,Weather!M306)</f>
        <v>7.8</v>
      </c>
      <c r="AY322" s="310">
        <f t="shared" si="248"/>
        <v>1</v>
      </c>
      <c r="AZ322" s="309">
        <f t="shared" si="249"/>
        <v>1.2</v>
      </c>
      <c r="BA322" s="309">
        <f t="shared" si="250"/>
        <v>235.05191627632917</v>
      </c>
      <c r="BB322" s="311">
        <f>Irrig!H324</f>
        <v>0</v>
      </c>
      <c r="BC322" s="310">
        <f t="shared" si="251"/>
        <v>0</v>
      </c>
      <c r="BD322" s="309">
        <f t="shared" si="252"/>
        <v>0</v>
      </c>
      <c r="BE322" s="309">
        <f t="shared" si="253"/>
        <v>0</v>
      </c>
      <c r="BF322" s="306">
        <f>DailyMet!H305</f>
        <v>13.33</v>
      </c>
      <c r="BG322" s="306">
        <f>DailyMet!I305</f>
        <v>12.6</v>
      </c>
      <c r="BH322" s="306">
        <f t="shared" si="254"/>
        <v>13.33</v>
      </c>
      <c r="BI322" s="306">
        <f t="shared" si="255"/>
        <v>12.6</v>
      </c>
      <c r="BJ322" s="306">
        <f t="shared" si="256"/>
        <v>2.9649999999999999</v>
      </c>
      <c r="BK322" s="306">
        <f t="shared" si="225"/>
        <v>0</v>
      </c>
      <c r="BL322" s="304">
        <f t="shared" si="257"/>
        <v>0</v>
      </c>
      <c r="BM322" s="304">
        <f t="shared" si="258"/>
        <v>2.9649999999999999</v>
      </c>
      <c r="BN322" s="304">
        <f t="shared" si="279"/>
        <v>2.9649999999999999</v>
      </c>
      <c r="BO322" s="306">
        <f t="shared" si="280"/>
        <v>0</v>
      </c>
      <c r="BP322" s="306"/>
    </row>
    <row r="323" spans="1:68">
      <c r="A323" s="299">
        <f t="shared" si="226"/>
        <v>0</v>
      </c>
      <c r="B323" s="300">
        <f t="shared" si="227"/>
        <v>38288</v>
      </c>
      <c r="C323" s="301" t="e">
        <f t="shared" si="259"/>
        <v>#N/A</v>
      </c>
      <c r="D323" s="301" t="e">
        <f t="shared" si="228"/>
        <v>#N/A</v>
      </c>
      <c r="E323" s="299">
        <f t="shared" si="229"/>
        <v>302</v>
      </c>
      <c r="F323" s="396">
        <f>Weather!M307</f>
        <v>2.4</v>
      </c>
      <c r="G323" s="301">
        <f>IF(Weather!C307="","",Weather!C307)</f>
        <v>0.73612949694978991</v>
      </c>
      <c r="H323" s="301">
        <f>IF(Weather!D307="","",Weather!D307)</f>
        <v>0.63018231399244962</v>
      </c>
      <c r="I323" s="502">
        <f>IF(Weather!E307="","",Weather!E307)</f>
        <v>0.63018231399244962</v>
      </c>
      <c r="J323" s="397">
        <f>IF(RnSplint!N351&lt;0,0,RnSplint!N351)</f>
        <v>19.365050400015392</v>
      </c>
      <c r="K323" s="302">
        <f t="shared" si="260"/>
        <v>0</v>
      </c>
      <c r="L323" s="303">
        <f t="shared" si="261"/>
        <v>38288</v>
      </c>
      <c r="M323" s="346" t="str">
        <f t="shared" si="230"/>
        <v/>
      </c>
      <c r="N323" s="304">
        <f t="shared" si="262"/>
        <v>0</v>
      </c>
      <c r="O323" s="304">
        <f t="shared" si="263"/>
        <v>0</v>
      </c>
      <c r="P323" s="304">
        <f t="shared" si="231"/>
        <v>0</v>
      </c>
      <c r="Q323" s="304">
        <f t="shared" si="232"/>
        <v>1.2</v>
      </c>
      <c r="R323" s="304">
        <f t="shared" si="233"/>
        <v>1.2</v>
      </c>
      <c r="S323" s="305" t="e">
        <f t="shared" si="264"/>
        <v>#N/A</v>
      </c>
      <c r="T323" s="304">
        <f t="shared" si="234"/>
        <v>0</v>
      </c>
      <c r="U323" s="304">
        <f t="shared" si="278"/>
        <v>0</v>
      </c>
      <c r="V323" s="305" t="e">
        <f t="shared" si="235"/>
        <v>#N/A</v>
      </c>
      <c r="W323" s="305" t="e">
        <f t="shared" si="265"/>
        <v>#N/A</v>
      </c>
      <c r="X323" s="304">
        <f t="shared" si="266"/>
        <v>1.2</v>
      </c>
      <c r="Z323" s="304" t="str">
        <f t="shared" si="236"/>
        <v/>
      </c>
      <c r="AA323" s="305" t="e">
        <f t="shared" si="237"/>
        <v>#N/A</v>
      </c>
      <c r="AB323" s="304">
        <f t="shared" si="238"/>
        <v>0.75621877679093952</v>
      </c>
      <c r="AC323" s="304" t="str">
        <f t="shared" si="267"/>
        <v/>
      </c>
      <c r="AD323" s="306">
        <f t="shared" si="239"/>
        <v>0</v>
      </c>
      <c r="AE323" s="307">
        <f t="shared" si="268"/>
        <v>0.75621877679093952</v>
      </c>
      <c r="AF323" s="308" t="e">
        <f t="shared" si="281"/>
        <v>#N/A</v>
      </c>
      <c r="AG323" s="306">
        <f t="shared" si="269"/>
        <v>663.07033220042581</v>
      </c>
      <c r="AH323" s="306">
        <f t="shared" si="241"/>
        <v>0</v>
      </c>
      <c r="AI323" s="306">
        <f t="shared" si="270"/>
        <v>0</v>
      </c>
      <c r="AJ323" s="306">
        <f t="shared" si="271"/>
        <v>0</v>
      </c>
      <c r="AK323" s="306">
        <f t="shared" si="242"/>
        <v>0</v>
      </c>
      <c r="AL323" s="306">
        <f t="shared" si="272"/>
        <v>0</v>
      </c>
      <c r="AM323" s="306">
        <f t="shared" si="243"/>
        <v>0</v>
      </c>
      <c r="AN323" s="304">
        <f>KcSplint!$N352</f>
        <v>1.0827535673355606</v>
      </c>
      <c r="AO323" s="304" t="str">
        <f t="shared" si="244"/>
        <v/>
      </c>
      <c r="AP323" s="304" t="str">
        <f t="shared" si="273"/>
        <v/>
      </c>
      <c r="AQ323" s="305" t="e">
        <f t="shared" si="282"/>
        <v>#N/A</v>
      </c>
      <c r="AR323" s="304" t="str">
        <f t="shared" si="283"/>
        <v/>
      </c>
      <c r="AS323" s="306">
        <f t="shared" si="245"/>
        <v>0</v>
      </c>
      <c r="AT323" s="307" t="e">
        <f t="shared" si="284"/>
        <v>#N/A</v>
      </c>
      <c r="AU323" s="307" t="e">
        <f t="shared" si="285"/>
        <v>#N/A</v>
      </c>
      <c r="AV323" s="304">
        <f t="shared" si="246"/>
        <v>0.63018231399244962</v>
      </c>
      <c r="AW323" s="309">
        <f t="shared" si="247"/>
        <v>0.63018231399244962</v>
      </c>
      <c r="AX323" s="306">
        <f>IF(ISERROR(Weather!M307),#N/A,Weather!M307)</f>
        <v>2.4</v>
      </c>
      <c r="AY323" s="310">
        <f t="shared" si="248"/>
        <v>1</v>
      </c>
      <c r="AZ323" s="309">
        <f t="shared" si="249"/>
        <v>1.2</v>
      </c>
      <c r="BA323" s="309">
        <f t="shared" si="250"/>
        <v>235.68209859032163</v>
      </c>
      <c r="BB323" s="311">
        <f>Irrig!H325</f>
        <v>0</v>
      </c>
      <c r="BC323" s="310">
        <f t="shared" si="251"/>
        <v>0</v>
      </c>
      <c r="BD323" s="309">
        <f t="shared" si="252"/>
        <v>0</v>
      </c>
      <c r="BE323" s="309">
        <f t="shared" si="253"/>
        <v>0</v>
      </c>
      <c r="BF323" s="306">
        <f>DailyMet!H306</f>
        <v>8.52</v>
      </c>
      <c r="BG323" s="306">
        <f>DailyMet!I306</f>
        <v>5.6</v>
      </c>
      <c r="BH323" s="306">
        <f t="shared" si="254"/>
        <v>8.52</v>
      </c>
      <c r="BI323" s="306">
        <f t="shared" si="255"/>
        <v>10</v>
      </c>
      <c r="BJ323" s="306">
        <f t="shared" si="256"/>
        <v>-0.74000000000000021</v>
      </c>
      <c r="BK323" s="306">
        <f t="shared" si="225"/>
        <v>0</v>
      </c>
      <c r="BL323" s="304">
        <f t="shared" si="257"/>
        <v>0</v>
      </c>
      <c r="BM323" s="304">
        <f t="shared" si="258"/>
        <v>0</v>
      </c>
      <c r="BN323" s="304">
        <f t="shared" si="279"/>
        <v>0</v>
      </c>
      <c r="BO323" s="306">
        <f t="shared" si="280"/>
        <v>0</v>
      </c>
      <c r="BP323" s="306"/>
    </row>
    <row r="324" spans="1:68">
      <c r="A324" s="299">
        <f t="shared" si="226"/>
        <v>0</v>
      </c>
      <c r="B324" s="300">
        <f t="shared" si="227"/>
        <v>38289</v>
      </c>
      <c r="C324" s="301" t="e">
        <f t="shared" si="259"/>
        <v>#N/A</v>
      </c>
      <c r="D324" s="301" t="e">
        <f t="shared" si="228"/>
        <v>#N/A</v>
      </c>
      <c r="E324" s="299">
        <f t="shared" si="229"/>
        <v>303</v>
      </c>
      <c r="F324" s="396">
        <f>Weather!M308</f>
        <v>0.4</v>
      </c>
      <c r="G324" s="301">
        <f>IF(Weather!C308="","",Weather!C308)</f>
        <v>0.71695231296081663</v>
      </c>
      <c r="H324" s="301">
        <f>IF(Weather!D308="","",Weather!D308)</f>
        <v>0.55971158953972311</v>
      </c>
      <c r="I324" s="502">
        <f>IF(Weather!E308="","",Weather!E308)</f>
        <v>0.55971158953972311</v>
      </c>
      <c r="J324" s="397">
        <f>IF(RnSplint!N352&lt;0,0,RnSplint!N352)</f>
        <v>20.23523526229841</v>
      </c>
      <c r="K324" s="302">
        <f t="shared" si="260"/>
        <v>0</v>
      </c>
      <c r="L324" s="303">
        <f t="shared" si="261"/>
        <v>38289</v>
      </c>
      <c r="M324" s="346" t="str">
        <f t="shared" si="230"/>
        <v/>
      </c>
      <c r="N324" s="304">
        <f t="shared" si="262"/>
        <v>0</v>
      </c>
      <c r="O324" s="304">
        <f t="shared" si="263"/>
        <v>0</v>
      </c>
      <c r="P324" s="304">
        <f t="shared" si="231"/>
        <v>0</v>
      </c>
      <c r="Q324" s="304">
        <f t="shared" si="232"/>
        <v>1.2</v>
      </c>
      <c r="R324" s="304">
        <f t="shared" si="233"/>
        <v>1.2</v>
      </c>
      <c r="S324" s="305" t="e">
        <f t="shared" si="264"/>
        <v>#N/A</v>
      </c>
      <c r="T324" s="304">
        <f t="shared" si="234"/>
        <v>0</v>
      </c>
      <c r="U324" s="304">
        <f t="shared" si="278"/>
        <v>0</v>
      </c>
      <c r="V324" s="305" t="e">
        <f t="shared" si="235"/>
        <v>#N/A</v>
      </c>
      <c r="W324" s="305" t="e">
        <f t="shared" si="265"/>
        <v>#N/A</v>
      </c>
      <c r="X324" s="304">
        <f t="shared" si="266"/>
        <v>1.2</v>
      </c>
      <c r="Z324" s="304" t="str">
        <f t="shared" si="236"/>
        <v/>
      </c>
      <c r="AA324" s="305" t="e">
        <f t="shared" si="237"/>
        <v>#N/A</v>
      </c>
      <c r="AB324" s="304">
        <f t="shared" si="238"/>
        <v>0.67165390744766773</v>
      </c>
      <c r="AC324" s="304" t="str">
        <f t="shared" si="267"/>
        <v/>
      </c>
      <c r="AD324" s="306">
        <f t="shared" si="239"/>
        <v>0</v>
      </c>
      <c r="AE324" s="307">
        <f t="shared" si="268"/>
        <v>0.67165390744766773</v>
      </c>
      <c r="AF324" s="308" t="e">
        <f t="shared" si="281"/>
        <v>#N/A</v>
      </c>
      <c r="AG324" s="306">
        <f t="shared" si="269"/>
        <v>663.6300437899655</v>
      </c>
      <c r="AH324" s="306">
        <f t="shared" si="241"/>
        <v>0</v>
      </c>
      <c r="AI324" s="306">
        <f t="shared" si="270"/>
        <v>0</v>
      </c>
      <c r="AJ324" s="306">
        <f t="shared" si="271"/>
        <v>0</v>
      </c>
      <c r="AK324" s="306">
        <f t="shared" si="242"/>
        <v>0</v>
      </c>
      <c r="AL324" s="306">
        <f t="shared" si="272"/>
        <v>0</v>
      </c>
      <c r="AM324" s="306">
        <f t="shared" si="243"/>
        <v>0</v>
      </c>
      <c r="AN324" s="304">
        <f>KcSplint!$N353</f>
        <v>1.0909395266629074</v>
      </c>
      <c r="AO324" s="304" t="str">
        <f t="shared" si="244"/>
        <v/>
      </c>
      <c r="AP324" s="304" t="str">
        <f t="shared" si="273"/>
        <v/>
      </c>
      <c r="AQ324" s="305" t="e">
        <f t="shared" si="282"/>
        <v>#N/A</v>
      </c>
      <c r="AR324" s="304" t="str">
        <f t="shared" si="283"/>
        <v/>
      </c>
      <c r="AS324" s="306">
        <f t="shared" si="245"/>
        <v>0</v>
      </c>
      <c r="AT324" s="307" t="e">
        <f t="shared" si="284"/>
        <v>#N/A</v>
      </c>
      <c r="AU324" s="307" t="e">
        <f t="shared" si="285"/>
        <v>#N/A</v>
      </c>
      <c r="AV324" s="304">
        <f t="shared" si="246"/>
        <v>0.55971158953972311</v>
      </c>
      <c r="AW324" s="309">
        <f t="shared" si="247"/>
        <v>1.1898939035321727</v>
      </c>
      <c r="AX324" s="306">
        <f>IF(ISERROR(Weather!M308),#N/A,Weather!M308)</f>
        <v>0.4</v>
      </c>
      <c r="AY324" s="310">
        <f t="shared" si="248"/>
        <v>2</v>
      </c>
      <c r="AZ324" s="309">
        <f t="shared" si="249"/>
        <v>1.2</v>
      </c>
      <c r="BA324" s="309">
        <f t="shared" si="250"/>
        <v>236.24181017986135</v>
      </c>
      <c r="BB324" s="311">
        <f>Irrig!H326</f>
        <v>0</v>
      </c>
      <c r="BC324" s="310">
        <f t="shared" si="251"/>
        <v>0</v>
      </c>
      <c r="BD324" s="309">
        <f t="shared" si="252"/>
        <v>0</v>
      </c>
      <c r="BE324" s="309">
        <f t="shared" si="253"/>
        <v>0</v>
      </c>
      <c r="BF324" s="306">
        <f>DailyMet!H307</f>
        <v>7.02</v>
      </c>
      <c r="BG324" s="306">
        <f>DailyMet!I307</f>
        <v>1.3</v>
      </c>
      <c r="BH324" s="306">
        <f t="shared" si="254"/>
        <v>7.02</v>
      </c>
      <c r="BI324" s="306">
        <f t="shared" si="255"/>
        <v>10</v>
      </c>
      <c r="BJ324" s="306">
        <f t="shared" si="256"/>
        <v>-1.4900000000000002</v>
      </c>
      <c r="BK324" s="306">
        <f t="shared" si="225"/>
        <v>0</v>
      </c>
      <c r="BL324" s="304">
        <f t="shared" si="257"/>
        <v>0</v>
      </c>
      <c r="BM324" s="304">
        <f t="shared" si="258"/>
        <v>0</v>
      </c>
      <c r="BN324" s="304">
        <f t="shared" si="279"/>
        <v>0</v>
      </c>
      <c r="BO324" s="306">
        <f t="shared" si="280"/>
        <v>0</v>
      </c>
      <c r="BP324" s="306"/>
    </row>
    <row r="325" spans="1:68">
      <c r="A325" s="299">
        <f t="shared" si="226"/>
        <v>0</v>
      </c>
      <c r="B325" s="300">
        <f t="shared" si="227"/>
        <v>38290</v>
      </c>
      <c r="C325" s="301" t="e">
        <f t="shared" si="259"/>
        <v>#N/A</v>
      </c>
      <c r="D325" s="301" t="e">
        <f t="shared" si="228"/>
        <v>#N/A</v>
      </c>
      <c r="E325" s="299">
        <f t="shared" si="229"/>
        <v>304</v>
      </c>
      <c r="F325" s="396">
        <f>Weather!M309</f>
        <v>0.6</v>
      </c>
      <c r="G325" s="301">
        <f>IF(Weather!C309="","",Weather!C309)</f>
        <v>0.69809611173825459</v>
      </c>
      <c r="H325" s="301">
        <f>IF(Weather!D309="","",Weather!D309)</f>
        <v>0.53679968135500811</v>
      </c>
      <c r="I325" s="502">
        <f>IF(Weather!E309="","",Weather!E309)</f>
        <v>0.53679968135500811</v>
      </c>
      <c r="J325" s="397">
        <f>IF(RnSplint!N353&lt;0,0,RnSplint!N353)</f>
        <v>21.099727477369925</v>
      </c>
      <c r="K325" s="302">
        <f t="shared" si="260"/>
        <v>0</v>
      </c>
      <c r="L325" s="303">
        <f t="shared" si="261"/>
        <v>38290</v>
      </c>
      <c r="M325" s="346" t="str">
        <f t="shared" si="230"/>
        <v/>
      </c>
      <c r="N325" s="304">
        <f t="shared" si="262"/>
        <v>0</v>
      </c>
      <c r="O325" s="304">
        <f t="shared" si="263"/>
        <v>0</v>
      </c>
      <c r="P325" s="304">
        <f t="shared" si="231"/>
        <v>0</v>
      </c>
      <c r="Q325" s="304">
        <f t="shared" si="232"/>
        <v>1.2</v>
      </c>
      <c r="R325" s="304">
        <f t="shared" si="233"/>
        <v>1.2</v>
      </c>
      <c r="S325" s="305" t="e">
        <f t="shared" si="264"/>
        <v>#N/A</v>
      </c>
      <c r="T325" s="304">
        <f t="shared" si="234"/>
        <v>0</v>
      </c>
      <c r="U325" s="304">
        <f t="shared" si="278"/>
        <v>0</v>
      </c>
      <c r="V325" s="305" t="e">
        <f t="shared" si="235"/>
        <v>#N/A</v>
      </c>
      <c r="W325" s="305" t="e">
        <f t="shared" si="265"/>
        <v>#N/A</v>
      </c>
      <c r="X325" s="304">
        <f t="shared" si="266"/>
        <v>1.2</v>
      </c>
      <c r="Y325" s="304">
        <f>AVERAGE(X295:X325)</f>
        <v>0.95644680175884533</v>
      </c>
      <c r="Z325" s="304" t="str">
        <f t="shared" si="236"/>
        <v/>
      </c>
      <c r="AA325" s="305" t="e">
        <f t="shared" si="237"/>
        <v>#N/A</v>
      </c>
      <c r="AB325" s="304">
        <f t="shared" si="238"/>
        <v>0.64415961762600971</v>
      </c>
      <c r="AC325" s="304" t="str">
        <f t="shared" si="267"/>
        <v/>
      </c>
      <c r="AD325" s="306">
        <f t="shared" si="239"/>
        <v>0</v>
      </c>
      <c r="AE325" s="307">
        <f t="shared" si="268"/>
        <v>0.64415961762600971</v>
      </c>
      <c r="AF325" s="308" t="e">
        <f t="shared" si="281"/>
        <v>#N/A</v>
      </c>
      <c r="AG325" s="306">
        <f t="shared" si="269"/>
        <v>664.16684347132048</v>
      </c>
      <c r="AH325" s="306">
        <f t="shared" si="241"/>
        <v>0</v>
      </c>
      <c r="AI325" s="306">
        <f t="shared" si="270"/>
        <v>0</v>
      </c>
      <c r="AJ325" s="306">
        <f t="shared" si="271"/>
        <v>0</v>
      </c>
      <c r="AK325" s="306">
        <f t="shared" si="242"/>
        <v>0</v>
      </c>
      <c r="AL325" s="306">
        <f t="shared" si="272"/>
        <v>0</v>
      </c>
      <c r="AM325" s="306">
        <f t="shared" si="243"/>
        <v>0</v>
      </c>
      <c r="AN325" s="304">
        <f>KcSplint!$N354</f>
        <v>1.0990117041418814</v>
      </c>
      <c r="AO325" s="304" t="str">
        <f t="shared" si="244"/>
        <v/>
      </c>
      <c r="AP325" s="304" t="str">
        <f t="shared" si="273"/>
        <v/>
      </c>
      <c r="AQ325" s="305" t="e">
        <f t="shared" si="282"/>
        <v>#N/A</v>
      </c>
      <c r="AR325" s="304" t="str">
        <f t="shared" si="283"/>
        <v/>
      </c>
      <c r="AS325" s="306">
        <f t="shared" si="245"/>
        <v>0</v>
      </c>
      <c r="AT325" s="307" t="e">
        <f t="shared" si="284"/>
        <v>#N/A</v>
      </c>
      <c r="AU325" s="307" t="e">
        <f t="shared" si="285"/>
        <v>#N/A</v>
      </c>
      <c r="AV325" s="304">
        <f t="shared" si="246"/>
        <v>0.53679968135500811</v>
      </c>
      <c r="AW325" s="309">
        <f t="shared" si="247"/>
        <v>1.7266935848871809</v>
      </c>
      <c r="AX325" s="306">
        <f>IF(ISERROR(Weather!M309),#N/A,Weather!M309)</f>
        <v>0.6</v>
      </c>
      <c r="AY325" s="310">
        <f t="shared" si="248"/>
        <v>3</v>
      </c>
      <c r="AZ325" s="309">
        <f t="shared" si="249"/>
        <v>1.2</v>
      </c>
      <c r="BA325" s="309">
        <f t="shared" si="250"/>
        <v>236.77860986121635</v>
      </c>
      <c r="BB325" s="311">
        <f>Irrig!H327</f>
        <v>0</v>
      </c>
      <c r="BC325" s="310">
        <f t="shared" si="251"/>
        <v>0</v>
      </c>
      <c r="BD325" s="309">
        <f t="shared" si="252"/>
        <v>0</v>
      </c>
      <c r="BE325" s="309">
        <f t="shared" si="253"/>
        <v>0</v>
      </c>
      <c r="BF325" s="306">
        <f>DailyMet!H308</f>
        <v>6.55</v>
      </c>
      <c r="BG325" s="306">
        <f>DailyMet!I308</f>
        <v>-0.5</v>
      </c>
      <c r="BH325" s="306">
        <f t="shared" si="254"/>
        <v>6.55</v>
      </c>
      <c r="BI325" s="306">
        <f t="shared" si="255"/>
        <v>10</v>
      </c>
      <c r="BJ325" s="306">
        <f t="shared" si="256"/>
        <v>-1.7249999999999996</v>
      </c>
      <c r="BK325" s="306">
        <f t="shared" si="225"/>
        <v>0</v>
      </c>
      <c r="BL325" s="304">
        <f t="shared" si="257"/>
        <v>0</v>
      </c>
      <c r="BM325" s="304">
        <f t="shared" si="258"/>
        <v>0</v>
      </c>
      <c r="BN325" s="304">
        <f t="shared" si="279"/>
        <v>0</v>
      </c>
      <c r="BO325" s="306">
        <f t="shared" si="280"/>
        <v>0</v>
      </c>
      <c r="BP325" s="306"/>
    </row>
    <row r="326" spans="1:68">
      <c r="A326" s="299">
        <f t="shared" si="226"/>
        <v>0</v>
      </c>
      <c r="B326" s="300">
        <f t="shared" si="227"/>
        <v>38291</v>
      </c>
      <c r="C326" s="301" t="e">
        <f t="shared" si="259"/>
        <v>#N/A</v>
      </c>
      <c r="D326" s="301" t="e">
        <f t="shared" si="228"/>
        <v>#N/A</v>
      </c>
      <c r="E326" s="299">
        <f t="shared" si="229"/>
        <v>305</v>
      </c>
      <c r="F326" s="396">
        <f>Weather!M310</f>
        <v>34.200000000000003</v>
      </c>
      <c r="G326" s="301">
        <f>IF(Weather!C310="","",Weather!C310)</f>
        <v>0.6795622302507921</v>
      </c>
      <c r="H326" s="301">
        <f>IF(Weather!D310="","",Weather!D310)</f>
        <v>0.62115805906117094</v>
      </c>
      <c r="I326" s="502">
        <f>IF(Weather!E310="","",Weather!E310)</f>
        <v>0.62115805906117094</v>
      </c>
      <c r="J326" s="397">
        <f>IF(RnSplint!N354&lt;0,0,RnSplint!N354)</f>
        <v>21.95343218873759</v>
      </c>
      <c r="K326" s="302">
        <f t="shared" si="260"/>
        <v>0</v>
      </c>
      <c r="L326" s="303">
        <f t="shared" si="261"/>
        <v>38291</v>
      </c>
      <c r="M326" s="346">
        <f t="shared" si="230"/>
        <v>10</v>
      </c>
      <c r="N326" s="304">
        <f t="shared" si="262"/>
        <v>0</v>
      </c>
      <c r="O326" s="304">
        <f t="shared" si="263"/>
        <v>0</v>
      </c>
      <c r="P326" s="304">
        <f t="shared" si="231"/>
        <v>0</v>
      </c>
      <c r="Q326" s="304">
        <f t="shared" si="232"/>
        <v>1.2</v>
      </c>
      <c r="R326" s="304">
        <f t="shared" si="233"/>
        <v>1.2</v>
      </c>
      <c r="S326" s="305" t="e">
        <f t="shared" si="264"/>
        <v>#N/A</v>
      </c>
      <c r="T326" s="304">
        <f t="shared" si="234"/>
        <v>0</v>
      </c>
      <c r="U326" s="304">
        <f t="shared" si="278"/>
        <v>0</v>
      </c>
      <c r="V326" s="305" t="e">
        <f t="shared" si="235"/>
        <v>#N/A</v>
      </c>
      <c r="W326" s="305" t="e">
        <f t="shared" si="265"/>
        <v>#N/A</v>
      </c>
      <c r="X326" s="304">
        <f t="shared" si="266"/>
        <v>1.2</v>
      </c>
      <c r="Y326" s="304">
        <f>AVERAGE(X296:X326)</f>
        <v>0.97580164046852269</v>
      </c>
      <c r="Z326" s="304" t="str">
        <f t="shared" si="236"/>
        <v/>
      </c>
      <c r="AA326" s="305" t="e">
        <f t="shared" si="237"/>
        <v>#N/A</v>
      </c>
      <c r="AB326" s="304">
        <f t="shared" si="238"/>
        <v>0.74538967087340513</v>
      </c>
      <c r="AC326" s="304" t="str">
        <f t="shared" si="267"/>
        <v/>
      </c>
      <c r="AD326" s="306">
        <f t="shared" si="239"/>
        <v>0</v>
      </c>
      <c r="AE326" s="307">
        <f t="shared" si="268"/>
        <v>0.74538967087340513</v>
      </c>
      <c r="AF326" s="308" t="e">
        <f t="shared" si="281"/>
        <v>#N/A</v>
      </c>
      <c r="AG326" s="306">
        <f t="shared" si="269"/>
        <v>664.78800153038162</v>
      </c>
      <c r="AH326" s="306">
        <f t="shared" si="241"/>
        <v>0</v>
      </c>
      <c r="AI326" s="306">
        <f t="shared" si="270"/>
        <v>0</v>
      </c>
      <c r="AJ326" s="306">
        <f t="shared" si="271"/>
        <v>0</v>
      </c>
      <c r="AK326" s="306">
        <f t="shared" si="242"/>
        <v>0</v>
      </c>
      <c r="AL326" s="306">
        <f t="shared" si="272"/>
        <v>0</v>
      </c>
      <c r="AM326" s="306">
        <f t="shared" si="243"/>
        <v>0</v>
      </c>
      <c r="AN326" s="304">
        <f>KcSplint!$N355</f>
        <v>1.1069485180305256</v>
      </c>
      <c r="AO326" s="304" t="str">
        <f t="shared" si="244"/>
        <v/>
      </c>
      <c r="AP326" s="304" t="str">
        <f t="shared" si="273"/>
        <v/>
      </c>
      <c r="AQ326" s="305" t="e">
        <f t="shared" si="282"/>
        <v>#N/A</v>
      </c>
      <c r="AR326" s="304" t="str">
        <f t="shared" si="283"/>
        <v/>
      </c>
      <c r="AS326" s="306">
        <f t="shared" si="245"/>
        <v>0</v>
      </c>
      <c r="AT326" s="307" t="e">
        <f t="shared" si="284"/>
        <v>#N/A</v>
      </c>
      <c r="AU326" s="307" t="e">
        <f t="shared" si="285"/>
        <v>#N/A</v>
      </c>
      <c r="AV326" s="304">
        <f t="shared" si="246"/>
        <v>0.62115805906117094</v>
      </c>
      <c r="AW326" s="309">
        <f t="shared" si="247"/>
        <v>0.62115805906117094</v>
      </c>
      <c r="AX326" s="306">
        <f>IF(ISERROR(Weather!M310),#N/A,Weather!M310)</f>
        <v>34.200000000000003</v>
      </c>
      <c r="AY326" s="310">
        <f t="shared" si="248"/>
        <v>1</v>
      </c>
      <c r="AZ326" s="309">
        <f t="shared" si="249"/>
        <v>1.2</v>
      </c>
      <c r="BA326" s="309">
        <f t="shared" si="250"/>
        <v>237.39976792027753</v>
      </c>
      <c r="BB326" s="311">
        <f>Irrig!H328</f>
        <v>0</v>
      </c>
      <c r="BC326" s="310">
        <f t="shared" si="251"/>
        <v>0</v>
      </c>
      <c r="BD326" s="309">
        <f t="shared" si="252"/>
        <v>0</v>
      </c>
      <c r="BE326" s="309">
        <f t="shared" si="253"/>
        <v>0</v>
      </c>
      <c r="BF326" s="306">
        <f>DailyMet!H309</f>
        <v>8.98</v>
      </c>
      <c r="BG326" s="306">
        <f>DailyMet!I309</f>
        <v>4.8</v>
      </c>
      <c r="BH326" s="306">
        <f t="shared" si="254"/>
        <v>8.98</v>
      </c>
      <c r="BI326" s="306">
        <f t="shared" si="255"/>
        <v>10</v>
      </c>
      <c r="BJ326" s="306">
        <f t="shared" si="256"/>
        <v>-0.50999999999999979</v>
      </c>
      <c r="BK326" s="306">
        <f t="shared" si="225"/>
        <v>0</v>
      </c>
      <c r="BL326" s="304">
        <f t="shared" si="257"/>
        <v>0</v>
      </c>
      <c r="BM326" s="304">
        <f t="shared" si="258"/>
        <v>0</v>
      </c>
      <c r="BN326" s="304">
        <f t="shared" si="279"/>
        <v>0</v>
      </c>
      <c r="BO326" s="306">
        <f t="shared" si="280"/>
        <v>0</v>
      </c>
      <c r="BP326" s="306"/>
    </row>
    <row r="327" spans="1:68">
      <c r="A327" s="299">
        <f t="shared" si="226"/>
        <v>0</v>
      </c>
      <c r="B327" s="300">
        <f t="shared" si="227"/>
        <v>38292</v>
      </c>
      <c r="C327" s="301" t="e">
        <f t="shared" si="259"/>
        <v>#N/A</v>
      </c>
      <c r="D327" s="301" t="e">
        <f t="shared" si="228"/>
        <v>#N/A</v>
      </c>
      <c r="E327" s="299">
        <f t="shared" si="229"/>
        <v>306</v>
      </c>
      <c r="F327" s="396">
        <f>Weather!M311</f>
        <v>2.8</v>
      </c>
      <c r="G327" s="301">
        <f>IF(Weather!C311="","",Weather!C311)</f>
        <v>0.6613520054671177</v>
      </c>
      <c r="H327" s="301">
        <f>IF(Weather!D311="","",Weather!D311)</f>
        <v>1.1745537432415922</v>
      </c>
      <c r="I327" s="502">
        <f>IF(Weather!E311="","",Weather!E311)</f>
        <v>1.1745537432415922</v>
      </c>
      <c r="J327" s="397">
        <f>IF(RnSplint!N355&lt;0,0,RnSplint!N355)</f>
        <v>22.791254539909069</v>
      </c>
      <c r="K327" s="302">
        <f t="shared" si="260"/>
        <v>0</v>
      </c>
      <c r="L327" s="303">
        <f t="shared" si="261"/>
        <v>38292</v>
      </c>
      <c r="M327" s="346" t="str">
        <f t="shared" si="230"/>
        <v/>
      </c>
      <c r="N327" s="304">
        <f t="shared" si="262"/>
        <v>0</v>
      </c>
      <c r="O327" s="304">
        <f t="shared" si="263"/>
        <v>0</v>
      </c>
      <c r="P327" s="304">
        <f t="shared" si="231"/>
        <v>0</v>
      </c>
      <c r="Q327" s="304">
        <f t="shared" si="232"/>
        <v>1.2</v>
      </c>
      <c r="R327" s="304">
        <f t="shared" si="233"/>
        <v>1.2</v>
      </c>
      <c r="S327" s="305" t="e">
        <f t="shared" si="264"/>
        <v>#N/A</v>
      </c>
      <c r="T327" s="304">
        <f t="shared" si="234"/>
        <v>0</v>
      </c>
      <c r="U327" s="304">
        <f t="shared" si="278"/>
        <v>0</v>
      </c>
      <c r="V327" s="305" t="e">
        <f t="shared" si="235"/>
        <v>#N/A</v>
      </c>
      <c r="W327" s="305" t="e">
        <f t="shared" si="265"/>
        <v>#N/A</v>
      </c>
      <c r="X327" s="304">
        <f t="shared" si="266"/>
        <v>1.2</v>
      </c>
      <c r="Z327" s="304" t="str">
        <f t="shared" si="236"/>
        <v/>
      </c>
      <c r="AA327" s="305" t="e">
        <f t="shared" si="237"/>
        <v>#N/A</v>
      </c>
      <c r="AB327" s="304">
        <f t="shared" si="238"/>
        <v>1.4094644918899106</v>
      </c>
      <c r="AC327" s="304" t="str">
        <f t="shared" si="267"/>
        <v/>
      </c>
      <c r="AD327" s="306">
        <f t="shared" si="239"/>
        <v>0</v>
      </c>
      <c r="AE327" s="307">
        <f t="shared" si="268"/>
        <v>1.4094644918899106</v>
      </c>
      <c r="AF327" s="308" t="e">
        <f t="shared" si="281"/>
        <v>#N/A</v>
      </c>
      <c r="AG327" s="306">
        <f t="shared" si="269"/>
        <v>665.96255527362325</v>
      </c>
      <c r="AH327" s="306">
        <f t="shared" si="241"/>
        <v>0</v>
      </c>
      <c r="AI327" s="306">
        <f t="shared" si="270"/>
        <v>0</v>
      </c>
      <c r="AJ327" s="306">
        <f t="shared" si="271"/>
        <v>0</v>
      </c>
      <c r="AK327" s="306">
        <f t="shared" si="242"/>
        <v>0</v>
      </c>
      <c r="AL327" s="306">
        <f t="shared" si="272"/>
        <v>0</v>
      </c>
      <c r="AM327" s="306">
        <f t="shared" si="243"/>
        <v>0</v>
      </c>
      <c r="AN327" s="304">
        <f>KcSplint!$N356</f>
        <v>1.1147283865868827</v>
      </c>
      <c r="AO327" s="304" t="str">
        <f t="shared" si="244"/>
        <v/>
      </c>
      <c r="AP327" s="304" t="str">
        <f t="shared" si="273"/>
        <v/>
      </c>
      <c r="AQ327" s="305" t="e">
        <f t="shared" si="282"/>
        <v>#N/A</v>
      </c>
      <c r="AR327" s="304" t="str">
        <f t="shared" si="283"/>
        <v/>
      </c>
      <c r="AS327" s="306">
        <f t="shared" si="245"/>
        <v>0</v>
      </c>
      <c r="AT327" s="307" t="e">
        <f t="shared" si="284"/>
        <v>#N/A</v>
      </c>
      <c r="AU327" s="307" t="e">
        <f t="shared" si="285"/>
        <v>#N/A</v>
      </c>
      <c r="AV327" s="304">
        <f t="shared" si="246"/>
        <v>1.1745537432415922</v>
      </c>
      <c r="AW327" s="309">
        <f t="shared" si="247"/>
        <v>1.1745537432415922</v>
      </c>
      <c r="AX327" s="306">
        <f>IF(ISERROR(Weather!M311),#N/A,Weather!M311)</f>
        <v>2.8</v>
      </c>
      <c r="AY327" s="310">
        <f t="shared" si="248"/>
        <v>1</v>
      </c>
      <c r="AZ327" s="309">
        <f t="shared" si="249"/>
        <v>1.2</v>
      </c>
      <c r="BA327" s="309">
        <f t="shared" si="250"/>
        <v>238.57432166351913</v>
      </c>
      <c r="BB327" s="311">
        <f>Irrig!H329</f>
        <v>0</v>
      </c>
      <c r="BC327" s="310">
        <f t="shared" si="251"/>
        <v>0</v>
      </c>
      <c r="BD327" s="309">
        <f t="shared" si="252"/>
        <v>0</v>
      </c>
      <c r="BE327" s="309">
        <f t="shared" si="253"/>
        <v>0</v>
      </c>
      <c r="BF327" s="306">
        <f>DailyMet!H310</f>
        <v>10.15</v>
      </c>
      <c r="BG327" s="306">
        <f>DailyMet!I310</f>
        <v>6.2</v>
      </c>
      <c r="BH327" s="306">
        <f t="shared" si="254"/>
        <v>10.15</v>
      </c>
      <c r="BI327" s="306">
        <f t="shared" si="255"/>
        <v>10</v>
      </c>
      <c r="BJ327" s="306">
        <f t="shared" si="256"/>
        <v>7.4999999999999289E-2</v>
      </c>
      <c r="BK327" s="306">
        <f t="shared" si="225"/>
        <v>0</v>
      </c>
      <c r="BL327" s="304">
        <f t="shared" si="257"/>
        <v>0</v>
      </c>
      <c r="BM327" s="304">
        <f t="shared" si="258"/>
        <v>2.8481012658227983E-3</v>
      </c>
      <c r="BN327" s="304">
        <f t="shared" si="279"/>
        <v>2.8481012658227983E-3</v>
      </c>
      <c r="BO327" s="306">
        <f t="shared" si="280"/>
        <v>0</v>
      </c>
      <c r="BP327" s="306"/>
    </row>
    <row r="328" spans="1:68">
      <c r="A328" s="299">
        <f t="shared" si="226"/>
        <v>0</v>
      </c>
      <c r="B328" s="300">
        <f t="shared" si="227"/>
        <v>38293</v>
      </c>
      <c r="C328" s="301" t="e">
        <f t="shared" si="259"/>
        <v>#N/A</v>
      </c>
      <c r="D328" s="301" t="e">
        <f t="shared" si="228"/>
        <v>#N/A</v>
      </c>
      <c r="E328" s="299">
        <f t="shared" si="229"/>
        <v>307</v>
      </c>
      <c r="F328" s="396">
        <f>Weather!M312</f>
        <v>0.2</v>
      </c>
      <c r="G328" s="301">
        <f>IF(Weather!C312="","",Weather!C312)</f>
        <v>0.64346677435592003</v>
      </c>
      <c r="H328" s="301">
        <f>IF(Weather!D312="","",Weather!D312)</f>
        <v>0.64569523710979271</v>
      </c>
      <c r="I328" s="502">
        <f>IF(Weather!E312="","",Weather!E312)</f>
        <v>0.64569523710979271</v>
      </c>
      <c r="J328" s="397">
        <f>IF(RnSplint!N356&lt;0,0,RnSplint!N356)</f>
        <v>23.608099674392022</v>
      </c>
      <c r="K328" s="302">
        <f t="shared" si="260"/>
        <v>0</v>
      </c>
      <c r="L328" s="303">
        <f t="shared" si="261"/>
        <v>38293</v>
      </c>
      <c r="M328" s="346" t="str">
        <f t="shared" si="230"/>
        <v/>
      </c>
      <c r="N328" s="304">
        <f t="shared" si="262"/>
        <v>0</v>
      </c>
      <c r="O328" s="304">
        <f t="shared" si="263"/>
        <v>0</v>
      </c>
      <c r="P328" s="304">
        <f t="shared" si="231"/>
        <v>0</v>
      </c>
      <c r="Q328" s="304">
        <f t="shared" si="232"/>
        <v>1.2</v>
      </c>
      <c r="R328" s="304">
        <f t="shared" si="233"/>
        <v>1.2</v>
      </c>
      <c r="S328" s="305" t="e">
        <f t="shared" si="264"/>
        <v>#N/A</v>
      </c>
      <c r="T328" s="304">
        <f t="shared" si="234"/>
        <v>0</v>
      </c>
      <c r="U328" s="304">
        <f t="shared" si="278"/>
        <v>0</v>
      </c>
      <c r="V328" s="305" t="e">
        <f t="shared" si="235"/>
        <v>#N/A</v>
      </c>
      <c r="W328" s="305" t="e">
        <f t="shared" si="265"/>
        <v>#N/A</v>
      </c>
      <c r="X328" s="304">
        <f t="shared" si="266"/>
        <v>1.2</v>
      </c>
      <c r="Z328" s="304" t="str">
        <f t="shared" si="236"/>
        <v/>
      </c>
      <c r="AA328" s="305" t="e">
        <f t="shared" si="237"/>
        <v>#N/A</v>
      </c>
      <c r="AB328" s="304">
        <f t="shared" si="238"/>
        <v>0.77483428453175118</v>
      </c>
      <c r="AC328" s="304" t="str">
        <f t="shared" si="267"/>
        <v/>
      </c>
      <c r="AD328" s="306">
        <f t="shared" si="239"/>
        <v>0</v>
      </c>
      <c r="AE328" s="307">
        <f t="shared" si="268"/>
        <v>0.77483428453175118</v>
      </c>
      <c r="AF328" s="308" t="e">
        <f t="shared" si="281"/>
        <v>#N/A</v>
      </c>
      <c r="AG328" s="306">
        <f t="shared" si="269"/>
        <v>666.608250510733</v>
      </c>
      <c r="AH328" s="306">
        <f t="shared" si="241"/>
        <v>0</v>
      </c>
      <c r="AI328" s="306">
        <f t="shared" si="270"/>
        <v>0</v>
      </c>
      <c r="AJ328" s="306">
        <f t="shared" si="271"/>
        <v>0</v>
      </c>
      <c r="AK328" s="306">
        <f t="shared" si="242"/>
        <v>0</v>
      </c>
      <c r="AL328" s="306">
        <f t="shared" si="272"/>
        <v>0</v>
      </c>
      <c r="AM328" s="306">
        <f t="shared" si="243"/>
        <v>0</v>
      </c>
      <c r="AN328" s="304">
        <f>KcSplint!$N357</f>
        <v>1.1223297280689963</v>
      </c>
      <c r="AO328" s="304" t="str">
        <f t="shared" si="244"/>
        <v/>
      </c>
      <c r="AP328" s="304" t="str">
        <f t="shared" si="273"/>
        <v/>
      </c>
      <c r="AQ328" s="305" t="e">
        <f t="shared" si="282"/>
        <v>#N/A</v>
      </c>
      <c r="AR328" s="304" t="str">
        <f t="shared" si="283"/>
        <v/>
      </c>
      <c r="AS328" s="306">
        <f t="shared" si="245"/>
        <v>0</v>
      </c>
      <c r="AT328" s="307" t="e">
        <f t="shared" si="284"/>
        <v>#N/A</v>
      </c>
      <c r="AU328" s="307" t="e">
        <f t="shared" si="285"/>
        <v>#N/A</v>
      </c>
      <c r="AV328" s="304">
        <f t="shared" si="246"/>
        <v>0.64569523710979271</v>
      </c>
      <c r="AW328" s="309">
        <f t="shared" si="247"/>
        <v>1.8202489803513848</v>
      </c>
      <c r="AX328" s="306">
        <f>IF(ISERROR(Weather!M312),#N/A,Weather!M312)</f>
        <v>0.2</v>
      </c>
      <c r="AY328" s="310">
        <f t="shared" si="248"/>
        <v>2</v>
      </c>
      <c r="AZ328" s="309">
        <f t="shared" si="249"/>
        <v>1.2</v>
      </c>
      <c r="BA328" s="309">
        <f t="shared" si="250"/>
        <v>239.22001690062893</v>
      </c>
      <c r="BB328" s="311">
        <f>Irrig!H330</f>
        <v>0</v>
      </c>
      <c r="BC328" s="310">
        <f t="shared" si="251"/>
        <v>0</v>
      </c>
      <c r="BD328" s="309">
        <f t="shared" si="252"/>
        <v>0</v>
      </c>
      <c r="BE328" s="309">
        <f t="shared" si="253"/>
        <v>0</v>
      </c>
      <c r="BF328" s="306">
        <f>DailyMet!H311</f>
        <v>8.14</v>
      </c>
      <c r="BG328" s="306">
        <f>DailyMet!I311</f>
        <v>4.9000000000000004</v>
      </c>
      <c r="BH328" s="306">
        <f t="shared" si="254"/>
        <v>8.14</v>
      </c>
      <c r="BI328" s="306">
        <f t="shared" si="255"/>
        <v>10</v>
      </c>
      <c r="BJ328" s="306">
        <f t="shared" si="256"/>
        <v>-0.92999999999999972</v>
      </c>
      <c r="BK328" s="306">
        <f t="shared" ref="BK328:BK391" si="286">IF(AP328="",0,BK327+BJ328)</f>
        <v>0</v>
      </c>
      <c r="BL328" s="304">
        <f t="shared" si="257"/>
        <v>0</v>
      </c>
      <c r="BM328" s="304">
        <f t="shared" si="258"/>
        <v>0</v>
      </c>
      <c r="BN328" s="304">
        <f t="shared" si="279"/>
        <v>0</v>
      </c>
      <c r="BO328" s="306">
        <f t="shared" si="280"/>
        <v>0</v>
      </c>
      <c r="BP328" s="306"/>
    </row>
    <row r="329" spans="1:68">
      <c r="A329" s="299">
        <f t="shared" si="226"/>
        <v>0</v>
      </c>
      <c r="B329" s="300">
        <f t="shared" si="227"/>
        <v>38294</v>
      </c>
      <c r="C329" s="301" t="e">
        <f t="shared" si="259"/>
        <v>#N/A</v>
      </c>
      <c r="D329" s="301" t="e">
        <f t="shared" si="228"/>
        <v>#N/A</v>
      </c>
      <c r="E329" s="299">
        <f t="shared" si="229"/>
        <v>308</v>
      </c>
      <c r="F329" s="396">
        <f>Weather!M313</f>
        <v>0.2</v>
      </c>
      <c r="G329" s="301">
        <f>IF(Weather!C313="","",Weather!C313)</f>
        <v>0.62590787388588753</v>
      </c>
      <c r="H329" s="301">
        <f>IF(Weather!D313="","",Weather!D313)</f>
        <v>0.5802325534970274</v>
      </c>
      <c r="I329" s="502">
        <f>IF(Weather!E313="","",Weather!E313)</f>
        <v>0.5802325534970274</v>
      </c>
      <c r="J329" s="397">
        <f>IF(RnSplint!N357&lt;0,0,RnSplint!N357)</f>
        <v>24.398872735694109</v>
      </c>
      <c r="K329" s="302">
        <f t="shared" si="260"/>
        <v>0</v>
      </c>
      <c r="L329" s="303">
        <f t="shared" si="261"/>
        <v>38294</v>
      </c>
      <c r="M329" s="346" t="str">
        <f t="shared" si="230"/>
        <v/>
      </c>
      <c r="N329" s="304">
        <f t="shared" si="262"/>
        <v>0</v>
      </c>
      <c r="O329" s="304">
        <f t="shared" si="263"/>
        <v>0</v>
      </c>
      <c r="P329" s="304">
        <f t="shared" si="231"/>
        <v>0</v>
      </c>
      <c r="Q329" s="304">
        <f t="shared" si="232"/>
        <v>1.2</v>
      </c>
      <c r="R329" s="304">
        <f t="shared" si="233"/>
        <v>1.2</v>
      </c>
      <c r="S329" s="305" t="e">
        <f t="shared" si="264"/>
        <v>#N/A</v>
      </c>
      <c r="T329" s="304">
        <f t="shared" si="234"/>
        <v>0</v>
      </c>
      <c r="U329" s="304">
        <f t="shared" si="278"/>
        <v>0</v>
      </c>
      <c r="V329" s="305" t="e">
        <f t="shared" si="235"/>
        <v>#N/A</v>
      </c>
      <c r="W329" s="305" t="e">
        <f t="shared" si="265"/>
        <v>#N/A</v>
      </c>
      <c r="X329" s="304">
        <f t="shared" si="266"/>
        <v>1.2</v>
      </c>
      <c r="Z329" s="304" t="str">
        <f t="shared" si="236"/>
        <v/>
      </c>
      <c r="AA329" s="305" t="e">
        <f t="shared" si="237"/>
        <v>#N/A</v>
      </c>
      <c r="AB329" s="304">
        <f t="shared" si="238"/>
        <v>0.69627906419643282</v>
      </c>
      <c r="AC329" s="304" t="str">
        <f t="shared" si="267"/>
        <v/>
      </c>
      <c r="AD329" s="306">
        <f t="shared" si="239"/>
        <v>0</v>
      </c>
      <c r="AE329" s="307">
        <f t="shared" si="268"/>
        <v>0.69627906419643282</v>
      </c>
      <c r="AF329" s="308" t="e">
        <f t="shared" si="281"/>
        <v>#N/A</v>
      </c>
      <c r="AG329" s="306">
        <f t="shared" si="269"/>
        <v>667.18848306423001</v>
      </c>
      <c r="AH329" s="306">
        <f t="shared" si="241"/>
        <v>0</v>
      </c>
      <c r="AI329" s="306">
        <f t="shared" si="270"/>
        <v>0</v>
      </c>
      <c r="AJ329" s="306">
        <f t="shared" si="271"/>
        <v>0</v>
      </c>
      <c r="AK329" s="306">
        <f t="shared" si="242"/>
        <v>0</v>
      </c>
      <c r="AL329" s="306">
        <f t="shared" si="272"/>
        <v>0</v>
      </c>
      <c r="AM329" s="306">
        <f t="shared" si="243"/>
        <v>0</v>
      </c>
      <c r="AN329" s="304">
        <f>KcSplint!$N358</f>
        <v>1.1297309607349093</v>
      </c>
      <c r="AO329" s="304" t="str">
        <f t="shared" si="244"/>
        <v/>
      </c>
      <c r="AP329" s="304" t="str">
        <f t="shared" si="273"/>
        <v/>
      </c>
      <c r="AQ329" s="305" t="e">
        <f t="shared" si="282"/>
        <v>#N/A</v>
      </c>
      <c r="AR329" s="304" t="str">
        <f t="shared" si="283"/>
        <v/>
      </c>
      <c r="AS329" s="306">
        <f t="shared" si="245"/>
        <v>0</v>
      </c>
      <c r="AT329" s="307" t="e">
        <f t="shared" si="284"/>
        <v>#N/A</v>
      </c>
      <c r="AU329" s="307" t="e">
        <f t="shared" si="285"/>
        <v>#N/A</v>
      </c>
      <c r="AV329" s="304">
        <f t="shared" si="246"/>
        <v>0.5802325534970274</v>
      </c>
      <c r="AW329" s="309">
        <f t="shared" si="247"/>
        <v>2.4004815338484122</v>
      </c>
      <c r="AX329" s="306">
        <f>IF(ISERROR(Weather!M313),#N/A,Weather!M313)</f>
        <v>0.2</v>
      </c>
      <c r="AY329" s="310">
        <f t="shared" si="248"/>
        <v>3</v>
      </c>
      <c r="AZ329" s="309">
        <f t="shared" si="249"/>
        <v>1.2</v>
      </c>
      <c r="BA329" s="309">
        <f t="shared" si="250"/>
        <v>239.80024945412598</v>
      </c>
      <c r="BB329" s="311">
        <f>Irrig!H331</f>
        <v>0</v>
      </c>
      <c r="BC329" s="310">
        <f t="shared" si="251"/>
        <v>0</v>
      </c>
      <c r="BD329" s="309">
        <f t="shared" si="252"/>
        <v>0</v>
      </c>
      <c r="BE329" s="309">
        <f t="shared" si="253"/>
        <v>0</v>
      </c>
      <c r="BF329" s="306">
        <f>DailyMet!H312</f>
        <v>9.7100000000000009</v>
      </c>
      <c r="BG329" s="306">
        <f>DailyMet!I312</f>
        <v>3.8</v>
      </c>
      <c r="BH329" s="306">
        <f t="shared" si="254"/>
        <v>9.7100000000000009</v>
      </c>
      <c r="BI329" s="306">
        <f t="shared" si="255"/>
        <v>10</v>
      </c>
      <c r="BJ329" s="306">
        <f t="shared" si="256"/>
        <v>-0.14499999999999957</v>
      </c>
      <c r="BK329" s="306">
        <f t="shared" si="286"/>
        <v>0</v>
      </c>
      <c r="BL329" s="304">
        <f t="shared" si="257"/>
        <v>0</v>
      </c>
      <c r="BM329" s="304">
        <f t="shared" si="258"/>
        <v>0</v>
      </c>
      <c r="BN329" s="304">
        <f t="shared" si="279"/>
        <v>0</v>
      </c>
      <c r="BO329" s="306">
        <f t="shared" si="280"/>
        <v>0</v>
      </c>
      <c r="BP329" s="306"/>
    </row>
    <row r="330" spans="1:68">
      <c r="A330" s="299">
        <f t="shared" si="226"/>
        <v>0</v>
      </c>
      <c r="B330" s="300">
        <f t="shared" si="227"/>
        <v>38295</v>
      </c>
      <c r="C330" s="301" t="e">
        <f t="shared" si="259"/>
        <v>#N/A</v>
      </c>
      <c r="D330" s="301" t="e">
        <f t="shared" si="228"/>
        <v>#N/A</v>
      </c>
      <c r="E330" s="299">
        <f t="shared" si="229"/>
        <v>309</v>
      </c>
      <c r="F330" s="396">
        <f>Weather!M314</f>
        <v>0.8</v>
      </c>
      <c r="G330" s="301">
        <f>IF(Weather!C314="","",Weather!C314)</f>
        <v>0.60867664102570873</v>
      </c>
      <c r="H330" s="301">
        <f>IF(Weather!D314="","",Weather!D314)</f>
        <v>0.68650360193677984</v>
      </c>
      <c r="I330" s="502">
        <f>IF(Weather!E314="","",Weather!E314)</f>
        <v>0.68650360193677984</v>
      </c>
      <c r="J330" s="397">
        <f>IF(RnSplint!N358&lt;0,0,RnSplint!N358)</f>
        <v>25.158478867322994</v>
      </c>
      <c r="K330" s="302">
        <f t="shared" si="260"/>
        <v>0</v>
      </c>
      <c r="L330" s="303">
        <f t="shared" si="261"/>
        <v>38295</v>
      </c>
      <c r="M330" s="346" t="str">
        <f t="shared" si="230"/>
        <v/>
      </c>
      <c r="N330" s="304">
        <f t="shared" si="262"/>
        <v>0</v>
      </c>
      <c r="O330" s="304">
        <f t="shared" si="263"/>
        <v>0</v>
      </c>
      <c r="P330" s="304">
        <f t="shared" si="231"/>
        <v>0</v>
      </c>
      <c r="Q330" s="304">
        <f t="shared" si="232"/>
        <v>1.2</v>
      </c>
      <c r="R330" s="304">
        <f t="shared" si="233"/>
        <v>1.2</v>
      </c>
      <c r="S330" s="305" t="e">
        <f t="shared" si="264"/>
        <v>#N/A</v>
      </c>
      <c r="T330" s="304">
        <f t="shared" si="234"/>
        <v>0</v>
      </c>
      <c r="U330" s="304">
        <f t="shared" si="278"/>
        <v>0</v>
      </c>
      <c r="V330" s="305" t="e">
        <f t="shared" si="235"/>
        <v>#N/A</v>
      </c>
      <c r="W330" s="305" t="e">
        <f t="shared" si="265"/>
        <v>#N/A</v>
      </c>
      <c r="X330" s="304">
        <f t="shared" si="266"/>
        <v>1.2</v>
      </c>
      <c r="Z330" s="304" t="str">
        <f t="shared" si="236"/>
        <v/>
      </c>
      <c r="AA330" s="305" t="e">
        <f t="shared" si="237"/>
        <v>#N/A</v>
      </c>
      <c r="AB330" s="304">
        <f t="shared" si="238"/>
        <v>0.82380432232413581</v>
      </c>
      <c r="AC330" s="304" t="str">
        <f t="shared" si="267"/>
        <v/>
      </c>
      <c r="AD330" s="306">
        <f t="shared" si="239"/>
        <v>0</v>
      </c>
      <c r="AE330" s="307">
        <f t="shared" si="268"/>
        <v>0.82380432232413581</v>
      </c>
      <c r="AF330" s="308" t="e">
        <f t="shared" si="281"/>
        <v>#N/A</v>
      </c>
      <c r="AG330" s="306">
        <f t="shared" si="269"/>
        <v>667.87498666616682</v>
      </c>
      <c r="AH330" s="306">
        <f t="shared" si="241"/>
        <v>0</v>
      </c>
      <c r="AI330" s="306">
        <f t="shared" si="270"/>
        <v>0</v>
      </c>
      <c r="AJ330" s="306">
        <f t="shared" si="271"/>
        <v>0</v>
      </c>
      <c r="AK330" s="306">
        <f t="shared" si="242"/>
        <v>0</v>
      </c>
      <c r="AL330" s="306">
        <f t="shared" si="272"/>
        <v>0</v>
      </c>
      <c r="AM330" s="306">
        <f t="shared" si="243"/>
        <v>0</v>
      </c>
      <c r="AN330" s="304">
        <f>KcSplint!$N359</f>
        <v>1.1369105028426647</v>
      </c>
      <c r="AO330" s="304" t="str">
        <f t="shared" si="244"/>
        <v/>
      </c>
      <c r="AP330" s="304" t="str">
        <f t="shared" si="273"/>
        <v/>
      </c>
      <c r="AQ330" s="305" t="e">
        <f t="shared" si="282"/>
        <v>#N/A</v>
      </c>
      <c r="AR330" s="304" t="str">
        <f t="shared" si="283"/>
        <v/>
      </c>
      <c r="AS330" s="306">
        <f t="shared" si="245"/>
        <v>0</v>
      </c>
      <c r="AT330" s="307" t="e">
        <f t="shared" si="284"/>
        <v>#N/A</v>
      </c>
      <c r="AU330" s="307" t="e">
        <f t="shared" si="285"/>
        <v>#N/A</v>
      </c>
      <c r="AV330" s="304">
        <f t="shared" si="246"/>
        <v>0.68650360193677984</v>
      </c>
      <c r="AW330" s="309">
        <f t="shared" si="247"/>
        <v>3.0869851357851923</v>
      </c>
      <c r="AX330" s="306">
        <f>IF(ISERROR(Weather!M314),#N/A,Weather!M314)</f>
        <v>0.8</v>
      </c>
      <c r="AY330" s="310">
        <f t="shared" si="248"/>
        <v>4</v>
      </c>
      <c r="AZ330" s="309">
        <f t="shared" si="249"/>
        <v>1.2</v>
      </c>
      <c r="BA330" s="309">
        <f t="shared" si="250"/>
        <v>240.48675305606275</v>
      </c>
      <c r="BB330" s="311">
        <f>Irrig!H332</f>
        <v>0</v>
      </c>
      <c r="BC330" s="310">
        <f t="shared" si="251"/>
        <v>0</v>
      </c>
      <c r="BD330" s="309">
        <f t="shared" si="252"/>
        <v>0</v>
      </c>
      <c r="BE330" s="309">
        <f t="shared" si="253"/>
        <v>0</v>
      </c>
      <c r="BF330" s="306">
        <f>DailyMet!H313</f>
        <v>12.46</v>
      </c>
      <c r="BG330" s="306">
        <f>DailyMet!I313</f>
        <v>11.1</v>
      </c>
      <c r="BH330" s="306">
        <f t="shared" si="254"/>
        <v>12.46</v>
      </c>
      <c r="BI330" s="306">
        <f t="shared" si="255"/>
        <v>11.1</v>
      </c>
      <c r="BJ330" s="306">
        <f t="shared" si="256"/>
        <v>1.7800000000000011</v>
      </c>
      <c r="BK330" s="306">
        <f t="shared" si="286"/>
        <v>0</v>
      </c>
      <c r="BL330" s="304">
        <f t="shared" si="257"/>
        <v>0</v>
      </c>
      <c r="BM330" s="304">
        <f t="shared" si="258"/>
        <v>1.7800000000000011</v>
      </c>
      <c r="BN330" s="304">
        <f t="shared" si="279"/>
        <v>1.7800000000000011</v>
      </c>
      <c r="BO330" s="306">
        <f t="shared" si="280"/>
        <v>0</v>
      </c>
      <c r="BP330" s="306"/>
    </row>
    <row r="331" spans="1:68">
      <c r="A331" s="299">
        <f t="shared" si="226"/>
        <v>0</v>
      </c>
      <c r="B331" s="300">
        <f t="shared" si="227"/>
        <v>38296</v>
      </c>
      <c r="C331" s="301" t="e">
        <f t="shared" si="259"/>
        <v>#N/A</v>
      </c>
      <c r="D331" s="301" t="e">
        <f t="shared" si="228"/>
        <v>#N/A</v>
      </c>
      <c r="E331" s="299">
        <f t="shared" si="229"/>
        <v>310</v>
      </c>
      <c r="F331" s="396">
        <f>Weather!M315</f>
        <v>0</v>
      </c>
      <c r="G331" s="301">
        <f>IF(Weather!C315="","",Weather!C315)</f>
        <v>0.59177441274407228</v>
      </c>
      <c r="H331" s="301">
        <f>IF(Weather!D315="","",Weather!D315)</f>
        <v>0.64603852585092369</v>
      </c>
      <c r="I331" s="502">
        <f>IF(Weather!E315="","",Weather!E315)</f>
        <v>0.64603852585092369</v>
      </c>
      <c r="J331" s="397">
        <f>IF(RnSplint!N359&lt;0,0,RnSplint!N359)</f>
        <v>25.881823212786333</v>
      </c>
      <c r="K331" s="302">
        <f t="shared" si="260"/>
        <v>0</v>
      </c>
      <c r="L331" s="303">
        <f t="shared" si="261"/>
        <v>38296</v>
      </c>
      <c r="M331" s="346" t="str">
        <f t="shared" si="230"/>
        <v/>
      </c>
      <c r="N331" s="304">
        <f t="shared" si="262"/>
        <v>0</v>
      </c>
      <c r="O331" s="304">
        <f t="shared" si="263"/>
        <v>0</v>
      </c>
      <c r="P331" s="304">
        <f t="shared" si="231"/>
        <v>0</v>
      </c>
      <c r="Q331" s="304">
        <f t="shared" si="232"/>
        <v>1.2</v>
      </c>
      <c r="R331" s="304">
        <f t="shared" si="233"/>
        <v>1.2</v>
      </c>
      <c r="S331" s="305" t="e">
        <f t="shared" si="264"/>
        <v>#N/A</v>
      </c>
      <c r="T331" s="304">
        <f t="shared" si="234"/>
        <v>0</v>
      </c>
      <c r="U331" s="304">
        <f t="shared" si="278"/>
        <v>0</v>
      </c>
      <c r="V331" s="305" t="e">
        <f t="shared" si="235"/>
        <v>#N/A</v>
      </c>
      <c r="W331" s="305" t="e">
        <f t="shared" si="265"/>
        <v>#N/A</v>
      </c>
      <c r="X331" s="304">
        <f t="shared" si="266"/>
        <v>1.2</v>
      </c>
      <c r="Z331" s="304" t="str">
        <f t="shared" si="236"/>
        <v/>
      </c>
      <c r="AA331" s="305" t="e">
        <f t="shared" si="237"/>
        <v>#N/A</v>
      </c>
      <c r="AB331" s="304">
        <f t="shared" si="238"/>
        <v>0.77524623102110846</v>
      </c>
      <c r="AC331" s="304" t="str">
        <f t="shared" si="267"/>
        <v/>
      </c>
      <c r="AD331" s="306">
        <f t="shared" si="239"/>
        <v>0</v>
      </c>
      <c r="AE331" s="307">
        <f t="shared" si="268"/>
        <v>0.77524623102110846</v>
      </c>
      <c r="AF331" s="308" t="e">
        <f t="shared" si="281"/>
        <v>#N/A</v>
      </c>
      <c r="AG331" s="306">
        <f t="shared" si="269"/>
        <v>668.52102519201776</v>
      </c>
      <c r="AH331" s="306">
        <f t="shared" si="241"/>
        <v>0</v>
      </c>
      <c r="AI331" s="306">
        <f t="shared" si="270"/>
        <v>0</v>
      </c>
      <c r="AJ331" s="306">
        <f t="shared" si="271"/>
        <v>0</v>
      </c>
      <c r="AK331" s="306">
        <f t="shared" si="242"/>
        <v>0</v>
      </c>
      <c r="AL331" s="306">
        <f t="shared" si="272"/>
        <v>0</v>
      </c>
      <c r="AM331" s="306">
        <f t="shared" si="243"/>
        <v>0</v>
      </c>
      <c r="AN331" s="304">
        <f>KcSplint!$N360</f>
        <v>1.1438467726503052</v>
      </c>
      <c r="AO331" s="304" t="str">
        <f t="shared" si="244"/>
        <v/>
      </c>
      <c r="AP331" s="304" t="str">
        <f t="shared" si="273"/>
        <v/>
      </c>
      <c r="AQ331" s="305" t="e">
        <f t="shared" si="282"/>
        <v>#N/A</v>
      </c>
      <c r="AR331" s="304" t="str">
        <f t="shared" si="283"/>
        <v/>
      </c>
      <c r="AS331" s="306">
        <f t="shared" si="245"/>
        <v>0</v>
      </c>
      <c r="AT331" s="307" t="e">
        <f t="shared" si="284"/>
        <v>#N/A</v>
      </c>
      <c r="AU331" s="307" t="e">
        <f t="shared" si="285"/>
        <v>#N/A</v>
      </c>
      <c r="AV331" s="304">
        <f t="shared" si="246"/>
        <v>0.64603852585092369</v>
      </c>
      <c r="AW331" s="309">
        <f t="shared" si="247"/>
        <v>3.7330236616361159</v>
      </c>
      <c r="AX331" s="306">
        <f>IF(ISERROR(Weather!M315),#N/A,Weather!M315)</f>
        <v>0</v>
      </c>
      <c r="AY331" s="310">
        <f t="shared" si="248"/>
        <v>5</v>
      </c>
      <c r="AZ331" s="309">
        <f t="shared" si="249"/>
        <v>1.2</v>
      </c>
      <c r="BA331" s="309">
        <f t="shared" si="250"/>
        <v>241.13279158191366</v>
      </c>
      <c r="BB331" s="311">
        <f>Irrig!H333</f>
        <v>0</v>
      </c>
      <c r="BC331" s="310">
        <f t="shared" si="251"/>
        <v>0</v>
      </c>
      <c r="BD331" s="309">
        <f t="shared" si="252"/>
        <v>0</v>
      </c>
      <c r="BE331" s="309">
        <f t="shared" si="253"/>
        <v>0</v>
      </c>
      <c r="BF331" s="306">
        <f>DailyMet!H314</f>
        <v>13.67</v>
      </c>
      <c r="BG331" s="306">
        <f>DailyMet!I314</f>
        <v>8.1999999999999993</v>
      </c>
      <c r="BH331" s="306">
        <f t="shared" si="254"/>
        <v>13.67</v>
      </c>
      <c r="BI331" s="306">
        <f t="shared" si="255"/>
        <v>10</v>
      </c>
      <c r="BJ331" s="306">
        <f t="shared" si="256"/>
        <v>1.8350000000000009</v>
      </c>
      <c r="BK331" s="306">
        <f t="shared" si="286"/>
        <v>0</v>
      </c>
      <c r="BL331" s="304">
        <f t="shared" si="257"/>
        <v>0</v>
      </c>
      <c r="BM331" s="304">
        <f t="shared" si="258"/>
        <v>1.2311608775137111</v>
      </c>
      <c r="BN331" s="304">
        <f t="shared" si="279"/>
        <v>1.2311608775137111</v>
      </c>
      <c r="BO331" s="306">
        <f t="shared" si="280"/>
        <v>0</v>
      </c>
      <c r="BP331" s="306"/>
    </row>
    <row r="332" spans="1:68">
      <c r="A332" s="299">
        <f t="shared" si="226"/>
        <v>0</v>
      </c>
      <c r="B332" s="300">
        <f t="shared" si="227"/>
        <v>38297</v>
      </c>
      <c r="C332" s="301" t="e">
        <f t="shared" si="259"/>
        <v>#N/A</v>
      </c>
      <c r="D332" s="301" t="e">
        <f t="shared" si="228"/>
        <v>#N/A</v>
      </c>
      <c r="E332" s="299">
        <f t="shared" si="229"/>
        <v>311</v>
      </c>
      <c r="F332" s="396">
        <f>Weather!M316</f>
        <v>0</v>
      </c>
      <c r="G332" s="301">
        <f>IF(Weather!C316="","",Weather!C316)</f>
        <v>0.57520252600966659</v>
      </c>
      <c r="H332" s="301">
        <f>IF(Weather!D316="","",Weather!D316)</f>
        <v>0.56075474160637206</v>
      </c>
      <c r="I332" s="502">
        <f>IF(Weather!E316="","",Weather!E316)</f>
        <v>0.56075474160637206</v>
      </c>
      <c r="J332" s="397">
        <f>IF(RnSplint!N360&lt;0,0,RnSplint!N360)</f>
        <v>26.563810915591787</v>
      </c>
      <c r="K332" s="302">
        <f t="shared" si="260"/>
        <v>0</v>
      </c>
      <c r="L332" s="303">
        <f t="shared" si="261"/>
        <v>38297</v>
      </c>
      <c r="M332" s="346" t="str">
        <f t="shared" si="230"/>
        <v/>
      </c>
      <c r="N332" s="304">
        <f t="shared" si="262"/>
        <v>0</v>
      </c>
      <c r="O332" s="304">
        <f t="shared" si="263"/>
        <v>0</v>
      </c>
      <c r="P332" s="304">
        <f t="shared" si="231"/>
        <v>0</v>
      </c>
      <c r="Q332" s="304">
        <f t="shared" si="232"/>
        <v>1.2</v>
      </c>
      <c r="R332" s="304">
        <f t="shared" si="233"/>
        <v>1.2</v>
      </c>
      <c r="S332" s="305" t="e">
        <f t="shared" si="264"/>
        <v>#N/A</v>
      </c>
      <c r="T332" s="304">
        <f t="shared" si="234"/>
        <v>0</v>
      </c>
      <c r="U332" s="304">
        <f t="shared" si="278"/>
        <v>0</v>
      </c>
      <c r="V332" s="305" t="e">
        <f t="shared" si="235"/>
        <v>#N/A</v>
      </c>
      <c r="W332" s="305" t="e">
        <f t="shared" si="265"/>
        <v>#N/A</v>
      </c>
      <c r="X332" s="304">
        <f t="shared" si="266"/>
        <v>1.2</v>
      </c>
      <c r="Z332" s="304" t="str">
        <f t="shared" si="236"/>
        <v/>
      </c>
      <c r="AA332" s="305" t="e">
        <f t="shared" si="237"/>
        <v>#N/A</v>
      </c>
      <c r="AB332" s="304">
        <f t="shared" si="238"/>
        <v>0.67290568992764643</v>
      </c>
      <c r="AC332" s="304" t="str">
        <f t="shared" si="267"/>
        <v/>
      </c>
      <c r="AD332" s="306">
        <f t="shared" si="239"/>
        <v>0</v>
      </c>
      <c r="AE332" s="307">
        <f t="shared" si="268"/>
        <v>0.67290568992764643</v>
      </c>
      <c r="AF332" s="308" t="e">
        <f t="shared" si="281"/>
        <v>#N/A</v>
      </c>
      <c r="AG332" s="306">
        <f t="shared" si="269"/>
        <v>669.08177993362415</v>
      </c>
      <c r="AH332" s="306">
        <f t="shared" si="241"/>
        <v>0</v>
      </c>
      <c r="AI332" s="306">
        <f t="shared" si="270"/>
        <v>0</v>
      </c>
      <c r="AJ332" s="306">
        <f t="shared" si="271"/>
        <v>0</v>
      </c>
      <c r="AK332" s="306">
        <f t="shared" si="242"/>
        <v>0</v>
      </c>
      <c r="AL332" s="306">
        <f t="shared" si="272"/>
        <v>0</v>
      </c>
      <c r="AM332" s="306">
        <f t="shared" si="243"/>
        <v>0</v>
      </c>
      <c r="AN332" s="304">
        <f>KcSplint!$N361</f>
        <v>1.1505181884158744</v>
      </c>
      <c r="AO332" s="304" t="str">
        <f t="shared" si="244"/>
        <v/>
      </c>
      <c r="AP332" s="304" t="str">
        <f t="shared" si="273"/>
        <v/>
      </c>
      <c r="AQ332" s="305" t="e">
        <f t="shared" si="282"/>
        <v>#N/A</v>
      </c>
      <c r="AR332" s="304" t="str">
        <f t="shared" si="283"/>
        <v/>
      </c>
      <c r="AS332" s="306">
        <f t="shared" si="245"/>
        <v>0</v>
      </c>
      <c r="AT332" s="307" t="e">
        <f t="shared" si="284"/>
        <v>#N/A</v>
      </c>
      <c r="AU332" s="307" t="e">
        <f t="shared" si="285"/>
        <v>#N/A</v>
      </c>
      <c r="AV332" s="304">
        <f t="shared" si="246"/>
        <v>0.56075474160637206</v>
      </c>
      <c r="AW332" s="309">
        <f t="shared" si="247"/>
        <v>4.2937784032424879</v>
      </c>
      <c r="AX332" s="306">
        <f>IF(ISERROR(Weather!M316),#N/A,Weather!M316)</f>
        <v>0</v>
      </c>
      <c r="AY332" s="310">
        <f t="shared" si="248"/>
        <v>6</v>
      </c>
      <c r="AZ332" s="309">
        <f t="shared" si="249"/>
        <v>1.2</v>
      </c>
      <c r="BA332" s="309">
        <f t="shared" si="250"/>
        <v>241.69354632352002</v>
      </c>
      <c r="BB332" s="311">
        <f>Irrig!H334</f>
        <v>0</v>
      </c>
      <c r="BC332" s="310">
        <f t="shared" si="251"/>
        <v>0</v>
      </c>
      <c r="BD332" s="309">
        <f t="shared" si="252"/>
        <v>0</v>
      </c>
      <c r="BE332" s="309">
        <f t="shared" si="253"/>
        <v>0</v>
      </c>
      <c r="BF332" s="306">
        <f>DailyMet!H315</f>
        <v>10.32</v>
      </c>
      <c r="BG332" s="306">
        <f>DailyMet!I315</f>
        <v>5.4</v>
      </c>
      <c r="BH332" s="306">
        <f t="shared" si="254"/>
        <v>10.32</v>
      </c>
      <c r="BI332" s="306">
        <f t="shared" si="255"/>
        <v>10</v>
      </c>
      <c r="BJ332" s="306">
        <f t="shared" si="256"/>
        <v>0.16000000000000014</v>
      </c>
      <c r="BK332" s="306">
        <f t="shared" si="286"/>
        <v>0</v>
      </c>
      <c r="BL332" s="304">
        <f t="shared" si="257"/>
        <v>0</v>
      </c>
      <c r="BM332" s="304">
        <f t="shared" si="258"/>
        <v>1.0406504065040669E-2</v>
      </c>
      <c r="BN332" s="304">
        <f t="shared" si="279"/>
        <v>1.0406504065040669E-2</v>
      </c>
      <c r="BO332" s="306">
        <f t="shared" si="280"/>
        <v>0</v>
      </c>
      <c r="BP332" s="306"/>
    </row>
    <row r="333" spans="1:68">
      <c r="A333" s="299">
        <f t="shared" si="226"/>
        <v>0</v>
      </c>
      <c r="B333" s="300">
        <f t="shared" si="227"/>
        <v>38298</v>
      </c>
      <c r="C333" s="301" t="e">
        <f t="shared" si="259"/>
        <v>#N/A</v>
      </c>
      <c r="D333" s="301" t="e">
        <f t="shared" si="228"/>
        <v>#N/A</v>
      </c>
      <c r="E333" s="299">
        <f t="shared" si="229"/>
        <v>312</v>
      </c>
      <c r="F333" s="396">
        <f>Weather!M317</f>
        <v>0.2</v>
      </c>
      <c r="G333" s="301">
        <f>IF(Weather!C317="","",Weather!C317)</f>
        <v>0.55896231779118022</v>
      </c>
      <c r="H333" s="301">
        <f>IF(Weather!D317="","",Weather!D317)</f>
        <v>0.41608921674286758</v>
      </c>
      <c r="I333" s="502">
        <f>IF(Weather!E317="","",Weather!E317)</f>
        <v>0.41608921674286758</v>
      </c>
      <c r="J333" s="397">
        <f>IF(RnSplint!N361&lt;0,0,RnSplint!N361)</f>
        <v>27.199347119247019</v>
      </c>
      <c r="K333" s="302">
        <f t="shared" si="260"/>
        <v>0</v>
      </c>
      <c r="L333" s="303">
        <f t="shared" si="261"/>
        <v>38298</v>
      </c>
      <c r="M333" s="346" t="str">
        <f t="shared" si="230"/>
        <v/>
      </c>
      <c r="N333" s="304">
        <f t="shared" si="262"/>
        <v>0</v>
      </c>
      <c r="O333" s="304">
        <f t="shared" si="263"/>
        <v>0</v>
      </c>
      <c r="P333" s="304">
        <f t="shared" si="231"/>
        <v>0</v>
      </c>
      <c r="Q333" s="304">
        <f t="shared" si="232"/>
        <v>1.2</v>
      </c>
      <c r="R333" s="304">
        <f t="shared" si="233"/>
        <v>1.2</v>
      </c>
      <c r="S333" s="305" t="e">
        <f t="shared" si="264"/>
        <v>#N/A</v>
      </c>
      <c r="T333" s="304">
        <f t="shared" si="234"/>
        <v>0</v>
      </c>
      <c r="U333" s="304">
        <f t="shared" si="278"/>
        <v>0</v>
      </c>
      <c r="V333" s="305" t="e">
        <f t="shared" si="235"/>
        <v>#N/A</v>
      </c>
      <c r="W333" s="305" t="e">
        <f t="shared" si="265"/>
        <v>#N/A</v>
      </c>
      <c r="X333" s="304">
        <f t="shared" si="266"/>
        <v>1.2</v>
      </c>
      <c r="Z333" s="304" t="str">
        <f t="shared" si="236"/>
        <v/>
      </c>
      <c r="AA333" s="305" t="e">
        <f t="shared" si="237"/>
        <v>#N/A</v>
      </c>
      <c r="AB333" s="304">
        <f t="shared" si="238"/>
        <v>0.4993070600914411</v>
      </c>
      <c r="AC333" s="304" t="str">
        <f t="shared" si="267"/>
        <v/>
      </c>
      <c r="AD333" s="306">
        <f t="shared" si="239"/>
        <v>0</v>
      </c>
      <c r="AE333" s="307">
        <f t="shared" si="268"/>
        <v>0.4993070600914411</v>
      </c>
      <c r="AF333" s="308" t="e">
        <f t="shared" si="281"/>
        <v>#N/A</v>
      </c>
      <c r="AG333" s="306">
        <f t="shared" si="269"/>
        <v>669.49786915036702</v>
      </c>
      <c r="AH333" s="306">
        <f t="shared" si="241"/>
        <v>0</v>
      </c>
      <c r="AI333" s="306">
        <f t="shared" si="270"/>
        <v>0</v>
      </c>
      <c r="AJ333" s="306">
        <f t="shared" si="271"/>
        <v>0</v>
      </c>
      <c r="AK333" s="306">
        <f t="shared" si="242"/>
        <v>0</v>
      </c>
      <c r="AL333" s="306">
        <f t="shared" si="272"/>
        <v>0</v>
      </c>
      <c r="AM333" s="306">
        <f t="shared" si="243"/>
        <v>0</v>
      </c>
      <c r="AN333" s="304">
        <f>KcSplint!$N362</f>
        <v>1.1569031683974156</v>
      </c>
      <c r="AO333" s="304" t="str">
        <f t="shared" si="244"/>
        <v/>
      </c>
      <c r="AP333" s="304" t="str">
        <f t="shared" si="273"/>
        <v/>
      </c>
      <c r="AQ333" s="305" t="e">
        <f t="shared" si="282"/>
        <v>#N/A</v>
      </c>
      <c r="AR333" s="304" t="str">
        <f t="shared" si="283"/>
        <v/>
      </c>
      <c r="AS333" s="306">
        <f t="shared" si="245"/>
        <v>0</v>
      </c>
      <c r="AT333" s="307" t="e">
        <f t="shared" si="284"/>
        <v>#N/A</v>
      </c>
      <c r="AU333" s="307" t="e">
        <f t="shared" si="285"/>
        <v>#N/A</v>
      </c>
      <c r="AV333" s="304">
        <f t="shared" si="246"/>
        <v>0.41608921674286758</v>
      </c>
      <c r="AW333" s="309">
        <f t="shared" si="247"/>
        <v>4.7098676199853555</v>
      </c>
      <c r="AX333" s="306">
        <f>IF(ISERROR(Weather!M317),#N/A,Weather!M317)</f>
        <v>0.2</v>
      </c>
      <c r="AY333" s="310">
        <f t="shared" si="248"/>
        <v>7</v>
      </c>
      <c r="AZ333" s="309">
        <f t="shared" si="249"/>
        <v>1.2</v>
      </c>
      <c r="BA333" s="309">
        <f t="shared" si="250"/>
        <v>242.1096355402629</v>
      </c>
      <c r="BB333" s="311">
        <f>Irrig!H335</f>
        <v>0</v>
      </c>
      <c r="BC333" s="310">
        <f t="shared" si="251"/>
        <v>0</v>
      </c>
      <c r="BD333" s="309">
        <f t="shared" si="252"/>
        <v>0</v>
      </c>
      <c r="BE333" s="309">
        <f t="shared" si="253"/>
        <v>0</v>
      </c>
      <c r="BF333" s="306">
        <f>DailyMet!H316</f>
        <v>8.68</v>
      </c>
      <c r="BG333" s="306">
        <f>DailyMet!I316</f>
        <v>4.7</v>
      </c>
      <c r="BH333" s="306">
        <f t="shared" si="254"/>
        <v>8.68</v>
      </c>
      <c r="BI333" s="306">
        <f t="shared" si="255"/>
        <v>10</v>
      </c>
      <c r="BJ333" s="306">
        <f t="shared" si="256"/>
        <v>-0.66000000000000014</v>
      </c>
      <c r="BK333" s="306">
        <f t="shared" si="286"/>
        <v>0</v>
      </c>
      <c r="BL333" s="304">
        <f t="shared" si="257"/>
        <v>0</v>
      </c>
      <c r="BM333" s="304">
        <f t="shared" si="258"/>
        <v>0</v>
      </c>
      <c r="BN333" s="304">
        <f t="shared" si="279"/>
        <v>0</v>
      </c>
      <c r="BO333" s="306">
        <f t="shared" si="280"/>
        <v>0</v>
      </c>
      <c r="BP333" s="306"/>
    </row>
    <row r="334" spans="1:68">
      <c r="A334" s="299">
        <f t="shared" si="226"/>
        <v>0</v>
      </c>
      <c r="B334" s="300">
        <f t="shared" si="227"/>
        <v>38299</v>
      </c>
      <c r="C334" s="301" t="e">
        <f t="shared" si="259"/>
        <v>#N/A</v>
      </c>
      <c r="D334" s="301" t="e">
        <f t="shared" si="228"/>
        <v>#N/A</v>
      </c>
      <c r="E334" s="299">
        <f t="shared" si="229"/>
        <v>313</v>
      </c>
      <c r="F334" s="396">
        <f>Weather!M318</f>
        <v>0</v>
      </c>
      <c r="G334" s="301">
        <f>IF(Weather!C318="","",Weather!C318)</f>
        <v>0.54305512505730169</v>
      </c>
      <c r="H334" s="301">
        <f>IF(Weather!D318="","",Weather!D318)</f>
        <v>0.44859811428674301</v>
      </c>
      <c r="I334" s="502">
        <f>IF(Weather!E318="","",Weather!E318)</f>
        <v>0.44859811428674301</v>
      </c>
      <c r="J334" s="397">
        <f>IF(RnSplint!N362&lt;0,0,RnSplint!N362)</f>
        <v>27.783336967259682</v>
      </c>
      <c r="K334" s="302">
        <f t="shared" si="260"/>
        <v>0</v>
      </c>
      <c r="L334" s="303">
        <f t="shared" si="261"/>
        <v>38299</v>
      </c>
      <c r="M334" s="346" t="str">
        <f t="shared" si="230"/>
        <v/>
      </c>
      <c r="N334" s="304">
        <f t="shared" si="262"/>
        <v>0</v>
      </c>
      <c r="O334" s="304">
        <f t="shared" si="263"/>
        <v>0</v>
      </c>
      <c r="P334" s="304">
        <f t="shared" si="231"/>
        <v>0</v>
      </c>
      <c r="Q334" s="304">
        <f t="shared" si="232"/>
        <v>1.1687076930242908</v>
      </c>
      <c r="R334" s="304">
        <f t="shared" si="233"/>
        <v>1.1687076930242908</v>
      </c>
      <c r="S334" s="305" t="e">
        <f t="shared" si="264"/>
        <v>#N/A</v>
      </c>
      <c r="T334" s="304">
        <f t="shared" si="234"/>
        <v>0</v>
      </c>
      <c r="U334" s="304">
        <f t="shared" si="278"/>
        <v>0</v>
      </c>
      <c r="V334" s="305" t="e">
        <f t="shared" si="235"/>
        <v>#N/A</v>
      </c>
      <c r="W334" s="305" t="e">
        <f t="shared" si="265"/>
        <v>#N/A</v>
      </c>
      <c r="X334" s="304">
        <f t="shared" si="266"/>
        <v>1.1687076930242908</v>
      </c>
      <c r="Z334" s="304" t="str">
        <f t="shared" si="236"/>
        <v/>
      </c>
      <c r="AA334" s="305" t="e">
        <f t="shared" si="237"/>
        <v>#N/A</v>
      </c>
      <c r="AB334" s="304">
        <f t="shared" si="238"/>
        <v>0.52428006724310661</v>
      </c>
      <c r="AC334" s="304" t="str">
        <f t="shared" si="267"/>
        <v/>
      </c>
      <c r="AD334" s="306">
        <f t="shared" si="239"/>
        <v>0</v>
      </c>
      <c r="AE334" s="307">
        <f t="shared" si="268"/>
        <v>0.52428006724310661</v>
      </c>
      <c r="AF334" s="308" t="e">
        <f t="shared" si="281"/>
        <v>#N/A</v>
      </c>
      <c r="AG334" s="306">
        <f t="shared" si="269"/>
        <v>669.94646726465373</v>
      </c>
      <c r="AH334" s="306">
        <f t="shared" si="241"/>
        <v>0</v>
      </c>
      <c r="AI334" s="306">
        <f t="shared" si="270"/>
        <v>0</v>
      </c>
      <c r="AJ334" s="306">
        <f t="shared" si="271"/>
        <v>0</v>
      </c>
      <c r="AK334" s="306">
        <f t="shared" si="242"/>
        <v>0</v>
      </c>
      <c r="AL334" s="306">
        <f t="shared" si="272"/>
        <v>0</v>
      </c>
      <c r="AM334" s="306">
        <f t="shared" si="243"/>
        <v>0</v>
      </c>
      <c r="AN334" s="304">
        <f>KcSplint!$N363</f>
        <v>1.162980130852971</v>
      </c>
      <c r="AO334" s="304" t="str">
        <f t="shared" si="244"/>
        <v/>
      </c>
      <c r="AP334" s="304" t="str">
        <f t="shared" si="273"/>
        <v/>
      </c>
      <c r="AQ334" s="305" t="e">
        <f t="shared" si="282"/>
        <v>#N/A</v>
      </c>
      <c r="AR334" s="304" t="str">
        <f t="shared" si="283"/>
        <v/>
      </c>
      <c r="AS334" s="306">
        <f t="shared" si="245"/>
        <v>0</v>
      </c>
      <c r="AT334" s="307" t="e">
        <f t="shared" si="284"/>
        <v>#N/A</v>
      </c>
      <c r="AU334" s="307" t="e">
        <f t="shared" si="285"/>
        <v>#N/A</v>
      </c>
      <c r="AV334" s="304">
        <f t="shared" si="246"/>
        <v>0.44859811428674301</v>
      </c>
      <c r="AW334" s="309">
        <f t="shared" si="247"/>
        <v>5.1584657342720988</v>
      </c>
      <c r="AX334" s="306">
        <f>IF(ISERROR(Weather!M318),#N/A,Weather!M318)</f>
        <v>0</v>
      </c>
      <c r="AY334" s="310">
        <f t="shared" si="248"/>
        <v>8</v>
      </c>
      <c r="AZ334" s="309">
        <f t="shared" si="249"/>
        <v>1.1687076930242908</v>
      </c>
      <c r="BA334" s="309">
        <f t="shared" si="250"/>
        <v>242.55823365454964</v>
      </c>
      <c r="BB334" s="311">
        <f>Irrig!H336</f>
        <v>0</v>
      </c>
      <c r="BC334" s="310">
        <f t="shared" si="251"/>
        <v>0</v>
      </c>
      <c r="BD334" s="309">
        <f t="shared" si="252"/>
        <v>0</v>
      </c>
      <c r="BE334" s="309">
        <f t="shared" si="253"/>
        <v>0</v>
      </c>
      <c r="BF334" s="306">
        <f>DailyMet!H317</f>
        <v>7.58</v>
      </c>
      <c r="BG334" s="306">
        <f>DailyMet!I317</f>
        <v>1.4</v>
      </c>
      <c r="BH334" s="306">
        <f t="shared" si="254"/>
        <v>7.58</v>
      </c>
      <c r="BI334" s="306">
        <f t="shared" si="255"/>
        <v>10</v>
      </c>
      <c r="BJ334" s="306">
        <f t="shared" si="256"/>
        <v>-1.2100000000000009</v>
      </c>
      <c r="BK334" s="306">
        <f t="shared" si="286"/>
        <v>0</v>
      </c>
      <c r="BL334" s="304">
        <f t="shared" si="257"/>
        <v>0</v>
      </c>
      <c r="BM334" s="304">
        <f t="shared" si="258"/>
        <v>0</v>
      </c>
      <c r="BN334" s="304">
        <f t="shared" si="279"/>
        <v>0</v>
      </c>
      <c r="BO334" s="306">
        <f t="shared" si="280"/>
        <v>0</v>
      </c>
      <c r="BP334" s="306"/>
    </row>
    <row r="335" spans="1:68">
      <c r="A335" s="299">
        <f t="shared" si="226"/>
        <v>0</v>
      </c>
      <c r="B335" s="300">
        <f t="shared" si="227"/>
        <v>38300</v>
      </c>
      <c r="C335" s="301" t="e">
        <f t="shared" si="259"/>
        <v>#N/A</v>
      </c>
      <c r="D335" s="301" t="e">
        <f t="shared" si="228"/>
        <v>#N/A</v>
      </c>
      <c r="E335" s="299">
        <f t="shared" si="229"/>
        <v>314</v>
      </c>
      <c r="F335" s="396">
        <f>Weather!M319</f>
        <v>0.4</v>
      </c>
      <c r="G335" s="301">
        <f>IF(Weather!C319="","",Weather!C319)</f>
        <v>0.52748228477671943</v>
      </c>
      <c r="H335" s="301">
        <f>IF(Weather!D319="","",Weather!D319)</f>
        <v>0.49556397787198192</v>
      </c>
      <c r="I335" s="502">
        <f>IF(Weather!E319="","",Weather!E319)</f>
        <v>0.49556397787198192</v>
      </c>
      <c r="J335" s="397">
        <f>IF(RnSplint!N363&lt;0,0,RnSplint!N363)</f>
        <v>28.31068560313744</v>
      </c>
      <c r="K335" s="302">
        <f t="shared" si="260"/>
        <v>0</v>
      </c>
      <c r="L335" s="303">
        <f t="shared" si="261"/>
        <v>38300</v>
      </c>
      <c r="M335" s="346" t="str">
        <f t="shared" si="230"/>
        <v/>
      </c>
      <c r="N335" s="304">
        <f t="shared" si="262"/>
        <v>0</v>
      </c>
      <c r="O335" s="304">
        <f t="shared" si="263"/>
        <v>0</v>
      </c>
      <c r="P335" s="304">
        <f t="shared" si="231"/>
        <v>0</v>
      </c>
      <c r="Q335" s="304">
        <f t="shared" si="232"/>
        <v>1.1146787811191072</v>
      </c>
      <c r="R335" s="304">
        <f t="shared" si="233"/>
        <v>1.1146787811191072</v>
      </c>
      <c r="S335" s="305" t="e">
        <f t="shared" si="264"/>
        <v>#N/A</v>
      </c>
      <c r="T335" s="304">
        <f t="shared" si="234"/>
        <v>0</v>
      </c>
      <c r="U335" s="304">
        <f t="shared" si="278"/>
        <v>0</v>
      </c>
      <c r="V335" s="305" t="e">
        <f t="shared" si="235"/>
        <v>#N/A</v>
      </c>
      <c r="W335" s="305" t="e">
        <f t="shared" si="265"/>
        <v>#N/A</v>
      </c>
      <c r="X335" s="304">
        <f t="shared" si="266"/>
        <v>1.1146787811191072</v>
      </c>
      <c r="Z335" s="304" t="str">
        <f t="shared" si="236"/>
        <v/>
      </c>
      <c r="AA335" s="305" t="e">
        <f t="shared" si="237"/>
        <v>#N/A</v>
      </c>
      <c r="AB335" s="304">
        <f t="shared" si="238"/>
        <v>0.55239465082087702</v>
      </c>
      <c r="AC335" s="304" t="str">
        <f t="shared" si="267"/>
        <v/>
      </c>
      <c r="AD335" s="306">
        <f t="shared" si="239"/>
        <v>0</v>
      </c>
      <c r="AE335" s="307">
        <f t="shared" si="268"/>
        <v>0.55239465082087702</v>
      </c>
      <c r="AF335" s="308" t="e">
        <f t="shared" si="281"/>
        <v>#N/A</v>
      </c>
      <c r="AG335" s="306">
        <f t="shared" si="269"/>
        <v>670.44203124252567</v>
      </c>
      <c r="AH335" s="306">
        <f t="shared" si="241"/>
        <v>0</v>
      </c>
      <c r="AI335" s="306">
        <f t="shared" si="270"/>
        <v>0</v>
      </c>
      <c r="AJ335" s="306">
        <f t="shared" si="271"/>
        <v>0</v>
      </c>
      <c r="AK335" s="306">
        <f t="shared" si="242"/>
        <v>0</v>
      </c>
      <c r="AL335" s="306">
        <f t="shared" si="272"/>
        <v>0</v>
      </c>
      <c r="AM335" s="306">
        <f t="shared" si="243"/>
        <v>0</v>
      </c>
      <c r="AN335" s="304">
        <f>KcSplint!$N364</f>
        <v>1.1687274940405841</v>
      </c>
      <c r="AO335" s="304" t="str">
        <f t="shared" si="244"/>
        <v/>
      </c>
      <c r="AP335" s="304" t="str">
        <f t="shared" si="273"/>
        <v/>
      </c>
      <c r="AQ335" s="305" t="e">
        <f t="shared" si="282"/>
        <v>#N/A</v>
      </c>
      <c r="AR335" s="304" t="str">
        <f t="shared" si="283"/>
        <v/>
      </c>
      <c r="AS335" s="306">
        <f t="shared" si="245"/>
        <v>0</v>
      </c>
      <c r="AT335" s="307" t="e">
        <f t="shared" si="284"/>
        <v>#N/A</v>
      </c>
      <c r="AU335" s="307" t="e">
        <f t="shared" si="285"/>
        <v>#N/A</v>
      </c>
      <c r="AV335" s="304">
        <f t="shared" si="246"/>
        <v>0.49556397787198192</v>
      </c>
      <c r="AW335" s="309">
        <f t="shared" si="247"/>
        <v>5.654029712144081</v>
      </c>
      <c r="AX335" s="306">
        <f>IF(ISERROR(Weather!M319),#N/A,Weather!M319)</f>
        <v>0.4</v>
      </c>
      <c r="AY335" s="310">
        <f t="shared" si="248"/>
        <v>9</v>
      </c>
      <c r="AZ335" s="309">
        <f t="shared" si="249"/>
        <v>1.1146787811191072</v>
      </c>
      <c r="BA335" s="309">
        <f t="shared" si="250"/>
        <v>243.05379763242163</v>
      </c>
      <c r="BB335" s="311">
        <f>Irrig!H337</f>
        <v>0</v>
      </c>
      <c r="BC335" s="310">
        <f t="shared" si="251"/>
        <v>0</v>
      </c>
      <c r="BD335" s="309">
        <f t="shared" si="252"/>
        <v>0</v>
      </c>
      <c r="BE335" s="309">
        <f t="shared" si="253"/>
        <v>0</v>
      </c>
      <c r="BF335" s="306">
        <f>DailyMet!H318</f>
        <v>9.19</v>
      </c>
      <c r="BG335" s="306">
        <f>DailyMet!I318</f>
        <v>3.9</v>
      </c>
      <c r="BH335" s="306">
        <f t="shared" si="254"/>
        <v>9.19</v>
      </c>
      <c r="BI335" s="306">
        <f t="shared" si="255"/>
        <v>10</v>
      </c>
      <c r="BJ335" s="306">
        <f t="shared" si="256"/>
        <v>-0.40500000000000114</v>
      </c>
      <c r="BK335" s="306">
        <f t="shared" si="286"/>
        <v>0</v>
      </c>
      <c r="BL335" s="304">
        <f t="shared" si="257"/>
        <v>0</v>
      </c>
      <c r="BM335" s="304">
        <f t="shared" si="258"/>
        <v>0</v>
      </c>
      <c r="BN335" s="304">
        <f t="shared" si="279"/>
        <v>0</v>
      </c>
      <c r="BO335" s="306">
        <f t="shared" si="280"/>
        <v>0</v>
      </c>
      <c r="BP335" s="306"/>
    </row>
    <row r="336" spans="1:68">
      <c r="A336" s="299">
        <f t="shared" si="226"/>
        <v>0</v>
      </c>
      <c r="B336" s="300">
        <f t="shared" si="227"/>
        <v>38301</v>
      </c>
      <c r="C336" s="301" t="e">
        <f t="shared" si="259"/>
        <v>#N/A</v>
      </c>
      <c r="D336" s="301" t="e">
        <f t="shared" si="228"/>
        <v>#N/A</v>
      </c>
      <c r="E336" s="299">
        <f t="shared" si="229"/>
        <v>315</v>
      </c>
      <c r="F336" s="396">
        <f>Weather!M320</f>
        <v>0.2</v>
      </c>
      <c r="G336" s="301">
        <f>IF(Weather!C320="","",Weather!C320)</f>
        <v>0.5122451339181221</v>
      </c>
      <c r="H336" s="301">
        <f>IF(Weather!D320="","",Weather!D320)</f>
        <v>0.47134381160449357</v>
      </c>
      <c r="I336" s="502">
        <f>IF(Weather!E320="","",Weather!E320)</f>
        <v>0.47134381160449357</v>
      </c>
      <c r="J336" s="397">
        <f>IF(RnSplint!N364&lt;0,0,RnSplint!N364)</f>
        <v>28.776298170387957</v>
      </c>
      <c r="K336" s="302">
        <f t="shared" si="260"/>
        <v>0</v>
      </c>
      <c r="L336" s="303">
        <f t="shared" si="261"/>
        <v>38301</v>
      </c>
      <c r="M336" s="346" t="str">
        <f t="shared" si="230"/>
        <v/>
      </c>
      <c r="N336" s="304">
        <f t="shared" si="262"/>
        <v>0</v>
      </c>
      <c r="O336" s="304">
        <f t="shared" si="263"/>
        <v>0</v>
      </c>
      <c r="P336" s="304">
        <f t="shared" si="231"/>
        <v>0</v>
      </c>
      <c r="Q336" s="304">
        <f t="shared" si="232"/>
        <v>1.0695623255872708</v>
      </c>
      <c r="R336" s="304">
        <f t="shared" si="233"/>
        <v>1.0695623255872708</v>
      </c>
      <c r="S336" s="305" t="e">
        <f t="shared" si="264"/>
        <v>#N/A</v>
      </c>
      <c r="T336" s="304">
        <f t="shared" si="234"/>
        <v>0</v>
      </c>
      <c r="U336" s="304">
        <f t="shared" si="278"/>
        <v>0</v>
      </c>
      <c r="V336" s="305" t="e">
        <f t="shared" si="235"/>
        <v>#N/A</v>
      </c>
      <c r="W336" s="305" t="e">
        <f t="shared" si="265"/>
        <v>#N/A</v>
      </c>
      <c r="X336" s="304">
        <f t="shared" si="266"/>
        <v>1.0695623255872708</v>
      </c>
      <c r="Z336" s="304" t="str">
        <f t="shared" si="236"/>
        <v/>
      </c>
      <c r="AA336" s="305" t="e">
        <f t="shared" si="237"/>
        <v>#N/A</v>
      </c>
      <c r="AB336" s="304">
        <f t="shared" si="238"/>
        <v>0.5041315832908706</v>
      </c>
      <c r="AC336" s="304" t="str">
        <f t="shared" si="267"/>
        <v/>
      </c>
      <c r="AD336" s="306">
        <f t="shared" si="239"/>
        <v>0</v>
      </c>
      <c r="AE336" s="307">
        <f t="shared" si="268"/>
        <v>0.5041315832908706</v>
      </c>
      <c r="AF336" s="308" t="e">
        <f t="shared" si="281"/>
        <v>#N/A</v>
      </c>
      <c r="AG336" s="306">
        <f t="shared" si="269"/>
        <v>670.91337505413014</v>
      </c>
      <c r="AH336" s="306">
        <f t="shared" si="241"/>
        <v>0</v>
      </c>
      <c r="AI336" s="306">
        <f t="shared" si="270"/>
        <v>0</v>
      </c>
      <c r="AJ336" s="306">
        <f t="shared" si="271"/>
        <v>0</v>
      </c>
      <c r="AK336" s="306">
        <f t="shared" si="242"/>
        <v>0</v>
      </c>
      <c r="AL336" s="306">
        <f t="shared" si="272"/>
        <v>0</v>
      </c>
      <c r="AM336" s="306">
        <f t="shared" si="243"/>
        <v>0</v>
      </c>
      <c r="AN336" s="304">
        <f>KcSplint!$N365</f>
        <v>1.1741236762182978</v>
      </c>
      <c r="AO336" s="304" t="str">
        <f t="shared" si="244"/>
        <v/>
      </c>
      <c r="AP336" s="304" t="str">
        <f t="shared" si="273"/>
        <v/>
      </c>
      <c r="AQ336" s="305" t="e">
        <f t="shared" si="282"/>
        <v>#N/A</v>
      </c>
      <c r="AR336" s="304" t="str">
        <f t="shared" si="283"/>
        <v/>
      </c>
      <c r="AS336" s="306">
        <f t="shared" si="245"/>
        <v>0</v>
      </c>
      <c r="AT336" s="307" t="e">
        <f t="shared" si="284"/>
        <v>#N/A</v>
      </c>
      <c r="AU336" s="307" t="e">
        <f t="shared" si="285"/>
        <v>#N/A</v>
      </c>
      <c r="AV336" s="304">
        <f t="shared" si="246"/>
        <v>0.47134381160449357</v>
      </c>
      <c r="AW336" s="309">
        <f t="shared" si="247"/>
        <v>6.1253735237485749</v>
      </c>
      <c r="AX336" s="306">
        <f>IF(ISERROR(Weather!M320),#N/A,Weather!M320)</f>
        <v>0.2</v>
      </c>
      <c r="AY336" s="310">
        <f t="shared" si="248"/>
        <v>10</v>
      </c>
      <c r="AZ336" s="309">
        <f t="shared" si="249"/>
        <v>1.0695623255872708</v>
      </c>
      <c r="BA336" s="309">
        <f t="shared" si="250"/>
        <v>243.52514144402613</v>
      </c>
      <c r="BB336" s="311">
        <f>Irrig!H338</f>
        <v>0</v>
      </c>
      <c r="BC336" s="310">
        <f t="shared" si="251"/>
        <v>0</v>
      </c>
      <c r="BD336" s="309">
        <f t="shared" si="252"/>
        <v>0</v>
      </c>
      <c r="BE336" s="309">
        <f t="shared" si="253"/>
        <v>0</v>
      </c>
      <c r="BF336" s="306">
        <f>DailyMet!H319</f>
        <v>11.23</v>
      </c>
      <c r="BG336" s="306">
        <f>DailyMet!I319</f>
        <v>8.6</v>
      </c>
      <c r="BH336" s="306">
        <f t="shared" si="254"/>
        <v>11.23</v>
      </c>
      <c r="BI336" s="306">
        <f t="shared" si="255"/>
        <v>10</v>
      </c>
      <c r="BJ336" s="306">
        <f t="shared" si="256"/>
        <v>0.61500000000000021</v>
      </c>
      <c r="BK336" s="306">
        <f t="shared" si="286"/>
        <v>0</v>
      </c>
      <c r="BL336" s="304">
        <f t="shared" si="257"/>
        <v>0</v>
      </c>
      <c r="BM336" s="304">
        <f t="shared" si="258"/>
        <v>0.2876235741444868</v>
      </c>
      <c r="BN336" s="304">
        <f t="shared" si="279"/>
        <v>0.2876235741444868</v>
      </c>
      <c r="BO336" s="306">
        <f t="shared" si="280"/>
        <v>0</v>
      </c>
      <c r="BP336" s="306"/>
    </row>
    <row r="337" spans="1:68">
      <c r="A337" s="299">
        <f t="shared" si="226"/>
        <v>0</v>
      </c>
      <c r="B337" s="300">
        <f t="shared" si="227"/>
        <v>38302</v>
      </c>
      <c r="C337" s="301" t="e">
        <f t="shared" si="259"/>
        <v>#N/A</v>
      </c>
      <c r="D337" s="301" t="e">
        <f t="shared" si="228"/>
        <v>#N/A</v>
      </c>
      <c r="E337" s="299">
        <f t="shared" si="229"/>
        <v>316</v>
      </c>
      <c r="F337" s="396">
        <f>Weather!M321</f>
        <v>25.6</v>
      </c>
      <c r="G337" s="301">
        <f>IF(Weather!C321="","",Weather!C321)</f>
        <v>0.49734500945019811</v>
      </c>
      <c r="H337" s="301">
        <f>IF(Weather!D321="","",Weather!D321)</f>
        <v>0.59694829900351776</v>
      </c>
      <c r="I337" s="502">
        <f>IF(Weather!E321="","",Weather!E321)</f>
        <v>0.59694829900351776</v>
      </c>
      <c r="J337" s="397">
        <f>IF(RnSplint!N365&lt;0,0,RnSplint!N365)</f>
        <v>29.175079812518891</v>
      </c>
      <c r="K337" s="302">
        <f t="shared" si="260"/>
        <v>0</v>
      </c>
      <c r="L337" s="303">
        <f t="shared" si="261"/>
        <v>38302</v>
      </c>
      <c r="M337" s="346" t="str">
        <f t="shared" si="230"/>
        <v/>
      </c>
      <c r="N337" s="304">
        <f t="shared" si="262"/>
        <v>0</v>
      </c>
      <c r="O337" s="304">
        <f t="shared" si="263"/>
        <v>0</v>
      </c>
      <c r="P337" s="304">
        <f t="shared" si="231"/>
        <v>0</v>
      </c>
      <c r="Q337" s="304">
        <f t="shared" si="232"/>
        <v>1.2</v>
      </c>
      <c r="R337" s="304">
        <f t="shared" si="233"/>
        <v>1.2</v>
      </c>
      <c r="S337" s="305" t="e">
        <f t="shared" si="264"/>
        <v>#N/A</v>
      </c>
      <c r="T337" s="304">
        <f t="shared" si="234"/>
        <v>0</v>
      </c>
      <c r="U337" s="304">
        <f t="shared" si="278"/>
        <v>0</v>
      </c>
      <c r="V337" s="305" t="e">
        <f t="shared" si="235"/>
        <v>#N/A</v>
      </c>
      <c r="W337" s="305" t="e">
        <f t="shared" si="265"/>
        <v>#N/A</v>
      </c>
      <c r="X337" s="304">
        <f t="shared" si="266"/>
        <v>1.2</v>
      </c>
      <c r="Z337" s="304" t="str">
        <f t="shared" si="236"/>
        <v/>
      </c>
      <c r="AA337" s="305" t="e">
        <f t="shared" si="237"/>
        <v>#N/A</v>
      </c>
      <c r="AB337" s="304">
        <f t="shared" si="238"/>
        <v>0.71633795880422124</v>
      </c>
      <c r="AC337" s="304" t="str">
        <f t="shared" si="267"/>
        <v/>
      </c>
      <c r="AD337" s="306">
        <f t="shared" si="239"/>
        <v>0</v>
      </c>
      <c r="AE337" s="307">
        <f t="shared" si="268"/>
        <v>0.71633795880422124</v>
      </c>
      <c r="AF337" s="308" t="e">
        <f t="shared" si="281"/>
        <v>#N/A</v>
      </c>
      <c r="AG337" s="306">
        <f t="shared" si="269"/>
        <v>671.51032335313369</v>
      </c>
      <c r="AH337" s="306">
        <f t="shared" si="241"/>
        <v>0</v>
      </c>
      <c r="AI337" s="306">
        <f t="shared" si="270"/>
        <v>0</v>
      </c>
      <c r="AJ337" s="306">
        <f t="shared" si="271"/>
        <v>0</v>
      </c>
      <c r="AK337" s="306">
        <f t="shared" si="242"/>
        <v>0</v>
      </c>
      <c r="AL337" s="306">
        <f t="shared" si="272"/>
        <v>0</v>
      </c>
      <c r="AM337" s="306">
        <f t="shared" si="243"/>
        <v>0</v>
      </c>
      <c r="AN337" s="304">
        <f>KcSplint!$N366</f>
        <v>1.1791470956441557</v>
      </c>
      <c r="AO337" s="304" t="str">
        <f t="shared" si="244"/>
        <v/>
      </c>
      <c r="AP337" s="304" t="str">
        <f t="shared" si="273"/>
        <v/>
      </c>
      <c r="AQ337" s="305" t="e">
        <f t="shared" si="282"/>
        <v>#N/A</v>
      </c>
      <c r="AR337" s="304" t="str">
        <f t="shared" si="283"/>
        <v/>
      </c>
      <c r="AS337" s="306">
        <f t="shared" si="245"/>
        <v>0</v>
      </c>
      <c r="AT337" s="307" t="e">
        <f t="shared" si="284"/>
        <v>#N/A</v>
      </c>
      <c r="AU337" s="307" t="e">
        <f t="shared" si="285"/>
        <v>#N/A</v>
      </c>
      <c r="AV337" s="304">
        <f t="shared" si="246"/>
        <v>0.59694829900351776</v>
      </c>
      <c r="AW337" s="309">
        <f t="shared" si="247"/>
        <v>0.59694829900351776</v>
      </c>
      <c r="AX337" s="306">
        <f>IF(ISERROR(Weather!M321),#N/A,Weather!M321)</f>
        <v>25.6</v>
      </c>
      <c r="AY337" s="310">
        <f t="shared" si="248"/>
        <v>1</v>
      </c>
      <c r="AZ337" s="309">
        <f t="shared" si="249"/>
        <v>1.2</v>
      </c>
      <c r="BA337" s="309">
        <f t="shared" si="250"/>
        <v>244.12208974302965</v>
      </c>
      <c r="BB337" s="311">
        <f>Irrig!H339</f>
        <v>0</v>
      </c>
      <c r="BC337" s="310">
        <f t="shared" si="251"/>
        <v>0</v>
      </c>
      <c r="BD337" s="309">
        <f t="shared" si="252"/>
        <v>0</v>
      </c>
      <c r="BE337" s="309">
        <f t="shared" si="253"/>
        <v>0</v>
      </c>
      <c r="BF337" s="306">
        <f>DailyMet!H320</f>
        <v>12.18</v>
      </c>
      <c r="BG337" s="306">
        <f>DailyMet!I320</f>
        <v>10.6</v>
      </c>
      <c r="BH337" s="306">
        <f t="shared" si="254"/>
        <v>12.18</v>
      </c>
      <c r="BI337" s="306">
        <f t="shared" si="255"/>
        <v>10.6</v>
      </c>
      <c r="BJ337" s="306">
        <f t="shared" si="256"/>
        <v>1.3900000000000006</v>
      </c>
      <c r="BK337" s="306">
        <f t="shared" si="286"/>
        <v>0</v>
      </c>
      <c r="BL337" s="304">
        <f t="shared" si="257"/>
        <v>0</v>
      </c>
      <c r="BM337" s="304">
        <f t="shared" si="258"/>
        <v>1.3900000000000006</v>
      </c>
      <c r="BN337" s="304">
        <f t="shared" si="279"/>
        <v>1.3900000000000006</v>
      </c>
      <c r="BO337" s="306">
        <f t="shared" si="280"/>
        <v>0</v>
      </c>
      <c r="BP337" s="306"/>
    </row>
    <row r="338" spans="1:68">
      <c r="A338" s="299">
        <f t="shared" si="226"/>
        <v>0</v>
      </c>
      <c r="B338" s="300">
        <f t="shared" si="227"/>
        <v>38303</v>
      </c>
      <c r="C338" s="301" t="e">
        <f t="shared" si="259"/>
        <v>#N/A</v>
      </c>
      <c r="D338" s="301" t="e">
        <f t="shared" si="228"/>
        <v>#N/A</v>
      </c>
      <c r="E338" s="299">
        <f t="shared" si="229"/>
        <v>317</v>
      </c>
      <c r="F338" s="396">
        <f>Weather!M322</f>
        <v>2</v>
      </c>
      <c r="G338" s="301">
        <f>IF(Weather!C322="","",Weather!C322)</f>
        <v>0.48278324834163611</v>
      </c>
      <c r="H338" s="301">
        <f>IF(Weather!D322="","",Weather!D322)</f>
        <v>0.52054953591609565</v>
      </c>
      <c r="I338" s="502">
        <f>IF(Weather!E322="","",Weather!E322)</f>
        <v>0.52054953591609565</v>
      </c>
      <c r="J338" s="397">
        <f>IF(RnSplint!N366&lt;0,0,RnSplint!N366)</f>
        <v>29.501935673037906</v>
      </c>
      <c r="K338" s="302">
        <f t="shared" si="260"/>
        <v>0</v>
      </c>
      <c r="L338" s="303">
        <f t="shared" si="261"/>
        <v>38303</v>
      </c>
      <c r="M338" s="346" t="str">
        <f t="shared" si="230"/>
        <v/>
      </c>
      <c r="N338" s="304">
        <f t="shared" si="262"/>
        <v>0</v>
      </c>
      <c r="O338" s="304">
        <f t="shared" si="263"/>
        <v>0</v>
      </c>
      <c r="P338" s="304">
        <f t="shared" si="231"/>
        <v>0</v>
      </c>
      <c r="Q338" s="304">
        <f t="shared" si="232"/>
        <v>1.2</v>
      </c>
      <c r="R338" s="304">
        <f t="shared" si="233"/>
        <v>1.2</v>
      </c>
      <c r="S338" s="305" t="e">
        <f t="shared" si="264"/>
        <v>#N/A</v>
      </c>
      <c r="T338" s="304">
        <f t="shared" si="234"/>
        <v>0</v>
      </c>
      <c r="U338" s="304">
        <f t="shared" si="278"/>
        <v>0</v>
      </c>
      <c r="V338" s="305" t="e">
        <f t="shared" si="235"/>
        <v>#N/A</v>
      </c>
      <c r="W338" s="305" t="e">
        <f t="shared" si="265"/>
        <v>#N/A</v>
      </c>
      <c r="X338" s="304">
        <f t="shared" si="266"/>
        <v>1.2</v>
      </c>
      <c r="Z338" s="304" t="str">
        <f t="shared" si="236"/>
        <v/>
      </c>
      <c r="AA338" s="305" t="e">
        <f t="shared" si="237"/>
        <v>#N/A</v>
      </c>
      <c r="AB338" s="304">
        <f t="shared" si="238"/>
        <v>0.62465944309931476</v>
      </c>
      <c r="AC338" s="304" t="str">
        <f t="shared" si="267"/>
        <v/>
      </c>
      <c r="AD338" s="306">
        <f t="shared" si="239"/>
        <v>0</v>
      </c>
      <c r="AE338" s="307">
        <f t="shared" si="268"/>
        <v>0.62465944309931476</v>
      </c>
      <c r="AF338" s="308" t="e">
        <f t="shared" si="281"/>
        <v>#N/A</v>
      </c>
      <c r="AG338" s="306">
        <f t="shared" si="269"/>
        <v>672.03087288904976</v>
      </c>
      <c r="AH338" s="306">
        <f t="shared" si="241"/>
        <v>0</v>
      </c>
      <c r="AI338" s="306">
        <f t="shared" si="270"/>
        <v>0</v>
      </c>
      <c r="AJ338" s="306">
        <f t="shared" si="271"/>
        <v>0</v>
      </c>
      <c r="AK338" s="306">
        <f t="shared" si="242"/>
        <v>0</v>
      </c>
      <c r="AL338" s="306">
        <f t="shared" si="272"/>
        <v>0</v>
      </c>
      <c r="AM338" s="306">
        <f t="shared" si="243"/>
        <v>0</v>
      </c>
      <c r="AN338" s="304">
        <f>KcSplint!$N367</f>
        <v>1.1837761705762002</v>
      </c>
      <c r="AO338" s="304" t="str">
        <f t="shared" si="244"/>
        <v/>
      </c>
      <c r="AP338" s="304" t="str">
        <f t="shared" si="273"/>
        <v/>
      </c>
      <c r="AQ338" s="305" t="e">
        <f t="shared" si="282"/>
        <v>#N/A</v>
      </c>
      <c r="AR338" s="304" t="str">
        <f t="shared" si="283"/>
        <v/>
      </c>
      <c r="AS338" s="306">
        <f t="shared" si="245"/>
        <v>0</v>
      </c>
      <c r="AT338" s="307" t="e">
        <f t="shared" si="284"/>
        <v>#N/A</v>
      </c>
      <c r="AU338" s="307" t="e">
        <f t="shared" si="285"/>
        <v>#N/A</v>
      </c>
      <c r="AV338" s="304">
        <f t="shared" si="246"/>
        <v>0.52054953591609565</v>
      </c>
      <c r="AW338" s="309">
        <f t="shared" si="247"/>
        <v>0.52054953591609565</v>
      </c>
      <c r="AX338" s="306">
        <f>IF(ISERROR(Weather!M322),#N/A,Weather!M322)</f>
        <v>2</v>
      </c>
      <c r="AY338" s="310">
        <f t="shared" si="248"/>
        <v>1</v>
      </c>
      <c r="AZ338" s="309">
        <f t="shared" si="249"/>
        <v>1.2</v>
      </c>
      <c r="BA338" s="309">
        <f t="shared" si="250"/>
        <v>244.64263927894575</v>
      </c>
      <c r="BB338" s="311">
        <f>Irrig!H340</f>
        <v>0</v>
      </c>
      <c r="BC338" s="310">
        <f t="shared" si="251"/>
        <v>0</v>
      </c>
      <c r="BD338" s="309">
        <f t="shared" si="252"/>
        <v>0</v>
      </c>
      <c r="BE338" s="309">
        <f t="shared" si="253"/>
        <v>0</v>
      </c>
      <c r="BF338" s="306">
        <f>DailyMet!H321</f>
        <v>10.98</v>
      </c>
      <c r="BG338" s="306">
        <f>DailyMet!I321</f>
        <v>10.1</v>
      </c>
      <c r="BH338" s="306">
        <f t="shared" si="254"/>
        <v>10.98</v>
      </c>
      <c r="BI338" s="306">
        <f t="shared" si="255"/>
        <v>10.1</v>
      </c>
      <c r="BJ338" s="306">
        <f t="shared" si="256"/>
        <v>0.53999999999999915</v>
      </c>
      <c r="BK338" s="306">
        <f t="shared" si="286"/>
        <v>0</v>
      </c>
      <c r="BL338" s="304">
        <f t="shared" si="257"/>
        <v>0</v>
      </c>
      <c r="BM338" s="304">
        <f t="shared" si="258"/>
        <v>0.53999999999999915</v>
      </c>
      <c r="BN338" s="304">
        <f t="shared" si="279"/>
        <v>0.53999999999999915</v>
      </c>
      <c r="BO338" s="306">
        <f t="shared" si="280"/>
        <v>0</v>
      </c>
      <c r="BP338" s="306"/>
    </row>
    <row r="339" spans="1:68">
      <c r="A339" s="299">
        <f t="shared" si="226"/>
        <v>0</v>
      </c>
      <c r="B339" s="300">
        <f t="shared" si="227"/>
        <v>38304</v>
      </c>
      <c r="C339" s="301" t="e">
        <f t="shared" si="259"/>
        <v>#N/A</v>
      </c>
      <c r="D339" s="301" t="e">
        <f t="shared" si="228"/>
        <v>#N/A</v>
      </c>
      <c r="E339" s="299">
        <f t="shared" si="229"/>
        <v>318</v>
      </c>
      <c r="F339" s="396">
        <f>Weather!M323</f>
        <v>0</v>
      </c>
      <c r="G339" s="301">
        <f>IF(Weather!C323="","",Weather!C323)</f>
        <v>0.46856118756112447</v>
      </c>
      <c r="H339" s="301">
        <f>IF(Weather!D323="","",Weather!D323)</f>
        <v>0.52595066517111921</v>
      </c>
      <c r="I339" s="502">
        <f>IF(Weather!E323="","",Weather!E323)</f>
        <v>0.52595066517111921</v>
      </c>
      <c r="J339" s="397">
        <f>IF(RnSplint!N367&lt;0,0,RnSplint!N367)</f>
        <v>29.751770895452651</v>
      </c>
      <c r="K339" s="302">
        <f t="shared" si="260"/>
        <v>0</v>
      </c>
      <c r="L339" s="303">
        <f t="shared" si="261"/>
        <v>38304</v>
      </c>
      <c r="M339" s="346" t="str">
        <f t="shared" si="230"/>
        <v/>
      </c>
      <c r="N339" s="304">
        <f t="shared" si="262"/>
        <v>0</v>
      </c>
      <c r="O339" s="304">
        <f t="shared" si="263"/>
        <v>0</v>
      </c>
      <c r="P339" s="304">
        <f t="shared" si="231"/>
        <v>0</v>
      </c>
      <c r="Q339" s="304">
        <f t="shared" si="232"/>
        <v>1.2</v>
      </c>
      <c r="R339" s="304">
        <f t="shared" si="233"/>
        <v>1.2</v>
      </c>
      <c r="S339" s="305" t="e">
        <f t="shared" si="264"/>
        <v>#N/A</v>
      </c>
      <c r="T339" s="304">
        <f t="shared" si="234"/>
        <v>0</v>
      </c>
      <c r="U339" s="304">
        <f t="shared" si="278"/>
        <v>0</v>
      </c>
      <c r="V339" s="305" t="e">
        <f t="shared" si="235"/>
        <v>#N/A</v>
      </c>
      <c r="W339" s="305" t="e">
        <f t="shared" si="265"/>
        <v>#N/A</v>
      </c>
      <c r="X339" s="304">
        <f t="shared" si="266"/>
        <v>1.2</v>
      </c>
      <c r="Z339" s="304" t="str">
        <f t="shared" si="236"/>
        <v/>
      </c>
      <c r="AA339" s="305" t="e">
        <f t="shared" si="237"/>
        <v>#N/A</v>
      </c>
      <c r="AB339" s="304">
        <f t="shared" si="238"/>
        <v>0.63114079820534308</v>
      </c>
      <c r="AC339" s="304" t="str">
        <f t="shared" si="267"/>
        <v/>
      </c>
      <c r="AD339" s="306">
        <f t="shared" si="239"/>
        <v>0</v>
      </c>
      <c r="AE339" s="307">
        <f t="shared" si="268"/>
        <v>0.63114079820534308</v>
      </c>
      <c r="AF339" s="308" t="e">
        <f t="shared" si="281"/>
        <v>#N/A</v>
      </c>
      <c r="AG339" s="306">
        <f t="shared" si="269"/>
        <v>672.55682355422084</v>
      </c>
      <c r="AH339" s="306">
        <f t="shared" si="241"/>
        <v>0</v>
      </c>
      <c r="AI339" s="306">
        <f t="shared" si="270"/>
        <v>0</v>
      </c>
      <c r="AJ339" s="306">
        <f t="shared" si="271"/>
        <v>0</v>
      </c>
      <c r="AK339" s="306">
        <f t="shared" si="242"/>
        <v>0</v>
      </c>
      <c r="AL339" s="306">
        <f t="shared" si="272"/>
        <v>0</v>
      </c>
      <c r="AM339" s="306">
        <f t="shared" si="243"/>
        <v>0</v>
      </c>
      <c r="AN339" s="304">
        <f>KcSplint!$N368</f>
        <v>1.1879893192724749</v>
      </c>
      <c r="AO339" s="304" t="str">
        <f t="shared" si="244"/>
        <v/>
      </c>
      <c r="AP339" s="304" t="str">
        <f t="shared" si="273"/>
        <v/>
      </c>
      <c r="AQ339" s="305" t="e">
        <f t="shared" si="282"/>
        <v>#N/A</v>
      </c>
      <c r="AR339" s="304" t="str">
        <f t="shared" si="283"/>
        <v/>
      </c>
      <c r="AS339" s="306">
        <f t="shared" si="245"/>
        <v>0</v>
      </c>
      <c r="AT339" s="307" t="e">
        <f t="shared" si="284"/>
        <v>#N/A</v>
      </c>
      <c r="AU339" s="307" t="e">
        <f t="shared" si="285"/>
        <v>#N/A</v>
      </c>
      <c r="AV339" s="304">
        <f t="shared" si="246"/>
        <v>0.52595066517111921</v>
      </c>
      <c r="AW339" s="309">
        <f t="shared" si="247"/>
        <v>1.0465002010872149</v>
      </c>
      <c r="AX339" s="306">
        <f>IF(ISERROR(Weather!M323),#N/A,Weather!M323)</f>
        <v>0</v>
      </c>
      <c r="AY339" s="310">
        <f t="shared" si="248"/>
        <v>2</v>
      </c>
      <c r="AZ339" s="309">
        <f t="shared" si="249"/>
        <v>1.2</v>
      </c>
      <c r="BA339" s="309">
        <f t="shared" si="250"/>
        <v>245.16858994411686</v>
      </c>
      <c r="BB339" s="311">
        <f>Irrig!H341</f>
        <v>0</v>
      </c>
      <c r="BC339" s="310">
        <f t="shared" si="251"/>
        <v>0</v>
      </c>
      <c r="BD339" s="309">
        <f t="shared" si="252"/>
        <v>0</v>
      </c>
      <c r="BE339" s="309">
        <f t="shared" si="253"/>
        <v>0</v>
      </c>
      <c r="BF339" s="306">
        <f>DailyMet!H322</f>
        <v>12.32</v>
      </c>
      <c r="BG339" s="306">
        <f>DailyMet!I322</f>
        <v>9.5</v>
      </c>
      <c r="BH339" s="306">
        <f t="shared" si="254"/>
        <v>12.32</v>
      </c>
      <c r="BI339" s="306">
        <f t="shared" si="255"/>
        <v>10</v>
      </c>
      <c r="BJ339" s="306">
        <f t="shared" si="256"/>
        <v>1.1600000000000001</v>
      </c>
      <c r="BK339" s="306">
        <f t="shared" si="286"/>
        <v>0</v>
      </c>
      <c r="BL339" s="304">
        <f t="shared" si="257"/>
        <v>0</v>
      </c>
      <c r="BM339" s="304">
        <f t="shared" si="258"/>
        <v>0.95432624113475195</v>
      </c>
      <c r="BN339" s="304">
        <f t="shared" si="279"/>
        <v>0.95432624113475195</v>
      </c>
      <c r="BO339" s="306">
        <f t="shared" si="280"/>
        <v>0</v>
      </c>
      <c r="BP339" s="306"/>
    </row>
    <row r="340" spans="1:68">
      <c r="A340" s="299">
        <f t="shared" si="226"/>
        <v>0</v>
      </c>
      <c r="B340" s="300">
        <f t="shared" si="227"/>
        <v>38305</v>
      </c>
      <c r="C340" s="301" t="e">
        <f t="shared" si="259"/>
        <v>#N/A</v>
      </c>
      <c r="D340" s="301" t="e">
        <f t="shared" si="228"/>
        <v>#N/A</v>
      </c>
      <c r="E340" s="299">
        <f t="shared" si="229"/>
        <v>319</v>
      </c>
      <c r="F340" s="396">
        <f>Weather!M324</f>
        <v>0</v>
      </c>
      <c r="G340" s="301">
        <f>IF(Weather!C324="","",Weather!C324)</f>
        <v>0.45468016407735184</v>
      </c>
      <c r="H340" s="301">
        <f>IF(Weather!D324="","",Weather!D324)</f>
        <v>0.3836576772264001</v>
      </c>
      <c r="I340" s="502">
        <f>IF(Weather!E324="","",Weather!E324)</f>
        <v>0.3836576772264001</v>
      </c>
      <c r="J340" s="397">
        <f>IF(RnSplint!N368&lt;0,0,RnSplint!N368)</f>
        <v>29.9194906232708</v>
      </c>
      <c r="K340" s="302">
        <f t="shared" si="260"/>
        <v>0</v>
      </c>
      <c r="L340" s="303">
        <f t="shared" si="261"/>
        <v>38305</v>
      </c>
      <c r="M340" s="346" t="str">
        <f t="shared" si="230"/>
        <v/>
      </c>
      <c r="N340" s="304">
        <f t="shared" si="262"/>
        <v>0</v>
      </c>
      <c r="O340" s="304">
        <f t="shared" si="263"/>
        <v>0</v>
      </c>
      <c r="P340" s="304">
        <f t="shared" si="231"/>
        <v>0</v>
      </c>
      <c r="Q340" s="304">
        <f t="shared" si="232"/>
        <v>1.2</v>
      </c>
      <c r="R340" s="304">
        <f t="shared" si="233"/>
        <v>1.2</v>
      </c>
      <c r="S340" s="305" t="e">
        <f t="shared" si="264"/>
        <v>#N/A</v>
      </c>
      <c r="T340" s="304">
        <f t="shared" si="234"/>
        <v>0</v>
      </c>
      <c r="U340" s="304">
        <f t="shared" si="278"/>
        <v>0</v>
      </c>
      <c r="V340" s="305" t="e">
        <f t="shared" si="235"/>
        <v>#N/A</v>
      </c>
      <c r="W340" s="305" t="e">
        <f t="shared" si="265"/>
        <v>#N/A</v>
      </c>
      <c r="X340" s="304">
        <f t="shared" si="266"/>
        <v>1.2</v>
      </c>
      <c r="Z340" s="304" t="str">
        <f t="shared" si="236"/>
        <v/>
      </c>
      <c r="AA340" s="305" t="e">
        <f t="shared" si="237"/>
        <v>#N/A</v>
      </c>
      <c r="AB340" s="304">
        <f t="shared" si="238"/>
        <v>0.46038921267168009</v>
      </c>
      <c r="AC340" s="304" t="str">
        <f t="shared" si="267"/>
        <v/>
      </c>
      <c r="AD340" s="306">
        <f t="shared" si="239"/>
        <v>0</v>
      </c>
      <c r="AE340" s="307">
        <f t="shared" si="268"/>
        <v>0.46038921267168009</v>
      </c>
      <c r="AF340" s="308" t="e">
        <f t="shared" si="281"/>
        <v>#N/A</v>
      </c>
      <c r="AG340" s="306">
        <f t="shared" si="269"/>
        <v>672.94048123144728</v>
      </c>
      <c r="AH340" s="306">
        <f t="shared" si="241"/>
        <v>0</v>
      </c>
      <c r="AI340" s="306">
        <f t="shared" si="270"/>
        <v>0</v>
      </c>
      <c r="AJ340" s="306">
        <f t="shared" si="271"/>
        <v>0</v>
      </c>
      <c r="AK340" s="306">
        <f t="shared" si="242"/>
        <v>0</v>
      </c>
      <c r="AL340" s="306">
        <f t="shared" si="272"/>
        <v>0</v>
      </c>
      <c r="AM340" s="306">
        <f t="shared" si="243"/>
        <v>0</v>
      </c>
      <c r="AN340" s="304">
        <f>KcSplint!$N369</f>
        <v>1.1917649599910223</v>
      </c>
      <c r="AO340" s="304" t="str">
        <f t="shared" si="244"/>
        <v/>
      </c>
      <c r="AP340" s="304" t="str">
        <f t="shared" si="273"/>
        <v/>
      </c>
      <c r="AQ340" s="305" t="e">
        <f t="shared" si="282"/>
        <v>#N/A</v>
      </c>
      <c r="AR340" s="304" t="str">
        <f t="shared" si="283"/>
        <v/>
      </c>
      <c r="AS340" s="306">
        <f t="shared" si="245"/>
        <v>0</v>
      </c>
      <c r="AT340" s="307" t="e">
        <f t="shared" si="284"/>
        <v>#N/A</v>
      </c>
      <c r="AU340" s="307" t="e">
        <f t="shared" si="285"/>
        <v>#N/A</v>
      </c>
      <c r="AV340" s="304">
        <f t="shared" si="246"/>
        <v>0.3836576772264001</v>
      </c>
      <c r="AW340" s="309">
        <f t="shared" si="247"/>
        <v>1.4301578783136151</v>
      </c>
      <c r="AX340" s="306">
        <f>IF(ISERROR(Weather!M324),#N/A,Weather!M324)</f>
        <v>0</v>
      </c>
      <c r="AY340" s="310">
        <f t="shared" si="248"/>
        <v>3</v>
      </c>
      <c r="AZ340" s="309">
        <f t="shared" si="249"/>
        <v>1.2</v>
      </c>
      <c r="BA340" s="309">
        <f t="shared" si="250"/>
        <v>245.55224762134327</v>
      </c>
      <c r="BB340" s="311">
        <f>Irrig!H342</f>
        <v>0</v>
      </c>
      <c r="BC340" s="310">
        <f t="shared" si="251"/>
        <v>0</v>
      </c>
      <c r="BD340" s="309">
        <f t="shared" si="252"/>
        <v>0</v>
      </c>
      <c r="BE340" s="309">
        <f t="shared" si="253"/>
        <v>0</v>
      </c>
      <c r="BF340" s="306">
        <f>DailyMet!H323</f>
        <v>10.27</v>
      </c>
      <c r="BG340" s="306">
        <f>DailyMet!I323</f>
        <v>5.3</v>
      </c>
      <c r="BH340" s="306">
        <f t="shared" si="254"/>
        <v>10.27</v>
      </c>
      <c r="BI340" s="306">
        <f t="shared" si="255"/>
        <v>10</v>
      </c>
      <c r="BJ340" s="306">
        <f t="shared" si="256"/>
        <v>0.13499999999999979</v>
      </c>
      <c r="BK340" s="306">
        <f t="shared" si="286"/>
        <v>0</v>
      </c>
      <c r="BL340" s="304">
        <f t="shared" si="257"/>
        <v>0</v>
      </c>
      <c r="BM340" s="304">
        <f t="shared" si="258"/>
        <v>7.3340040241448466E-3</v>
      </c>
      <c r="BN340" s="304">
        <f t="shared" si="279"/>
        <v>7.3340040241448466E-3</v>
      </c>
      <c r="BO340" s="306">
        <f t="shared" si="280"/>
        <v>0</v>
      </c>
      <c r="BP340" s="306"/>
    </row>
    <row r="341" spans="1:68">
      <c r="A341" s="299">
        <f t="shared" si="226"/>
        <v>0</v>
      </c>
      <c r="B341" s="300">
        <f t="shared" si="227"/>
        <v>38306</v>
      </c>
      <c r="C341" s="301" t="e">
        <f t="shared" si="259"/>
        <v>#N/A</v>
      </c>
      <c r="D341" s="301" t="e">
        <f t="shared" si="228"/>
        <v>#N/A</v>
      </c>
      <c r="E341" s="299">
        <f t="shared" si="229"/>
        <v>320</v>
      </c>
      <c r="F341" s="396">
        <f>Weather!M325</f>
        <v>0.2</v>
      </c>
      <c r="G341" s="301">
        <f>IF(Weather!C325="","",Weather!C325)</f>
        <v>0.44114151485900671</v>
      </c>
      <c r="H341" s="301">
        <f>IF(Weather!D325="","",Weather!D325)</f>
        <v>0.21566560420843345</v>
      </c>
      <c r="I341" s="502">
        <f>IF(Weather!E325="","",Weather!E325)</f>
        <v>0.21566560420843345</v>
      </c>
      <c r="J341" s="397">
        <f>IF(RnSplint!N369&lt;0,0,RnSplint!N369)</f>
        <v>30</v>
      </c>
      <c r="K341" s="302">
        <f t="shared" si="260"/>
        <v>0</v>
      </c>
      <c r="L341" s="303">
        <f t="shared" si="261"/>
        <v>38306</v>
      </c>
      <c r="M341" s="346" t="str">
        <f t="shared" si="230"/>
        <v/>
      </c>
      <c r="N341" s="304">
        <f t="shared" si="262"/>
        <v>0</v>
      </c>
      <c r="O341" s="304">
        <f t="shared" si="263"/>
        <v>0</v>
      </c>
      <c r="P341" s="304">
        <f t="shared" si="231"/>
        <v>0</v>
      </c>
      <c r="Q341" s="304">
        <f t="shared" si="232"/>
        <v>1.2</v>
      </c>
      <c r="R341" s="304">
        <f t="shared" si="233"/>
        <v>1.2</v>
      </c>
      <c r="S341" s="305" t="e">
        <f t="shared" si="264"/>
        <v>#N/A</v>
      </c>
      <c r="T341" s="304">
        <f t="shared" si="234"/>
        <v>0</v>
      </c>
      <c r="U341" s="304">
        <f t="shared" si="278"/>
        <v>0</v>
      </c>
      <c r="V341" s="305" t="e">
        <f t="shared" si="235"/>
        <v>#N/A</v>
      </c>
      <c r="W341" s="305" t="e">
        <f t="shared" si="265"/>
        <v>#N/A</v>
      </c>
      <c r="X341" s="304">
        <f t="shared" si="266"/>
        <v>1.2</v>
      </c>
      <c r="Z341" s="304" t="str">
        <f t="shared" si="236"/>
        <v/>
      </c>
      <c r="AA341" s="305" t="e">
        <f t="shared" si="237"/>
        <v>#N/A</v>
      </c>
      <c r="AB341" s="304">
        <f t="shared" si="238"/>
        <v>0.25879872505012014</v>
      </c>
      <c r="AC341" s="304" t="str">
        <f t="shared" si="267"/>
        <v/>
      </c>
      <c r="AD341" s="306">
        <f t="shared" si="239"/>
        <v>0</v>
      </c>
      <c r="AE341" s="307">
        <f t="shared" si="268"/>
        <v>0.25879872505012014</v>
      </c>
      <c r="AF341" s="308" t="e">
        <f t="shared" si="281"/>
        <v>#N/A</v>
      </c>
      <c r="AG341" s="306">
        <f t="shared" si="269"/>
        <v>673.1561468356557</v>
      </c>
      <c r="AH341" s="306">
        <f t="shared" si="241"/>
        <v>0</v>
      </c>
      <c r="AI341" s="306">
        <f t="shared" si="270"/>
        <v>0</v>
      </c>
      <c r="AJ341" s="306">
        <f t="shared" si="271"/>
        <v>0</v>
      </c>
      <c r="AK341" s="306">
        <f t="shared" si="242"/>
        <v>0</v>
      </c>
      <c r="AL341" s="306">
        <f t="shared" si="272"/>
        <v>0</v>
      </c>
      <c r="AM341" s="306">
        <f t="shared" si="243"/>
        <v>0</v>
      </c>
      <c r="AN341" s="304">
        <f>KcSplint!$N370</f>
        <v>1.1950890952978583</v>
      </c>
      <c r="AO341" s="304" t="str">
        <f t="shared" si="244"/>
        <v/>
      </c>
      <c r="AP341" s="304" t="str">
        <f t="shared" si="273"/>
        <v/>
      </c>
      <c r="AQ341" s="305" t="e">
        <f t="shared" si="282"/>
        <v>#N/A</v>
      </c>
      <c r="AR341" s="304" t="str">
        <f t="shared" si="283"/>
        <v/>
      </c>
      <c r="AS341" s="306">
        <f t="shared" si="245"/>
        <v>0</v>
      </c>
      <c r="AT341" s="307" t="e">
        <f t="shared" si="284"/>
        <v>#N/A</v>
      </c>
      <c r="AU341" s="307" t="e">
        <f t="shared" si="285"/>
        <v>#N/A</v>
      </c>
      <c r="AV341" s="304">
        <f t="shared" si="246"/>
        <v>0.21566560420843345</v>
      </c>
      <c r="AW341" s="309">
        <f t="shared" si="247"/>
        <v>1.6458234825220486</v>
      </c>
      <c r="AX341" s="306">
        <f>IF(ISERROR(Weather!M325),#N/A,Weather!M325)</f>
        <v>0.2</v>
      </c>
      <c r="AY341" s="310">
        <f t="shared" si="248"/>
        <v>4</v>
      </c>
      <c r="AZ341" s="309">
        <f t="shared" si="249"/>
        <v>1.2</v>
      </c>
      <c r="BA341" s="309">
        <f t="shared" si="250"/>
        <v>245.76791322555169</v>
      </c>
      <c r="BB341" s="311">
        <f>Irrig!H343</f>
        <v>0</v>
      </c>
      <c r="BC341" s="310">
        <f t="shared" si="251"/>
        <v>0</v>
      </c>
      <c r="BD341" s="309">
        <f t="shared" si="252"/>
        <v>0</v>
      </c>
      <c r="BE341" s="309">
        <f t="shared" si="253"/>
        <v>0</v>
      </c>
      <c r="BF341" s="306">
        <f>DailyMet!H324</f>
        <v>7.21</v>
      </c>
      <c r="BG341" s="306">
        <f>DailyMet!I324</f>
        <v>3.1</v>
      </c>
      <c r="BH341" s="306">
        <f t="shared" si="254"/>
        <v>7.21</v>
      </c>
      <c r="BI341" s="306">
        <f t="shared" si="255"/>
        <v>10</v>
      </c>
      <c r="BJ341" s="306">
        <f t="shared" si="256"/>
        <v>-1.3949999999999996</v>
      </c>
      <c r="BK341" s="306">
        <f t="shared" si="286"/>
        <v>0</v>
      </c>
      <c r="BL341" s="304">
        <f t="shared" si="257"/>
        <v>0</v>
      </c>
      <c r="BM341" s="304">
        <f t="shared" si="258"/>
        <v>0</v>
      </c>
      <c r="BN341" s="304">
        <f t="shared" si="279"/>
        <v>0</v>
      </c>
      <c r="BO341" s="306">
        <f t="shared" si="280"/>
        <v>0</v>
      </c>
      <c r="BP341" s="306"/>
    </row>
    <row r="342" spans="1:68">
      <c r="A342" s="299">
        <f t="shared" ref="A342:A405" si="287">IF(B342&gt;K$12,0,IF(B342&gt;L$11,4,IF(B342&gt;=L$10,3,IF(B342&gt;L$9,2,IF(B342&gt;=K$8,1,0)))))</f>
        <v>0</v>
      </c>
      <c r="B342" s="300">
        <f t="shared" ref="B342:B405" si="288">B341+1</f>
        <v>38307</v>
      </c>
      <c r="C342" s="301" t="e">
        <f t="shared" si="259"/>
        <v>#N/A</v>
      </c>
      <c r="D342" s="301" t="e">
        <f t="shared" ref="D342:D405" si="289">IF(ISNA(C342),#N/A,IF(Q342&lt;C342,Q342,C342))</f>
        <v>#N/A</v>
      </c>
      <c r="E342" s="299">
        <f t="shared" ref="E342:E405" si="290">B342-DATE(K$2-1,12,31)</f>
        <v>321</v>
      </c>
      <c r="F342" s="396">
        <f>Weather!M326</f>
        <v>0.2</v>
      </c>
      <c r="G342" s="301">
        <f>IF(Weather!C326="","",Weather!C326)</f>
        <v>0.42794668598472974</v>
      </c>
      <c r="H342" s="301">
        <f>IF(Weather!D326="","",Weather!D326)</f>
        <v>0.16215468248416967</v>
      </c>
      <c r="I342" s="502">
        <f>IF(Weather!E326="","",Weather!E326)</f>
        <v>0.16215468248416967</v>
      </c>
      <c r="J342" s="397">
        <f>IF(RnSplint!N370&lt;0,0,RnSplint!N370)</f>
        <v>29.990018746721137</v>
      </c>
      <c r="K342" s="302">
        <f t="shared" si="260"/>
        <v>0</v>
      </c>
      <c r="L342" s="303">
        <f t="shared" si="261"/>
        <v>38307</v>
      </c>
      <c r="M342" s="346" t="str">
        <f t="shared" ref="M342:M386" si="291">IF(OR(MONTH(L343)&gt;MONTH(L342),MONTH(L343)&lt;MONTH(L342)),MONTH(L342),"")</f>
        <v/>
      </c>
      <c r="N342" s="304">
        <f t="shared" si="262"/>
        <v>0</v>
      </c>
      <c r="O342" s="304">
        <f t="shared" si="263"/>
        <v>0</v>
      </c>
      <c r="P342" s="304">
        <f t="shared" ref="P342:P405" si="292">IF($N342+$O342&gt;K$6,$K$6,$N342+$O342)</f>
        <v>0</v>
      </c>
      <c r="Q342" s="304">
        <f t="shared" ref="Q342:Q405" si="293">AZ342</f>
        <v>1.2</v>
      </c>
      <c r="R342" s="304">
        <f t="shared" ref="R342:R405" si="294">IF(Q342&gt;P342,Q342,P342)</f>
        <v>1.2</v>
      </c>
      <c r="S342" s="305" t="e">
        <f t="shared" si="264"/>
        <v>#N/A</v>
      </c>
      <c r="T342" s="304">
        <f t="shared" ref="T342:T405" si="295">BE342</f>
        <v>0</v>
      </c>
      <c r="U342" s="304">
        <f t="shared" si="278"/>
        <v>0</v>
      </c>
      <c r="V342" s="305" t="e">
        <f t="shared" ref="V342:V405" si="296">IF(N342=0,#N/A,U342)</f>
        <v>#N/A</v>
      </c>
      <c r="W342" s="305" t="e">
        <f t="shared" si="265"/>
        <v>#N/A</v>
      </c>
      <c r="X342" s="304">
        <f t="shared" si="266"/>
        <v>1.2</v>
      </c>
      <c r="Z342" s="304" t="str">
        <f t="shared" ref="Z342:Z405" si="297">IF(A342=2,X342,"")</f>
        <v/>
      </c>
      <c r="AA342" s="305" t="e">
        <f t="shared" ref="AA342:AA405" si="298">IF(N342=0,#N/A,X342)</f>
        <v>#N/A</v>
      </c>
      <c r="AB342" s="304">
        <f t="shared" ref="AB342:AB405" si="299">X342*AV342</f>
        <v>0.1945856189810036</v>
      </c>
      <c r="AC342" s="304" t="str">
        <f t="shared" si="267"/>
        <v/>
      </c>
      <c r="AD342" s="306">
        <f t="shared" ref="AD342:AD405" si="300">IF(OR(AND(L$3=4,E342&gt;366),AND(L$3=2,E342&gt;366)),0,IF(A342=0,0,AD341+AB342))</f>
        <v>0</v>
      </c>
      <c r="AE342" s="307">
        <f t="shared" si="268"/>
        <v>0.1945856189810036</v>
      </c>
      <c r="AF342" s="308" t="e">
        <f t="shared" si="281"/>
        <v>#N/A</v>
      </c>
      <c r="AG342" s="306">
        <f t="shared" si="269"/>
        <v>673.31830151813983</v>
      </c>
      <c r="AH342" s="306">
        <f t="shared" ref="AH342:AH405" si="301">IF($A342=1,I342,0)</f>
        <v>0</v>
      </c>
      <c r="AI342" s="306">
        <f t="shared" si="270"/>
        <v>0</v>
      </c>
      <c r="AJ342" s="306">
        <f t="shared" si="271"/>
        <v>0</v>
      </c>
      <c r="AK342" s="306">
        <f t="shared" ref="AK342:AK405" si="302">IF($A342=1,AE342,0)</f>
        <v>0</v>
      </c>
      <c r="AL342" s="306">
        <f t="shared" si="272"/>
        <v>0</v>
      </c>
      <c r="AM342" s="306">
        <f t="shared" ref="AM342:AM405" si="303">IF($A342=4,$AE342,0)</f>
        <v>0</v>
      </c>
      <c r="AN342" s="304">
        <f>KcSplint!$N371</f>
        <v>1.1979780649908871</v>
      </c>
      <c r="AO342" s="304" t="str">
        <f t="shared" ref="AO342:AO405" si="304">IF($A342=1,$AC$9,IF($A342=2,$AP341+$AD$9,IF($A342=3,$AC$10,IF($A342=4,$AP341+$AD$11,""))))</f>
        <v/>
      </c>
      <c r="AP342" s="304" t="str">
        <f t="shared" si="273"/>
        <v/>
      </c>
      <c r="AQ342" s="305" t="e">
        <f t="shared" si="282"/>
        <v>#N/A</v>
      </c>
      <c r="AR342" s="304" t="str">
        <f t="shared" si="283"/>
        <v/>
      </c>
      <c r="AS342" s="306">
        <f t="shared" ref="AS342:AS405" si="305">IF(OR(AND(L$3=4,E342&gt;366),AND(L$3=2,E342&gt;366)),0,IF(AR342="",0,AS341+AR342))</f>
        <v>0</v>
      </c>
      <c r="AT342" s="307" t="e">
        <f t="shared" si="284"/>
        <v>#N/A</v>
      </c>
      <c r="AU342" s="307" t="e">
        <f t="shared" si="285"/>
        <v>#N/A</v>
      </c>
      <c r="AV342" s="304">
        <f t="shared" ref="AV342:AV396" si="306">IF(I342&lt;0,0,I342)</f>
        <v>0.16215468248416967</v>
      </c>
      <c r="AW342" s="309">
        <f t="shared" ref="AW342:AW405" si="307">IF(AV342="",0,IF(AY342=1,AV342,AW341+AV342))</f>
        <v>1.8079781650062183</v>
      </c>
      <c r="AX342" s="306">
        <f>IF(ISERROR(Weather!M326),#N/A,Weather!M326)</f>
        <v>0.2</v>
      </c>
      <c r="AY342" s="310">
        <f t="shared" ref="AY342:AY405" si="308">IF(AV342="",0,IF(AX342&gt;2*AV342,1,AY341+1))</f>
        <v>5</v>
      </c>
      <c r="AZ342" s="309">
        <f t="shared" ref="AZ342:AZ405" si="309">IF(2.725*$AW342^-0.516&gt;1.2,1.2,2.725*$AW342^-0.516)</f>
        <v>1.2</v>
      </c>
      <c r="BA342" s="309">
        <f t="shared" ref="BA342:BA405" si="310">IF($AV342="",0,IF(BC342=1,$AV342,BA341+$AV342))</f>
        <v>245.93006790803585</v>
      </c>
      <c r="BB342" s="311">
        <f>Irrig!H344</f>
        <v>0</v>
      </c>
      <c r="BC342" s="310">
        <f t="shared" ref="BC342:BC405" si="311">IF(A342=0,0,IF(BB342="",0,IF(BB342&gt;2*AV342,1,IF(A341=0,2,BC341+1))))</f>
        <v>0</v>
      </c>
      <c r="BD342" s="309">
        <f t="shared" ref="BD342:BD405" si="312">IF($A342=0,0,IF(2.725*$BA342^-0.516&gt;1.2,IF($A341=0,$Q342,1.2),IF($A341=0,$Q342,2.725*$BA342^-0.516)))</f>
        <v>0</v>
      </c>
      <c r="BE342" s="309">
        <f t="shared" ref="BE342:BE405" si="313">(BE$18/100)*BD342</f>
        <v>0</v>
      </c>
      <c r="BF342" s="306">
        <f>DailyMet!H325</f>
        <v>6.85</v>
      </c>
      <c r="BG342" s="306">
        <f>DailyMet!I325</f>
        <v>2.2000000000000002</v>
      </c>
      <c r="BH342" s="306">
        <f t="shared" ref="BH342:BH405" si="314">IF(BF342&gt;$V$3,$V$3,BF342)</f>
        <v>6.85</v>
      </c>
      <c r="BI342" s="306">
        <f t="shared" ref="BI342:BI405" si="315">IF(BG342&lt;$V$4,$V$4,BG342)</f>
        <v>10</v>
      </c>
      <c r="BJ342" s="306">
        <f t="shared" ref="BJ342:BJ405" si="316">(BH342+BI342)/2-V$4</f>
        <v>-1.5749999999999993</v>
      </c>
      <c r="BK342" s="306">
        <f t="shared" si="286"/>
        <v>0</v>
      </c>
      <c r="BL342" s="304">
        <f t="shared" ref="BL342:BL405" si="317">IF($BG342&gt;$V$3,($BG342+$BF342)/2-$V$3,IF($BF342&gt;$V$3,($BF342-$V$3)^2/(2*($BF342-$BG342)),0))</f>
        <v>0</v>
      </c>
      <c r="BM342" s="304">
        <f t="shared" ref="BM342:BM405" si="318">IF($BG342&gt;$V$4,($BG342+$BF342)/2-$V$4,IF($BF342&gt;$V$4,($BF342-$V$4)^2/(2*($BF342-$BG342)),0))</f>
        <v>0</v>
      </c>
      <c r="BN342" s="304">
        <f t="shared" si="279"/>
        <v>0</v>
      </c>
      <c r="BO342" s="306">
        <f t="shared" si="280"/>
        <v>0</v>
      </c>
      <c r="BP342" s="306"/>
    </row>
    <row r="343" spans="1:68">
      <c r="A343" s="299">
        <f t="shared" si="287"/>
        <v>0</v>
      </c>
      <c r="B343" s="300">
        <f t="shared" si="288"/>
        <v>38308</v>
      </c>
      <c r="C343" s="301" t="e">
        <f t="shared" ref="C343:C406" si="319">VLOOKUP(B343,$L$8:$R$12,7,FALSE)</f>
        <v>#N/A</v>
      </c>
      <c r="D343" s="301" t="e">
        <f t="shared" si="289"/>
        <v>#N/A</v>
      </c>
      <c r="E343" s="299">
        <f t="shared" si="290"/>
        <v>322</v>
      </c>
      <c r="F343" s="396">
        <f>Weather!M327</f>
        <v>0</v>
      </c>
      <c r="G343" s="301">
        <f>IF(Weather!C327="","",Weather!C327)</f>
        <v>0.41509755997297038</v>
      </c>
      <c r="H343" s="301">
        <f>IF(Weather!D327="","",Weather!D327)</f>
        <v>0.28050565731507188</v>
      </c>
      <c r="I343" s="502">
        <f>IF(Weather!E327="","",Weather!E327)</f>
        <v>0.28050565731507188</v>
      </c>
      <c r="J343" s="397">
        <f>IF(RnSplint!N371&lt;0,0,RnSplint!N371)</f>
        <v>29.89352489480796</v>
      </c>
      <c r="K343" s="302">
        <f t="shared" ref="K343:K406" si="320">IF(AND($B343&gt;=L$8,$B343&lt;=L$9),Z$9,IF(AND($B343&gt;L$9,$B343&lt;=L$10),N342+AA$9,IF(AND($B343&gt;L$10,$B343&lt;=L$11),N342+AA$10,IF(AND($B343&gt;L$11,$B343&lt;=L$12),N342+AA$11,0))))</f>
        <v>0</v>
      </c>
      <c r="L343" s="303">
        <f t="shared" ref="L343:L406" si="321">B343</f>
        <v>38308</v>
      </c>
      <c r="M343" s="346" t="str">
        <f t="shared" si="291"/>
        <v/>
      </c>
      <c r="N343" s="304">
        <f t="shared" ref="N343:N406" si="322">K343</f>
        <v>0</v>
      </c>
      <c r="O343" s="304">
        <f t="shared" ref="O343:O406" si="323">IF($L$3&lt;3,0,IF($R$3=E343,R$2,IF($R$4=E342,0,IF($R$5=E343,R$2,IF($R$6=E342,0,O342)))))</f>
        <v>0</v>
      </c>
      <c r="P343" s="304">
        <f t="shared" si="292"/>
        <v>0</v>
      </c>
      <c r="Q343" s="304">
        <f t="shared" si="293"/>
        <v>1.2</v>
      </c>
      <c r="R343" s="304">
        <f t="shared" si="294"/>
        <v>1.2</v>
      </c>
      <c r="S343" s="305" t="e">
        <f t="shared" ref="S343:S406" si="324">IF(N343=0,#N/A,R343)</f>
        <v>#N/A</v>
      </c>
      <c r="T343" s="304">
        <f t="shared" si="295"/>
        <v>0</v>
      </c>
      <c r="U343" s="304">
        <f t="shared" si="278"/>
        <v>0</v>
      </c>
      <c r="V343" s="305" t="e">
        <f t="shared" si="296"/>
        <v>#N/A</v>
      </c>
      <c r="W343" s="305" t="e">
        <f t="shared" ref="W343:W406" si="325">IF(OR(P343=0,P343=""),#N/A,P343)</f>
        <v>#N/A</v>
      </c>
      <c r="X343" s="304">
        <f t="shared" ref="X343:X406" si="326">IF(R343&gt;U343,R343,U343)</f>
        <v>1.2</v>
      </c>
      <c r="Z343" s="304" t="str">
        <f t="shared" si="297"/>
        <v/>
      </c>
      <c r="AA343" s="305" t="e">
        <f t="shared" si="298"/>
        <v>#N/A</v>
      </c>
      <c r="AB343" s="304">
        <f t="shared" si="299"/>
        <v>0.33660678877808625</v>
      </c>
      <c r="AC343" s="304" t="str">
        <f t="shared" ref="AC343:AC406" si="327">IF($A343=4,$X343,"")</f>
        <v/>
      </c>
      <c r="AD343" s="306">
        <f t="shared" si="300"/>
        <v>0</v>
      </c>
      <c r="AE343" s="307">
        <f t="shared" ref="AE343:AE406" si="328">IF(AB343="",#N/A,AB343)</f>
        <v>0.33660678877808625</v>
      </c>
      <c r="AF343" s="308" t="e">
        <f t="shared" si="281"/>
        <v>#N/A</v>
      </c>
      <c r="AG343" s="306">
        <f t="shared" ref="AG343:AG406" si="329">AG342+$I343</f>
        <v>673.59880717545491</v>
      </c>
      <c r="AH343" s="306">
        <f t="shared" si="301"/>
        <v>0</v>
      </c>
      <c r="AI343" s="306">
        <f t="shared" ref="AI343:AI406" si="330">IF($A343=3,I343,0)</f>
        <v>0</v>
      </c>
      <c r="AJ343" s="306">
        <f t="shared" ref="AJ343:AJ406" si="331">IF($A343=4,$I343,0)</f>
        <v>0</v>
      </c>
      <c r="AK343" s="306">
        <f t="shared" si="302"/>
        <v>0</v>
      </c>
      <c r="AL343" s="306">
        <f t="shared" ref="AL343:AL406" si="332">IF($A343=3,AE343,0)</f>
        <v>0</v>
      </c>
      <c r="AM343" s="306">
        <f t="shared" si="303"/>
        <v>0</v>
      </c>
      <c r="AN343" s="304">
        <f>KcSplint!$N372</f>
        <v>1.2004557931759863</v>
      </c>
      <c r="AO343" s="304" t="str">
        <f t="shared" si="304"/>
        <v/>
      </c>
      <c r="AP343" s="304" t="str">
        <f t="shared" ref="AP343:AP406" si="333">IF(OR($L$3=2,$L$3=4),AN343,AO343)</f>
        <v/>
      </c>
      <c r="AQ343" s="305" t="e">
        <f t="shared" si="282"/>
        <v>#N/A</v>
      </c>
      <c r="AR343" s="304" t="str">
        <f t="shared" si="283"/>
        <v/>
      </c>
      <c r="AS343" s="306">
        <f t="shared" si="305"/>
        <v>0</v>
      </c>
      <c r="AT343" s="307" t="e">
        <f t="shared" si="284"/>
        <v>#N/A</v>
      </c>
      <c r="AU343" s="307" t="e">
        <f t="shared" si="285"/>
        <v>#N/A</v>
      </c>
      <c r="AV343" s="304">
        <f t="shared" si="306"/>
        <v>0.28050565731507188</v>
      </c>
      <c r="AW343" s="309">
        <f t="shared" si="307"/>
        <v>2.0884838223212903</v>
      </c>
      <c r="AX343" s="306">
        <f>IF(ISERROR(Weather!M327),#N/A,Weather!M327)</f>
        <v>0</v>
      </c>
      <c r="AY343" s="310">
        <f t="shared" si="308"/>
        <v>6</v>
      </c>
      <c r="AZ343" s="309">
        <f t="shared" si="309"/>
        <v>1.2</v>
      </c>
      <c r="BA343" s="309">
        <f t="shared" si="310"/>
        <v>246.21057356535093</v>
      </c>
      <c r="BB343" s="311">
        <f>Irrig!H345</f>
        <v>0</v>
      </c>
      <c r="BC343" s="310">
        <f t="shared" si="311"/>
        <v>0</v>
      </c>
      <c r="BD343" s="309">
        <f t="shared" si="312"/>
        <v>0</v>
      </c>
      <c r="BE343" s="309">
        <f t="shared" si="313"/>
        <v>0</v>
      </c>
      <c r="BF343" s="306">
        <f>DailyMet!H326</f>
        <v>8.4600000000000009</v>
      </c>
      <c r="BG343" s="306">
        <f>DailyMet!I326</f>
        <v>7</v>
      </c>
      <c r="BH343" s="306">
        <f t="shared" si="314"/>
        <v>8.4600000000000009</v>
      </c>
      <c r="BI343" s="306">
        <f t="shared" si="315"/>
        <v>10</v>
      </c>
      <c r="BJ343" s="306">
        <f t="shared" si="316"/>
        <v>-0.76999999999999957</v>
      </c>
      <c r="BK343" s="306">
        <f t="shared" si="286"/>
        <v>0</v>
      </c>
      <c r="BL343" s="304">
        <f t="shared" si="317"/>
        <v>0</v>
      </c>
      <c r="BM343" s="304">
        <f t="shared" si="318"/>
        <v>0</v>
      </c>
      <c r="BN343" s="304">
        <f t="shared" si="279"/>
        <v>0</v>
      </c>
      <c r="BO343" s="306">
        <f t="shared" si="280"/>
        <v>0</v>
      </c>
      <c r="BP343" s="306"/>
    </row>
    <row r="344" spans="1:68">
      <c r="A344" s="299">
        <f t="shared" si="287"/>
        <v>0</v>
      </c>
      <c r="B344" s="300">
        <f t="shared" si="288"/>
        <v>38309</v>
      </c>
      <c r="C344" s="301" t="e">
        <f t="shared" si="319"/>
        <v>#N/A</v>
      </c>
      <c r="D344" s="301" t="e">
        <f t="shared" si="289"/>
        <v>#N/A</v>
      </c>
      <c r="E344" s="299">
        <f t="shared" si="290"/>
        <v>323</v>
      </c>
      <c r="F344" s="396">
        <f>Weather!M328</f>
        <v>0</v>
      </c>
      <c r="G344" s="301">
        <f>IF(Weather!C328="","",Weather!C328)</f>
        <v>0.40259612845213005</v>
      </c>
      <c r="H344" s="301">
        <f>IF(Weather!D328="","",Weather!D328)</f>
        <v>0.39071399091212361</v>
      </c>
      <c r="I344" s="502">
        <f>IF(Weather!E328="","",Weather!E328)</f>
        <v>0.39071399091212361</v>
      </c>
      <c r="J344" s="397">
        <f>IF(RnSplint!N372&lt;0,0,RnSplint!N372)</f>
        <v>29.716311053207423</v>
      </c>
      <c r="K344" s="302">
        <f t="shared" si="320"/>
        <v>0</v>
      </c>
      <c r="L344" s="303">
        <f t="shared" si="321"/>
        <v>38309</v>
      </c>
      <c r="M344" s="346" t="str">
        <f t="shared" si="291"/>
        <v/>
      </c>
      <c r="N344" s="304">
        <f t="shared" si="322"/>
        <v>0</v>
      </c>
      <c r="O344" s="304">
        <f t="shared" si="323"/>
        <v>0</v>
      </c>
      <c r="P344" s="304">
        <f t="shared" si="292"/>
        <v>0</v>
      </c>
      <c r="Q344" s="304">
        <f t="shared" si="293"/>
        <v>1.2</v>
      </c>
      <c r="R344" s="304">
        <f t="shared" si="294"/>
        <v>1.2</v>
      </c>
      <c r="S344" s="305" t="e">
        <f t="shared" si="324"/>
        <v>#N/A</v>
      </c>
      <c r="T344" s="304">
        <f t="shared" si="295"/>
        <v>0</v>
      </c>
      <c r="U344" s="304">
        <f t="shared" ref="U344:U407" si="334">IF(T344&gt;P344,T344,P344)</f>
        <v>0</v>
      </c>
      <c r="V344" s="305" t="e">
        <f t="shared" si="296"/>
        <v>#N/A</v>
      </c>
      <c r="W344" s="305" t="e">
        <f t="shared" si="325"/>
        <v>#N/A</v>
      </c>
      <c r="X344" s="304">
        <f t="shared" si="326"/>
        <v>1.2</v>
      </c>
      <c r="Z344" s="304" t="str">
        <f t="shared" si="297"/>
        <v/>
      </c>
      <c r="AA344" s="305" t="e">
        <f t="shared" si="298"/>
        <v>#N/A</v>
      </c>
      <c r="AB344" s="304">
        <f t="shared" si="299"/>
        <v>0.46885678909454831</v>
      </c>
      <c r="AC344" s="304" t="str">
        <f t="shared" si="327"/>
        <v/>
      </c>
      <c r="AD344" s="306">
        <f t="shared" si="300"/>
        <v>0</v>
      </c>
      <c r="AE344" s="307">
        <f t="shared" si="328"/>
        <v>0.46885678909454831</v>
      </c>
      <c r="AF344" s="308" t="e">
        <f t="shared" si="281"/>
        <v>#N/A</v>
      </c>
      <c r="AG344" s="306">
        <f t="shared" si="329"/>
        <v>673.98952116636701</v>
      </c>
      <c r="AH344" s="306">
        <f t="shared" si="301"/>
        <v>0</v>
      </c>
      <c r="AI344" s="306">
        <f t="shared" si="330"/>
        <v>0</v>
      </c>
      <c r="AJ344" s="306">
        <f t="shared" si="331"/>
        <v>0</v>
      </c>
      <c r="AK344" s="306">
        <f t="shared" si="302"/>
        <v>0</v>
      </c>
      <c r="AL344" s="306">
        <f t="shared" si="332"/>
        <v>0</v>
      </c>
      <c r="AM344" s="306">
        <f t="shared" si="303"/>
        <v>0</v>
      </c>
      <c r="AN344" s="304">
        <f>KcSplint!$N373</f>
        <v>1.2025462039590327</v>
      </c>
      <c r="AO344" s="304" t="str">
        <f t="shared" si="304"/>
        <v/>
      </c>
      <c r="AP344" s="304" t="str">
        <f t="shared" si="333"/>
        <v/>
      </c>
      <c r="AQ344" s="305" t="e">
        <f t="shared" si="282"/>
        <v>#N/A</v>
      </c>
      <c r="AR344" s="304" t="str">
        <f t="shared" si="283"/>
        <v/>
      </c>
      <c r="AS344" s="306">
        <f t="shared" si="305"/>
        <v>0</v>
      </c>
      <c r="AT344" s="307" t="e">
        <f t="shared" si="284"/>
        <v>#N/A</v>
      </c>
      <c r="AU344" s="307" t="e">
        <f t="shared" si="285"/>
        <v>#N/A</v>
      </c>
      <c r="AV344" s="304">
        <f t="shared" si="306"/>
        <v>0.39071399091212361</v>
      </c>
      <c r="AW344" s="309">
        <f t="shared" si="307"/>
        <v>2.479197813233414</v>
      </c>
      <c r="AX344" s="306">
        <f>IF(ISERROR(Weather!M328),#N/A,Weather!M328)</f>
        <v>0</v>
      </c>
      <c r="AY344" s="310">
        <f t="shared" si="308"/>
        <v>7</v>
      </c>
      <c r="AZ344" s="309">
        <f t="shared" si="309"/>
        <v>1.2</v>
      </c>
      <c r="BA344" s="309">
        <f t="shared" si="310"/>
        <v>246.60128755626306</v>
      </c>
      <c r="BB344" s="311">
        <f>Irrig!H346</f>
        <v>0</v>
      </c>
      <c r="BC344" s="310">
        <f t="shared" si="311"/>
        <v>0</v>
      </c>
      <c r="BD344" s="309">
        <f t="shared" si="312"/>
        <v>0</v>
      </c>
      <c r="BE344" s="309">
        <f t="shared" si="313"/>
        <v>0</v>
      </c>
      <c r="BF344" s="306">
        <f>DailyMet!H327</f>
        <v>8.6199999999999992</v>
      </c>
      <c r="BG344" s="306">
        <f>DailyMet!I327</f>
        <v>7.7</v>
      </c>
      <c r="BH344" s="306">
        <f t="shared" si="314"/>
        <v>8.6199999999999992</v>
      </c>
      <c r="BI344" s="306">
        <f t="shared" si="315"/>
        <v>10</v>
      </c>
      <c r="BJ344" s="306">
        <f t="shared" si="316"/>
        <v>-0.69000000000000128</v>
      </c>
      <c r="BK344" s="306">
        <f t="shared" si="286"/>
        <v>0</v>
      </c>
      <c r="BL344" s="304">
        <f t="shared" si="317"/>
        <v>0</v>
      </c>
      <c r="BM344" s="304">
        <f t="shared" si="318"/>
        <v>0</v>
      </c>
      <c r="BN344" s="304">
        <f t="shared" ref="BN344:BN407" si="335">BM344-BL344</f>
        <v>0</v>
      </c>
      <c r="BO344" s="306">
        <f t="shared" ref="BO344:BO407" si="336">IF(AP344="",0,BO343+BN344)</f>
        <v>0</v>
      </c>
      <c r="BP344" s="306"/>
    </row>
    <row r="345" spans="1:68">
      <c r="A345" s="299">
        <f t="shared" si="287"/>
        <v>0</v>
      </c>
      <c r="B345" s="300">
        <f t="shared" si="288"/>
        <v>38310</v>
      </c>
      <c r="C345" s="301" t="e">
        <f t="shared" si="319"/>
        <v>#N/A</v>
      </c>
      <c r="D345" s="301" t="e">
        <f t="shared" si="289"/>
        <v>#N/A</v>
      </c>
      <c r="E345" s="299">
        <f t="shared" si="290"/>
        <v>324</v>
      </c>
      <c r="F345" s="396">
        <f>Weather!M329</f>
        <v>4.4000000000000004</v>
      </c>
      <c r="G345" s="301">
        <f>IF(Weather!C329="","",Weather!C329)</f>
        <v>0.3904443830506103</v>
      </c>
      <c r="H345" s="301">
        <f>IF(Weather!D329="","",Weather!D329)</f>
        <v>0.47570645343186002</v>
      </c>
      <c r="I345" s="502">
        <f>IF(Weather!E329="","",Weather!E329)</f>
        <v>0.47570645343186002</v>
      </c>
      <c r="J345" s="397">
        <f>IF(RnSplint!N373&lt;0,0,RnSplint!N373)</f>
        <v>29.464169830866499</v>
      </c>
      <c r="K345" s="302">
        <f t="shared" si="320"/>
        <v>0</v>
      </c>
      <c r="L345" s="303">
        <f t="shared" si="321"/>
        <v>38310</v>
      </c>
      <c r="M345" s="346" t="str">
        <f t="shared" si="291"/>
        <v/>
      </c>
      <c r="N345" s="304">
        <f t="shared" si="322"/>
        <v>0</v>
      </c>
      <c r="O345" s="304">
        <f t="shared" si="323"/>
        <v>0</v>
      </c>
      <c r="P345" s="304">
        <f t="shared" si="292"/>
        <v>0</v>
      </c>
      <c r="Q345" s="304">
        <f t="shared" si="293"/>
        <v>1.2</v>
      </c>
      <c r="R345" s="304">
        <f t="shared" si="294"/>
        <v>1.2</v>
      </c>
      <c r="S345" s="305" t="e">
        <f t="shared" si="324"/>
        <v>#N/A</v>
      </c>
      <c r="T345" s="304">
        <f t="shared" si="295"/>
        <v>0</v>
      </c>
      <c r="U345" s="304">
        <f t="shared" si="334"/>
        <v>0</v>
      </c>
      <c r="V345" s="305" t="e">
        <f t="shared" si="296"/>
        <v>#N/A</v>
      </c>
      <c r="W345" s="305" t="e">
        <f t="shared" si="325"/>
        <v>#N/A</v>
      </c>
      <c r="X345" s="304">
        <f t="shared" si="326"/>
        <v>1.2</v>
      </c>
      <c r="Z345" s="304" t="str">
        <f t="shared" si="297"/>
        <v/>
      </c>
      <c r="AA345" s="305" t="e">
        <f t="shared" si="298"/>
        <v>#N/A</v>
      </c>
      <c r="AB345" s="304">
        <f t="shared" si="299"/>
        <v>0.57084774411823203</v>
      </c>
      <c r="AC345" s="304" t="str">
        <f t="shared" si="327"/>
        <v/>
      </c>
      <c r="AD345" s="306">
        <f t="shared" si="300"/>
        <v>0</v>
      </c>
      <c r="AE345" s="307">
        <f t="shared" si="328"/>
        <v>0.57084774411823203</v>
      </c>
      <c r="AF345" s="308" t="e">
        <f t="shared" si="281"/>
        <v>#N/A</v>
      </c>
      <c r="AG345" s="306">
        <f t="shared" si="329"/>
        <v>674.46522761979884</v>
      </c>
      <c r="AH345" s="306">
        <f t="shared" si="301"/>
        <v>0</v>
      </c>
      <c r="AI345" s="306">
        <f t="shared" si="330"/>
        <v>0</v>
      </c>
      <c r="AJ345" s="306">
        <f t="shared" si="331"/>
        <v>0</v>
      </c>
      <c r="AK345" s="306">
        <f t="shared" si="302"/>
        <v>0</v>
      </c>
      <c r="AL345" s="306">
        <f t="shared" si="332"/>
        <v>0</v>
      </c>
      <c r="AM345" s="306">
        <f t="shared" si="303"/>
        <v>0</v>
      </c>
      <c r="AN345" s="304">
        <f>KcSplint!$N374</f>
        <v>1.2042732214459031</v>
      </c>
      <c r="AO345" s="304" t="str">
        <f t="shared" si="304"/>
        <v/>
      </c>
      <c r="AP345" s="304" t="str">
        <f t="shared" si="333"/>
        <v/>
      </c>
      <c r="AQ345" s="305" t="e">
        <f t="shared" si="282"/>
        <v>#N/A</v>
      </c>
      <c r="AR345" s="304" t="str">
        <f t="shared" si="283"/>
        <v/>
      </c>
      <c r="AS345" s="306">
        <f t="shared" si="305"/>
        <v>0</v>
      </c>
      <c r="AT345" s="307" t="e">
        <f t="shared" si="284"/>
        <v>#N/A</v>
      </c>
      <c r="AU345" s="307" t="e">
        <f t="shared" si="285"/>
        <v>#N/A</v>
      </c>
      <c r="AV345" s="304">
        <f t="shared" si="306"/>
        <v>0.47570645343186002</v>
      </c>
      <c r="AW345" s="309">
        <f t="shared" si="307"/>
        <v>0.47570645343186002</v>
      </c>
      <c r="AX345" s="306">
        <f>IF(ISERROR(Weather!M329),#N/A,Weather!M329)</f>
        <v>4.4000000000000004</v>
      </c>
      <c r="AY345" s="310">
        <f t="shared" si="308"/>
        <v>1</v>
      </c>
      <c r="AZ345" s="309">
        <f t="shared" si="309"/>
        <v>1.2</v>
      </c>
      <c r="BA345" s="309">
        <f t="shared" si="310"/>
        <v>247.07699400969491</v>
      </c>
      <c r="BB345" s="311">
        <f>Irrig!H347</f>
        <v>0</v>
      </c>
      <c r="BC345" s="310">
        <f t="shared" si="311"/>
        <v>0</v>
      </c>
      <c r="BD345" s="309">
        <f t="shared" si="312"/>
        <v>0</v>
      </c>
      <c r="BE345" s="309">
        <f t="shared" si="313"/>
        <v>0</v>
      </c>
      <c r="BF345" s="306">
        <f>DailyMet!H328</f>
        <v>8.31</v>
      </c>
      <c r="BG345" s="306">
        <f>DailyMet!I328</f>
        <v>7.9</v>
      </c>
      <c r="BH345" s="306">
        <f t="shared" si="314"/>
        <v>8.31</v>
      </c>
      <c r="BI345" s="306">
        <f t="shared" si="315"/>
        <v>10</v>
      </c>
      <c r="BJ345" s="306">
        <f t="shared" si="316"/>
        <v>-0.84499999999999886</v>
      </c>
      <c r="BK345" s="306">
        <f t="shared" si="286"/>
        <v>0</v>
      </c>
      <c r="BL345" s="304">
        <f t="shared" si="317"/>
        <v>0</v>
      </c>
      <c r="BM345" s="304">
        <f t="shared" si="318"/>
        <v>0</v>
      </c>
      <c r="BN345" s="304">
        <f t="shared" si="335"/>
        <v>0</v>
      </c>
      <c r="BO345" s="306">
        <f t="shared" si="336"/>
        <v>0</v>
      </c>
      <c r="BP345" s="306"/>
    </row>
    <row r="346" spans="1:68">
      <c r="A346" s="299">
        <f t="shared" si="287"/>
        <v>0</v>
      </c>
      <c r="B346" s="300">
        <f t="shared" si="288"/>
        <v>38311</v>
      </c>
      <c r="C346" s="301" t="e">
        <f t="shared" si="319"/>
        <v>#N/A</v>
      </c>
      <c r="D346" s="301" t="e">
        <f t="shared" si="289"/>
        <v>#N/A</v>
      </c>
      <c r="E346" s="299">
        <f t="shared" si="290"/>
        <v>325</v>
      </c>
      <c r="F346" s="396">
        <f>Weather!M330</f>
        <v>0</v>
      </c>
      <c r="G346" s="301">
        <f>IF(Weather!C330="","",Weather!C330)</f>
        <v>0.37864431539681281</v>
      </c>
      <c r="H346" s="301">
        <f>IF(Weather!D330="","",Weather!D330)</f>
        <v>0.31239412896784557</v>
      </c>
      <c r="I346" s="502">
        <f>IF(Weather!E330="","",Weather!E330)</f>
        <v>0.31239412896784557</v>
      </c>
      <c r="J346" s="397">
        <f>IF(RnSplint!N374&lt;0,0,RnSplint!N374)</f>
        <v>29.142893836732149</v>
      </c>
      <c r="K346" s="302">
        <f t="shared" si="320"/>
        <v>0</v>
      </c>
      <c r="L346" s="303">
        <f t="shared" si="321"/>
        <v>38311</v>
      </c>
      <c r="M346" s="346" t="str">
        <f t="shared" si="291"/>
        <v/>
      </c>
      <c r="N346" s="304">
        <f t="shared" si="322"/>
        <v>0</v>
      </c>
      <c r="O346" s="304">
        <f t="shared" si="323"/>
        <v>0</v>
      </c>
      <c r="P346" s="304">
        <f t="shared" si="292"/>
        <v>0</v>
      </c>
      <c r="Q346" s="304">
        <f t="shared" si="293"/>
        <v>1.2</v>
      </c>
      <c r="R346" s="304">
        <f t="shared" si="294"/>
        <v>1.2</v>
      </c>
      <c r="S346" s="305" t="e">
        <f t="shared" si="324"/>
        <v>#N/A</v>
      </c>
      <c r="T346" s="304">
        <f t="shared" si="295"/>
        <v>0</v>
      </c>
      <c r="U346" s="304">
        <f t="shared" si="334"/>
        <v>0</v>
      </c>
      <c r="V346" s="305" t="e">
        <f t="shared" si="296"/>
        <v>#N/A</v>
      </c>
      <c r="W346" s="305" t="e">
        <f t="shared" si="325"/>
        <v>#N/A</v>
      </c>
      <c r="X346" s="304">
        <f t="shared" si="326"/>
        <v>1.2</v>
      </c>
      <c r="Z346" s="304" t="str">
        <f t="shared" si="297"/>
        <v/>
      </c>
      <c r="AA346" s="305" t="e">
        <f t="shared" si="298"/>
        <v>#N/A</v>
      </c>
      <c r="AB346" s="304">
        <f t="shared" si="299"/>
        <v>0.37487295476141469</v>
      </c>
      <c r="AC346" s="304" t="str">
        <f t="shared" si="327"/>
        <v/>
      </c>
      <c r="AD346" s="306">
        <f t="shared" si="300"/>
        <v>0</v>
      </c>
      <c r="AE346" s="307">
        <f t="shared" si="328"/>
        <v>0.37487295476141469</v>
      </c>
      <c r="AF346" s="308" t="e">
        <f t="shared" si="281"/>
        <v>#N/A</v>
      </c>
      <c r="AG346" s="306">
        <f t="shared" si="329"/>
        <v>674.77762174876671</v>
      </c>
      <c r="AH346" s="306">
        <f t="shared" si="301"/>
        <v>0</v>
      </c>
      <c r="AI346" s="306">
        <f t="shared" si="330"/>
        <v>0</v>
      </c>
      <c r="AJ346" s="306">
        <f t="shared" si="331"/>
        <v>0</v>
      </c>
      <c r="AK346" s="306">
        <f t="shared" si="302"/>
        <v>0</v>
      </c>
      <c r="AL346" s="306">
        <f t="shared" si="332"/>
        <v>0</v>
      </c>
      <c r="AM346" s="306">
        <f t="shared" si="303"/>
        <v>0</v>
      </c>
      <c r="AN346" s="304">
        <f>KcSplint!$N375</f>
        <v>1.2056607697424748</v>
      </c>
      <c r="AO346" s="304" t="str">
        <f t="shared" si="304"/>
        <v/>
      </c>
      <c r="AP346" s="304" t="str">
        <f t="shared" si="333"/>
        <v/>
      </c>
      <c r="AQ346" s="305" t="e">
        <f t="shared" si="282"/>
        <v>#N/A</v>
      </c>
      <c r="AR346" s="304" t="str">
        <f t="shared" si="283"/>
        <v/>
      </c>
      <c r="AS346" s="306">
        <f t="shared" si="305"/>
        <v>0</v>
      </c>
      <c r="AT346" s="307" t="e">
        <f t="shared" si="284"/>
        <v>#N/A</v>
      </c>
      <c r="AU346" s="307" t="e">
        <f t="shared" si="285"/>
        <v>#N/A</v>
      </c>
      <c r="AV346" s="304">
        <f t="shared" si="306"/>
        <v>0.31239412896784557</v>
      </c>
      <c r="AW346" s="309">
        <f t="shared" si="307"/>
        <v>0.7881005823997056</v>
      </c>
      <c r="AX346" s="306">
        <f>IF(ISERROR(Weather!M330),#N/A,Weather!M330)</f>
        <v>0</v>
      </c>
      <c r="AY346" s="310">
        <f t="shared" si="308"/>
        <v>2</v>
      </c>
      <c r="AZ346" s="309">
        <f t="shared" si="309"/>
        <v>1.2</v>
      </c>
      <c r="BA346" s="309">
        <f t="shared" si="310"/>
        <v>247.38938813866275</v>
      </c>
      <c r="BB346" s="311">
        <f>Irrig!H348</f>
        <v>0</v>
      </c>
      <c r="BC346" s="310">
        <f t="shared" si="311"/>
        <v>0</v>
      </c>
      <c r="BD346" s="309">
        <f t="shared" si="312"/>
        <v>0</v>
      </c>
      <c r="BE346" s="309">
        <f t="shared" si="313"/>
        <v>0</v>
      </c>
      <c r="BF346" s="306">
        <f>DailyMet!H329</f>
        <v>9.2799999999999994</v>
      </c>
      <c r="BG346" s="306">
        <f>DailyMet!I329</f>
        <v>5.9</v>
      </c>
      <c r="BH346" s="306">
        <f t="shared" si="314"/>
        <v>9.2799999999999994</v>
      </c>
      <c r="BI346" s="306">
        <f t="shared" si="315"/>
        <v>10</v>
      </c>
      <c r="BJ346" s="306">
        <f t="shared" si="316"/>
        <v>-0.35999999999999943</v>
      </c>
      <c r="BK346" s="306">
        <f t="shared" si="286"/>
        <v>0</v>
      </c>
      <c r="BL346" s="304">
        <f t="shared" si="317"/>
        <v>0</v>
      </c>
      <c r="BM346" s="304">
        <f t="shared" si="318"/>
        <v>0</v>
      </c>
      <c r="BN346" s="304">
        <f t="shared" si="335"/>
        <v>0</v>
      </c>
      <c r="BO346" s="306">
        <f t="shared" si="336"/>
        <v>0</v>
      </c>
      <c r="BP346" s="306"/>
    </row>
    <row r="347" spans="1:68">
      <c r="A347" s="299">
        <f t="shared" si="287"/>
        <v>0</v>
      </c>
      <c r="B347" s="300">
        <f t="shared" si="288"/>
        <v>38312</v>
      </c>
      <c r="C347" s="301" t="e">
        <f t="shared" si="319"/>
        <v>#N/A</v>
      </c>
      <c r="D347" s="301" t="e">
        <f t="shared" si="289"/>
        <v>#N/A</v>
      </c>
      <c r="E347" s="299">
        <f t="shared" si="290"/>
        <v>326</v>
      </c>
      <c r="F347" s="396">
        <f>Weather!M331</f>
        <v>0.2</v>
      </c>
      <c r="G347" s="301">
        <f>IF(Weather!C331="","",Weather!C331)</f>
        <v>0.36719791711913896</v>
      </c>
      <c r="H347" s="301">
        <f>IF(Weather!D331="","",Weather!D331)</f>
        <v>0.35500467658846468</v>
      </c>
      <c r="I347" s="502">
        <f>IF(Weather!E331="","",Weather!E331)</f>
        <v>0.35500467658846468</v>
      </c>
      <c r="J347" s="397">
        <f>IF(RnSplint!N375&lt;0,0,RnSplint!N375)</f>
        <v>28.758275679751332</v>
      </c>
      <c r="K347" s="302">
        <f t="shared" si="320"/>
        <v>0</v>
      </c>
      <c r="L347" s="303">
        <f t="shared" si="321"/>
        <v>38312</v>
      </c>
      <c r="M347" s="346" t="str">
        <f t="shared" si="291"/>
        <v/>
      </c>
      <c r="N347" s="304">
        <f t="shared" si="322"/>
        <v>0</v>
      </c>
      <c r="O347" s="304">
        <f t="shared" si="323"/>
        <v>0</v>
      </c>
      <c r="P347" s="304">
        <f t="shared" si="292"/>
        <v>0</v>
      </c>
      <c r="Q347" s="304">
        <f t="shared" si="293"/>
        <v>1.2</v>
      </c>
      <c r="R347" s="304">
        <f t="shared" si="294"/>
        <v>1.2</v>
      </c>
      <c r="S347" s="305" t="e">
        <f t="shared" si="324"/>
        <v>#N/A</v>
      </c>
      <c r="T347" s="304">
        <f t="shared" si="295"/>
        <v>0</v>
      </c>
      <c r="U347" s="304">
        <f t="shared" si="334"/>
        <v>0</v>
      </c>
      <c r="V347" s="305" t="e">
        <f t="shared" si="296"/>
        <v>#N/A</v>
      </c>
      <c r="W347" s="305" t="e">
        <f t="shared" si="325"/>
        <v>#N/A</v>
      </c>
      <c r="X347" s="304">
        <f t="shared" si="326"/>
        <v>1.2</v>
      </c>
      <c r="Z347" s="304" t="str">
        <f t="shared" si="297"/>
        <v/>
      </c>
      <c r="AA347" s="305" t="e">
        <f t="shared" si="298"/>
        <v>#N/A</v>
      </c>
      <c r="AB347" s="304">
        <f t="shared" si="299"/>
        <v>0.4260056119061576</v>
      </c>
      <c r="AC347" s="304" t="str">
        <f t="shared" si="327"/>
        <v/>
      </c>
      <c r="AD347" s="306">
        <f t="shared" si="300"/>
        <v>0</v>
      </c>
      <c r="AE347" s="307">
        <f t="shared" si="328"/>
        <v>0.4260056119061576</v>
      </c>
      <c r="AF347" s="308" t="e">
        <f t="shared" si="281"/>
        <v>#N/A</v>
      </c>
      <c r="AG347" s="306">
        <f t="shared" si="329"/>
        <v>675.13262642535517</v>
      </c>
      <c r="AH347" s="306">
        <f t="shared" si="301"/>
        <v>0</v>
      </c>
      <c r="AI347" s="306">
        <f t="shared" si="330"/>
        <v>0</v>
      </c>
      <c r="AJ347" s="306">
        <f t="shared" si="331"/>
        <v>0</v>
      </c>
      <c r="AK347" s="306">
        <f t="shared" si="302"/>
        <v>0</v>
      </c>
      <c r="AL347" s="306">
        <f t="shared" si="332"/>
        <v>0</v>
      </c>
      <c r="AM347" s="306">
        <f t="shared" si="303"/>
        <v>0</v>
      </c>
      <c r="AN347" s="304">
        <f>KcSplint!$N376</f>
        <v>1.2067327729546251</v>
      </c>
      <c r="AO347" s="304" t="str">
        <f t="shared" si="304"/>
        <v/>
      </c>
      <c r="AP347" s="304" t="str">
        <f t="shared" si="333"/>
        <v/>
      </c>
      <c r="AQ347" s="305" t="e">
        <f t="shared" si="282"/>
        <v>#N/A</v>
      </c>
      <c r="AR347" s="304" t="str">
        <f t="shared" si="283"/>
        <v/>
      </c>
      <c r="AS347" s="306">
        <f t="shared" si="305"/>
        <v>0</v>
      </c>
      <c r="AT347" s="307" t="e">
        <f t="shared" si="284"/>
        <v>#N/A</v>
      </c>
      <c r="AU347" s="307" t="e">
        <f t="shared" si="285"/>
        <v>#N/A</v>
      </c>
      <c r="AV347" s="304">
        <f t="shared" si="306"/>
        <v>0.35500467658846468</v>
      </c>
      <c r="AW347" s="309">
        <f t="shared" si="307"/>
        <v>1.1431052589881703</v>
      </c>
      <c r="AX347" s="306">
        <f>IF(ISERROR(Weather!M331),#N/A,Weather!M331)</f>
        <v>0.2</v>
      </c>
      <c r="AY347" s="310">
        <f t="shared" si="308"/>
        <v>3</v>
      </c>
      <c r="AZ347" s="309">
        <f t="shared" si="309"/>
        <v>1.2</v>
      </c>
      <c r="BA347" s="309">
        <f t="shared" si="310"/>
        <v>247.74439281525122</v>
      </c>
      <c r="BB347" s="311">
        <f>Irrig!H349</f>
        <v>0</v>
      </c>
      <c r="BC347" s="310">
        <f t="shared" si="311"/>
        <v>0</v>
      </c>
      <c r="BD347" s="309">
        <f t="shared" si="312"/>
        <v>0</v>
      </c>
      <c r="BE347" s="309">
        <f t="shared" si="313"/>
        <v>0</v>
      </c>
      <c r="BF347" s="306">
        <f>DailyMet!H330</f>
        <v>8.1300000000000008</v>
      </c>
      <c r="BG347" s="306">
        <f>DailyMet!I330</f>
        <v>4.2</v>
      </c>
      <c r="BH347" s="306">
        <f t="shared" si="314"/>
        <v>8.1300000000000008</v>
      </c>
      <c r="BI347" s="306">
        <f t="shared" si="315"/>
        <v>10</v>
      </c>
      <c r="BJ347" s="306">
        <f t="shared" si="316"/>
        <v>-0.93499999999999872</v>
      </c>
      <c r="BK347" s="306">
        <f t="shared" si="286"/>
        <v>0</v>
      </c>
      <c r="BL347" s="304">
        <f t="shared" si="317"/>
        <v>0</v>
      </c>
      <c r="BM347" s="304">
        <f t="shared" si="318"/>
        <v>0</v>
      </c>
      <c r="BN347" s="304">
        <f t="shared" si="335"/>
        <v>0</v>
      </c>
      <c r="BO347" s="306">
        <f t="shared" si="336"/>
        <v>0</v>
      </c>
      <c r="BP347" s="306"/>
    </row>
    <row r="348" spans="1:68">
      <c r="A348" s="299">
        <f t="shared" si="287"/>
        <v>0</v>
      </c>
      <c r="B348" s="300">
        <f t="shared" si="288"/>
        <v>38313</v>
      </c>
      <c r="C348" s="301" t="e">
        <f t="shared" si="319"/>
        <v>#N/A</v>
      </c>
      <c r="D348" s="301" t="e">
        <f t="shared" si="289"/>
        <v>#N/A</v>
      </c>
      <c r="E348" s="299">
        <f t="shared" si="290"/>
        <v>327</v>
      </c>
      <c r="F348" s="396">
        <f>Weather!M332</f>
        <v>0.2</v>
      </c>
      <c r="G348" s="301">
        <f>IF(Weather!C332="","",Weather!C332)</f>
        <v>0.35610717984599033</v>
      </c>
      <c r="H348" s="301">
        <f>IF(Weather!D332="","",Weather!D332)</f>
        <v>0.385946676829446</v>
      </c>
      <c r="I348" s="502">
        <f>IF(Weather!E332="","",Weather!E332)</f>
        <v>0.385946676829446</v>
      </c>
      <c r="J348" s="397">
        <f>IF(RnSplint!N376&lt;0,0,RnSplint!N376)</f>
        <v>28.31610796887102</v>
      </c>
      <c r="K348" s="302">
        <f t="shared" si="320"/>
        <v>0</v>
      </c>
      <c r="L348" s="303">
        <f t="shared" si="321"/>
        <v>38313</v>
      </c>
      <c r="M348" s="346" t="str">
        <f t="shared" si="291"/>
        <v/>
      </c>
      <c r="N348" s="304">
        <f t="shared" si="322"/>
        <v>0</v>
      </c>
      <c r="O348" s="304">
        <f t="shared" si="323"/>
        <v>0</v>
      </c>
      <c r="P348" s="304">
        <f t="shared" si="292"/>
        <v>0</v>
      </c>
      <c r="Q348" s="304">
        <f t="shared" si="293"/>
        <v>1.2</v>
      </c>
      <c r="R348" s="304">
        <f t="shared" si="294"/>
        <v>1.2</v>
      </c>
      <c r="S348" s="305" t="e">
        <f t="shared" si="324"/>
        <v>#N/A</v>
      </c>
      <c r="T348" s="304">
        <f t="shared" si="295"/>
        <v>0</v>
      </c>
      <c r="U348" s="304">
        <f t="shared" si="334"/>
        <v>0</v>
      </c>
      <c r="V348" s="305" t="e">
        <f t="shared" si="296"/>
        <v>#N/A</v>
      </c>
      <c r="W348" s="305" t="e">
        <f t="shared" si="325"/>
        <v>#N/A</v>
      </c>
      <c r="X348" s="304">
        <f t="shared" si="326"/>
        <v>1.2</v>
      </c>
      <c r="Z348" s="304" t="str">
        <f t="shared" si="297"/>
        <v/>
      </c>
      <c r="AA348" s="305" t="e">
        <f t="shared" si="298"/>
        <v>#N/A</v>
      </c>
      <c r="AB348" s="304">
        <f t="shared" si="299"/>
        <v>0.46313601219533518</v>
      </c>
      <c r="AC348" s="304" t="str">
        <f t="shared" si="327"/>
        <v/>
      </c>
      <c r="AD348" s="306">
        <f t="shared" si="300"/>
        <v>0</v>
      </c>
      <c r="AE348" s="307">
        <f t="shared" si="328"/>
        <v>0.46313601219533518</v>
      </c>
      <c r="AF348" s="308" t="e">
        <f t="shared" si="281"/>
        <v>#N/A</v>
      </c>
      <c r="AG348" s="306">
        <f t="shared" si="329"/>
        <v>675.51857310218463</v>
      </c>
      <c r="AH348" s="306">
        <f t="shared" si="301"/>
        <v>0</v>
      </c>
      <c r="AI348" s="306">
        <f t="shared" si="330"/>
        <v>0</v>
      </c>
      <c r="AJ348" s="306">
        <f t="shared" si="331"/>
        <v>0</v>
      </c>
      <c r="AK348" s="306">
        <f t="shared" si="302"/>
        <v>0</v>
      </c>
      <c r="AL348" s="306">
        <f t="shared" si="332"/>
        <v>0</v>
      </c>
      <c r="AM348" s="306">
        <f t="shared" si="303"/>
        <v>0</v>
      </c>
      <c r="AN348" s="304">
        <f>KcSplint!$N377</f>
        <v>1.2075131551882305</v>
      </c>
      <c r="AO348" s="304" t="str">
        <f t="shared" si="304"/>
        <v/>
      </c>
      <c r="AP348" s="304" t="str">
        <f t="shared" si="333"/>
        <v/>
      </c>
      <c r="AQ348" s="305" t="e">
        <f t="shared" si="282"/>
        <v>#N/A</v>
      </c>
      <c r="AR348" s="304" t="str">
        <f t="shared" si="283"/>
        <v/>
      </c>
      <c r="AS348" s="306">
        <f t="shared" si="305"/>
        <v>0</v>
      </c>
      <c r="AT348" s="307" t="e">
        <f t="shared" si="284"/>
        <v>#N/A</v>
      </c>
      <c r="AU348" s="307" t="e">
        <f t="shared" si="285"/>
        <v>#N/A</v>
      </c>
      <c r="AV348" s="304">
        <f t="shared" si="306"/>
        <v>0.385946676829446</v>
      </c>
      <c r="AW348" s="309">
        <f t="shared" si="307"/>
        <v>1.5290519358176162</v>
      </c>
      <c r="AX348" s="306">
        <f>IF(ISERROR(Weather!M332),#N/A,Weather!M332)</f>
        <v>0.2</v>
      </c>
      <c r="AY348" s="310">
        <f t="shared" si="308"/>
        <v>4</v>
      </c>
      <c r="AZ348" s="309">
        <f t="shared" si="309"/>
        <v>1.2</v>
      </c>
      <c r="BA348" s="309">
        <f t="shared" si="310"/>
        <v>248.13033949208065</v>
      </c>
      <c r="BB348" s="311">
        <f>Irrig!H350</f>
        <v>0</v>
      </c>
      <c r="BC348" s="310">
        <f t="shared" si="311"/>
        <v>0</v>
      </c>
      <c r="BD348" s="309">
        <f t="shared" si="312"/>
        <v>0</v>
      </c>
      <c r="BE348" s="309">
        <f t="shared" si="313"/>
        <v>0</v>
      </c>
      <c r="BF348" s="306">
        <f>DailyMet!H331</f>
        <v>8.73</v>
      </c>
      <c r="BG348" s="306">
        <f>DailyMet!I331</f>
        <v>6.3</v>
      </c>
      <c r="BH348" s="306">
        <f t="shared" si="314"/>
        <v>8.73</v>
      </c>
      <c r="BI348" s="306">
        <f t="shared" si="315"/>
        <v>10</v>
      </c>
      <c r="BJ348" s="306">
        <f t="shared" si="316"/>
        <v>-0.63499999999999979</v>
      </c>
      <c r="BK348" s="306">
        <f t="shared" si="286"/>
        <v>0</v>
      </c>
      <c r="BL348" s="304">
        <f t="shared" si="317"/>
        <v>0</v>
      </c>
      <c r="BM348" s="304">
        <f t="shared" si="318"/>
        <v>0</v>
      </c>
      <c r="BN348" s="304">
        <f t="shared" si="335"/>
        <v>0</v>
      </c>
      <c r="BO348" s="306">
        <f t="shared" si="336"/>
        <v>0</v>
      </c>
      <c r="BP348" s="306"/>
    </row>
    <row r="349" spans="1:68">
      <c r="A349" s="299">
        <f t="shared" si="287"/>
        <v>0</v>
      </c>
      <c r="B349" s="300">
        <f t="shared" si="288"/>
        <v>38314</v>
      </c>
      <c r="C349" s="301" t="e">
        <f t="shared" si="319"/>
        <v>#N/A</v>
      </c>
      <c r="D349" s="301" t="e">
        <f t="shared" si="289"/>
        <v>#N/A</v>
      </c>
      <c r="E349" s="299">
        <f t="shared" si="290"/>
        <v>328</v>
      </c>
      <c r="F349" s="396">
        <f>Weather!M333</f>
        <v>5.4</v>
      </c>
      <c r="G349" s="301">
        <f>IF(Weather!C333="","",Weather!C333)</f>
        <v>0.34537409520576845</v>
      </c>
      <c r="H349" s="301">
        <f>IF(Weather!D333="","",Weather!D333)</f>
        <v>0.27860676970378567</v>
      </c>
      <c r="I349" s="502">
        <f>IF(Weather!E333="","",Weather!E333)</f>
        <v>0.27860676970378567</v>
      </c>
      <c r="J349" s="397">
        <f>IF(RnSplint!N377&lt;0,0,RnSplint!N377)</f>
        <v>27.82218331303817</v>
      </c>
      <c r="K349" s="302">
        <f t="shared" si="320"/>
        <v>0</v>
      </c>
      <c r="L349" s="303">
        <f t="shared" si="321"/>
        <v>38314</v>
      </c>
      <c r="M349" s="346" t="str">
        <f t="shared" si="291"/>
        <v/>
      </c>
      <c r="N349" s="304">
        <f t="shared" si="322"/>
        <v>0</v>
      </c>
      <c r="O349" s="304">
        <f t="shared" si="323"/>
        <v>0</v>
      </c>
      <c r="P349" s="304">
        <f t="shared" si="292"/>
        <v>0</v>
      </c>
      <c r="Q349" s="304">
        <f t="shared" si="293"/>
        <v>1.2</v>
      </c>
      <c r="R349" s="304">
        <f t="shared" si="294"/>
        <v>1.2</v>
      </c>
      <c r="S349" s="305" t="e">
        <f t="shared" si="324"/>
        <v>#N/A</v>
      </c>
      <c r="T349" s="304">
        <f t="shared" si="295"/>
        <v>0</v>
      </c>
      <c r="U349" s="304">
        <f t="shared" si="334"/>
        <v>0</v>
      </c>
      <c r="V349" s="305" t="e">
        <f t="shared" si="296"/>
        <v>#N/A</v>
      </c>
      <c r="W349" s="305" t="e">
        <f t="shared" si="325"/>
        <v>#N/A</v>
      </c>
      <c r="X349" s="304">
        <f t="shared" si="326"/>
        <v>1.2</v>
      </c>
      <c r="Z349" s="304" t="str">
        <f t="shared" si="297"/>
        <v/>
      </c>
      <c r="AA349" s="305" t="e">
        <f t="shared" si="298"/>
        <v>#N/A</v>
      </c>
      <c r="AB349" s="304">
        <f t="shared" si="299"/>
        <v>0.33432812364454279</v>
      </c>
      <c r="AC349" s="304" t="str">
        <f t="shared" si="327"/>
        <v/>
      </c>
      <c r="AD349" s="306">
        <f t="shared" si="300"/>
        <v>0</v>
      </c>
      <c r="AE349" s="307">
        <f t="shared" si="328"/>
        <v>0.33432812364454279</v>
      </c>
      <c r="AF349" s="308" t="e">
        <f t="shared" si="281"/>
        <v>#N/A</v>
      </c>
      <c r="AG349" s="306">
        <f t="shared" si="329"/>
        <v>675.79717987188837</v>
      </c>
      <c r="AH349" s="306">
        <f t="shared" si="301"/>
        <v>0</v>
      </c>
      <c r="AI349" s="306">
        <f t="shared" si="330"/>
        <v>0</v>
      </c>
      <c r="AJ349" s="306">
        <f t="shared" si="331"/>
        <v>0</v>
      </c>
      <c r="AK349" s="306">
        <f t="shared" si="302"/>
        <v>0</v>
      </c>
      <c r="AL349" s="306">
        <f t="shared" si="332"/>
        <v>0</v>
      </c>
      <c r="AM349" s="306">
        <f t="shared" si="303"/>
        <v>0</v>
      </c>
      <c r="AN349" s="304">
        <f>KcSplint!$N378</f>
        <v>1.2080258405491682</v>
      </c>
      <c r="AO349" s="304" t="str">
        <f t="shared" si="304"/>
        <v/>
      </c>
      <c r="AP349" s="304" t="str">
        <f t="shared" si="333"/>
        <v/>
      </c>
      <c r="AQ349" s="305" t="e">
        <f t="shared" si="282"/>
        <v>#N/A</v>
      </c>
      <c r="AR349" s="304" t="str">
        <f t="shared" si="283"/>
        <v/>
      </c>
      <c r="AS349" s="306">
        <f t="shared" si="305"/>
        <v>0</v>
      </c>
      <c r="AT349" s="307" t="e">
        <f t="shared" si="284"/>
        <v>#N/A</v>
      </c>
      <c r="AU349" s="307" t="e">
        <f t="shared" si="285"/>
        <v>#N/A</v>
      </c>
      <c r="AV349" s="304">
        <f t="shared" si="306"/>
        <v>0.27860676970378567</v>
      </c>
      <c r="AW349" s="309">
        <f t="shared" si="307"/>
        <v>0.27860676970378567</v>
      </c>
      <c r="AX349" s="306">
        <f>IF(ISERROR(Weather!M333),#N/A,Weather!M333)</f>
        <v>5.4</v>
      </c>
      <c r="AY349" s="310">
        <f t="shared" si="308"/>
        <v>1</v>
      </c>
      <c r="AZ349" s="309">
        <f t="shared" si="309"/>
        <v>1.2</v>
      </c>
      <c r="BA349" s="309">
        <f t="shared" si="310"/>
        <v>248.40894626178445</v>
      </c>
      <c r="BB349" s="311">
        <f>Irrig!H351</f>
        <v>0</v>
      </c>
      <c r="BC349" s="310">
        <f t="shared" si="311"/>
        <v>0</v>
      </c>
      <c r="BD349" s="309">
        <f t="shared" si="312"/>
        <v>0</v>
      </c>
      <c r="BE349" s="309">
        <f t="shared" si="313"/>
        <v>0</v>
      </c>
      <c r="BF349" s="306">
        <f>DailyMet!H332</f>
        <v>9.6999999999999993</v>
      </c>
      <c r="BG349" s="306">
        <f>DailyMet!I332</f>
        <v>6.8</v>
      </c>
      <c r="BH349" s="306">
        <f t="shared" si="314"/>
        <v>9.6999999999999993</v>
      </c>
      <c r="BI349" s="306">
        <f t="shared" si="315"/>
        <v>10</v>
      </c>
      <c r="BJ349" s="306">
        <f t="shared" si="316"/>
        <v>-0.15000000000000036</v>
      </c>
      <c r="BK349" s="306">
        <f t="shared" si="286"/>
        <v>0</v>
      </c>
      <c r="BL349" s="304">
        <f t="shared" si="317"/>
        <v>0</v>
      </c>
      <c r="BM349" s="304">
        <f t="shared" si="318"/>
        <v>0</v>
      </c>
      <c r="BN349" s="304">
        <f t="shared" si="335"/>
        <v>0</v>
      </c>
      <c r="BO349" s="306">
        <f t="shared" si="336"/>
        <v>0</v>
      </c>
      <c r="BP349" s="306"/>
    </row>
    <row r="350" spans="1:68">
      <c r="A350" s="299">
        <f t="shared" si="287"/>
        <v>0</v>
      </c>
      <c r="B350" s="300">
        <f t="shared" si="288"/>
        <v>38315</v>
      </c>
      <c r="C350" s="301" t="e">
        <f t="shared" si="319"/>
        <v>#N/A</v>
      </c>
      <c r="D350" s="301" t="e">
        <f t="shared" si="289"/>
        <v>#N/A</v>
      </c>
      <c r="E350" s="299">
        <f t="shared" si="290"/>
        <v>329</v>
      </c>
      <c r="F350" s="396">
        <f>Weather!M334</f>
        <v>0</v>
      </c>
      <c r="G350" s="301">
        <f>IF(Weather!C334="","",Weather!C334)</f>
        <v>0.33500065482687497</v>
      </c>
      <c r="H350" s="301">
        <f>IF(Weather!D334="","",Weather!D334)</f>
        <v>0.13927441647758435</v>
      </c>
      <c r="I350" s="502">
        <f>IF(Weather!E334="","",Weather!E334)</f>
        <v>0.13927441647758435</v>
      </c>
      <c r="J350" s="397">
        <f>IF(RnSplint!N378&lt;0,0,RnSplint!N378)</f>
        <v>27.282294321199753</v>
      </c>
      <c r="K350" s="302">
        <f t="shared" si="320"/>
        <v>0</v>
      </c>
      <c r="L350" s="303">
        <f t="shared" si="321"/>
        <v>38315</v>
      </c>
      <c r="M350" s="346" t="str">
        <f t="shared" si="291"/>
        <v/>
      </c>
      <c r="N350" s="304">
        <f t="shared" si="322"/>
        <v>0</v>
      </c>
      <c r="O350" s="304">
        <f t="shared" si="323"/>
        <v>0</v>
      </c>
      <c r="P350" s="304">
        <f t="shared" si="292"/>
        <v>0</v>
      </c>
      <c r="Q350" s="304">
        <f t="shared" si="293"/>
        <v>1.2</v>
      </c>
      <c r="R350" s="304">
        <f t="shared" si="294"/>
        <v>1.2</v>
      </c>
      <c r="S350" s="305" t="e">
        <f t="shared" si="324"/>
        <v>#N/A</v>
      </c>
      <c r="T350" s="304">
        <f t="shared" si="295"/>
        <v>0</v>
      </c>
      <c r="U350" s="304">
        <f t="shared" si="334"/>
        <v>0</v>
      </c>
      <c r="V350" s="305" t="e">
        <f t="shared" si="296"/>
        <v>#N/A</v>
      </c>
      <c r="W350" s="305" t="e">
        <f t="shared" si="325"/>
        <v>#N/A</v>
      </c>
      <c r="X350" s="304">
        <f t="shared" si="326"/>
        <v>1.2</v>
      </c>
      <c r="Z350" s="304" t="str">
        <f t="shared" si="297"/>
        <v/>
      </c>
      <c r="AA350" s="305" t="e">
        <f t="shared" si="298"/>
        <v>#N/A</v>
      </c>
      <c r="AB350" s="304">
        <f t="shared" si="299"/>
        <v>0.1671292997731012</v>
      </c>
      <c r="AC350" s="304" t="str">
        <f t="shared" si="327"/>
        <v/>
      </c>
      <c r="AD350" s="306">
        <f t="shared" si="300"/>
        <v>0</v>
      </c>
      <c r="AE350" s="307">
        <f t="shared" si="328"/>
        <v>0.1671292997731012</v>
      </c>
      <c r="AF350" s="308" t="e">
        <f t="shared" si="281"/>
        <v>#N/A</v>
      </c>
      <c r="AG350" s="306">
        <f t="shared" si="329"/>
        <v>675.93645428836601</v>
      </c>
      <c r="AH350" s="306">
        <f t="shared" si="301"/>
        <v>0</v>
      </c>
      <c r="AI350" s="306">
        <f t="shared" si="330"/>
        <v>0</v>
      </c>
      <c r="AJ350" s="306">
        <f t="shared" si="331"/>
        <v>0</v>
      </c>
      <c r="AK350" s="306">
        <f t="shared" si="302"/>
        <v>0</v>
      </c>
      <c r="AL350" s="306">
        <f t="shared" si="332"/>
        <v>0</v>
      </c>
      <c r="AM350" s="306">
        <f t="shared" si="303"/>
        <v>0</v>
      </c>
      <c r="AN350" s="304">
        <f>KcSplint!$N379</f>
        <v>1.208294753143315</v>
      </c>
      <c r="AO350" s="304" t="str">
        <f t="shared" si="304"/>
        <v/>
      </c>
      <c r="AP350" s="304" t="str">
        <f t="shared" si="333"/>
        <v/>
      </c>
      <c r="AQ350" s="305" t="e">
        <f t="shared" si="282"/>
        <v>#N/A</v>
      </c>
      <c r="AR350" s="304" t="str">
        <f t="shared" si="283"/>
        <v/>
      </c>
      <c r="AS350" s="306">
        <f t="shared" si="305"/>
        <v>0</v>
      </c>
      <c r="AT350" s="307" t="e">
        <f t="shared" si="284"/>
        <v>#N/A</v>
      </c>
      <c r="AU350" s="307" t="e">
        <f t="shared" si="285"/>
        <v>#N/A</v>
      </c>
      <c r="AV350" s="304">
        <f t="shared" si="306"/>
        <v>0.13927441647758435</v>
      </c>
      <c r="AW350" s="309">
        <f t="shared" si="307"/>
        <v>0.41788118618137005</v>
      </c>
      <c r="AX350" s="306">
        <f>IF(ISERROR(Weather!M334),#N/A,Weather!M334)</f>
        <v>0</v>
      </c>
      <c r="AY350" s="310">
        <f t="shared" si="308"/>
        <v>2</v>
      </c>
      <c r="AZ350" s="309">
        <f t="shared" si="309"/>
        <v>1.2</v>
      </c>
      <c r="BA350" s="309">
        <f t="shared" si="310"/>
        <v>248.54822067826203</v>
      </c>
      <c r="BB350" s="311">
        <f>Irrig!H352</f>
        <v>0</v>
      </c>
      <c r="BC350" s="310">
        <f t="shared" si="311"/>
        <v>0</v>
      </c>
      <c r="BD350" s="309">
        <f t="shared" si="312"/>
        <v>0</v>
      </c>
      <c r="BE350" s="309">
        <f t="shared" si="313"/>
        <v>0</v>
      </c>
      <c r="BF350" s="306">
        <f>DailyMet!H333</f>
        <v>9.76</v>
      </c>
      <c r="BG350" s="306">
        <f>DailyMet!I333</f>
        <v>7</v>
      </c>
      <c r="BH350" s="306">
        <f t="shared" si="314"/>
        <v>9.76</v>
      </c>
      <c r="BI350" s="306">
        <f t="shared" si="315"/>
        <v>10</v>
      </c>
      <c r="BJ350" s="306">
        <f t="shared" si="316"/>
        <v>-0.12000000000000099</v>
      </c>
      <c r="BK350" s="306">
        <f t="shared" si="286"/>
        <v>0</v>
      </c>
      <c r="BL350" s="304">
        <f t="shared" si="317"/>
        <v>0</v>
      </c>
      <c r="BM350" s="304">
        <f t="shared" si="318"/>
        <v>0</v>
      </c>
      <c r="BN350" s="304">
        <f t="shared" si="335"/>
        <v>0</v>
      </c>
      <c r="BO350" s="306">
        <f t="shared" si="336"/>
        <v>0</v>
      </c>
      <c r="BP350" s="306"/>
    </row>
    <row r="351" spans="1:68">
      <c r="A351" s="299">
        <f t="shared" si="287"/>
        <v>0</v>
      </c>
      <c r="B351" s="300">
        <f t="shared" si="288"/>
        <v>38316</v>
      </c>
      <c r="C351" s="301" t="e">
        <f t="shared" si="319"/>
        <v>#N/A</v>
      </c>
      <c r="D351" s="301" t="e">
        <f t="shared" si="289"/>
        <v>#N/A</v>
      </c>
      <c r="E351" s="299">
        <f t="shared" si="290"/>
        <v>330</v>
      </c>
      <c r="F351" s="396">
        <f>Weather!M335</f>
        <v>0</v>
      </c>
      <c r="G351" s="301">
        <f>IF(Weather!C335="","",Weather!C335)</f>
        <v>0.32498885033771119</v>
      </c>
      <c r="H351" s="301">
        <f>IF(Weather!D335="","",Weather!D335)</f>
        <v>0.36328911509493322</v>
      </c>
      <c r="I351" s="502">
        <f>IF(Weather!E335="","",Weather!E335)</f>
        <v>0.36328911509493322</v>
      </c>
      <c r="J351" s="397">
        <f>IF(RnSplint!N379&lt;0,0,RnSplint!N379)</f>
        <v>26.702233602302726</v>
      </c>
      <c r="K351" s="302">
        <f t="shared" si="320"/>
        <v>0</v>
      </c>
      <c r="L351" s="303">
        <f t="shared" si="321"/>
        <v>38316</v>
      </c>
      <c r="M351" s="346" t="str">
        <f t="shared" si="291"/>
        <v/>
      </c>
      <c r="N351" s="304">
        <f t="shared" si="322"/>
        <v>0</v>
      </c>
      <c r="O351" s="304">
        <f t="shared" si="323"/>
        <v>0</v>
      </c>
      <c r="P351" s="304">
        <f t="shared" si="292"/>
        <v>0</v>
      </c>
      <c r="Q351" s="304">
        <f t="shared" si="293"/>
        <v>1.2</v>
      </c>
      <c r="R351" s="304">
        <f t="shared" si="294"/>
        <v>1.2</v>
      </c>
      <c r="S351" s="305" t="e">
        <f t="shared" si="324"/>
        <v>#N/A</v>
      </c>
      <c r="T351" s="304">
        <f t="shared" si="295"/>
        <v>0</v>
      </c>
      <c r="U351" s="304">
        <f t="shared" si="334"/>
        <v>0</v>
      </c>
      <c r="V351" s="305" t="e">
        <f t="shared" si="296"/>
        <v>#N/A</v>
      </c>
      <c r="W351" s="305" t="e">
        <f t="shared" si="325"/>
        <v>#N/A</v>
      </c>
      <c r="X351" s="304">
        <f t="shared" si="326"/>
        <v>1.2</v>
      </c>
      <c r="Z351" s="304" t="str">
        <f t="shared" si="297"/>
        <v/>
      </c>
      <c r="AA351" s="305" t="e">
        <f t="shared" si="298"/>
        <v>#N/A</v>
      </c>
      <c r="AB351" s="304">
        <f t="shared" si="299"/>
        <v>0.43594693811391988</v>
      </c>
      <c r="AC351" s="304" t="str">
        <f t="shared" si="327"/>
        <v/>
      </c>
      <c r="AD351" s="306">
        <f t="shared" si="300"/>
        <v>0</v>
      </c>
      <c r="AE351" s="307">
        <f t="shared" si="328"/>
        <v>0.43594693811391988</v>
      </c>
      <c r="AF351" s="308" t="e">
        <f t="shared" si="281"/>
        <v>#N/A</v>
      </c>
      <c r="AG351" s="306">
        <f t="shared" si="329"/>
        <v>676.29974340346098</v>
      </c>
      <c r="AH351" s="306">
        <f t="shared" si="301"/>
        <v>0</v>
      </c>
      <c r="AI351" s="306">
        <f t="shared" si="330"/>
        <v>0</v>
      </c>
      <c r="AJ351" s="306">
        <f t="shared" si="331"/>
        <v>0</v>
      </c>
      <c r="AK351" s="306">
        <f t="shared" si="302"/>
        <v>0</v>
      </c>
      <c r="AL351" s="306">
        <f t="shared" si="332"/>
        <v>0</v>
      </c>
      <c r="AM351" s="306">
        <f t="shared" si="303"/>
        <v>0</v>
      </c>
      <c r="AN351" s="304">
        <f>KcSplint!$N380</f>
        <v>1.2083438170765488</v>
      </c>
      <c r="AO351" s="304" t="str">
        <f t="shared" si="304"/>
        <v/>
      </c>
      <c r="AP351" s="304" t="str">
        <f t="shared" si="333"/>
        <v/>
      </c>
      <c r="AQ351" s="305" t="e">
        <f t="shared" si="282"/>
        <v>#N/A</v>
      </c>
      <c r="AR351" s="304" t="str">
        <f t="shared" si="283"/>
        <v/>
      </c>
      <c r="AS351" s="306">
        <f t="shared" si="305"/>
        <v>0</v>
      </c>
      <c r="AT351" s="307" t="e">
        <f t="shared" si="284"/>
        <v>#N/A</v>
      </c>
      <c r="AU351" s="307" t="e">
        <f t="shared" si="285"/>
        <v>#N/A</v>
      </c>
      <c r="AV351" s="304">
        <f t="shared" si="306"/>
        <v>0.36328911509493322</v>
      </c>
      <c r="AW351" s="309">
        <f t="shared" si="307"/>
        <v>0.78117030127630327</v>
      </c>
      <c r="AX351" s="306">
        <f>IF(ISERROR(Weather!M335),#N/A,Weather!M335)</f>
        <v>0</v>
      </c>
      <c r="AY351" s="310">
        <f t="shared" si="308"/>
        <v>3</v>
      </c>
      <c r="AZ351" s="309">
        <f t="shared" si="309"/>
        <v>1.2</v>
      </c>
      <c r="BA351" s="309">
        <f t="shared" si="310"/>
        <v>248.91150979335697</v>
      </c>
      <c r="BB351" s="311">
        <f>Irrig!H353</f>
        <v>0</v>
      </c>
      <c r="BC351" s="310">
        <f t="shared" si="311"/>
        <v>0</v>
      </c>
      <c r="BD351" s="309">
        <f t="shared" si="312"/>
        <v>0</v>
      </c>
      <c r="BE351" s="309">
        <f t="shared" si="313"/>
        <v>0</v>
      </c>
      <c r="BF351" s="306">
        <f>DailyMet!H334</f>
        <v>10.6</v>
      </c>
      <c r="BG351" s="306">
        <f>DailyMet!I334</f>
        <v>8.6</v>
      </c>
      <c r="BH351" s="306">
        <f t="shared" si="314"/>
        <v>10.6</v>
      </c>
      <c r="BI351" s="306">
        <f t="shared" si="315"/>
        <v>10</v>
      </c>
      <c r="BJ351" s="306">
        <f t="shared" si="316"/>
        <v>0.30000000000000071</v>
      </c>
      <c r="BK351" s="306">
        <f t="shared" si="286"/>
        <v>0</v>
      </c>
      <c r="BL351" s="304">
        <f t="shared" si="317"/>
        <v>0</v>
      </c>
      <c r="BM351" s="304">
        <f t="shared" si="318"/>
        <v>8.99999999999999E-2</v>
      </c>
      <c r="BN351" s="304">
        <f t="shared" si="335"/>
        <v>8.99999999999999E-2</v>
      </c>
      <c r="BO351" s="306">
        <f t="shared" si="336"/>
        <v>0</v>
      </c>
      <c r="BP351" s="306"/>
    </row>
    <row r="352" spans="1:68">
      <c r="A352" s="299">
        <f t="shared" si="287"/>
        <v>0</v>
      </c>
      <c r="B352" s="300">
        <f t="shared" si="288"/>
        <v>38317</v>
      </c>
      <c r="C352" s="301" t="e">
        <f t="shared" si="319"/>
        <v>#N/A</v>
      </c>
      <c r="D352" s="301" t="e">
        <f t="shared" si="289"/>
        <v>#N/A</v>
      </c>
      <c r="E352" s="299">
        <f t="shared" si="290"/>
        <v>331</v>
      </c>
      <c r="F352" s="396">
        <f>Weather!M336</f>
        <v>0</v>
      </c>
      <c r="G352" s="301">
        <f>IF(Weather!C336="","",Weather!C336)</f>
        <v>0.31534067336667881</v>
      </c>
      <c r="H352" s="301">
        <f>IF(Weather!D336="","",Weather!D336)</f>
        <v>0.21044688790550653</v>
      </c>
      <c r="I352" s="502">
        <f>IF(Weather!E336="","",Weather!E336)</f>
        <v>0.21044688790550653</v>
      </c>
      <c r="J352" s="397">
        <f>IF(RnSplint!N380&lt;0,0,RnSplint!N380)</f>
        <v>26.087793765294059</v>
      </c>
      <c r="K352" s="302">
        <f t="shared" si="320"/>
        <v>0</v>
      </c>
      <c r="L352" s="303">
        <f t="shared" si="321"/>
        <v>38317</v>
      </c>
      <c r="M352" s="346" t="str">
        <f t="shared" si="291"/>
        <v/>
      </c>
      <c r="N352" s="304">
        <f t="shared" si="322"/>
        <v>0</v>
      </c>
      <c r="O352" s="304">
        <f t="shared" si="323"/>
        <v>0</v>
      </c>
      <c r="P352" s="304">
        <f t="shared" si="292"/>
        <v>0</v>
      </c>
      <c r="Q352" s="304">
        <f t="shared" si="293"/>
        <v>1.2</v>
      </c>
      <c r="R352" s="304">
        <f t="shared" si="294"/>
        <v>1.2</v>
      </c>
      <c r="S352" s="305" t="e">
        <f t="shared" si="324"/>
        <v>#N/A</v>
      </c>
      <c r="T352" s="304">
        <f t="shared" si="295"/>
        <v>0</v>
      </c>
      <c r="U352" s="304">
        <f t="shared" si="334"/>
        <v>0</v>
      </c>
      <c r="V352" s="305" t="e">
        <f t="shared" si="296"/>
        <v>#N/A</v>
      </c>
      <c r="W352" s="305" t="e">
        <f t="shared" si="325"/>
        <v>#N/A</v>
      </c>
      <c r="X352" s="304">
        <f t="shared" si="326"/>
        <v>1.2</v>
      </c>
      <c r="Z352" s="304" t="str">
        <f t="shared" si="297"/>
        <v/>
      </c>
      <c r="AA352" s="305" t="e">
        <f t="shared" si="298"/>
        <v>#N/A</v>
      </c>
      <c r="AB352" s="304">
        <f t="shared" si="299"/>
        <v>0.25253626548660785</v>
      </c>
      <c r="AC352" s="304" t="str">
        <f t="shared" si="327"/>
        <v/>
      </c>
      <c r="AD352" s="306">
        <f t="shared" si="300"/>
        <v>0</v>
      </c>
      <c r="AE352" s="307">
        <f t="shared" si="328"/>
        <v>0.25253626548660785</v>
      </c>
      <c r="AF352" s="308" t="e">
        <f t="shared" si="281"/>
        <v>#N/A</v>
      </c>
      <c r="AG352" s="306">
        <f t="shared" si="329"/>
        <v>676.51019029136648</v>
      </c>
      <c r="AH352" s="306">
        <f t="shared" si="301"/>
        <v>0</v>
      </c>
      <c r="AI352" s="306">
        <f t="shared" si="330"/>
        <v>0</v>
      </c>
      <c r="AJ352" s="306">
        <f t="shared" si="331"/>
        <v>0</v>
      </c>
      <c r="AK352" s="306">
        <f t="shared" si="302"/>
        <v>0</v>
      </c>
      <c r="AL352" s="306">
        <f t="shared" si="332"/>
        <v>0</v>
      </c>
      <c r="AM352" s="306">
        <f t="shared" si="303"/>
        <v>0</v>
      </c>
      <c r="AN352" s="304">
        <f>KcSplint!$N381</f>
        <v>1.2081969564547457</v>
      </c>
      <c r="AO352" s="304" t="str">
        <f t="shared" si="304"/>
        <v/>
      </c>
      <c r="AP352" s="304" t="str">
        <f t="shared" si="333"/>
        <v/>
      </c>
      <c r="AQ352" s="305" t="e">
        <f t="shared" si="282"/>
        <v>#N/A</v>
      </c>
      <c r="AR352" s="304" t="str">
        <f t="shared" si="283"/>
        <v/>
      </c>
      <c r="AS352" s="306">
        <f t="shared" si="305"/>
        <v>0</v>
      </c>
      <c r="AT352" s="307" t="e">
        <f t="shared" si="284"/>
        <v>#N/A</v>
      </c>
      <c r="AU352" s="307" t="e">
        <f t="shared" si="285"/>
        <v>#N/A</v>
      </c>
      <c r="AV352" s="304">
        <f t="shared" si="306"/>
        <v>0.21044688790550653</v>
      </c>
      <c r="AW352" s="309">
        <f t="shared" si="307"/>
        <v>0.99161718918180974</v>
      </c>
      <c r="AX352" s="306">
        <f>IF(ISERROR(Weather!M336),#N/A,Weather!M336)</f>
        <v>0</v>
      </c>
      <c r="AY352" s="310">
        <f t="shared" si="308"/>
        <v>4</v>
      </c>
      <c r="AZ352" s="309">
        <f t="shared" si="309"/>
        <v>1.2</v>
      </c>
      <c r="BA352" s="309">
        <f t="shared" si="310"/>
        <v>249.12195668126247</v>
      </c>
      <c r="BB352" s="311">
        <f>Irrig!H354</f>
        <v>0</v>
      </c>
      <c r="BC352" s="310">
        <f t="shared" si="311"/>
        <v>0</v>
      </c>
      <c r="BD352" s="309">
        <f t="shared" si="312"/>
        <v>0</v>
      </c>
      <c r="BE352" s="309">
        <f t="shared" si="313"/>
        <v>0</v>
      </c>
      <c r="BF352" s="306">
        <f>DailyMet!H335</f>
        <v>10.71</v>
      </c>
      <c r="BG352" s="306">
        <f>DailyMet!I335</f>
        <v>8.5</v>
      </c>
      <c r="BH352" s="306">
        <f t="shared" si="314"/>
        <v>10.71</v>
      </c>
      <c r="BI352" s="306">
        <f t="shared" si="315"/>
        <v>10</v>
      </c>
      <c r="BJ352" s="306">
        <f t="shared" si="316"/>
        <v>0.35500000000000043</v>
      </c>
      <c r="BK352" s="306">
        <f t="shared" si="286"/>
        <v>0</v>
      </c>
      <c r="BL352" s="304">
        <f t="shared" si="317"/>
        <v>0</v>
      </c>
      <c r="BM352" s="304">
        <f t="shared" si="318"/>
        <v>0.11404977375565634</v>
      </c>
      <c r="BN352" s="304">
        <f t="shared" si="335"/>
        <v>0.11404977375565634</v>
      </c>
      <c r="BO352" s="306">
        <f t="shared" si="336"/>
        <v>0</v>
      </c>
      <c r="BP352" s="306"/>
    </row>
    <row r="353" spans="1:68">
      <c r="A353" s="299">
        <f t="shared" si="287"/>
        <v>0</v>
      </c>
      <c r="B353" s="300">
        <f t="shared" si="288"/>
        <v>38318</v>
      </c>
      <c r="C353" s="301" t="e">
        <f t="shared" si="319"/>
        <v>#N/A</v>
      </c>
      <c r="D353" s="301" t="e">
        <f t="shared" si="289"/>
        <v>#N/A</v>
      </c>
      <c r="E353" s="299">
        <f t="shared" si="290"/>
        <v>332</v>
      </c>
      <c r="F353" s="396">
        <f>Weather!M337</f>
        <v>14.8</v>
      </c>
      <c r="G353" s="301">
        <f>IF(Weather!C337="","",Weather!C337)</f>
        <v>0.30605811554217943</v>
      </c>
      <c r="H353" s="301">
        <f>IF(Weather!D337="","",Weather!D337)</f>
        <v>0.29495653341181693</v>
      </c>
      <c r="I353" s="502">
        <f>IF(Weather!E337="","",Weather!E337)</f>
        <v>0.29495653341181693</v>
      </c>
      <c r="J353" s="397">
        <f>IF(RnSplint!N381&lt;0,0,RnSplint!N381)</f>
        <v>25.444767419120708</v>
      </c>
      <c r="K353" s="302">
        <f t="shared" si="320"/>
        <v>0</v>
      </c>
      <c r="L353" s="303">
        <f t="shared" si="321"/>
        <v>38318</v>
      </c>
      <c r="M353" s="346" t="str">
        <f t="shared" si="291"/>
        <v/>
      </c>
      <c r="N353" s="304">
        <f t="shared" si="322"/>
        <v>0</v>
      </c>
      <c r="O353" s="304">
        <f t="shared" si="323"/>
        <v>0</v>
      </c>
      <c r="P353" s="304">
        <f t="shared" si="292"/>
        <v>0</v>
      </c>
      <c r="Q353" s="304">
        <f t="shared" si="293"/>
        <v>1.2</v>
      </c>
      <c r="R353" s="304">
        <f t="shared" si="294"/>
        <v>1.2</v>
      </c>
      <c r="S353" s="305" t="e">
        <f t="shared" si="324"/>
        <v>#N/A</v>
      </c>
      <c r="T353" s="304">
        <f t="shared" si="295"/>
        <v>0</v>
      </c>
      <c r="U353" s="304">
        <f t="shared" si="334"/>
        <v>0</v>
      </c>
      <c r="V353" s="305" t="e">
        <f t="shared" si="296"/>
        <v>#N/A</v>
      </c>
      <c r="W353" s="305" t="e">
        <f t="shared" si="325"/>
        <v>#N/A</v>
      </c>
      <c r="X353" s="304">
        <f t="shared" si="326"/>
        <v>1.2</v>
      </c>
      <c r="Z353" s="304" t="str">
        <f t="shared" si="297"/>
        <v/>
      </c>
      <c r="AA353" s="305" t="e">
        <f t="shared" si="298"/>
        <v>#N/A</v>
      </c>
      <c r="AB353" s="304">
        <f t="shared" si="299"/>
        <v>0.35394784009418029</v>
      </c>
      <c r="AC353" s="304" t="str">
        <f t="shared" si="327"/>
        <v/>
      </c>
      <c r="AD353" s="306">
        <f t="shared" si="300"/>
        <v>0</v>
      </c>
      <c r="AE353" s="307">
        <f t="shared" si="328"/>
        <v>0.35394784009418029</v>
      </c>
      <c r="AF353" s="308" t="e">
        <f t="shared" si="281"/>
        <v>#N/A</v>
      </c>
      <c r="AG353" s="306">
        <f t="shared" si="329"/>
        <v>676.80514682477826</v>
      </c>
      <c r="AH353" s="306">
        <f t="shared" si="301"/>
        <v>0</v>
      </c>
      <c r="AI353" s="306">
        <f t="shared" si="330"/>
        <v>0</v>
      </c>
      <c r="AJ353" s="306">
        <f t="shared" si="331"/>
        <v>0</v>
      </c>
      <c r="AK353" s="306">
        <f t="shared" si="302"/>
        <v>0</v>
      </c>
      <c r="AL353" s="306">
        <f t="shared" si="332"/>
        <v>0</v>
      </c>
      <c r="AM353" s="306">
        <f t="shared" si="303"/>
        <v>0</v>
      </c>
      <c r="AN353" s="304">
        <f>KcSplint!$N382</f>
        <v>1.2078780953837831</v>
      </c>
      <c r="AO353" s="304" t="str">
        <f t="shared" si="304"/>
        <v/>
      </c>
      <c r="AP353" s="304" t="str">
        <f t="shared" si="333"/>
        <v/>
      </c>
      <c r="AQ353" s="305" t="e">
        <f t="shared" si="282"/>
        <v>#N/A</v>
      </c>
      <c r="AR353" s="304" t="str">
        <f t="shared" si="283"/>
        <v/>
      </c>
      <c r="AS353" s="306">
        <f t="shared" si="305"/>
        <v>0</v>
      </c>
      <c r="AT353" s="307" t="e">
        <f t="shared" si="284"/>
        <v>#N/A</v>
      </c>
      <c r="AU353" s="307" t="e">
        <f t="shared" si="285"/>
        <v>#N/A</v>
      </c>
      <c r="AV353" s="304">
        <f t="shared" si="306"/>
        <v>0.29495653341181693</v>
      </c>
      <c r="AW353" s="309">
        <f t="shared" si="307"/>
        <v>0.29495653341181693</v>
      </c>
      <c r="AX353" s="306">
        <f>IF(ISERROR(Weather!M337),#N/A,Weather!M337)</f>
        <v>14.8</v>
      </c>
      <c r="AY353" s="310">
        <f t="shared" si="308"/>
        <v>1</v>
      </c>
      <c r="AZ353" s="309">
        <f t="shared" si="309"/>
        <v>1.2</v>
      </c>
      <c r="BA353" s="309">
        <f t="shared" si="310"/>
        <v>249.41691321467428</v>
      </c>
      <c r="BB353" s="311">
        <f>Irrig!H355</f>
        <v>0</v>
      </c>
      <c r="BC353" s="310">
        <f t="shared" si="311"/>
        <v>0</v>
      </c>
      <c r="BD353" s="309">
        <f t="shared" si="312"/>
        <v>0</v>
      </c>
      <c r="BE353" s="309">
        <f t="shared" si="313"/>
        <v>0</v>
      </c>
      <c r="BF353" s="306">
        <f>DailyMet!H336</f>
        <v>10.5</v>
      </c>
      <c r="BG353" s="306">
        <f>DailyMet!I336</f>
        <v>8.3000000000000007</v>
      </c>
      <c r="BH353" s="306">
        <f t="shared" si="314"/>
        <v>10.5</v>
      </c>
      <c r="BI353" s="306">
        <f t="shared" si="315"/>
        <v>10</v>
      </c>
      <c r="BJ353" s="306">
        <f t="shared" si="316"/>
        <v>0.25</v>
      </c>
      <c r="BK353" s="306">
        <f t="shared" si="286"/>
        <v>0</v>
      </c>
      <c r="BL353" s="304">
        <f t="shared" si="317"/>
        <v>0</v>
      </c>
      <c r="BM353" s="304">
        <f t="shared" si="318"/>
        <v>5.6818181818181837E-2</v>
      </c>
      <c r="BN353" s="304">
        <f t="shared" si="335"/>
        <v>5.6818181818181837E-2</v>
      </c>
      <c r="BO353" s="306">
        <f t="shared" si="336"/>
        <v>0</v>
      </c>
      <c r="BP353" s="306"/>
    </row>
    <row r="354" spans="1:68">
      <c r="A354" s="299">
        <f t="shared" si="287"/>
        <v>0</v>
      </c>
      <c r="B354" s="300">
        <f t="shared" si="288"/>
        <v>38319</v>
      </c>
      <c r="C354" s="301" t="e">
        <f t="shared" si="319"/>
        <v>#N/A</v>
      </c>
      <c r="D354" s="301" t="e">
        <f t="shared" si="289"/>
        <v>#N/A</v>
      </c>
      <c r="E354" s="299">
        <f t="shared" si="290"/>
        <v>333</v>
      </c>
      <c r="F354" s="396">
        <f>Weather!M338</f>
        <v>29.4</v>
      </c>
      <c r="G354" s="301">
        <f>IF(Weather!C338="","",Weather!C338)</f>
        <v>0.29714316849261441</v>
      </c>
      <c r="H354" s="301">
        <f>IF(Weather!D338="","",Weather!D338)</f>
        <v>0.42152958426195597</v>
      </c>
      <c r="I354" s="502">
        <f>IF(Weather!E338="","",Weather!E338)</f>
        <v>0.42152958426195597</v>
      </c>
      <c r="J354" s="397">
        <f>IF(RnSplint!N382&lt;0,0,RnSplint!N382)</f>
        <v>24.778947172729648</v>
      </c>
      <c r="K354" s="302">
        <f t="shared" si="320"/>
        <v>0</v>
      </c>
      <c r="L354" s="303">
        <f t="shared" si="321"/>
        <v>38319</v>
      </c>
      <c r="M354" s="346" t="str">
        <f t="shared" si="291"/>
        <v/>
      </c>
      <c r="N354" s="304">
        <f t="shared" si="322"/>
        <v>0</v>
      </c>
      <c r="O354" s="304">
        <f t="shared" si="323"/>
        <v>0</v>
      </c>
      <c r="P354" s="304">
        <f t="shared" si="292"/>
        <v>0</v>
      </c>
      <c r="Q354" s="304">
        <f t="shared" si="293"/>
        <v>1.2</v>
      </c>
      <c r="R354" s="304">
        <f t="shared" si="294"/>
        <v>1.2</v>
      </c>
      <c r="S354" s="305" t="e">
        <f t="shared" si="324"/>
        <v>#N/A</v>
      </c>
      <c r="T354" s="304">
        <f t="shared" si="295"/>
        <v>0</v>
      </c>
      <c r="U354" s="304">
        <f t="shared" si="334"/>
        <v>0</v>
      </c>
      <c r="V354" s="305" t="e">
        <f t="shared" si="296"/>
        <v>#N/A</v>
      </c>
      <c r="W354" s="305" t="e">
        <f t="shared" si="325"/>
        <v>#N/A</v>
      </c>
      <c r="X354" s="304">
        <f t="shared" si="326"/>
        <v>1.2</v>
      </c>
      <c r="Z354" s="304" t="str">
        <f t="shared" si="297"/>
        <v/>
      </c>
      <c r="AA354" s="305" t="e">
        <f t="shared" si="298"/>
        <v>#N/A</v>
      </c>
      <c r="AB354" s="304">
        <f t="shared" si="299"/>
        <v>0.50583550111434716</v>
      </c>
      <c r="AC354" s="304" t="str">
        <f t="shared" si="327"/>
        <v/>
      </c>
      <c r="AD354" s="306">
        <f t="shared" si="300"/>
        <v>0</v>
      </c>
      <c r="AE354" s="307">
        <f t="shared" si="328"/>
        <v>0.50583550111434716</v>
      </c>
      <c r="AF354" s="308" t="e">
        <f t="shared" si="281"/>
        <v>#N/A</v>
      </c>
      <c r="AG354" s="306">
        <f t="shared" si="329"/>
        <v>677.22667640904024</v>
      </c>
      <c r="AH354" s="306">
        <f t="shared" si="301"/>
        <v>0</v>
      </c>
      <c r="AI354" s="306">
        <f t="shared" si="330"/>
        <v>0</v>
      </c>
      <c r="AJ354" s="306">
        <f t="shared" si="331"/>
        <v>0</v>
      </c>
      <c r="AK354" s="306">
        <f t="shared" si="302"/>
        <v>0</v>
      </c>
      <c r="AL354" s="306">
        <f t="shared" si="332"/>
        <v>0</v>
      </c>
      <c r="AM354" s="306">
        <f t="shared" si="303"/>
        <v>0</v>
      </c>
      <c r="AN354" s="304">
        <f>KcSplint!$N383</f>
        <v>1.2074111579695379</v>
      </c>
      <c r="AO354" s="304" t="str">
        <f t="shared" si="304"/>
        <v/>
      </c>
      <c r="AP354" s="304" t="str">
        <f t="shared" si="333"/>
        <v/>
      </c>
      <c r="AQ354" s="305" t="e">
        <f t="shared" si="282"/>
        <v>#N/A</v>
      </c>
      <c r="AR354" s="304" t="str">
        <f t="shared" si="283"/>
        <v/>
      </c>
      <c r="AS354" s="306">
        <f t="shared" si="305"/>
        <v>0</v>
      </c>
      <c r="AT354" s="307" t="e">
        <f t="shared" si="284"/>
        <v>#N/A</v>
      </c>
      <c r="AU354" s="307" t="e">
        <f t="shared" si="285"/>
        <v>#N/A</v>
      </c>
      <c r="AV354" s="304">
        <f t="shared" si="306"/>
        <v>0.42152958426195597</v>
      </c>
      <c r="AW354" s="309">
        <f t="shared" si="307"/>
        <v>0.42152958426195597</v>
      </c>
      <c r="AX354" s="306">
        <f>IF(ISERROR(Weather!M338),#N/A,Weather!M338)</f>
        <v>29.4</v>
      </c>
      <c r="AY354" s="310">
        <f t="shared" si="308"/>
        <v>1</v>
      </c>
      <c r="AZ354" s="309">
        <f t="shared" si="309"/>
        <v>1.2</v>
      </c>
      <c r="BA354" s="309">
        <f t="shared" si="310"/>
        <v>249.83844279893623</v>
      </c>
      <c r="BB354" s="311">
        <f>Irrig!H356</f>
        <v>0</v>
      </c>
      <c r="BC354" s="310">
        <f t="shared" si="311"/>
        <v>0</v>
      </c>
      <c r="BD354" s="309">
        <f t="shared" si="312"/>
        <v>0</v>
      </c>
      <c r="BE354" s="309">
        <f t="shared" si="313"/>
        <v>0</v>
      </c>
      <c r="BF354" s="306">
        <f>DailyMet!H337</f>
        <v>11.52</v>
      </c>
      <c r="BG354" s="306">
        <f>DailyMet!I337</f>
        <v>9.9</v>
      </c>
      <c r="BH354" s="306">
        <f t="shared" si="314"/>
        <v>11.52</v>
      </c>
      <c r="BI354" s="306">
        <f t="shared" si="315"/>
        <v>10</v>
      </c>
      <c r="BJ354" s="306">
        <f t="shared" si="316"/>
        <v>0.75999999999999979</v>
      </c>
      <c r="BK354" s="306">
        <f t="shared" si="286"/>
        <v>0</v>
      </c>
      <c r="BL354" s="304">
        <f t="shared" si="317"/>
        <v>0</v>
      </c>
      <c r="BM354" s="304">
        <f t="shared" si="318"/>
        <v>0.7130864197530864</v>
      </c>
      <c r="BN354" s="304">
        <f t="shared" si="335"/>
        <v>0.7130864197530864</v>
      </c>
      <c r="BO354" s="306">
        <f t="shared" si="336"/>
        <v>0</v>
      </c>
      <c r="BP354" s="306"/>
    </row>
    <row r="355" spans="1:68">
      <c r="A355" s="299">
        <f t="shared" si="287"/>
        <v>0</v>
      </c>
      <c r="B355" s="300">
        <f t="shared" si="288"/>
        <v>38320</v>
      </c>
      <c r="C355" s="301" t="e">
        <f t="shared" si="319"/>
        <v>#N/A</v>
      </c>
      <c r="D355" s="301" t="e">
        <f t="shared" si="289"/>
        <v>#N/A</v>
      </c>
      <c r="E355" s="299">
        <f t="shared" si="290"/>
        <v>334</v>
      </c>
      <c r="F355" s="396">
        <f>Weather!M339</f>
        <v>0</v>
      </c>
      <c r="G355" s="301">
        <f>IF(Weather!C339="","",Weather!C339)</f>
        <v>0.28859782384638533</v>
      </c>
      <c r="H355" s="301">
        <f>IF(Weather!D339="","",Weather!D339)</f>
        <v>0.34954540815004342</v>
      </c>
      <c r="I355" s="502">
        <f>IF(Weather!E339="","",Weather!E339)</f>
        <v>0.34954540815004342</v>
      </c>
      <c r="J355" s="397">
        <f>IF(RnSplint!N383&lt;0,0,RnSplint!N383)</f>
        <v>24.096125635067828</v>
      </c>
      <c r="K355" s="302">
        <f t="shared" si="320"/>
        <v>0</v>
      </c>
      <c r="L355" s="303">
        <f t="shared" si="321"/>
        <v>38320</v>
      </c>
      <c r="M355" s="346" t="str">
        <f t="shared" si="291"/>
        <v/>
      </c>
      <c r="N355" s="304">
        <f t="shared" si="322"/>
        <v>0</v>
      </c>
      <c r="O355" s="304">
        <f t="shared" si="323"/>
        <v>0</v>
      </c>
      <c r="P355" s="304">
        <f t="shared" si="292"/>
        <v>0</v>
      </c>
      <c r="Q355" s="304">
        <f t="shared" si="293"/>
        <v>1.2</v>
      </c>
      <c r="R355" s="304">
        <f t="shared" si="294"/>
        <v>1.2</v>
      </c>
      <c r="S355" s="305" t="e">
        <f t="shared" si="324"/>
        <v>#N/A</v>
      </c>
      <c r="T355" s="304">
        <f t="shared" si="295"/>
        <v>0</v>
      </c>
      <c r="U355" s="304">
        <f t="shared" si="334"/>
        <v>0</v>
      </c>
      <c r="V355" s="305" t="e">
        <f t="shared" si="296"/>
        <v>#N/A</v>
      </c>
      <c r="W355" s="305" t="e">
        <f t="shared" si="325"/>
        <v>#N/A</v>
      </c>
      <c r="X355" s="304">
        <f t="shared" si="326"/>
        <v>1.2</v>
      </c>
      <c r="Y355" s="304">
        <f>AVERAGE(X326:X355)</f>
        <v>1.1917649599910223</v>
      </c>
      <c r="Z355" s="304" t="str">
        <f t="shared" si="297"/>
        <v/>
      </c>
      <c r="AA355" s="305" t="e">
        <f t="shared" si="298"/>
        <v>#N/A</v>
      </c>
      <c r="AB355" s="304">
        <f t="shared" si="299"/>
        <v>0.41945448978005212</v>
      </c>
      <c r="AC355" s="304" t="str">
        <f t="shared" si="327"/>
        <v/>
      </c>
      <c r="AD355" s="306">
        <f t="shared" si="300"/>
        <v>0</v>
      </c>
      <c r="AE355" s="307">
        <f t="shared" si="328"/>
        <v>0.41945448978005212</v>
      </c>
      <c r="AF355" s="308" t="e">
        <f t="shared" si="281"/>
        <v>#N/A</v>
      </c>
      <c r="AG355" s="306">
        <f t="shared" si="329"/>
        <v>677.57622181719023</v>
      </c>
      <c r="AH355" s="306">
        <f t="shared" si="301"/>
        <v>0</v>
      </c>
      <c r="AI355" s="306">
        <f t="shared" si="330"/>
        <v>0</v>
      </c>
      <c r="AJ355" s="306">
        <f t="shared" si="331"/>
        <v>0</v>
      </c>
      <c r="AK355" s="306">
        <f t="shared" si="302"/>
        <v>0</v>
      </c>
      <c r="AL355" s="306">
        <f t="shared" si="332"/>
        <v>0</v>
      </c>
      <c r="AM355" s="306">
        <f t="shared" si="303"/>
        <v>0</v>
      </c>
      <c r="AN355" s="304">
        <f>KcSplint!$N384</f>
        <v>1.2068200683178876</v>
      </c>
      <c r="AO355" s="304" t="str">
        <f t="shared" si="304"/>
        <v/>
      </c>
      <c r="AP355" s="304" t="str">
        <f t="shared" si="333"/>
        <v/>
      </c>
      <c r="AQ355" s="305" t="e">
        <f t="shared" si="282"/>
        <v>#N/A</v>
      </c>
      <c r="AR355" s="304" t="str">
        <f t="shared" si="283"/>
        <v/>
      </c>
      <c r="AS355" s="306">
        <f t="shared" si="305"/>
        <v>0</v>
      </c>
      <c r="AT355" s="307" t="e">
        <f t="shared" si="284"/>
        <v>#N/A</v>
      </c>
      <c r="AU355" s="307" t="e">
        <f t="shared" si="285"/>
        <v>#N/A</v>
      </c>
      <c r="AV355" s="304">
        <f t="shared" si="306"/>
        <v>0.34954540815004342</v>
      </c>
      <c r="AW355" s="309">
        <f t="shared" si="307"/>
        <v>0.77107499241199939</v>
      </c>
      <c r="AX355" s="306">
        <f>IF(ISERROR(Weather!M339),#N/A,Weather!M339)</f>
        <v>0</v>
      </c>
      <c r="AY355" s="310">
        <f t="shared" si="308"/>
        <v>2</v>
      </c>
      <c r="AZ355" s="309">
        <f t="shared" si="309"/>
        <v>1.2</v>
      </c>
      <c r="BA355" s="309">
        <f t="shared" si="310"/>
        <v>250.18798820708628</v>
      </c>
      <c r="BB355" s="311">
        <f>Irrig!H357</f>
        <v>0</v>
      </c>
      <c r="BC355" s="310">
        <f t="shared" si="311"/>
        <v>0</v>
      </c>
      <c r="BD355" s="309">
        <f t="shared" si="312"/>
        <v>0</v>
      </c>
      <c r="BE355" s="309">
        <f t="shared" si="313"/>
        <v>0</v>
      </c>
      <c r="BF355" s="306">
        <f>DailyMet!H338</f>
        <v>9.14</v>
      </c>
      <c r="BG355" s="306">
        <f>DailyMet!I338</f>
        <v>6.5</v>
      </c>
      <c r="BH355" s="306">
        <f t="shared" si="314"/>
        <v>9.14</v>
      </c>
      <c r="BI355" s="306">
        <f t="shared" si="315"/>
        <v>10</v>
      </c>
      <c r="BJ355" s="306">
        <f t="shared" si="316"/>
        <v>-0.42999999999999972</v>
      </c>
      <c r="BK355" s="306">
        <f t="shared" si="286"/>
        <v>0</v>
      </c>
      <c r="BL355" s="304">
        <f t="shared" si="317"/>
        <v>0</v>
      </c>
      <c r="BM355" s="304">
        <f t="shared" si="318"/>
        <v>0</v>
      </c>
      <c r="BN355" s="304">
        <f t="shared" si="335"/>
        <v>0</v>
      </c>
      <c r="BO355" s="306">
        <f t="shared" si="336"/>
        <v>0</v>
      </c>
      <c r="BP355" s="306"/>
    </row>
    <row r="356" spans="1:68">
      <c r="A356" s="299">
        <f t="shared" si="287"/>
        <v>0</v>
      </c>
      <c r="B356" s="300">
        <f t="shared" si="288"/>
        <v>38321</v>
      </c>
      <c r="C356" s="301" t="e">
        <f t="shared" si="319"/>
        <v>#N/A</v>
      </c>
      <c r="D356" s="301" t="e">
        <f t="shared" si="289"/>
        <v>#N/A</v>
      </c>
      <c r="E356" s="299">
        <f t="shared" si="290"/>
        <v>335</v>
      </c>
      <c r="F356" s="396">
        <f>Weather!M340</f>
        <v>6.8</v>
      </c>
      <c r="G356" s="301">
        <f>IF(Weather!C340="","",Weather!C340)</f>
        <v>0.28042407323189378</v>
      </c>
      <c r="H356" s="301">
        <f>IF(Weather!D340="","",Weather!D340)</f>
        <v>0.4460251589614519</v>
      </c>
      <c r="I356" s="502">
        <f>IF(Weather!E340="","",Weather!E340)</f>
        <v>0.4460251589614519</v>
      </c>
      <c r="J356" s="397">
        <f>IF(RnSplint!N384&lt;0,0,RnSplint!N384)</f>
        <v>23.402095415082229</v>
      </c>
      <c r="K356" s="302">
        <f t="shared" si="320"/>
        <v>0</v>
      </c>
      <c r="L356" s="303">
        <f t="shared" si="321"/>
        <v>38321</v>
      </c>
      <c r="M356" s="346">
        <f t="shared" si="291"/>
        <v>11</v>
      </c>
      <c r="N356" s="304">
        <f t="shared" si="322"/>
        <v>0</v>
      </c>
      <c r="O356" s="304">
        <f t="shared" si="323"/>
        <v>0</v>
      </c>
      <c r="P356" s="304">
        <f t="shared" si="292"/>
        <v>0</v>
      </c>
      <c r="Q356" s="304">
        <f t="shared" si="293"/>
        <v>1.2</v>
      </c>
      <c r="R356" s="304">
        <f t="shared" si="294"/>
        <v>1.2</v>
      </c>
      <c r="S356" s="305" t="e">
        <f t="shared" si="324"/>
        <v>#N/A</v>
      </c>
      <c r="T356" s="304">
        <f t="shared" si="295"/>
        <v>0</v>
      </c>
      <c r="U356" s="304">
        <f t="shared" si="334"/>
        <v>0</v>
      </c>
      <c r="V356" s="305" t="e">
        <f t="shared" si="296"/>
        <v>#N/A</v>
      </c>
      <c r="W356" s="305" t="e">
        <f t="shared" si="325"/>
        <v>#N/A</v>
      </c>
      <c r="X356" s="304">
        <f t="shared" si="326"/>
        <v>1.2</v>
      </c>
      <c r="Y356" s="304">
        <f>AVERAGE(X327:X356)</f>
        <v>1.1917649599910223</v>
      </c>
      <c r="Z356" s="304" t="str">
        <f t="shared" si="297"/>
        <v/>
      </c>
      <c r="AA356" s="305" t="e">
        <f t="shared" si="298"/>
        <v>#N/A</v>
      </c>
      <c r="AB356" s="304">
        <f t="shared" si="299"/>
        <v>0.53523019075374223</v>
      </c>
      <c r="AC356" s="304" t="str">
        <f t="shared" si="327"/>
        <v/>
      </c>
      <c r="AD356" s="306">
        <f t="shared" si="300"/>
        <v>0</v>
      </c>
      <c r="AE356" s="307">
        <f t="shared" si="328"/>
        <v>0.53523019075374223</v>
      </c>
      <c r="AF356" s="308" t="e">
        <f t="shared" si="281"/>
        <v>#N/A</v>
      </c>
      <c r="AG356" s="306">
        <f t="shared" si="329"/>
        <v>678.02224697615168</v>
      </c>
      <c r="AH356" s="306">
        <f t="shared" si="301"/>
        <v>0</v>
      </c>
      <c r="AI356" s="306">
        <f t="shared" si="330"/>
        <v>0</v>
      </c>
      <c r="AJ356" s="306">
        <f t="shared" si="331"/>
        <v>0</v>
      </c>
      <c r="AK356" s="306">
        <f t="shared" si="302"/>
        <v>0</v>
      </c>
      <c r="AL356" s="306">
        <f t="shared" si="332"/>
        <v>0</v>
      </c>
      <c r="AM356" s="306">
        <f t="shared" si="303"/>
        <v>0</v>
      </c>
      <c r="AN356" s="304">
        <f>KcSplint!$N385</f>
        <v>1.2061287505347085</v>
      </c>
      <c r="AO356" s="304" t="str">
        <f t="shared" si="304"/>
        <v/>
      </c>
      <c r="AP356" s="304" t="str">
        <f t="shared" si="333"/>
        <v/>
      </c>
      <c r="AQ356" s="305" t="e">
        <f t="shared" si="282"/>
        <v>#N/A</v>
      </c>
      <c r="AR356" s="304" t="str">
        <f t="shared" si="283"/>
        <v/>
      </c>
      <c r="AS356" s="306">
        <f t="shared" si="305"/>
        <v>0</v>
      </c>
      <c r="AT356" s="307" t="e">
        <f t="shared" si="284"/>
        <v>#N/A</v>
      </c>
      <c r="AU356" s="307" t="e">
        <f t="shared" si="285"/>
        <v>#N/A</v>
      </c>
      <c r="AV356" s="304">
        <f t="shared" si="306"/>
        <v>0.4460251589614519</v>
      </c>
      <c r="AW356" s="309">
        <f t="shared" si="307"/>
        <v>0.4460251589614519</v>
      </c>
      <c r="AX356" s="306">
        <f>IF(ISERROR(Weather!M340),#N/A,Weather!M340)</f>
        <v>6.8</v>
      </c>
      <c r="AY356" s="310">
        <f t="shared" si="308"/>
        <v>1</v>
      </c>
      <c r="AZ356" s="309">
        <f t="shared" si="309"/>
        <v>1.2</v>
      </c>
      <c r="BA356" s="309">
        <f t="shared" si="310"/>
        <v>250.63401336604772</v>
      </c>
      <c r="BB356" s="311">
        <f>Irrig!H358</f>
        <v>0</v>
      </c>
      <c r="BC356" s="310">
        <f t="shared" si="311"/>
        <v>0</v>
      </c>
      <c r="BD356" s="309">
        <f t="shared" si="312"/>
        <v>0</v>
      </c>
      <c r="BE356" s="309">
        <f t="shared" si="313"/>
        <v>0</v>
      </c>
      <c r="BF356" s="306">
        <f>DailyMet!H339</f>
        <v>7.4</v>
      </c>
      <c r="BG356" s="306">
        <f>DailyMet!I339</f>
        <v>5.9</v>
      </c>
      <c r="BH356" s="306">
        <f t="shared" si="314"/>
        <v>7.4</v>
      </c>
      <c r="BI356" s="306">
        <f t="shared" si="315"/>
        <v>10</v>
      </c>
      <c r="BJ356" s="306">
        <f t="shared" si="316"/>
        <v>-1.3000000000000007</v>
      </c>
      <c r="BK356" s="306">
        <f t="shared" si="286"/>
        <v>0</v>
      </c>
      <c r="BL356" s="304">
        <f t="shared" si="317"/>
        <v>0</v>
      </c>
      <c r="BM356" s="304">
        <f t="shared" si="318"/>
        <v>0</v>
      </c>
      <c r="BN356" s="304">
        <f t="shared" si="335"/>
        <v>0</v>
      </c>
      <c r="BO356" s="306">
        <f t="shared" si="336"/>
        <v>0</v>
      </c>
      <c r="BP356" s="306"/>
    </row>
    <row r="357" spans="1:68">
      <c r="A357" s="299">
        <f t="shared" si="287"/>
        <v>0</v>
      </c>
      <c r="B357" s="300">
        <f t="shared" si="288"/>
        <v>38322</v>
      </c>
      <c r="C357" s="301" t="e">
        <f t="shared" si="319"/>
        <v>#N/A</v>
      </c>
      <c r="D357" s="301" t="e">
        <f t="shared" si="289"/>
        <v>#N/A</v>
      </c>
      <c r="E357" s="299">
        <f t="shared" si="290"/>
        <v>336</v>
      </c>
      <c r="F357" s="396">
        <f>Weather!M341</f>
        <v>6</v>
      </c>
      <c r="G357" s="301">
        <f>IF(Weather!C341="","",Weather!C341)</f>
        <v>0.27262390827754129</v>
      </c>
      <c r="H357" s="301">
        <f>IF(Weather!D341="","",Weather!D341)</f>
        <v>0.35825075999220179</v>
      </c>
      <c r="I357" s="502">
        <f>IF(Weather!E341="","",Weather!E341)</f>
        <v>0.35825075999220179</v>
      </c>
      <c r="J357" s="397">
        <f>IF(RnSplint!N385&lt;0,0,RnSplint!N385)</f>
        <v>22.702649121719798</v>
      </c>
      <c r="K357" s="302">
        <f t="shared" si="320"/>
        <v>0</v>
      </c>
      <c r="L357" s="303">
        <f t="shared" si="321"/>
        <v>38322</v>
      </c>
      <c r="M357" s="346" t="str">
        <f t="shared" si="291"/>
        <v/>
      </c>
      <c r="N357" s="304">
        <f t="shared" si="322"/>
        <v>0</v>
      </c>
      <c r="O357" s="304">
        <f t="shared" si="323"/>
        <v>0</v>
      </c>
      <c r="P357" s="304">
        <f t="shared" si="292"/>
        <v>0</v>
      </c>
      <c r="Q357" s="304">
        <f t="shared" si="293"/>
        <v>1.2</v>
      </c>
      <c r="R357" s="304">
        <f t="shared" si="294"/>
        <v>1.2</v>
      </c>
      <c r="S357" s="305" t="e">
        <f t="shared" si="324"/>
        <v>#N/A</v>
      </c>
      <c r="T357" s="304">
        <f t="shared" si="295"/>
        <v>0</v>
      </c>
      <c r="U357" s="304">
        <f t="shared" si="334"/>
        <v>0</v>
      </c>
      <c r="V357" s="305" t="e">
        <f t="shared" si="296"/>
        <v>#N/A</v>
      </c>
      <c r="W357" s="305" t="e">
        <f t="shared" si="325"/>
        <v>#N/A</v>
      </c>
      <c r="X357" s="304">
        <f t="shared" si="326"/>
        <v>1.2</v>
      </c>
      <c r="Z357" s="304" t="str">
        <f t="shared" si="297"/>
        <v/>
      </c>
      <c r="AA357" s="305" t="e">
        <f t="shared" si="298"/>
        <v>#N/A</v>
      </c>
      <c r="AB357" s="304">
        <f t="shared" si="299"/>
        <v>0.42990091199064212</v>
      </c>
      <c r="AC357" s="304" t="str">
        <f t="shared" si="327"/>
        <v/>
      </c>
      <c r="AD357" s="306">
        <f t="shared" si="300"/>
        <v>0</v>
      </c>
      <c r="AE357" s="307">
        <f t="shared" si="328"/>
        <v>0.42990091199064212</v>
      </c>
      <c r="AF357" s="308" t="e">
        <f t="shared" si="281"/>
        <v>#N/A</v>
      </c>
      <c r="AG357" s="306">
        <f t="shared" si="329"/>
        <v>678.38049773614387</v>
      </c>
      <c r="AH357" s="306">
        <f t="shared" si="301"/>
        <v>0</v>
      </c>
      <c r="AI357" s="306">
        <f t="shared" si="330"/>
        <v>0</v>
      </c>
      <c r="AJ357" s="306">
        <f t="shared" si="331"/>
        <v>0</v>
      </c>
      <c r="AK357" s="306">
        <f t="shared" si="302"/>
        <v>0</v>
      </c>
      <c r="AL357" s="306">
        <f t="shared" si="332"/>
        <v>0</v>
      </c>
      <c r="AM357" s="306">
        <f t="shared" si="303"/>
        <v>0</v>
      </c>
      <c r="AN357" s="304">
        <f>KcSplint!$N386</f>
        <v>1.2053611287258783</v>
      </c>
      <c r="AO357" s="304" t="str">
        <f t="shared" si="304"/>
        <v/>
      </c>
      <c r="AP357" s="304" t="str">
        <f t="shared" si="333"/>
        <v/>
      </c>
      <c r="AQ357" s="305" t="e">
        <f t="shared" si="282"/>
        <v>#N/A</v>
      </c>
      <c r="AR357" s="304" t="str">
        <f t="shared" si="283"/>
        <v/>
      </c>
      <c r="AS357" s="306">
        <f t="shared" si="305"/>
        <v>0</v>
      </c>
      <c r="AT357" s="307" t="e">
        <f t="shared" si="284"/>
        <v>#N/A</v>
      </c>
      <c r="AU357" s="307" t="e">
        <f t="shared" si="285"/>
        <v>#N/A</v>
      </c>
      <c r="AV357" s="304">
        <f t="shared" si="306"/>
        <v>0.35825075999220179</v>
      </c>
      <c r="AW357" s="309">
        <f t="shared" si="307"/>
        <v>0.35825075999220179</v>
      </c>
      <c r="AX357" s="306">
        <f>IF(ISERROR(Weather!M341),#N/A,Weather!M341)</f>
        <v>6</v>
      </c>
      <c r="AY357" s="310">
        <f t="shared" si="308"/>
        <v>1</v>
      </c>
      <c r="AZ357" s="309">
        <f t="shared" si="309"/>
        <v>1.2</v>
      </c>
      <c r="BA357" s="309">
        <f t="shared" si="310"/>
        <v>250.99226412603991</v>
      </c>
      <c r="BB357" s="311">
        <f>Irrig!H359</f>
        <v>0</v>
      </c>
      <c r="BC357" s="310">
        <f t="shared" si="311"/>
        <v>0</v>
      </c>
      <c r="BD357" s="309">
        <f t="shared" si="312"/>
        <v>0</v>
      </c>
      <c r="BE357" s="309">
        <f t="shared" si="313"/>
        <v>0</v>
      </c>
      <c r="BF357" s="306">
        <f>DailyMet!H340</f>
        <v>6.56</v>
      </c>
      <c r="BG357" s="306">
        <f>DailyMet!I340</f>
        <v>5.5</v>
      </c>
      <c r="BH357" s="306">
        <f t="shared" si="314"/>
        <v>6.56</v>
      </c>
      <c r="BI357" s="306">
        <f t="shared" si="315"/>
        <v>10</v>
      </c>
      <c r="BJ357" s="306">
        <f t="shared" si="316"/>
        <v>-1.7200000000000006</v>
      </c>
      <c r="BK357" s="306">
        <f t="shared" si="286"/>
        <v>0</v>
      </c>
      <c r="BL357" s="304">
        <f t="shared" si="317"/>
        <v>0</v>
      </c>
      <c r="BM357" s="304">
        <f t="shared" si="318"/>
        <v>0</v>
      </c>
      <c r="BN357" s="304">
        <f t="shared" si="335"/>
        <v>0</v>
      </c>
      <c r="BO357" s="306">
        <f t="shared" si="336"/>
        <v>0</v>
      </c>
      <c r="BP357" s="306"/>
    </row>
    <row r="358" spans="1:68">
      <c r="A358" s="299">
        <f t="shared" si="287"/>
        <v>0</v>
      </c>
      <c r="B358" s="300">
        <f t="shared" si="288"/>
        <v>38323</v>
      </c>
      <c r="C358" s="301" t="e">
        <f t="shared" si="319"/>
        <v>#N/A</v>
      </c>
      <c r="D358" s="301" t="e">
        <f t="shared" si="289"/>
        <v>#N/A</v>
      </c>
      <c r="E358" s="299">
        <f t="shared" si="290"/>
        <v>337</v>
      </c>
      <c r="F358" s="396">
        <f>Weather!M342</f>
        <v>1.8</v>
      </c>
      <c r="G358" s="301">
        <f>IF(Weather!C342="","",Weather!C342)</f>
        <v>0.26519932061172935</v>
      </c>
      <c r="H358" s="301">
        <f>IF(Weather!D342="","",Weather!D342)</f>
        <v>0.26485704367748769</v>
      </c>
      <c r="I358" s="502">
        <f>IF(Weather!E342="","",Weather!E342)</f>
        <v>0.26485704367748769</v>
      </c>
      <c r="J358" s="397">
        <f>IF(RnSplint!N386&lt;0,0,RnSplint!N386)</f>
        <v>22.003579363927514</v>
      </c>
      <c r="K358" s="302">
        <f t="shared" si="320"/>
        <v>0</v>
      </c>
      <c r="L358" s="303">
        <f t="shared" si="321"/>
        <v>38323</v>
      </c>
      <c r="M358" s="346" t="str">
        <f t="shared" si="291"/>
        <v/>
      </c>
      <c r="N358" s="304">
        <f t="shared" si="322"/>
        <v>0</v>
      </c>
      <c r="O358" s="304">
        <f t="shared" si="323"/>
        <v>0</v>
      </c>
      <c r="P358" s="304">
        <f t="shared" si="292"/>
        <v>0</v>
      </c>
      <c r="Q358" s="304">
        <f t="shared" si="293"/>
        <v>1.2</v>
      </c>
      <c r="R358" s="304">
        <f t="shared" si="294"/>
        <v>1.2</v>
      </c>
      <c r="S358" s="305" t="e">
        <f t="shared" si="324"/>
        <v>#N/A</v>
      </c>
      <c r="T358" s="304">
        <f t="shared" si="295"/>
        <v>0</v>
      </c>
      <c r="U358" s="304">
        <f t="shared" si="334"/>
        <v>0</v>
      </c>
      <c r="V358" s="305" t="e">
        <f t="shared" si="296"/>
        <v>#N/A</v>
      </c>
      <c r="W358" s="305" t="e">
        <f t="shared" si="325"/>
        <v>#N/A</v>
      </c>
      <c r="X358" s="304">
        <f t="shared" si="326"/>
        <v>1.2</v>
      </c>
      <c r="Z358" s="304" t="str">
        <f t="shared" si="297"/>
        <v/>
      </c>
      <c r="AA358" s="305" t="e">
        <f t="shared" si="298"/>
        <v>#N/A</v>
      </c>
      <c r="AB358" s="304">
        <f t="shared" si="299"/>
        <v>0.31782845241298524</v>
      </c>
      <c r="AC358" s="304" t="str">
        <f t="shared" si="327"/>
        <v/>
      </c>
      <c r="AD358" s="306">
        <f t="shared" si="300"/>
        <v>0</v>
      </c>
      <c r="AE358" s="307">
        <f t="shared" si="328"/>
        <v>0.31782845241298524</v>
      </c>
      <c r="AF358" s="308" t="e">
        <f t="shared" si="281"/>
        <v>#N/A</v>
      </c>
      <c r="AG358" s="306">
        <f t="shared" si="329"/>
        <v>678.64535477982133</v>
      </c>
      <c r="AH358" s="306">
        <f t="shared" si="301"/>
        <v>0</v>
      </c>
      <c r="AI358" s="306">
        <f t="shared" si="330"/>
        <v>0</v>
      </c>
      <c r="AJ358" s="306">
        <f t="shared" si="331"/>
        <v>0</v>
      </c>
      <c r="AK358" s="306">
        <f t="shared" si="302"/>
        <v>0</v>
      </c>
      <c r="AL358" s="306">
        <f t="shared" si="332"/>
        <v>0</v>
      </c>
      <c r="AM358" s="306">
        <f t="shared" si="303"/>
        <v>0</v>
      </c>
      <c r="AN358" s="304">
        <f>KcSplint!$N387</f>
        <v>1.2045411269972737</v>
      </c>
      <c r="AO358" s="304" t="str">
        <f t="shared" si="304"/>
        <v/>
      </c>
      <c r="AP358" s="304" t="str">
        <f t="shared" si="333"/>
        <v/>
      </c>
      <c r="AQ358" s="305" t="e">
        <f t="shared" si="282"/>
        <v>#N/A</v>
      </c>
      <c r="AR358" s="304" t="str">
        <f t="shared" si="283"/>
        <v/>
      </c>
      <c r="AS358" s="306">
        <f t="shared" si="305"/>
        <v>0</v>
      </c>
      <c r="AT358" s="307" t="e">
        <f t="shared" si="284"/>
        <v>#N/A</v>
      </c>
      <c r="AU358" s="307" t="e">
        <f t="shared" si="285"/>
        <v>#N/A</v>
      </c>
      <c r="AV358" s="304">
        <f t="shared" si="306"/>
        <v>0.26485704367748769</v>
      </c>
      <c r="AW358" s="309">
        <f t="shared" si="307"/>
        <v>0.26485704367748769</v>
      </c>
      <c r="AX358" s="306">
        <f>IF(ISERROR(Weather!M342),#N/A,Weather!M342)</f>
        <v>1.8</v>
      </c>
      <c r="AY358" s="310">
        <f t="shared" si="308"/>
        <v>1</v>
      </c>
      <c r="AZ358" s="309">
        <f t="shared" si="309"/>
        <v>1.2</v>
      </c>
      <c r="BA358" s="309">
        <f t="shared" si="310"/>
        <v>251.25712116971741</v>
      </c>
      <c r="BB358" s="311">
        <f>Irrig!H360</f>
        <v>0</v>
      </c>
      <c r="BC358" s="310">
        <f t="shared" si="311"/>
        <v>0</v>
      </c>
      <c r="BD358" s="309">
        <f t="shared" si="312"/>
        <v>0</v>
      </c>
      <c r="BE358" s="309">
        <f t="shared" si="313"/>
        <v>0</v>
      </c>
      <c r="BF358" s="306">
        <f>DailyMet!H341</f>
        <v>5.58</v>
      </c>
      <c r="BG358" s="306">
        <f>DailyMet!I341</f>
        <v>3.6</v>
      </c>
      <c r="BH358" s="306">
        <f t="shared" si="314"/>
        <v>5.58</v>
      </c>
      <c r="BI358" s="306">
        <f t="shared" si="315"/>
        <v>10</v>
      </c>
      <c r="BJ358" s="306">
        <f t="shared" si="316"/>
        <v>-2.21</v>
      </c>
      <c r="BK358" s="306">
        <f t="shared" si="286"/>
        <v>0</v>
      </c>
      <c r="BL358" s="304">
        <f t="shared" si="317"/>
        <v>0</v>
      </c>
      <c r="BM358" s="304">
        <f t="shared" si="318"/>
        <v>0</v>
      </c>
      <c r="BN358" s="304">
        <f t="shared" si="335"/>
        <v>0</v>
      </c>
      <c r="BO358" s="306">
        <f t="shared" si="336"/>
        <v>0</v>
      </c>
      <c r="BP358" s="306"/>
    </row>
    <row r="359" spans="1:68">
      <c r="A359" s="299">
        <f t="shared" si="287"/>
        <v>0</v>
      </c>
      <c r="B359" s="300">
        <f t="shared" si="288"/>
        <v>38324</v>
      </c>
      <c r="C359" s="301" t="e">
        <f t="shared" si="319"/>
        <v>#N/A</v>
      </c>
      <c r="D359" s="301" t="e">
        <f t="shared" si="289"/>
        <v>#N/A</v>
      </c>
      <c r="E359" s="299">
        <f t="shared" si="290"/>
        <v>338</v>
      </c>
      <c r="F359" s="396">
        <f>Weather!M343</f>
        <v>0.2</v>
      </c>
      <c r="G359" s="301">
        <f>IF(Weather!C343="","",Weather!C343)</f>
        <v>0.25815230186285965</v>
      </c>
      <c r="H359" s="301">
        <f>IF(Weather!D343="","",Weather!D343)</f>
        <v>0.30545285076975481</v>
      </c>
      <c r="I359" s="502">
        <f>IF(Weather!E343="","",Weather!E343)</f>
        <v>0.30545285076975481</v>
      </c>
      <c r="J359" s="397">
        <f>IF(RnSplint!N387&lt;0,0,RnSplint!N387)</f>
        <v>21.310678750652333</v>
      </c>
      <c r="K359" s="302">
        <f t="shared" si="320"/>
        <v>0</v>
      </c>
      <c r="L359" s="303">
        <f t="shared" si="321"/>
        <v>38324</v>
      </c>
      <c r="M359" s="346" t="str">
        <f t="shared" si="291"/>
        <v/>
      </c>
      <c r="N359" s="304">
        <f t="shared" si="322"/>
        <v>0</v>
      </c>
      <c r="O359" s="304">
        <f t="shared" si="323"/>
        <v>0</v>
      </c>
      <c r="P359" s="304">
        <f t="shared" si="292"/>
        <v>0</v>
      </c>
      <c r="Q359" s="304">
        <f t="shared" si="293"/>
        <v>1.2</v>
      </c>
      <c r="R359" s="304">
        <f t="shared" si="294"/>
        <v>1.2</v>
      </c>
      <c r="S359" s="305" t="e">
        <f t="shared" si="324"/>
        <v>#N/A</v>
      </c>
      <c r="T359" s="304">
        <f t="shared" si="295"/>
        <v>0</v>
      </c>
      <c r="U359" s="304">
        <f t="shared" si="334"/>
        <v>0</v>
      </c>
      <c r="V359" s="305" t="e">
        <f t="shared" si="296"/>
        <v>#N/A</v>
      </c>
      <c r="W359" s="305" t="e">
        <f t="shared" si="325"/>
        <v>#N/A</v>
      </c>
      <c r="X359" s="304">
        <f t="shared" si="326"/>
        <v>1.2</v>
      </c>
      <c r="Z359" s="304" t="str">
        <f t="shared" si="297"/>
        <v/>
      </c>
      <c r="AA359" s="305" t="e">
        <f t="shared" si="298"/>
        <v>#N/A</v>
      </c>
      <c r="AB359" s="304">
        <f t="shared" si="299"/>
        <v>0.36654342092370579</v>
      </c>
      <c r="AC359" s="304" t="str">
        <f t="shared" si="327"/>
        <v/>
      </c>
      <c r="AD359" s="306">
        <f t="shared" si="300"/>
        <v>0</v>
      </c>
      <c r="AE359" s="307">
        <f t="shared" si="328"/>
        <v>0.36654342092370579</v>
      </c>
      <c r="AF359" s="308" t="e">
        <f t="shared" si="281"/>
        <v>#N/A</v>
      </c>
      <c r="AG359" s="306">
        <f t="shared" si="329"/>
        <v>678.95080763059104</v>
      </c>
      <c r="AH359" s="306">
        <f t="shared" si="301"/>
        <v>0</v>
      </c>
      <c r="AI359" s="306">
        <f t="shared" si="330"/>
        <v>0</v>
      </c>
      <c r="AJ359" s="306">
        <f t="shared" si="331"/>
        <v>0</v>
      </c>
      <c r="AK359" s="306">
        <f t="shared" si="302"/>
        <v>0</v>
      </c>
      <c r="AL359" s="306">
        <f t="shared" si="332"/>
        <v>0</v>
      </c>
      <c r="AM359" s="306">
        <f t="shared" si="303"/>
        <v>0</v>
      </c>
      <c r="AN359" s="304">
        <f>KcSplint!$N388</f>
        <v>1.2036926694547716</v>
      </c>
      <c r="AO359" s="304" t="str">
        <f t="shared" si="304"/>
        <v/>
      </c>
      <c r="AP359" s="304" t="str">
        <f t="shared" si="333"/>
        <v/>
      </c>
      <c r="AQ359" s="305" t="e">
        <f t="shared" si="282"/>
        <v>#N/A</v>
      </c>
      <c r="AR359" s="304" t="str">
        <f t="shared" si="283"/>
        <v/>
      </c>
      <c r="AS359" s="306">
        <f t="shared" si="305"/>
        <v>0</v>
      </c>
      <c r="AT359" s="307" t="e">
        <f t="shared" si="284"/>
        <v>#N/A</v>
      </c>
      <c r="AU359" s="307" t="e">
        <f t="shared" si="285"/>
        <v>#N/A</v>
      </c>
      <c r="AV359" s="304">
        <f t="shared" si="306"/>
        <v>0.30545285076975481</v>
      </c>
      <c r="AW359" s="309">
        <f t="shared" si="307"/>
        <v>0.57030989444724245</v>
      </c>
      <c r="AX359" s="306">
        <f>IF(ISERROR(Weather!M343),#N/A,Weather!M343)</f>
        <v>0.2</v>
      </c>
      <c r="AY359" s="310">
        <f t="shared" si="308"/>
        <v>2</v>
      </c>
      <c r="AZ359" s="309">
        <f t="shared" si="309"/>
        <v>1.2</v>
      </c>
      <c r="BA359" s="309">
        <f t="shared" si="310"/>
        <v>251.56257402048718</v>
      </c>
      <c r="BB359" s="311">
        <f>Irrig!H361</f>
        <v>0</v>
      </c>
      <c r="BC359" s="310">
        <f t="shared" si="311"/>
        <v>0</v>
      </c>
      <c r="BD359" s="309">
        <f t="shared" si="312"/>
        <v>0</v>
      </c>
      <c r="BE359" s="309">
        <f t="shared" si="313"/>
        <v>0</v>
      </c>
      <c r="BF359" s="306">
        <f>DailyMet!H342</f>
        <v>4.0999999999999996</v>
      </c>
      <c r="BG359" s="306">
        <f>DailyMet!I342</f>
        <v>0.6</v>
      </c>
      <c r="BH359" s="306">
        <f t="shared" si="314"/>
        <v>4.0999999999999996</v>
      </c>
      <c r="BI359" s="306">
        <f t="shared" si="315"/>
        <v>10</v>
      </c>
      <c r="BJ359" s="306">
        <f t="shared" si="316"/>
        <v>-2.95</v>
      </c>
      <c r="BK359" s="306">
        <f t="shared" si="286"/>
        <v>0</v>
      </c>
      <c r="BL359" s="304">
        <f t="shared" si="317"/>
        <v>0</v>
      </c>
      <c r="BM359" s="304">
        <f t="shared" si="318"/>
        <v>0</v>
      </c>
      <c r="BN359" s="304">
        <f t="shared" si="335"/>
        <v>0</v>
      </c>
      <c r="BO359" s="306">
        <f t="shared" si="336"/>
        <v>0</v>
      </c>
      <c r="BP359" s="306"/>
    </row>
    <row r="360" spans="1:68">
      <c r="A360" s="299">
        <f t="shared" si="287"/>
        <v>0</v>
      </c>
      <c r="B360" s="300">
        <f t="shared" si="288"/>
        <v>38325</v>
      </c>
      <c r="C360" s="301" t="e">
        <f t="shared" si="319"/>
        <v>#N/A</v>
      </c>
      <c r="D360" s="301" t="e">
        <f t="shared" si="289"/>
        <v>#N/A</v>
      </c>
      <c r="E360" s="299">
        <f t="shared" si="290"/>
        <v>339</v>
      </c>
      <c r="F360" s="396">
        <f>Weather!M344</f>
        <v>1.6</v>
      </c>
      <c r="G360" s="301">
        <f>IF(Weather!C344="","",Weather!C344)</f>
        <v>0.25148484365933355</v>
      </c>
      <c r="H360" s="301">
        <f>IF(Weather!D344="","",Weather!D344)</f>
        <v>0.23728039005273585</v>
      </c>
      <c r="I360" s="502">
        <f>IF(Weather!E344="","",Weather!E344)</f>
        <v>0.23728039005273585</v>
      </c>
      <c r="J360" s="397">
        <f>IF(RnSplint!N388&lt;0,0,RnSplint!N388)</f>
        <v>20.629739890841215</v>
      </c>
      <c r="K360" s="302">
        <f t="shared" si="320"/>
        <v>0</v>
      </c>
      <c r="L360" s="303">
        <f t="shared" si="321"/>
        <v>38325</v>
      </c>
      <c r="M360" s="346" t="str">
        <f t="shared" si="291"/>
        <v/>
      </c>
      <c r="N360" s="304">
        <f t="shared" si="322"/>
        <v>0</v>
      </c>
      <c r="O360" s="304">
        <f t="shared" si="323"/>
        <v>0</v>
      </c>
      <c r="P360" s="304">
        <f t="shared" si="292"/>
        <v>0</v>
      </c>
      <c r="Q360" s="304">
        <f t="shared" si="293"/>
        <v>1.2</v>
      </c>
      <c r="R360" s="304">
        <f t="shared" si="294"/>
        <v>1.2</v>
      </c>
      <c r="S360" s="305" t="e">
        <f t="shared" si="324"/>
        <v>#N/A</v>
      </c>
      <c r="T360" s="304">
        <f t="shared" si="295"/>
        <v>0</v>
      </c>
      <c r="U360" s="304">
        <f t="shared" si="334"/>
        <v>0</v>
      </c>
      <c r="V360" s="305" t="e">
        <f t="shared" si="296"/>
        <v>#N/A</v>
      </c>
      <c r="W360" s="305" t="e">
        <f t="shared" si="325"/>
        <v>#N/A</v>
      </c>
      <c r="X360" s="304">
        <f t="shared" si="326"/>
        <v>1.2</v>
      </c>
      <c r="Z360" s="304" t="str">
        <f t="shared" si="297"/>
        <v/>
      </c>
      <c r="AA360" s="305" t="e">
        <f t="shared" si="298"/>
        <v>#N/A</v>
      </c>
      <c r="AB360" s="304">
        <f t="shared" si="299"/>
        <v>0.28473646806328301</v>
      </c>
      <c r="AC360" s="304" t="str">
        <f t="shared" si="327"/>
        <v/>
      </c>
      <c r="AD360" s="306">
        <f t="shared" si="300"/>
        <v>0</v>
      </c>
      <c r="AE360" s="307">
        <f t="shared" si="328"/>
        <v>0.28473646806328301</v>
      </c>
      <c r="AF360" s="308" t="e">
        <f t="shared" si="281"/>
        <v>#N/A</v>
      </c>
      <c r="AG360" s="306">
        <f t="shared" si="329"/>
        <v>679.18808802064382</v>
      </c>
      <c r="AH360" s="306">
        <f t="shared" si="301"/>
        <v>0</v>
      </c>
      <c r="AI360" s="306">
        <f t="shared" si="330"/>
        <v>0</v>
      </c>
      <c r="AJ360" s="306">
        <f t="shared" si="331"/>
        <v>0</v>
      </c>
      <c r="AK360" s="306">
        <f t="shared" si="302"/>
        <v>0</v>
      </c>
      <c r="AL360" s="306">
        <f t="shared" si="332"/>
        <v>0</v>
      </c>
      <c r="AM360" s="306">
        <f t="shared" si="303"/>
        <v>0</v>
      </c>
      <c r="AN360" s="304">
        <f>KcSplint!$N389</f>
        <v>1.2028396802042496</v>
      </c>
      <c r="AO360" s="304" t="str">
        <f t="shared" si="304"/>
        <v/>
      </c>
      <c r="AP360" s="304" t="str">
        <f t="shared" si="333"/>
        <v/>
      </c>
      <c r="AQ360" s="305" t="e">
        <f t="shared" si="282"/>
        <v>#N/A</v>
      </c>
      <c r="AR360" s="304" t="str">
        <f t="shared" si="283"/>
        <v/>
      </c>
      <c r="AS360" s="306">
        <f t="shared" si="305"/>
        <v>0</v>
      </c>
      <c r="AT360" s="307" t="e">
        <f t="shared" si="284"/>
        <v>#N/A</v>
      </c>
      <c r="AU360" s="307" t="e">
        <f t="shared" si="285"/>
        <v>#N/A</v>
      </c>
      <c r="AV360" s="304">
        <f t="shared" si="306"/>
        <v>0.23728039005273585</v>
      </c>
      <c r="AW360" s="309">
        <f t="shared" si="307"/>
        <v>0.23728039005273585</v>
      </c>
      <c r="AX360" s="306">
        <f>IF(ISERROR(Weather!M344),#N/A,Weather!M344)</f>
        <v>1.6</v>
      </c>
      <c r="AY360" s="310">
        <f t="shared" si="308"/>
        <v>1</v>
      </c>
      <c r="AZ360" s="309">
        <f t="shared" si="309"/>
        <v>1.2</v>
      </c>
      <c r="BA360" s="309">
        <f t="shared" si="310"/>
        <v>251.79985441053992</v>
      </c>
      <c r="BB360" s="311">
        <f>Irrig!H362</f>
        <v>0</v>
      </c>
      <c r="BC360" s="310">
        <f t="shared" si="311"/>
        <v>0</v>
      </c>
      <c r="BD360" s="309">
        <f t="shared" si="312"/>
        <v>0</v>
      </c>
      <c r="BE360" s="309">
        <f t="shared" si="313"/>
        <v>0</v>
      </c>
      <c r="BF360" s="306">
        <f>DailyMet!H343</f>
        <v>2.0099999999999998</v>
      </c>
      <c r="BG360" s="306">
        <f>DailyMet!I343</f>
        <v>-0.5</v>
      </c>
      <c r="BH360" s="306">
        <f t="shared" si="314"/>
        <v>2.0099999999999998</v>
      </c>
      <c r="BI360" s="306">
        <f t="shared" si="315"/>
        <v>10</v>
      </c>
      <c r="BJ360" s="306">
        <f t="shared" si="316"/>
        <v>-3.9950000000000001</v>
      </c>
      <c r="BK360" s="306">
        <f t="shared" si="286"/>
        <v>0</v>
      </c>
      <c r="BL360" s="304">
        <f t="shared" si="317"/>
        <v>0</v>
      </c>
      <c r="BM360" s="304">
        <f t="shared" si="318"/>
        <v>0</v>
      </c>
      <c r="BN360" s="304">
        <f t="shared" si="335"/>
        <v>0</v>
      </c>
      <c r="BO360" s="306">
        <f t="shared" si="336"/>
        <v>0</v>
      </c>
      <c r="BP360" s="306"/>
    </row>
    <row r="361" spans="1:68">
      <c r="A361" s="299">
        <f t="shared" si="287"/>
        <v>0</v>
      </c>
      <c r="B361" s="300">
        <f t="shared" si="288"/>
        <v>38326</v>
      </c>
      <c r="C361" s="301" t="e">
        <f t="shared" si="319"/>
        <v>#N/A</v>
      </c>
      <c r="D361" s="301" t="e">
        <f t="shared" si="289"/>
        <v>#N/A</v>
      </c>
      <c r="E361" s="299">
        <f t="shared" si="290"/>
        <v>340</v>
      </c>
      <c r="F361" s="396">
        <f>Weather!M345</f>
        <v>0.2</v>
      </c>
      <c r="G361" s="301">
        <f>IF(Weather!C345="","",Weather!C345)</f>
        <v>0.2451989376295525</v>
      </c>
      <c r="H361" s="301">
        <f>IF(Weather!D345="","",Weather!D345)</f>
        <v>0.11819204647909157</v>
      </c>
      <c r="I361" s="502">
        <f>IF(Weather!E345="","",Weather!E345)</f>
        <v>0.11819204647909157</v>
      </c>
      <c r="J361" s="397">
        <f>IF(RnSplint!N389&lt;0,0,RnSplint!N389)</f>
        <v>19.966555393441137</v>
      </c>
      <c r="K361" s="302">
        <f t="shared" si="320"/>
        <v>0</v>
      </c>
      <c r="L361" s="303">
        <f t="shared" si="321"/>
        <v>38326</v>
      </c>
      <c r="M361" s="346" t="str">
        <f t="shared" si="291"/>
        <v/>
      </c>
      <c r="N361" s="304">
        <f t="shared" si="322"/>
        <v>0</v>
      </c>
      <c r="O361" s="304">
        <f t="shared" si="323"/>
        <v>0</v>
      </c>
      <c r="P361" s="304">
        <f t="shared" si="292"/>
        <v>0</v>
      </c>
      <c r="Q361" s="304">
        <f t="shared" si="293"/>
        <v>1.2</v>
      </c>
      <c r="R361" s="304">
        <f t="shared" si="294"/>
        <v>1.2</v>
      </c>
      <c r="S361" s="305" t="e">
        <f t="shared" si="324"/>
        <v>#N/A</v>
      </c>
      <c r="T361" s="304">
        <f t="shared" si="295"/>
        <v>0</v>
      </c>
      <c r="U361" s="304">
        <f t="shared" si="334"/>
        <v>0</v>
      </c>
      <c r="V361" s="305" t="e">
        <f t="shared" si="296"/>
        <v>#N/A</v>
      </c>
      <c r="W361" s="305" t="e">
        <f t="shared" si="325"/>
        <v>#N/A</v>
      </c>
      <c r="X361" s="304">
        <f t="shared" si="326"/>
        <v>1.2</v>
      </c>
      <c r="Z361" s="304" t="str">
        <f t="shared" si="297"/>
        <v/>
      </c>
      <c r="AA361" s="305" t="e">
        <f t="shared" si="298"/>
        <v>#N/A</v>
      </c>
      <c r="AB361" s="304">
        <f t="shared" si="299"/>
        <v>0.14183045577490988</v>
      </c>
      <c r="AC361" s="304" t="str">
        <f t="shared" si="327"/>
        <v/>
      </c>
      <c r="AD361" s="306">
        <f t="shared" si="300"/>
        <v>0</v>
      </c>
      <c r="AE361" s="307">
        <f t="shared" si="328"/>
        <v>0.14183045577490988</v>
      </c>
      <c r="AF361" s="308" t="e">
        <f t="shared" si="281"/>
        <v>#N/A</v>
      </c>
      <c r="AG361" s="306">
        <f t="shared" si="329"/>
        <v>679.30628006712288</v>
      </c>
      <c r="AH361" s="306">
        <f t="shared" si="301"/>
        <v>0</v>
      </c>
      <c r="AI361" s="306">
        <f t="shared" si="330"/>
        <v>0</v>
      </c>
      <c r="AJ361" s="306">
        <f t="shared" si="331"/>
        <v>0</v>
      </c>
      <c r="AK361" s="306">
        <f t="shared" si="302"/>
        <v>0</v>
      </c>
      <c r="AL361" s="306">
        <f t="shared" si="332"/>
        <v>0</v>
      </c>
      <c r="AM361" s="306">
        <f t="shared" si="303"/>
        <v>0</v>
      </c>
      <c r="AN361" s="304">
        <f>KcSplint!$N390</f>
        <v>1.2020060833515842</v>
      </c>
      <c r="AO361" s="304" t="str">
        <f t="shared" si="304"/>
        <v/>
      </c>
      <c r="AP361" s="304" t="str">
        <f t="shared" si="333"/>
        <v/>
      </c>
      <c r="AQ361" s="305" t="e">
        <f t="shared" si="282"/>
        <v>#N/A</v>
      </c>
      <c r="AR361" s="304" t="str">
        <f t="shared" si="283"/>
        <v/>
      </c>
      <c r="AS361" s="306">
        <f t="shared" si="305"/>
        <v>0</v>
      </c>
      <c r="AT361" s="307" t="e">
        <f t="shared" si="284"/>
        <v>#N/A</v>
      </c>
      <c r="AU361" s="307" t="e">
        <f t="shared" si="285"/>
        <v>#N/A</v>
      </c>
      <c r="AV361" s="304">
        <f t="shared" si="306"/>
        <v>0.11819204647909157</v>
      </c>
      <c r="AW361" s="309">
        <f t="shared" si="307"/>
        <v>0.35547243653182742</v>
      </c>
      <c r="AX361" s="306">
        <f>IF(ISERROR(Weather!M345),#N/A,Weather!M345)</f>
        <v>0.2</v>
      </c>
      <c r="AY361" s="310">
        <f t="shared" si="308"/>
        <v>2</v>
      </c>
      <c r="AZ361" s="309">
        <f t="shared" si="309"/>
        <v>1.2</v>
      </c>
      <c r="BA361" s="309">
        <f t="shared" si="310"/>
        <v>251.91804645701902</v>
      </c>
      <c r="BB361" s="311">
        <f>Irrig!H363</f>
        <v>0</v>
      </c>
      <c r="BC361" s="310">
        <f t="shared" si="311"/>
        <v>0</v>
      </c>
      <c r="BD361" s="309">
        <f t="shared" si="312"/>
        <v>0</v>
      </c>
      <c r="BE361" s="309">
        <f t="shared" si="313"/>
        <v>0</v>
      </c>
      <c r="BF361" s="306">
        <f>DailyMet!H344</f>
        <v>1.76</v>
      </c>
      <c r="BG361" s="306">
        <f>DailyMet!I344</f>
        <v>-1.3</v>
      </c>
      <c r="BH361" s="306">
        <f t="shared" si="314"/>
        <v>1.76</v>
      </c>
      <c r="BI361" s="306">
        <f t="shared" si="315"/>
        <v>10</v>
      </c>
      <c r="BJ361" s="306">
        <f t="shared" si="316"/>
        <v>-4.12</v>
      </c>
      <c r="BK361" s="306">
        <f t="shared" si="286"/>
        <v>0</v>
      </c>
      <c r="BL361" s="304">
        <f t="shared" si="317"/>
        <v>0</v>
      </c>
      <c r="BM361" s="304">
        <f t="shared" si="318"/>
        <v>0</v>
      </c>
      <c r="BN361" s="304">
        <f t="shared" si="335"/>
        <v>0</v>
      </c>
      <c r="BO361" s="306">
        <f t="shared" si="336"/>
        <v>0</v>
      </c>
      <c r="BP361" s="306"/>
    </row>
    <row r="362" spans="1:68">
      <c r="A362" s="299">
        <f t="shared" si="287"/>
        <v>0</v>
      </c>
      <c r="B362" s="300">
        <f t="shared" si="288"/>
        <v>38327</v>
      </c>
      <c r="C362" s="301" t="e">
        <f t="shared" si="319"/>
        <v>#N/A</v>
      </c>
      <c r="D362" s="301" t="e">
        <f t="shared" si="289"/>
        <v>#N/A</v>
      </c>
      <c r="E362" s="299">
        <f t="shared" si="290"/>
        <v>341</v>
      </c>
      <c r="F362" s="396">
        <f>Weather!M346</f>
        <v>0.2</v>
      </c>
      <c r="G362" s="301">
        <f>IF(Weather!C346="","",Weather!C346)</f>
        <v>0.23929657540191829</v>
      </c>
      <c r="H362" s="301">
        <f>IF(Weather!D346="","",Weather!D346)</f>
        <v>0.27091712366785692</v>
      </c>
      <c r="I362" s="502">
        <f>IF(Weather!E346="","",Weather!E346)</f>
        <v>0.27091712366785692</v>
      </c>
      <c r="J362" s="397">
        <f>IF(RnSplint!N390&lt;0,0,RnSplint!N390)</f>
        <v>19.32691786739905</v>
      </c>
      <c r="K362" s="302">
        <f t="shared" si="320"/>
        <v>0</v>
      </c>
      <c r="L362" s="303">
        <f t="shared" si="321"/>
        <v>38327</v>
      </c>
      <c r="M362" s="346" t="str">
        <f t="shared" si="291"/>
        <v/>
      </c>
      <c r="N362" s="304">
        <f t="shared" si="322"/>
        <v>0</v>
      </c>
      <c r="O362" s="304">
        <f t="shared" si="323"/>
        <v>0</v>
      </c>
      <c r="P362" s="304">
        <f t="shared" si="292"/>
        <v>0</v>
      </c>
      <c r="Q362" s="304">
        <f t="shared" si="293"/>
        <v>1.2</v>
      </c>
      <c r="R362" s="304">
        <f t="shared" si="294"/>
        <v>1.2</v>
      </c>
      <c r="S362" s="305" t="e">
        <f t="shared" si="324"/>
        <v>#N/A</v>
      </c>
      <c r="T362" s="304">
        <f t="shared" si="295"/>
        <v>0</v>
      </c>
      <c r="U362" s="304">
        <f t="shared" si="334"/>
        <v>0</v>
      </c>
      <c r="V362" s="305" t="e">
        <f t="shared" si="296"/>
        <v>#N/A</v>
      </c>
      <c r="W362" s="305" t="e">
        <f t="shared" si="325"/>
        <v>#N/A</v>
      </c>
      <c r="X362" s="304">
        <f t="shared" si="326"/>
        <v>1.2</v>
      </c>
      <c r="Z362" s="304" t="str">
        <f t="shared" si="297"/>
        <v/>
      </c>
      <c r="AA362" s="305" t="e">
        <f t="shared" si="298"/>
        <v>#N/A</v>
      </c>
      <c r="AB362" s="304">
        <f t="shared" si="299"/>
        <v>0.32510054840142827</v>
      </c>
      <c r="AC362" s="304" t="str">
        <f t="shared" si="327"/>
        <v/>
      </c>
      <c r="AD362" s="306">
        <f t="shared" si="300"/>
        <v>0</v>
      </c>
      <c r="AE362" s="307">
        <f t="shared" si="328"/>
        <v>0.32510054840142827</v>
      </c>
      <c r="AF362" s="308" t="e">
        <f t="shared" si="281"/>
        <v>#N/A</v>
      </c>
      <c r="AG362" s="306">
        <f t="shared" si="329"/>
        <v>679.57719719079068</v>
      </c>
      <c r="AH362" s="306">
        <f t="shared" si="301"/>
        <v>0</v>
      </c>
      <c r="AI362" s="306">
        <f t="shared" si="330"/>
        <v>0</v>
      </c>
      <c r="AJ362" s="306">
        <f t="shared" si="331"/>
        <v>0</v>
      </c>
      <c r="AK362" s="306">
        <f t="shared" si="302"/>
        <v>0</v>
      </c>
      <c r="AL362" s="306">
        <f t="shared" si="332"/>
        <v>0</v>
      </c>
      <c r="AM362" s="306">
        <f t="shared" si="303"/>
        <v>0</v>
      </c>
      <c r="AN362" s="304">
        <f>KcSplint!$N391</f>
        <v>1.2012158030026527</v>
      </c>
      <c r="AO362" s="304" t="str">
        <f t="shared" si="304"/>
        <v/>
      </c>
      <c r="AP362" s="304" t="str">
        <f t="shared" si="333"/>
        <v/>
      </c>
      <c r="AQ362" s="305" t="e">
        <f t="shared" si="282"/>
        <v>#N/A</v>
      </c>
      <c r="AR362" s="304" t="str">
        <f t="shared" si="283"/>
        <v/>
      </c>
      <c r="AS362" s="306">
        <f t="shared" si="305"/>
        <v>0</v>
      </c>
      <c r="AT362" s="307" t="e">
        <f t="shared" si="284"/>
        <v>#N/A</v>
      </c>
      <c r="AU362" s="307" t="e">
        <f t="shared" si="285"/>
        <v>#N/A</v>
      </c>
      <c r="AV362" s="304">
        <f t="shared" si="306"/>
        <v>0.27091712366785692</v>
      </c>
      <c r="AW362" s="309">
        <f t="shared" si="307"/>
        <v>0.62638956019968428</v>
      </c>
      <c r="AX362" s="306">
        <f>IF(ISERROR(Weather!M346),#N/A,Weather!M346)</f>
        <v>0.2</v>
      </c>
      <c r="AY362" s="310">
        <f t="shared" si="308"/>
        <v>3</v>
      </c>
      <c r="AZ362" s="309">
        <f t="shared" si="309"/>
        <v>1.2</v>
      </c>
      <c r="BA362" s="309">
        <f t="shared" si="310"/>
        <v>252.18896358068687</v>
      </c>
      <c r="BB362" s="311">
        <f>Irrig!H364</f>
        <v>0</v>
      </c>
      <c r="BC362" s="310">
        <f t="shared" si="311"/>
        <v>0</v>
      </c>
      <c r="BD362" s="309">
        <f t="shared" si="312"/>
        <v>0</v>
      </c>
      <c r="BE362" s="309">
        <f t="shared" si="313"/>
        <v>0</v>
      </c>
      <c r="BF362" s="306">
        <f>DailyMet!H345</f>
        <v>1.44</v>
      </c>
      <c r="BG362" s="306">
        <f>DailyMet!I345</f>
        <v>-2.4</v>
      </c>
      <c r="BH362" s="306">
        <f t="shared" si="314"/>
        <v>1.44</v>
      </c>
      <c r="BI362" s="306">
        <f t="shared" si="315"/>
        <v>10</v>
      </c>
      <c r="BJ362" s="306">
        <f t="shared" si="316"/>
        <v>-4.28</v>
      </c>
      <c r="BK362" s="306">
        <f t="shared" si="286"/>
        <v>0</v>
      </c>
      <c r="BL362" s="304">
        <f t="shared" si="317"/>
        <v>0</v>
      </c>
      <c r="BM362" s="304">
        <f t="shared" si="318"/>
        <v>0</v>
      </c>
      <c r="BN362" s="304">
        <f t="shared" si="335"/>
        <v>0</v>
      </c>
      <c r="BO362" s="306">
        <f t="shared" si="336"/>
        <v>0</v>
      </c>
      <c r="BP362" s="306"/>
    </row>
    <row r="363" spans="1:68">
      <c r="A363" s="299">
        <f t="shared" si="287"/>
        <v>0</v>
      </c>
      <c r="B363" s="300">
        <f t="shared" si="288"/>
        <v>38328</v>
      </c>
      <c r="C363" s="301" t="e">
        <f t="shared" si="319"/>
        <v>#N/A</v>
      </c>
      <c r="D363" s="301" t="e">
        <f t="shared" si="289"/>
        <v>#N/A</v>
      </c>
      <c r="E363" s="299">
        <f t="shared" si="290"/>
        <v>342</v>
      </c>
      <c r="F363" s="396">
        <f>Weather!M347</f>
        <v>0</v>
      </c>
      <c r="G363" s="301">
        <f>IF(Weather!C347="","",Weather!C347)</f>
        <v>0.23377974860483236</v>
      </c>
      <c r="H363" s="301">
        <f>IF(Weather!D347="","",Weather!D347)</f>
        <v>0.16740153746264114</v>
      </c>
      <c r="I363" s="502">
        <f>IF(Weather!E347="","",Weather!E347)</f>
        <v>0.16740153746264114</v>
      </c>
      <c r="J363" s="397">
        <f>IF(RnSplint!N391&lt;0,0,RnSplint!N391)</f>
        <v>18.716619921661923</v>
      </c>
      <c r="K363" s="302">
        <f t="shared" si="320"/>
        <v>0</v>
      </c>
      <c r="L363" s="303">
        <f t="shared" si="321"/>
        <v>38328</v>
      </c>
      <c r="M363" s="346" t="str">
        <f t="shared" si="291"/>
        <v/>
      </c>
      <c r="N363" s="304">
        <f t="shared" si="322"/>
        <v>0</v>
      </c>
      <c r="O363" s="304">
        <f t="shared" si="323"/>
        <v>0</v>
      </c>
      <c r="P363" s="304">
        <f t="shared" si="292"/>
        <v>0</v>
      </c>
      <c r="Q363" s="304">
        <f t="shared" si="293"/>
        <v>1.2</v>
      </c>
      <c r="R363" s="304">
        <f t="shared" si="294"/>
        <v>1.2</v>
      </c>
      <c r="S363" s="305" t="e">
        <f t="shared" si="324"/>
        <v>#N/A</v>
      </c>
      <c r="T363" s="304">
        <f t="shared" si="295"/>
        <v>0</v>
      </c>
      <c r="U363" s="304">
        <f t="shared" si="334"/>
        <v>0</v>
      </c>
      <c r="V363" s="305" t="e">
        <f t="shared" si="296"/>
        <v>#N/A</v>
      </c>
      <c r="W363" s="305" t="e">
        <f t="shared" si="325"/>
        <v>#N/A</v>
      </c>
      <c r="X363" s="304">
        <f t="shared" si="326"/>
        <v>1.2</v>
      </c>
      <c r="Z363" s="304" t="str">
        <f t="shared" si="297"/>
        <v/>
      </c>
      <c r="AA363" s="305" t="e">
        <f t="shared" si="298"/>
        <v>#N/A</v>
      </c>
      <c r="AB363" s="304">
        <f t="shared" si="299"/>
        <v>0.20088184495516936</v>
      </c>
      <c r="AC363" s="304" t="str">
        <f t="shared" si="327"/>
        <v/>
      </c>
      <c r="AD363" s="306">
        <f t="shared" si="300"/>
        <v>0</v>
      </c>
      <c r="AE363" s="307">
        <f t="shared" si="328"/>
        <v>0.20088184495516936</v>
      </c>
      <c r="AF363" s="308" t="e">
        <f t="shared" si="281"/>
        <v>#N/A</v>
      </c>
      <c r="AG363" s="306">
        <f t="shared" si="329"/>
        <v>679.74459872825332</v>
      </c>
      <c r="AH363" s="306">
        <f t="shared" si="301"/>
        <v>0</v>
      </c>
      <c r="AI363" s="306">
        <f t="shared" si="330"/>
        <v>0</v>
      </c>
      <c r="AJ363" s="306">
        <f t="shared" si="331"/>
        <v>0</v>
      </c>
      <c r="AK363" s="306">
        <f t="shared" si="302"/>
        <v>0</v>
      </c>
      <c r="AL363" s="306">
        <f t="shared" si="332"/>
        <v>0</v>
      </c>
      <c r="AM363" s="306">
        <f t="shared" si="303"/>
        <v>0</v>
      </c>
      <c r="AN363" s="304">
        <f>KcSplint!$N392</f>
        <v>1.2004927632633318</v>
      </c>
      <c r="AO363" s="304" t="str">
        <f t="shared" si="304"/>
        <v/>
      </c>
      <c r="AP363" s="304" t="str">
        <f t="shared" si="333"/>
        <v/>
      </c>
      <c r="AQ363" s="305" t="e">
        <f t="shared" si="282"/>
        <v>#N/A</v>
      </c>
      <c r="AR363" s="304" t="str">
        <f t="shared" si="283"/>
        <v/>
      </c>
      <c r="AS363" s="306">
        <f t="shared" si="305"/>
        <v>0</v>
      </c>
      <c r="AT363" s="307" t="e">
        <f t="shared" si="284"/>
        <v>#N/A</v>
      </c>
      <c r="AU363" s="307" t="e">
        <f t="shared" si="285"/>
        <v>#N/A</v>
      </c>
      <c r="AV363" s="304">
        <f t="shared" si="306"/>
        <v>0.16740153746264114</v>
      </c>
      <c r="AW363" s="309">
        <f t="shared" si="307"/>
        <v>0.79379109766232547</v>
      </c>
      <c r="AX363" s="306">
        <f>IF(ISERROR(Weather!M347),#N/A,Weather!M347)</f>
        <v>0</v>
      </c>
      <c r="AY363" s="310">
        <f t="shared" si="308"/>
        <v>4</v>
      </c>
      <c r="AZ363" s="309">
        <f t="shared" si="309"/>
        <v>1.2</v>
      </c>
      <c r="BA363" s="309">
        <f t="shared" si="310"/>
        <v>252.35636511814951</v>
      </c>
      <c r="BB363" s="311">
        <f>Irrig!H365</f>
        <v>0</v>
      </c>
      <c r="BC363" s="310">
        <f t="shared" si="311"/>
        <v>0</v>
      </c>
      <c r="BD363" s="309">
        <f t="shared" si="312"/>
        <v>0</v>
      </c>
      <c r="BE363" s="309">
        <f t="shared" si="313"/>
        <v>0</v>
      </c>
      <c r="BF363" s="306">
        <f>DailyMet!H346</f>
        <v>0.3</v>
      </c>
      <c r="BG363" s="306">
        <f>DailyMet!I346</f>
        <v>-2.4</v>
      </c>
      <c r="BH363" s="306">
        <f t="shared" si="314"/>
        <v>0.3</v>
      </c>
      <c r="BI363" s="306">
        <f t="shared" si="315"/>
        <v>10</v>
      </c>
      <c r="BJ363" s="306">
        <f t="shared" si="316"/>
        <v>-4.8499999999999996</v>
      </c>
      <c r="BK363" s="306">
        <f t="shared" si="286"/>
        <v>0</v>
      </c>
      <c r="BL363" s="304">
        <f t="shared" si="317"/>
        <v>0</v>
      </c>
      <c r="BM363" s="304">
        <f t="shared" si="318"/>
        <v>0</v>
      </c>
      <c r="BN363" s="304">
        <f t="shared" si="335"/>
        <v>0</v>
      </c>
      <c r="BO363" s="306">
        <f t="shared" si="336"/>
        <v>0</v>
      </c>
      <c r="BP363" s="306"/>
    </row>
    <row r="364" spans="1:68">
      <c r="A364" s="299">
        <f t="shared" si="287"/>
        <v>0</v>
      </c>
      <c r="B364" s="300">
        <f t="shared" si="288"/>
        <v>38329</v>
      </c>
      <c r="C364" s="301" t="e">
        <f t="shared" si="319"/>
        <v>#N/A</v>
      </c>
      <c r="D364" s="301" t="e">
        <f t="shared" si="289"/>
        <v>#N/A</v>
      </c>
      <c r="E364" s="299">
        <f t="shared" si="290"/>
        <v>343</v>
      </c>
      <c r="F364" s="396">
        <f>Weather!M348</f>
        <v>1.8</v>
      </c>
      <c r="G364" s="301">
        <f>IF(Weather!C348="","",Weather!C348)</f>
        <v>0.22865044886669617</v>
      </c>
      <c r="H364" s="301">
        <f>IF(Weather!D348="","",Weather!D348)</f>
        <v>0.22609620971568736</v>
      </c>
      <c r="I364" s="502">
        <f>IF(Weather!E348="","",Weather!E348)</f>
        <v>0.22609620971568736</v>
      </c>
      <c r="J364" s="397">
        <f>IF(RnSplint!N392&lt;0,0,RnSplint!N392)</f>
        <v>18.141454165176714</v>
      </c>
      <c r="K364" s="302">
        <f t="shared" si="320"/>
        <v>0</v>
      </c>
      <c r="L364" s="303">
        <f t="shared" si="321"/>
        <v>38329</v>
      </c>
      <c r="M364" s="346" t="str">
        <f t="shared" si="291"/>
        <v/>
      </c>
      <c r="N364" s="304">
        <f t="shared" si="322"/>
        <v>0</v>
      </c>
      <c r="O364" s="304">
        <f t="shared" si="323"/>
        <v>0</v>
      </c>
      <c r="P364" s="304">
        <f t="shared" si="292"/>
        <v>0</v>
      </c>
      <c r="Q364" s="304">
        <f t="shared" si="293"/>
        <v>1.2</v>
      </c>
      <c r="R364" s="304">
        <f t="shared" si="294"/>
        <v>1.2</v>
      </c>
      <c r="S364" s="305" t="e">
        <f t="shared" si="324"/>
        <v>#N/A</v>
      </c>
      <c r="T364" s="304">
        <f t="shared" si="295"/>
        <v>0</v>
      </c>
      <c r="U364" s="304">
        <f t="shared" si="334"/>
        <v>0</v>
      </c>
      <c r="V364" s="305" t="e">
        <f t="shared" si="296"/>
        <v>#N/A</v>
      </c>
      <c r="W364" s="305" t="e">
        <f t="shared" si="325"/>
        <v>#N/A</v>
      </c>
      <c r="X364" s="304">
        <f t="shared" si="326"/>
        <v>1.2</v>
      </c>
      <c r="Z364" s="304" t="str">
        <f t="shared" si="297"/>
        <v/>
      </c>
      <c r="AA364" s="305" t="e">
        <f t="shared" si="298"/>
        <v>#N/A</v>
      </c>
      <c r="AB364" s="304">
        <f t="shared" si="299"/>
        <v>0.27131545165882481</v>
      </c>
      <c r="AC364" s="304" t="str">
        <f t="shared" si="327"/>
        <v/>
      </c>
      <c r="AD364" s="306">
        <f t="shared" si="300"/>
        <v>0</v>
      </c>
      <c r="AE364" s="307">
        <f t="shared" si="328"/>
        <v>0.27131545165882481</v>
      </c>
      <c r="AF364" s="308" t="e">
        <f t="shared" si="281"/>
        <v>#N/A</v>
      </c>
      <c r="AG364" s="306">
        <f t="shared" si="329"/>
        <v>679.97069493796903</v>
      </c>
      <c r="AH364" s="306">
        <f t="shared" si="301"/>
        <v>0</v>
      </c>
      <c r="AI364" s="306">
        <f t="shared" si="330"/>
        <v>0</v>
      </c>
      <c r="AJ364" s="306">
        <f t="shared" si="331"/>
        <v>0</v>
      </c>
      <c r="AK364" s="306">
        <f t="shared" si="302"/>
        <v>0</v>
      </c>
      <c r="AL364" s="306">
        <f t="shared" si="332"/>
        <v>0</v>
      </c>
      <c r="AM364" s="306">
        <f t="shared" si="303"/>
        <v>0</v>
      </c>
      <c r="AN364" s="304">
        <f>KcSplint!$N393</f>
        <v>1.199860888239499</v>
      </c>
      <c r="AO364" s="304" t="str">
        <f t="shared" si="304"/>
        <v/>
      </c>
      <c r="AP364" s="304" t="str">
        <f t="shared" si="333"/>
        <v/>
      </c>
      <c r="AQ364" s="305" t="e">
        <f t="shared" si="282"/>
        <v>#N/A</v>
      </c>
      <c r="AR364" s="304" t="str">
        <f t="shared" si="283"/>
        <v/>
      </c>
      <c r="AS364" s="306">
        <f t="shared" si="305"/>
        <v>0</v>
      </c>
      <c r="AT364" s="307" t="e">
        <f t="shared" si="284"/>
        <v>#N/A</v>
      </c>
      <c r="AU364" s="307" t="e">
        <f t="shared" si="285"/>
        <v>#N/A</v>
      </c>
      <c r="AV364" s="304">
        <f t="shared" si="306"/>
        <v>0.22609620971568736</v>
      </c>
      <c r="AW364" s="309">
        <f t="shared" si="307"/>
        <v>0.22609620971568736</v>
      </c>
      <c r="AX364" s="306">
        <f>IF(ISERROR(Weather!M348),#N/A,Weather!M348)</f>
        <v>1.8</v>
      </c>
      <c r="AY364" s="310">
        <f t="shared" si="308"/>
        <v>1</v>
      </c>
      <c r="AZ364" s="309">
        <f t="shared" si="309"/>
        <v>1.2</v>
      </c>
      <c r="BA364" s="309">
        <f t="shared" si="310"/>
        <v>252.58246132786519</v>
      </c>
      <c r="BB364" s="311">
        <f>Irrig!H366</f>
        <v>0</v>
      </c>
      <c r="BC364" s="310">
        <f t="shared" si="311"/>
        <v>0</v>
      </c>
      <c r="BD364" s="309">
        <f t="shared" si="312"/>
        <v>0</v>
      </c>
      <c r="BE364" s="309">
        <f t="shared" si="313"/>
        <v>0</v>
      </c>
      <c r="BF364" s="306">
        <f>DailyMet!H347</f>
        <v>-1.38</v>
      </c>
      <c r="BG364" s="306">
        <f>DailyMet!I347</f>
        <v>-6.5</v>
      </c>
      <c r="BH364" s="306">
        <f t="shared" si="314"/>
        <v>-1.38</v>
      </c>
      <c r="BI364" s="306">
        <f t="shared" si="315"/>
        <v>10</v>
      </c>
      <c r="BJ364" s="306">
        <f t="shared" si="316"/>
        <v>-5.6899999999999995</v>
      </c>
      <c r="BK364" s="306">
        <f t="shared" si="286"/>
        <v>0</v>
      </c>
      <c r="BL364" s="304">
        <f t="shared" si="317"/>
        <v>0</v>
      </c>
      <c r="BM364" s="304">
        <f t="shared" si="318"/>
        <v>0</v>
      </c>
      <c r="BN364" s="304">
        <f t="shared" si="335"/>
        <v>0</v>
      </c>
      <c r="BO364" s="306">
        <f t="shared" si="336"/>
        <v>0</v>
      </c>
      <c r="BP364" s="306"/>
    </row>
    <row r="365" spans="1:68">
      <c r="A365" s="299">
        <f t="shared" si="287"/>
        <v>0</v>
      </c>
      <c r="B365" s="300">
        <f t="shared" si="288"/>
        <v>38330</v>
      </c>
      <c r="C365" s="301" t="e">
        <f t="shared" si="319"/>
        <v>#N/A</v>
      </c>
      <c r="D365" s="301" t="e">
        <f t="shared" si="289"/>
        <v>#N/A</v>
      </c>
      <c r="E365" s="299">
        <f t="shared" si="290"/>
        <v>344</v>
      </c>
      <c r="F365" s="396">
        <f>Weather!M349</f>
        <v>3.4</v>
      </c>
      <c r="G365" s="301">
        <f>IF(Weather!C349="","",Weather!C349)</f>
        <v>0.22391066781591129</v>
      </c>
      <c r="H365" s="301">
        <f>IF(Weather!D349="","",Weather!D349)</f>
        <v>0.15022959251795459</v>
      </c>
      <c r="I365" s="502">
        <f>IF(Weather!E349="","",Weather!E349)</f>
        <v>0.15022959251795459</v>
      </c>
      <c r="J365" s="397">
        <f>IF(RnSplint!N393&lt;0,0,RnSplint!N393)</f>
        <v>17.6072132068904</v>
      </c>
      <c r="K365" s="302">
        <f t="shared" si="320"/>
        <v>0</v>
      </c>
      <c r="L365" s="303">
        <f t="shared" si="321"/>
        <v>38330</v>
      </c>
      <c r="M365" s="346" t="str">
        <f t="shared" si="291"/>
        <v/>
      </c>
      <c r="N365" s="304">
        <f t="shared" si="322"/>
        <v>0</v>
      </c>
      <c r="O365" s="304">
        <f t="shared" si="323"/>
        <v>0</v>
      </c>
      <c r="P365" s="304">
        <f t="shared" si="292"/>
        <v>0</v>
      </c>
      <c r="Q365" s="304">
        <f t="shared" si="293"/>
        <v>1.2</v>
      </c>
      <c r="R365" s="304">
        <f t="shared" si="294"/>
        <v>1.2</v>
      </c>
      <c r="S365" s="305" t="e">
        <f t="shared" si="324"/>
        <v>#N/A</v>
      </c>
      <c r="T365" s="304">
        <f t="shared" si="295"/>
        <v>0</v>
      </c>
      <c r="U365" s="304">
        <f t="shared" si="334"/>
        <v>0</v>
      </c>
      <c r="V365" s="305" t="e">
        <f t="shared" si="296"/>
        <v>#N/A</v>
      </c>
      <c r="W365" s="305" t="e">
        <f t="shared" si="325"/>
        <v>#N/A</v>
      </c>
      <c r="X365" s="304">
        <f t="shared" si="326"/>
        <v>1.2</v>
      </c>
      <c r="Z365" s="304" t="str">
        <f t="shared" si="297"/>
        <v/>
      </c>
      <c r="AA365" s="305" t="e">
        <f t="shared" si="298"/>
        <v>#N/A</v>
      </c>
      <c r="AB365" s="304">
        <f t="shared" si="299"/>
        <v>0.18027551102154551</v>
      </c>
      <c r="AC365" s="304" t="str">
        <f t="shared" si="327"/>
        <v/>
      </c>
      <c r="AD365" s="306">
        <f t="shared" si="300"/>
        <v>0</v>
      </c>
      <c r="AE365" s="307">
        <f t="shared" si="328"/>
        <v>0.18027551102154551</v>
      </c>
      <c r="AF365" s="308" t="e">
        <f t="shared" si="281"/>
        <v>#N/A</v>
      </c>
      <c r="AG365" s="306">
        <f t="shared" si="329"/>
        <v>680.12092453048695</v>
      </c>
      <c r="AH365" s="306">
        <f t="shared" si="301"/>
        <v>0</v>
      </c>
      <c r="AI365" s="306">
        <f t="shared" si="330"/>
        <v>0</v>
      </c>
      <c r="AJ365" s="306">
        <f t="shared" si="331"/>
        <v>0</v>
      </c>
      <c r="AK365" s="306">
        <f t="shared" si="302"/>
        <v>0</v>
      </c>
      <c r="AL365" s="306">
        <f t="shared" si="332"/>
        <v>0</v>
      </c>
      <c r="AM365" s="306">
        <f t="shared" si="303"/>
        <v>0</v>
      </c>
      <c r="AN365" s="304">
        <f>KcSplint!$N394</f>
        <v>1.199344102037031</v>
      </c>
      <c r="AO365" s="304" t="str">
        <f t="shared" si="304"/>
        <v/>
      </c>
      <c r="AP365" s="304" t="str">
        <f t="shared" si="333"/>
        <v/>
      </c>
      <c r="AQ365" s="305" t="e">
        <f t="shared" si="282"/>
        <v>#N/A</v>
      </c>
      <c r="AR365" s="304" t="str">
        <f t="shared" si="283"/>
        <v/>
      </c>
      <c r="AS365" s="306">
        <f t="shared" si="305"/>
        <v>0</v>
      </c>
      <c r="AT365" s="307" t="e">
        <f t="shared" si="284"/>
        <v>#N/A</v>
      </c>
      <c r="AU365" s="307" t="e">
        <f t="shared" si="285"/>
        <v>#N/A</v>
      </c>
      <c r="AV365" s="304">
        <f t="shared" si="306"/>
        <v>0.15022959251795459</v>
      </c>
      <c r="AW365" s="309">
        <f t="shared" si="307"/>
        <v>0.15022959251795459</v>
      </c>
      <c r="AX365" s="306">
        <f>IF(ISERROR(Weather!M349),#N/A,Weather!M349)</f>
        <v>3.4</v>
      </c>
      <c r="AY365" s="310">
        <f t="shared" si="308"/>
        <v>1</v>
      </c>
      <c r="AZ365" s="309">
        <f t="shared" si="309"/>
        <v>1.2</v>
      </c>
      <c r="BA365" s="309">
        <f t="shared" si="310"/>
        <v>252.73269092038313</v>
      </c>
      <c r="BB365" s="311">
        <f>Irrig!H367</f>
        <v>0</v>
      </c>
      <c r="BC365" s="310">
        <f t="shared" si="311"/>
        <v>0</v>
      </c>
      <c r="BD365" s="309">
        <f t="shared" si="312"/>
        <v>0</v>
      </c>
      <c r="BE365" s="309">
        <f t="shared" si="313"/>
        <v>0</v>
      </c>
      <c r="BF365" s="306">
        <f>DailyMet!H348</f>
        <v>-2.21</v>
      </c>
      <c r="BG365" s="306">
        <f>DailyMet!I348</f>
        <v>-7.4</v>
      </c>
      <c r="BH365" s="306">
        <f t="shared" si="314"/>
        <v>-2.21</v>
      </c>
      <c r="BI365" s="306">
        <f t="shared" si="315"/>
        <v>10</v>
      </c>
      <c r="BJ365" s="306">
        <f t="shared" si="316"/>
        <v>-6.1050000000000004</v>
      </c>
      <c r="BK365" s="306">
        <f t="shared" si="286"/>
        <v>0</v>
      </c>
      <c r="BL365" s="304">
        <f t="shared" si="317"/>
        <v>0</v>
      </c>
      <c r="BM365" s="304">
        <f t="shared" si="318"/>
        <v>0</v>
      </c>
      <c r="BN365" s="304">
        <f t="shared" si="335"/>
        <v>0</v>
      </c>
      <c r="BO365" s="306">
        <f t="shared" si="336"/>
        <v>0</v>
      </c>
      <c r="BP365" s="306"/>
    </row>
    <row r="366" spans="1:68">
      <c r="A366" s="299">
        <f t="shared" si="287"/>
        <v>0</v>
      </c>
      <c r="B366" s="300">
        <f t="shared" si="288"/>
        <v>38331</v>
      </c>
      <c r="C366" s="301" t="e">
        <f t="shared" si="319"/>
        <v>#N/A</v>
      </c>
      <c r="D366" s="301" t="e">
        <f t="shared" si="289"/>
        <v>#N/A</v>
      </c>
      <c r="E366" s="299">
        <f t="shared" si="290"/>
        <v>345</v>
      </c>
      <c r="F366" s="396">
        <f>Weather!M350</f>
        <v>0.4</v>
      </c>
      <c r="G366" s="301">
        <f>IF(Weather!C350="","",Weather!C350)</f>
        <v>0.2195623970808793</v>
      </c>
      <c r="H366" s="301">
        <f>IF(Weather!D350="","",Weather!D350)</f>
        <v>0.15350220716630447</v>
      </c>
      <c r="I366" s="502">
        <f>IF(Weather!E350="","",Weather!E350)</f>
        <v>0.15350220716630447</v>
      </c>
      <c r="J366" s="397">
        <f>IF(RnSplint!N394&lt;0,0,RnSplint!N394)</f>
        <v>17.11968965574993</v>
      </c>
      <c r="K366" s="302">
        <f t="shared" si="320"/>
        <v>0</v>
      </c>
      <c r="L366" s="303">
        <f t="shared" si="321"/>
        <v>38331</v>
      </c>
      <c r="M366" s="346" t="str">
        <f t="shared" si="291"/>
        <v/>
      </c>
      <c r="N366" s="304">
        <f t="shared" si="322"/>
        <v>0</v>
      </c>
      <c r="O366" s="304">
        <f t="shared" si="323"/>
        <v>0</v>
      </c>
      <c r="P366" s="304">
        <f t="shared" si="292"/>
        <v>0</v>
      </c>
      <c r="Q366" s="304">
        <f t="shared" si="293"/>
        <v>1.2</v>
      </c>
      <c r="R366" s="304">
        <f t="shared" si="294"/>
        <v>1.2</v>
      </c>
      <c r="S366" s="305" t="e">
        <f t="shared" si="324"/>
        <v>#N/A</v>
      </c>
      <c r="T366" s="304">
        <f t="shared" si="295"/>
        <v>0</v>
      </c>
      <c r="U366" s="304">
        <f t="shared" si="334"/>
        <v>0</v>
      </c>
      <c r="V366" s="305" t="e">
        <f t="shared" si="296"/>
        <v>#N/A</v>
      </c>
      <c r="W366" s="305" t="e">
        <f t="shared" si="325"/>
        <v>#N/A</v>
      </c>
      <c r="X366" s="304">
        <f t="shared" si="326"/>
        <v>1.2</v>
      </c>
      <c r="Z366" s="304" t="str">
        <f t="shared" si="297"/>
        <v/>
      </c>
      <c r="AA366" s="305" t="e">
        <f t="shared" si="298"/>
        <v>#N/A</v>
      </c>
      <c r="AB366" s="304">
        <f t="shared" si="299"/>
        <v>0.18420264859956537</v>
      </c>
      <c r="AC366" s="304" t="str">
        <f t="shared" si="327"/>
        <v/>
      </c>
      <c r="AD366" s="306">
        <f t="shared" si="300"/>
        <v>0</v>
      </c>
      <c r="AE366" s="307">
        <f t="shared" si="328"/>
        <v>0.18420264859956537</v>
      </c>
      <c r="AF366" s="308" t="e">
        <f t="shared" si="281"/>
        <v>#N/A</v>
      </c>
      <c r="AG366" s="306">
        <f t="shared" si="329"/>
        <v>680.27442673765324</v>
      </c>
      <c r="AH366" s="306">
        <f t="shared" si="301"/>
        <v>0</v>
      </c>
      <c r="AI366" s="306">
        <f t="shared" si="330"/>
        <v>0</v>
      </c>
      <c r="AJ366" s="306">
        <f t="shared" si="331"/>
        <v>0</v>
      </c>
      <c r="AK366" s="306">
        <f t="shared" si="302"/>
        <v>0</v>
      </c>
      <c r="AL366" s="306">
        <f t="shared" si="332"/>
        <v>0</v>
      </c>
      <c r="AM366" s="306">
        <f t="shared" si="303"/>
        <v>0</v>
      </c>
      <c r="AN366" s="304">
        <f>KcSplint!$N395</f>
        <v>1.1989663287618051</v>
      </c>
      <c r="AO366" s="304" t="str">
        <f t="shared" si="304"/>
        <v/>
      </c>
      <c r="AP366" s="304" t="str">
        <f t="shared" si="333"/>
        <v/>
      </c>
      <c r="AQ366" s="305" t="e">
        <f t="shared" si="282"/>
        <v>#N/A</v>
      </c>
      <c r="AR366" s="304" t="str">
        <f t="shared" si="283"/>
        <v/>
      </c>
      <c r="AS366" s="306">
        <f t="shared" si="305"/>
        <v>0</v>
      </c>
      <c r="AT366" s="307" t="e">
        <f t="shared" si="284"/>
        <v>#N/A</v>
      </c>
      <c r="AU366" s="307" t="e">
        <f t="shared" si="285"/>
        <v>#N/A</v>
      </c>
      <c r="AV366" s="304">
        <f t="shared" si="306"/>
        <v>0.15350220716630447</v>
      </c>
      <c r="AW366" s="309">
        <f t="shared" si="307"/>
        <v>0.15350220716630447</v>
      </c>
      <c r="AX366" s="306">
        <f>IF(ISERROR(Weather!M350),#N/A,Weather!M350)</f>
        <v>0.4</v>
      </c>
      <c r="AY366" s="310">
        <f t="shared" si="308"/>
        <v>1</v>
      </c>
      <c r="AZ366" s="309">
        <f t="shared" si="309"/>
        <v>1.2</v>
      </c>
      <c r="BA366" s="309">
        <f t="shared" si="310"/>
        <v>252.88619312754943</v>
      </c>
      <c r="BB366" s="311">
        <f>Irrig!H368</f>
        <v>0</v>
      </c>
      <c r="BC366" s="310">
        <f t="shared" si="311"/>
        <v>0</v>
      </c>
      <c r="BD366" s="309">
        <f t="shared" si="312"/>
        <v>0</v>
      </c>
      <c r="BE366" s="309">
        <f t="shared" si="313"/>
        <v>0</v>
      </c>
      <c r="BF366" s="306">
        <f>DailyMet!H349</f>
        <v>-2.08</v>
      </c>
      <c r="BG366" s="306">
        <f>DailyMet!I349</f>
        <v>-6.8</v>
      </c>
      <c r="BH366" s="306">
        <f t="shared" si="314"/>
        <v>-2.08</v>
      </c>
      <c r="BI366" s="306">
        <f t="shared" si="315"/>
        <v>10</v>
      </c>
      <c r="BJ366" s="306">
        <f t="shared" si="316"/>
        <v>-6.04</v>
      </c>
      <c r="BK366" s="306">
        <f t="shared" si="286"/>
        <v>0</v>
      </c>
      <c r="BL366" s="304">
        <f t="shared" si="317"/>
        <v>0</v>
      </c>
      <c r="BM366" s="304">
        <f t="shared" si="318"/>
        <v>0</v>
      </c>
      <c r="BN366" s="304">
        <f t="shared" si="335"/>
        <v>0</v>
      </c>
      <c r="BO366" s="306">
        <f t="shared" si="336"/>
        <v>0</v>
      </c>
      <c r="BP366" s="306"/>
    </row>
    <row r="367" spans="1:68">
      <c r="A367" s="299">
        <f t="shared" si="287"/>
        <v>0</v>
      </c>
      <c r="B367" s="300">
        <f t="shared" si="288"/>
        <v>38332</v>
      </c>
      <c r="C367" s="301" t="e">
        <f t="shared" si="319"/>
        <v>#N/A</v>
      </c>
      <c r="D367" s="301" t="e">
        <f t="shared" si="289"/>
        <v>#N/A</v>
      </c>
      <c r="E367" s="299">
        <f t="shared" si="290"/>
        <v>346</v>
      </c>
      <c r="F367" s="396">
        <f>Weather!M351</f>
        <v>0</v>
      </c>
      <c r="G367" s="301">
        <f>IF(Weather!C351="","",Weather!C351)</f>
        <v>0.21560762829000171</v>
      </c>
      <c r="H367" s="301">
        <f>IF(Weather!D351="","",Weather!D351)</f>
        <v>0.25571221462424665</v>
      </c>
      <c r="I367" s="502">
        <f>IF(Weather!E351="","",Weather!E351)</f>
        <v>0.25571221462424665</v>
      </c>
      <c r="J367" s="397">
        <f>IF(RnSplint!N395&lt;0,0,RnSplint!N395)</f>
        <v>16.684676120702285</v>
      </c>
      <c r="K367" s="302">
        <f t="shared" si="320"/>
        <v>0</v>
      </c>
      <c r="L367" s="303">
        <f t="shared" si="321"/>
        <v>38332</v>
      </c>
      <c r="M367" s="346" t="str">
        <f t="shared" si="291"/>
        <v/>
      </c>
      <c r="N367" s="304">
        <f t="shared" si="322"/>
        <v>0</v>
      </c>
      <c r="O367" s="304">
        <f t="shared" si="323"/>
        <v>0</v>
      </c>
      <c r="P367" s="304">
        <f t="shared" si="292"/>
        <v>0</v>
      </c>
      <c r="Q367" s="304">
        <f t="shared" si="293"/>
        <v>1.2</v>
      </c>
      <c r="R367" s="304">
        <f t="shared" si="294"/>
        <v>1.2</v>
      </c>
      <c r="S367" s="305" t="e">
        <f t="shared" si="324"/>
        <v>#N/A</v>
      </c>
      <c r="T367" s="304">
        <f t="shared" si="295"/>
        <v>0</v>
      </c>
      <c r="U367" s="304">
        <f t="shared" si="334"/>
        <v>0</v>
      </c>
      <c r="V367" s="305" t="e">
        <f t="shared" si="296"/>
        <v>#N/A</v>
      </c>
      <c r="W367" s="305" t="e">
        <f t="shared" si="325"/>
        <v>#N/A</v>
      </c>
      <c r="X367" s="304">
        <f t="shared" si="326"/>
        <v>1.2</v>
      </c>
      <c r="Z367" s="304" t="str">
        <f t="shared" si="297"/>
        <v/>
      </c>
      <c r="AA367" s="305" t="e">
        <f t="shared" si="298"/>
        <v>#N/A</v>
      </c>
      <c r="AB367" s="304">
        <f t="shared" si="299"/>
        <v>0.30685465754909597</v>
      </c>
      <c r="AC367" s="304" t="str">
        <f t="shared" si="327"/>
        <v/>
      </c>
      <c r="AD367" s="306">
        <f t="shared" si="300"/>
        <v>0</v>
      </c>
      <c r="AE367" s="307">
        <f t="shared" si="328"/>
        <v>0.30685465754909597</v>
      </c>
      <c r="AF367" s="308" t="e">
        <f t="shared" si="281"/>
        <v>#N/A</v>
      </c>
      <c r="AG367" s="306">
        <f t="shared" si="329"/>
        <v>680.53013895227753</v>
      </c>
      <c r="AH367" s="306">
        <f t="shared" si="301"/>
        <v>0</v>
      </c>
      <c r="AI367" s="306">
        <f t="shared" si="330"/>
        <v>0</v>
      </c>
      <c r="AJ367" s="306">
        <f t="shared" si="331"/>
        <v>0</v>
      </c>
      <c r="AK367" s="306">
        <f t="shared" si="302"/>
        <v>0</v>
      </c>
      <c r="AL367" s="306">
        <f t="shared" si="332"/>
        <v>0</v>
      </c>
      <c r="AM367" s="306">
        <f t="shared" si="303"/>
        <v>0</v>
      </c>
      <c r="AN367" s="304">
        <f>KcSplint!$N396</f>
        <v>1.1987514925196978</v>
      </c>
      <c r="AO367" s="304" t="str">
        <f t="shared" si="304"/>
        <v/>
      </c>
      <c r="AP367" s="304" t="str">
        <f t="shared" si="333"/>
        <v/>
      </c>
      <c r="AQ367" s="305" t="e">
        <f t="shared" si="282"/>
        <v>#N/A</v>
      </c>
      <c r="AR367" s="304" t="str">
        <f t="shared" si="283"/>
        <v/>
      </c>
      <c r="AS367" s="306">
        <f t="shared" si="305"/>
        <v>0</v>
      </c>
      <c r="AT367" s="307" t="e">
        <f t="shared" si="284"/>
        <v>#N/A</v>
      </c>
      <c r="AU367" s="307" t="e">
        <f t="shared" si="285"/>
        <v>#N/A</v>
      </c>
      <c r="AV367" s="304">
        <f t="shared" si="306"/>
        <v>0.25571221462424665</v>
      </c>
      <c r="AW367" s="309">
        <f t="shared" si="307"/>
        <v>0.40921442179055112</v>
      </c>
      <c r="AX367" s="306">
        <f>IF(ISERROR(Weather!M351),#N/A,Weather!M351)</f>
        <v>0</v>
      </c>
      <c r="AY367" s="310">
        <f t="shared" si="308"/>
        <v>2</v>
      </c>
      <c r="AZ367" s="309">
        <f t="shared" si="309"/>
        <v>1.2</v>
      </c>
      <c r="BA367" s="309">
        <f t="shared" si="310"/>
        <v>253.14190534217369</v>
      </c>
      <c r="BB367" s="311">
        <f>Irrig!H369</f>
        <v>0</v>
      </c>
      <c r="BC367" s="310">
        <f t="shared" si="311"/>
        <v>0</v>
      </c>
      <c r="BD367" s="309">
        <f t="shared" si="312"/>
        <v>0</v>
      </c>
      <c r="BE367" s="309">
        <f t="shared" si="313"/>
        <v>0</v>
      </c>
      <c r="BF367" s="306">
        <f>DailyMet!H350</f>
        <v>0.92</v>
      </c>
      <c r="BG367" s="306">
        <f>DailyMet!I350</f>
        <v>-2.1</v>
      </c>
      <c r="BH367" s="306">
        <f t="shared" si="314"/>
        <v>0.92</v>
      </c>
      <c r="BI367" s="306">
        <f t="shared" si="315"/>
        <v>10</v>
      </c>
      <c r="BJ367" s="306">
        <f t="shared" si="316"/>
        <v>-4.54</v>
      </c>
      <c r="BK367" s="306">
        <f t="shared" si="286"/>
        <v>0</v>
      </c>
      <c r="BL367" s="304">
        <f t="shared" si="317"/>
        <v>0</v>
      </c>
      <c r="BM367" s="304">
        <f t="shared" si="318"/>
        <v>0</v>
      </c>
      <c r="BN367" s="304">
        <f t="shared" si="335"/>
        <v>0</v>
      </c>
      <c r="BO367" s="306">
        <f t="shared" si="336"/>
        <v>0</v>
      </c>
      <c r="BP367" s="306"/>
    </row>
    <row r="368" spans="1:68">
      <c r="A368" s="299">
        <f t="shared" si="287"/>
        <v>0</v>
      </c>
      <c r="B368" s="300">
        <f t="shared" si="288"/>
        <v>38333</v>
      </c>
      <c r="C368" s="301" t="e">
        <f t="shared" si="319"/>
        <v>#N/A</v>
      </c>
      <c r="D368" s="301" t="e">
        <f t="shared" si="289"/>
        <v>#N/A</v>
      </c>
      <c r="E368" s="299">
        <f t="shared" si="290"/>
        <v>347</v>
      </c>
      <c r="F368" s="396">
        <f>Weather!M352</f>
        <v>0</v>
      </c>
      <c r="G368" s="301">
        <f>IF(Weather!C352="","",Weather!C352)</f>
        <v>0.21204835307168007</v>
      </c>
      <c r="H368" s="301">
        <f>IF(Weather!D352="","",Weather!D352)</f>
        <v>0.14007117407982622</v>
      </c>
      <c r="I368" s="502">
        <f>IF(Weather!E352="","",Weather!E352)</f>
        <v>0.14007117407982622</v>
      </c>
      <c r="J368" s="397">
        <f>IF(RnSplint!N396&lt;0,0,RnSplint!N396)</f>
        <v>16.307965210694412</v>
      </c>
      <c r="K368" s="302">
        <f t="shared" si="320"/>
        <v>0</v>
      </c>
      <c r="L368" s="303">
        <f t="shared" si="321"/>
        <v>38333</v>
      </c>
      <c r="M368" s="346" t="str">
        <f t="shared" si="291"/>
        <v/>
      </c>
      <c r="N368" s="304">
        <f t="shared" si="322"/>
        <v>0</v>
      </c>
      <c r="O368" s="304">
        <f t="shared" si="323"/>
        <v>0</v>
      </c>
      <c r="P368" s="304">
        <f t="shared" si="292"/>
        <v>0</v>
      </c>
      <c r="Q368" s="304">
        <f t="shared" si="293"/>
        <v>1.2</v>
      </c>
      <c r="R368" s="304">
        <f t="shared" si="294"/>
        <v>1.2</v>
      </c>
      <c r="S368" s="305" t="e">
        <f t="shared" si="324"/>
        <v>#N/A</v>
      </c>
      <c r="T368" s="304">
        <f t="shared" si="295"/>
        <v>0</v>
      </c>
      <c r="U368" s="304">
        <f t="shared" si="334"/>
        <v>0</v>
      </c>
      <c r="V368" s="305" t="e">
        <f t="shared" si="296"/>
        <v>#N/A</v>
      </c>
      <c r="W368" s="305" t="e">
        <f t="shared" si="325"/>
        <v>#N/A</v>
      </c>
      <c r="X368" s="304">
        <f t="shared" si="326"/>
        <v>1.2</v>
      </c>
      <c r="Z368" s="304" t="str">
        <f t="shared" si="297"/>
        <v/>
      </c>
      <c r="AA368" s="305" t="e">
        <f t="shared" si="298"/>
        <v>#N/A</v>
      </c>
      <c r="AB368" s="304">
        <f t="shared" si="299"/>
        <v>0.16808540889579146</v>
      </c>
      <c r="AC368" s="304" t="str">
        <f t="shared" si="327"/>
        <v/>
      </c>
      <c r="AD368" s="306">
        <f t="shared" si="300"/>
        <v>0</v>
      </c>
      <c r="AE368" s="307">
        <f t="shared" si="328"/>
        <v>0.16808540889579146</v>
      </c>
      <c r="AF368" s="308" t="e">
        <f t="shared" si="281"/>
        <v>#N/A</v>
      </c>
      <c r="AG368" s="306">
        <f t="shared" si="329"/>
        <v>680.67021012635735</v>
      </c>
      <c r="AH368" s="306">
        <f t="shared" si="301"/>
        <v>0</v>
      </c>
      <c r="AI368" s="306">
        <f t="shared" si="330"/>
        <v>0</v>
      </c>
      <c r="AJ368" s="306">
        <f t="shared" si="331"/>
        <v>0</v>
      </c>
      <c r="AK368" s="306">
        <f t="shared" si="302"/>
        <v>0</v>
      </c>
      <c r="AL368" s="306">
        <f t="shared" si="332"/>
        <v>0</v>
      </c>
      <c r="AM368" s="306">
        <f t="shared" si="303"/>
        <v>0</v>
      </c>
      <c r="AN368" s="304">
        <f>KcSplint!$N397</f>
        <v>1.1987235174165867</v>
      </c>
      <c r="AO368" s="304" t="str">
        <f t="shared" si="304"/>
        <v/>
      </c>
      <c r="AP368" s="304" t="str">
        <f t="shared" si="333"/>
        <v/>
      </c>
      <c r="AQ368" s="305" t="e">
        <f t="shared" si="282"/>
        <v>#N/A</v>
      </c>
      <c r="AR368" s="304" t="str">
        <f t="shared" si="283"/>
        <v/>
      </c>
      <c r="AS368" s="306">
        <f t="shared" si="305"/>
        <v>0</v>
      </c>
      <c r="AT368" s="307" t="e">
        <f t="shared" si="284"/>
        <v>#N/A</v>
      </c>
      <c r="AU368" s="307" t="e">
        <f t="shared" si="285"/>
        <v>#N/A</v>
      </c>
      <c r="AV368" s="304">
        <f t="shared" si="306"/>
        <v>0.14007117407982622</v>
      </c>
      <c r="AW368" s="309">
        <f t="shared" si="307"/>
        <v>0.54928559587037729</v>
      </c>
      <c r="AX368" s="306">
        <f>IF(ISERROR(Weather!M352),#N/A,Weather!M352)</f>
        <v>0</v>
      </c>
      <c r="AY368" s="310">
        <f t="shared" si="308"/>
        <v>3</v>
      </c>
      <c r="AZ368" s="309">
        <f t="shared" si="309"/>
        <v>1.2</v>
      </c>
      <c r="BA368" s="309">
        <f t="shared" si="310"/>
        <v>253.28197651625351</v>
      </c>
      <c r="BB368" s="311">
        <f>Irrig!H370</f>
        <v>0</v>
      </c>
      <c r="BC368" s="310">
        <f t="shared" si="311"/>
        <v>0</v>
      </c>
      <c r="BD368" s="309">
        <f t="shared" si="312"/>
        <v>0</v>
      </c>
      <c r="BE368" s="309">
        <f t="shared" si="313"/>
        <v>0</v>
      </c>
      <c r="BF368" s="306">
        <f>DailyMet!H351</f>
        <v>-1.45</v>
      </c>
      <c r="BG368" s="306">
        <f>DailyMet!I351</f>
        <v>-4.8</v>
      </c>
      <c r="BH368" s="306">
        <f t="shared" si="314"/>
        <v>-1.45</v>
      </c>
      <c r="BI368" s="306">
        <f t="shared" si="315"/>
        <v>10</v>
      </c>
      <c r="BJ368" s="306">
        <f t="shared" si="316"/>
        <v>-5.7249999999999996</v>
      </c>
      <c r="BK368" s="306">
        <f t="shared" si="286"/>
        <v>0</v>
      </c>
      <c r="BL368" s="304">
        <f t="shared" si="317"/>
        <v>0</v>
      </c>
      <c r="BM368" s="304">
        <f t="shared" si="318"/>
        <v>0</v>
      </c>
      <c r="BN368" s="304">
        <f t="shared" si="335"/>
        <v>0</v>
      </c>
      <c r="BO368" s="306">
        <f t="shared" si="336"/>
        <v>0</v>
      </c>
      <c r="BP368" s="306"/>
    </row>
    <row r="369" spans="1:68">
      <c r="A369" s="299">
        <f t="shared" si="287"/>
        <v>0</v>
      </c>
      <c r="B369" s="300">
        <f t="shared" si="288"/>
        <v>38334</v>
      </c>
      <c r="C369" s="301" t="e">
        <f t="shared" si="319"/>
        <v>#N/A</v>
      </c>
      <c r="D369" s="301" t="e">
        <f t="shared" si="289"/>
        <v>#N/A</v>
      </c>
      <c r="E369" s="299">
        <f t="shared" si="290"/>
        <v>348</v>
      </c>
      <c r="F369" s="396">
        <f>Weather!M353</f>
        <v>0</v>
      </c>
      <c r="G369" s="301">
        <f>IF(Weather!C353="","",Weather!C353)</f>
        <v>0.20888656305431588</v>
      </c>
      <c r="H369" s="301">
        <f>IF(Weather!D353="","",Weather!D353)</f>
        <v>0.11457279942072622</v>
      </c>
      <c r="I369" s="502">
        <f>IF(Weather!E353="","",Weather!E353)</f>
        <v>0.11457279942072622</v>
      </c>
      <c r="J369" s="397">
        <f>IF(RnSplint!N397&lt;0,0,RnSplint!N397)</f>
        <v>15.995349534673284</v>
      </c>
      <c r="K369" s="302">
        <f t="shared" si="320"/>
        <v>0</v>
      </c>
      <c r="L369" s="303">
        <f t="shared" si="321"/>
        <v>38334</v>
      </c>
      <c r="M369" s="346" t="str">
        <f t="shared" si="291"/>
        <v/>
      </c>
      <c r="N369" s="304">
        <f t="shared" si="322"/>
        <v>0</v>
      </c>
      <c r="O369" s="304">
        <f t="shared" si="323"/>
        <v>0</v>
      </c>
      <c r="P369" s="304">
        <f t="shared" si="292"/>
        <v>0</v>
      </c>
      <c r="Q369" s="304">
        <f t="shared" si="293"/>
        <v>1.2</v>
      </c>
      <c r="R369" s="304">
        <f t="shared" si="294"/>
        <v>1.2</v>
      </c>
      <c r="S369" s="305" t="e">
        <f t="shared" si="324"/>
        <v>#N/A</v>
      </c>
      <c r="T369" s="304">
        <f t="shared" si="295"/>
        <v>0</v>
      </c>
      <c r="U369" s="304">
        <f t="shared" si="334"/>
        <v>0</v>
      </c>
      <c r="V369" s="305" t="e">
        <f t="shared" si="296"/>
        <v>#N/A</v>
      </c>
      <c r="W369" s="305" t="e">
        <f t="shared" si="325"/>
        <v>#N/A</v>
      </c>
      <c r="X369" s="304">
        <f t="shared" si="326"/>
        <v>1.2</v>
      </c>
      <c r="Z369" s="304" t="str">
        <f t="shared" si="297"/>
        <v/>
      </c>
      <c r="AA369" s="305" t="e">
        <f t="shared" si="298"/>
        <v>#N/A</v>
      </c>
      <c r="AB369" s="304">
        <f t="shared" si="299"/>
        <v>0.13748735930487146</v>
      </c>
      <c r="AC369" s="304" t="str">
        <f t="shared" si="327"/>
        <v/>
      </c>
      <c r="AD369" s="306">
        <f t="shared" si="300"/>
        <v>0</v>
      </c>
      <c r="AE369" s="307">
        <f t="shared" si="328"/>
        <v>0.13748735930487146</v>
      </c>
      <c r="AF369" s="308" t="e">
        <f t="shared" si="281"/>
        <v>#N/A</v>
      </c>
      <c r="AG369" s="306">
        <f t="shared" si="329"/>
        <v>680.78478292577802</v>
      </c>
      <c r="AH369" s="306">
        <f t="shared" si="301"/>
        <v>0</v>
      </c>
      <c r="AI369" s="306">
        <f t="shared" si="330"/>
        <v>0</v>
      </c>
      <c r="AJ369" s="306">
        <f t="shared" si="331"/>
        <v>0</v>
      </c>
      <c r="AK369" s="306">
        <f t="shared" si="302"/>
        <v>0</v>
      </c>
      <c r="AL369" s="306">
        <f t="shared" si="332"/>
        <v>0</v>
      </c>
      <c r="AM369" s="306">
        <f t="shared" si="303"/>
        <v>0</v>
      </c>
      <c r="AN369" s="304">
        <f>KcSplint!$N398</f>
        <v>1.1989063275583489</v>
      </c>
      <c r="AO369" s="304" t="str">
        <f t="shared" si="304"/>
        <v/>
      </c>
      <c r="AP369" s="304" t="str">
        <f t="shared" si="333"/>
        <v/>
      </c>
      <c r="AQ369" s="305" t="e">
        <f t="shared" si="282"/>
        <v>#N/A</v>
      </c>
      <c r="AR369" s="304" t="str">
        <f t="shared" si="283"/>
        <v/>
      </c>
      <c r="AS369" s="306">
        <f t="shared" si="305"/>
        <v>0</v>
      </c>
      <c r="AT369" s="307" t="e">
        <f t="shared" si="284"/>
        <v>#N/A</v>
      </c>
      <c r="AU369" s="307" t="e">
        <f t="shared" si="285"/>
        <v>#N/A</v>
      </c>
      <c r="AV369" s="304">
        <f t="shared" si="306"/>
        <v>0.11457279942072622</v>
      </c>
      <c r="AW369" s="309">
        <f t="shared" si="307"/>
        <v>0.66385839529110346</v>
      </c>
      <c r="AX369" s="306">
        <f>IF(ISERROR(Weather!M353),#N/A,Weather!M353)</f>
        <v>0</v>
      </c>
      <c r="AY369" s="310">
        <f t="shared" si="308"/>
        <v>4</v>
      </c>
      <c r="AZ369" s="309">
        <f t="shared" si="309"/>
        <v>1.2</v>
      </c>
      <c r="BA369" s="309">
        <f t="shared" si="310"/>
        <v>253.39654931567424</v>
      </c>
      <c r="BB369" s="311">
        <f>Irrig!H371</f>
        <v>0</v>
      </c>
      <c r="BC369" s="310">
        <f t="shared" si="311"/>
        <v>0</v>
      </c>
      <c r="BD369" s="309">
        <f t="shared" si="312"/>
        <v>0</v>
      </c>
      <c r="BE369" s="309">
        <f t="shared" si="313"/>
        <v>0</v>
      </c>
      <c r="BF369" s="306">
        <f>DailyMet!H352</f>
        <v>-1.95</v>
      </c>
      <c r="BG369" s="306">
        <f>DailyMet!I352</f>
        <v>-6.3</v>
      </c>
      <c r="BH369" s="306">
        <f t="shared" si="314"/>
        <v>-1.95</v>
      </c>
      <c r="BI369" s="306">
        <f t="shared" si="315"/>
        <v>10</v>
      </c>
      <c r="BJ369" s="306">
        <f t="shared" si="316"/>
        <v>-5.9749999999999996</v>
      </c>
      <c r="BK369" s="306">
        <f t="shared" si="286"/>
        <v>0</v>
      </c>
      <c r="BL369" s="304">
        <f t="shared" si="317"/>
        <v>0</v>
      </c>
      <c r="BM369" s="304">
        <f t="shared" si="318"/>
        <v>0</v>
      </c>
      <c r="BN369" s="304">
        <f t="shared" si="335"/>
        <v>0</v>
      </c>
      <c r="BO369" s="306">
        <f t="shared" si="336"/>
        <v>0</v>
      </c>
      <c r="BP369" s="306"/>
    </row>
    <row r="370" spans="1:68">
      <c r="A370" s="299">
        <f t="shared" si="287"/>
        <v>0</v>
      </c>
      <c r="B370" s="300">
        <f t="shared" si="288"/>
        <v>38335</v>
      </c>
      <c r="C370" s="301" t="e">
        <f t="shared" si="319"/>
        <v>#N/A</v>
      </c>
      <c r="D370" s="301" t="e">
        <f t="shared" si="289"/>
        <v>#N/A</v>
      </c>
      <c r="E370" s="299">
        <f t="shared" si="290"/>
        <v>349</v>
      </c>
      <c r="F370" s="396">
        <f>Weather!M354</f>
        <v>1</v>
      </c>
      <c r="G370" s="301">
        <f>IF(Weather!C354="","",Weather!C354)</f>
        <v>0.20612424986631067</v>
      </c>
      <c r="H370" s="301">
        <f>IF(Weather!D354="","",Weather!D354)</f>
        <v>0.19213352452024041</v>
      </c>
      <c r="I370" s="502">
        <f>IF(Weather!E354="","",Weather!E354)</f>
        <v>0.19213352452024041</v>
      </c>
      <c r="J370" s="397">
        <f>IF(RnSplint!N398&lt;0,0,RnSplint!N398)</f>
        <v>15.752621701585864</v>
      </c>
      <c r="K370" s="302">
        <f t="shared" si="320"/>
        <v>0</v>
      </c>
      <c r="L370" s="303">
        <f t="shared" si="321"/>
        <v>38335</v>
      </c>
      <c r="M370" s="346" t="str">
        <f t="shared" si="291"/>
        <v/>
      </c>
      <c r="N370" s="304">
        <f t="shared" si="322"/>
        <v>0</v>
      </c>
      <c r="O370" s="304">
        <f t="shared" si="323"/>
        <v>0</v>
      </c>
      <c r="P370" s="304">
        <f t="shared" si="292"/>
        <v>0</v>
      </c>
      <c r="Q370" s="304">
        <f t="shared" si="293"/>
        <v>1.2</v>
      </c>
      <c r="R370" s="304">
        <f t="shared" si="294"/>
        <v>1.2</v>
      </c>
      <c r="S370" s="305" t="e">
        <f t="shared" si="324"/>
        <v>#N/A</v>
      </c>
      <c r="T370" s="304">
        <f t="shared" si="295"/>
        <v>0</v>
      </c>
      <c r="U370" s="304">
        <f t="shared" si="334"/>
        <v>0</v>
      </c>
      <c r="V370" s="305" t="e">
        <f t="shared" si="296"/>
        <v>#N/A</v>
      </c>
      <c r="W370" s="305" t="e">
        <f t="shared" si="325"/>
        <v>#N/A</v>
      </c>
      <c r="X370" s="304">
        <f t="shared" si="326"/>
        <v>1.2</v>
      </c>
      <c r="Z370" s="304" t="str">
        <f t="shared" si="297"/>
        <v/>
      </c>
      <c r="AA370" s="305" t="e">
        <f t="shared" si="298"/>
        <v>#N/A</v>
      </c>
      <c r="AB370" s="304">
        <f t="shared" si="299"/>
        <v>0.23056022942428847</v>
      </c>
      <c r="AC370" s="304" t="str">
        <f t="shared" si="327"/>
        <v/>
      </c>
      <c r="AD370" s="306">
        <f t="shared" si="300"/>
        <v>0</v>
      </c>
      <c r="AE370" s="307">
        <f t="shared" si="328"/>
        <v>0.23056022942428847</v>
      </c>
      <c r="AF370" s="308" t="e">
        <f t="shared" ref="AF370:AF433" si="337">IF(AD370=0,#N/A,AD370)</f>
        <v>#N/A</v>
      </c>
      <c r="AG370" s="306">
        <f t="shared" si="329"/>
        <v>680.97691645029829</v>
      </c>
      <c r="AH370" s="306">
        <f t="shared" si="301"/>
        <v>0</v>
      </c>
      <c r="AI370" s="306">
        <f t="shared" si="330"/>
        <v>0</v>
      </c>
      <c r="AJ370" s="306">
        <f t="shared" si="331"/>
        <v>0</v>
      </c>
      <c r="AK370" s="306">
        <f t="shared" si="302"/>
        <v>0</v>
      </c>
      <c r="AL370" s="306">
        <f t="shared" si="332"/>
        <v>0</v>
      </c>
      <c r="AM370" s="306">
        <f t="shared" si="303"/>
        <v>0</v>
      </c>
      <c r="AN370" s="304">
        <f>KcSplint!$N399</f>
        <v>1.1993238470508611</v>
      </c>
      <c r="AO370" s="304" t="str">
        <f t="shared" si="304"/>
        <v/>
      </c>
      <c r="AP370" s="304" t="str">
        <f t="shared" si="333"/>
        <v/>
      </c>
      <c r="AQ370" s="305" t="e">
        <f t="shared" si="282"/>
        <v>#N/A</v>
      </c>
      <c r="AR370" s="304" t="str">
        <f t="shared" si="283"/>
        <v/>
      </c>
      <c r="AS370" s="306">
        <f t="shared" si="305"/>
        <v>0</v>
      </c>
      <c r="AT370" s="307" t="e">
        <f t="shared" si="284"/>
        <v>#N/A</v>
      </c>
      <c r="AU370" s="307" t="e">
        <f t="shared" si="285"/>
        <v>#N/A</v>
      </c>
      <c r="AV370" s="304">
        <f t="shared" si="306"/>
        <v>0.19213352452024041</v>
      </c>
      <c r="AW370" s="309">
        <f t="shared" si="307"/>
        <v>0.19213352452024041</v>
      </c>
      <c r="AX370" s="306">
        <f>IF(ISERROR(Weather!M354),#N/A,Weather!M354)</f>
        <v>1</v>
      </c>
      <c r="AY370" s="310">
        <f t="shared" si="308"/>
        <v>1</v>
      </c>
      <c r="AZ370" s="309">
        <f t="shared" si="309"/>
        <v>1.2</v>
      </c>
      <c r="BA370" s="309">
        <f t="shared" si="310"/>
        <v>253.58868284019448</v>
      </c>
      <c r="BB370" s="311">
        <f>Irrig!H372</f>
        <v>0</v>
      </c>
      <c r="BC370" s="310">
        <f t="shared" si="311"/>
        <v>0</v>
      </c>
      <c r="BD370" s="309">
        <f t="shared" si="312"/>
        <v>0</v>
      </c>
      <c r="BE370" s="309">
        <f t="shared" si="313"/>
        <v>0</v>
      </c>
      <c r="BF370" s="306">
        <f>DailyMet!H353</f>
        <v>-0.38</v>
      </c>
      <c r="BG370" s="306">
        <f>DailyMet!I353</f>
        <v>-1.1000000000000001</v>
      </c>
      <c r="BH370" s="306">
        <f t="shared" si="314"/>
        <v>-0.38</v>
      </c>
      <c r="BI370" s="306">
        <f t="shared" si="315"/>
        <v>10</v>
      </c>
      <c r="BJ370" s="306">
        <f t="shared" si="316"/>
        <v>-5.19</v>
      </c>
      <c r="BK370" s="306">
        <f t="shared" si="286"/>
        <v>0</v>
      </c>
      <c r="BL370" s="304">
        <f t="shared" si="317"/>
        <v>0</v>
      </c>
      <c r="BM370" s="304">
        <f t="shared" si="318"/>
        <v>0</v>
      </c>
      <c r="BN370" s="304">
        <f t="shared" si="335"/>
        <v>0</v>
      </c>
      <c r="BO370" s="306">
        <f t="shared" si="336"/>
        <v>0</v>
      </c>
      <c r="BP370" s="306"/>
    </row>
    <row r="371" spans="1:68">
      <c r="A371" s="299">
        <f t="shared" si="287"/>
        <v>0</v>
      </c>
      <c r="B371" s="300">
        <f t="shared" si="288"/>
        <v>38336</v>
      </c>
      <c r="C371" s="301" t="e">
        <f t="shared" si="319"/>
        <v>#N/A</v>
      </c>
      <c r="D371" s="301" t="e">
        <f t="shared" si="289"/>
        <v>#N/A</v>
      </c>
      <c r="E371" s="299">
        <f t="shared" si="290"/>
        <v>350</v>
      </c>
      <c r="F371" s="396">
        <f>Weather!M355</f>
        <v>5</v>
      </c>
      <c r="G371" s="301">
        <f>IF(Weather!C355="","",Weather!C355)</f>
        <v>0.20376340513606608</v>
      </c>
      <c r="H371" s="301">
        <f>IF(Weather!D355="","",Weather!D355)</f>
        <v>0.19704501125568424</v>
      </c>
      <c r="I371" s="502">
        <f>IF(Weather!E355="","",Weather!E355)</f>
        <v>0.19704501125568424</v>
      </c>
      <c r="J371" s="397">
        <f>IF(RnSplint!N399&lt;0,0,RnSplint!N399)</f>
        <v>15.585574320379116</v>
      </c>
      <c r="K371" s="302">
        <f t="shared" si="320"/>
        <v>0</v>
      </c>
      <c r="L371" s="303">
        <f t="shared" si="321"/>
        <v>38336</v>
      </c>
      <c r="M371" s="346" t="str">
        <f t="shared" si="291"/>
        <v/>
      </c>
      <c r="N371" s="304">
        <f t="shared" si="322"/>
        <v>0</v>
      </c>
      <c r="O371" s="304">
        <f t="shared" si="323"/>
        <v>0</v>
      </c>
      <c r="P371" s="304">
        <f t="shared" si="292"/>
        <v>0</v>
      </c>
      <c r="Q371" s="304">
        <f t="shared" si="293"/>
        <v>1.2</v>
      </c>
      <c r="R371" s="304">
        <f t="shared" si="294"/>
        <v>1.2</v>
      </c>
      <c r="S371" s="305" t="e">
        <f t="shared" si="324"/>
        <v>#N/A</v>
      </c>
      <c r="T371" s="304">
        <f t="shared" si="295"/>
        <v>0</v>
      </c>
      <c r="U371" s="304">
        <f t="shared" si="334"/>
        <v>0</v>
      </c>
      <c r="V371" s="305" t="e">
        <f t="shared" si="296"/>
        <v>#N/A</v>
      </c>
      <c r="W371" s="305" t="e">
        <f t="shared" si="325"/>
        <v>#N/A</v>
      </c>
      <c r="X371" s="304">
        <f t="shared" si="326"/>
        <v>1.2</v>
      </c>
      <c r="Z371" s="304" t="str">
        <f t="shared" si="297"/>
        <v/>
      </c>
      <c r="AA371" s="305" t="e">
        <f t="shared" si="298"/>
        <v>#N/A</v>
      </c>
      <c r="AB371" s="304">
        <f t="shared" si="299"/>
        <v>0.23645401350682108</v>
      </c>
      <c r="AC371" s="304" t="str">
        <f t="shared" si="327"/>
        <v/>
      </c>
      <c r="AD371" s="306">
        <f t="shared" si="300"/>
        <v>0</v>
      </c>
      <c r="AE371" s="307">
        <f t="shared" si="328"/>
        <v>0.23645401350682108</v>
      </c>
      <c r="AF371" s="308" t="e">
        <f t="shared" si="337"/>
        <v>#N/A</v>
      </c>
      <c r="AG371" s="306">
        <f t="shared" si="329"/>
        <v>681.17396146155397</v>
      </c>
      <c r="AH371" s="306">
        <f t="shared" si="301"/>
        <v>0</v>
      </c>
      <c r="AI371" s="306">
        <f t="shared" si="330"/>
        <v>0</v>
      </c>
      <c r="AJ371" s="306">
        <f t="shared" si="331"/>
        <v>0</v>
      </c>
      <c r="AK371" s="306">
        <f t="shared" si="302"/>
        <v>0</v>
      </c>
      <c r="AL371" s="306">
        <f t="shared" si="332"/>
        <v>0</v>
      </c>
      <c r="AM371" s="306">
        <f t="shared" si="303"/>
        <v>0</v>
      </c>
      <c r="AN371" s="304">
        <f>KcSplint!$N400</f>
        <v>1.2000000000000002</v>
      </c>
      <c r="AO371" s="304" t="str">
        <f t="shared" si="304"/>
        <v/>
      </c>
      <c r="AP371" s="304" t="str">
        <f t="shared" si="333"/>
        <v/>
      </c>
      <c r="AQ371" s="305" t="e">
        <f t="shared" si="282"/>
        <v>#N/A</v>
      </c>
      <c r="AR371" s="304" t="str">
        <f t="shared" si="283"/>
        <v/>
      </c>
      <c r="AS371" s="306">
        <f t="shared" si="305"/>
        <v>0</v>
      </c>
      <c r="AT371" s="307" t="e">
        <f t="shared" si="284"/>
        <v>#N/A</v>
      </c>
      <c r="AU371" s="307" t="e">
        <f t="shared" si="285"/>
        <v>#N/A</v>
      </c>
      <c r="AV371" s="304">
        <f t="shared" si="306"/>
        <v>0.19704501125568424</v>
      </c>
      <c r="AW371" s="309">
        <f t="shared" si="307"/>
        <v>0.19704501125568424</v>
      </c>
      <c r="AX371" s="306">
        <f>IF(ISERROR(Weather!M355),#N/A,Weather!M355)</f>
        <v>5</v>
      </c>
      <c r="AY371" s="310">
        <f t="shared" si="308"/>
        <v>1</v>
      </c>
      <c r="AZ371" s="309">
        <f t="shared" si="309"/>
        <v>1.2</v>
      </c>
      <c r="BA371" s="309">
        <f t="shared" si="310"/>
        <v>253.78572785145016</v>
      </c>
      <c r="BB371" s="311">
        <f>Irrig!H373</f>
        <v>0</v>
      </c>
      <c r="BC371" s="310">
        <f t="shared" si="311"/>
        <v>0</v>
      </c>
      <c r="BD371" s="309">
        <f t="shared" si="312"/>
        <v>0</v>
      </c>
      <c r="BE371" s="309">
        <f t="shared" si="313"/>
        <v>0</v>
      </c>
      <c r="BF371" s="306">
        <f>DailyMet!H354</f>
        <v>0.72</v>
      </c>
      <c r="BG371" s="306">
        <f>DailyMet!I354</f>
        <v>-0.1</v>
      </c>
      <c r="BH371" s="306">
        <f t="shared" si="314"/>
        <v>0.72</v>
      </c>
      <c r="BI371" s="306">
        <f t="shared" si="315"/>
        <v>10</v>
      </c>
      <c r="BJ371" s="306">
        <f t="shared" si="316"/>
        <v>-4.6399999999999997</v>
      </c>
      <c r="BK371" s="306">
        <f t="shared" si="286"/>
        <v>0</v>
      </c>
      <c r="BL371" s="304">
        <f t="shared" si="317"/>
        <v>0</v>
      </c>
      <c r="BM371" s="304">
        <f t="shared" si="318"/>
        <v>0</v>
      </c>
      <c r="BN371" s="304">
        <f t="shared" si="335"/>
        <v>0</v>
      </c>
      <c r="BO371" s="306">
        <f t="shared" si="336"/>
        <v>0</v>
      </c>
      <c r="BP371" s="306"/>
    </row>
    <row r="372" spans="1:68">
      <c r="A372" s="299">
        <f t="shared" si="287"/>
        <v>0</v>
      </c>
      <c r="B372" s="300">
        <f t="shared" si="288"/>
        <v>38337</v>
      </c>
      <c r="C372" s="301" t="e">
        <f t="shared" si="319"/>
        <v>#N/A</v>
      </c>
      <c r="D372" s="301" t="e">
        <f t="shared" si="289"/>
        <v>#N/A</v>
      </c>
      <c r="E372" s="299">
        <f t="shared" si="290"/>
        <v>351</v>
      </c>
      <c r="F372" s="396">
        <f>Weather!M356</f>
        <v>0.2</v>
      </c>
      <c r="G372" s="301">
        <f>IF(Weather!C356="","",Weather!C356)</f>
        <v>0.20180602049198348</v>
      </c>
      <c r="H372" s="301">
        <f>IF(Weather!D356="","",Weather!D356)</f>
        <v>0.20794462418624898</v>
      </c>
      <c r="I372" s="502">
        <f>IF(Weather!E356="","",Weather!E356)</f>
        <v>0.20794462418624898</v>
      </c>
      <c r="J372" s="397">
        <f>IF(RnSplint!N400&lt;0,0,RnSplint!N400)</f>
        <v>15.5</v>
      </c>
      <c r="K372" s="302">
        <f t="shared" si="320"/>
        <v>0</v>
      </c>
      <c r="L372" s="303">
        <f t="shared" si="321"/>
        <v>38337</v>
      </c>
      <c r="M372" s="346" t="str">
        <f t="shared" si="291"/>
        <v/>
      </c>
      <c r="N372" s="304">
        <f t="shared" si="322"/>
        <v>0</v>
      </c>
      <c r="O372" s="304">
        <f t="shared" si="323"/>
        <v>0</v>
      </c>
      <c r="P372" s="304">
        <f t="shared" si="292"/>
        <v>0</v>
      </c>
      <c r="Q372" s="304">
        <f t="shared" si="293"/>
        <v>1.2</v>
      </c>
      <c r="R372" s="304">
        <f t="shared" si="294"/>
        <v>1.2</v>
      </c>
      <c r="S372" s="305" t="e">
        <f t="shared" si="324"/>
        <v>#N/A</v>
      </c>
      <c r="T372" s="304">
        <f t="shared" si="295"/>
        <v>0</v>
      </c>
      <c r="U372" s="304">
        <f t="shared" si="334"/>
        <v>0</v>
      </c>
      <c r="V372" s="305" t="e">
        <f t="shared" si="296"/>
        <v>#N/A</v>
      </c>
      <c r="W372" s="305" t="e">
        <f t="shared" si="325"/>
        <v>#N/A</v>
      </c>
      <c r="X372" s="304">
        <f t="shared" si="326"/>
        <v>1.2</v>
      </c>
      <c r="Z372" s="304" t="str">
        <f t="shared" si="297"/>
        <v/>
      </c>
      <c r="AA372" s="305" t="e">
        <f t="shared" si="298"/>
        <v>#N/A</v>
      </c>
      <c r="AB372" s="304">
        <f t="shared" si="299"/>
        <v>0.24953354902349878</v>
      </c>
      <c r="AC372" s="304" t="str">
        <f t="shared" si="327"/>
        <v/>
      </c>
      <c r="AD372" s="306">
        <f t="shared" si="300"/>
        <v>0</v>
      </c>
      <c r="AE372" s="307">
        <f t="shared" si="328"/>
        <v>0.24953354902349878</v>
      </c>
      <c r="AF372" s="308" t="e">
        <f t="shared" si="337"/>
        <v>#N/A</v>
      </c>
      <c r="AG372" s="306">
        <f t="shared" si="329"/>
        <v>681.38190608574018</v>
      </c>
      <c r="AH372" s="306">
        <f t="shared" si="301"/>
        <v>0</v>
      </c>
      <c r="AI372" s="306">
        <f t="shared" si="330"/>
        <v>0</v>
      </c>
      <c r="AJ372" s="306">
        <f t="shared" si="331"/>
        <v>0</v>
      </c>
      <c r="AK372" s="306">
        <f t="shared" si="302"/>
        <v>0</v>
      </c>
      <c r="AL372" s="306">
        <f t="shared" si="332"/>
        <v>0</v>
      </c>
      <c r="AM372" s="306">
        <f t="shared" si="303"/>
        <v>0</v>
      </c>
      <c r="AN372" s="304">
        <f>KcSplint!$N401</f>
        <v>1.2009469830149615</v>
      </c>
      <c r="AO372" s="304" t="str">
        <f t="shared" si="304"/>
        <v/>
      </c>
      <c r="AP372" s="304" t="str">
        <f t="shared" si="333"/>
        <v/>
      </c>
      <c r="AQ372" s="305" t="e">
        <f t="shared" si="282"/>
        <v>#N/A</v>
      </c>
      <c r="AR372" s="304" t="str">
        <f t="shared" si="283"/>
        <v/>
      </c>
      <c r="AS372" s="306">
        <f t="shared" si="305"/>
        <v>0</v>
      </c>
      <c r="AT372" s="307" t="e">
        <f t="shared" si="284"/>
        <v>#N/A</v>
      </c>
      <c r="AU372" s="307" t="e">
        <f t="shared" si="285"/>
        <v>#N/A</v>
      </c>
      <c r="AV372" s="304">
        <f t="shared" si="306"/>
        <v>0.20794462418624898</v>
      </c>
      <c r="AW372" s="309">
        <f t="shared" si="307"/>
        <v>0.40498963544193323</v>
      </c>
      <c r="AX372" s="306">
        <f>IF(ISERROR(Weather!M356),#N/A,Weather!M356)</f>
        <v>0.2</v>
      </c>
      <c r="AY372" s="310">
        <f t="shared" si="308"/>
        <v>2</v>
      </c>
      <c r="AZ372" s="309">
        <f t="shared" si="309"/>
        <v>1.2</v>
      </c>
      <c r="BA372" s="309">
        <f t="shared" si="310"/>
        <v>253.9936724756364</v>
      </c>
      <c r="BB372" s="311">
        <f>Irrig!H374</f>
        <v>0</v>
      </c>
      <c r="BC372" s="310">
        <f t="shared" si="311"/>
        <v>0</v>
      </c>
      <c r="BD372" s="309">
        <f t="shared" si="312"/>
        <v>0</v>
      </c>
      <c r="BE372" s="309">
        <f t="shared" si="313"/>
        <v>0</v>
      </c>
      <c r="BF372" s="306">
        <f>DailyMet!H355</f>
        <v>0.79</v>
      </c>
      <c r="BG372" s="306">
        <f>DailyMet!I355</f>
        <v>-1.4</v>
      </c>
      <c r="BH372" s="306">
        <f t="shared" si="314"/>
        <v>0.79</v>
      </c>
      <c r="BI372" s="306">
        <f t="shared" si="315"/>
        <v>10</v>
      </c>
      <c r="BJ372" s="306">
        <f t="shared" si="316"/>
        <v>-4.6050000000000004</v>
      </c>
      <c r="BK372" s="306">
        <f t="shared" si="286"/>
        <v>0</v>
      </c>
      <c r="BL372" s="304">
        <f t="shared" si="317"/>
        <v>0</v>
      </c>
      <c r="BM372" s="304">
        <f t="shared" si="318"/>
        <v>0</v>
      </c>
      <c r="BN372" s="304">
        <f t="shared" si="335"/>
        <v>0</v>
      </c>
      <c r="BO372" s="306">
        <f t="shared" si="336"/>
        <v>0</v>
      </c>
      <c r="BP372" s="306"/>
    </row>
    <row r="373" spans="1:68">
      <c r="A373" s="299">
        <f t="shared" si="287"/>
        <v>0</v>
      </c>
      <c r="B373" s="300">
        <f t="shared" si="288"/>
        <v>38338</v>
      </c>
      <c r="C373" s="301" t="e">
        <f t="shared" si="319"/>
        <v>#N/A</v>
      </c>
      <c r="D373" s="301" t="e">
        <f t="shared" si="289"/>
        <v>#N/A</v>
      </c>
      <c r="E373" s="299">
        <f t="shared" si="290"/>
        <v>352</v>
      </c>
      <c r="F373" s="396">
        <f>Weather!M357</f>
        <v>0.2</v>
      </c>
      <c r="G373" s="301">
        <f>IF(Weather!C357="","",Weather!C357)</f>
        <v>0.20025246800557583</v>
      </c>
      <c r="H373" s="301">
        <f>IF(Weather!D357="","",Weather!D357)</f>
        <v>0.20734524609866151</v>
      </c>
      <c r="I373" s="502">
        <f>IF(Weather!E357="","",Weather!E357)</f>
        <v>0.20734524609866151</v>
      </c>
      <c r="J373" s="397">
        <f>IF(RnSplint!N401&lt;0,0,RnSplint!N401)</f>
        <v>15.499907885400011</v>
      </c>
      <c r="K373" s="302">
        <f t="shared" si="320"/>
        <v>0</v>
      </c>
      <c r="L373" s="303">
        <f t="shared" si="321"/>
        <v>38338</v>
      </c>
      <c r="M373" s="346" t="str">
        <f t="shared" si="291"/>
        <v/>
      </c>
      <c r="N373" s="304">
        <f t="shared" si="322"/>
        <v>0</v>
      </c>
      <c r="O373" s="304">
        <f t="shared" si="323"/>
        <v>0</v>
      </c>
      <c r="P373" s="304">
        <f t="shared" si="292"/>
        <v>0</v>
      </c>
      <c r="Q373" s="304">
        <f t="shared" si="293"/>
        <v>1.2</v>
      </c>
      <c r="R373" s="304">
        <f t="shared" si="294"/>
        <v>1.2</v>
      </c>
      <c r="S373" s="305" t="e">
        <f t="shared" si="324"/>
        <v>#N/A</v>
      </c>
      <c r="T373" s="304">
        <f t="shared" si="295"/>
        <v>0</v>
      </c>
      <c r="U373" s="304">
        <f t="shared" si="334"/>
        <v>0</v>
      </c>
      <c r="V373" s="305" t="e">
        <f t="shared" si="296"/>
        <v>#N/A</v>
      </c>
      <c r="W373" s="305" t="e">
        <f t="shared" si="325"/>
        <v>#N/A</v>
      </c>
      <c r="X373" s="304">
        <f t="shared" si="326"/>
        <v>1.2</v>
      </c>
      <c r="Z373" s="304" t="str">
        <f t="shared" si="297"/>
        <v/>
      </c>
      <c r="AA373" s="305" t="e">
        <f t="shared" si="298"/>
        <v>#N/A</v>
      </c>
      <c r="AB373" s="304">
        <f t="shared" si="299"/>
        <v>0.2488142953183938</v>
      </c>
      <c r="AC373" s="304" t="str">
        <f t="shared" si="327"/>
        <v/>
      </c>
      <c r="AD373" s="306">
        <f t="shared" si="300"/>
        <v>0</v>
      </c>
      <c r="AE373" s="307">
        <f t="shared" si="328"/>
        <v>0.2488142953183938</v>
      </c>
      <c r="AF373" s="308" t="e">
        <f t="shared" si="337"/>
        <v>#N/A</v>
      </c>
      <c r="AG373" s="306">
        <f t="shared" si="329"/>
        <v>681.5892513318388</v>
      </c>
      <c r="AH373" s="306">
        <f t="shared" si="301"/>
        <v>0</v>
      </c>
      <c r="AI373" s="306">
        <f t="shared" si="330"/>
        <v>0</v>
      </c>
      <c r="AJ373" s="306">
        <f t="shared" si="331"/>
        <v>0</v>
      </c>
      <c r="AK373" s="306">
        <f t="shared" si="302"/>
        <v>0</v>
      </c>
      <c r="AL373" s="306">
        <f t="shared" si="332"/>
        <v>0</v>
      </c>
      <c r="AM373" s="306">
        <f t="shared" si="303"/>
        <v>0</v>
      </c>
      <c r="AN373" s="304">
        <f>KcSplint!$N402</f>
        <v>1.2021300827182104</v>
      </c>
      <c r="AO373" s="304" t="str">
        <f t="shared" si="304"/>
        <v/>
      </c>
      <c r="AP373" s="304" t="str">
        <f t="shared" si="333"/>
        <v/>
      </c>
      <c r="AQ373" s="305" t="e">
        <f t="shared" ref="AQ373:AQ436" si="338">IF(AP373="",#N/A,AP373)</f>
        <v>#N/A</v>
      </c>
      <c r="AR373" s="304" t="str">
        <f t="shared" ref="AR373:AR436" si="339">IF(AP373="","",AP373*AV373)</f>
        <v/>
      </c>
      <c r="AS373" s="306">
        <f t="shared" si="305"/>
        <v>0</v>
      </c>
      <c r="AT373" s="307" t="e">
        <f t="shared" ref="AT373:AT436" si="340">IF(AR373="",#N/A,AR373)</f>
        <v>#N/A</v>
      </c>
      <c r="AU373" s="307" t="e">
        <f t="shared" ref="AU373:AU436" si="341">IF(AS373=0,#N/A,AS373)</f>
        <v>#N/A</v>
      </c>
      <c r="AV373" s="304">
        <f t="shared" si="306"/>
        <v>0.20734524609866151</v>
      </c>
      <c r="AW373" s="309">
        <f t="shared" si="307"/>
        <v>0.61233488154059468</v>
      </c>
      <c r="AX373" s="306">
        <f>IF(ISERROR(Weather!M357),#N/A,Weather!M357)</f>
        <v>0.2</v>
      </c>
      <c r="AY373" s="310">
        <f t="shared" si="308"/>
        <v>3</v>
      </c>
      <c r="AZ373" s="309">
        <f t="shared" si="309"/>
        <v>1.2</v>
      </c>
      <c r="BA373" s="309">
        <f t="shared" si="310"/>
        <v>254.20101772173507</v>
      </c>
      <c r="BB373" s="311">
        <f>Irrig!H375</f>
        <v>0</v>
      </c>
      <c r="BC373" s="310">
        <f t="shared" si="311"/>
        <v>0</v>
      </c>
      <c r="BD373" s="309">
        <f t="shared" si="312"/>
        <v>0</v>
      </c>
      <c r="BE373" s="309">
        <f t="shared" si="313"/>
        <v>0</v>
      </c>
      <c r="BF373" s="306">
        <f>DailyMet!H356</f>
        <v>1.06</v>
      </c>
      <c r="BG373" s="306">
        <f>DailyMet!I356</f>
        <v>-0.5</v>
      </c>
      <c r="BH373" s="306">
        <f t="shared" si="314"/>
        <v>1.06</v>
      </c>
      <c r="BI373" s="306">
        <f t="shared" si="315"/>
        <v>10</v>
      </c>
      <c r="BJ373" s="306">
        <f t="shared" si="316"/>
        <v>-4.47</v>
      </c>
      <c r="BK373" s="306">
        <f t="shared" si="286"/>
        <v>0</v>
      </c>
      <c r="BL373" s="304">
        <f t="shared" si="317"/>
        <v>0</v>
      </c>
      <c r="BM373" s="304">
        <f t="shared" si="318"/>
        <v>0</v>
      </c>
      <c r="BN373" s="304">
        <f t="shared" si="335"/>
        <v>0</v>
      </c>
      <c r="BO373" s="306">
        <f t="shared" si="336"/>
        <v>0</v>
      </c>
      <c r="BP373" s="306"/>
    </row>
    <row r="374" spans="1:68">
      <c r="A374" s="299">
        <f t="shared" si="287"/>
        <v>0</v>
      </c>
      <c r="B374" s="300">
        <f t="shared" si="288"/>
        <v>38339</v>
      </c>
      <c r="C374" s="301" t="e">
        <f t="shared" si="319"/>
        <v>#N/A</v>
      </c>
      <c r="D374" s="301" t="e">
        <f t="shared" si="289"/>
        <v>#N/A</v>
      </c>
      <c r="E374" s="299">
        <f t="shared" si="290"/>
        <v>353</v>
      </c>
      <c r="F374" s="396">
        <f>Weather!M358</f>
        <v>0</v>
      </c>
      <c r="G374" s="301">
        <f>IF(Weather!C358="","",Weather!C358)</f>
        <v>0.19909664152080095</v>
      </c>
      <c r="H374" s="301">
        <f>IF(Weather!D358="","",Weather!D358)</f>
        <v>0.28715428488928374</v>
      </c>
      <c r="I374" s="502">
        <f>IF(Weather!E358="","",Weather!E358)</f>
        <v>0.28715428488928374</v>
      </c>
      <c r="J374" s="397">
        <f>IF(RnSplint!N402&lt;0,0,RnSplint!N402)</f>
        <v>15.582173265548734</v>
      </c>
      <c r="K374" s="302">
        <f t="shared" si="320"/>
        <v>0</v>
      </c>
      <c r="L374" s="303">
        <f t="shared" si="321"/>
        <v>38339</v>
      </c>
      <c r="M374" s="346" t="str">
        <f t="shared" si="291"/>
        <v/>
      </c>
      <c r="N374" s="304">
        <f t="shared" si="322"/>
        <v>0</v>
      </c>
      <c r="O374" s="304">
        <f t="shared" si="323"/>
        <v>0</v>
      </c>
      <c r="P374" s="304">
        <f t="shared" si="292"/>
        <v>0</v>
      </c>
      <c r="Q374" s="304">
        <f t="shared" si="293"/>
        <v>1.2</v>
      </c>
      <c r="R374" s="304">
        <f t="shared" si="294"/>
        <v>1.2</v>
      </c>
      <c r="S374" s="305" t="e">
        <f t="shared" si="324"/>
        <v>#N/A</v>
      </c>
      <c r="T374" s="304">
        <f t="shared" si="295"/>
        <v>0</v>
      </c>
      <c r="U374" s="304">
        <f t="shared" si="334"/>
        <v>0</v>
      </c>
      <c r="V374" s="305" t="e">
        <f t="shared" si="296"/>
        <v>#N/A</v>
      </c>
      <c r="W374" s="305" t="e">
        <f t="shared" si="325"/>
        <v>#N/A</v>
      </c>
      <c r="X374" s="304">
        <f t="shared" si="326"/>
        <v>1.2</v>
      </c>
      <c r="Z374" s="304" t="str">
        <f t="shared" si="297"/>
        <v/>
      </c>
      <c r="AA374" s="305" t="e">
        <f t="shared" si="298"/>
        <v>#N/A</v>
      </c>
      <c r="AB374" s="304">
        <f t="shared" si="299"/>
        <v>0.34458514186714045</v>
      </c>
      <c r="AC374" s="304" t="str">
        <f t="shared" si="327"/>
        <v/>
      </c>
      <c r="AD374" s="306">
        <f t="shared" si="300"/>
        <v>0</v>
      </c>
      <c r="AE374" s="307">
        <f t="shared" si="328"/>
        <v>0.34458514186714045</v>
      </c>
      <c r="AF374" s="308" t="e">
        <f t="shared" si="337"/>
        <v>#N/A</v>
      </c>
      <c r="AG374" s="306">
        <f t="shared" si="329"/>
        <v>681.87640561672811</v>
      </c>
      <c r="AH374" s="306">
        <f t="shared" si="301"/>
        <v>0</v>
      </c>
      <c r="AI374" s="306">
        <f t="shared" si="330"/>
        <v>0</v>
      </c>
      <c r="AJ374" s="306">
        <f t="shared" si="331"/>
        <v>0</v>
      </c>
      <c r="AK374" s="306">
        <f t="shared" si="302"/>
        <v>0</v>
      </c>
      <c r="AL374" s="306">
        <f t="shared" si="332"/>
        <v>0</v>
      </c>
      <c r="AM374" s="306">
        <f t="shared" si="303"/>
        <v>0</v>
      </c>
      <c r="AN374" s="304">
        <f>KcSplint!$N403</f>
        <v>1.2035028582355312</v>
      </c>
      <c r="AO374" s="304" t="str">
        <f t="shared" si="304"/>
        <v/>
      </c>
      <c r="AP374" s="304" t="str">
        <f t="shared" si="333"/>
        <v/>
      </c>
      <c r="AQ374" s="305" t="e">
        <f t="shared" si="338"/>
        <v>#N/A</v>
      </c>
      <c r="AR374" s="304" t="str">
        <f t="shared" si="339"/>
        <v/>
      </c>
      <c r="AS374" s="306">
        <f t="shared" si="305"/>
        <v>0</v>
      </c>
      <c r="AT374" s="307" t="e">
        <f t="shared" si="340"/>
        <v>#N/A</v>
      </c>
      <c r="AU374" s="307" t="e">
        <f t="shared" si="341"/>
        <v>#N/A</v>
      </c>
      <c r="AV374" s="304">
        <f t="shared" si="306"/>
        <v>0.28715428488928374</v>
      </c>
      <c r="AW374" s="309">
        <f t="shared" si="307"/>
        <v>0.89948916642987842</v>
      </c>
      <c r="AX374" s="306">
        <f>IF(ISERROR(Weather!M358),#N/A,Weather!M358)</f>
        <v>0</v>
      </c>
      <c r="AY374" s="310">
        <f t="shared" si="308"/>
        <v>4</v>
      </c>
      <c r="AZ374" s="309">
        <f t="shared" si="309"/>
        <v>1.2</v>
      </c>
      <c r="BA374" s="309">
        <f t="shared" si="310"/>
        <v>254.48817200662435</v>
      </c>
      <c r="BB374" s="311">
        <f>Irrig!H376</f>
        <v>0</v>
      </c>
      <c r="BC374" s="310">
        <f t="shared" si="311"/>
        <v>0</v>
      </c>
      <c r="BD374" s="309">
        <f t="shared" si="312"/>
        <v>0</v>
      </c>
      <c r="BE374" s="309">
        <f t="shared" si="313"/>
        <v>0</v>
      </c>
      <c r="BF374" s="306">
        <f>DailyMet!H357</f>
        <v>1.38</v>
      </c>
      <c r="BG374" s="306">
        <f>DailyMet!I357</f>
        <v>-1</v>
      </c>
      <c r="BH374" s="306">
        <f t="shared" si="314"/>
        <v>1.38</v>
      </c>
      <c r="BI374" s="306">
        <f t="shared" si="315"/>
        <v>10</v>
      </c>
      <c r="BJ374" s="306">
        <f t="shared" si="316"/>
        <v>-4.3100000000000005</v>
      </c>
      <c r="BK374" s="306">
        <f t="shared" si="286"/>
        <v>0</v>
      </c>
      <c r="BL374" s="304">
        <f t="shared" si="317"/>
        <v>0</v>
      </c>
      <c r="BM374" s="304">
        <f t="shared" si="318"/>
        <v>0</v>
      </c>
      <c r="BN374" s="304">
        <f t="shared" si="335"/>
        <v>0</v>
      </c>
      <c r="BO374" s="306">
        <f t="shared" si="336"/>
        <v>0</v>
      </c>
      <c r="BP374" s="306"/>
    </row>
    <row r="375" spans="1:68">
      <c r="A375" s="299">
        <f t="shared" si="287"/>
        <v>0</v>
      </c>
      <c r="B375" s="300">
        <f t="shared" si="288"/>
        <v>38340</v>
      </c>
      <c r="C375" s="301" t="e">
        <f t="shared" si="319"/>
        <v>#N/A</v>
      </c>
      <c r="D375" s="301" t="e">
        <f t="shared" si="289"/>
        <v>#N/A</v>
      </c>
      <c r="E375" s="299">
        <f t="shared" si="290"/>
        <v>354</v>
      </c>
      <c r="F375" s="396">
        <f>Weather!M359</f>
        <v>0.2</v>
      </c>
      <c r="G375" s="301">
        <f>IF(Weather!C359="","",Weather!C359)</f>
        <v>0.19833081532472815</v>
      </c>
      <c r="H375" s="301">
        <f>IF(Weather!D359="","",Weather!D359)</f>
        <v>0.14919560090004816</v>
      </c>
      <c r="I375" s="502">
        <f>IF(Weather!E359="","",Weather!E359)</f>
        <v>0.14919560090004816</v>
      </c>
      <c r="J375" s="397">
        <f>IF(RnSplint!N403&lt;0,0,RnSplint!N403)</f>
        <v>15.741887965420288</v>
      </c>
      <c r="K375" s="302">
        <f t="shared" si="320"/>
        <v>0</v>
      </c>
      <c r="L375" s="303">
        <f t="shared" si="321"/>
        <v>38340</v>
      </c>
      <c r="M375" s="346" t="str">
        <f t="shared" si="291"/>
        <v/>
      </c>
      <c r="N375" s="304">
        <f t="shared" si="322"/>
        <v>0</v>
      </c>
      <c r="O375" s="304">
        <f t="shared" si="323"/>
        <v>0</v>
      </c>
      <c r="P375" s="304">
        <f t="shared" si="292"/>
        <v>0</v>
      </c>
      <c r="Q375" s="304">
        <f t="shared" si="293"/>
        <v>1.2</v>
      </c>
      <c r="R375" s="304">
        <f t="shared" si="294"/>
        <v>1.2</v>
      </c>
      <c r="S375" s="305" t="e">
        <f t="shared" si="324"/>
        <v>#N/A</v>
      </c>
      <c r="T375" s="304">
        <f t="shared" si="295"/>
        <v>0</v>
      </c>
      <c r="U375" s="304">
        <f t="shared" si="334"/>
        <v>0</v>
      </c>
      <c r="V375" s="305" t="e">
        <f t="shared" si="296"/>
        <v>#N/A</v>
      </c>
      <c r="W375" s="305" t="e">
        <f t="shared" si="325"/>
        <v>#N/A</v>
      </c>
      <c r="X375" s="304">
        <f t="shared" si="326"/>
        <v>1.2</v>
      </c>
      <c r="Z375" s="304" t="str">
        <f t="shared" si="297"/>
        <v/>
      </c>
      <c r="AA375" s="305" t="e">
        <f t="shared" si="298"/>
        <v>#N/A</v>
      </c>
      <c r="AB375" s="304">
        <f t="shared" si="299"/>
        <v>0.17903472108005777</v>
      </c>
      <c r="AC375" s="304" t="str">
        <f t="shared" si="327"/>
        <v/>
      </c>
      <c r="AD375" s="306">
        <f t="shared" si="300"/>
        <v>0</v>
      </c>
      <c r="AE375" s="307">
        <f t="shared" si="328"/>
        <v>0.17903472108005777</v>
      </c>
      <c r="AF375" s="308" t="e">
        <f t="shared" si="337"/>
        <v>#N/A</v>
      </c>
      <c r="AG375" s="306">
        <f t="shared" si="329"/>
        <v>682.02560121762815</v>
      </c>
      <c r="AH375" s="306">
        <f t="shared" si="301"/>
        <v>0</v>
      </c>
      <c r="AI375" s="306">
        <f t="shared" si="330"/>
        <v>0</v>
      </c>
      <c r="AJ375" s="306">
        <f t="shared" si="331"/>
        <v>0</v>
      </c>
      <c r="AK375" s="306">
        <f t="shared" si="302"/>
        <v>0</v>
      </c>
      <c r="AL375" s="306">
        <f t="shared" si="332"/>
        <v>0</v>
      </c>
      <c r="AM375" s="306">
        <f t="shared" si="303"/>
        <v>0</v>
      </c>
      <c r="AN375" s="304">
        <f>KcSplint!$N404</f>
        <v>1.2050188686927072</v>
      </c>
      <c r="AO375" s="304" t="str">
        <f t="shared" si="304"/>
        <v/>
      </c>
      <c r="AP375" s="304" t="str">
        <f t="shared" si="333"/>
        <v/>
      </c>
      <c r="AQ375" s="305" t="e">
        <f t="shared" si="338"/>
        <v>#N/A</v>
      </c>
      <c r="AR375" s="304" t="str">
        <f t="shared" si="339"/>
        <v/>
      </c>
      <c r="AS375" s="306">
        <f t="shared" si="305"/>
        <v>0</v>
      </c>
      <c r="AT375" s="307" t="e">
        <f t="shared" si="340"/>
        <v>#N/A</v>
      </c>
      <c r="AU375" s="307" t="e">
        <f t="shared" si="341"/>
        <v>#N/A</v>
      </c>
      <c r="AV375" s="304">
        <f t="shared" si="306"/>
        <v>0.14919560090004816</v>
      </c>
      <c r="AW375" s="309">
        <f t="shared" si="307"/>
        <v>1.0486847673299267</v>
      </c>
      <c r="AX375" s="306">
        <f>IF(ISERROR(Weather!M359),#N/A,Weather!M359)</f>
        <v>0.2</v>
      </c>
      <c r="AY375" s="310">
        <f t="shared" si="308"/>
        <v>5</v>
      </c>
      <c r="AZ375" s="309">
        <f t="shared" si="309"/>
        <v>1.2</v>
      </c>
      <c r="BA375" s="309">
        <f t="shared" si="310"/>
        <v>254.6373676075244</v>
      </c>
      <c r="BB375" s="311">
        <f>Irrig!H377</f>
        <v>0</v>
      </c>
      <c r="BC375" s="310">
        <f t="shared" si="311"/>
        <v>0</v>
      </c>
      <c r="BD375" s="309">
        <f t="shared" si="312"/>
        <v>0</v>
      </c>
      <c r="BE375" s="309">
        <f t="shared" si="313"/>
        <v>0</v>
      </c>
      <c r="BF375" s="306">
        <f>DailyMet!H358</f>
        <v>-0.75</v>
      </c>
      <c r="BG375" s="306">
        <f>DailyMet!I358</f>
        <v>-1.9</v>
      </c>
      <c r="BH375" s="306">
        <f t="shared" si="314"/>
        <v>-0.75</v>
      </c>
      <c r="BI375" s="306">
        <f t="shared" si="315"/>
        <v>10</v>
      </c>
      <c r="BJ375" s="306">
        <f t="shared" si="316"/>
        <v>-5.375</v>
      </c>
      <c r="BK375" s="306">
        <f t="shared" si="286"/>
        <v>0</v>
      </c>
      <c r="BL375" s="304">
        <f t="shared" si="317"/>
        <v>0</v>
      </c>
      <c r="BM375" s="304">
        <f t="shared" si="318"/>
        <v>0</v>
      </c>
      <c r="BN375" s="304">
        <f t="shared" si="335"/>
        <v>0</v>
      </c>
      <c r="BO375" s="306">
        <f t="shared" si="336"/>
        <v>0</v>
      </c>
      <c r="BP375" s="306"/>
    </row>
    <row r="376" spans="1:68">
      <c r="A376" s="299">
        <f t="shared" si="287"/>
        <v>0</v>
      </c>
      <c r="B376" s="300">
        <f t="shared" si="288"/>
        <v>38341</v>
      </c>
      <c r="C376" s="301" t="e">
        <f t="shared" si="319"/>
        <v>#N/A</v>
      </c>
      <c r="D376" s="301" t="e">
        <f t="shared" si="289"/>
        <v>#N/A</v>
      </c>
      <c r="E376" s="299">
        <f t="shared" si="290"/>
        <v>355</v>
      </c>
      <c r="F376" s="396">
        <f>Weather!M360</f>
        <v>0.2</v>
      </c>
      <c r="G376" s="301">
        <f>IF(Weather!C360="","",Weather!C360)</f>
        <v>0.19794726370442658</v>
      </c>
      <c r="H376" s="301">
        <f>IF(Weather!D360="","",Weather!D360)</f>
        <v>6.9375106890258192E-2</v>
      </c>
      <c r="I376" s="502">
        <f>IF(Weather!E360="","",Weather!E360)</f>
        <v>6.9375106890258192E-2</v>
      </c>
      <c r="J376" s="397">
        <f>IF(RnSplint!N404&lt;0,0,RnSplint!N404)</f>
        <v>15.974143809988789</v>
      </c>
      <c r="K376" s="302">
        <f t="shared" si="320"/>
        <v>0</v>
      </c>
      <c r="L376" s="303">
        <f t="shared" si="321"/>
        <v>38341</v>
      </c>
      <c r="M376" s="346" t="str">
        <f t="shared" si="291"/>
        <v/>
      </c>
      <c r="N376" s="304">
        <f t="shared" si="322"/>
        <v>0</v>
      </c>
      <c r="O376" s="304">
        <f t="shared" si="323"/>
        <v>0</v>
      </c>
      <c r="P376" s="304">
        <f t="shared" si="292"/>
        <v>0</v>
      </c>
      <c r="Q376" s="304">
        <f t="shared" si="293"/>
        <v>1.2</v>
      </c>
      <c r="R376" s="304">
        <f t="shared" si="294"/>
        <v>1.2</v>
      </c>
      <c r="S376" s="305" t="e">
        <f t="shared" si="324"/>
        <v>#N/A</v>
      </c>
      <c r="T376" s="304">
        <f t="shared" si="295"/>
        <v>0</v>
      </c>
      <c r="U376" s="304">
        <f t="shared" si="334"/>
        <v>0</v>
      </c>
      <c r="V376" s="305" t="e">
        <f t="shared" si="296"/>
        <v>#N/A</v>
      </c>
      <c r="W376" s="305" t="e">
        <f t="shared" si="325"/>
        <v>#N/A</v>
      </c>
      <c r="X376" s="304">
        <f t="shared" si="326"/>
        <v>1.2</v>
      </c>
      <c r="Z376" s="304" t="str">
        <f t="shared" si="297"/>
        <v/>
      </c>
      <c r="AA376" s="305" t="e">
        <f t="shared" si="298"/>
        <v>#N/A</v>
      </c>
      <c r="AB376" s="304">
        <f t="shared" si="299"/>
        <v>8.3250128268309825E-2</v>
      </c>
      <c r="AC376" s="304" t="str">
        <f t="shared" si="327"/>
        <v/>
      </c>
      <c r="AD376" s="306">
        <f t="shared" si="300"/>
        <v>0</v>
      </c>
      <c r="AE376" s="307">
        <f t="shared" si="328"/>
        <v>8.3250128268309825E-2</v>
      </c>
      <c r="AF376" s="308" t="e">
        <f t="shared" si="337"/>
        <v>#N/A</v>
      </c>
      <c r="AG376" s="306">
        <f t="shared" si="329"/>
        <v>682.09497632451837</v>
      </c>
      <c r="AH376" s="306">
        <f t="shared" si="301"/>
        <v>0</v>
      </c>
      <c r="AI376" s="306">
        <f t="shared" si="330"/>
        <v>0</v>
      </c>
      <c r="AJ376" s="306">
        <f t="shared" si="331"/>
        <v>0</v>
      </c>
      <c r="AK376" s="306">
        <f t="shared" si="302"/>
        <v>0</v>
      </c>
      <c r="AL376" s="306">
        <f t="shared" si="332"/>
        <v>0</v>
      </c>
      <c r="AM376" s="306">
        <f t="shared" si="303"/>
        <v>0</v>
      </c>
      <c r="AN376" s="304">
        <f>KcSplint!$N405</f>
        <v>1.2066316732155227</v>
      </c>
      <c r="AO376" s="304" t="str">
        <f t="shared" si="304"/>
        <v/>
      </c>
      <c r="AP376" s="304" t="str">
        <f t="shared" si="333"/>
        <v/>
      </c>
      <c r="AQ376" s="305" t="e">
        <f t="shared" si="338"/>
        <v>#N/A</v>
      </c>
      <c r="AR376" s="304" t="str">
        <f t="shared" si="339"/>
        <v/>
      </c>
      <c r="AS376" s="306">
        <f t="shared" si="305"/>
        <v>0</v>
      </c>
      <c r="AT376" s="307" t="e">
        <f t="shared" si="340"/>
        <v>#N/A</v>
      </c>
      <c r="AU376" s="307" t="e">
        <f t="shared" si="341"/>
        <v>#N/A</v>
      </c>
      <c r="AV376" s="304">
        <f t="shared" si="306"/>
        <v>6.9375106890258192E-2</v>
      </c>
      <c r="AW376" s="309">
        <f t="shared" si="307"/>
        <v>6.9375106890258192E-2</v>
      </c>
      <c r="AX376" s="306">
        <f>IF(ISERROR(Weather!M360),#N/A,Weather!M360)</f>
        <v>0.2</v>
      </c>
      <c r="AY376" s="310">
        <f t="shared" si="308"/>
        <v>1</v>
      </c>
      <c r="AZ376" s="309">
        <f t="shared" si="309"/>
        <v>1.2</v>
      </c>
      <c r="BA376" s="309">
        <f t="shared" si="310"/>
        <v>254.70674271441464</v>
      </c>
      <c r="BB376" s="311">
        <f>Irrig!H378</f>
        <v>0</v>
      </c>
      <c r="BC376" s="310">
        <f t="shared" si="311"/>
        <v>0</v>
      </c>
      <c r="BD376" s="309">
        <f t="shared" si="312"/>
        <v>0</v>
      </c>
      <c r="BE376" s="309">
        <f t="shared" si="313"/>
        <v>0</v>
      </c>
      <c r="BF376" s="306">
        <f>DailyMet!H359</f>
        <v>-1.27</v>
      </c>
      <c r="BG376" s="306">
        <f>DailyMet!I359</f>
        <v>-5</v>
      </c>
      <c r="BH376" s="306">
        <f t="shared" si="314"/>
        <v>-1.27</v>
      </c>
      <c r="BI376" s="306">
        <f t="shared" si="315"/>
        <v>10</v>
      </c>
      <c r="BJ376" s="306">
        <f t="shared" si="316"/>
        <v>-5.6349999999999998</v>
      </c>
      <c r="BK376" s="306">
        <f t="shared" si="286"/>
        <v>0</v>
      </c>
      <c r="BL376" s="304">
        <f t="shared" si="317"/>
        <v>0</v>
      </c>
      <c r="BM376" s="304">
        <f t="shared" si="318"/>
        <v>0</v>
      </c>
      <c r="BN376" s="304">
        <f t="shared" si="335"/>
        <v>0</v>
      </c>
      <c r="BO376" s="306">
        <f t="shared" si="336"/>
        <v>0</v>
      </c>
      <c r="BP376" s="306"/>
    </row>
    <row r="377" spans="1:68">
      <c r="A377" s="299">
        <f t="shared" si="287"/>
        <v>0</v>
      </c>
      <c r="B377" s="300">
        <f t="shared" si="288"/>
        <v>38342</v>
      </c>
      <c r="C377" s="301" t="e">
        <f t="shared" si="319"/>
        <v>#N/A</v>
      </c>
      <c r="D377" s="301" t="e">
        <f t="shared" si="289"/>
        <v>#N/A</v>
      </c>
      <c r="E377" s="299">
        <f t="shared" si="290"/>
        <v>356</v>
      </c>
      <c r="F377" s="396">
        <f>Weather!M361</f>
        <v>1.4</v>
      </c>
      <c r="G377" s="301">
        <f>IF(Weather!C361="","",Weather!C361)</f>
        <v>0.19793826094696551</v>
      </c>
      <c r="H377" s="301">
        <f>IF(Weather!D361="","",Weather!D361)</f>
        <v>0.10353647024992368</v>
      </c>
      <c r="I377" s="502">
        <f>IF(Weather!E361="","",Weather!E361)</f>
        <v>0.10353647024992368</v>
      </c>
      <c r="J377" s="397">
        <f>IF(RnSplint!N405&lt;0,0,RnSplint!N405)</f>
        <v>16.274032624228358</v>
      </c>
      <c r="K377" s="302">
        <f t="shared" si="320"/>
        <v>0</v>
      </c>
      <c r="L377" s="303">
        <f t="shared" si="321"/>
        <v>38342</v>
      </c>
      <c r="M377" s="346" t="str">
        <f t="shared" si="291"/>
        <v/>
      </c>
      <c r="N377" s="304">
        <f t="shared" si="322"/>
        <v>0</v>
      </c>
      <c r="O377" s="304">
        <f t="shared" si="323"/>
        <v>0</v>
      </c>
      <c r="P377" s="304">
        <f t="shared" si="292"/>
        <v>0</v>
      </c>
      <c r="Q377" s="304">
        <f t="shared" si="293"/>
        <v>1.2</v>
      </c>
      <c r="R377" s="304">
        <f t="shared" si="294"/>
        <v>1.2</v>
      </c>
      <c r="S377" s="305" t="e">
        <f t="shared" si="324"/>
        <v>#N/A</v>
      </c>
      <c r="T377" s="304">
        <f t="shared" si="295"/>
        <v>0</v>
      </c>
      <c r="U377" s="304">
        <f t="shared" si="334"/>
        <v>0</v>
      </c>
      <c r="V377" s="305" t="e">
        <f t="shared" si="296"/>
        <v>#N/A</v>
      </c>
      <c r="W377" s="305" t="e">
        <f t="shared" si="325"/>
        <v>#N/A</v>
      </c>
      <c r="X377" s="304">
        <f t="shared" si="326"/>
        <v>1.2</v>
      </c>
      <c r="Z377" s="304" t="str">
        <f t="shared" si="297"/>
        <v/>
      </c>
      <c r="AA377" s="305" t="e">
        <f t="shared" si="298"/>
        <v>#N/A</v>
      </c>
      <c r="AB377" s="304">
        <f t="shared" si="299"/>
        <v>0.12424376429990841</v>
      </c>
      <c r="AC377" s="304" t="str">
        <f t="shared" si="327"/>
        <v/>
      </c>
      <c r="AD377" s="306">
        <f t="shared" si="300"/>
        <v>0</v>
      </c>
      <c r="AE377" s="307">
        <f t="shared" si="328"/>
        <v>0.12424376429990841</v>
      </c>
      <c r="AF377" s="308" t="e">
        <f t="shared" si="337"/>
        <v>#N/A</v>
      </c>
      <c r="AG377" s="306">
        <f t="shared" si="329"/>
        <v>682.19851279476825</v>
      </c>
      <c r="AH377" s="306">
        <f t="shared" si="301"/>
        <v>0</v>
      </c>
      <c r="AI377" s="306">
        <f t="shared" si="330"/>
        <v>0</v>
      </c>
      <c r="AJ377" s="306">
        <f t="shared" si="331"/>
        <v>0</v>
      </c>
      <c r="AK377" s="306">
        <f t="shared" si="302"/>
        <v>0</v>
      </c>
      <c r="AL377" s="306">
        <f t="shared" si="332"/>
        <v>0</v>
      </c>
      <c r="AM377" s="306">
        <f t="shared" si="303"/>
        <v>0</v>
      </c>
      <c r="AN377" s="304">
        <f>KcSplint!$N406</f>
        <v>1.208294830929761</v>
      </c>
      <c r="AO377" s="304" t="str">
        <f t="shared" si="304"/>
        <v/>
      </c>
      <c r="AP377" s="304" t="str">
        <f t="shared" si="333"/>
        <v/>
      </c>
      <c r="AQ377" s="305" t="e">
        <f t="shared" si="338"/>
        <v>#N/A</v>
      </c>
      <c r="AR377" s="304" t="str">
        <f t="shared" si="339"/>
        <v/>
      </c>
      <c r="AS377" s="306">
        <f t="shared" si="305"/>
        <v>0</v>
      </c>
      <c r="AT377" s="307" t="e">
        <f t="shared" si="340"/>
        <v>#N/A</v>
      </c>
      <c r="AU377" s="307" t="e">
        <f t="shared" si="341"/>
        <v>#N/A</v>
      </c>
      <c r="AV377" s="304">
        <f t="shared" si="306"/>
        <v>0.10353647024992368</v>
      </c>
      <c r="AW377" s="309">
        <f t="shared" si="307"/>
        <v>0.10353647024992368</v>
      </c>
      <c r="AX377" s="306">
        <f>IF(ISERROR(Weather!M361),#N/A,Weather!M361)</f>
        <v>1.4</v>
      </c>
      <c r="AY377" s="310">
        <f t="shared" si="308"/>
        <v>1</v>
      </c>
      <c r="AZ377" s="309">
        <f t="shared" si="309"/>
        <v>1.2</v>
      </c>
      <c r="BA377" s="309">
        <f t="shared" si="310"/>
        <v>254.81027918466458</v>
      </c>
      <c r="BB377" s="311">
        <f>Irrig!H379</f>
        <v>0</v>
      </c>
      <c r="BC377" s="310">
        <f t="shared" si="311"/>
        <v>0</v>
      </c>
      <c r="BD377" s="309">
        <f t="shared" si="312"/>
        <v>0</v>
      </c>
      <c r="BE377" s="309">
        <f t="shared" si="313"/>
        <v>0</v>
      </c>
      <c r="BF377" s="306">
        <f>DailyMet!H360</f>
        <v>1.63</v>
      </c>
      <c r="BG377" s="306">
        <f>DailyMet!I360</f>
        <v>0.6</v>
      </c>
      <c r="BH377" s="306">
        <f t="shared" si="314"/>
        <v>1.63</v>
      </c>
      <c r="BI377" s="306">
        <f t="shared" si="315"/>
        <v>10</v>
      </c>
      <c r="BJ377" s="306">
        <f t="shared" si="316"/>
        <v>-4.1850000000000005</v>
      </c>
      <c r="BK377" s="306">
        <f t="shared" si="286"/>
        <v>0</v>
      </c>
      <c r="BL377" s="304">
        <f t="shared" si="317"/>
        <v>0</v>
      </c>
      <c r="BM377" s="304">
        <f t="shared" si="318"/>
        <v>0</v>
      </c>
      <c r="BN377" s="304">
        <f t="shared" si="335"/>
        <v>0</v>
      </c>
      <c r="BO377" s="306">
        <f t="shared" si="336"/>
        <v>0</v>
      </c>
      <c r="BP377" s="306"/>
    </row>
    <row r="378" spans="1:68">
      <c r="A378" s="299">
        <f t="shared" si="287"/>
        <v>0</v>
      </c>
      <c r="B378" s="300">
        <f t="shared" si="288"/>
        <v>38343</v>
      </c>
      <c r="C378" s="301" t="e">
        <f t="shared" si="319"/>
        <v>#N/A</v>
      </c>
      <c r="D378" s="301" t="e">
        <f t="shared" si="289"/>
        <v>#N/A</v>
      </c>
      <c r="E378" s="299">
        <f t="shared" si="290"/>
        <v>357</v>
      </c>
      <c r="F378" s="396">
        <f>Weather!M362</f>
        <v>0</v>
      </c>
      <c r="G378" s="301">
        <f>IF(Weather!C362="","",Weather!C362)</f>
        <v>0.19829608133941409</v>
      </c>
      <c r="H378" s="301">
        <f>IF(Weather!D362="","",Weather!D362)</f>
        <v>0.17521718328015756</v>
      </c>
      <c r="I378" s="502">
        <f>IF(Weather!E362="","",Weather!E362)</f>
        <v>0.17521718328015756</v>
      </c>
      <c r="J378" s="397">
        <f>IF(RnSplint!N406&lt;0,0,RnSplint!N406)</f>
        <v>16.636646233113108</v>
      </c>
      <c r="K378" s="302">
        <f t="shared" si="320"/>
        <v>0</v>
      </c>
      <c r="L378" s="303">
        <f t="shared" si="321"/>
        <v>38343</v>
      </c>
      <c r="M378" s="346" t="str">
        <f t="shared" si="291"/>
        <v/>
      </c>
      <c r="N378" s="304">
        <f t="shared" si="322"/>
        <v>0</v>
      </c>
      <c r="O378" s="304">
        <f t="shared" si="323"/>
        <v>0</v>
      </c>
      <c r="P378" s="304">
        <f t="shared" si="292"/>
        <v>0</v>
      </c>
      <c r="Q378" s="304">
        <f t="shared" si="293"/>
        <v>1.2</v>
      </c>
      <c r="R378" s="304">
        <f t="shared" si="294"/>
        <v>1.2</v>
      </c>
      <c r="S378" s="305" t="e">
        <f t="shared" si="324"/>
        <v>#N/A</v>
      </c>
      <c r="T378" s="304">
        <f t="shared" si="295"/>
        <v>0</v>
      </c>
      <c r="U378" s="304">
        <f t="shared" si="334"/>
        <v>0</v>
      </c>
      <c r="V378" s="305" t="e">
        <f t="shared" si="296"/>
        <v>#N/A</v>
      </c>
      <c r="W378" s="305" t="e">
        <f t="shared" si="325"/>
        <v>#N/A</v>
      </c>
      <c r="X378" s="304">
        <f t="shared" si="326"/>
        <v>1.2</v>
      </c>
      <c r="Z378" s="304" t="str">
        <f t="shared" si="297"/>
        <v/>
      </c>
      <c r="AA378" s="305" t="e">
        <f t="shared" si="298"/>
        <v>#N/A</v>
      </c>
      <c r="AB378" s="304">
        <f t="shared" si="299"/>
        <v>0.21026061993618908</v>
      </c>
      <c r="AC378" s="304" t="str">
        <f t="shared" si="327"/>
        <v/>
      </c>
      <c r="AD378" s="306">
        <f t="shared" si="300"/>
        <v>0</v>
      </c>
      <c r="AE378" s="307">
        <f t="shared" si="328"/>
        <v>0.21026061993618908</v>
      </c>
      <c r="AF378" s="308" t="e">
        <f t="shared" si="337"/>
        <v>#N/A</v>
      </c>
      <c r="AG378" s="306">
        <f t="shared" si="329"/>
        <v>682.37372997804846</v>
      </c>
      <c r="AH378" s="306">
        <f t="shared" si="301"/>
        <v>0</v>
      </c>
      <c r="AI378" s="306">
        <f t="shared" si="330"/>
        <v>0</v>
      </c>
      <c r="AJ378" s="306">
        <f t="shared" si="331"/>
        <v>0</v>
      </c>
      <c r="AK378" s="306">
        <f t="shared" si="302"/>
        <v>0</v>
      </c>
      <c r="AL378" s="306">
        <f t="shared" si="332"/>
        <v>0</v>
      </c>
      <c r="AM378" s="306">
        <f t="shared" si="303"/>
        <v>0</v>
      </c>
      <c r="AN378" s="304">
        <f>KcSplint!$N407</f>
        <v>1.2099619009612059</v>
      </c>
      <c r="AO378" s="304" t="str">
        <f t="shared" si="304"/>
        <v/>
      </c>
      <c r="AP378" s="304" t="str">
        <f t="shared" si="333"/>
        <v/>
      </c>
      <c r="AQ378" s="305" t="e">
        <f t="shared" si="338"/>
        <v>#N/A</v>
      </c>
      <c r="AR378" s="304" t="str">
        <f t="shared" si="339"/>
        <v/>
      </c>
      <c r="AS378" s="306">
        <f t="shared" si="305"/>
        <v>0</v>
      </c>
      <c r="AT378" s="307" t="e">
        <f t="shared" si="340"/>
        <v>#N/A</v>
      </c>
      <c r="AU378" s="307" t="e">
        <f t="shared" si="341"/>
        <v>#N/A</v>
      </c>
      <c r="AV378" s="304">
        <f t="shared" si="306"/>
        <v>0.17521718328015756</v>
      </c>
      <c r="AW378" s="309">
        <f t="shared" si="307"/>
        <v>0.27875365353008125</v>
      </c>
      <c r="AX378" s="306">
        <f>IF(ISERROR(Weather!M362),#N/A,Weather!M362)</f>
        <v>0</v>
      </c>
      <c r="AY378" s="310">
        <f t="shared" si="308"/>
        <v>2</v>
      </c>
      <c r="AZ378" s="309">
        <f t="shared" si="309"/>
        <v>1.2</v>
      </c>
      <c r="BA378" s="309">
        <f t="shared" si="310"/>
        <v>254.98549636794473</v>
      </c>
      <c r="BB378" s="311">
        <f>Irrig!H380</f>
        <v>0</v>
      </c>
      <c r="BC378" s="310">
        <f t="shared" si="311"/>
        <v>0</v>
      </c>
      <c r="BD378" s="309">
        <f t="shared" si="312"/>
        <v>0</v>
      </c>
      <c r="BE378" s="309">
        <f t="shared" si="313"/>
        <v>0</v>
      </c>
      <c r="BF378" s="306">
        <f>DailyMet!H361</f>
        <v>1.3</v>
      </c>
      <c r="BG378" s="306">
        <f>DailyMet!I361</f>
        <v>0.3</v>
      </c>
      <c r="BH378" s="306">
        <f t="shared" si="314"/>
        <v>1.3</v>
      </c>
      <c r="BI378" s="306">
        <f t="shared" si="315"/>
        <v>10</v>
      </c>
      <c r="BJ378" s="306">
        <f t="shared" si="316"/>
        <v>-4.3499999999999996</v>
      </c>
      <c r="BK378" s="306">
        <f t="shared" si="286"/>
        <v>0</v>
      </c>
      <c r="BL378" s="304">
        <f t="shared" si="317"/>
        <v>0</v>
      </c>
      <c r="BM378" s="304">
        <f t="shared" si="318"/>
        <v>0</v>
      </c>
      <c r="BN378" s="304">
        <f t="shared" si="335"/>
        <v>0</v>
      </c>
      <c r="BO378" s="306">
        <f t="shared" si="336"/>
        <v>0</v>
      </c>
      <c r="BP378" s="306"/>
    </row>
    <row r="379" spans="1:68">
      <c r="A379" s="299">
        <f t="shared" si="287"/>
        <v>0</v>
      </c>
      <c r="B379" s="300">
        <f t="shared" si="288"/>
        <v>38344</v>
      </c>
      <c r="C379" s="301" t="e">
        <f t="shared" si="319"/>
        <v>#N/A</v>
      </c>
      <c r="D379" s="301" t="e">
        <f t="shared" si="289"/>
        <v>#N/A</v>
      </c>
      <c r="E379" s="299">
        <f t="shared" si="290"/>
        <v>358</v>
      </c>
      <c r="F379" s="396">
        <f>Weather!M363</f>
        <v>0</v>
      </c>
      <c r="G379" s="301">
        <f>IF(Weather!C363="","",Weather!C363)</f>
        <v>0.19901299916884158</v>
      </c>
      <c r="H379" s="301">
        <f>IF(Weather!D363="","",Weather!D363)</f>
        <v>0.11016604488914751</v>
      </c>
      <c r="I379" s="502">
        <f>IF(Weather!E363="","",Weather!E363)</f>
        <v>0.11016604488914751</v>
      </c>
      <c r="J379" s="397">
        <f>IF(RnSplint!N407&lt;0,0,RnSplint!N407)</f>
        <v>17.057076461617154</v>
      </c>
      <c r="K379" s="302">
        <f t="shared" si="320"/>
        <v>0</v>
      </c>
      <c r="L379" s="303">
        <f>B379</f>
        <v>38344</v>
      </c>
      <c r="M379" s="346" t="str">
        <f t="shared" si="291"/>
        <v/>
      </c>
      <c r="N379" s="304">
        <f t="shared" si="322"/>
        <v>0</v>
      </c>
      <c r="O379" s="304">
        <f t="shared" si="323"/>
        <v>0</v>
      </c>
      <c r="P379" s="304">
        <f t="shared" si="292"/>
        <v>0</v>
      </c>
      <c r="Q379" s="304">
        <f t="shared" si="293"/>
        <v>1.2</v>
      </c>
      <c r="R379" s="304">
        <f t="shared" si="294"/>
        <v>1.2</v>
      </c>
      <c r="S379" s="305" t="e">
        <f t="shared" si="324"/>
        <v>#N/A</v>
      </c>
      <c r="T379" s="304">
        <f t="shared" si="295"/>
        <v>0</v>
      </c>
      <c r="U379" s="304">
        <f t="shared" si="334"/>
        <v>0</v>
      </c>
      <c r="V379" s="305" t="e">
        <f t="shared" si="296"/>
        <v>#N/A</v>
      </c>
      <c r="W379" s="305" t="e">
        <f t="shared" si="325"/>
        <v>#N/A</v>
      </c>
      <c r="X379" s="304">
        <f t="shared" si="326"/>
        <v>1.2</v>
      </c>
      <c r="Z379" s="304" t="str">
        <f t="shared" si="297"/>
        <v/>
      </c>
      <c r="AA379" s="305" t="e">
        <f t="shared" si="298"/>
        <v>#N/A</v>
      </c>
      <c r="AB379" s="304">
        <f t="shared" si="299"/>
        <v>0.13219925386697701</v>
      </c>
      <c r="AC379" s="304" t="str">
        <f t="shared" si="327"/>
        <v/>
      </c>
      <c r="AD379" s="306">
        <f t="shared" si="300"/>
        <v>0</v>
      </c>
      <c r="AE379" s="307">
        <f t="shared" si="328"/>
        <v>0.13219925386697701</v>
      </c>
      <c r="AF379" s="308" t="e">
        <f t="shared" si="337"/>
        <v>#N/A</v>
      </c>
      <c r="AG379" s="306">
        <f t="shared" si="329"/>
        <v>682.48389602293764</v>
      </c>
      <c r="AH379" s="306">
        <f t="shared" si="301"/>
        <v>0</v>
      </c>
      <c r="AI379" s="306">
        <f t="shared" si="330"/>
        <v>0</v>
      </c>
      <c r="AJ379" s="306">
        <f t="shared" si="331"/>
        <v>0</v>
      </c>
      <c r="AK379" s="306">
        <f t="shared" si="302"/>
        <v>0</v>
      </c>
      <c r="AL379" s="306">
        <f t="shared" si="332"/>
        <v>0</v>
      </c>
      <c r="AM379" s="306">
        <f t="shared" si="303"/>
        <v>0</v>
      </c>
      <c r="AN379" s="304">
        <f>KcSplint!$N408</f>
        <v>1.2115864424356415</v>
      </c>
      <c r="AO379" s="304" t="str">
        <f t="shared" si="304"/>
        <v/>
      </c>
      <c r="AP379" s="304" t="str">
        <f t="shared" si="333"/>
        <v/>
      </c>
      <c r="AQ379" s="305" t="e">
        <f t="shared" si="338"/>
        <v>#N/A</v>
      </c>
      <c r="AR379" s="304" t="str">
        <f t="shared" si="339"/>
        <v/>
      </c>
      <c r="AS379" s="306">
        <f t="shared" si="305"/>
        <v>0</v>
      </c>
      <c r="AT379" s="307" t="e">
        <f t="shared" si="340"/>
        <v>#N/A</v>
      </c>
      <c r="AU379" s="307" t="e">
        <f t="shared" si="341"/>
        <v>#N/A</v>
      </c>
      <c r="AV379" s="304">
        <f t="shared" si="306"/>
        <v>0.11016604488914751</v>
      </c>
      <c r="AW379" s="309">
        <f t="shared" si="307"/>
        <v>0.38891969841922874</v>
      </c>
      <c r="AX379" s="306">
        <f>IF(ISERROR(Weather!M363),#N/A,Weather!M363)</f>
        <v>0</v>
      </c>
      <c r="AY379" s="310">
        <f t="shared" si="308"/>
        <v>3</v>
      </c>
      <c r="AZ379" s="309">
        <f t="shared" si="309"/>
        <v>1.2</v>
      </c>
      <c r="BA379" s="309">
        <f t="shared" si="310"/>
        <v>255.09566241283389</v>
      </c>
      <c r="BB379" s="311">
        <f>Irrig!H381</f>
        <v>0</v>
      </c>
      <c r="BC379" s="310">
        <f t="shared" si="311"/>
        <v>0</v>
      </c>
      <c r="BD379" s="309">
        <f t="shared" si="312"/>
        <v>0</v>
      </c>
      <c r="BE379" s="309">
        <f t="shared" si="313"/>
        <v>0</v>
      </c>
      <c r="BF379" s="306">
        <f>DailyMet!H362</f>
        <v>0.19</v>
      </c>
      <c r="BG379" s="306">
        <f>DailyMet!I362</f>
        <v>-1</v>
      </c>
      <c r="BH379" s="306">
        <f t="shared" si="314"/>
        <v>0.19</v>
      </c>
      <c r="BI379" s="306">
        <f t="shared" si="315"/>
        <v>10</v>
      </c>
      <c r="BJ379" s="306">
        <f t="shared" si="316"/>
        <v>-4.9050000000000002</v>
      </c>
      <c r="BK379" s="306">
        <f t="shared" si="286"/>
        <v>0</v>
      </c>
      <c r="BL379" s="304">
        <f t="shared" si="317"/>
        <v>0</v>
      </c>
      <c r="BM379" s="304">
        <f t="shared" si="318"/>
        <v>0</v>
      </c>
      <c r="BN379" s="304">
        <f t="shared" si="335"/>
        <v>0</v>
      </c>
      <c r="BO379" s="306">
        <f t="shared" si="336"/>
        <v>0</v>
      </c>
      <c r="BP379" s="306"/>
    </row>
    <row r="380" spans="1:68">
      <c r="A380" s="299">
        <f t="shared" si="287"/>
        <v>0</v>
      </c>
      <c r="B380" s="300">
        <f t="shared" si="288"/>
        <v>38345</v>
      </c>
      <c r="C380" s="301" t="e">
        <f t="shared" si="319"/>
        <v>#N/A</v>
      </c>
      <c r="D380" s="301" t="e">
        <f t="shared" si="289"/>
        <v>#N/A</v>
      </c>
      <c r="E380" s="299">
        <f t="shared" si="290"/>
        <v>359</v>
      </c>
      <c r="F380" s="396">
        <f>Weather!M364</f>
        <v>0.2</v>
      </c>
      <c r="G380" s="301">
        <f>IF(Weather!C364="","",Weather!C364)</f>
        <v>0.20008128872231723</v>
      </c>
      <c r="H380" s="301">
        <f>IF(Weather!D364="","",Weather!D364)</f>
        <v>0.11973452107259031</v>
      </c>
      <c r="I380" s="502">
        <f>IF(Weather!E364="","",Weather!E364)</f>
        <v>0.11973452107259031</v>
      </c>
      <c r="J380" s="397">
        <f>IF(RnSplint!N408&lt;0,0,RnSplint!N408)</f>
        <v>17.530415134714609</v>
      </c>
      <c r="K380" s="302">
        <f t="shared" si="320"/>
        <v>0</v>
      </c>
      <c r="L380" s="303">
        <f t="shared" si="321"/>
        <v>38345</v>
      </c>
      <c r="M380" s="346" t="str">
        <f t="shared" si="291"/>
        <v/>
      </c>
      <c r="N380" s="304">
        <f t="shared" si="322"/>
        <v>0</v>
      </c>
      <c r="O380" s="304">
        <f t="shared" si="323"/>
        <v>0</v>
      </c>
      <c r="P380" s="304">
        <f t="shared" si="292"/>
        <v>0</v>
      </c>
      <c r="Q380" s="304">
        <f t="shared" si="293"/>
        <v>1.2</v>
      </c>
      <c r="R380" s="304">
        <f t="shared" si="294"/>
        <v>1.2</v>
      </c>
      <c r="S380" s="305" t="e">
        <f t="shared" si="324"/>
        <v>#N/A</v>
      </c>
      <c r="T380" s="304">
        <f t="shared" si="295"/>
        <v>0</v>
      </c>
      <c r="U380" s="304">
        <f t="shared" si="334"/>
        <v>0</v>
      </c>
      <c r="V380" s="305" t="e">
        <f t="shared" si="296"/>
        <v>#N/A</v>
      </c>
      <c r="W380" s="305" t="e">
        <f t="shared" si="325"/>
        <v>#N/A</v>
      </c>
      <c r="X380" s="304">
        <f t="shared" si="326"/>
        <v>1.2</v>
      </c>
      <c r="Z380" s="304" t="str">
        <f t="shared" si="297"/>
        <v/>
      </c>
      <c r="AA380" s="305" t="e">
        <f t="shared" si="298"/>
        <v>#N/A</v>
      </c>
      <c r="AB380" s="304">
        <f t="shared" si="299"/>
        <v>0.14368142528710837</v>
      </c>
      <c r="AC380" s="304" t="str">
        <f t="shared" si="327"/>
        <v/>
      </c>
      <c r="AD380" s="306">
        <f t="shared" si="300"/>
        <v>0</v>
      </c>
      <c r="AE380" s="307">
        <f t="shared" si="328"/>
        <v>0.14368142528710837</v>
      </c>
      <c r="AF380" s="308" t="e">
        <f t="shared" si="337"/>
        <v>#N/A</v>
      </c>
      <c r="AG380" s="306">
        <f t="shared" si="329"/>
        <v>682.60363054401023</v>
      </c>
      <c r="AH380" s="306">
        <f t="shared" si="301"/>
        <v>0</v>
      </c>
      <c r="AI380" s="306">
        <f t="shared" si="330"/>
        <v>0</v>
      </c>
      <c r="AJ380" s="306">
        <f t="shared" si="331"/>
        <v>0</v>
      </c>
      <c r="AK380" s="306">
        <f t="shared" si="302"/>
        <v>0</v>
      </c>
      <c r="AL380" s="306">
        <f t="shared" si="332"/>
        <v>0</v>
      </c>
      <c r="AM380" s="306">
        <f t="shared" si="303"/>
        <v>0</v>
      </c>
      <c r="AN380" s="304">
        <f>KcSplint!$N409</f>
        <v>1.2117090355647429</v>
      </c>
      <c r="AO380" s="304" t="str">
        <f t="shared" si="304"/>
        <v/>
      </c>
      <c r="AP380" s="304" t="str">
        <f t="shared" si="333"/>
        <v/>
      </c>
      <c r="AQ380" s="305" t="e">
        <f t="shared" si="338"/>
        <v>#N/A</v>
      </c>
      <c r="AR380" s="304" t="str">
        <f t="shared" si="339"/>
        <v/>
      </c>
      <c r="AS380" s="306">
        <f t="shared" si="305"/>
        <v>0</v>
      </c>
      <c r="AT380" s="307" t="e">
        <f t="shared" si="340"/>
        <v>#N/A</v>
      </c>
      <c r="AU380" s="307" t="e">
        <f t="shared" si="341"/>
        <v>#N/A</v>
      </c>
      <c r="AV380" s="304">
        <f t="shared" si="306"/>
        <v>0.11973452107259031</v>
      </c>
      <c r="AW380" s="309">
        <f t="shared" si="307"/>
        <v>0.5086542194918191</v>
      </c>
      <c r="AX380" s="306">
        <f>IF(ISERROR(Weather!M364),#N/A,Weather!M364)</f>
        <v>0.2</v>
      </c>
      <c r="AY380" s="310">
        <f t="shared" si="308"/>
        <v>4</v>
      </c>
      <c r="AZ380" s="309">
        <f t="shared" si="309"/>
        <v>1.2</v>
      </c>
      <c r="BA380" s="309">
        <f t="shared" si="310"/>
        <v>255.21539693390648</v>
      </c>
      <c r="BB380" s="311">
        <f>Irrig!H382</f>
        <v>0</v>
      </c>
      <c r="BC380" s="310">
        <f t="shared" si="311"/>
        <v>0</v>
      </c>
      <c r="BD380" s="309">
        <f t="shared" si="312"/>
        <v>0</v>
      </c>
      <c r="BE380" s="309">
        <f t="shared" si="313"/>
        <v>0</v>
      </c>
      <c r="BF380" s="306">
        <f>DailyMet!H363</f>
        <v>2.63</v>
      </c>
      <c r="BG380" s="306">
        <f>DailyMet!I363</f>
        <v>-0.4</v>
      </c>
      <c r="BH380" s="306">
        <f t="shared" si="314"/>
        <v>2.63</v>
      </c>
      <c r="BI380" s="306">
        <f t="shared" si="315"/>
        <v>10</v>
      </c>
      <c r="BJ380" s="306">
        <f t="shared" si="316"/>
        <v>-3.6850000000000005</v>
      </c>
      <c r="BK380" s="306">
        <f t="shared" si="286"/>
        <v>0</v>
      </c>
      <c r="BL380" s="304">
        <f t="shared" si="317"/>
        <v>0</v>
      </c>
      <c r="BM380" s="304">
        <f t="shared" si="318"/>
        <v>0</v>
      </c>
      <c r="BN380" s="304">
        <f t="shared" si="335"/>
        <v>0</v>
      </c>
      <c r="BO380" s="306">
        <f t="shared" si="336"/>
        <v>0</v>
      </c>
      <c r="BP380" s="306"/>
    </row>
    <row r="381" spans="1:68">
      <c r="A381" s="299">
        <f t="shared" si="287"/>
        <v>0</v>
      </c>
      <c r="B381" s="300">
        <f t="shared" si="288"/>
        <v>38346</v>
      </c>
      <c r="C381" s="301" t="e">
        <f t="shared" si="319"/>
        <v>#N/A</v>
      </c>
      <c r="D381" s="301" t="e">
        <f t="shared" si="289"/>
        <v>#N/A</v>
      </c>
      <c r="E381" s="299">
        <f t="shared" si="290"/>
        <v>360</v>
      </c>
      <c r="F381" s="396">
        <f>Weather!M365</f>
        <v>0</v>
      </c>
      <c r="G381" s="301">
        <f>IF(Weather!C365="","",Weather!C365)</f>
        <v>0.20438088507200602</v>
      </c>
      <c r="H381" s="301">
        <f>IF(Weather!D365="","",Weather!D365)</f>
        <v>0.19141620962706662</v>
      </c>
      <c r="I381" s="502">
        <f>IF(Weather!E365="","",Weather!E365)</f>
        <v>0.19141620962706662</v>
      </c>
      <c r="J381" s="397">
        <f>IF(RnSplint!N409&lt;0,0,RnSplint!N409)</f>
        <v>18.382199158729602</v>
      </c>
      <c r="K381" s="302">
        <f t="shared" si="320"/>
        <v>0</v>
      </c>
      <c r="L381" s="303">
        <f t="shared" si="321"/>
        <v>38346</v>
      </c>
      <c r="M381" s="346" t="str">
        <f t="shared" si="291"/>
        <v/>
      </c>
      <c r="N381" s="304">
        <f t="shared" si="322"/>
        <v>0</v>
      </c>
      <c r="O381" s="304">
        <f t="shared" si="323"/>
        <v>0</v>
      </c>
      <c r="P381" s="304">
        <f t="shared" si="292"/>
        <v>0</v>
      </c>
      <c r="Q381" s="304">
        <f t="shared" si="293"/>
        <v>1.2</v>
      </c>
      <c r="R381" s="304">
        <f t="shared" si="294"/>
        <v>1.2</v>
      </c>
      <c r="S381" s="305" t="e">
        <f t="shared" si="324"/>
        <v>#N/A</v>
      </c>
      <c r="T381" s="304">
        <f t="shared" si="295"/>
        <v>0</v>
      </c>
      <c r="U381" s="304">
        <f t="shared" si="334"/>
        <v>0</v>
      </c>
      <c r="V381" s="305" t="e">
        <f t="shared" si="296"/>
        <v>#N/A</v>
      </c>
      <c r="W381" s="305" t="e">
        <f t="shared" si="325"/>
        <v>#N/A</v>
      </c>
      <c r="X381" s="304">
        <f t="shared" si="326"/>
        <v>1.2</v>
      </c>
      <c r="Z381" s="304" t="str">
        <f t="shared" si="297"/>
        <v/>
      </c>
      <c r="AA381" s="305" t="e">
        <f t="shared" si="298"/>
        <v>#N/A</v>
      </c>
      <c r="AB381" s="304">
        <f t="shared" si="299"/>
        <v>0.22969945155247995</v>
      </c>
      <c r="AC381" s="304" t="str">
        <f t="shared" si="327"/>
        <v/>
      </c>
      <c r="AD381" s="306">
        <f t="shared" si="300"/>
        <v>0</v>
      </c>
      <c r="AE381" s="307">
        <f t="shared" si="328"/>
        <v>0.22969945155247995</v>
      </c>
      <c r="AF381" s="308" t="e">
        <f t="shared" si="337"/>
        <v>#N/A</v>
      </c>
      <c r="AG381" s="306">
        <f t="shared" si="329"/>
        <v>682.79504675363728</v>
      </c>
      <c r="AH381" s="306">
        <f t="shared" si="301"/>
        <v>0</v>
      </c>
      <c r="AI381" s="306">
        <f t="shared" si="330"/>
        <v>0</v>
      </c>
      <c r="AJ381" s="306">
        <f t="shared" si="331"/>
        <v>0</v>
      </c>
      <c r="AK381" s="306">
        <f t="shared" si="302"/>
        <v>0</v>
      </c>
      <c r="AL381" s="306">
        <f t="shared" si="332"/>
        <v>0</v>
      </c>
      <c r="AM381" s="306">
        <f t="shared" si="303"/>
        <v>0</v>
      </c>
      <c r="AN381" s="304">
        <f>KcSplint!$N410</f>
        <v>1.2118316286938442</v>
      </c>
      <c r="AO381" s="304" t="str">
        <f t="shared" si="304"/>
        <v/>
      </c>
      <c r="AP381" s="304" t="str">
        <f t="shared" si="333"/>
        <v/>
      </c>
      <c r="AQ381" s="305" t="e">
        <f t="shared" si="338"/>
        <v>#N/A</v>
      </c>
      <c r="AR381" s="304" t="str">
        <f t="shared" si="339"/>
        <v/>
      </c>
      <c r="AS381" s="306">
        <f t="shared" si="305"/>
        <v>0</v>
      </c>
      <c r="AT381" s="307" t="e">
        <f t="shared" si="340"/>
        <v>#N/A</v>
      </c>
      <c r="AU381" s="307" t="e">
        <f t="shared" si="341"/>
        <v>#N/A</v>
      </c>
      <c r="AV381" s="304">
        <f t="shared" si="306"/>
        <v>0.19141620962706662</v>
      </c>
      <c r="AW381" s="309">
        <f t="shared" si="307"/>
        <v>0.70007042911888573</v>
      </c>
      <c r="AX381" s="306">
        <f>IF(ISERROR(Weather!M365),#N/A,Weather!M365)</f>
        <v>0</v>
      </c>
      <c r="AY381" s="310">
        <f t="shared" si="308"/>
        <v>5</v>
      </c>
      <c r="AZ381" s="309">
        <f t="shared" si="309"/>
        <v>1.2</v>
      </c>
      <c r="BA381" s="309">
        <f t="shared" si="310"/>
        <v>255.40681314353355</v>
      </c>
      <c r="BB381" s="311">
        <f>Irrig!H383</f>
        <v>0</v>
      </c>
      <c r="BC381" s="310">
        <f t="shared" si="311"/>
        <v>0</v>
      </c>
      <c r="BD381" s="309">
        <f t="shared" si="312"/>
        <v>0</v>
      </c>
      <c r="BE381" s="309">
        <f t="shared" si="313"/>
        <v>0</v>
      </c>
      <c r="BF381" s="306">
        <f>DailyMet!H364</f>
        <v>4.26</v>
      </c>
      <c r="BG381" s="306">
        <f>DailyMet!I364</f>
        <v>2.8</v>
      </c>
      <c r="BH381" s="306">
        <f t="shared" si="314"/>
        <v>4.26</v>
      </c>
      <c r="BI381" s="306">
        <f t="shared" si="315"/>
        <v>10</v>
      </c>
      <c r="BJ381" s="306">
        <f t="shared" si="316"/>
        <v>-2.87</v>
      </c>
      <c r="BK381" s="306">
        <f t="shared" si="286"/>
        <v>0</v>
      </c>
      <c r="BL381" s="304">
        <f t="shared" si="317"/>
        <v>0</v>
      </c>
      <c r="BM381" s="304">
        <f t="shared" si="318"/>
        <v>0</v>
      </c>
      <c r="BN381" s="304">
        <f t="shared" si="335"/>
        <v>0</v>
      </c>
      <c r="BO381" s="306">
        <f t="shared" si="336"/>
        <v>0</v>
      </c>
      <c r="BP381" s="306"/>
    </row>
    <row r="382" spans="1:68">
      <c r="A382" s="299">
        <f t="shared" si="287"/>
        <v>0</v>
      </c>
      <c r="B382" s="300">
        <f t="shared" si="288"/>
        <v>38347</v>
      </c>
      <c r="C382" s="301" t="e">
        <f t="shared" si="319"/>
        <v>#N/A</v>
      </c>
      <c r="D382" s="301" t="e">
        <f t="shared" si="289"/>
        <v>#N/A</v>
      </c>
      <c r="E382" s="299">
        <f t="shared" si="290"/>
        <v>361</v>
      </c>
      <c r="F382" s="396">
        <f>Weather!M366</f>
        <v>5.6</v>
      </c>
      <c r="G382" s="301">
        <f>IF(Weather!C366="","",Weather!C366)</f>
        <v>0.20868048142169482</v>
      </c>
      <c r="H382" s="301">
        <f>IF(Weather!D366="","",Weather!D366)</f>
        <v>0.25983469090210043</v>
      </c>
      <c r="I382" s="502">
        <f>IF(Weather!E366="","",Weather!E366)</f>
        <v>0.25983469090210043</v>
      </c>
      <c r="J382" s="397">
        <f>IF(RnSplint!N410&lt;0,0,RnSplint!N410)</f>
        <v>19.233983182744595</v>
      </c>
      <c r="K382" s="302">
        <f t="shared" si="320"/>
        <v>0</v>
      </c>
      <c r="L382" s="303">
        <f t="shared" si="321"/>
        <v>38347</v>
      </c>
      <c r="M382" s="346" t="str">
        <f t="shared" si="291"/>
        <v/>
      </c>
      <c r="N382" s="304">
        <f t="shared" si="322"/>
        <v>0</v>
      </c>
      <c r="O382" s="304">
        <f t="shared" si="323"/>
        <v>0</v>
      </c>
      <c r="P382" s="304">
        <f t="shared" si="292"/>
        <v>0</v>
      </c>
      <c r="Q382" s="304">
        <f t="shared" si="293"/>
        <v>1.2</v>
      </c>
      <c r="R382" s="304">
        <f t="shared" si="294"/>
        <v>1.2</v>
      </c>
      <c r="S382" s="305" t="e">
        <f t="shared" si="324"/>
        <v>#N/A</v>
      </c>
      <c r="T382" s="304">
        <f t="shared" si="295"/>
        <v>0</v>
      </c>
      <c r="U382" s="304">
        <f t="shared" si="334"/>
        <v>0</v>
      </c>
      <c r="V382" s="305" t="e">
        <f t="shared" si="296"/>
        <v>#N/A</v>
      </c>
      <c r="W382" s="305" t="e">
        <f t="shared" si="325"/>
        <v>#N/A</v>
      </c>
      <c r="X382" s="304">
        <f t="shared" si="326"/>
        <v>1.2</v>
      </c>
      <c r="Z382" s="304" t="str">
        <f t="shared" si="297"/>
        <v/>
      </c>
      <c r="AA382" s="305" t="e">
        <f t="shared" si="298"/>
        <v>#N/A</v>
      </c>
      <c r="AB382" s="304">
        <f t="shared" si="299"/>
        <v>0.31180162908252052</v>
      </c>
      <c r="AC382" s="304" t="str">
        <f t="shared" si="327"/>
        <v/>
      </c>
      <c r="AD382" s="306">
        <f t="shared" si="300"/>
        <v>0</v>
      </c>
      <c r="AE382" s="307">
        <f t="shared" si="328"/>
        <v>0.31180162908252052</v>
      </c>
      <c r="AF382" s="308" t="e">
        <f t="shared" si="337"/>
        <v>#N/A</v>
      </c>
      <c r="AG382" s="306">
        <f t="shared" si="329"/>
        <v>683.05488144453943</v>
      </c>
      <c r="AH382" s="306">
        <f t="shared" si="301"/>
        <v>0</v>
      </c>
      <c r="AI382" s="306">
        <f t="shared" si="330"/>
        <v>0</v>
      </c>
      <c r="AJ382" s="306">
        <f t="shared" si="331"/>
        <v>0</v>
      </c>
      <c r="AK382" s="306">
        <f t="shared" si="302"/>
        <v>0</v>
      </c>
      <c r="AL382" s="306">
        <f t="shared" si="332"/>
        <v>0</v>
      </c>
      <c r="AM382" s="306">
        <f t="shared" si="303"/>
        <v>0</v>
      </c>
      <c r="AN382" s="304">
        <f>KcSplint!$N411</f>
        <v>1.2119542218229455</v>
      </c>
      <c r="AO382" s="304" t="str">
        <f t="shared" si="304"/>
        <v/>
      </c>
      <c r="AP382" s="304" t="str">
        <f t="shared" si="333"/>
        <v/>
      </c>
      <c r="AQ382" s="305" t="e">
        <f t="shared" si="338"/>
        <v>#N/A</v>
      </c>
      <c r="AR382" s="304" t="str">
        <f t="shared" si="339"/>
        <v/>
      </c>
      <c r="AS382" s="306">
        <f t="shared" si="305"/>
        <v>0</v>
      </c>
      <c r="AT382" s="307" t="e">
        <f t="shared" si="340"/>
        <v>#N/A</v>
      </c>
      <c r="AU382" s="307" t="e">
        <f t="shared" si="341"/>
        <v>#N/A</v>
      </c>
      <c r="AV382" s="304">
        <f t="shared" si="306"/>
        <v>0.25983469090210043</v>
      </c>
      <c r="AW382" s="309">
        <f t="shared" si="307"/>
        <v>0.25983469090210043</v>
      </c>
      <c r="AX382" s="306">
        <f>IF(ISERROR(Weather!M366),#N/A,Weather!M366)</f>
        <v>5.6</v>
      </c>
      <c r="AY382" s="310">
        <f t="shared" si="308"/>
        <v>1</v>
      </c>
      <c r="AZ382" s="309">
        <f t="shared" si="309"/>
        <v>1.2</v>
      </c>
      <c r="BA382" s="309">
        <f t="shared" si="310"/>
        <v>255.66664783443565</v>
      </c>
      <c r="BB382" s="311">
        <f>Irrig!H384</f>
        <v>0</v>
      </c>
      <c r="BC382" s="310">
        <f t="shared" si="311"/>
        <v>0</v>
      </c>
      <c r="BD382" s="309">
        <f t="shared" si="312"/>
        <v>0</v>
      </c>
      <c r="BE382" s="309">
        <f t="shared" si="313"/>
        <v>0</v>
      </c>
      <c r="BF382" s="306">
        <f>DailyMet!H365</f>
        <v>5.32</v>
      </c>
      <c r="BG382" s="306">
        <f>DailyMet!I365</f>
        <v>4.5999999999999996</v>
      </c>
      <c r="BH382" s="306">
        <f t="shared" si="314"/>
        <v>5.32</v>
      </c>
      <c r="BI382" s="306">
        <f t="shared" si="315"/>
        <v>10</v>
      </c>
      <c r="BJ382" s="306">
        <f t="shared" si="316"/>
        <v>-2.34</v>
      </c>
      <c r="BK382" s="306">
        <f t="shared" si="286"/>
        <v>0</v>
      </c>
      <c r="BL382" s="304">
        <f t="shared" si="317"/>
        <v>0</v>
      </c>
      <c r="BM382" s="304">
        <f t="shared" si="318"/>
        <v>0</v>
      </c>
      <c r="BN382" s="304">
        <f t="shared" si="335"/>
        <v>0</v>
      </c>
      <c r="BO382" s="306">
        <f t="shared" si="336"/>
        <v>0</v>
      </c>
      <c r="BP382" s="306"/>
    </row>
    <row r="383" spans="1:68">
      <c r="A383" s="299">
        <f t="shared" si="287"/>
        <v>0</v>
      </c>
      <c r="B383" s="300">
        <f t="shared" si="288"/>
        <v>38348</v>
      </c>
      <c r="C383" s="301" t="e">
        <f t="shared" si="319"/>
        <v>#N/A</v>
      </c>
      <c r="D383" s="301" t="e">
        <f t="shared" si="289"/>
        <v>#N/A</v>
      </c>
      <c r="E383" s="299">
        <f t="shared" si="290"/>
        <v>362</v>
      </c>
      <c r="F383" s="396">
        <f>Weather!M367</f>
        <v>0</v>
      </c>
      <c r="G383" s="301">
        <f>IF(Weather!C367="","",Weather!C367)</f>
        <v>0.21298007777138361</v>
      </c>
      <c r="H383" s="301">
        <f>IF(Weather!D367="","",Weather!D367)</f>
        <v>0.31620608472521305</v>
      </c>
      <c r="I383" s="502">
        <f>IF(Weather!E367="","",Weather!E367)</f>
        <v>0.31620608472521305</v>
      </c>
      <c r="J383" s="397">
        <f>IF(RnSplint!N411&lt;0,0,RnSplint!N411)</f>
        <v>20.085767206759588</v>
      </c>
      <c r="K383" s="302">
        <f t="shared" si="320"/>
        <v>0</v>
      </c>
      <c r="L383" s="303">
        <f t="shared" si="321"/>
        <v>38348</v>
      </c>
      <c r="M383" s="346" t="str">
        <f t="shared" si="291"/>
        <v/>
      </c>
      <c r="N383" s="304">
        <f t="shared" si="322"/>
        <v>0</v>
      </c>
      <c r="O383" s="304">
        <f t="shared" si="323"/>
        <v>0</v>
      </c>
      <c r="P383" s="304">
        <f t="shared" si="292"/>
        <v>0</v>
      </c>
      <c r="Q383" s="304">
        <f t="shared" si="293"/>
        <v>1.2</v>
      </c>
      <c r="R383" s="304">
        <f t="shared" si="294"/>
        <v>1.2</v>
      </c>
      <c r="S383" s="305" t="e">
        <f t="shared" si="324"/>
        <v>#N/A</v>
      </c>
      <c r="T383" s="304">
        <f t="shared" si="295"/>
        <v>0</v>
      </c>
      <c r="U383" s="304">
        <f t="shared" si="334"/>
        <v>0</v>
      </c>
      <c r="V383" s="305" t="e">
        <f t="shared" si="296"/>
        <v>#N/A</v>
      </c>
      <c r="W383" s="305" t="e">
        <f t="shared" si="325"/>
        <v>#N/A</v>
      </c>
      <c r="X383" s="304">
        <f t="shared" si="326"/>
        <v>1.2</v>
      </c>
      <c r="Z383" s="304" t="str">
        <f t="shared" si="297"/>
        <v/>
      </c>
      <c r="AA383" s="305" t="e">
        <f t="shared" si="298"/>
        <v>#N/A</v>
      </c>
      <c r="AB383" s="304">
        <f t="shared" si="299"/>
        <v>0.37944730167025564</v>
      </c>
      <c r="AC383" s="304" t="str">
        <f t="shared" si="327"/>
        <v/>
      </c>
      <c r="AD383" s="306">
        <f t="shared" si="300"/>
        <v>0</v>
      </c>
      <c r="AE383" s="307">
        <f t="shared" si="328"/>
        <v>0.37944730167025564</v>
      </c>
      <c r="AF383" s="308" t="e">
        <f t="shared" si="337"/>
        <v>#N/A</v>
      </c>
      <c r="AG383" s="306">
        <f t="shared" si="329"/>
        <v>683.37108752926463</v>
      </c>
      <c r="AH383" s="306">
        <f t="shared" si="301"/>
        <v>0</v>
      </c>
      <c r="AI383" s="306">
        <f t="shared" si="330"/>
        <v>0</v>
      </c>
      <c r="AJ383" s="306">
        <f t="shared" si="331"/>
        <v>0</v>
      </c>
      <c r="AK383" s="306">
        <f t="shared" si="302"/>
        <v>0</v>
      </c>
      <c r="AL383" s="306">
        <f t="shared" si="332"/>
        <v>0</v>
      </c>
      <c r="AM383" s="306">
        <f t="shared" si="303"/>
        <v>0</v>
      </c>
      <c r="AN383" s="304">
        <f>KcSplint!$N412</f>
        <v>1.2120768149520469</v>
      </c>
      <c r="AO383" s="304" t="str">
        <f t="shared" si="304"/>
        <v/>
      </c>
      <c r="AP383" s="304" t="str">
        <f t="shared" si="333"/>
        <v/>
      </c>
      <c r="AQ383" s="305" t="e">
        <f t="shared" si="338"/>
        <v>#N/A</v>
      </c>
      <c r="AR383" s="304" t="str">
        <f t="shared" si="339"/>
        <v/>
      </c>
      <c r="AS383" s="306">
        <f t="shared" si="305"/>
        <v>0</v>
      </c>
      <c r="AT383" s="307" t="e">
        <f t="shared" si="340"/>
        <v>#N/A</v>
      </c>
      <c r="AU383" s="307" t="e">
        <f t="shared" si="341"/>
        <v>#N/A</v>
      </c>
      <c r="AV383" s="304">
        <f t="shared" si="306"/>
        <v>0.31620608472521305</v>
      </c>
      <c r="AW383" s="309">
        <f t="shared" si="307"/>
        <v>0.57604077562731348</v>
      </c>
      <c r="AX383" s="306">
        <f>IF(ISERROR(Weather!M367),#N/A,Weather!M367)</f>
        <v>0</v>
      </c>
      <c r="AY383" s="310">
        <f t="shared" si="308"/>
        <v>2</v>
      </c>
      <c r="AZ383" s="309">
        <f t="shared" si="309"/>
        <v>1.2</v>
      </c>
      <c r="BA383" s="309">
        <f t="shared" si="310"/>
        <v>255.98285391916087</v>
      </c>
      <c r="BB383" s="311">
        <f>Irrig!H385</f>
        <v>0</v>
      </c>
      <c r="BC383" s="310">
        <f t="shared" si="311"/>
        <v>0</v>
      </c>
      <c r="BD383" s="309">
        <f t="shared" si="312"/>
        <v>0</v>
      </c>
      <c r="BE383" s="309">
        <f t="shared" si="313"/>
        <v>0</v>
      </c>
      <c r="BF383" s="306">
        <f>DailyMet!H366</f>
        <v>5.58</v>
      </c>
      <c r="BG383" s="306">
        <f>DailyMet!I366</f>
        <v>4.5</v>
      </c>
      <c r="BH383" s="306">
        <f t="shared" si="314"/>
        <v>5.58</v>
      </c>
      <c r="BI383" s="306">
        <f t="shared" si="315"/>
        <v>10</v>
      </c>
      <c r="BJ383" s="306">
        <f t="shared" si="316"/>
        <v>-2.21</v>
      </c>
      <c r="BK383" s="306">
        <f t="shared" si="286"/>
        <v>0</v>
      </c>
      <c r="BL383" s="304">
        <f t="shared" si="317"/>
        <v>0</v>
      </c>
      <c r="BM383" s="304">
        <f t="shared" si="318"/>
        <v>0</v>
      </c>
      <c r="BN383" s="304">
        <f t="shared" si="335"/>
        <v>0</v>
      </c>
      <c r="BO383" s="306">
        <f t="shared" si="336"/>
        <v>0</v>
      </c>
      <c r="BP383" s="306"/>
    </row>
    <row r="384" spans="1:68">
      <c r="A384" s="299">
        <f t="shared" si="287"/>
        <v>0</v>
      </c>
      <c r="B384" s="300">
        <f t="shared" si="288"/>
        <v>38349</v>
      </c>
      <c r="C384" s="301" t="e">
        <f t="shared" si="319"/>
        <v>#N/A</v>
      </c>
      <c r="D384" s="301" t="e">
        <f t="shared" si="289"/>
        <v>#N/A</v>
      </c>
      <c r="E384" s="299">
        <f t="shared" si="290"/>
        <v>363</v>
      </c>
      <c r="F384" s="396">
        <f>Weather!M368</f>
        <v>0</v>
      </c>
      <c r="G384" s="301">
        <f>IF(Weather!C368="","",Weather!C368)</f>
        <v>0.21727967412107241</v>
      </c>
      <c r="H384" s="301">
        <f>IF(Weather!D368="","",Weather!D368)</f>
        <v>0.26095749933563839</v>
      </c>
      <c r="I384" s="502">
        <f>IF(Weather!E368="","",Weather!E368)</f>
        <v>0.26095749933563839</v>
      </c>
      <c r="J384" s="397">
        <f>IF(RnSplint!N412&lt;0,0,RnSplint!N412)</f>
        <v>20.937551230774581</v>
      </c>
      <c r="K384" s="302">
        <f t="shared" si="320"/>
        <v>0</v>
      </c>
      <c r="L384" s="303">
        <f t="shared" si="321"/>
        <v>38349</v>
      </c>
      <c r="M384" s="346" t="str">
        <f t="shared" si="291"/>
        <v/>
      </c>
      <c r="N384" s="304">
        <f t="shared" si="322"/>
        <v>0</v>
      </c>
      <c r="O384" s="304">
        <f t="shared" si="323"/>
        <v>0</v>
      </c>
      <c r="P384" s="304">
        <f t="shared" si="292"/>
        <v>0</v>
      </c>
      <c r="Q384" s="304">
        <f t="shared" si="293"/>
        <v>1.2</v>
      </c>
      <c r="R384" s="304">
        <f t="shared" si="294"/>
        <v>1.2</v>
      </c>
      <c r="S384" s="305" t="e">
        <f t="shared" si="324"/>
        <v>#N/A</v>
      </c>
      <c r="T384" s="304">
        <f t="shared" si="295"/>
        <v>0</v>
      </c>
      <c r="U384" s="304">
        <f t="shared" si="334"/>
        <v>0</v>
      </c>
      <c r="V384" s="305" t="e">
        <f t="shared" si="296"/>
        <v>#N/A</v>
      </c>
      <c r="W384" s="305" t="e">
        <f t="shared" si="325"/>
        <v>#N/A</v>
      </c>
      <c r="X384" s="304">
        <f t="shared" si="326"/>
        <v>1.2</v>
      </c>
      <c r="Z384" s="304" t="str">
        <f t="shared" si="297"/>
        <v/>
      </c>
      <c r="AA384" s="305" t="e">
        <f t="shared" si="298"/>
        <v>#N/A</v>
      </c>
      <c r="AB384" s="304">
        <f t="shared" si="299"/>
        <v>0.31314899920276607</v>
      </c>
      <c r="AC384" s="304" t="str">
        <f t="shared" si="327"/>
        <v/>
      </c>
      <c r="AD384" s="306">
        <f t="shared" si="300"/>
        <v>0</v>
      </c>
      <c r="AE384" s="307">
        <f t="shared" si="328"/>
        <v>0.31314899920276607</v>
      </c>
      <c r="AF384" s="308" t="e">
        <f t="shared" si="337"/>
        <v>#N/A</v>
      </c>
      <c r="AG384" s="306">
        <f t="shared" si="329"/>
        <v>683.63204502860026</v>
      </c>
      <c r="AH384" s="306">
        <f t="shared" si="301"/>
        <v>0</v>
      </c>
      <c r="AI384" s="306">
        <f t="shared" si="330"/>
        <v>0</v>
      </c>
      <c r="AJ384" s="306">
        <f t="shared" si="331"/>
        <v>0</v>
      </c>
      <c r="AK384" s="306">
        <f t="shared" si="302"/>
        <v>0</v>
      </c>
      <c r="AL384" s="306">
        <f t="shared" si="332"/>
        <v>0</v>
      </c>
      <c r="AM384" s="306">
        <f t="shared" si="303"/>
        <v>0</v>
      </c>
      <c r="AN384" s="304">
        <f>KcSplint!$N413</f>
        <v>1.2121994080811482</v>
      </c>
      <c r="AO384" s="304" t="str">
        <f t="shared" si="304"/>
        <v/>
      </c>
      <c r="AP384" s="304" t="str">
        <f t="shared" si="333"/>
        <v/>
      </c>
      <c r="AQ384" s="305" t="e">
        <f t="shared" si="338"/>
        <v>#N/A</v>
      </c>
      <c r="AR384" s="304" t="str">
        <f t="shared" si="339"/>
        <v/>
      </c>
      <c r="AS384" s="306">
        <f t="shared" si="305"/>
        <v>0</v>
      </c>
      <c r="AT384" s="307" t="e">
        <f t="shared" si="340"/>
        <v>#N/A</v>
      </c>
      <c r="AU384" s="307" t="e">
        <f t="shared" si="341"/>
        <v>#N/A</v>
      </c>
      <c r="AV384" s="304">
        <f t="shared" si="306"/>
        <v>0.26095749933563839</v>
      </c>
      <c r="AW384" s="309">
        <f t="shared" si="307"/>
        <v>0.83699827496295187</v>
      </c>
      <c r="AX384" s="306">
        <f>IF(ISERROR(Weather!M368),#N/A,Weather!M368)</f>
        <v>0</v>
      </c>
      <c r="AY384" s="310">
        <f t="shared" si="308"/>
        <v>3</v>
      </c>
      <c r="AZ384" s="309">
        <f t="shared" si="309"/>
        <v>1.2</v>
      </c>
      <c r="BA384" s="309">
        <f t="shared" si="310"/>
        <v>256.24381141849653</v>
      </c>
      <c r="BB384" s="311">
        <f>Irrig!H386</f>
        <v>0</v>
      </c>
      <c r="BC384" s="310">
        <f t="shared" si="311"/>
        <v>0</v>
      </c>
      <c r="BD384" s="309">
        <f t="shared" si="312"/>
        <v>0</v>
      </c>
      <c r="BE384" s="309">
        <f t="shared" si="313"/>
        <v>0</v>
      </c>
      <c r="BF384" s="306">
        <f>DailyMet!H367</f>
        <v>6.39</v>
      </c>
      <c r="BG384" s="306">
        <f>DailyMet!I367</f>
        <v>1.4</v>
      </c>
      <c r="BH384" s="306">
        <f t="shared" si="314"/>
        <v>6.39</v>
      </c>
      <c r="BI384" s="306">
        <f t="shared" si="315"/>
        <v>10</v>
      </c>
      <c r="BJ384" s="306">
        <f t="shared" si="316"/>
        <v>-1.8049999999999997</v>
      </c>
      <c r="BK384" s="306">
        <f t="shared" si="286"/>
        <v>0</v>
      </c>
      <c r="BL384" s="304">
        <f t="shared" si="317"/>
        <v>0</v>
      </c>
      <c r="BM384" s="304">
        <f t="shared" si="318"/>
        <v>0</v>
      </c>
      <c r="BN384" s="304">
        <f t="shared" si="335"/>
        <v>0</v>
      </c>
      <c r="BO384" s="306">
        <f t="shared" si="336"/>
        <v>0</v>
      </c>
      <c r="BP384" s="306"/>
    </row>
    <row r="385" spans="1:68">
      <c r="A385" s="299">
        <f t="shared" si="287"/>
        <v>0</v>
      </c>
      <c r="B385" s="300">
        <f t="shared" si="288"/>
        <v>38350</v>
      </c>
      <c r="C385" s="301" t="e">
        <f t="shared" si="319"/>
        <v>#N/A</v>
      </c>
      <c r="D385" s="301" t="e">
        <f t="shared" si="289"/>
        <v>#N/A</v>
      </c>
      <c r="E385" s="299">
        <f t="shared" si="290"/>
        <v>364</v>
      </c>
      <c r="F385" s="396">
        <f>Weather!M369</f>
        <v>0.2</v>
      </c>
      <c r="G385" s="301">
        <f>IF(Weather!C369="","",Weather!C369)</f>
        <v>0.2215792704707612</v>
      </c>
      <c r="H385" s="301">
        <f>IF(Weather!D369="","",Weather!D369)</f>
        <v>0.22814842508288211</v>
      </c>
      <c r="I385" s="502">
        <f>IF(Weather!E369="","",Weather!E369)</f>
        <v>0.22814842508288211</v>
      </c>
      <c r="J385" s="397">
        <f>IF(RnSplint!N413&lt;0,0,RnSplint!N413)</f>
        <v>21.789335254789574</v>
      </c>
      <c r="K385" s="302">
        <f t="shared" si="320"/>
        <v>0</v>
      </c>
      <c r="L385" s="303">
        <f t="shared" si="321"/>
        <v>38350</v>
      </c>
      <c r="M385" s="346" t="str">
        <f t="shared" si="291"/>
        <v/>
      </c>
      <c r="N385" s="304">
        <f t="shared" si="322"/>
        <v>0</v>
      </c>
      <c r="O385" s="304">
        <f t="shared" si="323"/>
        <v>0</v>
      </c>
      <c r="P385" s="304">
        <f t="shared" si="292"/>
        <v>0</v>
      </c>
      <c r="Q385" s="304">
        <f t="shared" si="293"/>
        <v>1.2</v>
      </c>
      <c r="R385" s="304">
        <f t="shared" si="294"/>
        <v>1.2</v>
      </c>
      <c r="S385" s="305" t="e">
        <f t="shared" si="324"/>
        <v>#N/A</v>
      </c>
      <c r="T385" s="304">
        <f t="shared" si="295"/>
        <v>0</v>
      </c>
      <c r="U385" s="304">
        <f t="shared" si="334"/>
        <v>0</v>
      </c>
      <c r="V385" s="305" t="e">
        <f t="shared" si="296"/>
        <v>#N/A</v>
      </c>
      <c r="W385" s="305" t="e">
        <f t="shared" si="325"/>
        <v>#N/A</v>
      </c>
      <c r="X385" s="304">
        <f t="shared" si="326"/>
        <v>1.2</v>
      </c>
      <c r="Z385" s="304" t="str">
        <f t="shared" si="297"/>
        <v/>
      </c>
      <c r="AA385" s="305" t="e">
        <f t="shared" si="298"/>
        <v>#N/A</v>
      </c>
      <c r="AB385" s="304">
        <f t="shared" si="299"/>
        <v>0.27377811009945852</v>
      </c>
      <c r="AC385" s="304" t="str">
        <f t="shared" si="327"/>
        <v/>
      </c>
      <c r="AD385" s="306">
        <f t="shared" si="300"/>
        <v>0</v>
      </c>
      <c r="AE385" s="307">
        <f t="shared" si="328"/>
        <v>0.27377811009945852</v>
      </c>
      <c r="AF385" s="308" t="e">
        <f t="shared" si="337"/>
        <v>#N/A</v>
      </c>
      <c r="AG385" s="306">
        <f t="shared" si="329"/>
        <v>683.86019345368311</v>
      </c>
      <c r="AH385" s="306">
        <f t="shared" si="301"/>
        <v>0</v>
      </c>
      <c r="AI385" s="306">
        <f t="shared" si="330"/>
        <v>0</v>
      </c>
      <c r="AJ385" s="306">
        <f t="shared" si="331"/>
        <v>0</v>
      </c>
      <c r="AK385" s="306">
        <f t="shared" si="302"/>
        <v>0</v>
      </c>
      <c r="AL385" s="306">
        <f t="shared" si="332"/>
        <v>0</v>
      </c>
      <c r="AM385" s="306">
        <f t="shared" si="303"/>
        <v>0</v>
      </c>
      <c r="AN385" s="304">
        <f>KcSplint!$N414</f>
        <v>1.2121994080811485</v>
      </c>
      <c r="AO385" s="304" t="str">
        <f t="shared" si="304"/>
        <v/>
      </c>
      <c r="AP385" s="304" t="str">
        <f t="shared" si="333"/>
        <v/>
      </c>
      <c r="AQ385" s="305" t="e">
        <f t="shared" si="338"/>
        <v>#N/A</v>
      </c>
      <c r="AR385" s="304" t="str">
        <f t="shared" si="339"/>
        <v/>
      </c>
      <c r="AS385" s="306">
        <f t="shared" si="305"/>
        <v>0</v>
      </c>
      <c r="AT385" s="307" t="e">
        <f t="shared" si="340"/>
        <v>#N/A</v>
      </c>
      <c r="AU385" s="307" t="e">
        <f t="shared" si="341"/>
        <v>#N/A</v>
      </c>
      <c r="AV385" s="304">
        <f t="shared" si="306"/>
        <v>0.22814842508288211</v>
      </c>
      <c r="AW385" s="309">
        <f t="shared" si="307"/>
        <v>1.0651467000458339</v>
      </c>
      <c r="AX385" s="306">
        <f>IF(ISERROR(Weather!M369),#N/A,Weather!M369)</f>
        <v>0.2</v>
      </c>
      <c r="AY385" s="310">
        <f t="shared" si="308"/>
        <v>4</v>
      </c>
      <c r="AZ385" s="309">
        <f t="shared" si="309"/>
        <v>1.2</v>
      </c>
      <c r="BA385" s="309">
        <f t="shared" si="310"/>
        <v>256.47195984357944</v>
      </c>
      <c r="BB385" s="311">
        <f>Irrig!H387</f>
        <v>0</v>
      </c>
      <c r="BC385" s="310">
        <f t="shared" si="311"/>
        <v>0</v>
      </c>
      <c r="BD385" s="309">
        <f t="shared" si="312"/>
        <v>0</v>
      </c>
      <c r="BE385" s="309">
        <f t="shared" si="313"/>
        <v>0</v>
      </c>
      <c r="BF385" s="306">
        <f>DailyMet!H368</f>
        <v>2.4300000000000002</v>
      </c>
      <c r="BG385" s="306">
        <f>DailyMet!I368</f>
        <v>-1.6</v>
      </c>
      <c r="BH385" s="306">
        <f t="shared" si="314"/>
        <v>2.4300000000000002</v>
      </c>
      <c r="BI385" s="306">
        <f t="shared" si="315"/>
        <v>10</v>
      </c>
      <c r="BJ385" s="306">
        <f t="shared" si="316"/>
        <v>-3.7850000000000001</v>
      </c>
      <c r="BK385" s="306">
        <f t="shared" si="286"/>
        <v>0</v>
      </c>
      <c r="BL385" s="304">
        <f t="shared" si="317"/>
        <v>0</v>
      </c>
      <c r="BM385" s="304">
        <f t="shared" si="318"/>
        <v>0</v>
      </c>
      <c r="BN385" s="304">
        <f t="shared" si="335"/>
        <v>0</v>
      </c>
      <c r="BO385" s="306">
        <f t="shared" si="336"/>
        <v>0</v>
      </c>
      <c r="BP385" s="306"/>
    </row>
    <row r="386" spans="1:68">
      <c r="A386" s="299">
        <f t="shared" si="287"/>
        <v>0</v>
      </c>
      <c r="B386" s="300">
        <f t="shared" si="288"/>
        <v>38351</v>
      </c>
      <c r="C386" s="301" t="e">
        <f t="shared" si="319"/>
        <v>#N/A</v>
      </c>
      <c r="D386" s="301" t="e">
        <f t="shared" si="289"/>
        <v>#N/A</v>
      </c>
      <c r="E386" s="299">
        <f t="shared" si="290"/>
        <v>365</v>
      </c>
      <c r="F386" s="396">
        <f>Weather!M370</f>
        <v>0.2</v>
      </c>
      <c r="G386" s="301">
        <f>IF(Weather!C370="","",Weather!C370)</f>
        <v>0.2215792704707612</v>
      </c>
      <c r="H386" s="301">
        <f>IF(Weather!D370="","",Weather!D370)</f>
        <v>0.20739844704395816</v>
      </c>
      <c r="I386" s="502">
        <f>IF(Weather!E370="","",Weather!E370)</f>
        <v>0.20739844704395816</v>
      </c>
      <c r="J386" s="397">
        <f>IF(RnSplint!N414&lt;0,0,RnSplint!N414)</f>
        <v>21.789335254789577</v>
      </c>
      <c r="K386" s="302">
        <f t="shared" si="320"/>
        <v>0</v>
      </c>
      <c r="L386" s="303">
        <f t="shared" si="321"/>
        <v>38351</v>
      </c>
      <c r="M386" s="346" t="str">
        <f t="shared" si="291"/>
        <v/>
      </c>
      <c r="N386" s="304">
        <f t="shared" si="322"/>
        <v>0</v>
      </c>
      <c r="O386" s="304">
        <f t="shared" si="323"/>
        <v>0</v>
      </c>
      <c r="P386" s="304">
        <f t="shared" si="292"/>
        <v>0</v>
      </c>
      <c r="Q386" s="304">
        <f t="shared" si="293"/>
        <v>1.2</v>
      </c>
      <c r="R386" s="304">
        <f t="shared" si="294"/>
        <v>1.2</v>
      </c>
      <c r="S386" s="305" t="e">
        <f t="shared" si="324"/>
        <v>#N/A</v>
      </c>
      <c r="T386" s="304">
        <f t="shared" si="295"/>
        <v>0</v>
      </c>
      <c r="U386" s="304">
        <f t="shared" si="334"/>
        <v>0</v>
      </c>
      <c r="V386" s="305" t="e">
        <f t="shared" si="296"/>
        <v>#N/A</v>
      </c>
      <c r="W386" s="305" t="e">
        <f t="shared" si="325"/>
        <v>#N/A</v>
      </c>
      <c r="X386" s="304">
        <f t="shared" si="326"/>
        <v>1.2</v>
      </c>
      <c r="Y386" s="304">
        <f>AVERAGE(X356:X386)</f>
        <v>1.2000000000000002</v>
      </c>
      <c r="Z386" s="304" t="str">
        <f t="shared" si="297"/>
        <v/>
      </c>
      <c r="AA386" s="305" t="e">
        <f t="shared" si="298"/>
        <v>#N/A</v>
      </c>
      <c r="AB386" s="304">
        <f t="shared" si="299"/>
        <v>0.24887813645274978</v>
      </c>
      <c r="AC386" s="304" t="str">
        <f t="shared" si="327"/>
        <v/>
      </c>
      <c r="AD386" s="306">
        <f t="shared" si="300"/>
        <v>0</v>
      </c>
      <c r="AE386" s="307">
        <f t="shared" si="328"/>
        <v>0.24887813645274978</v>
      </c>
      <c r="AF386" s="308" t="e">
        <f t="shared" si="337"/>
        <v>#N/A</v>
      </c>
      <c r="AG386" s="306">
        <f t="shared" si="329"/>
        <v>684.06759190072705</v>
      </c>
      <c r="AH386" s="306">
        <f t="shared" si="301"/>
        <v>0</v>
      </c>
      <c r="AI386" s="306">
        <f t="shared" si="330"/>
        <v>0</v>
      </c>
      <c r="AJ386" s="306">
        <f t="shared" si="331"/>
        <v>0</v>
      </c>
      <c r="AK386" s="306">
        <f t="shared" si="302"/>
        <v>0</v>
      </c>
      <c r="AL386" s="306">
        <f t="shared" si="332"/>
        <v>0</v>
      </c>
      <c r="AM386" s="306">
        <f t="shared" si="303"/>
        <v>0</v>
      </c>
      <c r="AN386" s="304">
        <f>KcSplint!$N415</f>
        <v>1.2116776498888964</v>
      </c>
      <c r="AO386" s="304" t="str">
        <f t="shared" si="304"/>
        <v/>
      </c>
      <c r="AP386" s="304" t="str">
        <f t="shared" si="333"/>
        <v/>
      </c>
      <c r="AQ386" s="305" t="e">
        <f t="shared" si="338"/>
        <v>#N/A</v>
      </c>
      <c r="AR386" s="304" t="str">
        <f t="shared" si="339"/>
        <v/>
      </c>
      <c r="AS386" s="306">
        <f t="shared" si="305"/>
        <v>0</v>
      </c>
      <c r="AT386" s="307" t="e">
        <f t="shared" si="340"/>
        <v>#N/A</v>
      </c>
      <c r="AU386" s="307" t="e">
        <f t="shared" si="341"/>
        <v>#N/A</v>
      </c>
      <c r="AV386" s="304">
        <f t="shared" si="306"/>
        <v>0.20739844704395816</v>
      </c>
      <c r="AW386" s="309">
        <f t="shared" si="307"/>
        <v>1.2725451470897919</v>
      </c>
      <c r="AX386" s="306">
        <f>IF(ISERROR(Weather!M370),#N/A,Weather!M370)</f>
        <v>0.2</v>
      </c>
      <c r="AY386" s="310">
        <f t="shared" si="308"/>
        <v>5</v>
      </c>
      <c r="AZ386" s="309">
        <f t="shared" si="309"/>
        <v>1.2</v>
      </c>
      <c r="BA386" s="309">
        <f t="shared" si="310"/>
        <v>256.67935829062338</v>
      </c>
      <c r="BB386" s="311">
        <f>Irrig!H388</f>
        <v>0</v>
      </c>
      <c r="BC386" s="310">
        <f t="shared" si="311"/>
        <v>0</v>
      </c>
      <c r="BD386" s="309">
        <f t="shared" si="312"/>
        <v>0</v>
      </c>
      <c r="BE386" s="309">
        <f t="shared" si="313"/>
        <v>0</v>
      </c>
      <c r="BF386" s="306">
        <f>DailyMet!H369</f>
        <v>2.2599999999999998</v>
      </c>
      <c r="BG386" s="306">
        <f>DailyMet!I369</f>
        <v>-0.7</v>
      </c>
      <c r="BH386" s="306">
        <f t="shared" si="314"/>
        <v>2.2599999999999998</v>
      </c>
      <c r="BI386" s="306">
        <f t="shared" si="315"/>
        <v>10</v>
      </c>
      <c r="BJ386" s="306">
        <f t="shared" si="316"/>
        <v>-3.87</v>
      </c>
      <c r="BK386" s="306">
        <f t="shared" si="286"/>
        <v>0</v>
      </c>
      <c r="BL386" s="304">
        <f t="shared" si="317"/>
        <v>0</v>
      </c>
      <c r="BM386" s="304">
        <f t="shared" si="318"/>
        <v>0</v>
      </c>
      <c r="BN386" s="304">
        <f t="shared" si="335"/>
        <v>0</v>
      </c>
      <c r="BO386" s="306">
        <f t="shared" si="336"/>
        <v>0</v>
      </c>
      <c r="BP386" s="306"/>
    </row>
    <row r="387" spans="1:68">
      <c r="A387" s="299">
        <f t="shared" si="287"/>
        <v>0</v>
      </c>
      <c r="B387" s="300">
        <f t="shared" si="288"/>
        <v>38352</v>
      </c>
      <c r="C387" s="301" t="e">
        <f t="shared" si="319"/>
        <v>#N/A</v>
      </c>
      <c r="D387" s="301" t="e">
        <f t="shared" si="289"/>
        <v>#N/A</v>
      </c>
      <c r="E387" s="299">
        <f t="shared" si="290"/>
        <v>366</v>
      </c>
      <c r="F387" s="396">
        <f>Weather!M371</f>
        <v>0.2</v>
      </c>
      <c r="G387" s="301">
        <f>IF(Weather!C371="","",Weather!C371)</f>
        <v>0.2215792704707612</v>
      </c>
      <c r="H387" s="301">
        <f>IF(Weather!D371="","",Weather!D371)</f>
        <v>0.21064171067586901</v>
      </c>
      <c r="I387" s="502">
        <f>IF(Weather!E371="","",Weather!E371)</f>
        <v>0.21064171067586901</v>
      </c>
      <c r="J387" s="397">
        <f>IF(RnSplint!N50&lt;0,0,RnSplint!N50)</f>
        <v>21.789335254789577</v>
      </c>
      <c r="K387" s="302">
        <f t="shared" si="320"/>
        <v>0</v>
      </c>
      <c r="L387" s="303">
        <f t="shared" si="321"/>
        <v>38352</v>
      </c>
      <c r="M387" s="346">
        <f>IF(OR(MONTH(L388)&gt;MONTH(L387),MONTH(L388)&lt;MONTH(L387)),MONTH(L387),"")</f>
        <v>12</v>
      </c>
      <c r="N387" s="304">
        <f t="shared" si="322"/>
        <v>0</v>
      </c>
      <c r="O387" s="304">
        <f t="shared" si="323"/>
        <v>0</v>
      </c>
      <c r="P387" s="304">
        <f t="shared" si="292"/>
        <v>0</v>
      </c>
      <c r="Q387" s="304">
        <f t="shared" si="293"/>
        <v>1.2</v>
      </c>
      <c r="R387" s="304">
        <f t="shared" si="294"/>
        <v>1.2</v>
      </c>
      <c r="S387" s="305" t="e">
        <f t="shared" si="324"/>
        <v>#N/A</v>
      </c>
      <c r="T387" s="304">
        <f t="shared" si="295"/>
        <v>0</v>
      </c>
      <c r="U387" s="304">
        <f t="shared" si="334"/>
        <v>0</v>
      </c>
      <c r="V387" s="305" t="e">
        <f t="shared" si="296"/>
        <v>#N/A</v>
      </c>
      <c r="W387" s="305" t="e">
        <f t="shared" si="325"/>
        <v>#N/A</v>
      </c>
      <c r="X387" s="304">
        <f t="shared" si="326"/>
        <v>1.2</v>
      </c>
      <c r="Y387" s="304">
        <f>AVERAGE(X357:X387)</f>
        <v>1.2000000000000002</v>
      </c>
      <c r="Z387" s="304" t="str">
        <f t="shared" si="297"/>
        <v/>
      </c>
      <c r="AA387" s="305" t="e">
        <f t="shared" si="298"/>
        <v>#N/A</v>
      </c>
      <c r="AB387" s="304">
        <f t="shared" si="299"/>
        <v>0.25277005281104281</v>
      </c>
      <c r="AC387" s="304" t="str">
        <f t="shared" si="327"/>
        <v/>
      </c>
      <c r="AD387" s="306">
        <f t="shared" si="300"/>
        <v>0</v>
      </c>
      <c r="AE387" s="307">
        <f t="shared" si="328"/>
        <v>0.25277005281104281</v>
      </c>
      <c r="AF387" s="308" t="e">
        <f t="shared" si="337"/>
        <v>#N/A</v>
      </c>
      <c r="AG387" s="306">
        <f t="shared" si="329"/>
        <v>684.27823361140292</v>
      </c>
      <c r="AH387" s="306">
        <f t="shared" si="301"/>
        <v>0</v>
      </c>
      <c r="AI387" s="306">
        <f t="shared" si="330"/>
        <v>0</v>
      </c>
      <c r="AJ387" s="306">
        <f t="shared" si="331"/>
        <v>0</v>
      </c>
      <c r="AK387" s="306">
        <f t="shared" si="302"/>
        <v>0</v>
      </c>
      <c r="AL387" s="306">
        <f t="shared" si="332"/>
        <v>0</v>
      </c>
      <c r="AM387" s="306">
        <f t="shared" si="303"/>
        <v>0</v>
      </c>
      <c r="AN387" s="304">
        <f>KcSplint!$N416</f>
        <v>1.217478841272833</v>
      </c>
      <c r="AO387" s="304" t="str">
        <f t="shared" si="304"/>
        <v/>
      </c>
      <c r="AP387" s="304" t="str">
        <f t="shared" si="333"/>
        <v/>
      </c>
      <c r="AQ387" s="305" t="e">
        <f t="shared" si="338"/>
        <v>#N/A</v>
      </c>
      <c r="AR387" s="304" t="str">
        <f t="shared" si="339"/>
        <v/>
      </c>
      <c r="AS387" s="306">
        <f t="shared" si="305"/>
        <v>0</v>
      </c>
      <c r="AT387" s="307" t="e">
        <f t="shared" si="340"/>
        <v>#N/A</v>
      </c>
      <c r="AU387" s="307" t="e">
        <f t="shared" si="341"/>
        <v>#N/A</v>
      </c>
      <c r="AV387" s="304">
        <f t="shared" si="306"/>
        <v>0.21064171067586901</v>
      </c>
      <c r="AW387" s="309">
        <f t="shared" si="307"/>
        <v>1.4831868577656611</v>
      </c>
      <c r="AX387" s="306">
        <f>IF(ISERROR(Weather!M371),#N/A,Weather!M371)</f>
        <v>0.2</v>
      </c>
      <c r="AY387" s="310">
        <f t="shared" si="308"/>
        <v>6</v>
      </c>
      <c r="AZ387" s="309">
        <f t="shared" si="309"/>
        <v>1.2</v>
      </c>
      <c r="BA387" s="309">
        <f t="shared" si="310"/>
        <v>256.89000000129926</v>
      </c>
      <c r="BB387" s="311">
        <f>Irrig!H389</f>
        <v>0</v>
      </c>
      <c r="BC387" s="310">
        <f t="shared" si="311"/>
        <v>0</v>
      </c>
      <c r="BD387" s="309">
        <f t="shared" si="312"/>
        <v>0</v>
      </c>
      <c r="BE387" s="309">
        <f t="shared" si="313"/>
        <v>0</v>
      </c>
      <c r="BF387" s="306">
        <f>DailyMet!H371</f>
        <v>0.33</v>
      </c>
      <c r="BG387" s="306">
        <f>DailyMet!I371</f>
        <v>-5</v>
      </c>
      <c r="BH387" s="306">
        <f t="shared" si="314"/>
        <v>0.33</v>
      </c>
      <c r="BI387" s="306">
        <f t="shared" si="315"/>
        <v>10</v>
      </c>
      <c r="BJ387" s="306">
        <f t="shared" si="316"/>
        <v>-4.835</v>
      </c>
      <c r="BK387" s="306">
        <f t="shared" si="286"/>
        <v>0</v>
      </c>
      <c r="BL387" s="304">
        <f t="shared" si="317"/>
        <v>0</v>
      </c>
      <c r="BM387" s="304">
        <f t="shared" si="318"/>
        <v>0</v>
      </c>
      <c r="BN387" s="304">
        <f t="shared" si="335"/>
        <v>0</v>
      </c>
      <c r="BO387" s="306">
        <f t="shared" si="336"/>
        <v>0</v>
      </c>
      <c r="BP387" s="306"/>
    </row>
    <row r="388" spans="1:68">
      <c r="A388" s="299">
        <f t="shared" si="287"/>
        <v>0</v>
      </c>
      <c r="B388" s="300">
        <f t="shared" si="288"/>
        <v>38353</v>
      </c>
      <c r="C388" s="301" t="e">
        <f t="shared" si="319"/>
        <v>#N/A</v>
      </c>
      <c r="D388" s="301" t="e">
        <f t="shared" si="289"/>
        <v>#N/A</v>
      </c>
      <c r="E388" s="299">
        <f t="shared" si="290"/>
        <v>367</v>
      </c>
      <c r="F388" s="396">
        <f>Weather!M372</f>
        <v>0</v>
      </c>
      <c r="G388" s="301">
        <f>IF(Weather!C372="","",Weather!C372)</f>
        <v>0.22831276230435454</v>
      </c>
      <c r="H388" s="301">
        <f>IF(Weather!D372="","",Weather!D372)</f>
        <v>0.24825455305211253</v>
      </c>
      <c r="I388" s="502">
        <f>IF(Weather!E372="","",Weather!E372)</f>
        <v>0.24825455305211253</v>
      </c>
      <c r="J388" s="397">
        <f>IF(RnSplint!N51&lt;0,0,RnSplint!N51)</f>
        <v>22.616311178750415</v>
      </c>
      <c r="K388" s="302">
        <f t="shared" si="320"/>
        <v>0</v>
      </c>
      <c r="L388" s="303">
        <f t="shared" si="321"/>
        <v>38353</v>
      </c>
      <c r="M388" s="346" t="str">
        <f>IF(MONTH(L389)&gt;MONTH(L388),MONTH(L388),"")</f>
        <v/>
      </c>
      <c r="N388" s="304">
        <f t="shared" si="322"/>
        <v>0</v>
      </c>
      <c r="O388" s="304">
        <f t="shared" si="323"/>
        <v>0</v>
      </c>
      <c r="P388" s="304">
        <f t="shared" si="292"/>
        <v>0</v>
      </c>
      <c r="Q388" s="304">
        <f t="shared" si="293"/>
        <v>1.2</v>
      </c>
      <c r="R388" s="304">
        <f t="shared" si="294"/>
        <v>1.2</v>
      </c>
      <c r="S388" s="305" t="e">
        <f t="shared" si="324"/>
        <v>#N/A</v>
      </c>
      <c r="T388" s="304">
        <f t="shared" si="295"/>
        <v>0</v>
      </c>
      <c r="U388" s="304">
        <f t="shared" si="334"/>
        <v>0</v>
      </c>
      <c r="V388" s="305" t="e">
        <f t="shared" si="296"/>
        <v>#N/A</v>
      </c>
      <c r="W388" s="305" t="e">
        <f t="shared" si="325"/>
        <v>#N/A</v>
      </c>
      <c r="X388" s="304">
        <f t="shared" si="326"/>
        <v>1.2</v>
      </c>
      <c r="Z388" s="304" t="str">
        <f t="shared" si="297"/>
        <v/>
      </c>
      <c r="AA388" s="305" t="e">
        <f t="shared" si="298"/>
        <v>#N/A</v>
      </c>
      <c r="AB388" s="304">
        <f t="shared" si="299"/>
        <v>0.29790546366253501</v>
      </c>
      <c r="AC388" s="304" t="str">
        <f t="shared" si="327"/>
        <v/>
      </c>
      <c r="AD388" s="306">
        <f t="shared" si="300"/>
        <v>0</v>
      </c>
      <c r="AE388" s="307">
        <f t="shared" si="328"/>
        <v>0.29790546366253501</v>
      </c>
      <c r="AF388" s="308" t="e">
        <f t="shared" si="337"/>
        <v>#N/A</v>
      </c>
      <c r="AG388" s="306">
        <f t="shared" si="329"/>
        <v>684.52648816445503</v>
      </c>
      <c r="AH388" s="306">
        <f t="shared" si="301"/>
        <v>0</v>
      </c>
      <c r="AI388" s="306">
        <f t="shared" si="330"/>
        <v>0</v>
      </c>
      <c r="AJ388" s="306">
        <f t="shared" si="331"/>
        <v>0</v>
      </c>
      <c r="AK388" s="306">
        <f t="shared" si="302"/>
        <v>0</v>
      </c>
      <c r="AL388" s="306">
        <f t="shared" si="332"/>
        <v>0</v>
      </c>
      <c r="AM388" s="306">
        <f t="shared" si="303"/>
        <v>0</v>
      </c>
      <c r="AN388" s="306"/>
      <c r="AO388" s="304" t="str">
        <f t="shared" si="304"/>
        <v/>
      </c>
      <c r="AP388" s="304" t="str">
        <f t="shared" si="333"/>
        <v/>
      </c>
      <c r="AQ388" s="305" t="e">
        <f t="shared" si="338"/>
        <v>#N/A</v>
      </c>
      <c r="AR388" s="304" t="str">
        <f t="shared" si="339"/>
        <v/>
      </c>
      <c r="AS388" s="306">
        <f t="shared" si="305"/>
        <v>0</v>
      </c>
      <c r="AT388" s="307" t="e">
        <f t="shared" si="340"/>
        <v>#N/A</v>
      </c>
      <c r="AU388" s="307" t="e">
        <f t="shared" si="341"/>
        <v>#N/A</v>
      </c>
      <c r="AV388" s="304">
        <f t="shared" si="306"/>
        <v>0.24825455305211253</v>
      </c>
      <c r="AW388" s="309">
        <f t="shared" si="307"/>
        <v>1.7314414108177736</v>
      </c>
      <c r="AX388" s="306">
        <f>IF(ISERROR(Weather!M372),#N/A,Weather!M372)</f>
        <v>0</v>
      </c>
      <c r="AY388" s="310">
        <f t="shared" si="308"/>
        <v>7</v>
      </c>
      <c r="AZ388" s="309">
        <f t="shared" si="309"/>
        <v>1.2</v>
      </c>
      <c r="BA388" s="309">
        <f t="shared" si="310"/>
        <v>257.13825455435136</v>
      </c>
      <c r="BB388" s="311">
        <f>Irrig!H390</f>
        <v>0</v>
      </c>
      <c r="BC388" s="310">
        <f t="shared" si="311"/>
        <v>0</v>
      </c>
      <c r="BD388" s="309">
        <f t="shared" si="312"/>
        <v>0</v>
      </c>
      <c r="BE388" s="309">
        <f t="shared" si="313"/>
        <v>0</v>
      </c>
      <c r="BF388" s="306">
        <f>DailyMet!H372</f>
        <v>2.57</v>
      </c>
      <c r="BG388" s="306">
        <f>DailyMet!I372</f>
        <v>-2.2000000000000002</v>
      </c>
      <c r="BH388" s="306">
        <f t="shared" si="314"/>
        <v>2.57</v>
      </c>
      <c r="BI388" s="306">
        <f t="shared" si="315"/>
        <v>10</v>
      </c>
      <c r="BJ388" s="306">
        <f t="shared" si="316"/>
        <v>-3.7149999999999999</v>
      </c>
      <c r="BK388" s="306">
        <f t="shared" si="286"/>
        <v>0</v>
      </c>
      <c r="BL388" s="304">
        <f t="shared" si="317"/>
        <v>0</v>
      </c>
      <c r="BM388" s="304">
        <f t="shared" si="318"/>
        <v>0</v>
      </c>
      <c r="BN388" s="304">
        <f t="shared" si="335"/>
        <v>0</v>
      </c>
      <c r="BO388" s="306">
        <f t="shared" si="336"/>
        <v>0</v>
      </c>
      <c r="BP388" s="306"/>
    </row>
    <row r="389" spans="1:68">
      <c r="A389" s="299">
        <f t="shared" si="287"/>
        <v>0</v>
      </c>
      <c r="B389" s="300">
        <f t="shared" si="288"/>
        <v>38354</v>
      </c>
      <c r="C389" s="301" t="e">
        <f t="shared" si="319"/>
        <v>#N/A</v>
      </c>
      <c r="D389" s="301" t="e">
        <f t="shared" si="289"/>
        <v>#N/A</v>
      </c>
      <c r="E389" s="299">
        <f t="shared" si="290"/>
        <v>368</v>
      </c>
      <c r="F389" s="396">
        <f>Weather!M373</f>
        <v>0</v>
      </c>
      <c r="G389" s="301">
        <f>IF(Weather!C373="","",Weather!C373)</f>
        <v>0.23504625413794789</v>
      </c>
      <c r="H389" s="301">
        <f>IF(Weather!D373="","",Weather!D373)</f>
        <v>0.26135759193647401</v>
      </c>
      <c r="I389" s="502">
        <f>IF(Weather!E373="","",Weather!E373)</f>
        <v>0.26135759193647401</v>
      </c>
      <c r="J389" s="397">
        <f>IF(RnSplint!N52&lt;0,0,RnSplint!N52)</f>
        <v>23.443287102711253</v>
      </c>
      <c r="K389" s="302">
        <f t="shared" si="320"/>
        <v>0</v>
      </c>
      <c r="L389" s="303">
        <f t="shared" si="321"/>
        <v>38354</v>
      </c>
      <c r="M389" s="346" t="str">
        <f>IF(MONTH(L390)&gt;MONTH(L389),MONTH(L389),"")</f>
        <v/>
      </c>
      <c r="N389" s="304">
        <f t="shared" si="322"/>
        <v>0</v>
      </c>
      <c r="O389" s="304">
        <f t="shared" si="323"/>
        <v>0</v>
      </c>
      <c r="P389" s="304">
        <f t="shared" si="292"/>
        <v>0</v>
      </c>
      <c r="Q389" s="304">
        <f t="shared" si="293"/>
        <v>1.2</v>
      </c>
      <c r="R389" s="304">
        <f t="shared" si="294"/>
        <v>1.2</v>
      </c>
      <c r="S389" s="305" t="e">
        <f t="shared" si="324"/>
        <v>#N/A</v>
      </c>
      <c r="T389" s="304">
        <f t="shared" si="295"/>
        <v>0</v>
      </c>
      <c r="U389" s="304">
        <f t="shared" si="334"/>
        <v>0</v>
      </c>
      <c r="V389" s="305" t="e">
        <f t="shared" si="296"/>
        <v>#N/A</v>
      </c>
      <c r="W389" s="305" t="e">
        <f t="shared" si="325"/>
        <v>#N/A</v>
      </c>
      <c r="X389" s="304">
        <f t="shared" si="326"/>
        <v>1.2</v>
      </c>
      <c r="Z389" s="304" t="str">
        <f t="shared" si="297"/>
        <v/>
      </c>
      <c r="AA389" s="305" t="e">
        <f t="shared" si="298"/>
        <v>#N/A</v>
      </c>
      <c r="AB389" s="304">
        <f t="shared" si="299"/>
        <v>0.31362911032376878</v>
      </c>
      <c r="AC389" s="304" t="str">
        <f t="shared" si="327"/>
        <v/>
      </c>
      <c r="AD389" s="306">
        <f t="shared" si="300"/>
        <v>0</v>
      </c>
      <c r="AE389" s="307">
        <f t="shared" si="328"/>
        <v>0.31362911032376878</v>
      </c>
      <c r="AF389" s="308" t="e">
        <f t="shared" si="337"/>
        <v>#N/A</v>
      </c>
      <c r="AG389" s="306">
        <f t="shared" si="329"/>
        <v>684.78784575639156</v>
      </c>
      <c r="AH389" s="306">
        <f t="shared" si="301"/>
        <v>0</v>
      </c>
      <c r="AI389" s="306">
        <f t="shared" si="330"/>
        <v>0</v>
      </c>
      <c r="AJ389" s="306">
        <f t="shared" si="331"/>
        <v>0</v>
      </c>
      <c r="AK389" s="306">
        <f t="shared" si="302"/>
        <v>0</v>
      </c>
      <c r="AL389" s="306">
        <f t="shared" si="332"/>
        <v>0</v>
      </c>
      <c r="AM389" s="306">
        <f t="shared" si="303"/>
        <v>0</v>
      </c>
      <c r="AN389" s="306"/>
      <c r="AO389" s="304" t="str">
        <f t="shared" si="304"/>
        <v/>
      </c>
      <c r="AP389" s="304" t="str">
        <f t="shared" si="333"/>
        <v/>
      </c>
      <c r="AQ389" s="305" t="e">
        <f t="shared" si="338"/>
        <v>#N/A</v>
      </c>
      <c r="AR389" s="304" t="str">
        <f t="shared" si="339"/>
        <v/>
      </c>
      <c r="AS389" s="306">
        <f t="shared" si="305"/>
        <v>0</v>
      </c>
      <c r="AT389" s="307" t="e">
        <f t="shared" si="340"/>
        <v>#N/A</v>
      </c>
      <c r="AU389" s="307" t="e">
        <f t="shared" si="341"/>
        <v>#N/A</v>
      </c>
      <c r="AV389" s="304">
        <f t="shared" si="306"/>
        <v>0.26135759193647401</v>
      </c>
      <c r="AW389" s="309">
        <f t="shared" si="307"/>
        <v>1.9927990027542477</v>
      </c>
      <c r="AX389" s="306">
        <f>IF(ISERROR(Weather!M373),#N/A,Weather!M373)</f>
        <v>0</v>
      </c>
      <c r="AY389" s="310">
        <f t="shared" si="308"/>
        <v>8</v>
      </c>
      <c r="AZ389" s="309">
        <f t="shared" si="309"/>
        <v>1.2</v>
      </c>
      <c r="BA389" s="309">
        <f t="shared" si="310"/>
        <v>257.39961214628784</v>
      </c>
      <c r="BB389" s="311">
        <f>Irrig!H391</f>
        <v>0</v>
      </c>
      <c r="BC389" s="310">
        <f t="shared" si="311"/>
        <v>0</v>
      </c>
      <c r="BD389" s="309">
        <f t="shared" si="312"/>
        <v>0</v>
      </c>
      <c r="BE389" s="309">
        <f t="shared" si="313"/>
        <v>0</v>
      </c>
      <c r="BF389" s="306">
        <f>DailyMet!H373</f>
        <v>3.47</v>
      </c>
      <c r="BG389" s="306">
        <f>DailyMet!I373</f>
        <v>-0.8</v>
      </c>
      <c r="BH389" s="306">
        <f t="shared" si="314"/>
        <v>3.47</v>
      </c>
      <c r="BI389" s="306">
        <f t="shared" si="315"/>
        <v>10</v>
      </c>
      <c r="BJ389" s="306">
        <f t="shared" si="316"/>
        <v>-3.2649999999999997</v>
      </c>
      <c r="BK389" s="306">
        <f t="shared" si="286"/>
        <v>0</v>
      </c>
      <c r="BL389" s="304">
        <f t="shared" si="317"/>
        <v>0</v>
      </c>
      <c r="BM389" s="304">
        <f t="shared" si="318"/>
        <v>0</v>
      </c>
      <c r="BN389" s="304">
        <f t="shared" si="335"/>
        <v>0</v>
      </c>
      <c r="BO389" s="306">
        <f t="shared" si="336"/>
        <v>0</v>
      </c>
      <c r="BP389" s="306"/>
    </row>
    <row r="390" spans="1:68">
      <c r="A390" s="299">
        <f t="shared" si="287"/>
        <v>0</v>
      </c>
      <c r="B390" s="300">
        <f t="shared" si="288"/>
        <v>38355</v>
      </c>
      <c r="C390" s="301" t="e">
        <f t="shared" si="319"/>
        <v>#N/A</v>
      </c>
      <c r="D390" s="301" t="e">
        <f t="shared" si="289"/>
        <v>#N/A</v>
      </c>
      <c r="E390" s="299">
        <f t="shared" si="290"/>
        <v>369</v>
      </c>
      <c r="F390" s="396">
        <f>Weather!M374</f>
        <v>0</v>
      </c>
      <c r="G390" s="301">
        <f>IF(Weather!C374="","",Weather!C374)</f>
        <v>0.24177974597154123</v>
      </c>
      <c r="H390" s="301">
        <f>IF(Weather!D374="","",Weather!D374)</f>
        <v>0.24892768940826782</v>
      </c>
      <c r="I390" s="502">
        <f>IF(Weather!E374="","",Weather!E374)</f>
        <v>0.24892768940826782</v>
      </c>
      <c r="J390" s="397">
        <f>IF(RnSplint!N53&lt;0,0,RnSplint!N53)</f>
        <v>24.27026302667209</v>
      </c>
      <c r="K390" s="302">
        <f t="shared" si="320"/>
        <v>0</v>
      </c>
      <c r="L390" s="303">
        <f t="shared" si="321"/>
        <v>38355</v>
      </c>
      <c r="M390" s="346" t="str">
        <f t="shared" ref="M390:M436" si="342">IF(MONTH(L391)&gt;MONTH(L390),MONTH(L390),"")</f>
        <v/>
      </c>
      <c r="N390" s="304">
        <f t="shared" si="322"/>
        <v>0</v>
      </c>
      <c r="O390" s="304">
        <f t="shared" si="323"/>
        <v>0</v>
      </c>
      <c r="P390" s="304">
        <f t="shared" si="292"/>
        <v>0</v>
      </c>
      <c r="Q390" s="304">
        <f t="shared" si="293"/>
        <v>1.2</v>
      </c>
      <c r="R390" s="304">
        <f t="shared" si="294"/>
        <v>1.2</v>
      </c>
      <c r="S390" s="305" t="e">
        <f t="shared" si="324"/>
        <v>#N/A</v>
      </c>
      <c r="T390" s="304">
        <f t="shared" si="295"/>
        <v>0</v>
      </c>
      <c r="U390" s="304">
        <f t="shared" si="334"/>
        <v>0</v>
      </c>
      <c r="V390" s="305" t="e">
        <f t="shared" si="296"/>
        <v>#N/A</v>
      </c>
      <c r="W390" s="305" t="e">
        <f t="shared" si="325"/>
        <v>#N/A</v>
      </c>
      <c r="X390" s="304">
        <f t="shared" si="326"/>
        <v>1.2</v>
      </c>
      <c r="Z390" s="304" t="str">
        <f t="shared" si="297"/>
        <v/>
      </c>
      <c r="AA390" s="305" t="e">
        <f t="shared" si="298"/>
        <v>#N/A</v>
      </c>
      <c r="AB390" s="304">
        <f t="shared" si="299"/>
        <v>0.29871322728992139</v>
      </c>
      <c r="AC390" s="304" t="str">
        <f t="shared" si="327"/>
        <v/>
      </c>
      <c r="AD390" s="306">
        <f t="shared" si="300"/>
        <v>0</v>
      </c>
      <c r="AE390" s="307">
        <f t="shared" si="328"/>
        <v>0.29871322728992139</v>
      </c>
      <c r="AF390" s="308" t="e">
        <f t="shared" si="337"/>
        <v>#N/A</v>
      </c>
      <c r="AG390" s="306">
        <f t="shared" si="329"/>
        <v>685.03677344579978</v>
      </c>
      <c r="AH390" s="306">
        <f t="shared" si="301"/>
        <v>0</v>
      </c>
      <c r="AI390" s="306">
        <f t="shared" si="330"/>
        <v>0</v>
      </c>
      <c r="AJ390" s="306">
        <f t="shared" si="331"/>
        <v>0</v>
      </c>
      <c r="AK390" s="306">
        <f t="shared" si="302"/>
        <v>0</v>
      </c>
      <c r="AL390" s="306">
        <f t="shared" si="332"/>
        <v>0</v>
      </c>
      <c r="AM390" s="306">
        <f t="shared" si="303"/>
        <v>0</v>
      </c>
      <c r="AN390" s="306"/>
      <c r="AO390" s="304" t="str">
        <f t="shared" si="304"/>
        <v/>
      </c>
      <c r="AP390" s="304" t="str">
        <f t="shared" si="333"/>
        <v/>
      </c>
      <c r="AQ390" s="305" t="e">
        <f t="shared" si="338"/>
        <v>#N/A</v>
      </c>
      <c r="AR390" s="304" t="str">
        <f t="shared" si="339"/>
        <v/>
      </c>
      <c r="AS390" s="306">
        <f t="shared" si="305"/>
        <v>0</v>
      </c>
      <c r="AT390" s="307" t="e">
        <f t="shared" si="340"/>
        <v>#N/A</v>
      </c>
      <c r="AU390" s="307" t="e">
        <f t="shared" si="341"/>
        <v>#N/A</v>
      </c>
      <c r="AV390" s="304">
        <f t="shared" si="306"/>
        <v>0.24892768940826782</v>
      </c>
      <c r="AW390" s="309">
        <f t="shared" si="307"/>
        <v>2.2417266921625156</v>
      </c>
      <c r="AX390" s="306">
        <f>IF(ISERROR(Weather!M374),#N/A,Weather!M374)</f>
        <v>0</v>
      </c>
      <c r="AY390" s="310">
        <f t="shared" si="308"/>
        <v>9</v>
      </c>
      <c r="AZ390" s="309">
        <f t="shared" si="309"/>
        <v>1.2</v>
      </c>
      <c r="BA390" s="309">
        <f t="shared" si="310"/>
        <v>257.64853983569611</v>
      </c>
      <c r="BB390" s="311">
        <f>Irrig!H392</f>
        <v>0</v>
      </c>
      <c r="BC390" s="310">
        <f t="shared" si="311"/>
        <v>0</v>
      </c>
      <c r="BD390" s="309">
        <f t="shared" si="312"/>
        <v>0</v>
      </c>
      <c r="BE390" s="309">
        <f t="shared" si="313"/>
        <v>0</v>
      </c>
      <c r="BF390" s="306">
        <f>DailyMet!H374</f>
        <v>0.04</v>
      </c>
      <c r="BG390" s="306">
        <f>DailyMet!I374</f>
        <v>-2</v>
      </c>
      <c r="BH390" s="306">
        <f t="shared" si="314"/>
        <v>0.04</v>
      </c>
      <c r="BI390" s="306">
        <f t="shared" si="315"/>
        <v>10</v>
      </c>
      <c r="BJ390" s="306">
        <f t="shared" si="316"/>
        <v>-4.9800000000000004</v>
      </c>
      <c r="BK390" s="306">
        <f t="shared" si="286"/>
        <v>0</v>
      </c>
      <c r="BL390" s="304">
        <f t="shared" si="317"/>
        <v>0</v>
      </c>
      <c r="BM390" s="304">
        <f t="shared" si="318"/>
        <v>0</v>
      </c>
      <c r="BN390" s="304">
        <f t="shared" si="335"/>
        <v>0</v>
      </c>
      <c r="BO390" s="306">
        <f t="shared" si="336"/>
        <v>0</v>
      </c>
      <c r="BP390" s="306"/>
    </row>
    <row r="391" spans="1:68">
      <c r="A391" s="299">
        <f t="shared" si="287"/>
        <v>0</v>
      </c>
      <c r="B391" s="300">
        <f t="shared" si="288"/>
        <v>38356</v>
      </c>
      <c r="C391" s="301" t="e">
        <f t="shared" si="319"/>
        <v>#N/A</v>
      </c>
      <c r="D391" s="301" t="e">
        <f t="shared" si="289"/>
        <v>#N/A</v>
      </c>
      <c r="E391" s="299">
        <f t="shared" si="290"/>
        <v>370</v>
      </c>
      <c r="F391" s="396">
        <f>Weather!M375</f>
        <v>0</v>
      </c>
      <c r="G391" s="301">
        <f>IF(Weather!C375="","",Weather!C375)</f>
        <v>0.24851323780513457</v>
      </c>
      <c r="H391" s="301">
        <f>IF(Weather!D375="","",Weather!D375)</f>
        <v>0.15123086696486165</v>
      </c>
      <c r="I391" s="502">
        <f>IF(Weather!E375="","",Weather!E375)</f>
        <v>0.15123086696486165</v>
      </c>
      <c r="J391" s="397">
        <f>IF(RnSplint!N54&lt;0,0,RnSplint!N54)</f>
        <v>25.097238950632928</v>
      </c>
      <c r="K391" s="302">
        <f t="shared" si="320"/>
        <v>0</v>
      </c>
      <c r="L391" s="303">
        <f t="shared" si="321"/>
        <v>38356</v>
      </c>
      <c r="M391" s="346" t="str">
        <f t="shared" si="342"/>
        <v/>
      </c>
      <c r="N391" s="304">
        <f t="shared" si="322"/>
        <v>0</v>
      </c>
      <c r="O391" s="304">
        <f t="shared" si="323"/>
        <v>0</v>
      </c>
      <c r="P391" s="304">
        <f t="shared" si="292"/>
        <v>0</v>
      </c>
      <c r="Q391" s="304">
        <f t="shared" si="293"/>
        <v>1.2</v>
      </c>
      <c r="R391" s="304">
        <f t="shared" si="294"/>
        <v>1.2</v>
      </c>
      <c r="S391" s="305" t="e">
        <f t="shared" si="324"/>
        <v>#N/A</v>
      </c>
      <c r="T391" s="304">
        <f t="shared" si="295"/>
        <v>0</v>
      </c>
      <c r="U391" s="304">
        <f t="shared" si="334"/>
        <v>0</v>
      </c>
      <c r="V391" s="305" t="e">
        <f t="shared" si="296"/>
        <v>#N/A</v>
      </c>
      <c r="W391" s="305" t="e">
        <f t="shared" si="325"/>
        <v>#N/A</v>
      </c>
      <c r="X391" s="304">
        <f t="shared" si="326"/>
        <v>1.2</v>
      </c>
      <c r="Z391" s="304" t="str">
        <f t="shared" si="297"/>
        <v/>
      </c>
      <c r="AA391" s="305" t="e">
        <f t="shared" si="298"/>
        <v>#N/A</v>
      </c>
      <c r="AB391" s="304">
        <f t="shared" si="299"/>
        <v>0.18147704035783399</v>
      </c>
      <c r="AC391" s="304" t="str">
        <f t="shared" si="327"/>
        <v/>
      </c>
      <c r="AD391" s="306">
        <f t="shared" si="300"/>
        <v>0</v>
      </c>
      <c r="AE391" s="307">
        <f t="shared" si="328"/>
        <v>0.18147704035783399</v>
      </c>
      <c r="AF391" s="308" t="e">
        <f t="shared" si="337"/>
        <v>#N/A</v>
      </c>
      <c r="AG391" s="306">
        <f t="shared" si="329"/>
        <v>685.18800431276463</v>
      </c>
      <c r="AH391" s="306">
        <f t="shared" si="301"/>
        <v>0</v>
      </c>
      <c r="AI391" s="306">
        <f t="shared" si="330"/>
        <v>0</v>
      </c>
      <c r="AJ391" s="306">
        <f t="shared" si="331"/>
        <v>0</v>
      </c>
      <c r="AK391" s="306">
        <f t="shared" si="302"/>
        <v>0</v>
      </c>
      <c r="AL391" s="306">
        <f t="shared" si="332"/>
        <v>0</v>
      </c>
      <c r="AM391" s="306">
        <f t="shared" si="303"/>
        <v>0</v>
      </c>
      <c r="AN391" s="306"/>
      <c r="AO391" s="304" t="str">
        <f t="shared" si="304"/>
        <v/>
      </c>
      <c r="AP391" s="304" t="str">
        <f t="shared" si="333"/>
        <v/>
      </c>
      <c r="AQ391" s="305" t="e">
        <f t="shared" si="338"/>
        <v>#N/A</v>
      </c>
      <c r="AR391" s="304" t="str">
        <f t="shared" si="339"/>
        <v/>
      </c>
      <c r="AS391" s="306">
        <f t="shared" si="305"/>
        <v>0</v>
      </c>
      <c r="AT391" s="307" t="e">
        <f t="shared" si="340"/>
        <v>#N/A</v>
      </c>
      <c r="AU391" s="307" t="e">
        <f t="shared" si="341"/>
        <v>#N/A</v>
      </c>
      <c r="AV391" s="304">
        <f t="shared" si="306"/>
        <v>0.15123086696486165</v>
      </c>
      <c r="AW391" s="309">
        <f t="shared" si="307"/>
        <v>2.3929575591273773</v>
      </c>
      <c r="AX391" s="306">
        <f>IF(ISERROR(Weather!M375),#N/A,Weather!M375)</f>
        <v>0</v>
      </c>
      <c r="AY391" s="310">
        <f t="shared" si="308"/>
        <v>10</v>
      </c>
      <c r="AZ391" s="309">
        <f t="shared" si="309"/>
        <v>1.2</v>
      </c>
      <c r="BA391" s="309">
        <f t="shared" si="310"/>
        <v>257.79977070266096</v>
      </c>
      <c r="BB391" s="311">
        <f>Irrig!H393</f>
        <v>0</v>
      </c>
      <c r="BC391" s="310">
        <f t="shared" si="311"/>
        <v>0</v>
      </c>
      <c r="BD391" s="309">
        <f t="shared" si="312"/>
        <v>0</v>
      </c>
      <c r="BE391" s="309">
        <f t="shared" si="313"/>
        <v>0</v>
      </c>
      <c r="BF391" s="306">
        <f>DailyMet!H375</f>
        <v>1.83</v>
      </c>
      <c r="BG391" s="306">
        <f>DailyMet!I375</f>
        <v>-1.5</v>
      </c>
      <c r="BH391" s="306">
        <f t="shared" si="314"/>
        <v>1.83</v>
      </c>
      <c r="BI391" s="306">
        <f t="shared" si="315"/>
        <v>10</v>
      </c>
      <c r="BJ391" s="306">
        <f t="shared" si="316"/>
        <v>-4.085</v>
      </c>
      <c r="BK391" s="306">
        <f t="shared" si="286"/>
        <v>0</v>
      </c>
      <c r="BL391" s="304">
        <f t="shared" si="317"/>
        <v>0</v>
      </c>
      <c r="BM391" s="304">
        <f t="shared" si="318"/>
        <v>0</v>
      </c>
      <c r="BN391" s="304">
        <f t="shared" si="335"/>
        <v>0</v>
      </c>
      <c r="BO391" s="306">
        <f t="shared" si="336"/>
        <v>0</v>
      </c>
      <c r="BP391" s="306"/>
    </row>
    <row r="392" spans="1:68">
      <c r="A392" s="299">
        <f t="shared" si="287"/>
        <v>0</v>
      </c>
      <c r="B392" s="300">
        <f t="shared" si="288"/>
        <v>38357</v>
      </c>
      <c r="C392" s="301" t="e">
        <f t="shared" si="319"/>
        <v>#N/A</v>
      </c>
      <c r="D392" s="301" t="e">
        <f t="shared" si="289"/>
        <v>#N/A</v>
      </c>
      <c r="E392" s="299">
        <f t="shared" si="290"/>
        <v>371</v>
      </c>
      <c r="F392" s="396">
        <f>Weather!M376</f>
        <v>0</v>
      </c>
      <c r="G392" s="301">
        <f>IF(Weather!C376="","",Weather!C376)</f>
        <v>0.25524672963872796</v>
      </c>
      <c r="H392" s="301">
        <f>IF(Weather!D376="","",Weather!D376)</f>
        <v>0.30270884965245604</v>
      </c>
      <c r="I392" s="502">
        <f>IF(Weather!E376="","",Weather!E376)</f>
        <v>0.30270884965245604</v>
      </c>
      <c r="J392" s="397">
        <f>IF(RnSplint!N55&lt;0,0,RnSplint!N55)</f>
        <v>25.924214874593766</v>
      </c>
      <c r="K392" s="302">
        <f t="shared" si="320"/>
        <v>0</v>
      </c>
      <c r="L392" s="303">
        <f t="shared" si="321"/>
        <v>38357</v>
      </c>
      <c r="M392" s="346" t="str">
        <f t="shared" si="342"/>
        <v/>
      </c>
      <c r="N392" s="304">
        <f t="shared" si="322"/>
        <v>0</v>
      </c>
      <c r="O392" s="304">
        <f t="shared" si="323"/>
        <v>0</v>
      </c>
      <c r="P392" s="304">
        <f t="shared" si="292"/>
        <v>0</v>
      </c>
      <c r="Q392" s="304">
        <f t="shared" si="293"/>
        <v>1.2</v>
      </c>
      <c r="R392" s="304">
        <f t="shared" si="294"/>
        <v>1.2</v>
      </c>
      <c r="S392" s="305" t="e">
        <f t="shared" si="324"/>
        <v>#N/A</v>
      </c>
      <c r="T392" s="304">
        <f t="shared" si="295"/>
        <v>0</v>
      </c>
      <c r="U392" s="304">
        <f t="shared" si="334"/>
        <v>0</v>
      </c>
      <c r="V392" s="305" t="e">
        <f t="shared" si="296"/>
        <v>#N/A</v>
      </c>
      <c r="W392" s="305" t="e">
        <f t="shared" si="325"/>
        <v>#N/A</v>
      </c>
      <c r="X392" s="304">
        <f t="shared" si="326"/>
        <v>1.2</v>
      </c>
      <c r="Z392" s="304" t="str">
        <f t="shared" si="297"/>
        <v/>
      </c>
      <c r="AA392" s="305" t="e">
        <f t="shared" si="298"/>
        <v>#N/A</v>
      </c>
      <c r="AB392" s="304">
        <f t="shared" si="299"/>
        <v>0.36325061958294724</v>
      </c>
      <c r="AC392" s="304" t="str">
        <f t="shared" si="327"/>
        <v/>
      </c>
      <c r="AD392" s="306">
        <f t="shared" si="300"/>
        <v>0</v>
      </c>
      <c r="AE392" s="307">
        <f t="shared" si="328"/>
        <v>0.36325061958294724</v>
      </c>
      <c r="AF392" s="308" t="e">
        <f t="shared" si="337"/>
        <v>#N/A</v>
      </c>
      <c r="AG392" s="306">
        <f t="shared" si="329"/>
        <v>685.49071316241714</v>
      </c>
      <c r="AH392" s="306">
        <f t="shared" si="301"/>
        <v>0</v>
      </c>
      <c r="AI392" s="306">
        <f t="shared" si="330"/>
        <v>0</v>
      </c>
      <c r="AJ392" s="306">
        <f t="shared" si="331"/>
        <v>0</v>
      </c>
      <c r="AK392" s="306">
        <f t="shared" si="302"/>
        <v>0</v>
      </c>
      <c r="AL392" s="306">
        <f t="shared" si="332"/>
        <v>0</v>
      </c>
      <c r="AM392" s="306">
        <f t="shared" si="303"/>
        <v>0</v>
      </c>
      <c r="AN392" s="306"/>
      <c r="AO392" s="304" t="str">
        <f t="shared" si="304"/>
        <v/>
      </c>
      <c r="AP392" s="304" t="str">
        <f t="shared" si="333"/>
        <v/>
      </c>
      <c r="AQ392" s="305" t="e">
        <f t="shared" si="338"/>
        <v>#N/A</v>
      </c>
      <c r="AR392" s="304" t="str">
        <f t="shared" si="339"/>
        <v/>
      </c>
      <c r="AS392" s="306">
        <f t="shared" si="305"/>
        <v>0</v>
      </c>
      <c r="AT392" s="307" t="e">
        <f t="shared" si="340"/>
        <v>#N/A</v>
      </c>
      <c r="AU392" s="307" t="e">
        <f t="shared" si="341"/>
        <v>#N/A</v>
      </c>
      <c r="AV392" s="304">
        <f t="shared" si="306"/>
        <v>0.30270884965245604</v>
      </c>
      <c r="AW392" s="309">
        <f t="shared" si="307"/>
        <v>2.6956664087798332</v>
      </c>
      <c r="AX392" s="306">
        <f>IF(ISERROR(Weather!M376),#N/A,Weather!M376)</f>
        <v>0</v>
      </c>
      <c r="AY392" s="310">
        <f t="shared" si="308"/>
        <v>11</v>
      </c>
      <c r="AZ392" s="309">
        <f t="shared" si="309"/>
        <v>1.2</v>
      </c>
      <c r="BA392" s="309">
        <f t="shared" si="310"/>
        <v>258.10247955231341</v>
      </c>
      <c r="BB392" s="311">
        <f>Irrig!H394</f>
        <v>0</v>
      </c>
      <c r="BC392" s="310">
        <f t="shared" si="311"/>
        <v>0</v>
      </c>
      <c r="BD392" s="309">
        <f t="shared" si="312"/>
        <v>0</v>
      </c>
      <c r="BE392" s="309">
        <f t="shared" si="313"/>
        <v>0</v>
      </c>
      <c r="BF392" s="306">
        <f>DailyMet!H376</f>
        <v>5.2</v>
      </c>
      <c r="BG392" s="306">
        <f>DailyMet!I376</f>
        <v>0.3</v>
      </c>
      <c r="BH392" s="306">
        <f t="shared" si="314"/>
        <v>5.2</v>
      </c>
      <c r="BI392" s="306">
        <f t="shared" si="315"/>
        <v>10</v>
      </c>
      <c r="BJ392" s="306">
        <f t="shared" si="316"/>
        <v>-2.4000000000000004</v>
      </c>
      <c r="BK392" s="306">
        <f t="shared" ref="BK392:BK455" si="343">IF(AP392="",0,BK391+BJ392)</f>
        <v>0</v>
      </c>
      <c r="BL392" s="304">
        <f t="shared" si="317"/>
        <v>0</v>
      </c>
      <c r="BM392" s="304">
        <f t="shared" si="318"/>
        <v>0</v>
      </c>
      <c r="BN392" s="304">
        <f t="shared" si="335"/>
        <v>0</v>
      </c>
      <c r="BO392" s="306">
        <f t="shared" si="336"/>
        <v>0</v>
      </c>
      <c r="BP392" s="306"/>
    </row>
    <row r="393" spans="1:68">
      <c r="A393" s="299">
        <f t="shared" si="287"/>
        <v>0</v>
      </c>
      <c r="B393" s="300">
        <f t="shared" si="288"/>
        <v>38358</v>
      </c>
      <c r="C393" s="301" t="e">
        <f t="shared" si="319"/>
        <v>#N/A</v>
      </c>
      <c r="D393" s="301" t="e">
        <f t="shared" si="289"/>
        <v>#N/A</v>
      </c>
      <c r="E393" s="299">
        <f t="shared" si="290"/>
        <v>372</v>
      </c>
      <c r="F393" s="396">
        <f>Weather!M377</f>
        <v>0</v>
      </c>
      <c r="G393" s="301">
        <f>IF(Weather!C377="","",Weather!C377)</f>
        <v>0.2602343339434332</v>
      </c>
      <c r="H393" s="301">
        <f>IF(Weather!D377="","",Weather!D377)</f>
        <v>0.34935131767173</v>
      </c>
      <c r="I393" s="502">
        <f>IF(Weather!E377="","",Weather!E377)</f>
        <v>0.34935131767173</v>
      </c>
      <c r="J393" s="397">
        <f>IF(RnSplint!N56&lt;0,0,RnSplint!N56)</f>
        <v>26.610082809962893</v>
      </c>
      <c r="K393" s="302">
        <f t="shared" si="320"/>
        <v>0</v>
      </c>
      <c r="L393" s="303">
        <f t="shared" si="321"/>
        <v>38358</v>
      </c>
      <c r="M393" s="346" t="str">
        <f t="shared" si="342"/>
        <v/>
      </c>
      <c r="N393" s="304">
        <f t="shared" si="322"/>
        <v>0</v>
      </c>
      <c r="O393" s="304">
        <f t="shared" si="323"/>
        <v>0</v>
      </c>
      <c r="P393" s="304">
        <f t="shared" si="292"/>
        <v>0</v>
      </c>
      <c r="Q393" s="304">
        <f t="shared" si="293"/>
        <v>1.2</v>
      </c>
      <c r="R393" s="304">
        <f t="shared" si="294"/>
        <v>1.2</v>
      </c>
      <c r="S393" s="305" t="e">
        <f t="shared" si="324"/>
        <v>#N/A</v>
      </c>
      <c r="T393" s="304">
        <f t="shared" si="295"/>
        <v>0</v>
      </c>
      <c r="U393" s="304">
        <f t="shared" si="334"/>
        <v>0</v>
      </c>
      <c r="V393" s="305" t="e">
        <f t="shared" si="296"/>
        <v>#N/A</v>
      </c>
      <c r="W393" s="305" t="e">
        <f t="shared" si="325"/>
        <v>#N/A</v>
      </c>
      <c r="X393" s="304">
        <f t="shared" si="326"/>
        <v>1.2</v>
      </c>
      <c r="Z393" s="304" t="str">
        <f t="shared" si="297"/>
        <v/>
      </c>
      <c r="AA393" s="305" t="e">
        <f t="shared" si="298"/>
        <v>#N/A</v>
      </c>
      <c r="AB393" s="304">
        <f t="shared" si="299"/>
        <v>0.419221581206076</v>
      </c>
      <c r="AC393" s="304" t="str">
        <f t="shared" si="327"/>
        <v/>
      </c>
      <c r="AD393" s="306">
        <f t="shared" si="300"/>
        <v>0</v>
      </c>
      <c r="AE393" s="307">
        <f t="shared" si="328"/>
        <v>0.419221581206076</v>
      </c>
      <c r="AF393" s="308" t="e">
        <f t="shared" si="337"/>
        <v>#N/A</v>
      </c>
      <c r="AG393" s="306">
        <f t="shared" si="329"/>
        <v>685.84006448008881</v>
      </c>
      <c r="AH393" s="306">
        <f t="shared" si="301"/>
        <v>0</v>
      </c>
      <c r="AI393" s="306">
        <f t="shared" si="330"/>
        <v>0</v>
      </c>
      <c r="AJ393" s="306">
        <f t="shared" si="331"/>
        <v>0</v>
      </c>
      <c r="AK393" s="306">
        <f t="shared" si="302"/>
        <v>0</v>
      </c>
      <c r="AL393" s="306">
        <f t="shared" si="332"/>
        <v>0</v>
      </c>
      <c r="AM393" s="306">
        <f t="shared" si="303"/>
        <v>0</v>
      </c>
      <c r="AN393" s="306"/>
      <c r="AO393" s="304" t="str">
        <f t="shared" si="304"/>
        <v/>
      </c>
      <c r="AP393" s="304" t="str">
        <f t="shared" si="333"/>
        <v/>
      </c>
      <c r="AQ393" s="305" t="e">
        <f t="shared" si="338"/>
        <v>#N/A</v>
      </c>
      <c r="AR393" s="304" t="str">
        <f t="shared" si="339"/>
        <v/>
      </c>
      <c r="AS393" s="306">
        <f t="shared" si="305"/>
        <v>0</v>
      </c>
      <c r="AT393" s="307" t="e">
        <f t="shared" si="340"/>
        <v>#N/A</v>
      </c>
      <c r="AU393" s="307" t="e">
        <f t="shared" si="341"/>
        <v>#N/A</v>
      </c>
      <c r="AV393" s="304">
        <f t="shared" si="306"/>
        <v>0.34935131767173</v>
      </c>
      <c r="AW393" s="309">
        <f t="shared" si="307"/>
        <v>3.0450177264515634</v>
      </c>
      <c r="AX393" s="306">
        <f>IF(ISERROR(Weather!M377),#N/A,Weather!M377)</f>
        <v>0</v>
      </c>
      <c r="AY393" s="310">
        <f t="shared" si="308"/>
        <v>12</v>
      </c>
      <c r="AZ393" s="309">
        <f t="shared" si="309"/>
        <v>1.2</v>
      </c>
      <c r="BA393" s="309">
        <f t="shared" si="310"/>
        <v>258.45183086998514</v>
      </c>
      <c r="BB393" s="311">
        <f>Irrig!H395</f>
        <v>0</v>
      </c>
      <c r="BC393" s="310">
        <f t="shared" si="311"/>
        <v>0</v>
      </c>
      <c r="BD393" s="309">
        <f t="shared" si="312"/>
        <v>0</v>
      </c>
      <c r="BE393" s="309">
        <f t="shared" si="313"/>
        <v>0</v>
      </c>
      <c r="BF393" s="306">
        <f>DailyMet!H377</f>
        <v>5.41</v>
      </c>
      <c r="BG393" s="306">
        <f>DailyMet!I377</f>
        <v>1.8</v>
      </c>
      <c r="BH393" s="306">
        <f t="shared" si="314"/>
        <v>5.41</v>
      </c>
      <c r="BI393" s="306">
        <f t="shared" si="315"/>
        <v>10</v>
      </c>
      <c r="BJ393" s="306">
        <f t="shared" si="316"/>
        <v>-2.2949999999999999</v>
      </c>
      <c r="BK393" s="306">
        <f t="shared" si="343"/>
        <v>0</v>
      </c>
      <c r="BL393" s="304">
        <f t="shared" si="317"/>
        <v>0</v>
      </c>
      <c r="BM393" s="304">
        <f t="shared" si="318"/>
        <v>0</v>
      </c>
      <c r="BN393" s="304">
        <f t="shared" si="335"/>
        <v>0</v>
      </c>
      <c r="BO393" s="306">
        <f t="shared" si="336"/>
        <v>0</v>
      </c>
      <c r="BP393" s="306"/>
    </row>
    <row r="394" spans="1:68">
      <c r="A394" s="299">
        <f t="shared" si="287"/>
        <v>0</v>
      </c>
      <c r="B394" s="300">
        <f t="shared" si="288"/>
        <v>38359</v>
      </c>
      <c r="C394" s="301" t="e">
        <f t="shared" si="319"/>
        <v>#N/A</v>
      </c>
      <c r="D394" s="301" t="e">
        <f t="shared" si="289"/>
        <v>#N/A</v>
      </c>
      <c r="E394" s="299">
        <f t="shared" si="290"/>
        <v>373</v>
      </c>
      <c r="F394" s="396">
        <f>Weather!M378</f>
        <v>0</v>
      </c>
      <c r="G394" s="301">
        <f>IF(Weather!C378="","",Weather!C378)</f>
        <v>0.26506159337069896</v>
      </c>
      <c r="H394" s="301">
        <f>IF(Weather!D378="","",Weather!D378)</f>
        <v>0.74494176690550129</v>
      </c>
      <c r="I394" s="502">
        <f>IF(Weather!E378="","",Weather!E378)</f>
        <v>0.74494176690550129</v>
      </c>
      <c r="J394" s="397">
        <f>IF(RnSplint!N57&lt;0,0,RnSplint!N57)</f>
        <v>27.276618555825507</v>
      </c>
      <c r="K394" s="302">
        <f t="shared" si="320"/>
        <v>0</v>
      </c>
      <c r="L394" s="303">
        <f t="shared" si="321"/>
        <v>38359</v>
      </c>
      <c r="M394" s="346" t="str">
        <f t="shared" si="342"/>
        <v/>
      </c>
      <c r="N394" s="304">
        <f t="shared" si="322"/>
        <v>0</v>
      </c>
      <c r="O394" s="304">
        <f t="shared" si="323"/>
        <v>0</v>
      </c>
      <c r="P394" s="304">
        <f t="shared" si="292"/>
        <v>0</v>
      </c>
      <c r="Q394" s="304">
        <f t="shared" si="293"/>
        <v>1.2</v>
      </c>
      <c r="R394" s="304">
        <f t="shared" si="294"/>
        <v>1.2</v>
      </c>
      <c r="S394" s="305" t="e">
        <f t="shared" si="324"/>
        <v>#N/A</v>
      </c>
      <c r="T394" s="304">
        <f t="shared" si="295"/>
        <v>0</v>
      </c>
      <c r="U394" s="304">
        <f t="shared" si="334"/>
        <v>0</v>
      </c>
      <c r="V394" s="305" t="e">
        <f t="shared" si="296"/>
        <v>#N/A</v>
      </c>
      <c r="W394" s="305" t="e">
        <f t="shared" si="325"/>
        <v>#N/A</v>
      </c>
      <c r="X394" s="304">
        <f t="shared" si="326"/>
        <v>1.2</v>
      </c>
      <c r="Z394" s="304" t="str">
        <f t="shared" si="297"/>
        <v/>
      </c>
      <c r="AA394" s="305" t="e">
        <f t="shared" si="298"/>
        <v>#N/A</v>
      </c>
      <c r="AB394" s="304">
        <f t="shared" si="299"/>
        <v>0.89393012028660157</v>
      </c>
      <c r="AC394" s="304" t="str">
        <f t="shared" si="327"/>
        <v/>
      </c>
      <c r="AD394" s="306">
        <f t="shared" si="300"/>
        <v>0</v>
      </c>
      <c r="AE394" s="307">
        <f t="shared" si="328"/>
        <v>0.89393012028660157</v>
      </c>
      <c r="AF394" s="308" t="e">
        <f t="shared" si="337"/>
        <v>#N/A</v>
      </c>
      <c r="AG394" s="306">
        <f t="shared" si="329"/>
        <v>686.58500624699434</v>
      </c>
      <c r="AH394" s="306">
        <f t="shared" si="301"/>
        <v>0</v>
      </c>
      <c r="AI394" s="306">
        <f t="shared" si="330"/>
        <v>0</v>
      </c>
      <c r="AJ394" s="306">
        <f t="shared" si="331"/>
        <v>0</v>
      </c>
      <c r="AK394" s="306">
        <f t="shared" si="302"/>
        <v>0</v>
      </c>
      <c r="AL394" s="306">
        <f t="shared" si="332"/>
        <v>0</v>
      </c>
      <c r="AM394" s="306">
        <f t="shared" si="303"/>
        <v>0</v>
      </c>
      <c r="AN394" s="306"/>
      <c r="AO394" s="304" t="str">
        <f t="shared" si="304"/>
        <v/>
      </c>
      <c r="AP394" s="304" t="str">
        <f t="shared" si="333"/>
        <v/>
      </c>
      <c r="AQ394" s="305" t="e">
        <f t="shared" si="338"/>
        <v>#N/A</v>
      </c>
      <c r="AR394" s="304" t="str">
        <f t="shared" si="339"/>
        <v/>
      </c>
      <c r="AS394" s="306">
        <f t="shared" si="305"/>
        <v>0</v>
      </c>
      <c r="AT394" s="307" t="e">
        <f t="shared" si="340"/>
        <v>#N/A</v>
      </c>
      <c r="AU394" s="307" t="e">
        <f t="shared" si="341"/>
        <v>#N/A</v>
      </c>
      <c r="AV394" s="304">
        <f t="shared" si="306"/>
        <v>0.74494176690550129</v>
      </c>
      <c r="AW394" s="309">
        <f t="shared" si="307"/>
        <v>3.7899594933570646</v>
      </c>
      <c r="AX394" s="306">
        <f>IF(ISERROR(Weather!M378),#N/A,Weather!M378)</f>
        <v>0</v>
      </c>
      <c r="AY394" s="310">
        <f t="shared" si="308"/>
        <v>13</v>
      </c>
      <c r="AZ394" s="309">
        <f t="shared" si="309"/>
        <v>1.2</v>
      </c>
      <c r="BA394" s="309">
        <f t="shared" si="310"/>
        <v>259.19677263689067</v>
      </c>
      <c r="BB394" s="311">
        <f>Irrig!H396</f>
        <v>0</v>
      </c>
      <c r="BC394" s="310">
        <f t="shared" si="311"/>
        <v>0</v>
      </c>
      <c r="BD394" s="309">
        <f t="shared" si="312"/>
        <v>0</v>
      </c>
      <c r="BE394" s="309">
        <f t="shared" si="313"/>
        <v>0</v>
      </c>
      <c r="BF394" s="306">
        <f>DailyMet!H378</f>
        <v>2.75</v>
      </c>
      <c r="BG394" s="306">
        <f>DailyMet!I378</f>
        <v>-2.2000000000000002</v>
      </c>
      <c r="BH394" s="306">
        <f t="shared" si="314"/>
        <v>2.75</v>
      </c>
      <c r="BI394" s="306">
        <f t="shared" si="315"/>
        <v>10</v>
      </c>
      <c r="BJ394" s="306">
        <f t="shared" si="316"/>
        <v>-3.625</v>
      </c>
      <c r="BK394" s="306">
        <f t="shared" si="343"/>
        <v>0</v>
      </c>
      <c r="BL394" s="304">
        <f t="shared" si="317"/>
        <v>0</v>
      </c>
      <c r="BM394" s="304">
        <f t="shared" si="318"/>
        <v>0</v>
      </c>
      <c r="BN394" s="304">
        <f t="shared" si="335"/>
        <v>0</v>
      </c>
      <c r="BO394" s="306">
        <f t="shared" si="336"/>
        <v>0</v>
      </c>
      <c r="BP394" s="306"/>
    </row>
    <row r="395" spans="1:68">
      <c r="A395" s="299">
        <f t="shared" si="287"/>
        <v>0</v>
      </c>
      <c r="B395" s="300">
        <f t="shared" si="288"/>
        <v>38360</v>
      </c>
      <c r="C395" s="301" t="e">
        <f t="shared" si="319"/>
        <v>#N/A</v>
      </c>
      <c r="D395" s="301" t="e">
        <f t="shared" si="289"/>
        <v>#N/A</v>
      </c>
      <c r="E395" s="299">
        <f t="shared" si="290"/>
        <v>374</v>
      </c>
      <c r="F395" s="396">
        <f>Weather!M379</f>
        <v>0</v>
      </c>
      <c r="G395" s="301">
        <f>IF(Weather!C379="","",Weather!C379)</f>
        <v>0.26967657038727227</v>
      </c>
      <c r="H395" s="301">
        <f>IF(Weather!D379="","",Weather!D379)</f>
        <v>0.26305806961331835</v>
      </c>
      <c r="I395" s="502">
        <f>IF(Weather!E379="","",Weather!E379)</f>
        <v>0.26305806961331835</v>
      </c>
      <c r="J395" s="397">
        <f>IF(RnSplint!N58&lt;0,0,RnSplint!N58)</f>
        <v>27.919047499435397</v>
      </c>
      <c r="K395" s="302">
        <f t="shared" si="320"/>
        <v>0</v>
      </c>
      <c r="L395" s="303">
        <f t="shared" si="321"/>
        <v>38360</v>
      </c>
      <c r="M395" s="346" t="str">
        <f t="shared" si="342"/>
        <v/>
      </c>
      <c r="N395" s="304">
        <f t="shared" si="322"/>
        <v>0</v>
      </c>
      <c r="O395" s="304">
        <f t="shared" si="323"/>
        <v>0</v>
      </c>
      <c r="P395" s="304">
        <f t="shared" si="292"/>
        <v>0</v>
      </c>
      <c r="Q395" s="304">
        <f t="shared" si="293"/>
        <v>1.2</v>
      </c>
      <c r="R395" s="304">
        <f t="shared" si="294"/>
        <v>1.2</v>
      </c>
      <c r="S395" s="305" t="e">
        <f t="shared" si="324"/>
        <v>#N/A</v>
      </c>
      <c r="T395" s="304">
        <f t="shared" si="295"/>
        <v>0</v>
      </c>
      <c r="U395" s="304">
        <f t="shared" si="334"/>
        <v>0</v>
      </c>
      <c r="V395" s="305" t="e">
        <f t="shared" si="296"/>
        <v>#N/A</v>
      </c>
      <c r="W395" s="305" t="e">
        <f t="shared" si="325"/>
        <v>#N/A</v>
      </c>
      <c r="X395" s="304">
        <f t="shared" si="326"/>
        <v>1.2</v>
      </c>
      <c r="Z395" s="304" t="str">
        <f t="shared" si="297"/>
        <v/>
      </c>
      <c r="AA395" s="305" t="e">
        <f t="shared" si="298"/>
        <v>#N/A</v>
      </c>
      <c r="AB395" s="304">
        <f t="shared" si="299"/>
        <v>0.31566968353598202</v>
      </c>
      <c r="AC395" s="304" t="str">
        <f t="shared" si="327"/>
        <v/>
      </c>
      <c r="AD395" s="306">
        <f t="shared" si="300"/>
        <v>0</v>
      </c>
      <c r="AE395" s="307">
        <f t="shared" si="328"/>
        <v>0.31566968353598202</v>
      </c>
      <c r="AF395" s="308" t="e">
        <f t="shared" si="337"/>
        <v>#N/A</v>
      </c>
      <c r="AG395" s="306">
        <f t="shared" si="329"/>
        <v>686.84806431660763</v>
      </c>
      <c r="AH395" s="306">
        <f t="shared" si="301"/>
        <v>0</v>
      </c>
      <c r="AI395" s="306">
        <f t="shared" si="330"/>
        <v>0</v>
      </c>
      <c r="AJ395" s="306">
        <f t="shared" si="331"/>
        <v>0</v>
      </c>
      <c r="AK395" s="306">
        <f t="shared" si="302"/>
        <v>0</v>
      </c>
      <c r="AL395" s="306">
        <f t="shared" si="332"/>
        <v>0</v>
      </c>
      <c r="AM395" s="306">
        <f t="shared" si="303"/>
        <v>0</v>
      </c>
      <c r="AN395" s="306"/>
      <c r="AO395" s="304" t="str">
        <f t="shared" si="304"/>
        <v/>
      </c>
      <c r="AP395" s="304" t="str">
        <f t="shared" si="333"/>
        <v/>
      </c>
      <c r="AQ395" s="305" t="e">
        <f t="shared" si="338"/>
        <v>#N/A</v>
      </c>
      <c r="AR395" s="304" t="str">
        <f t="shared" si="339"/>
        <v/>
      </c>
      <c r="AS395" s="306">
        <f t="shared" si="305"/>
        <v>0</v>
      </c>
      <c r="AT395" s="307" t="e">
        <f t="shared" si="340"/>
        <v>#N/A</v>
      </c>
      <c r="AU395" s="307" t="e">
        <f t="shared" si="341"/>
        <v>#N/A</v>
      </c>
      <c r="AV395" s="304">
        <f t="shared" si="306"/>
        <v>0.26305806961331835</v>
      </c>
      <c r="AW395" s="309">
        <f t="shared" si="307"/>
        <v>4.0530175629703828</v>
      </c>
      <c r="AX395" s="306">
        <f>IF(ISERROR(Weather!M379),#N/A,Weather!M379)</f>
        <v>0</v>
      </c>
      <c r="AY395" s="310">
        <f t="shared" si="308"/>
        <v>14</v>
      </c>
      <c r="AZ395" s="309">
        <f t="shared" si="309"/>
        <v>1.2</v>
      </c>
      <c r="BA395" s="309">
        <f t="shared" si="310"/>
        <v>259.45983070650396</v>
      </c>
      <c r="BB395" s="311">
        <f>Irrig!H397</f>
        <v>0</v>
      </c>
      <c r="BC395" s="310">
        <f t="shared" si="311"/>
        <v>0</v>
      </c>
      <c r="BD395" s="309">
        <f t="shared" si="312"/>
        <v>0</v>
      </c>
      <c r="BE395" s="309">
        <f t="shared" si="313"/>
        <v>0</v>
      </c>
      <c r="BF395" s="306">
        <f>DailyMet!H379</f>
        <v>4.75</v>
      </c>
      <c r="BG395" s="306">
        <f>DailyMet!I379</f>
        <v>-0.9</v>
      </c>
      <c r="BH395" s="306">
        <f t="shared" si="314"/>
        <v>4.75</v>
      </c>
      <c r="BI395" s="306">
        <f t="shared" si="315"/>
        <v>10</v>
      </c>
      <c r="BJ395" s="306">
        <f t="shared" si="316"/>
        <v>-2.625</v>
      </c>
      <c r="BK395" s="306">
        <f t="shared" si="343"/>
        <v>0</v>
      </c>
      <c r="BL395" s="304">
        <f t="shared" si="317"/>
        <v>0</v>
      </c>
      <c r="BM395" s="304">
        <f t="shared" si="318"/>
        <v>0</v>
      </c>
      <c r="BN395" s="304">
        <f t="shared" si="335"/>
        <v>0</v>
      </c>
      <c r="BO395" s="306">
        <f t="shared" si="336"/>
        <v>0</v>
      </c>
      <c r="BP395" s="306"/>
    </row>
    <row r="396" spans="1:68">
      <c r="A396" s="299">
        <f t="shared" si="287"/>
        <v>0</v>
      </c>
      <c r="B396" s="300">
        <f t="shared" si="288"/>
        <v>38361</v>
      </c>
      <c r="C396" s="301" t="e">
        <f t="shared" si="319"/>
        <v>#N/A</v>
      </c>
      <c r="D396" s="301" t="e">
        <f t="shared" si="289"/>
        <v>#N/A</v>
      </c>
      <c r="E396" s="299">
        <f t="shared" si="290"/>
        <v>375</v>
      </c>
      <c r="F396" s="396">
        <f>Weather!M380</f>
        <v>0</v>
      </c>
      <c r="G396" s="301">
        <f>IF(Weather!C380="","",Weather!C380)</f>
        <v>0.27402732745990005</v>
      </c>
      <c r="H396" s="301">
        <f>IF(Weather!D380="","",Weather!D380)</f>
        <v>0.33856750769321325</v>
      </c>
      <c r="I396" s="502">
        <f>IF(Weather!E380="","",Weather!E380)</f>
        <v>0.33856750769321325</v>
      </c>
      <c r="J396" s="397">
        <f>IF(RnSplint!N59&lt;0,0,RnSplint!N59)</f>
        <v>28.532595028046355</v>
      </c>
      <c r="K396" s="302">
        <f t="shared" si="320"/>
        <v>0</v>
      </c>
      <c r="L396" s="303">
        <f t="shared" si="321"/>
        <v>38361</v>
      </c>
      <c r="M396" s="346" t="str">
        <f t="shared" si="342"/>
        <v/>
      </c>
      <c r="N396" s="304">
        <f t="shared" si="322"/>
        <v>0</v>
      </c>
      <c r="O396" s="304">
        <f t="shared" si="323"/>
        <v>0</v>
      </c>
      <c r="P396" s="304">
        <f t="shared" si="292"/>
        <v>0</v>
      </c>
      <c r="Q396" s="304">
        <f t="shared" si="293"/>
        <v>1.2</v>
      </c>
      <c r="R396" s="304">
        <f t="shared" si="294"/>
        <v>1.2</v>
      </c>
      <c r="S396" s="305" t="e">
        <f t="shared" si="324"/>
        <v>#N/A</v>
      </c>
      <c r="T396" s="304">
        <f t="shared" si="295"/>
        <v>0</v>
      </c>
      <c r="U396" s="304">
        <f t="shared" si="334"/>
        <v>0</v>
      </c>
      <c r="V396" s="305" t="e">
        <f t="shared" si="296"/>
        <v>#N/A</v>
      </c>
      <c r="W396" s="305" t="e">
        <f t="shared" si="325"/>
        <v>#N/A</v>
      </c>
      <c r="X396" s="304">
        <f t="shared" si="326"/>
        <v>1.2</v>
      </c>
      <c r="Z396" s="304" t="str">
        <f t="shared" si="297"/>
        <v/>
      </c>
      <c r="AA396" s="305" t="e">
        <f t="shared" si="298"/>
        <v>#N/A</v>
      </c>
      <c r="AB396" s="304">
        <f t="shared" si="299"/>
        <v>0.40628100923185589</v>
      </c>
      <c r="AC396" s="304" t="str">
        <f t="shared" si="327"/>
        <v/>
      </c>
      <c r="AD396" s="306">
        <f t="shared" si="300"/>
        <v>0</v>
      </c>
      <c r="AE396" s="307">
        <f t="shared" si="328"/>
        <v>0.40628100923185589</v>
      </c>
      <c r="AF396" s="308" t="e">
        <f t="shared" si="337"/>
        <v>#N/A</v>
      </c>
      <c r="AG396" s="306">
        <f t="shared" si="329"/>
        <v>687.18663182430089</v>
      </c>
      <c r="AH396" s="306">
        <f t="shared" si="301"/>
        <v>0</v>
      </c>
      <c r="AI396" s="306">
        <f t="shared" si="330"/>
        <v>0</v>
      </c>
      <c r="AJ396" s="306">
        <f t="shared" si="331"/>
        <v>0</v>
      </c>
      <c r="AK396" s="306">
        <f t="shared" si="302"/>
        <v>0</v>
      </c>
      <c r="AL396" s="306">
        <f t="shared" si="332"/>
        <v>0</v>
      </c>
      <c r="AM396" s="306">
        <f t="shared" si="303"/>
        <v>0</v>
      </c>
      <c r="AN396" s="306"/>
      <c r="AO396" s="304" t="str">
        <f t="shared" si="304"/>
        <v/>
      </c>
      <c r="AP396" s="304" t="str">
        <f t="shared" si="333"/>
        <v/>
      </c>
      <c r="AQ396" s="305" t="e">
        <f t="shared" si="338"/>
        <v>#N/A</v>
      </c>
      <c r="AR396" s="304" t="str">
        <f t="shared" si="339"/>
        <v/>
      </c>
      <c r="AS396" s="306">
        <f t="shared" si="305"/>
        <v>0</v>
      </c>
      <c r="AT396" s="307" t="e">
        <f t="shared" si="340"/>
        <v>#N/A</v>
      </c>
      <c r="AU396" s="307" t="e">
        <f t="shared" si="341"/>
        <v>#N/A</v>
      </c>
      <c r="AV396" s="304">
        <f t="shared" si="306"/>
        <v>0.33856750769321325</v>
      </c>
      <c r="AW396" s="309">
        <f t="shared" si="307"/>
        <v>4.3915850706635959</v>
      </c>
      <c r="AX396" s="306">
        <f>IF(ISERROR(Weather!M380),#N/A,Weather!M380)</f>
        <v>0</v>
      </c>
      <c r="AY396" s="310">
        <f t="shared" si="308"/>
        <v>15</v>
      </c>
      <c r="AZ396" s="309">
        <f t="shared" si="309"/>
        <v>1.2</v>
      </c>
      <c r="BA396" s="309">
        <f t="shared" si="310"/>
        <v>259.79839821419716</v>
      </c>
      <c r="BB396" s="311">
        <f>Irrig!H398</f>
        <v>0</v>
      </c>
      <c r="BC396" s="310">
        <f t="shared" si="311"/>
        <v>0</v>
      </c>
      <c r="BD396" s="309">
        <f t="shared" si="312"/>
        <v>0</v>
      </c>
      <c r="BE396" s="309">
        <f t="shared" si="313"/>
        <v>0</v>
      </c>
      <c r="BF396" s="306">
        <f>DailyMet!H380</f>
        <v>3.02</v>
      </c>
      <c r="BG396" s="306">
        <f>DailyMet!I380</f>
        <v>-3</v>
      </c>
      <c r="BH396" s="306">
        <f t="shared" si="314"/>
        <v>3.02</v>
      </c>
      <c r="BI396" s="306">
        <f t="shared" si="315"/>
        <v>10</v>
      </c>
      <c r="BJ396" s="306">
        <f t="shared" si="316"/>
        <v>-3.49</v>
      </c>
      <c r="BK396" s="306">
        <f t="shared" si="343"/>
        <v>0</v>
      </c>
      <c r="BL396" s="304">
        <f t="shared" si="317"/>
        <v>0</v>
      </c>
      <c r="BM396" s="304">
        <f t="shared" si="318"/>
        <v>0</v>
      </c>
      <c r="BN396" s="304">
        <f t="shared" si="335"/>
        <v>0</v>
      </c>
      <c r="BO396" s="306">
        <f t="shared" si="336"/>
        <v>0</v>
      </c>
      <c r="BP396" s="306"/>
    </row>
    <row r="397" spans="1:68">
      <c r="A397" s="299">
        <f t="shared" si="287"/>
        <v>0</v>
      </c>
      <c r="B397" s="300">
        <f t="shared" si="288"/>
        <v>38362</v>
      </c>
      <c r="C397" s="301" t="e">
        <f t="shared" si="319"/>
        <v>#N/A</v>
      </c>
      <c r="D397" s="301" t="e">
        <f t="shared" si="289"/>
        <v>#N/A</v>
      </c>
      <c r="E397" s="299">
        <f t="shared" si="290"/>
        <v>376</v>
      </c>
      <c r="F397" s="396">
        <f>Weather!M381</f>
        <v>0</v>
      </c>
      <c r="G397" s="301">
        <f>IF(Weather!C381="","",Weather!C381)</f>
        <v>0.27806192705532923</v>
      </c>
      <c r="H397" s="301">
        <f>IF(Weather!D381="","",Weather!D381)</f>
        <v>0.26807099555554398</v>
      </c>
      <c r="I397" s="502">
        <f>IF(Weather!E381="","",Weather!E381)</f>
        <v>0.26807099555554398</v>
      </c>
      <c r="J397" s="397">
        <f>IF(RnSplint!N60&lt;0,0,RnSplint!N60)</f>
        <v>29.112486528912175</v>
      </c>
      <c r="K397" s="302">
        <f t="shared" si="320"/>
        <v>0</v>
      </c>
      <c r="L397" s="303">
        <f t="shared" si="321"/>
        <v>38362</v>
      </c>
      <c r="M397" s="346" t="str">
        <f t="shared" si="342"/>
        <v/>
      </c>
      <c r="N397" s="304">
        <f t="shared" si="322"/>
        <v>0</v>
      </c>
      <c r="O397" s="304">
        <f t="shared" si="323"/>
        <v>0</v>
      </c>
      <c r="P397" s="304">
        <f t="shared" si="292"/>
        <v>0</v>
      </c>
      <c r="Q397" s="304">
        <f t="shared" si="293"/>
        <v>1.2</v>
      </c>
      <c r="R397" s="304">
        <f t="shared" si="294"/>
        <v>1.2</v>
      </c>
      <c r="S397" s="305" t="e">
        <f t="shared" si="324"/>
        <v>#N/A</v>
      </c>
      <c r="T397" s="304">
        <f t="shared" si="295"/>
        <v>0</v>
      </c>
      <c r="U397" s="304">
        <f t="shared" si="334"/>
        <v>0</v>
      </c>
      <c r="V397" s="305" t="e">
        <f t="shared" si="296"/>
        <v>#N/A</v>
      </c>
      <c r="W397" s="305" t="e">
        <f t="shared" si="325"/>
        <v>#N/A</v>
      </c>
      <c r="X397" s="304">
        <f t="shared" si="326"/>
        <v>1.2</v>
      </c>
      <c r="Z397" s="304" t="str">
        <f t="shared" si="297"/>
        <v/>
      </c>
      <c r="AA397" s="305" t="e">
        <f t="shared" si="298"/>
        <v>#N/A</v>
      </c>
      <c r="AB397" s="304">
        <f t="shared" si="299"/>
        <v>0.32168519466665274</v>
      </c>
      <c r="AC397" s="304" t="str">
        <f t="shared" si="327"/>
        <v/>
      </c>
      <c r="AD397" s="306">
        <f t="shared" si="300"/>
        <v>0</v>
      </c>
      <c r="AE397" s="307">
        <f t="shared" si="328"/>
        <v>0.32168519466665274</v>
      </c>
      <c r="AF397" s="308" t="e">
        <f t="shared" si="337"/>
        <v>#N/A</v>
      </c>
      <c r="AG397" s="306">
        <f t="shared" si="329"/>
        <v>687.45470281985638</v>
      </c>
      <c r="AH397" s="306">
        <f t="shared" si="301"/>
        <v>0</v>
      </c>
      <c r="AI397" s="306">
        <f t="shared" si="330"/>
        <v>0</v>
      </c>
      <c r="AJ397" s="306">
        <f t="shared" si="331"/>
        <v>0</v>
      </c>
      <c r="AK397" s="306">
        <f t="shared" si="302"/>
        <v>0</v>
      </c>
      <c r="AL397" s="306">
        <f t="shared" si="332"/>
        <v>0</v>
      </c>
      <c r="AM397" s="306">
        <f t="shared" si="303"/>
        <v>0</v>
      </c>
      <c r="AN397" s="306"/>
      <c r="AO397" s="304" t="str">
        <f t="shared" si="304"/>
        <v/>
      </c>
      <c r="AP397" s="304" t="str">
        <f t="shared" si="333"/>
        <v/>
      </c>
      <c r="AQ397" s="305" t="e">
        <f t="shared" si="338"/>
        <v>#N/A</v>
      </c>
      <c r="AR397" s="304" t="str">
        <f t="shared" si="339"/>
        <v/>
      </c>
      <c r="AS397" s="306">
        <f t="shared" si="305"/>
        <v>0</v>
      </c>
      <c r="AT397" s="307" t="e">
        <f t="shared" si="340"/>
        <v>#N/A</v>
      </c>
      <c r="AU397" s="307" t="e">
        <f t="shared" si="341"/>
        <v>#N/A</v>
      </c>
      <c r="AV397" s="304">
        <f>IF(I397&lt;0,0,I397)</f>
        <v>0.26807099555554398</v>
      </c>
      <c r="AW397" s="309">
        <f t="shared" si="307"/>
        <v>4.6596560662191395</v>
      </c>
      <c r="AX397" s="306">
        <f>IF(ISERROR(Weather!M381),#N/A,Weather!M381)</f>
        <v>0</v>
      </c>
      <c r="AY397" s="310">
        <f t="shared" si="308"/>
        <v>16</v>
      </c>
      <c r="AZ397" s="309">
        <f t="shared" si="309"/>
        <v>1.2</v>
      </c>
      <c r="BA397" s="309">
        <f t="shared" si="310"/>
        <v>260.06646920975271</v>
      </c>
      <c r="BB397" s="311">
        <f>Irrig!H399</f>
        <v>0</v>
      </c>
      <c r="BC397" s="310">
        <f t="shared" si="311"/>
        <v>0</v>
      </c>
      <c r="BD397" s="309">
        <f t="shared" si="312"/>
        <v>0</v>
      </c>
      <c r="BE397" s="309">
        <f t="shared" si="313"/>
        <v>0</v>
      </c>
      <c r="BF397" s="306">
        <f>DailyMet!H381</f>
        <v>2.0099999999999998</v>
      </c>
      <c r="BG397" s="306">
        <f>DailyMet!I381</f>
        <v>-4.2</v>
      </c>
      <c r="BH397" s="306">
        <f t="shared" si="314"/>
        <v>2.0099999999999998</v>
      </c>
      <c r="BI397" s="306">
        <f t="shared" si="315"/>
        <v>10</v>
      </c>
      <c r="BJ397" s="306">
        <f t="shared" si="316"/>
        <v>-3.9950000000000001</v>
      </c>
      <c r="BK397" s="306">
        <f t="shared" si="343"/>
        <v>0</v>
      </c>
      <c r="BL397" s="304">
        <f t="shared" si="317"/>
        <v>0</v>
      </c>
      <c r="BM397" s="304">
        <f t="shared" si="318"/>
        <v>0</v>
      </c>
      <c r="BN397" s="304">
        <f t="shared" si="335"/>
        <v>0</v>
      </c>
      <c r="BO397" s="306">
        <f t="shared" si="336"/>
        <v>0</v>
      </c>
      <c r="BP397" s="306"/>
    </row>
    <row r="398" spans="1:68">
      <c r="A398" s="299">
        <f t="shared" si="287"/>
        <v>0</v>
      </c>
      <c r="B398" s="300">
        <f t="shared" si="288"/>
        <v>38363</v>
      </c>
      <c r="C398" s="301" t="e">
        <f t="shared" si="319"/>
        <v>#N/A</v>
      </c>
      <c r="D398" s="301" t="e">
        <f t="shared" si="289"/>
        <v>#N/A</v>
      </c>
      <c r="E398" s="299">
        <f t="shared" si="290"/>
        <v>377</v>
      </c>
      <c r="F398" s="396">
        <f>Weather!M382</f>
        <v>0</v>
      </c>
      <c r="G398" s="301">
        <f>IF(Weather!C382="","",Weather!C382)</f>
        <v>0.28172843164030686</v>
      </c>
      <c r="H398" s="301">
        <f>IF(Weather!D382="","",Weather!D382)</f>
        <v>0.16986159983607474</v>
      </c>
      <c r="I398" s="502">
        <f>IF(Weather!E382="","",Weather!E382)</f>
        <v>0.16986159983607474</v>
      </c>
      <c r="J398" s="397">
        <f>IF(RnSplint!N61&lt;0,0,RnSplint!N61)</f>
        <v>29.65394738928666</v>
      </c>
      <c r="K398" s="302">
        <f t="shared" si="320"/>
        <v>0</v>
      </c>
      <c r="L398" s="303">
        <f t="shared" si="321"/>
        <v>38363</v>
      </c>
      <c r="M398" s="346" t="str">
        <f t="shared" si="342"/>
        <v/>
      </c>
      <c r="N398" s="304">
        <f t="shared" si="322"/>
        <v>0</v>
      </c>
      <c r="O398" s="304">
        <f t="shared" si="323"/>
        <v>0</v>
      </c>
      <c r="P398" s="304">
        <f t="shared" si="292"/>
        <v>0</v>
      </c>
      <c r="Q398" s="304">
        <f t="shared" si="293"/>
        <v>1.2</v>
      </c>
      <c r="R398" s="304">
        <f t="shared" si="294"/>
        <v>1.2</v>
      </c>
      <c r="S398" s="305" t="e">
        <f t="shared" si="324"/>
        <v>#N/A</v>
      </c>
      <c r="T398" s="304">
        <f t="shared" si="295"/>
        <v>0</v>
      </c>
      <c r="U398" s="304">
        <f t="shared" si="334"/>
        <v>0</v>
      </c>
      <c r="V398" s="305" t="e">
        <f t="shared" si="296"/>
        <v>#N/A</v>
      </c>
      <c r="W398" s="305" t="e">
        <f t="shared" si="325"/>
        <v>#N/A</v>
      </c>
      <c r="X398" s="304">
        <f t="shared" si="326"/>
        <v>1.2</v>
      </c>
      <c r="Z398" s="304" t="str">
        <f t="shared" si="297"/>
        <v/>
      </c>
      <c r="AA398" s="305" t="e">
        <f t="shared" si="298"/>
        <v>#N/A</v>
      </c>
      <c r="AB398" s="304">
        <f t="shared" si="299"/>
        <v>0.20383391980328969</v>
      </c>
      <c r="AC398" s="304" t="str">
        <f t="shared" si="327"/>
        <v/>
      </c>
      <c r="AD398" s="306">
        <f t="shared" si="300"/>
        <v>0</v>
      </c>
      <c r="AE398" s="307">
        <f t="shared" si="328"/>
        <v>0.20383391980328969</v>
      </c>
      <c r="AF398" s="308" t="e">
        <f t="shared" si="337"/>
        <v>#N/A</v>
      </c>
      <c r="AG398" s="306">
        <f t="shared" si="329"/>
        <v>687.62456441969243</v>
      </c>
      <c r="AH398" s="306">
        <f t="shared" si="301"/>
        <v>0</v>
      </c>
      <c r="AI398" s="306">
        <f t="shared" si="330"/>
        <v>0</v>
      </c>
      <c r="AJ398" s="306">
        <f t="shared" si="331"/>
        <v>0</v>
      </c>
      <c r="AK398" s="306">
        <f t="shared" si="302"/>
        <v>0</v>
      </c>
      <c r="AL398" s="306">
        <f t="shared" si="332"/>
        <v>0</v>
      </c>
      <c r="AM398" s="306">
        <f t="shared" si="303"/>
        <v>0</v>
      </c>
      <c r="AN398" s="306"/>
      <c r="AO398" s="304" t="str">
        <f t="shared" si="304"/>
        <v/>
      </c>
      <c r="AP398" s="304" t="str">
        <f t="shared" si="333"/>
        <v/>
      </c>
      <c r="AQ398" s="305" t="e">
        <f t="shared" si="338"/>
        <v>#N/A</v>
      </c>
      <c r="AR398" s="304" t="str">
        <f t="shared" si="339"/>
        <v/>
      </c>
      <c r="AS398" s="306">
        <f t="shared" si="305"/>
        <v>0</v>
      </c>
      <c r="AT398" s="307" t="e">
        <f t="shared" si="340"/>
        <v>#N/A</v>
      </c>
      <c r="AU398" s="307" t="e">
        <f t="shared" si="341"/>
        <v>#N/A</v>
      </c>
      <c r="AV398" s="304">
        <f t="shared" ref="AV398:AV461" si="344">IF(I398&lt;0,0,I398)</f>
        <v>0.16986159983607474</v>
      </c>
      <c r="AW398" s="309">
        <f t="shared" si="307"/>
        <v>4.8295176660552146</v>
      </c>
      <c r="AX398" s="306">
        <f>IF(ISERROR(Weather!M382),#N/A,Weather!M382)</f>
        <v>0</v>
      </c>
      <c r="AY398" s="310">
        <f t="shared" si="308"/>
        <v>17</v>
      </c>
      <c r="AZ398" s="309">
        <f t="shared" si="309"/>
        <v>1.2</v>
      </c>
      <c r="BA398" s="309">
        <f t="shared" si="310"/>
        <v>260.23633080958876</v>
      </c>
      <c r="BB398" s="311">
        <f>Irrig!H400</f>
        <v>0</v>
      </c>
      <c r="BC398" s="310">
        <f t="shared" si="311"/>
        <v>0</v>
      </c>
      <c r="BD398" s="309">
        <f t="shared" si="312"/>
        <v>0</v>
      </c>
      <c r="BE398" s="309">
        <f t="shared" si="313"/>
        <v>0</v>
      </c>
      <c r="BF398" s="306">
        <f>DailyMet!H382</f>
        <v>2.65</v>
      </c>
      <c r="BG398" s="306">
        <f>DailyMet!I382</f>
        <v>-3.9</v>
      </c>
      <c r="BH398" s="306">
        <f t="shared" si="314"/>
        <v>2.65</v>
      </c>
      <c r="BI398" s="306">
        <f t="shared" si="315"/>
        <v>10</v>
      </c>
      <c r="BJ398" s="306">
        <f t="shared" si="316"/>
        <v>-3.6749999999999998</v>
      </c>
      <c r="BK398" s="306">
        <f t="shared" si="343"/>
        <v>0</v>
      </c>
      <c r="BL398" s="304">
        <f t="shared" si="317"/>
        <v>0</v>
      </c>
      <c r="BM398" s="304">
        <f t="shared" si="318"/>
        <v>0</v>
      </c>
      <c r="BN398" s="304">
        <f t="shared" si="335"/>
        <v>0</v>
      </c>
      <c r="BO398" s="306">
        <f t="shared" si="336"/>
        <v>0</v>
      </c>
      <c r="BP398" s="306"/>
    </row>
    <row r="399" spans="1:68">
      <c r="A399" s="299">
        <f t="shared" si="287"/>
        <v>0</v>
      </c>
      <c r="B399" s="300">
        <f t="shared" si="288"/>
        <v>38364</v>
      </c>
      <c r="C399" s="301" t="e">
        <f t="shared" si="319"/>
        <v>#N/A</v>
      </c>
      <c r="D399" s="301" t="e">
        <f t="shared" si="289"/>
        <v>#N/A</v>
      </c>
      <c r="E399" s="299">
        <f t="shared" si="290"/>
        <v>378</v>
      </c>
      <c r="F399" s="396">
        <f>Weather!M383</f>
        <v>0</v>
      </c>
      <c r="G399" s="301">
        <f>IF(Weather!C383="","",Weather!C383)</f>
        <v>0.28497490368157985</v>
      </c>
      <c r="H399" s="301">
        <f>IF(Weather!D383="","",Weather!D383)</f>
        <v>0.23636606815417283</v>
      </c>
      <c r="I399" s="502">
        <f>IF(Weather!E383="","",Weather!E383)</f>
        <v>0.23636606815417283</v>
      </c>
      <c r="J399" s="397">
        <f>IF(RnSplint!N62&lt;0,0,RnSplint!N62)</f>
        <v>30.1522029964236</v>
      </c>
      <c r="K399" s="302">
        <f t="shared" si="320"/>
        <v>0</v>
      </c>
      <c r="L399" s="303">
        <f t="shared" si="321"/>
        <v>38364</v>
      </c>
      <c r="M399" s="346" t="str">
        <f t="shared" si="342"/>
        <v/>
      </c>
      <c r="N399" s="304">
        <f t="shared" si="322"/>
        <v>0</v>
      </c>
      <c r="O399" s="304">
        <f t="shared" si="323"/>
        <v>0</v>
      </c>
      <c r="P399" s="304">
        <f t="shared" si="292"/>
        <v>0</v>
      </c>
      <c r="Q399" s="304">
        <f t="shared" si="293"/>
        <v>1.1796805363864256</v>
      </c>
      <c r="R399" s="304">
        <f t="shared" si="294"/>
        <v>1.1796805363864256</v>
      </c>
      <c r="S399" s="305" t="e">
        <f t="shared" si="324"/>
        <v>#N/A</v>
      </c>
      <c r="T399" s="304">
        <f t="shared" si="295"/>
        <v>0</v>
      </c>
      <c r="U399" s="304">
        <f t="shared" si="334"/>
        <v>0</v>
      </c>
      <c r="V399" s="305" t="e">
        <f t="shared" si="296"/>
        <v>#N/A</v>
      </c>
      <c r="W399" s="305" t="e">
        <f t="shared" si="325"/>
        <v>#N/A</v>
      </c>
      <c r="X399" s="304">
        <f t="shared" si="326"/>
        <v>1.1796805363864256</v>
      </c>
      <c r="Z399" s="304" t="str">
        <f t="shared" si="297"/>
        <v/>
      </c>
      <c r="AA399" s="305" t="e">
        <f t="shared" si="298"/>
        <v>#N/A</v>
      </c>
      <c r="AB399" s="304">
        <f t="shared" si="299"/>
        <v>0.27883645006366503</v>
      </c>
      <c r="AC399" s="304" t="str">
        <f t="shared" si="327"/>
        <v/>
      </c>
      <c r="AD399" s="306">
        <f t="shared" si="300"/>
        <v>0</v>
      </c>
      <c r="AE399" s="307">
        <f t="shared" si="328"/>
        <v>0.27883645006366503</v>
      </c>
      <c r="AF399" s="308" t="e">
        <f t="shared" si="337"/>
        <v>#N/A</v>
      </c>
      <c r="AG399" s="306">
        <f t="shared" si="329"/>
        <v>687.86093048784664</v>
      </c>
      <c r="AH399" s="306">
        <f t="shared" si="301"/>
        <v>0</v>
      </c>
      <c r="AI399" s="306">
        <f t="shared" si="330"/>
        <v>0</v>
      </c>
      <c r="AJ399" s="306">
        <f t="shared" si="331"/>
        <v>0</v>
      </c>
      <c r="AK399" s="306">
        <f t="shared" si="302"/>
        <v>0</v>
      </c>
      <c r="AL399" s="306">
        <f t="shared" si="332"/>
        <v>0</v>
      </c>
      <c r="AM399" s="306">
        <f t="shared" si="303"/>
        <v>0</v>
      </c>
      <c r="AN399" s="306"/>
      <c r="AO399" s="304" t="str">
        <f t="shared" si="304"/>
        <v/>
      </c>
      <c r="AP399" s="304" t="str">
        <f t="shared" si="333"/>
        <v/>
      </c>
      <c r="AQ399" s="305" t="e">
        <f t="shared" si="338"/>
        <v>#N/A</v>
      </c>
      <c r="AR399" s="304" t="str">
        <f t="shared" si="339"/>
        <v/>
      </c>
      <c r="AS399" s="306">
        <f t="shared" si="305"/>
        <v>0</v>
      </c>
      <c r="AT399" s="307" t="e">
        <f t="shared" si="340"/>
        <v>#N/A</v>
      </c>
      <c r="AU399" s="307" t="e">
        <f t="shared" si="341"/>
        <v>#N/A</v>
      </c>
      <c r="AV399" s="304">
        <f t="shared" si="344"/>
        <v>0.23636606815417283</v>
      </c>
      <c r="AW399" s="309">
        <f t="shared" si="307"/>
        <v>5.0658837342093879</v>
      </c>
      <c r="AX399" s="306">
        <f>IF(ISERROR(Weather!M383),#N/A,Weather!M383)</f>
        <v>0</v>
      </c>
      <c r="AY399" s="310">
        <f t="shared" si="308"/>
        <v>18</v>
      </c>
      <c r="AZ399" s="309">
        <f t="shared" si="309"/>
        <v>1.1796805363864256</v>
      </c>
      <c r="BA399" s="309">
        <f t="shared" si="310"/>
        <v>260.47269687774292</v>
      </c>
      <c r="BB399" s="311">
        <f>Irrig!H401</f>
        <v>0</v>
      </c>
      <c r="BC399" s="310">
        <f t="shared" si="311"/>
        <v>0</v>
      </c>
      <c r="BD399" s="309">
        <f t="shared" si="312"/>
        <v>0</v>
      </c>
      <c r="BE399" s="309">
        <f t="shared" si="313"/>
        <v>0</v>
      </c>
      <c r="BF399" s="306">
        <f>DailyMet!H383</f>
        <v>1.68</v>
      </c>
      <c r="BG399" s="306">
        <f>DailyMet!I383</f>
        <v>-3.4</v>
      </c>
      <c r="BH399" s="306">
        <f t="shared" si="314"/>
        <v>1.68</v>
      </c>
      <c r="BI399" s="306">
        <f t="shared" si="315"/>
        <v>10</v>
      </c>
      <c r="BJ399" s="306">
        <f t="shared" si="316"/>
        <v>-4.16</v>
      </c>
      <c r="BK399" s="306">
        <f t="shared" si="343"/>
        <v>0</v>
      </c>
      <c r="BL399" s="304">
        <f t="shared" si="317"/>
        <v>0</v>
      </c>
      <c r="BM399" s="304">
        <f t="shared" si="318"/>
        <v>0</v>
      </c>
      <c r="BN399" s="304">
        <f t="shared" si="335"/>
        <v>0</v>
      </c>
      <c r="BO399" s="306">
        <f t="shared" si="336"/>
        <v>0</v>
      </c>
      <c r="BP399" s="306"/>
    </row>
    <row r="400" spans="1:68">
      <c r="A400" s="299">
        <f t="shared" si="287"/>
        <v>0</v>
      </c>
      <c r="B400" s="300">
        <f t="shared" si="288"/>
        <v>38365</v>
      </c>
      <c r="C400" s="301" t="e">
        <f t="shared" si="319"/>
        <v>#N/A</v>
      </c>
      <c r="D400" s="301" t="e">
        <f t="shared" si="289"/>
        <v>#N/A</v>
      </c>
      <c r="E400" s="299">
        <f t="shared" si="290"/>
        <v>379</v>
      </c>
      <c r="F400" s="396">
        <f>Weather!M384</f>
        <v>0</v>
      </c>
      <c r="G400" s="301">
        <f>IF(Weather!C384="","",Weather!C384)</f>
        <v>0.28774940564589524</v>
      </c>
      <c r="H400" s="301">
        <f>IF(Weather!D384="","",Weather!D384)</f>
        <v>0.19150336319124778</v>
      </c>
      <c r="I400" s="502">
        <f>IF(Weather!E384="","",Weather!E384)</f>
        <v>0.19150336319124778</v>
      </c>
      <c r="J400" s="397">
        <f>IF(RnSplint!N63&lt;0,0,RnSplint!N63)</f>
        <v>30.602478737576778</v>
      </c>
      <c r="K400" s="302">
        <f t="shared" si="320"/>
        <v>0</v>
      </c>
      <c r="L400" s="303">
        <f t="shared" si="321"/>
        <v>38365</v>
      </c>
      <c r="M400" s="346" t="str">
        <f t="shared" si="342"/>
        <v/>
      </c>
      <c r="N400" s="304">
        <f t="shared" si="322"/>
        <v>0</v>
      </c>
      <c r="O400" s="304">
        <f t="shared" si="323"/>
        <v>0</v>
      </c>
      <c r="P400" s="304">
        <f t="shared" si="292"/>
        <v>0</v>
      </c>
      <c r="Q400" s="304">
        <f t="shared" si="293"/>
        <v>1.1573086784981783</v>
      </c>
      <c r="R400" s="304">
        <f t="shared" si="294"/>
        <v>1.1573086784981783</v>
      </c>
      <c r="S400" s="305" t="e">
        <f t="shared" si="324"/>
        <v>#N/A</v>
      </c>
      <c r="T400" s="304">
        <f t="shared" si="295"/>
        <v>0</v>
      </c>
      <c r="U400" s="304">
        <f t="shared" si="334"/>
        <v>0</v>
      </c>
      <c r="V400" s="305" t="e">
        <f t="shared" si="296"/>
        <v>#N/A</v>
      </c>
      <c r="W400" s="305" t="e">
        <f t="shared" si="325"/>
        <v>#N/A</v>
      </c>
      <c r="X400" s="304">
        <f t="shared" si="326"/>
        <v>1.1573086784981783</v>
      </c>
      <c r="Z400" s="304" t="str">
        <f t="shared" si="297"/>
        <v/>
      </c>
      <c r="AA400" s="305" t="e">
        <f t="shared" si="298"/>
        <v>#N/A</v>
      </c>
      <c r="AB400" s="304">
        <f t="shared" si="299"/>
        <v>0.22162850418281965</v>
      </c>
      <c r="AC400" s="304" t="str">
        <f t="shared" si="327"/>
        <v/>
      </c>
      <c r="AD400" s="306">
        <f t="shared" si="300"/>
        <v>0</v>
      </c>
      <c r="AE400" s="307">
        <f t="shared" si="328"/>
        <v>0.22162850418281965</v>
      </c>
      <c r="AF400" s="308" t="e">
        <f t="shared" si="337"/>
        <v>#N/A</v>
      </c>
      <c r="AG400" s="306">
        <f t="shared" si="329"/>
        <v>688.0524338510379</v>
      </c>
      <c r="AH400" s="306">
        <f t="shared" si="301"/>
        <v>0</v>
      </c>
      <c r="AI400" s="306">
        <f t="shared" si="330"/>
        <v>0</v>
      </c>
      <c r="AJ400" s="306">
        <f t="shared" si="331"/>
        <v>0</v>
      </c>
      <c r="AK400" s="306">
        <f t="shared" si="302"/>
        <v>0</v>
      </c>
      <c r="AL400" s="306">
        <f t="shared" si="332"/>
        <v>0</v>
      </c>
      <c r="AM400" s="306">
        <f t="shared" si="303"/>
        <v>0</v>
      </c>
      <c r="AN400" s="306"/>
      <c r="AO400" s="304" t="str">
        <f t="shared" si="304"/>
        <v/>
      </c>
      <c r="AP400" s="304" t="str">
        <f t="shared" si="333"/>
        <v/>
      </c>
      <c r="AQ400" s="305" t="e">
        <f t="shared" si="338"/>
        <v>#N/A</v>
      </c>
      <c r="AR400" s="304" t="str">
        <f t="shared" si="339"/>
        <v/>
      </c>
      <c r="AS400" s="306">
        <f t="shared" si="305"/>
        <v>0</v>
      </c>
      <c r="AT400" s="307" t="e">
        <f t="shared" si="340"/>
        <v>#N/A</v>
      </c>
      <c r="AU400" s="307" t="e">
        <f t="shared" si="341"/>
        <v>#N/A</v>
      </c>
      <c r="AV400" s="304">
        <f t="shared" si="344"/>
        <v>0.19150336319124778</v>
      </c>
      <c r="AW400" s="309">
        <f t="shared" si="307"/>
        <v>5.2573870974006356</v>
      </c>
      <c r="AX400" s="306">
        <f>IF(ISERROR(Weather!M384),#N/A,Weather!M384)</f>
        <v>0</v>
      </c>
      <c r="AY400" s="310">
        <f t="shared" si="308"/>
        <v>19</v>
      </c>
      <c r="AZ400" s="309">
        <f t="shared" si="309"/>
        <v>1.1573086784981783</v>
      </c>
      <c r="BA400" s="309">
        <f t="shared" si="310"/>
        <v>260.66420024093418</v>
      </c>
      <c r="BB400" s="311">
        <f>Irrig!H402</f>
        <v>0</v>
      </c>
      <c r="BC400" s="310">
        <f t="shared" si="311"/>
        <v>0</v>
      </c>
      <c r="BD400" s="309">
        <f t="shared" si="312"/>
        <v>0</v>
      </c>
      <c r="BE400" s="309">
        <f t="shared" si="313"/>
        <v>0</v>
      </c>
      <c r="BF400" s="306">
        <f>DailyMet!H384</f>
        <v>-1.81</v>
      </c>
      <c r="BG400" s="306">
        <f>DailyMet!I384</f>
        <v>-4.5999999999999996</v>
      </c>
      <c r="BH400" s="306">
        <f t="shared" si="314"/>
        <v>-1.81</v>
      </c>
      <c r="BI400" s="306">
        <f t="shared" si="315"/>
        <v>10</v>
      </c>
      <c r="BJ400" s="306">
        <f t="shared" si="316"/>
        <v>-5.9050000000000002</v>
      </c>
      <c r="BK400" s="306">
        <f t="shared" si="343"/>
        <v>0</v>
      </c>
      <c r="BL400" s="304">
        <f t="shared" si="317"/>
        <v>0</v>
      </c>
      <c r="BM400" s="304">
        <f t="shared" si="318"/>
        <v>0</v>
      </c>
      <c r="BN400" s="304">
        <f t="shared" si="335"/>
        <v>0</v>
      </c>
      <c r="BO400" s="306">
        <f t="shared" si="336"/>
        <v>0</v>
      </c>
      <c r="BP400" s="306"/>
    </row>
    <row r="401" spans="1:68">
      <c r="A401" s="299">
        <f t="shared" si="287"/>
        <v>0</v>
      </c>
      <c r="B401" s="300">
        <f t="shared" si="288"/>
        <v>38366</v>
      </c>
      <c r="C401" s="301" t="e">
        <f t="shared" si="319"/>
        <v>#N/A</v>
      </c>
      <c r="D401" s="301" t="e">
        <f t="shared" si="289"/>
        <v>#N/A</v>
      </c>
      <c r="E401" s="299">
        <f t="shared" si="290"/>
        <v>380</v>
      </c>
      <c r="F401" s="396">
        <f>Weather!M385</f>
        <v>0</v>
      </c>
      <c r="G401" s="301">
        <f>IF(Weather!C385="","",Weather!C385)</f>
        <v>0.28999999999999998</v>
      </c>
      <c r="H401" s="301">
        <f>IF(Weather!D385="","",Weather!D385)</f>
        <v>0.16723499167272959</v>
      </c>
      <c r="I401" s="502">
        <f>IF(Weather!E385="","",Weather!E385)</f>
        <v>0.16723499167272959</v>
      </c>
      <c r="J401" s="397">
        <f>IF(RnSplint!N64&lt;0,0,RnSplint!N64)</f>
        <v>31</v>
      </c>
      <c r="K401" s="302">
        <f t="shared" si="320"/>
        <v>0</v>
      </c>
      <c r="L401" s="303">
        <f t="shared" si="321"/>
        <v>38366</v>
      </c>
      <c r="M401" s="346" t="str">
        <f t="shared" si="342"/>
        <v/>
      </c>
      <c r="N401" s="304">
        <f t="shared" si="322"/>
        <v>0</v>
      </c>
      <c r="O401" s="304">
        <f t="shared" si="323"/>
        <v>0</v>
      </c>
      <c r="P401" s="304">
        <f t="shared" si="292"/>
        <v>0</v>
      </c>
      <c r="Q401" s="304">
        <f t="shared" si="293"/>
        <v>1.1387590744471312</v>
      </c>
      <c r="R401" s="304">
        <f t="shared" si="294"/>
        <v>1.1387590744471312</v>
      </c>
      <c r="S401" s="305" t="e">
        <f t="shared" si="324"/>
        <v>#N/A</v>
      </c>
      <c r="T401" s="304">
        <f t="shared" si="295"/>
        <v>0</v>
      </c>
      <c r="U401" s="304">
        <f t="shared" si="334"/>
        <v>0</v>
      </c>
      <c r="V401" s="305" t="e">
        <f t="shared" si="296"/>
        <v>#N/A</v>
      </c>
      <c r="W401" s="305" t="e">
        <f t="shared" si="325"/>
        <v>#N/A</v>
      </c>
      <c r="X401" s="304">
        <f t="shared" si="326"/>
        <v>1.1387590744471312</v>
      </c>
      <c r="Z401" s="304" t="str">
        <f t="shared" si="297"/>
        <v/>
      </c>
      <c r="AA401" s="305" t="e">
        <f t="shared" si="298"/>
        <v>#N/A</v>
      </c>
      <c r="AB401" s="304">
        <f t="shared" si="299"/>
        <v>0.19044036433241124</v>
      </c>
      <c r="AC401" s="304" t="str">
        <f t="shared" si="327"/>
        <v/>
      </c>
      <c r="AD401" s="306">
        <f t="shared" si="300"/>
        <v>0</v>
      </c>
      <c r="AE401" s="307">
        <f t="shared" si="328"/>
        <v>0.19044036433241124</v>
      </c>
      <c r="AF401" s="308" t="e">
        <f t="shared" si="337"/>
        <v>#N/A</v>
      </c>
      <c r="AG401" s="306">
        <f t="shared" si="329"/>
        <v>688.21966884271069</v>
      </c>
      <c r="AH401" s="306">
        <f t="shared" si="301"/>
        <v>0</v>
      </c>
      <c r="AI401" s="306">
        <f t="shared" si="330"/>
        <v>0</v>
      </c>
      <c r="AJ401" s="306">
        <f t="shared" si="331"/>
        <v>0</v>
      </c>
      <c r="AK401" s="306">
        <f t="shared" si="302"/>
        <v>0</v>
      </c>
      <c r="AL401" s="306">
        <f t="shared" si="332"/>
        <v>0</v>
      </c>
      <c r="AM401" s="306">
        <f t="shared" si="303"/>
        <v>0</v>
      </c>
      <c r="AN401" s="306"/>
      <c r="AO401" s="304" t="str">
        <f t="shared" si="304"/>
        <v/>
      </c>
      <c r="AP401" s="304" t="str">
        <f t="shared" si="333"/>
        <v/>
      </c>
      <c r="AQ401" s="305" t="e">
        <f t="shared" si="338"/>
        <v>#N/A</v>
      </c>
      <c r="AR401" s="304" t="str">
        <f t="shared" si="339"/>
        <v/>
      </c>
      <c r="AS401" s="306">
        <f t="shared" si="305"/>
        <v>0</v>
      </c>
      <c r="AT401" s="307" t="e">
        <f t="shared" si="340"/>
        <v>#N/A</v>
      </c>
      <c r="AU401" s="307" t="e">
        <f t="shared" si="341"/>
        <v>#N/A</v>
      </c>
      <c r="AV401" s="304">
        <f t="shared" si="344"/>
        <v>0.16723499167272959</v>
      </c>
      <c r="AW401" s="309">
        <f t="shared" si="307"/>
        <v>5.424622089073365</v>
      </c>
      <c r="AX401" s="306">
        <f>IF(ISERROR(Weather!M385),#N/A,Weather!M385)</f>
        <v>0</v>
      </c>
      <c r="AY401" s="310">
        <f t="shared" si="308"/>
        <v>20</v>
      </c>
      <c r="AZ401" s="309">
        <f t="shared" si="309"/>
        <v>1.1387590744471312</v>
      </c>
      <c r="BA401" s="309">
        <f t="shared" si="310"/>
        <v>260.83143523260691</v>
      </c>
      <c r="BB401" s="311">
        <f>Irrig!H403</f>
        <v>0</v>
      </c>
      <c r="BC401" s="310">
        <f t="shared" si="311"/>
        <v>0</v>
      </c>
      <c r="BD401" s="309">
        <f t="shared" si="312"/>
        <v>0</v>
      </c>
      <c r="BE401" s="309">
        <f t="shared" si="313"/>
        <v>0</v>
      </c>
      <c r="BF401" s="306">
        <f>DailyMet!H385</f>
        <v>-0.92</v>
      </c>
      <c r="BG401" s="306">
        <f>DailyMet!I385</f>
        <v>-2.5</v>
      </c>
      <c r="BH401" s="306">
        <f t="shared" si="314"/>
        <v>-0.92</v>
      </c>
      <c r="BI401" s="306">
        <f t="shared" si="315"/>
        <v>10</v>
      </c>
      <c r="BJ401" s="306">
        <f t="shared" si="316"/>
        <v>-5.46</v>
      </c>
      <c r="BK401" s="306">
        <f t="shared" si="343"/>
        <v>0</v>
      </c>
      <c r="BL401" s="304">
        <f t="shared" si="317"/>
        <v>0</v>
      </c>
      <c r="BM401" s="304">
        <f t="shared" si="318"/>
        <v>0</v>
      </c>
      <c r="BN401" s="304">
        <f t="shared" si="335"/>
        <v>0</v>
      </c>
      <c r="BO401" s="306">
        <f t="shared" si="336"/>
        <v>0</v>
      </c>
      <c r="BP401" s="306"/>
    </row>
    <row r="402" spans="1:68">
      <c r="A402" s="299">
        <f t="shared" si="287"/>
        <v>0</v>
      </c>
      <c r="B402" s="300">
        <f t="shared" si="288"/>
        <v>38367</v>
      </c>
      <c r="C402" s="301" t="e">
        <f t="shared" si="319"/>
        <v>#N/A</v>
      </c>
      <c r="D402" s="301" t="e">
        <f t="shared" si="289"/>
        <v>#N/A</v>
      </c>
      <c r="E402" s="299">
        <f t="shared" si="290"/>
        <v>381</v>
      </c>
      <c r="F402" s="396">
        <f>Weather!M386</f>
        <v>8</v>
      </c>
      <c r="G402" s="301">
        <f>IF(Weather!C386="","",Weather!C386)</f>
        <v>0.29169662806993923</v>
      </c>
      <c r="H402" s="301">
        <f>IF(Weather!D386="","",Weather!D386)</f>
        <v>0.18422309026983519</v>
      </c>
      <c r="I402" s="502">
        <f>IF(Weather!E386="","",Weather!E386)</f>
        <v>0.18422309026983519</v>
      </c>
      <c r="J402" s="397">
        <f>IF(RnSplint!N65&lt;0,0,RnSplint!N65)</f>
        <v>31.341230576823268</v>
      </c>
      <c r="K402" s="302">
        <f t="shared" si="320"/>
        <v>0</v>
      </c>
      <c r="L402" s="303">
        <f t="shared" si="321"/>
        <v>38367</v>
      </c>
      <c r="M402" s="346" t="str">
        <f t="shared" si="342"/>
        <v/>
      </c>
      <c r="N402" s="304">
        <f t="shared" si="322"/>
        <v>0</v>
      </c>
      <c r="O402" s="304">
        <f t="shared" si="323"/>
        <v>0</v>
      </c>
      <c r="P402" s="304">
        <f t="shared" si="292"/>
        <v>0</v>
      </c>
      <c r="Q402" s="304">
        <f t="shared" si="293"/>
        <v>1.2</v>
      </c>
      <c r="R402" s="304">
        <f t="shared" si="294"/>
        <v>1.2</v>
      </c>
      <c r="S402" s="305" t="e">
        <f t="shared" si="324"/>
        <v>#N/A</v>
      </c>
      <c r="T402" s="304">
        <f t="shared" si="295"/>
        <v>0</v>
      </c>
      <c r="U402" s="304">
        <f t="shared" si="334"/>
        <v>0</v>
      </c>
      <c r="V402" s="305" t="e">
        <f t="shared" si="296"/>
        <v>#N/A</v>
      </c>
      <c r="W402" s="305" t="e">
        <f t="shared" si="325"/>
        <v>#N/A</v>
      </c>
      <c r="X402" s="304">
        <f t="shared" si="326"/>
        <v>1.2</v>
      </c>
      <c r="Z402" s="304" t="str">
        <f t="shared" si="297"/>
        <v/>
      </c>
      <c r="AA402" s="305" t="e">
        <f t="shared" si="298"/>
        <v>#N/A</v>
      </c>
      <c r="AB402" s="304">
        <f t="shared" si="299"/>
        <v>0.22106770832380221</v>
      </c>
      <c r="AC402" s="304" t="str">
        <f t="shared" si="327"/>
        <v/>
      </c>
      <c r="AD402" s="306">
        <f t="shared" si="300"/>
        <v>0</v>
      </c>
      <c r="AE402" s="307">
        <f t="shared" si="328"/>
        <v>0.22106770832380221</v>
      </c>
      <c r="AF402" s="308" t="e">
        <f t="shared" si="337"/>
        <v>#N/A</v>
      </c>
      <c r="AG402" s="306">
        <f t="shared" si="329"/>
        <v>688.40389193298051</v>
      </c>
      <c r="AH402" s="306">
        <f t="shared" si="301"/>
        <v>0</v>
      </c>
      <c r="AI402" s="306">
        <f t="shared" si="330"/>
        <v>0</v>
      </c>
      <c r="AJ402" s="306">
        <f t="shared" si="331"/>
        <v>0</v>
      </c>
      <c r="AK402" s="306">
        <f t="shared" si="302"/>
        <v>0</v>
      </c>
      <c r="AL402" s="306">
        <f t="shared" si="332"/>
        <v>0</v>
      </c>
      <c r="AM402" s="306">
        <f t="shared" si="303"/>
        <v>0</v>
      </c>
      <c r="AN402" s="306"/>
      <c r="AO402" s="304" t="str">
        <f t="shared" si="304"/>
        <v/>
      </c>
      <c r="AP402" s="304" t="str">
        <f t="shared" si="333"/>
        <v/>
      </c>
      <c r="AQ402" s="305" t="e">
        <f t="shared" si="338"/>
        <v>#N/A</v>
      </c>
      <c r="AR402" s="304" t="str">
        <f t="shared" si="339"/>
        <v/>
      </c>
      <c r="AS402" s="306">
        <f t="shared" si="305"/>
        <v>0</v>
      </c>
      <c r="AT402" s="307" t="e">
        <f t="shared" si="340"/>
        <v>#N/A</v>
      </c>
      <c r="AU402" s="307" t="e">
        <f t="shared" si="341"/>
        <v>#N/A</v>
      </c>
      <c r="AV402" s="304">
        <f t="shared" si="344"/>
        <v>0.18422309026983519</v>
      </c>
      <c r="AW402" s="309">
        <f t="shared" si="307"/>
        <v>0.18422309026983519</v>
      </c>
      <c r="AX402" s="306">
        <f>IF(ISERROR(Weather!M386),#N/A,Weather!M386)</f>
        <v>8</v>
      </c>
      <c r="AY402" s="310">
        <f t="shared" si="308"/>
        <v>1</v>
      </c>
      <c r="AZ402" s="309">
        <f t="shared" si="309"/>
        <v>1.2</v>
      </c>
      <c r="BA402" s="309">
        <f t="shared" si="310"/>
        <v>261.01565832287673</v>
      </c>
      <c r="BB402" s="311">
        <f>Irrig!H404</f>
        <v>0</v>
      </c>
      <c r="BC402" s="310">
        <f t="shared" si="311"/>
        <v>0</v>
      </c>
      <c r="BD402" s="309">
        <f t="shared" si="312"/>
        <v>0</v>
      </c>
      <c r="BE402" s="309">
        <f t="shared" si="313"/>
        <v>0</v>
      </c>
      <c r="BF402" s="306">
        <f>DailyMet!H386</f>
        <v>-0.28000000000000003</v>
      </c>
      <c r="BG402" s="306">
        <f>DailyMet!I386</f>
        <v>-1.9</v>
      </c>
      <c r="BH402" s="306">
        <f t="shared" si="314"/>
        <v>-0.28000000000000003</v>
      </c>
      <c r="BI402" s="306">
        <f t="shared" si="315"/>
        <v>10</v>
      </c>
      <c r="BJ402" s="306">
        <f t="shared" si="316"/>
        <v>-5.14</v>
      </c>
      <c r="BK402" s="306">
        <f t="shared" si="343"/>
        <v>0</v>
      </c>
      <c r="BL402" s="304">
        <f t="shared" si="317"/>
        <v>0</v>
      </c>
      <c r="BM402" s="304">
        <f t="shared" si="318"/>
        <v>0</v>
      </c>
      <c r="BN402" s="304">
        <f t="shared" si="335"/>
        <v>0</v>
      </c>
      <c r="BO402" s="306">
        <f t="shared" si="336"/>
        <v>0</v>
      </c>
      <c r="BP402" s="306"/>
    </row>
    <row r="403" spans="1:68">
      <c r="A403" s="299">
        <f t="shared" si="287"/>
        <v>0</v>
      </c>
      <c r="B403" s="300">
        <f t="shared" si="288"/>
        <v>38368</v>
      </c>
      <c r="C403" s="301" t="e">
        <f t="shared" si="319"/>
        <v>#N/A</v>
      </c>
      <c r="D403" s="301" t="e">
        <f t="shared" si="289"/>
        <v>#N/A</v>
      </c>
      <c r="E403" s="299">
        <f t="shared" si="290"/>
        <v>382</v>
      </c>
      <c r="F403" s="396">
        <f>Weather!M387</f>
        <v>0</v>
      </c>
      <c r="G403" s="301">
        <f>IF(Weather!C387="","",Weather!C387)</f>
        <v>0.29289674661895093</v>
      </c>
      <c r="H403" s="301">
        <f>IF(Weather!D387="","",Weather!D387)</f>
        <v>0.27350161522473587</v>
      </c>
      <c r="I403" s="502">
        <f>IF(Weather!E387="","",Weather!E387)</f>
        <v>0.27350161522473587</v>
      </c>
      <c r="J403" s="397">
        <f>IF(RnSplint!N66&lt;0,0,RnSplint!N66)</f>
        <v>31.627587884681439</v>
      </c>
      <c r="K403" s="302">
        <f t="shared" si="320"/>
        <v>0</v>
      </c>
      <c r="L403" s="303">
        <f t="shared" si="321"/>
        <v>38368</v>
      </c>
      <c r="M403" s="346" t="str">
        <f t="shared" si="342"/>
        <v/>
      </c>
      <c r="N403" s="304">
        <f t="shared" si="322"/>
        <v>0</v>
      </c>
      <c r="O403" s="304">
        <f t="shared" si="323"/>
        <v>0</v>
      </c>
      <c r="P403" s="304">
        <f t="shared" si="292"/>
        <v>0</v>
      </c>
      <c r="Q403" s="304">
        <f t="shared" si="293"/>
        <v>1.2</v>
      </c>
      <c r="R403" s="304">
        <f t="shared" si="294"/>
        <v>1.2</v>
      </c>
      <c r="S403" s="305" t="e">
        <f t="shared" si="324"/>
        <v>#N/A</v>
      </c>
      <c r="T403" s="304">
        <f t="shared" si="295"/>
        <v>0</v>
      </c>
      <c r="U403" s="304">
        <f t="shared" si="334"/>
        <v>0</v>
      </c>
      <c r="V403" s="305" t="e">
        <f t="shared" si="296"/>
        <v>#N/A</v>
      </c>
      <c r="W403" s="305" t="e">
        <f t="shared" si="325"/>
        <v>#N/A</v>
      </c>
      <c r="X403" s="304">
        <f t="shared" si="326"/>
        <v>1.2</v>
      </c>
      <c r="Z403" s="304" t="str">
        <f t="shared" si="297"/>
        <v/>
      </c>
      <c r="AA403" s="305" t="e">
        <f t="shared" si="298"/>
        <v>#N/A</v>
      </c>
      <c r="AB403" s="304">
        <f t="shared" si="299"/>
        <v>0.32820193826968302</v>
      </c>
      <c r="AC403" s="304" t="str">
        <f t="shared" si="327"/>
        <v/>
      </c>
      <c r="AD403" s="306">
        <f t="shared" si="300"/>
        <v>0</v>
      </c>
      <c r="AE403" s="307">
        <f t="shared" si="328"/>
        <v>0.32820193826968302</v>
      </c>
      <c r="AF403" s="308" t="e">
        <f t="shared" si="337"/>
        <v>#N/A</v>
      </c>
      <c r="AG403" s="306">
        <f t="shared" si="329"/>
        <v>688.67739354820526</v>
      </c>
      <c r="AH403" s="306">
        <f t="shared" si="301"/>
        <v>0</v>
      </c>
      <c r="AI403" s="306">
        <f t="shared" si="330"/>
        <v>0</v>
      </c>
      <c r="AJ403" s="306">
        <f t="shared" si="331"/>
        <v>0</v>
      </c>
      <c r="AK403" s="306">
        <f t="shared" si="302"/>
        <v>0</v>
      </c>
      <c r="AL403" s="306">
        <f t="shared" si="332"/>
        <v>0</v>
      </c>
      <c r="AM403" s="306">
        <f t="shared" si="303"/>
        <v>0</v>
      </c>
      <c r="AN403" s="306"/>
      <c r="AO403" s="304" t="str">
        <f t="shared" si="304"/>
        <v/>
      </c>
      <c r="AP403" s="304" t="str">
        <f t="shared" si="333"/>
        <v/>
      </c>
      <c r="AQ403" s="305" t="e">
        <f t="shared" si="338"/>
        <v>#N/A</v>
      </c>
      <c r="AR403" s="304" t="str">
        <f t="shared" si="339"/>
        <v/>
      </c>
      <c r="AS403" s="306">
        <f t="shared" si="305"/>
        <v>0</v>
      </c>
      <c r="AT403" s="307" t="e">
        <f t="shared" si="340"/>
        <v>#N/A</v>
      </c>
      <c r="AU403" s="307" t="e">
        <f t="shared" si="341"/>
        <v>#N/A</v>
      </c>
      <c r="AV403" s="304">
        <f t="shared" si="344"/>
        <v>0.27350161522473587</v>
      </c>
      <c r="AW403" s="309">
        <f t="shared" si="307"/>
        <v>0.45772470549457106</v>
      </c>
      <c r="AX403" s="306">
        <f>IF(ISERROR(Weather!M387),#N/A,Weather!M387)</f>
        <v>0</v>
      </c>
      <c r="AY403" s="310">
        <f t="shared" si="308"/>
        <v>2</v>
      </c>
      <c r="AZ403" s="309">
        <f t="shared" si="309"/>
        <v>1.2</v>
      </c>
      <c r="BA403" s="309">
        <f t="shared" si="310"/>
        <v>261.28915993810148</v>
      </c>
      <c r="BB403" s="311">
        <f>Irrig!H405</f>
        <v>0</v>
      </c>
      <c r="BC403" s="310">
        <f t="shared" si="311"/>
        <v>0</v>
      </c>
      <c r="BD403" s="309">
        <f t="shared" si="312"/>
        <v>0</v>
      </c>
      <c r="BE403" s="309">
        <f t="shared" si="313"/>
        <v>0</v>
      </c>
      <c r="BF403" s="306">
        <f>DailyMet!H387</f>
        <v>-1.5</v>
      </c>
      <c r="BG403" s="306">
        <f>DailyMet!I387</f>
        <v>-2.8</v>
      </c>
      <c r="BH403" s="306">
        <f t="shared" si="314"/>
        <v>-1.5</v>
      </c>
      <c r="BI403" s="306">
        <f t="shared" si="315"/>
        <v>10</v>
      </c>
      <c r="BJ403" s="306">
        <f t="shared" si="316"/>
        <v>-5.75</v>
      </c>
      <c r="BK403" s="306">
        <f t="shared" si="343"/>
        <v>0</v>
      </c>
      <c r="BL403" s="304">
        <f t="shared" si="317"/>
        <v>0</v>
      </c>
      <c r="BM403" s="304">
        <f t="shared" si="318"/>
        <v>0</v>
      </c>
      <c r="BN403" s="304">
        <f t="shared" si="335"/>
        <v>0</v>
      </c>
      <c r="BO403" s="306">
        <f t="shared" si="336"/>
        <v>0</v>
      </c>
      <c r="BP403" s="306"/>
    </row>
    <row r="404" spans="1:68">
      <c r="A404" s="299">
        <f t="shared" si="287"/>
        <v>0</v>
      </c>
      <c r="B404" s="300">
        <f t="shared" si="288"/>
        <v>38369</v>
      </c>
      <c r="C404" s="301" t="e">
        <f t="shared" si="319"/>
        <v>#N/A</v>
      </c>
      <c r="D404" s="301" t="e">
        <f t="shared" si="289"/>
        <v>#N/A</v>
      </c>
      <c r="E404" s="299">
        <f t="shared" si="290"/>
        <v>383</v>
      </c>
      <c r="F404" s="396">
        <f>Weather!M388</f>
        <v>1</v>
      </c>
      <c r="G404" s="301">
        <f>IF(Weather!C388="","",Weather!C388)</f>
        <v>0.29367969126957127</v>
      </c>
      <c r="H404" s="301">
        <f>IF(Weather!D388="","",Weather!D388)</f>
        <v>0.20161528149186347</v>
      </c>
      <c r="I404" s="502">
        <f>IF(Weather!E388="","",Weather!E388)</f>
        <v>0.20161528149186347</v>
      </c>
      <c r="J404" s="397">
        <f>IF(RnSplint!N67&lt;0,0,RnSplint!N67)</f>
        <v>31.861727746085581</v>
      </c>
      <c r="K404" s="302">
        <f t="shared" si="320"/>
        <v>0</v>
      </c>
      <c r="L404" s="303">
        <f t="shared" si="321"/>
        <v>38369</v>
      </c>
      <c r="M404" s="346" t="str">
        <f t="shared" si="342"/>
        <v/>
      </c>
      <c r="N404" s="304">
        <f t="shared" si="322"/>
        <v>0</v>
      </c>
      <c r="O404" s="304">
        <f t="shared" si="323"/>
        <v>0</v>
      </c>
      <c r="P404" s="304">
        <f t="shared" si="292"/>
        <v>0</v>
      </c>
      <c r="Q404" s="304">
        <f t="shared" si="293"/>
        <v>1.2</v>
      </c>
      <c r="R404" s="304">
        <f t="shared" si="294"/>
        <v>1.2</v>
      </c>
      <c r="S404" s="305" t="e">
        <f t="shared" si="324"/>
        <v>#N/A</v>
      </c>
      <c r="T404" s="304">
        <f t="shared" si="295"/>
        <v>0</v>
      </c>
      <c r="U404" s="304">
        <f t="shared" si="334"/>
        <v>0</v>
      </c>
      <c r="V404" s="305" t="e">
        <f t="shared" si="296"/>
        <v>#N/A</v>
      </c>
      <c r="W404" s="305" t="e">
        <f t="shared" si="325"/>
        <v>#N/A</v>
      </c>
      <c r="X404" s="304">
        <f t="shared" si="326"/>
        <v>1.2</v>
      </c>
      <c r="Z404" s="304" t="str">
        <f t="shared" si="297"/>
        <v/>
      </c>
      <c r="AA404" s="305" t="e">
        <f t="shared" si="298"/>
        <v>#N/A</v>
      </c>
      <c r="AB404" s="304">
        <f t="shared" si="299"/>
        <v>0.24193833779023616</v>
      </c>
      <c r="AC404" s="304" t="str">
        <f t="shared" si="327"/>
        <v/>
      </c>
      <c r="AD404" s="306">
        <f t="shared" si="300"/>
        <v>0</v>
      </c>
      <c r="AE404" s="307">
        <f t="shared" si="328"/>
        <v>0.24193833779023616</v>
      </c>
      <c r="AF404" s="308" t="e">
        <f t="shared" si="337"/>
        <v>#N/A</v>
      </c>
      <c r="AG404" s="306">
        <f t="shared" si="329"/>
        <v>688.87900882969711</v>
      </c>
      <c r="AH404" s="306">
        <f t="shared" si="301"/>
        <v>0</v>
      </c>
      <c r="AI404" s="306">
        <f t="shared" si="330"/>
        <v>0</v>
      </c>
      <c r="AJ404" s="306">
        <f t="shared" si="331"/>
        <v>0</v>
      </c>
      <c r="AK404" s="306">
        <f t="shared" si="302"/>
        <v>0</v>
      </c>
      <c r="AL404" s="306">
        <f t="shared" si="332"/>
        <v>0</v>
      </c>
      <c r="AM404" s="306">
        <f t="shared" si="303"/>
        <v>0</v>
      </c>
      <c r="AN404" s="306"/>
      <c r="AO404" s="304" t="str">
        <f t="shared" si="304"/>
        <v/>
      </c>
      <c r="AP404" s="304" t="str">
        <f t="shared" si="333"/>
        <v/>
      </c>
      <c r="AQ404" s="305" t="e">
        <f t="shared" si="338"/>
        <v>#N/A</v>
      </c>
      <c r="AR404" s="304" t="str">
        <f t="shared" si="339"/>
        <v/>
      </c>
      <c r="AS404" s="306">
        <f t="shared" si="305"/>
        <v>0</v>
      </c>
      <c r="AT404" s="307" t="e">
        <f t="shared" si="340"/>
        <v>#N/A</v>
      </c>
      <c r="AU404" s="307" t="e">
        <f t="shared" si="341"/>
        <v>#N/A</v>
      </c>
      <c r="AV404" s="304">
        <f t="shared" si="344"/>
        <v>0.20161528149186347</v>
      </c>
      <c r="AW404" s="309">
        <f t="shared" si="307"/>
        <v>0.20161528149186347</v>
      </c>
      <c r="AX404" s="306">
        <f>IF(ISERROR(Weather!M388),#N/A,Weather!M388)</f>
        <v>1</v>
      </c>
      <c r="AY404" s="310">
        <f t="shared" si="308"/>
        <v>1</v>
      </c>
      <c r="AZ404" s="309">
        <f t="shared" si="309"/>
        <v>1.2</v>
      </c>
      <c r="BA404" s="309">
        <f t="shared" si="310"/>
        <v>261.49077521959333</v>
      </c>
      <c r="BB404" s="311">
        <f>Irrig!H406</f>
        <v>0</v>
      </c>
      <c r="BC404" s="310">
        <f t="shared" si="311"/>
        <v>0</v>
      </c>
      <c r="BD404" s="309">
        <f t="shared" si="312"/>
        <v>0</v>
      </c>
      <c r="BE404" s="309">
        <f t="shared" si="313"/>
        <v>0</v>
      </c>
      <c r="BF404" s="306">
        <f>DailyMet!H388</f>
        <v>-2.78</v>
      </c>
      <c r="BG404" s="306">
        <f>DailyMet!I388</f>
        <v>-4</v>
      </c>
      <c r="BH404" s="306">
        <f t="shared" si="314"/>
        <v>-2.78</v>
      </c>
      <c r="BI404" s="306">
        <f t="shared" si="315"/>
        <v>10</v>
      </c>
      <c r="BJ404" s="306">
        <f t="shared" si="316"/>
        <v>-6.39</v>
      </c>
      <c r="BK404" s="306">
        <f t="shared" si="343"/>
        <v>0</v>
      </c>
      <c r="BL404" s="304">
        <f t="shared" si="317"/>
        <v>0</v>
      </c>
      <c r="BM404" s="304">
        <f t="shared" si="318"/>
        <v>0</v>
      </c>
      <c r="BN404" s="304">
        <f t="shared" si="335"/>
        <v>0</v>
      </c>
      <c r="BO404" s="306">
        <f t="shared" si="336"/>
        <v>0</v>
      </c>
      <c r="BP404" s="306"/>
    </row>
    <row r="405" spans="1:68">
      <c r="A405" s="299">
        <f t="shared" si="287"/>
        <v>0</v>
      </c>
      <c r="B405" s="300">
        <f t="shared" si="288"/>
        <v>38370</v>
      </c>
      <c r="C405" s="301" t="e">
        <f t="shared" si="319"/>
        <v>#N/A</v>
      </c>
      <c r="D405" s="301" t="e">
        <f t="shared" si="289"/>
        <v>#N/A</v>
      </c>
      <c r="E405" s="299">
        <f t="shared" si="290"/>
        <v>384</v>
      </c>
      <c r="F405" s="396">
        <f>Weather!M389</f>
        <v>2</v>
      </c>
      <c r="G405" s="301">
        <f>IF(Weather!C389="","",Weather!C389)</f>
        <v>0.2941247976443363</v>
      </c>
      <c r="H405" s="301">
        <f>IF(Weather!D389="","",Weather!D389)</f>
        <v>0.2290955615783985</v>
      </c>
      <c r="I405" s="502">
        <f>IF(Weather!E389="","",Weather!E389)</f>
        <v>0.2290955615783985</v>
      </c>
      <c r="J405" s="397">
        <f>IF(RnSplint!N68&lt;0,0,RnSplint!N68)</f>
        <v>32.046305983546759</v>
      </c>
      <c r="K405" s="302">
        <f t="shared" si="320"/>
        <v>0</v>
      </c>
      <c r="L405" s="303">
        <f t="shared" si="321"/>
        <v>38370</v>
      </c>
      <c r="M405" s="346" t="str">
        <f t="shared" si="342"/>
        <v/>
      </c>
      <c r="N405" s="304">
        <f t="shared" si="322"/>
        <v>0</v>
      </c>
      <c r="O405" s="304">
        <f t="shared" si="323"/>
        <v>0</v>
      </c>
      <c r="P405" s="304">
        <f t="shared" si="292"/>
        <v>0</v>
      </c>
      <c r="Q405" s="304">
        <f t="shared" si="293"/>
        <v>1.2</v>
      </c>
      <c r="R405" s="304">
        <f t="shared" si="294"/>
        <v>1.2</v>
      </c>
      <c r="S405" s="305" t="e">
        <f t="shared" si="324"/>
        <v>#N/A</v>
      </c>
      <c r="T405" s="304">
        <f t="shared" si="295"/>
        <v>0</v>
      </c>
      <c r="U405" s="304">
        <f t="shared" si="334"/>
        <v>0</v>
      </c>
      <c r="V405" s="305" t="e">
        <f t="shared" si="296"/>
        <v>#N/A</v>
      </c>
      <c r="W405" s="305" t="e">
        <f t="shared" si="325"/>
        <v>#N/A</v>
      </c>
      <c r="X405" s="304">
        <f t="shared" si="326"/>
        <v>1.2</v>
      </c>
      <c r="Z405" s="304" t="str">
        <f t="shared" si="297"/>
        <v/>
      </c>
      <c r="AA405" s="305" t="e">
        <f t="shared" si="298"/>
        <v>#N/A</v>
      </c>
      <c r="AB405" s="304">
        <f t="shared" si="299"/>
        <v>0.2749146738940782</v>
      </c>
      <c r="AC405" s="304" t="str">
        <f t="shared" si="327"/>
        <v/>
      </c>
      <c r="AD405" s="306">
        <f t="shared" si="300"/>
        <v>0</v>
      </c>
      <c r="AE405" s="307">
        <f t="shared" si="328"/>
        <v>0.2749146738940782</v>
      </c>
      <c r="AF405" s="308" t="e">
        <f t="shared" si="337"/>
        <v>#N/A</v>
      </c>
      <c r="AG405" s="306">
        <f t="shared" si="329"/>
        <v>689.10810439127556</v>
      </c>
      <c r="AH405" s="306">
        <f t="shared" si="301"/>
        <v>0</v>
      </c>
      <c r="AI405" s="306">
        <f t="shared" si="330"/>
        <v>0</v>
      </c>
      <c r="AJ405" s="306">
        <f t="shared" si="331"/>
        <v>0</v>
      </c>
      <c r="AK405" s="306">
        <f t="shared" si="302"/>
        <v>0</v>
      </c>
      <c r="AL405" s="306">
        <f t="shared" si="332"/>
        <v>0</v>
      </c>
      <c r="AM405" s="306">
        <f t="shared" si="303"/>
        <v>0</v>
      </c>
      <c r="AN405" s="306"/>
      <c r="AO405" s="304" t="str">
        <f t="shared" si="304"/>
        <v/>
      </c>
      <c r="AP405" s="304" t="str">
        <f t="shared" si="333"/>
        <v/>
      </c>
      <c r="AQ405" s="305" t="e">
        <f t="shared" si="338"/>
        <v>#N/A</v>
      </c>
      <c r="AR405" s="304" t="str">
        <f t="shared" si="339"/>
        <v/>
      </c>
      <c r="AS405" s="306">
        <f t="shared" si="305"/>
        <v>0</v>
      </c>
      <c r="AT405" s="307" t="e">
        <f t="shared" si="340"/>
        <v>#N/A</v>
      </c>
      <c r="AU405" s="307" t="e">
        <f t="shared" si="341"/>
        <v>#N/A</v>
      </c>
      <c r="AV405" s="304">
        <f t="shared" si="344"/>
        <v>0.2290955615783985</v>
      </c>
      <c r="AW405" s="309">
        <f t="shared" si="307"/>
        <v>0.2290955615783985</v>
      </c>
      <c r="AX405" s="306">
        <f>IF(ISERROR(Weather!M389),#N/A,Weather!M389)</f>
        <v>2</v>
      </c>
      <c r="AY405" s="310">
        <f t="shared" si="308"/>
        <v>1</v>
      </c>
      <c r="AZ405" s="309">
        <f t="shared" si="309"/>
        <v>1.2</v>
      </c>
      <c r="BA405" s="309">
        <f t="shared" si="310"/>
        <v>261.71987078117172</v>
      </c>
      <c r="BB405" s="311">
        <f>Irrig!H407</f>
        <v>0</v>
      </c>
      <c r="BC405" s="310">
        <f t="shared" si="311"/>
        <v>0</v>
      </c>
      <c r="BD405" s="309">
        <f t="shared" si="312"/>
        <v>0</v>
      </c>
      <c r="BE405" s="309">
        <f t="shared" si="313"/>
        <v>0</v>
      </c>
      <c r="BF405" s="306">
        <f>DailyMet!H389</f>
        <v>-2.23</v>
      </c>
      <c r="BG405" s="306">
        <f>DailyMet!I389</f>
        <v>-3.8</v>
      </c>
      <c r="BH405" s="306">
        <f t="shared" si="314"/>
        <v>-2.23</v>
      </c>
      <c r="BI405" s="306">
        <f t="shared" si="315"/>
        <v>10</v>
      </c>
      <c r="BJ405" s="306">
        <f t="shared" si="316"/>
        <v>-6.1150000000000002</v>
      </c>
      <c r="BK405" s="306">
        <f t="shared" si="343"/>
        <v>0</v>
      </c>
      <c r="BL405" s="304">
        <f t="shared" si="317"/>
        <v>0</v>
      </c>
      <c r="BM405" s="304">
        <f t="shared" si="318"/>
        <v>0</v>
      </c>
      <c r="BN405" s="304">
        <f t="shared" si="335"/>
        <v>0</v>
      </c>
      <c r="BO405" s="306">
        <f t="shared" si="336"/>
        <v>0</v>
      </c>
      <c r="BP405" s="306"/>
    </row>
    <row r="406" spans="1:68">
      <c r="A406" s="299">
        <f t="shared" ref="A406:A469" si="345">IF(B406&gt;K$12,0,IF(B406&gt;L$11,4,IF(B406&gt;=L$10,3,IF(B406&gt;L$9,2,IF(B406&gt;=K$8,1,0)))))</f>
        <v>0</v>
      </c>
      <c r="B406" s="300">
        <f t="shared" ref="B406:B469" si="346">B405+1</f>
        <v>38371</v>
      </c>
      <c r="C406" s="301" t="e">
        <f t="shared" si="319"/>
        <v>#N/A</v>
      </c>
      <c r="D406" s="301" t="e">
        <f t="shared" ref="D406:D469" si="347">IF(ISNA(C406),#N/A,IF(Q406&lt;C406,Q406,C406))</f>
        <v>#N/A</v>
      </c>
      <c r="E406" s="299">
        <f t="shared" ref="E406:E469" si="348">B406-DATE(K$2-1,12,31)</f>
        <v>385</v>
      </c>
      <c r="F406" s="396">
        <f>Weather!M390</f>
        <v>0</v>
      </c>
      <c r="G406" s="301">
        <f>IF(Weather!C390="","",Weather!C390)</f>
        <v>0.29431140136578215</v>
      </c>
      <c r="H406" s="301">
        <f>IF(Weather!D390="","",Weather!D390)</f>
        <v>0.22358121107988677</v>
      </c>
      <c r="I406" s="502">
        <f>IF(Weather!E390="","",Weather!E390)</f>
        <v>0.22358121107988677</v>
      </c>
      <c r="J406" s="397">
        <f>IF(RnSplint!N69&lt;0,0,RnSplint!N69)</f>
        <v>32.183978419576036</v>
      </c>
      <c r="K406" s="302">
        <f t="shared" si="320"/>
        <v>0</v>
      </c>
      <c r="L406" s="303">
        <f t="shared" si="321"/>
        <v>38371</v>
      </c>
      <c r="M406" s="346" t="str">
        <f t="shared" si="342"/>
        <v/>
      </c>
      <c r="N406" s="304">
        <f t="shared" si="322"/>
        <v>0</v>
      </c>
      <c r="O406" s="304">
        <f t="shared" si="323"/>
        <v>0</v>
      </c>
      <c r="P406" s="304">
        <f t="shared" ref="P406:P469" si="349">IF($N406+$O406&gt;K$6,$K$6,$N406+$O406)</f>
        <v>0</v>
      </c>
      <c r="Q406" s="304">
        <f t="shared" ref="Q406:Q469" si="350">AZ406</f>
        <v>1.2</v>
      </c>
      <c r="R406" s="304">
        <f t="shared" ref="R406:R469" si="351">IF(Q406&gt;P406,Q406,P406)</f>
        <v>1.2</v>
      </c>
      <c r="S406" s="305" t="e">
        <f t="shared" si="324"/>
        <v>#N/A</v>
      </c>
      <c r="T406" s="304">
        <f t="shared" ref="T406:T469" si="352">BE406</f>
        <v>0</v>
      </c>
      <c r="U406" s="304">
        <f t="shared" si="334"/>
        <v>0</v>
      </c>
      <c r="V406" s="305" t="e">
        <f t="shared" ref="V406:V469" si="353">IF(N406=0,#N/A,U406)</f>
        <v>#N/A</v>
      </c>
      <c r="W406" s="305" t="e">
        <f t="shared" si="325"/>
        <v>#N/A</v>
      </c>
      <c r="X406" s="304">
        <f t="shared" si="326"/>
        <v>1.2</v>
      </c>
      <c r="Z406" s="304" t="str">
        <f t="shared" ref="Z406:Z469" si="354">IF(A406=2,X406,"")</f>
        <v/>
      </c>
      <c r="AA406" s="305" t="e">
        <f t="shared" ref="AA406:AA469" si="355">IF(N406=0,#N/A,X406)</f>
        <v>#N/A</v>
      </c>
      <c r="AB406" s="304">
        <f t="shared" ref="AB406:AB469" si="356">X406*AV406</f>
        <v>0.26829745329586413</v>
      </c>
      <c r="AC406" s="304" t="str">
        <f t="shared" si="327"/>
        <v/>
      </c>
      <c r="AD406" s="306">
        <f t="shared" ref="AD406:AD469" si="357">IF(OR(AND(L$3=4,E406&gt;366),AND(L$3=2,E406&gt;366)),0,IF(A406=0,0,AD405+AB406))</f>
        <v>0</v>
      </c>
      <c r="AE406" s="307">
        <f t="shared" si="328"/>
        <v>0.26829745329586413</v>
      </c>
      <c r="AF406" s="308" t="e">
        <f t="shared" si="337"/>
        <v>#N/A</v>
      </c>
      <c r="AG406" s="306">
        <f t="shared" si="329"/>
        <v>689.33168560235549</v>
      </c>
      <c r="AH406" s="306">
        <f t="shared" ref="AH406:AH469" si="358">IF($A406=1,I406,0)</f>
        <v>0</v>
      </c>
      <c r="AI406" s="306">
        <f t="shared" si="330"/>
        <v>0</v>
      </c>
      <c r="AJ406" s="306">
        <f t="shared" si="331"/>
        <v>0</v>
      </c>
      <c r="AK406" s="306">
        <f t="shared" ref="AK406:AK469" si="359">IF($A406=1,AE406,0)</f>
        <v>0</v>
      </c>
      <c r="AL406" s="306">
        <f t="shared" si="332"/>
        <v>0</v>
      </c>
      <c r="AM406" s="306">
        <f t="shared" ref="AM406:AM469" si="360">IF($A406=4,$AE406,0)</f>
        <v>0</v>
      </c>
      <c r="AN406" s="306"/>
      <c r="AO406" s="304" t="str">
        <f t="shared" ref="AO406:AO469" si="361">IF($A406=1,$AC$9,IF($A406=2,$AP405+$AD$9,IF($A406=3,$AC$10,IF($A406=4,$AP405+$AD$11,""))))</f>
        <v/>
      </c>
      <c r="AP406" s="304" t="str">
        <f t="shared" si="333"/>
        <v/>
      </c>
      <c r="AQ406" s="305" t="e">
        <f t="shared" si="338"/>
        <v>#N/A</v>
      </c>
      <c r="AR406" s="304" t="str">
        <f t="shared" si="339"/>
        <v/>
      </c>
      <c r="AS406" s="306">
        <f t="shared" ref="AS406:AS469" si="362">IF(OR(AND(L$3=4,E406&gt;366),AND(L$3=2,E406&gt;366)),0,IF(AR406="",0,AS405+AR406))</f>
        <v>0</v>
      </c>
      <c r="AT406" s="307" t="e">
        <f t="shared" si="340"/>
        <v>#N/A</v>
      </c>
      <c r="AU406" s="307" t="e">
        <f t="shared" si="341"/>
        <v>#N/A</v>
      </c>
      <c r="AV406" s="304">
        <f t="shared" si="344"/>
        <v>0.22358121107988677</v>
      </c>
      <c r="AW406" s="309">
        <f t="shared" ref="AW406:AW469" si="363">IF(AV406="",0,IF(AY406=1,AV406,AW405+AV406))</f>
        <v>0.45267677265828526</v>
      </c>
      <c r="AX406" s="306">
        <f>IF(ISERROR(Weather!M390),#N/A,Weather!M390)</f>
        <v>0</v>
      </c>
      <c r="AY406" s="310">
        <f t="shared" ref="AY406:AY469" si="364">IF(AV406="",0,IF(AX406&gt;2*AV406,1,AY405+1))</f>
        <v>2</v>
      </c>
      <c r="AZ406" s="309">
        <f t="shared" ref="AZ406:AZ469" si="365">IF(2.725*$AW406^-0.516&gt;1.2,1.2,2.725*$AW406^-0.516)</f>
        <v>1.2</v>
      </c>
      <c r="BA406" s="309">
        <f t="shared" ref="BA406:BA469" si="366">IF($AV406="",0,IF(BC406=1,$AV406,BA405+$AV406))</f>
        <v>261.9434519922516</v>
      </c>
      <c r="BB406" s="311">
        <f>Irrig!H408</f>
        <v>0</v>
      </c>
      <c r="BC406" s="310">
        <f t="shared" ref="BC406:BC469" si="367">IF(A406=0,0,IF(BB406="",0,IF(BB406&gt;2*AV406,1,IF(A405=0,2,BC405+1))))</f>
        <v>0</v>
      </c>
      <c r="BD406" s="309">
        <f t="shared" ref="BD406:BD469" si="368">IF($A406=0,0,IF(2.725*$BA406^-0.516&gt;1.2,IF($A405=0,$Q406,1.2),IF($A405=0,$Q406,2.725*$BA406^-0.516)))</f>
        <v>0</v>
      </c>
      <c r="BE406" s="309">
        <f t="shared" ref="BE406:BE469" si="369">(BE$18/100)*BD406</f>
        <v>0</v>
      </c>
      <c r="BF406" s="306">
        <f>DailyMet!H390</f>
        <v>-1.95</v>
      </c>
      <c r="BG406" s="306">
        <f>DailyMet!I390</f>
        <v>-4.8</v>
      </c>
      <c r="BH406" s="306">
        <f t="shared" ref="BH406:BH469" si="370">IF(BF406&gt;$V$3,$V$3,BF406)</f>
        <v>-1.95</v>
      </c>
      <c r="BI406" s="306">
        <f t="shared" ref="BI406:BI469" si="371">IF(BG406&lt;$V$4,$V$4,BG406)</f>
        <v>10</v>
      </c>
      <c r="BJ406" s="306">
        <f t="shared" ref="BJ406:BJ469" si="372">(BH406+BI406)/2-V$4</f>
        <v>-5.9749999999999996</v>
      </c>
      <c r="BK406" s="306">
        <f t="shared" si="343"/>
        <v>0</v>
      </c>
      <c r="BL406" s="304">
        <f t="shared" ref="BL406:BL469" si="373">IF($BG406&gt;$V$3,($BG406+$BF406)/2-$V$3,IF($BF406&gt;$V$3,($BF406-$V$3)^2/(2*($BF406-$BG406)),0))</f>
        <v>0</v>
      </c>
      <c r="BM406" s="304">
        <f t="shared" ref="BM406:BM469" si="374">IF($BG406&gt;$V$4,($BG406+$BF406)/2-$V$4,IF($BF406&gt;$V$4,($BF406-$V$4)^2/(2*($BF406-$BG406)),0))</f>
        <v>0</v>
      </c>
      <c r="BN406" s="304">
        <f t="shared" si="335"/>
        <v>0</v>
      </c>
      <c r="BO406" s="306">
        <f t="shared" si="336"/>
        <v>0</v>
      </c>
      <c r="BP406" s="306"/>
    </row>
    <row r="407" spans="1:68">
      <c r="A407" s="299">
        <f t="shared" si="345"/>
        <v>0</v>
      </c>
      <c r="B407" s="300">
        <f t="shared" si="346"/>
        <v>38372</v>
      </c>
      <c r="C407" s="301" t="e">
        <f t="shared" ref="C407:C470" si="375">VLOOKUP(B407,$L$8:$R$12,7,FALSE)</f>
        <v>#N/A</v>
      </c>
      <c r="D407" s="301" t="e">
        <f t="shared" si="347"/>
        <v>#N/A</v>
      </c>
      <c r="E407" s="299">
        <f t="shared" si="348"/>
        <v>386</v>
      </c>
      <c r="F407" s="396">
        <f>Weather!M391</f>
        <v>5</v>
      </c>
      <c r="G407" s="301">
        <f>IF(Weather!C391="","",Weather!C391)</f>
        <v>0.29431883805644499</v>
      </c>
      <c r="H407" s="301">
        <f>IF(Weather!D391="","",Weather!D391)</f>
        <v>0.26804063791324378</v>
      </c>
      <c r="I407" s="502">
        <f>IF(Weather!E391="","",Weather!E391)</f>
        <v>0.26804063791324378</v>
      </c>
      <c r="J407" s="397">
        <f>IF(RnSplint!N70&lt;0,0,RnSplint!N70)</f>
        <v>32.277400876684489</v>
      </c>
      <c r="K407" s="302">
        <f t="shared" ref="K407:K470" si="376">IF(AND($B407&gt;=L$8,$B407&lt;=L$9),Z$9,IF(AND($B407&gt;L$9,$B407&lt;=L$10),N406+AA$9,IF(AND($B407&gt;L$10,$B407&lt;=L$11),N406+AA$10,IF(AND($B407&gt;L$11,$B407&lt;=L$12),N406+AA$11,0))))</f>
        <v>0</v>
      </c>
      <c r="L407" s="303">
        <f t="shared" ref="L407:L470" si="377">B407</f>
        <v>38372</v>
      </c>
      <c r="M407" s="346" t="str">
        <f t="shared" si="342"/>
        <v/>
      </c>
      <c r="N407" s="304">
        <f t="shared" ref="N407:N470" si="378">K407</f>
        <v>0</v>
      </c>
      <c r="O407" s="304">
        <f t="shared" ref="O407:O470" si="379">IF($L$3&lt;3,0,IF($R$3=E407,R$2,IF($R$4=E406,0,IF($R$5=E407,R$2,IF($R$6=E406,0,O406)))))</f>
        <v>0</v>
      </c>
      <c r="P407" s="304">
        <f t="shared" si="349"/>
        <v>0</v>
      </c>
      <c r="Q407" s="304">
        <f t="shared" si="350"/>
        <v>1.2</v>
      </c>
      <c r="R407" s="304">
        <f t="shared" si="351"/>
        <v>1.2</v>
      </c>
      <c r="S407" s="305" t="e">
        <f t="shared" ref="S407:S470" si="380">IF(N407=0,#N/A,R407)</f>
        <v>#N/A</v>
      </c>
      <c r="T407" s="304">
        <f t="shared" si="352"/>
        <v>0</v>
      </c>
      <c r="U407" s="304">
        <f t="shared" si="334"/>
        <v>0</v>
      </c>
      <c r="V407" s="305" t="e">
        <f t="shared" si="353"/>
        <v>#N/A</v>
      </c>
      <c r="W407" s="305" t="e">
        <f t="shared" ref="W407:W470" si="381">IF(OR(P407=0,P407=""),#N/A,P407)</f>
        <v>#N/A</v>
      </c>
      <c r="X407" s="304">
        <f t="shared" ref="X407:X470" si="382">IF(R407&gt;U407,R407,U407)</f>
        <v>1.2</v>
      </c>
      <c r="Z407" s="304" t="str">
        <f t="shared" si="354"/>
        <v/>
      </c>
      <c r="AA407" s="305" t="e">
        <f t="shared" si="355"/>
        <v>#N/A</v>
      </c>
      <c r="AB407" s="304">
        <f t="shared" si="356"/>
        <v>0.32164876549589255</v>
      </c>
      <c r="AC407" s="304" t="str">
        <f t="shared" ref="AC407:AC470" si="383">IF($A407=4,$X407,"")</f>
        <v/>
      </c>
      <c r="AD407" s="306">
        <f t="shared" si="357"/>
        <v>0</v>
      </c>
      <c r="AE407" s="307">
        <f t="shared" ref="AE407:AE470" si="384">IF(AB407="",#N/A,AB407)</f>
        <v>0.32164876549589255</v>
      </c>
      <c r="AF407" s="308" t="e">
        <f t="shared" si="337"/>
        <v>#N/A</v>
      </c>
      <c r="AG407" s="306">
        <f t="shared" ref="AG407:AG470" si="385">AG406+$I407</f>
        <v>689.59972624026875</v>
      </c>
      <c r="AH407" s="306">
        <f t="shared" si="358"/>
        <v>0</v>
      </c>
      <c r="AI407" s="306">
        <f t="shared" ref="AI407:AI470" si="386">IF($A407=3,I407,0)</f>
        <v>0</v>
      </c>
      <c r="AJ407" s="306">
        <f t="shared" ref="AJ407:AJ470" si="387">IF($A407=4,$I407,0)</f>
        <v>0</v>
      </c>
      <c r="AK407" s="306">
        <f t="shared" si="359"/>
        <v>0</v>
      </c>
      <c r="AL407" s="306">
        <f t="shared" ref="AL407:AL470" si="388">IF($A407=3,AE407,0)</f>
        <v>0</v>
      </c>
      <c r="AM407" s="306">
        <f t="shared" si="360"/>
        <v>0</v>
      </c>
      <c r="AN407" s="306"/>
      <c r="AO407" s="304" t="str">
        <f t="shared" si="361"/>
        <v/>
      </c>
      <c r="AP407" s="304" t="str">
        <f t="shared" ref="AP407:AP470" si="389">IF(OR($L$3=2,$L$3=4),AN407,AO407)</f>
        <v/>
      </c>
      <c r="AQ407" s="305" t="e">
        <f t="shared" si="338"/>
        <v>#N/A</v>
      </c>
      <c r="AR407" s="304" t="str">
        <f t="shared" si="339"/>
        <v/>
      </c>
      <c r="AS407" s="306">
        <f t="shared" si="362"/>
        <v>0</v>
      </c>
      <c r="AT407" s="307" t="e">
        <f t="shared" si="340"/>
        <v>#N/A</v>
      </c>
      <c r="AU407" s="307" t="e">
        <f t="shared" si="341"/>
        <v>#N/A</v>
      </c>
      <c r="AV407" s="304">
        <f t="shared" si="344"/>
        <v>0.26804063791324378</v>
      </c>
      <c r="AW407" s="309">
        <f t="shared" si="363"/>
        <v>0.26804063791324378</v>
      </c>
      <c r="AX407" s="306">
        <f>IF(ISERROR(Weather!M391),#N/A,Weather!M391)</f>
        <v>5</v>
      </c>
      <c r="AY407" s="310">
        <f t="shared" si="364"/>
        <v>1</v>
      </c>
      <c r="AZ407" s="309">
        <f t="shared" si="365"/>
        <v>1.2</v>
      </c>
      <c r="BA407" s="309">
        <f t="shared" si="366"/>
        <v>262.21149263016486</v>
      </c>
      <c r="BB407" s="311">
        <f>Irrig!H409</f>
        <v>0</v>
      </c>
      <c r="BC407" s="310">
        <f t="shared" si="367"/>
        <v>0</v>
      </c>
      <c r="BD407" s="309">
        <f t="shared" si="368"/>
        <v>0</v>
      </c>
      <c r="BE407" s="309">
        <f t="shared" si="369"/>
        <v>0</v>
      </c>
      <c r="BF407" s="306">
        <f>DailyMet!H391</f>
        <v>-0.25</v>
      </c>
      <c r="BG407" s="306">
        <f>DailyMet!I391</f>
        <v>-3.1</v>
      </c>
      <c r="BH407" s="306">
        <f t="shared" si="370"/>
        <v>-0.25</v>
      </c>
      <c r="BI407" s="306">
        <f t="shared" si="371"/>
        <v>10</v>
      </c>
      <c r="BJ407" s="306">
        <f t="shared" si="372"/>
        <v>-5.125</v>
      </c>
      <c r="BK407" s="306">
        <f t="shared" si="343"/>
        <v>0</v>
      </c>
      <c r="BL407" s="304">
        <f t="shared" si="373"/>
        <v>0</v>
      </c>
      <c r="BM407" s="304">
        <f t="shared" si="374"/>
        <v>0</v>
      </c>
      <c r="BN407" s="304">
        <f t="shared" si="335"/>
        <v>0</v>
      </c>
      <c r="BO407" s="306">
        <f t="shared" si="336"/>
        <v>0</v>
      </c>
      <c r="BP407" s="306"/>
    </row>
    <row r="408" spans="1:68">
      <c r="A408" s="299">
        <f t="shared" si="345"/>
        <v>0</v>
      </c>
      <c r="B408" s="300">
        <f t="shared" si="346"/>
        <v>38373</v>
      </c>
      <c r="C408" s="301" t="e">
        <f t="shared" si="375"/>
        <v>#N/A</v>
      </c>
      <c r="D408" s="301" t="e">
        <f t="shared" si="347"/>
        <v>#N/A</v>
      </c>
      <c r="E408" s="299">
        <f t="shared" si="348"/>
        <v>387</v>
      </c>
      <c r="F408" s="396">
        <f>Weather!M392</f>
        <v>0</v>
      </c>
      <c r="G408" s="301">
        <f>IF(Weather!C392="","",Weather!C392)</f>
        <v>0.294226443338861</v>
      </c>
      <c r="H408" s="301">
        <f>IF(Weather!D392="","",Weather!D392)</f>
        <v>0.28864348777884957</v>
      </c>
      <c r="I408" s="502">
        <f>IF(Weather!E392="","",Weather!E392)</f>
        <v>0.28864348777884957</v>
      </c>
      <c r="J408" s="397">
        <f>IF(RnSplint!N71&lt;0,0,RnSplint!N71)</f>
        <v>32.329229177383183</v>
      </c>
      <c r="K408" s="302">
        <f t="shared" si="376"/>
        <v>0</v>
      </c>
      <c r="L408" s="303">
        <f t="shared" si="377"/>
        <v>38373</v>
      </c>
      <c r="M408" s="346" t="str">
        <f t="shared" si="342"/>
        <v/>
      </c>
      <c r="N408" s="304">
        <f t="shared" si="378"/>
        <v>0</v>
      </c>
      <c r="O408" s="304">
        <f t="shared" si="379"/>
        <v>0</v>
      </c>
      <c r="P408" s="304">
        <f t="shared" si="349"/>
        <v>0</v>
      </c>
      <c r="Q408" s="304">
        <f t="shared" si="350"/>
        <v>1.2</v>
      </c>
      <c r="R408" s="304">
        <f t="shared" si="351"/>
        <v>1.2</v>
      </c>
      <c r="S408" s="305" t="e">
        <f t="shared" si="380"/>
        <v>#N/A</v>
      </c>
      <c r="T408" s="304">
        <f t="shared" si="352"/>
        <v>0</v>
      </c>
      <c r="U408" s="304">
        <f t="shared" ref="U408:U471" si="390">IF(T408&gt;P408,T408,P408)</f>
        <v>0</v>
      </c>
      <c r="V408" s="305" t="e">
        <f t="shared" si="353"/>
        <v>#N/A</v>
      </c>
      <c r="W408" s="305" t="e">
        <f t="shared" si="381"/>
        <v>#N/A</v>
      </c>
      <c r="X408" s="304">
        <f t="shared" si="382"/>
        <v>1.2</v>
      </c>
      <c r="Z408" s="304" t="str">
        <f t="shared" si="354"/>
        <v/>
      </c>
      <c r="AA408" s="305" t="e">
        <f t="shared" si="355"/>
        <v>#N/A</v>
      </c>
      <c r="AB408" s="304">
        <f t="shared" si="356"/>
        <v>0.3463721853346195</v>
      </c>
      <c r="AC408" s="304" t="str">
        <f t="shared" si="383"/>
        <v/>
      </c>
      <c r="AD408" s="306">
        <f t="shared" si="357"/>
        <v>0</v>
      </c>
      <c r="AE408" s="307">
        <f t="shared" si="384"/>
        <v>0.3463721853346195</v>
      </c>
      <c r="AF408" s="308" t="e">
        <f t="shared" si="337"/>
        <v>#N/A</v>
      </c>
      <c r="AG408" s="306">
        <f t="shared" si="385"/>
        <v>689.88836972804756</v>
      </c>
      <c r="AH408" s="306">
        <f t="shared" si="358"/>
        <v>0</v>
      </c>
      <c r="AI408" s="306">
        <f t="shared" si="386"/>
        <v>0</v>
      </c>
      <c r="AJ408" s="306">
        <f t="shared" si="387"/>
        <v>0</v>
      </c>
      <c r="AK408" s="306">
        <f t="shared" si="359"/>
        <v>0</v>
      </c>
      <c r="AL408" s="306">
        <f t="shared" si="388"/>
        <v>0</v>
      </c>
      <c r="AM408" s="306">
        <f t="shared" si="360"/>
        <v>0</v>
      </c>
      <c r="AN408" s="306"/>
      <c r="AO408" s="304" t="str">
        <f t="shared" si="361"/>
        <v/>
      </c>
      <c r="AP408" s="304" t="str">
        <f t="shared" si="389"/>
        <v/>
      </c>
      <c r="AQ408" s="305" t="e">
        <f t="shared" si="338"/>
        <v>#N/A</v>
      </c>
      <c r="AR408" s="304" t="str">
        <f t="shared" si="339"/>
        <v/>
      </c>
      <c r="AS408" s="306">
        <f t="shared" si="362"/>
        <v>0</v>
      </c>
      <c r="AT408" s="307" t="e">
        <f t="shared" si="340"/>
        <v>#N/A</v>
      </c>
      <c r="AU408" s="307" t="e">
        <f t="shared" si="341"/>
        <v>#N/A</v>
      </c>
      <c r="AV408" s="304">
        <f t="shared" si="344"/>
        <v>0.28864348777884957</v>
      </c>
      <c r="AW408" s="309">
        <f t="shared" si="363"/>
        <v>0.55668412569209336</v>
      </c>
      <c r="AX408" s="306">
        <f>IF(ISERROR(Weather!M392),#N/A,Weather!M392)</f>
        <v>0</v>
      </c>
      <c r="AY408" s="310">
        <f t="shared" si="364"/>
        <v>2</v>
      </c>
      <c r="AZ408" s="309">
        <f t="shared" si="365"/>
        <v>1.2</v>
      </c>
      <c r="BA408" s="309">
        <f t="shared" si="366"/>
        <v>262.50013611794373</v>
      </c>
      <c r="BB408" s="311">
        <f>Irrig!H410</f>
        <v>0</v>
      </c>
      <c r="BC408" s="310">
        <f t="shared" si="367"/>
        <v>0</v>
      </c>
      <c r="BD408" s="309">
        <f t="shared" si="368"/>
        <v>0</v>
      </c>
      <c r="BE408" s="309">
        <f t="shared" si="369"/>
        <v>0</v>
      </c>
      <c r="BF408" s="306">
        <f>DailyMet!H392</f>
        <v>-0.85</v>
      </c>
      <c r="BG408" s="306">
        <f>DailyMet!I392</f>
        <v>-3.4</v>
      </c>
      <c r="BH408" s="306">
        <f t="shared" si="370"/>
        <v>-0.85</v>
      </c>
      <c r="BI408" s="306">
        <f t="shared" si="371"/>
        <v>10</v>
      </c>
      <c r="BJ408" s="306">
        <f t="shared" si="372"/>
        <v>-5.4249999999999998</v>
      </c>
      <c r="BK408" s="306">
        <f t="shared" si="343"/>
        <v>0</v>
      </c>
      <c r="BL408" s="304">
        <f t="shared" si="373"/>
        <v>0</v>
      </c>
      <c r="BM408" s="304">
        <f t="shared" si="374"/>
        <v>0</v>
      </c>
      <c r="BN408" s="304">
        <f t="shared" ref="BN408:BN471" si="391">BM408-BL408</f>
        <v>0</v>
      </c>
      <c r="BO408" s="306">
        <f t="shared" ref="BO408:BO471" si="392">IF(AP408="",0,BO407+BN408)</f>
        <v>0</v>
      </c>
      <c r="BP408" s="306"/>
    </row>
    <row r="409" spans="1:68">
      <c r="A409" s="299">
        <f t="shared" si="345"/>
        <v>0</v>
      </c>
      <c r="B409" s="300">
        <f t="shared" si="346"/>
        <v>38374</v>
      </c>
      <c r="C409" s="301" t="e">
        <f t="shared" si="375"/>
        <v>#N/A</v>
      </c>
      <c r="D409" s="301" t="e">
        <f t="shared" si="347"/>
        <v>#N/A</v>
      </c>
      <c r="E409" s="299">
        <f t="shared" si="348"/>
        <v>388</v>
      </c>
      <c r="F409" s="396">
        <f>Weather!M393</f>
        <v>0</v>
      </c>
      <c r="G409" s="301">
        <f>IF(Weather!C393="","",Weather!C393)</f>
        <v>0.29411355283556617</v>
      </c>
      <c r="H409" s="301">
        <f>IF(Weather!D393="","",Weather!D393)</f>
        <v>0.24714464880057616</v>
      </c>
      <c r="I409" s="502">
        <f>IF(Weather!E393="","",Weather!E393)</f>
        <v>0.24714464880057616</v>
      </c>
      <c r="J409" s="397">
        <f>IF(RnSplint!N72&lt;0,0,RnSplint!N72)</f>
        <v>32.342119144183187</v>
      </c>
      <c r="K409" s="302">
        <f t="shared" si="376"/>
        <v>0</v>
      </c>
      <c r="L409" s="303">
        <f t="shared" si="377"/>
        <v>38374</v>
      </c>
      <c r="M409" s="346" t="str">
        <f t="shared" si="342"/>
        <v/>
      </c>
      <c r="N409" s="304">
        <f t="shared" si="378"/>
        <v>0</v>
      </c>
      <c r="O409" s="304">
        <f t="shared" si="379"/>
        <v>0</v>
      </c>
      <c r="P409" s="304">
        <f t="shared" si="349"/>
        <v>0</v>
      </c>
      <c r="Q409" s="304">
        <f t="shared" si="350"/>
        <v>1.2</v>
      </c>
      <c r="R409" s="304">
        <f t="shared" si="351"/>
        <v>1.2</v>
      </c>
      <c r="S409" s="305" t="e">
        <f t="shared" si="380"/>
        <v>#N/A</v>
      </c>
      <c r="T409" s="304">
        <f t="shared" si="352"/>
        <v>0</v>
      </c>
      <c r="U409" s="304">
        <f t="shared" si="390"/>
        <v>0</v>
      </c>
      <c r="V409" s="305" t="e">
        <f t="shared" si="353"/>
        <v>#N/A</v>
      </c>
      <c r="W409" s="305" t="e">
        <f t="shared" si="381"/>
        <v>#N/A</v>
      </c>
      <c r="X409" s="304">
        <f t="shared" si="382"/>
        <v>1.2</v>
      </c>
      <c r="Z409" s="304" t="str">
        <f t="shared" si="354"/>
        <v/>
      </c>
      <c r="AA409" s="305" t="e">
        <f t="shared" si="355"/>
        <v>#N/A</v>
      </c>
      <c r="AB409" s="304">
        <f t="shared" si="356"/>
        <v>0.29657357856069139</v>
      </c>
      <c r="AC409" s="304" t="str">
        <f t="shared" si="383"/>
        <v/>
      </c>
      <c r="AD409" s="306">
        <f t="shared" si="357"/>
        <v>0</v>
      </c>
      <c r="AE409" s="307">
        <f t="shared" si="384"/>
        <v>0.29657357856069139</v>
      </c>
      <c r="AF409" s="308" t="e">
        <f t="shared" si="337"/>
        <v>#N/A</v>
      </c>
      <c r="AG409" s="306">
        <f t="shared" si="385"/>
        <v>690.13551437684816</v>
      </c>
      <c r="AH409" s="306">
        <f t="shared" si="358"/>
        <v>0</v>
      </c>
      <c r="AI409" s="306">
        <f t="shared" si="386"/>
        <v>0</v>
      </c>
      <c r="AJ409" s="306">
        <f t="shared" si="387"/>
        <v>0</v>
      </c>
      <c r="AK409" s="306">
        <f t="shared" si="359"/>
        <v>0</v>
      </c>
      <c r="AL409" s="306">
        <f t="shared" si="388"/>
        <v>0</v>
      </c>
      <c r="AM409" s="306">
        <f t="shared" si="360"/>
        <v>0</v>
      </c>
      <c r="AN409" s="306"/>
      <c r="AO409" s="304" t="str">
        <f t="shared" si="361"/>
        <v/>
      </c>
      <c r="AP409" s="304" t="str">
        <f t="shared" si="389"/>
        <v/>
      </c>
      <c r="AQ409" s="305" t="e">
        <f t="shared" si="338"/>
        <v>#N/A</v>
      </c>
      <c r="AR409" s="304" t="str">
        <f t="shared" si="339"/>
        <v/>
      </c>
      <c r="AS409" s="306">
        <f t="shared" si="362"/>
        <v>0</v>
      </c>
      <c r="AT409" s="307" t="e">
        <f t="shared" si="340"/>
        <v>#N/A</v>
      </c>
      <c r="AU409" s="307" t="e">
        <f t="shared" si="341"/>
        <v>#N/A</v>
      </c>
      <c r="AV409" s="304">
        <f t="shared" si="344"/>
        <v>0.24714464880057616</v>
      </c>
      <c r="AW409" s="309">
        <f t="shared" si="363"/>
        <v>0.80382877449266954</v>
      </c>
      <c r="AX409" s="306">
        <f>IF(ISERROR(Weather!M393),#N/A,Weather!M393)</f>
        <v>0</v>
      </c>
      <c r="AY409" s="310">
        <f t="shared" si="364"/>
        <v>3</v>
      </c>
      <c r="AZ409" s="309">
        <f t="shared" si="365"/>
        <v>1.2</v>
      </c>
      <c r="BA409" s="309">
        <f t="shared" si="366"/>
        <v>262.74728076674432</v>
      </c>
      <c r="BB409" s="311">
        <f>Irrig!H411</f>
        <v>0</v>
      </c>
      <c r="BC409" s="310">
        <f t="shared" si="367"/>
        <v>0</v>
      </c>
      <c r="BD409" s="309">
        <f t="shared" si="368"/>
        <v>0</v>
      </c>
      <c r="BE409" s="309">
        <f t="shared" si="369"/>
        <v>0</v>
      </c>
      <c r="BF409" s="306">
        <f>DailyMet!H393</f>
        <v>1.3</v>
      </c>
      <c r="BG409" s="306">
        <f>DailyMet!I393</f>
        <v>-4.3</v>
      </c>
      <c r="BH409" s="306">
        <f t="shared" si="370"/>
        <v>1.3</v>
      </c>
      <c r="BI409" s="306">
        <f t="shared" si="371"/>
        <v>10</v>
      </c>
      <c r="BJ409" s="306">
        <f t="shared" si="372"/>
        <v>-4.3499999999999996</v>
      </c>
      <c r="BK409" s="306">
        <f t="shared" si="343"/>
        <v>0</v>
      </c>
      <c r="BL409" s="304">
        <f t="shared" si="373"/>
        <v>0</v>
      </c>
      <c r="BM409" s="304">
        <f t="shared" si="374"/>
        <v>0</v>
      </c>
      <c r="BN409" s="304">
        <f t="shared" si="391"/>
        <v>0</v>
      </c>
      <c r="BO409" s="306">
        <f t="shared" si="392"/>
        <v>0</v>
      </c>
      <c r="BP409" s="306"/>
    </row>
    <row r="410" spans="1:68">
      <c r="A410" s="299">
        <f t="shared" si="345"/>
        <v>0</v>
      </c>
      <c r="B410" s="300">
        <f t="shared" si="346"/>
        <v>38375</v>
      </c>
      <c r="C410" s="301" t="e">
        <f t="shared" si="375"/>
        <v>#N/A</v>
      </c>
      <c r="D410" s="301" t="e">
        <f t="shared" si="347"/>
        <v>#N/A</v>
      </c>
      <c r="E410" s="299">
        <f t="shared" si="348"/>
        <v>389</v>
      </c>
      <c r="F410" s="396">
        <f>Weather!M394</f>
        <v>0</v>
      </c>
      <c r="G410" s="301">
        <f>IF(Weather!C394="","",Weather!C394)</f>
        <v>0.29405950216909676</v>
      </c>
      <c r="H410" s="301">
        <f>IF(Weather!D394="","",Weather!D394)</f>
        <v>0.26637772951772098</v>
      </c>
      <c r="I410" s="502">
        <f>IF(Weather!E394="","",Weather!E394)</f>
        <v>0.26637772951772098</v>
      </c>
      <c r="J410" s="397">
        <f>IF(RnSplint!N73&lt;0,0,RnSplint!N73)</f>
        <v>32.318726599595564</v>
      </c>
      <c r="K410" s="302">
        <f t="shared" si="376"/>
        <v>0</v>
      </c>
      <c r="L410" s="303">
        <f t="shared" si="377"/>
        <v>38375</v>
      </c>
      <c r="M410" s="346" t="str">
        <f t="shared" si="342"/>
        <v/>
      </c>
      <c r="N410" s="304">
        <f t="shared" si="378"/>
        <v>0</v>
      </c>
      <c r="O410" s="304">
        <f t="shared" si="379"/>
        <v>0</v>
      </c>
      <c r="P410" s="304">
        <f t="shared" si="349"/>
        <v>0</v>
      </c>
      <c r="Q410" s="304">
        <f t="shared" si="350"/>
        <v>1.2</v>
      </c>
      <c r="R410" s="304">
        <f t="shared" si="351"/>
        <v>1.2</v>
      </c>
      <c r="S410" s="305" t="e">
        <f t="shared" si="380"/>
        <v>#N/A</v>
      </c>
      <c r="T410" s="304">
        <f t="shared" si="352"/>
        <v>0</v>
      </c>
      <c r="U410" s="304">
        <f t="shared" si="390"/>
        <v>0</v>
      </c>
      <c r="V410" s="305" t="e">
        <f t="shared" si="353"/>
        <v>#N/A</v>
      </c>
      <c r="W410" s="305" t="e">
        <f t="shared" si="381"/>
        <v>#N/A</v>
      </c>
      <c r="X410" s="304">
        <f t="shared" si="382"/>
        <v>1.2</v>
      </c>
      <c r="Z410" s="304" t="str">
        <f t="shared" si="354"/>
        <v/>
      </c>
      <c r="AA410" s="305" t="e">
        <f t="shared" si="355"/>
        <v>#N/A</v>
      </c>
      <c r="AB410" s="304">
        <f t="shared" si="356"/>
        <v>0.31965327542126515</v>
      </c>
      <c r="AC410" s="304" t="str">
        <f t="shared" si="383"/>
        <v/>
      </c>
      <c r="AD410" s="306">
        <f t="shared" si="357"/>
        <v>0</v>
      </c>
      <c r="AE410" s="307">
        <f t="shared" si="384"/>
        <v>0.31965327542126515</v>
      </c>
      <c r="AF410" s="308" t="e">
        <f t="shared" si="337"/>
        <v>#N/A</v>
      </c>
      <c r="AG410" s="306">
        <f t="shared" si="385"/>
        <v>690.40189210636584</v>
      </c>
      <c r="AH410" s="306">
        <f t="shared" si="358"/>
        <v>0</v>
      </c>
      <c r="AI410" s="306">
        <f t="shared" si="386"/>
        <v>0</v>
      </c>
      <c r="AJ410" s="306">
        <f t="shared" si="387"/>
        <v>0</v>
      </c>
      <c r="AK410" s="306">
        <f t="shared" si="359"/>
        <v>0</v>
      </c>
      <c r="AL410" s="306">
        <f t="shared" si="388"/>
        <v>0</v>
      </c>
      <c r="AM410" s="306">
        <f t="shared" si="360"/>
        <v>0</v>
      </c>
      <c r="AN410" s="306"/>
      <c r="AO410" s="304" t="str">
        <f t="shared" si="361"/>
        <v/>
      </c>
      <c r="AP410" s="304" t="str">
        <f t="shared" si="389"/>
        <v/>
      </c>
      <c r="AQ410" s="305" t="e">
        <f t="shared" si="338"/>
        <v>#N/A</v>
      </c>
      <c r="AR410" s="304" t="str">
        <f t="shared" si="339"/>
        <v/>
      </c>
      <c r="AS410" s="306">
        <f t="shared" si="362"/>
        <v>0</v>
      </c>
      <c r="AT410" s="307" t="e">
        <f t="shared" si="340"/>
        <v>#N/A</v>
      </c>
      <c r="AU410" s="307" t="e">
        <f t="shared" si="341"/>
        <v>#N/A</v>
      </c>
      <c r="AV410" s="304">
        <f t="shared" si="344"/>
        <v>0.26637772951772098</v>
      </c>
      <c r="AW410" s="309">
        <f t="shared" si="363"/>
        <v>1.0702065040103905</v>
      </c>
      <c r="AX410" s="306">
        <f>IF(ISERROR(Weather!M394),#N/A,Weather!M394)</f>
        <v>0</v>
      </c>
      <c r="AY410" s="310">
        <f t="shared" si="364"/>
        <v>4</v>
      </c>
      <c r="AZ410" s="309">
        <f t="shared" si="365"/>
        <v>1.2</v>
      </c>
      <c r="BA410" s="309">
        <f t="shared" si="366"/>
        <v>263.01365849626205</v>
      </c>
      <c r="BB410" s="311">
        <f>Irrig!H412</f>
        <v>0</v>
      </c>
      <c r="BC410" s="310">
        <f t="shared" si="367"/>
        <v>0</v>
      </c>
      <c r="BD410" s="309">
        <f t="shared" si="368"/>
        <v>0</v>
      </c>
      <c r="BE410" s="309">
        <f t="shared" si="369"/>
        <v>0</v>
      </c>
      <c r="BF410" s="306">
        <f>DailyMet!H394</f>
        <v>0.31</v>
      </c>
      <c r="BG410" s="306">
        <f>DailyMet!I394</f>
        <v>-4.4000000000000004</v>
      </c>
      <c r="BH410" s="306">
        <f t="shared" si="370"/>
        <v>0.31</v>
      </c>
      <c r="BI410" s="306">
        <f t="shared" si="371"/>
        <v>10</v>
      </c>
      <c r="BJ410" s="306">
        <f t="shared" si="372"/>
        <v>-4.8449999999999998</v>
      </c>
      <c r="BK410" s="306">
        <f t="shared" si="343"/>
        <v>0</v>
      </c>
      <c r="BL410" s="304">
        <f t="shared" si="373"/>
        <v>0</v>
      </c>
      <c r="BM410" s="304">
        <f t="shared" si="374"/>
        <v>0</v>
      </c>
      <c r="BN410" s="304">
        <f t="shared" si="391"/>
        <v>0</v>
      </c>
      <c r="BO410" s="306">
        <f t="shared" si="392"/>
        <v>0</v>
      </c>
      <c r="BP410" s="306"/>
    </row>
    <row r="411" spans="1:68">
      <c r="A411" s="299">
        <f t="shared" si="345"/>
        <v>0</v>
      </c>
      <c r="B411" s="300">
        <f t="shared" si="346"/>
        <v>38376</v>
      </c>
      <c r="C411" s="301" t="e">
        <f t="shared" si="375"/>
        <v>#N/A</v>
      </c>
      <c r="D411" s="301" t="e">
        <f t="shared" si="347"/>
        <v>#N/A</v>
      </c>
      <c r="E411" s="299">
        <f t="shared" si="348"/>
        <v>390</v>
      </c>
      <c r="F411" s="396">
        <f>Weather!M395</f>
        <v>1</v>
      </c>
      <c r="G411" s="301">
        <f>IF(Weather!C395="","",Weather!C395)</f>
        <v>0.29414362696198881</v>
      </c>
      <c r="H411" s="301">
        <f>IF(Weather!D395="","",Weather!D395)</f>
        <v>0.29309055308982468</v>
      </c>
      <c r="I411" s="502">
        <f>IF(Weather!E395="","",Weather!E395)</f>
        <v>0.29309055308982468</v>
      </c>
      <c r="J411" s="397">
        <f>IF(RnSplint!N74&lt;0,0,RnSplint!N74)</f>
        <v>32.26170736613139</v>
      </c>
      <c r="K411" s="302">
        <f t="shared" si="376"/>
        <v>0</v>
      </c>
      <c r="L411" s="303">
        <f t="shared" si="377"/>
        <v>38376</v>
      </c>
      <c r="M411" s="346" t="str">
        <f t="shared" si="342"/>
        <v/>
      </c>
      <c r="N411" s="304">
        <f t="shared" si="378"/>
        <v>0</v>
      </c>
      <c r="O411" s="304">
        <f t="shared" si="379"/>
        <v>0</v>
      </c>
      <c r="P411" s="304">
        <f t="shared" si="349"/>
        <v>0</v>
      </c>
      <c r="Q411" s="304">
        <f t="shared" si="350"/>
        <v>1.2</v>
      </c>
      <c r="R411" s="304">
        <f t="shared" si="351"/>
        <v>1.2</v>
      </c>
      <c r="S411" s="305" t="e">
        <f t="shared" si="380"/>
        <v>#N/A</v>
      </c>
      <c r="T411" s="304">
        <f t="shared" si="352"/>
        <v>0</v>
      </c>
      <c r="U411" s="304">
        <f t="shared" si="390"/>
        <v>0</v>
      </c>
      <c r="V411" s="305" t="e">
        <f t="shared" si="353"/>
        <v>#N/A</v>
      </c>
      <c r="W411" s="305" t="e">
        <f t="shared" si="381"/>
        <v>#N/A</v>
      </c>
      <c r="X411" s="304">
        <f t="shared" si="382"/>
        <v>1.2</v>
      </c>
      <c r="Z411" s="304" t="str">
        <f t="shared" si="354"/>
        <v/>
      </c>
      <c r="AA411" s="305" t="e">
        <f t="shared" si="355"/>
        <v>#N/A</v>
      </c>
      <c r="AB411" s="304">
        <f t="shared" si="356"/>
        <v>0.35170866370778958</v>
      </c>
      <c r="AC411" s="304" t="str">
        <f t="shared" si="383"/>
        <v/>
      </c>
      <c r="AD411" s="306">
        <f t="shared" si="357"/>
        <v>0</v>
      </c>
      <c r="AE411" s="307">
        <f t="shared" si="384"/>
        <v>0.35170866370778958</v>
      </c>
      <c r="AF411" s="308" t="e">
        <f t="shared" si="337"/>
        <v>#N/A</v>
      </c>
      <c r="AG411" s="306">
        <f t="shared" si="385"/>
        <v>690.6949826594556</v>
      </c>
      <c r="AH411" s="306">
        <f t="shared" si="358"/>
        <v>0</v>
      </c>
      <c r="AI411" s="306">
        <f t="shared" si="386"/>
        <v>0</v>
      </c>
      <c r="AJ411" s="306">
        <f t="shared" si="387"/>
        <v>0</v>
      </c>
      <c r="AK411" s="306">
        <f t="shared" si="359"/>
        <v>0</v>
      </c>
      <c r="AL411" s="306">
        <f t="shared" si="388"/>
        <v>0</v>
      </c>
      <c r="AM411" s="306">
        <f t="shared" si="360"/>
        <v>0</v>
      </c>
      <c r="AN411" s="306"/>
      <c r="AO411" s="304" t="str">
        <f t="shared" si="361"/>
        <v/>
      </c>
      <c r="AP411" s="304" t="str">
        <f t="shared" si="389"/>
        <v/>
      </c>
      <c r="AQ411" s="305" t="e">
        <f t="shared" si="338"/>
        <v>#N/A</v>
      </c>
      <c r="AR411" s="304" t="str">
        <f t="shared" si="339"/>
        <v/>
      </c>
      <c r="AS411" s="306">
        <f t="shared" si="362"/>
        <v>0</v>
      </c>
      <c r="AT411" s="307" t="e">
        <f t="shared" si="340"/>
        <v>#N/A</v>
      </c>
      <c r="AU411" s="307" t="e">
        <f t="shared" si="341"/>
        <v>#N/A</v>
      </c>
      <c r="AV411" s="304">
        <f t="shared" si="344"/>
        <v>0.29309055308982468</v>
      </c>
      <c r="AW411" s="309">
        <f t="shared" si="363"/>
        <v>0.29309055308982468</v>
      </c>
      <c r="AX411" s="306">
        <f>IF(ISERROR(Weather!M395),#N/A,Weather!M395)</f>
        <v>1</v>
      </c>
      <c r="AY411" s="310">
        <f t="shared" si="364"/>
        <v>1</v>
      </c>
      <c r="AZ411" s="309">
        <f t="shared" si="365"/>
        <v>1.2</v>
      </c>
      <c r="BA411" s="309">
        <f t="shared" si="366"/>
        <v>263.30674904935188</v>
      </c>
      <c r="BB411" s="311">
        <f>Irrig!H413</f>
        <v>0</v>
      </c>
      <c r="BC411" s="310">
        <f t="shared" si="367"/>
        <v>0</v>
      </c>
      <c r="BD411" s="309">
        <f t="shared" si="368"/>
        <v>0</v>
      </c>
      <c r="BE411" s="309">
        <f t="shared" si="369"/>
        <v>0</v>
      </c>
      <c r="BF411" s="306">
        <f>DailyMet!H395</f>
        <v>2.58</v>
      </c>
      <c r="BG411" s="306">
        <f>DailyMet!I395</f>
        <v>-4</v>
      </c>
      <c r="BH411" s="306">
        <f t="shared" si="370"/>
        <v>2.58</v>
      </c>
      <c r="BI411" s="306">
        <f t="shared" si="371"/>
        <v>10</v>
      </c>
      <c r="BJ411" s="306">
        <f t="shared" si="372"/>
        <v>-3.71</v>
      </c>
      <c r="BK411" s="306">
        <f t="shared" si="343"/>
        <v>0</v>
      </c>
      <c r="BL411" s="304">
        <f t="shared" si="373"/>
        <v>0</v>
      </c>
      <c r="BM411" s="304">
        <f t="shared" si="374"/>
        <v>0</v>
      </c>
      <c r="BN411" s="304">
        <f t="shared" si="391"/>
        <v>0</v>
      </c>
      <c r="BO411" s="306">
        <f t="shared" si="392"/>
        <v>0</v>
      </c>
      <c r="BP411" s="306"/>
    </row>
    <row r="412" spans="1:68">
      <c r="A412" s="299">
        <f t="shared" si="345"/>
        <v>0</v>
      </c>
      <c r="B412" s="300">
        <f t="shared" si="346"/>
        <v>38377</v>
      </c>
      <c r="C412" s="301" t="e">
        <f t="shared" si="375"/>
        <v>#N/A</v>
      </c>
      <c r="D412" s="301" t="e">
        <f t="shared" si="347"/>
        <v>#N/A</v>
      </c>
      <c r="E412" s="299">
        <f t="shared" si="348"/>
        <v>391</v>
      </c>
      <c r="F412" s="396">
        <f>Weather!M396</f>
        <v>0</v>
      </c>
      <c r="G412" s="301">
        <f>IF(Weather!C396="","",Weather!C396)</f>
        <v>0.29444526283677852</v>
      </c>
      <c r="H412" s="301">
        <f>IF(Weather!D396="","",Weather!D396)</f>
        <v>0.31307647208209932</v>
      </c>
      <c r="I412" s="502">
        <f>IF(Weather!E396="","",Weather!E396)</f>
        <v>0.31307647208209932</v>
      </c>
      <c r="J412" s="397">
        <f>IF(RnSplint!N75&lt;0,0,RnSplint!N75)</f>
        <v>32.173717266301729</v>
      </c>
      <c r="K412" s="302">
        <f t="shared" si="376"/>
        <v>0</v>
      </c>
      <c r="L412" s="303">
        <f t="shared" si="377"/>
        <v>38377</v>
      </c>
      <c r="M412" s="346" t="str">
        <f t="shared" si="342"/>
        <v/>
      </c>
      <c r="N412" s="304">
        <f t="shared" si="378"/>
        <v>0</v>
      </c>
      <c r="O412" s="304">
        <f t="shared" si="379"/>
        <v>0</v>
      </c>
      <c r="P412" s="304">
        <f t="shared" si="349"/>
        <v>0</v>
      </c>
      <c r="Q412" s="304">
        <f t="shared" si="350"/>
        <v>1.2</v>
      </c>
      <c r="R412" s="304">
        <f t="shared" si="351"/>
        <v>1.2</v>
      </c>
      <c r="S412" s="305" t="e">
        <f t="shared" si="380"/>
        <v>#N/A</v>
      </c>
      <c r="T412" s="304">
        <f t="shared" si="352"/>
        <v>0</v>
      </c>
      <c r="U412" s="304">
        <f t="shared" si="390"/>
        <v>0</v>
      </c>
      <c r="V412" s="305" t="e">
        <f t="shared" si="353"/>
        <v>#N/A</v>
      </c>
      <c r="W412" s="305" t="e">
        <f t="shared" si="381"/>
        <v>#N/A</v>
      </c>
      <c r="X412" s="304">
        <f t="shared" si="382"/>
        <v>1.2</v>
      </c>
      <c r="Z412" s="304" t="str">
        <f t="shared" si="354"/>
        <v/>
      </c>
      <c r="AA412" s="305" t="e">
        <f t="shared" si="355"/>
        <v>#N/A</v>
      </c>
      <c r="AB412" s="304">
        <f t="shared" si="356"/>
        <v>0.37569176649851915</v>
      </c>
      <c r="AC412" s="304" t="str">
        <f t="shared" si="383"/>
        <v/>
      </c>
      <c r="AD412" s="306">
        <f t="shared" si="357"/>
        <v>0</v>
      </c>
      <c r="AE412" s="307">
        <f t="shared" si="384"/>
        <v>0.37569176649851915</v>
      </c>
      <c r="AF412" s="308" t="e">
        <f t="shared" si="337"/>
        <v>#N/A</v>
      </c>
      <c r="AG412" s="306">
        <f t="shared" si="385"/>
        <v>691.00805913153772</v>
      </c>
      <c r="AH412" s="306">
        <f t="shared" si="358"/>
        <v>0</v>
      </c>
      <c r="AI412" s="306">
        <f t="shared" si="386"/>
        <v>0</v>
      </c>
      <c r="AJ412" s="306">
        <f t="shared" si="387"/>
        <v>0</v>
      </c>
      <c r="AK412" s="306">
        <f t="shared" si="359"/>
        <v>0</v>
      </c>
      <c r="AL412" s="306">
        <f t="shared" si="388"/>
        <v>0</v>
      </c>
      <c r="AM412" s="306">
        <f t="shared" si="360"/>
        <v>0</v>
      </c>
      <c r="AN412" s="306"/>
      <c r="AO412" s="304" t="str">
        <f t="shared" si="361"/>
        <v/>
      </c>
      <c r="AP412" s="304" t="str">
        <f t="shared" si="389"/>
        <v/>
      </c>
      <c r="AQ412" s="305" t="e">
        <f t="shared" si="338"/>
        <v>#N/A</v>
      </c>
      <c r="AR412" s="304" t="str">
        <f t="shared" si="339"/>
        <v/>
      </c>
      <c r="AS412" s="306">
        <f t="shared" si="362"/>
        <v>0</v>
      </c>
      <c r="AT412" s="307" t="e">
        <f t="shared" si="340"/>
        <v>#N/A</v>
      </c>
      <c r="AU412" s="307" t="e">
        <f t="shared" si="341"/>
        <v>#N/A</v>
      </c>
      <c r="AV412" s="304">
        <f t="shared" si="344"/>
        <v>0.31307647208209932</v>
      </c>
      <c r="AW412" s="309">
        <f t="shared" si="363"/>
        <v>0.606167025171924</v>
      </c>
      <c r="AX412" s="306">
        <f>IF(ISERROR(Weather!M396),#N/A,Weather!M396)</f>
        <v>0</v>
      </c>
      <c r="AY412" s="310">
        <f t="shared" si="364"/>
        <v>2</v>
      </c>
      <c r="AZ412" s="309">
        <f t="shared" si="365"/>
        <v>1.2</v>
      </c>
      <c r="BA412" s="309">
        <f t="shared" si="366"/>
        <v>263.619825521434</v>
      </c>
      <c r="BB412" s="311">
        <f>Irrig!H414</f>
        <v>0</v>
      </c>
      <c r="BC412" s="310">
        <f t="shared" si="367"/>
        <v>0</v>
      </c>
      <c r="BD412" s="309">
        <f t="shared" si="368"/>
        <v>0</v>
      </c>
      <c r="BE412" s="309">
        <f t="shared" si="369"/>
        <v>0</v>
      </c>
      <c r="BF412" s="306">
        <f>DailyMet!H396</f>
        <v>1.23</v>
      </c>
      <c r="BG412" s="306">
        <f>DailyMet!I396</f>
        <v>-6.6</v>
      </c>
      <c r="BH412" s="306">
        <f t="shared" si="370"/>
        <v>1.23</v>
      </c>
      <c r="BI412" s="306">
        <f t="shared" si="371"/>
        <v>10</v>
      </c>
      <c r="BJ412" s="306">
        <f t="shared" si="372"/>
        <v>-4.3849999999999998</v>
      </c>
      <c r="BK412" s="306">
        <f t="shared" si="343"/>
        <v>0</v>
      </c>
      <c r="BL412" s="304">
        <f t="shared" si="373"/>
        <v>0</v>
      </c>
      <c r="BM412" s="304">
        <f t="shared" si="374"/>
        <v>0</v>
      </c>
      <c r="BN412" s="304">
        <f t="shared" si="391"/>
        <v>0</v>
      </c>
      <c r="BO412" s="306">
        <f t="shared" si="392"/>
        <v>0</v>
      </c>
      <c r="BP412" s="306"/>
    </row>
    <row r="413" spans="1:68">
      <c r="A413" s="299">
        <f t="shared" si="345"/>
        <v>0</v>
      </c>
      <c r="B413" s="300">
        <f t="shared" si="346"/>
        <v>38378</v>
      </c>
      <c r="C413" s="301" t="e">
        <f t="shared" si="375"/>
        <v>#N/A</v>
      </c>
      <c r="D413" s="301" t="e">
        <f t="shared" si="347"/>
        <v>#N/A</v>
      </c>
      <c r="E413" s="299">
        <f t="shared" si="348"/>
        <v>392</v>
      </c>
      <c r="F413" s="396">
        <f>Weather!M397</f>
        <v>4</v>
      </c>
      <c r="G413" s="301">
        <f>IF(Weather!C397="","",Weather!C397)</f>
        <v>0.29504374541600198</v>
      </c>
      <c r="H413" s="301">
        <f>IF(Weather!D397="","",Weather!D397)</f>
        <v>0.23124500724166852</v>
      </c>
      <c r="I413" s="502">
        <f>IF(Weather!E397="","",Weather!E397)</f>
        <v>0.23124500724166852</v>
      </c>
      <c r="J413" s="397">
        <f>IF(RnSplint!N76&lt;0,0,RnSplint!N76)</f>
        <v>32.057412122617635</v>
      </c>
      <c r="K413" s="302">
        <f t="shared" si="376"/>
        <v>0</v>
      </c>
      <c r="L413" s="303">
        <f t="shared" si="377"/>
        <v>38378</v>
      </c>
      <c r="M413" s="346" t="str">
        <f t="shared" si="342"/>
        <v/>
      </c>
      <c r="N413" s="304">
        <f t="shared" si="378"/>
        <v>0</v>
      </c>
      <c r="O413" s="304">
        <f t="shared" si="379"/>
        <v>0</v>
      </c>
      <c r="P413" s="304">
        <f t="shared" si="349"/>
        <v>0</v>
      </c>
      <c r="Q413" s="304">
        <f t="shared" si="350"/>
        <v>1.2</v>
      </c>
      <c r="R413" s="304">
        <f t="shared" si="351"/>
        <v>1.2</v>
      </c>
      <c r="S413" s="305" t="e">
        <f t="shared" si="380"/>
        <v>#N/A</v>
      </c>
      <c r="T413" s="304">
        <f t="shared" si="352"/>
        <v>0</v>
      </c>
      <c r="U413" s="304">
        <f t="shared" si="390"/>
        <v>0</v>
      </c>
      <c r="V413" s="305" t="e">
        <f t="shared" si="353"/>
        <v>#N/A</v>
      </c>
      <c r="W413" s="305" t="e">
        <f t="shared" si="381"/>
        <v>#N/A</v>
      </c>
      <c r="X413" s="304">
        <f t="shared" si="382"/>
        <v>1.2</v>
      </c>
      <c r="Z413" s="304" t="str">
        <f t="shared" si="354"/>
        <v/>
      </c>
      <c r="AA413" s="305" t="e">
        <f t="shared" si="355"/>
        <v>#N/A</v>
      </c>
      <c r="AB413" s="304">
        <f t="shared" si="356"/>
        <v>0.27749400869000224</v>
      </c>
      <c r="AC413" s="304" t="str">
        <f t="shared" si="383"/>
        <v/>
      </c>
      <c r="AD413" s="306">
        <f t="shared" si="357"/>
        <v>0</v>
      </c>
      <c r="AE413" s="307">
        <f t="shared" si="384"/>
        <v>0.27749400869000224</v>
      </c>
      <c r="AF413" s="308" t="e">
        <f t="shared" si="337"/>
        <v>#N/A</v>
      </c>
      <c r="AG413" s="306">
        <f t="shared" si="385"/>
        <v>691.2393041387794</v>
      </c>
      <c r="AH413" s="306">
        <f t="shared" si="358"/>
        <v>0</v>
      </c>
      <c r="AI413" s="306">
        <f t="shared" si="386"/>
        <v>0</v>
      </c>
      <c r="AJ413" s="306">
        <f t="shared" si="387"/>
        <v>0</v>
      </c>
      <c r="AK413" s="306">
        <f t="shared" si="359"/>
        <v>0</v>
      </c>
      <c r="AL413" s="306">
        <f t="shared" si="388"/>
        <v>0</v>
      </c>
      <c r="AM413" s="306">
        <f t="shared" si="360"/>
        <v>0</v>
      </c>
      <c r="AN413" s="306"/>
      <c r="AO413" s="304" t="str">
        <f t="shared" si="361"/>
        <v/>
      </c>
      <c r="AP413" s="304" t="str">
        <f t="shared" si="389"/>
        <v/>
      </c>
      <c r="AQ413" s="305" t="e">
        <f t="shared" si="338"/>
        <v>#N/A</v>
      </c>
      <c r="AR413" s="304" t="str">
        <f t="shared" si="339"/>
        <v/>
      </c>
      <c r="AS413" s="306">
        <f t="shared" si="362"/>
        <v>0</v>
      </c>
      <c r="AT413" s="307" t="e">
        <f t="shared" si="340"/>
        <v>#N/A</v>
      </c>
      <c r="AU413" s="307" t="e">
        <f t="shared" si="341"/>
        <v>#N/A</v>
      </c>
      <c r="AV413" s="304">
        <f t="shared" si="344"/>
        <v>0.23124500724166852</v>
      </c>
      <c r="AW413" s="309">
        <f t="shared" si="363"/>
        <v>0.23124500724166852</v>
      </c>
      <c r="AX413" s="306">
        <f>IF(ISERROR(Weather!M397),#N/A,Weather!M397)</f>
        <v>4</v>
      </c>
      <c r="AY413" s="310">
        <f t="shared" si="364"/>
        <v>1</v>
      </c>
      <c r="AZ413" s="309">
        <f t="shared" si="365"/>
        <v>1.2</v>
      </c>
      <c r="BA413" s="309">
        <f t="shared" si="366"/>
        <v>263.85107052867568</v>
      </c>
      <c r="BB413" s="311">
        <f>Irrig!H415</f>
        <v>0</v>
      </c>
      <c r="BC413" s="310">
        <f t="shared" si="367"/>
        <v>0</v>
      </c>
      <c r="BD413" s="309">
        <f t="shared" si="368"/>
        <v>0</v>
      </c>
      <c r="BE413" s="309">
        <f t="shared" si="369"/>
        <v>0</v>
      </c>
      <c r="BF413" s="306">
        <f>DailyMet!H397</f>
        <v>3.18</v>
      </c>
      <c r="BG413" s="306">
        <f>DailyMet!I397</f>
        <v>-1</v>
      </c>
      <c r="BH413" s="306">
        <f t="shared" si="370"/>
        <v>3.18</v>
      </c>
      <c r="BI413" s="306">
        <f t="shared" si="371"/>
        <v>10</v>
      </c>
      <c r="BJ413" s="306">
        <f t="shared" si="372"/>
        <v>-3.41</v>
      </c>
      <c r="BK413" s="306">
        <f t="shared" si="343"/>
        <v>0</v>
      </c>
      <c r="BL413" s="304">
        <f t="shared" si="373"/>
        <v>0</v>
      </c>
      <c r="BM413" s="304">
        <f t="shared" si="374"/>
        <v>0</v>
      </c>
      <c r="BN413" s="304">
        <f t="shared" si="391"/>
        <v>0</v>
      </c>
      <c r="BO413" s="306">
        <f t="shared" si="392"/>
        <v>0</v>
      </c>
      <c r="BP413" s="306"/>
    </row>
    <row r="414" spans="1:68">
      <c r="A414" s="299">
        <f t="shared" si="345"/>
        <v>0</v>
      </c>
      <c r="B414" s="300">
        <f t="shared" si="346"/>
        <v>38379</v>
      </c>
      <c r="C414" s="301" t="e">
        <f t="shared" si="375"/>
        <v>#N/A</v>
      </c>
      <c r="D414" s="301" t="e">
        <f t="shared" si="347"/>
        <v>#N/A</v>
      </c>
      <c r="E414" s="299">
        <f t="shared" si="348"/>
        <v>393</v>
      </c>
      <c r="F414" s="396">
        <f>Weather!M398</f>
        <v>0</v>
      </c>
      <c r="G414" s="301">
        <f>IF(Weather!C398="","",Weather!C398)</f>
        <v>0.29601841032219528</v>
      </c>
      <c r="H414" s="301">
        <f>IF(Weather!D398="","",Weather!D398)</f>
        <v>0.2718053562480085</v>
      </c>
      <c r="I414" s="502">
        <f>IF(Weather!E398="","",Weather!E398)</f>
        <v>0.2718053562480085</v>
      </c>
      <c r="J414" s="397">
        <f>IF(RnSplint!N77&lt;0,0,RnSplint!N77)</f>
        <v>31.915447757590194</v>
      </c>
      <c r="K414" s="302">
        <f t="shared" si="376"/>
        <v>0</v>
      </c>
      <c r="L414" s="303">
        <f t="shared" si="377"/>
        <v>38379</v>
      </c>
      <c r="M414" s="346" t="str">
        <f t="shared" si="342"/>
        <v/>
      </c>
      <c r="N414" s="304">
        <f t="shared" si="378"/>
        <v>0</v>
      </c>
      <c r="O414" s="304">
        <f t="shared" si="379"/>
        <v>0</v>
      </c>
      <c r="P414" s="304">
        <f t="shared" si="349"/>
        <v>0</v>
      </c>
      <c r="Q414" s="304">
        <f t="shared" si="350"/>
        <v>1.2</v>
      </c>
      <c r="R414" s="304">
        <f t="shared" si="351"/>
        <v>1.2</v>
      </c>
      <c r="S414" s="305" t="e">
        <f t="shared" si="380"/>
        <v>#N/A</v>
      </c>
      <c r="T414" s="304">
        <f t="shared" si="352"/>
        <v>0</v>
      </c>
      <c r="U414" s="304">
        <f t="shared" si="390"/>
        <v>0</v>
      </c>
      <c r="V414" s="305" t="e">
        <f t="shared" si="353"/>
        <v>#N/A</v>
      </c>
      <c r="W414" s="305" t="e">
        <f t="shared" si="381"/>
        <v>#N/A</v>
      </c>
      <c r="X414" s="304">
        <f t="shared" si="382"/>
        <v>1.2</v>
      </c>
      <c r="Z414" s="304" t="str">
        <f t="shared" si="354"/>
        <v/>
      </c>
      <c r="AA414" s="305" t="e">
        <f t="shared" si="355"/>
        <v>#N/A</v>
      </c>
      <c r="AB414" s="304">
        <f t="shared" si="356"/>
        <v>0.32616642749761021</v>
      </c>
      <c r="AC414" s="304" t="str">
        <f t="shared" si="383"/>
        <v/>
      </c>
      <c r="AD414" s="306">
        <f t="shared" si="357"/>
        <v>0</v>
      </c>
      <c r="AE414" s="307">
        <f t="shared" si="384"/>
        <v>0.32616642749761021</v>
      </c>
      <c r="AF414" s="308" t="e">
        <f t="shared" si="337"/>
        <v>#N/A</v>
      </c>
      <c r="AG414" s="306">
        <f t="shared" si="385"/>
        <v>691.51110949502743</v>
      </c>
      <c r="AH414" s="306">
        <f t="shared" si="358"/>
        <v>0</v>
      </c>
      <c r="AI414" s="306">
        <f t="shared" si="386"/>
        <v>0</v>
      </c>
      <c r="AJ414" s="306">
        <f t="shared" si="387"/>
        <v>0</v>
      </c>
      <c r="AK414" s="306">
        <f t="shared" si="359"/>
        <v>0</v>
      </c>
      <c r="AL414" s="306">
        <f t="shared" si="388"/>
        <v>0</v>
      </c>
      <c r="AM414" s="306">
        <f t="shared" si="360"/>
        <v>0</v>
      </c>
      <c r="AN414" s="306"/>
      <c r="AO414" s="304" t="str">
        <f t="shared" si="361"/>
        <v/>
      </c>
      <c r="AP414" s="304" t="str">
        <f t="shared" si="389"/>
        <v/>
      </c>
      <c r="AQ414" s="305" t="e">
        <f t="shared" si="338"/>
        <v>#N/A</v>
      </c>
      <c r="AR414" s="304" t="str">
        <f t="shared" si="339"/>
        <v/>
      </c>
      <c r="AS414" s="306">
        <f t="shared" si="362"/>
        <v>0</v>
      </c>
      <c r="AT414" s="307" t="e">
        <f t="shared" si="340"/>
        <v>#N/A</v>
      </c>
      <c r="AU414" s="307" t="e">
        <f t="shared" si="341"/>
        <v>#N/A</v>
      </c>
      <c r="AV414" s="304">
        <f t="shared" si="344"/>
        <v>0.2718053562480085</v>
      </c>
      <c r="AW414" s="309">
        <f t="shared" si="363"/>
        <v>0.50305036348967702</v>
      </c>
      <c r="AX414" s="306">
        <f>IF(ISERROR(Weather!M398),#N/A,Weather!M398)</f>
        <v>0</v>
      </c>
      <c r="AY414" s="310">
        <f t="shared" si="364"/>
        <v>2</v>
      </c>
      <c r="AZ414" s="309">
        <f t="shared" si="365"/>
        <v>1.2</v>
      </c>
      <c r="BA414" s="309">
        <f t="shared" si="366"/>
        <v>264.1228758849237</v>
      </c>
      <c r="BB414" s="311">
        <f>Irrig!H416</f>
        <v>0</v>
      </c>
      <c r="BC414" s="310">
        <f t="shared" si="367"/>
        <v>0</v>
      </c>
      <c r="BD414" s="309">
        <f t="shared" si="368"/>
        <v>0</v>
      </c>
      <c r="BE414" s="309">
        <f t="shared" si="369"/>
        <v>0</v>
      </c>
      <c r="BF414" s="306">
        <f>DailyMet!H398</f>
        <v>2.38</v>
      </c>
      <c r="BG414" s="306">
        <f>DailyMet!I398</f>
        <v>-2</v>
      </c>
      <c r="BH414" s="306">
        <f t="shared" si="370"/>
        <v>2.38</v>
      </c>
      <c r="BI414" s="306">
        <f t="shared" si="371"/>
        <v>10</v>
      </c>
      <c r="BJ414" s="306">
        <f t="shared" si="372"/>
        <v>-3.8100000000000005</v>
      </c>
      <c r="BK414" s="306">
        <f t="shared" si="343"/>
        <v>0</v>
      </c>
      <c r="BL414" s="304">
        <f t="shared" si="373"/>
        <v>0</v>
      </c>
      <c r="BM414" s="304">
        <f t="shared" si="374"/>
        <v>0</v>
      </c>
      <c r="BN414" s="304">
        <f t="shared" si="391"/>
        <v>0</v>
      </c>
      <c r="BO414" s="306">
        <f t="shared" si="392"/>
        <v>0</v>
      </c>
      <c r="BP414" s="306"/>
    </row>
    <row r="415" spans="1:68">
      <c r="A415" s="299">
        <f t="shared" si="345"/>
        <v>0</v>
      </c>
      <c r="B415" s="300">
        <f t="shared" si="346"/>
        <v>38380</v>
      </c>
      <c r="C415" s="301" t="e">
        <f t="shared" si="375"/>
        <v>#N/A</v>
      </c>
      <c r="D415" s="301" t="e">
        <f t="shared" si="347"/>
        <v>#N/A</v>
      </c>
      <c r="E415" s="299">
        <f t="shared" si="348"/>
        <v>394</v>
      </c>
      <c r="F415" s="396">
        <f>Weather!M399</f>
        <v>0</v>
      </c>
      <c r="G415" s="301">
        <f>IF(Weather!C399="","",Weather!C399)</f>
        <v>0.29744859317789463</v>
      </c>
      <c r="H415" s="301">
        <f>IF(Weather!D399="","",Weather!D399)</f>
        <v>0.3157483417393101</v>
      </c>
      <c r="I415" s="502">
        <f>IF(Weather!E399="","",Weather!E399)</f>
        <v>0.3157483417393101</v>
      </c>
      <c r="J415" s="397">
        <f>IF(RnSplint!N78&lt;0,0,RnSplint!N78)</f>
        <v>31.750479993730469</v>
      </c>
      <c r="K415" s="302">
        <f t="shared" si="376"/>
        <v>0</v>
      </c>
      <c r="L415" s="303">
        <f t="shared" si="377"/>
        <v>38380</v>
      </c>
      <c r="M415" s="346" t="str">
        <f t="shared" si="342"/>
        <v/>
      </c>
      <c r="N415" s="304">
        <f t="shared" si="378"/>
        <v>0</v>
      </c>
      <c r="O415" s="304">
        <f t="shared" si="379"/>
        <v>0</v>
      </c>
      <c r="P415" s="304">
        <f t="shared" si="349"/>
        <v>0</v>
      </c>
      <c r="Q415" s="304">
        <f t="shared" si="350"/>
        <v>1.2</v>
      </c>
      <c r="R415" s="304">
        <f t="shared" si="351"/>
        <v>1.2</v>
      </c>
      <c r="S415" s="305" t="e">
        <f t="shared" si="380"/>
        <v>#N/A</v>
      </c>
      <c r="T415" s="304">
        <f t="shared" si="352"/>
        <v>0</v>
      </c>
      <c r="U415" s="304">
        <f t="shared" si="390"/>
        <v>0</v>
      </c>
      <c r="V415" s="305" t="e">
        <f t="shared" si="353"/>
        <v>#N/A</v>
      </c>
      <c r="W415" s="305" t="e">
        <f t="shared" si="381"/>
        <v>#N/A</v>
      </c>
      <c r="X415" s="304">
        <f t="shared" si="382"/>
        <v>1.2</v>
      </c>
      <c r="Z415" s="304" t="str">
        <f t="shared" si="354"/>
        <v/>
      </c>
      <c r="AA415" s="305" t="e">
        <f t="shared" si="355"/>
        <v>#N/A</v>
      </c>
      <c r="AB415" s="304">
        <f t="shared" si="356"/>
        <v>0.37889801008717211</v>
      </c>
      <c r="AC415" s="304" t="str">
        <f t="shared" si="383"/>
        <v/>
      </c>
      <c r="AD415" s="306">
        <f t="shared" si="357"/>
        <v>0</v>
      </c>
      <c r="AE415" s="307">
        <f t="shared" si="384"/>
        <v>0.37889801008717211</v>
      </c>
      <c r="AF415" s="308" t="e">
        <f t="shared" si="337"/>
        <v>#N/A</v>
      </c>
      <c r="AG415" s="306">
        <f t="shared" si="385"/>
        <v>691.82685783676675</v>
      </c>
      <c r="AH415" s="306">
        <f t="shared" si="358"/>
        <v>0</v>
      </c>
      <c r="AI415" s="306">
        <f t="shared" si="386"/>
        <v>0</v>
      </c>
      <c r="AJ415" s="306">
        <f t="shared" si="387"/>
        <v>0</v>
      </c>
      <c r="AK415" s="306">
        <f t="shared" si="359"/>
        <v>0</v>
      </c>
      <c r="AL415" s="306">
        <f t="shared" si="388"/>
        <v>0</v>
      </c>
      <c r="AM415" s="306">
        <f t="shared" si="360"/>
        <v>0</v>
      </c>
      <c r="AN415" s="306"/>
      <c r="AO415" s="304" t="str">
        <f t="shared" si="361"/>
        <v/>
      </c>
      <c r="AP415" s="304" t="str">
        <f t="shared" si="389"/>
        <v/>
      </c>
      <c r="AQ415" s="305" t="e">
        <f t="shared" si="338"/>
        <v>#N/A</v>
      </c>
      <c r="AR415" s="304" t="str">
        <f t="shared" si="339"/>
        <v/>
      </c>
      <c r="AS415" s="306">
        <f t="shared" si="362"/>
        <v>0</v>
      </c>
      <c r="AT415" s="307" t="e">
        <f t="shared" si="340"/>
        <v>#N/A</v>
      </c>
      <c r="AU415" s="307" t="e">
        <f t="shared" si="341"/>
        <v>#N/A</v>
      </c>
      <c r="AV415" s="304">
        <f t="shared" si="344"/>
        <v>0.3157483417393101</v>
      </c>
      <c r="AW415" s="309">
        <f t="shared" si="363"/>
        <v>0.81879870522898712</v>
      </c>
      <c r="AX415" s="306">
        <f>IF(ISERROR(Weather!M399),#N/A,Weather!M399)</f>
        <v>0</v>
      </c>
      <c r="AY415" s="310">
        <f t="shared" si="364"/>
        <v>3</v>
      </c>
      <c r="AZ415" s="309">
        <f t="shared" si="365"/>
        <v>1.2</v>
      </c>
      <c r="BA415" s="309">
        <f t="shared" si="366"/>
        <v>264.43862422666302</v>
      </c>
      <c r="BB415" s="311">
        <f>Irrig!H417</f>
        <v>0</v>
      </c>
      <c r="BC415" s="310">
        <f t="shared" si="367"/>
        <v>0</v>
      </c>
      <c r="BD415" s="309">
        <f t="shared" si="368"/>
        <v>0</v>
      </c>
      <c r="BE415" s="309">
        <f t="shared" si="369"/>
        <v>0</v>
      </c>
      <c r="BF415" s="306">
        <f>DailyMet!H399</f>
        <v>2.69</v>
      </c>
      <c r="BG415" s="306">
        <f>DailyMet!I399</f>
        <v>-0.4</v>
      </c>
      <c r="BH415" s="306">
        <f t="shared" si="370"/>
        <v>2.69</v>
      </c>
      <c r="BI415" s="306">
        <f t="shared" si="371"/>
        <v>10</v>
      </c>
      <c r="BJ415" s="306">
        <f t="shared" si="372"/>
        <v>-3.6550000000000002</v>
      </c>
      <c r="BK415" s="306">
        <f t="shared" si="343"/>
        <v>0</v>
      </c>
      <c r="BL415" s="304">
        <f t="shared" si="373"/>
        <v>0</v>
      </c>
      <c r="BM415" s="304">
        <f t="shared" si="374"/>
        <v>0</v>
      </c>
      <c r="BN415" s="304">
        <f t="shared" si="391"/>
        <v>0</v>
      </c>
      <c r="BO415" s="306">
        <f t="shared" si="392"/>
        <v>0</v>
      </c>
      <c r="BP415" s="306"/>
    </row>
    <row r="416" spans="1:68">
      <c r="A416" s="299">
        <f t="shared" si="345"/>
        <v>0</v>
      </c>
      <c r="B416" s="300">
        <f t="shared" si="346"/>
        <v>38381</v>
      </c>
      <c r="C416" s="301" t="e">
        <f t="shared" si="375"/>
        <v>#N/A</v>
      </c>
      <c r="D416" s="301" t="e">
        <f t="shared" si="347"/>
        <v>#N/A</v>
      </c>
      <c r="E416" s="299">
        <f t="shared" si="348"/>
        <v>395</v>
      </c>
      <c r="F416" s="396">
        <f>Weather!M400</f>
        <v>4</v>
      </c>
      <c r="G416" s="301">
        <f>IF(Weather!C400="","",Weather!C400)</f>
        <v>0.29941362960563611</v>
      </c>
      <c r="H416" s="301">
        <f>IF(Weather!D400="","",Weather!D400)</f>
        <v>0.7281902108347631</v>
      </c>
      <c r="I416" s="502">
        <f>IF(Weather!E400="","",Weather!E400)</f>
        <v>0.7281902108347631</v>
      </c>
      <c r="J416" s="397">
        <f>IF(RnSplint!N79&lt;0,0,RnSplint!N79)</f>
        <v>31.565164653549523</v>
      </c>
      <c r="K416" s="302">
        <f t="shared" si="376"/>
        <v>0</v>
      </c>
      <c r="L416" s="303">
        <f t="shared" si="377"/>
        <v>38381</v>
      </c>
      <c r="M416" s="346" t="str">
        <f t="shared" si="342"/>
        <v/>
      </c>
      <c r="N416" s="304">
        <f t="shared" si="378"/>
        <v>0</v>
      </c>
      <c r="O416" s="304">
        <f t="shared" si="379"/>
        <v>0</v>
      </c>
      <c r="P416" s="304">
        <f t="shared" si="349"/>
        <v>0</v>
      </c>
      <c r="Q416" s="304">
        <f t="shared" si="350"/>
        <v>1.2</v>
      </c>
      <c r="R416" s="304">
        <f t="shared" si="351"/>
        <v>1.2</v>
      </c>
      <c r="S416" s="305" t="e">
        <f t="shared" si="380"/>
        <v>#N/A</v>
      </c>
      <c r="T416" s="304">
        <f t="shared" si="352"/>
        <v>0</v>
      </c>
      <c r="U416" s="304">
        <f t="shared" si="390"/>
        <v>0</v>
      </c>
      <c r="V416" s="305" t="e">
        <f t="shared" si="353"/>
        <v>#N/A</v>
      </c>
      <c r="W416" s="305" t="e">
        <f t="shared" si="381"/>
        <v>#N/A</v>
      </c>
      <c r="X416" s="304">
        <f t="shared" si="382"/>
        <v>1.2</v>
      </c>
      <c r="Z416" s="304" t="str">
        <f t="shared" si="354"/>
        <v/>
      </c>
      <c r="AA416" s="305" t="e">
        <f t="shared" si="355"/>
        <v>#N/A</v>
      </c>
      <c r="AB416" s="304">
        <f t="shared" si="356"/>
        <v>0.87382825300171574</v>
      </c>
      <c r="AC416" s="304" t="str">
        <f t="shared" si="383"/>
        <v/>
      </c>
      <c r="AD416" s="306">
        <f t="shared" si="357"/>
        <v>0</v>
      </c>
      <c r="AE416" s="307">
        <f t="shared" si="384"/>
        <v>0.87382825300171574</v>
      </c>
      <c r="AF416" s="308" t="e">
        <f t="shared" si="337"/>
        <v>#N/A</v>
      </c>
      <c r="AG416" s="306">
        <f t="shared" si="385"/>
        <v>692.55504804760153</v>
      </c>
      <c r="AH416" s="306">
        <f t="shared" si="358"/>
        <v>0</v>
      </c>
      <c r="AI416" s="306">
        <f t="shared" si="386"/>
        <v>0</v>
      </c>
      <c r="AJ416" s="306">
        <f t="shared" si="387"/>
        <v>0</v>
      </c>
      <c r="AK416" s="306">
        <f t="shared" si="359"/>
        <v>0</v>
      </c>
      <c r="AL416" s="306">
        <f t="shared" si="388"/>
        <v>0</v>
      </c>
      <c r="AM416" s="306">
        <f t="shared" si="360"/>
        <v>0</v>
      </c>
      <c r="AN416" s="306"/>
      <c r="AO416" s="304" t="str">
        <f t="shared" si="361"/>
        <v/>
      </c>
      <c r="AP416" s="304" t="str">
        <f t="shared" si="389"/>
        <v/>
      </c>
      <c r="AQ416" s="305" t="e">
        <f t="shared" si="338"/>
        <v>#N/A</v>
      </c>
      <c r="AR416" s="304" t="str">
        <f t="shared" si="339"/>
        <v/>
      </c>
      <c r="AS416" s="306">
        <f t="shared" si="362"/>
        <v>0</v>
      </c>
      <c r="AT416" s="307" t="e">
        <f t="shared" si="340"/>
        <v>#N/A</v>
      </c>
      <c r="AU416" s="307" t="e">
        <f t="shared" si="341"/>
        <v>#N/A</v>
      </c>
      <c r="AV416" s="304">
        <f t="shared" si="344"/>
        <v>0.7281902108347631</v>
      </c>
      <c r="AW416" s="309">
        <f t="shared" si="363"/>
        <v>0.7281902108347631</v>
      </c>
      <c r="AX416" s="306">
        <f>IF(ISERROR(Weather!M400),#N/A,Weather!M400)</f>
        <v>4</v>
      </c>
      <c r="AY416" s="310">
        <f t="shared" si="364"/>
        <v>1</v>
      </c>
      <c r="AZ416" s="309">
        <f t="shared" si="365"/>
        <v>1.2</v>
      </c>
      <c r="BA416" s="309">
        <f t="shared" si="366"/>
        <v>265.16681443749781</v>
      </c>
      <c r="BB416" s="311">
        <f>Irrig!H418</f>
        <v>0</v>
      </c>
      <c r="BC416" s="310">
        <f t="shared" si="367"/>
        <v>0</v>
      </c>
      <c r="BD416" s="309">
        <f t="shared" si="368"/>
        <v>0</v>
      </c>
      <c r="BE416" s="309">
        <f t="shared" si="369"/>
        <v>0</v>
      </c>
      <c r="BF416" s="306">
        <f>DailyMet!H400</f>
        <v>-0.6</v>
      </c>
      <c r="BG416" s="306">
        <f>DailyMet!I400</f>
        <v>-4.7</v>
      </c>
      <c r="BH416" s="306">
        <f t="shared" si="370"/>
        <v>-0.6</v>
      </c>
      <c r="BI416" s="306">
        <f t="shared" si="371"/>
        <v>10</v>
      </c>
      <c r="BJ416" s="306">
        <f t="shared" si="372"/>
        <v>-5.3</v>
      </c>
      <c r="BK416" s="306">
        <f t="shared" si="343"/>
        <v>0</v>
      </c>
      <c r="BL416" s="304">
        <f t="shared" si="373"/>
        <v>0</v>
      </c>
      <c r="BM416" s="304">
        <f t="shared" si="374"/>
        <v>0</v>
      </c>
      <c r="BN416" s="304">
        <f t="shared" si="391"/>
        <v>0</v>
      </c>
      <c r="BO416" s="306">
        <f t="shared" si="392"/>
        <v>0</v>
      </c>
      <c r="BP416" s="306"/>
    </row>
    <row r="417" spans="1:68">
      <c r="A417" s="299">
        <f t="shared" si="345"/>
        <v>0</v>
      </c>
      <c r="B417" s="300">
        <f t="shared" si="346"/>
        <v>38382</v>
      </c>
      <c r="C417" s="301" t="e">
        <f t="shared" si="375"/>
        <v>#N/A</v>
      </c>
      <c r="D417" s="301" t="e">
        <f t="shared" si="347"/>
        <v>#N/A</v>
      </c>
      <c r="E417" s="299">
        <f t="shared" si="348"/>
        <v>396</v>
      </c>
      <c r="F417" s="396">
        <f>Weather!M401</f>
        <v>33</v>
      </c>
      <c r="G417" s="301">
        <f>IF(Weather!C401="","",Weather!C401)</f>
        <v>0.30199285522795583</v>
      </c>
      <c r="H417" s="301">
        <f>IF(Weather!D401="","",Weather!D401)</f>
        <v>0.52118754722097038</v>
      </c>
      <c r="I417" s="502">
        <f>IF(Weather!E401="","",Weather!E401)</f>
        <v>0.52118754722097038</v>
      </c>
      <c r="J417" s="397">
        <f>IF(RnSplint!N80&lt;0,0,RnSplint!N80)</f>
        <v>31.36215755955843</v>
      </c>
      <c r="K417" s="302">
        <f t="shared" si="376"/>
        <v>0</v>
      </c>
      <c r="L417" s="303">
        <f t="shared" si="377"/>
        <v>38382</v>
      </c>
      <c r="M417" s="346" t="str">
        <f t="shared" si="342"/>
        <v/>
      </c>
      <c r="N417" s="304">
        <f t="shared" si="378"/>
        <v>0</v>
      </c>
      <c r="O417" s="304">
        <f t="shared" si="379"/>
        <v>0</v>
      </c>
      <c r="P417" s="304">
        <f t="shared" si="349"/>
        <v>0</v>
      </c>
      <c r="Q417" s="304">
        <f t="shared" si="350"/>
        <v>1.2</v>
      </c>
      <c r="R417" s="304">
        <f t="shared" si="351"/>
        <v>1.2</v>
      </c>
      <c r="S417" s="305" t="e">
        <f t="shared" si="380"/>
        <v>#N/A</v>
      </c>
      <c r="T417" s="304">
        <f t="shared" si="352"/>
        <v>0</v>
      </c>
      <c r="U417" s="304">
        <f t="shared" si="390"/>
        <v>0</v>
      </c>
      <c r="V417" s="305" t="e">
        <f t="shared" si="353"/>
        <v>#N/A</v>
      </c>
      <c r="W417" s="305" t="e">
        <f t="shared" si="381"/>
        <v>#N/A</v>
      </c>
      <c r="X417" s="304">
        <f t="shared" si="382"/>
        <v>1.2</v>
      </c>
      <c r="Z417" s="304" t="str">
        <f t="shared" si="354"/>
        <v/>
      </c>
      <c r="AA417" s="305" t="e">
        <f t="shared" si="355"/>
        <v>#N/A</v>
      </c>
      <c r="AB417" s="304">
        <f t="shared" si="356"/>
        <v>0.62542505666516446</v>
      </c>
      <c r="AC417" s="304" t="str">
        <f t="shared" si="383"/>
        <v/>
      </c>
      <c r="AD417" s="306">
        <f t="shared" si="357"/>
        <v>0</v>
      </c>
      <c r="AE417" s="307">
        <f t="shared" si="384"/>
        <v>0.62542505666516446</v>
      </c>
      <c r="AF417" s="308" t="e">
        <f t="shared" si="337"/>
        <v>#N/A</v>
      </c>
      <c r="AG417" s="306">
        <f t="shared" si="385"/>
        <v>693.07623559482249</v>
      </c>
      <c r="AH417" s="306">
        <f t="shared" si="358"/>
        <v>0</v>
      </c>
      <c r="AI417" s="306">
        <f t="shared" si="386"/>
        <v>0</v>
      </c>
      <c r="AJ417" s="306">
        <f t="shared" si="387"/>
        <v>0</v>
      </c>
      <c r="AK417" s="306">
        <f t="shared" si="359"/>
        <v>0</v>
      </c>
      <c r="AL417" s="306">
        <f t="shared" si="388"/>
        <v>0</v>
      </c>
      <c r="AM417" s="306">
        <f t="shared" si="360"/>
        <v>0</v>
      </c>
      <c r="AN417" s="306"/>
      <c r="AO417" s="304" t="str">
        <f t="shared" si="361"/>
        <v/>
      </c>
      <c r="AP417" s="304" t="str">
        <f t="shared" si="389"/>
        <v/>
      </c>
      <c r="AQ417" s="305" t="e">
        <f t="shared" si="338"/>
        <v>#N/A</v>
      </c>
      <c r="AR417" s="304" t="str">
        <f t="shared" si="339"/>
        <v/>
      </c>
      <c r="AS417" s="306">
        <f t="shared" si="362"/>
        <v>0</v>
      </c>
      <c r="AT417" s="307" t="e">
        <f t="shared" si="340"/>
        <v>#N/A</v>
      </c>
      <c r="AU417" s="307" t="e">
        <f t="shared" si="341"/>
        <v>#N/A</v>
      </c>
      <c r="AV417" s="304">
        <f t="shared" si="344"/>
        <v>0.52118754722097038</v>
      </c>
      <c r="AW417" s="309">
        <f t="shared" si="363"/>
        <v>0.52118754722097038</v>
      </c>
      <c r="AX417" s="306">
        <f>IF(ISERROR(Weather!M401),#N/A,Weather!M401)</f>
        <v>33</v>
      </c>
      <c r="AY417" s="310">
        <f t="shared" si="364"/>
        <v>1</v>
      </c>
      <c r="AZ417" s="309">
        <f t="shared" si="365"/>
        <v>1.2</v>
      </c>
      <c r="BA417" s="309">
        <f t="shared" si="366"/>
        <v>265.68800198471877</v>
      </c>
      <c r="BB417" s="311">
        <f>Irrig!H419</f>
        <v>0</v>
      </c>
      <c r="BC417" s="310">
        <f t="shared" si="367"/>
        <v>0</v>
      </c>
      <c r="BD417" s="309">
        <f t="shared" si="368"/>
        <v>0</v>
      </c>
      <c r="BE417" s="309">
        <f t="shared" si="369"/>
        <v>0</v>
      </c>
      <c r="BF417" s="306">
        <f>DailyMet!H401</f>
        <v>-0.75</v>
      </c>
      <c r="BG417" s="306">
        <f>DailyMet!I401</f>
        <v>-3.4</v>
      </c>
      <c r="BH417" s="306">
        <f t="shared" si="370"/>
        <v>-0.75</v>
      </c>
      <c r="BI417" s="306">
        <f t="shared" si="371"/>
        <v>10</v>
      </c>
      <c r="BJ417" s="306">
        <f t="shared" si="372"/>
        <v>-5.375</v>
      </c>
      <c r="BK417" s="306">
        <f t="shared" si="343"/>
        <v>0</v>
      </c>
      <c r="BL417" s="304">
        <f t="shared" si="373"/>
        <v>0</v>
      </c>
      <c r="BM417" s="304">
        <f t="shared" si="374"/>
        <v>0</v>
      </c>
      <c r="BN417" s="304">
        <f t="shared" si="391"/>
        <v>0</v>
      </c>
      <c r="BO417" s="306">
        <f t="shared" si="392"/>
        <v>0</v>
      </c>
      <c r="BP417" s="306"/>
    </row>
    <row r="418" spans="1:68">
      <c r="A418" s="299">
        <f t="shared" si="345"/>
        <v>0</v>
      </c>
      <c r="B418" s="300">
        <f t="shared" si="346"/>
        <v>38383</v>
      </c>
      <c r="C418" s="301" t="e">
        <f t="shared" si="375"/>
        <v>#N/A</v>
      </c>
      <c r="D418" s="301" t="e">
        <f t="shared" si="347"/>
        <v>#N/A</v>
      </c>
      <c r="E418" s="299">
        <f t="shared" si="348"/>
        <v>397</v>
      </c>
      <c r="F418" s="396">
        <f>Weather!M402</f>
        <v>0</v>
      </c>
      <c r="G418" s="301">
        <f>IF(Weather!C402="","",Weather!C402)</f>
        <v>0.30526560566738997</v>
      </c>
      <c r="H418" s="301">
        <f>IF(Weather!D402="","",Weather!D402)</f>
        <v>0.4462916169068708</v>
      </c>
      <c r="I418" s="502">
        <f>IF(Weather!E402="","",Weather!E402)</f>
        <v>0.4462916169068708</v>
      </c>
      <c r="J418" s="397">
        <f>IF(RnSplint!N81&lt;0,0,RnSplint!N81)</f>
        <v>31.144114534268247</v>
      </c>
      <c r="K418" s="302">
        <f t="shared" si="376"/>
        <v>0</v>
      </c>
      <c r="L418" s="303">
        <f t="shared" si="377"/>
        <v>38383</v>
      </c>
      <c r="M418" s="346">
        <f t="shared" si="342"/>
        <v>1</v>
      </c>
      <c r="N418" s="304">
        <f t="shared" si="378"/>
        <v>0</v>
      </c>
      <c r="O418" s="304">
        <f t="shared" si="379"/>
        <v>0</v>
      </c>
      <c r="P418" s="304">
        <f t="shared" si="349"/>
        <v>0</v>
      </c>
      <c r="Q418" s="304">
        <f t="shared" si="350"/>
        <v>1.2</v>
      </c>
      <c r="R418" s="304">
        <f t="shared" si="351"/>
        <v>1.2</v>
      </c>
      <c r="S418" s="305" t="e">
        <f t="shared" si="380"/>
        <v>#N/A</v>
      </c>
      <c r="T418" s="304">
        <f t="shared" si="352"/>
        <v>0</v>
      </c>
      <c r="U418" s="304">
        <f t="shared" si="390"/>
        <v>0</v>
      </c>
      <c r="V418" s="305" t="e">
        <f t="shared" si="353"/>
        <v>#N/A</v>
      </c>
      <c r="W418" s="305" t="e">
        <f t="shared" si="381"/>
        <v>#N/A</v>
      </c>
      <c r="X418" s="304">
        <f t="shared" si="382"/>
        <v>1.2</v>
      </c>
      <c r="Z418" s="304" t="str">
        <f t="shared" si="354"/>
        <v/>
      </c>
      <c r="AA418" s="305" t="e">
        <f t="shared" si="355"/>
        <v>#N/A</v>
      </c>
      <c r="AB418" s="304">
        <f t="shared" si="356"/>
        <v>0.53554994028824499</v>
      </c>
      <c r="AC418" s="304" t="str">
        <f t="shared" si="383"/>
        <v/>
      </c>
      <c r="AD418" s="306">
        <f t="shared" si="357"/>
        <v>0</v>
      </c>
      <c r="AE418" s="307">
        <f t="shared" si="384"/>
        <v>0.53554994028824499</v>
      </c>
      <c r="AF418" s="308" t="e">
        <f t="shared" si="337"/>
        <v>#N/A</v>
      </c>
      <c r="AG418" s="306">
        <f t="shared" si="385"/>
        <v>693.52252721172931</v>
      </c>
      <c r="AH418" s="306">
        <f t="shared" si="358"/>
        <v>0</v>
      </c>
      <c r="AI418" s="306">
        <f t="shared" si="386"/>
        <v>0</v>
      </c>
      <c r="AJ418" s="306">
        <f t="shared" si="387"/>
        <v>0</v>
      </c>
      <c r="AK418" s="306">
        <f t="shared" si="359"/>
        <v>0</v>
      </c>
      <c r="AL418" s="306">
        <f t="shared" si="388"/>
        <v>0</v>
      </c>
      <c r="AM418" s="306">
        <f t="shared" si="360"/>
        <v>0</v>
      </c>
      <c r="AN418" s="306"/>
      <c r="AO418" s="304" t="str">
        <f t="shared" si="361"/>
        <v/>
      </c>
      <c r="AP418" s="304" t="str">
        <f t="shared" si="389"/>
        <v/>
      </c>
      <c r="AQ418" s="305" t="e">
        <f t="shared" si="338"/>
        <v>#N/A</v>
      </c>
      <c r="AR418" s="304" t="str">
        <f t="shared" si="339"/>
        <v/>
      </c>
      <c r="AS418" s="306">
        <f t="shared" si="362"/>
        <v>0</v>
      </c>
      <c r="AT418" s="307" t="e">
        <f t="shared" si="340"/>
        <v>#N/A</v>
      </c>
      <c r="AU418" s="307" t="e">
        <f t="shared" si="341"/>
        <v>#N/A</v>
      </c>
      <c r="AV418" s="304">
        <f t="shared" si="344"/>
        <v>0.4462916169068708</v>
      </c>
      <c r="AW418" s="309">
        <f t="shared" si="363"/>
        <v>0.96747916412784118</v>
      </c>
      <c r="AX418" s="306">
        <f>IF(ISERROR(Weather!M402),#N/A,Weather!M402)</f>
        <v>0</v>
      </c>
      <c r="AY418" s="310">
        <f t="shared" si="364"/>
        <v>2</v>
      </c>
      <c r="AZ418" s="309">
        <f t="shared" si="365"/>
        <v>1.2</v>
      </c>
      <c r="BA418" s="309">
        <f t="shared" si="366"/>
        <v>266.13429360162564</v>
      </c>
      <c r="BB418" s="311">
        <f>Irrig!H420</f>
        <v>0</v>
      </c>
      <c r="BC418" s="310">
        <f t="shared" si="367"/>
        <v>0</v>
      </c>
      <c r="BD418" s="309">
        <f t="shared" si="368"/>
        <v>0</v>
      </c>
      <c r="BE418" s="309">
        <f t="shared" si="369"/>
        <v>0</v>
      </c>
      <c r="BF418" s="306">
        <f>DailyMet!H402</f>
        <v>-1.7</v>
      </c>
      <c r="BG418" s="306">
        <f>DailyMet!I402</f>
        <v>-2.7</v>
      </c>
      <c r="BH418" s="306">
        <f t="shared" si="370"/>
        <v>-1.7</v>
      </c>
      <c r="BI418" s="306">
        <f t="shared" si="371"/>
        <v>10</v>
      </c>
      <c r="BJ418" s="306">
        <f t="shared" si="372"/>
        <v>-5.85</v>
      </c>
      <c r="BK418" s="306">
        <f t="shared" si="343"/>
        <v>0</v>
      </c>
      <c r="BL418" s="304">
        <f t="shared" si="373"/>
        <v>0</v>
      </c>
      <c r="BM418" s="304">
        <f t="shared" si="374"/>
        <v>0</v>
      </c>
      <c r="BN418" s="304">
        <f t="shared" si="391"/>
        <v>0</v>
      </c>
      <c r="BO418" s="306">
        <f t="shared" si="392"/>
        <v>0</v>
      </c>
      <c r="BP418" s="306"/>
    </row>
    <row r="419" spans="1:68">
      <c r="A419" s="299">
        <f t="shared" si="345"/>
        <v>0</v>
      </c>
      <c r="B419" s="300">
        <f t="shared" si="346"/>
        <v>38384</v>
      </c>
      <c r="C419" s="301" t="e">
        <f t="shared" si="375"/>
        <v>#N/A</v>
      </c>
      <c r="D419" s="301" t="e">
        <f t="shared" si="347"/>
        <v>#N/A</v>
      </c>
      <c r="E419" s="299">
        <f t="shared" si="348"/>
        <v>398</v>
      </c>
      <c r="F419" s="396">
        <f>Weather!M403</f>
        <v>1</v>
      </c>
      <c r="G419" s="301">
        <f>IF(Weather!C403="","",Weather!C403)</f>
        <v>0.3093112165464747</v>
      </c>
      <c r="H419" s="301">
        <f>IF(Weather!D403="","",Weather!D403)</f>
        <v>0.34063662232689529</v>
      </c>
      <c r="I419" s="502">
        <f>IF(Weather!E403="","",Weather!E403)</f>
        <v>0.34063662232689529</v>
      </c>
      <c r="J419" s="397">
        <f>IF(RnSplint!N82&lt;0,0,RnSplint!N82)</f>
        <v>30.913691400190057</v>
      </c>
      <c r="K419" s="302">
        <f t="shared" si="376"/>
        <v>0</v>
      </c>
      <c r="L419" s="303">
        <f t="shared" si="377"/>
        <v>38384</v>
      </c>
      <c r="M419" s="346" t="str">
        <f t="shared" si="342"/>
        <v/>
      </c>
      <c r="N419" s="304">
        <f t="shared" si="378"/>
        <v>0</v>
      </c>
      <c r="O419" s="304">
        <f t="shared" si="379"/>
        <v>0</v>
      </c>
      <c r="P419" s="304">
        <f t="shared" si="349"/>
        <v>0</v>
      </c>
      <c r="Q419" s="304">
        <f t="shared" si="350"/>
        <v>1.2</v>
      </c>
      <c r="R419" s="304">
        <f t="shared" si="351"/>
        <v>1.2</v>
      </c>
      <c r="S419" s="305" t="e">
        <f t="shared" si="380"/>
        <v>#N/A</v>
      </c>
      <c r="T419" s="304">
        <f t="shared" si="352"/>
        <v>0</v>
      </c>
      <c r="U419" s="304">
        <f t="shared" si="390"/>
        <v>0</v>
      </c>
      <c r="V419" s="305" t="e">
        <f t="shared" si="353"/>
        <v>#N/A</v>
      </c>
      <c r="W419" s="305" t="e">
        <f t="shared" si="381"/>
        <v>#N/A</v>
      </c>
      <c r="X419" s="304">
        <f t="shared" si="382"/>
        <v>1.2</v>
      </c>
      <c r="Z419" s="304" t="str">
        <f t="shared" si="354"/>
        <v/>
      </c>
      <c r="AA419" s="305" t="e">
        <f t="shared" si="355"/>
        <v>#N/A</v>
      </c>
      <c r="AB419" s="304">
        <f t="shared" si="356"/>
        <v>0.40876394679227435</v>
      </c>
      <c r="AC419" s="304" t="str">
        <f t="shared" si="383"/>
        <v/>
      </c>
      <c r="AD419" s="306">
        <f t="shared" si="357"/>
        <v>0</v>
      </c>
      <c r="AE419" s="307">
        <f t="shared" si="384"/>
        <v>0.40876394679227435</v>
      </c>
      <c r="AF419" s="308" t="e">
        <f t="shared" si="337"/>
        <v>#N/A</v>
      </c>
      <c r="AG419" s="306">
        <f t="shared" si="385"/>
        <v>693.86316383405619</v>
      </c>
      <c r="AH419" s="306">
        <f t="shared" si="358"/>
        <v>0</v>
      </c>
      <c r="AI419" s="306">
        <f t="shared" si="386"/>
        <v>0</v>
      </c>
      <c r="AJ419" s="306">
        <f t="shared" si="387"/>
        <v>0</v>
      </c>
      <c r="AK419" s="306">
        <f t="shared" si="359"/>
        <v>0</v>
      </c>
      <c r="AL419" s="306">
        <f t="shared" si="388"/>
        <v>0</v>
      </c>
      <c r="AM419" s="306">
        <f t="shared" si="360"/>
        <v>0</v>
      </c>
      <c r="AN419" s="306"/>
      <c r="AO419" s="304" t="str">
        <f t="shared" si="361"/>
        <v/>
      </c>
      <c r="AP419" s="304" t="str">
        <f t="shared" si="389"/>
        <v/>
      </c>
      <c r="AQ419" s="305" t="e">
        <f t="shared" si="338"/>
        <v>#N/A</v>
      </c>
      <c r="AR419" s="304" t="str">
        <f t="shared" si="339"/>
        <v/>
      </c>
      <c r="AS419" s="306">
        <f t="shared" si="362"/>
        <v>0</v>
      </c>
      <c r="AT419" s="307" t="e">
        <f t="shared" si="340"/>
        <v>#N/A</v>
      </c>
      <c r="AU419" s="307" t="e">
        <f t="shared" si="341"/>
        <v>#N/A</v>
      </c>
      <c r="AV419" s="304">
        <f t="shared" si="344"/>
        <v>0.34063662232689529</v>
      </c>
      <c r="AW419" s="309">
        <f t="shared" si="363"/>
        <v>0.34063662232689529</v>
      </c>
      <c r="AX419" s="306">
        <f>IF(ISERROR(Weather!M403),#N/A,Weather!M403)</f>
        <v>1</v>
      </c>
      <c r="AY419" s="310">
        <f t="shared" si="364"/>
        <v>1</v>
      </c>
      <c r="AZ419" s="309">
        <f t="shared" si="365"/>
        <v>1.2</v>
      </c>
      <c r="BA419" s="309">
        <f t="shared" si="366"/>
        <v>266.47493022395253</v>
      </c>
      <c r="BB419" s="311">
        <f>Irrig!H421</f>
        <v>0</v>
      </c>
      <c r="BC419" s="310">
        <f t="shared" si="367"/>
        <v>0</v>
      </c>
      <c r="BD419" s="309">
        <f t="shared" si="368"/>
        <v>0</v>
      </c>
      <c r="BE419" s="309">
        <f t="shared" si="369"/>
        <v>0</v>
      </c>
      <c r="BF419" s="306">
        <f>DailyMet!H403</f>
        <v>-2.08</v>
      </c>
      <c r="BG419" s="306">
        <f>DailyMet!I403</f>
        <v>-9.8000000000000007</v>
      </c>
      <c r="BH419" s="306">
        <f t="shared" si="370"/>
        <v>-2.08</v>
      </c>
      <c r="BI419" s="306">
        <f t="shared" si="371"/>
        <v>10</v>
      </c>
      <c r="BJ419" s="306">
        <f t="shared" si="372"/>
        <v>-6.04</v>
      </c>
      <c r="BK419" s="306">
        <f t="shared" si="343"/>
        <v>0</v>
      </c>
      <c r="BL419" s="304">
        <f t="shared" si="373"/>
        <v>0</v>
      </c>
      <c r="BM419" s="304">
        <f t="shared" si="374"/>
        <v>0</v>
      </c>
      <c r="BN419" s="304">
        <f t="shared" si="391"/>
        <v>0</v>
      </c>
      <c r="BO419" s="306">
        <f t="shared" si="392"/>
        <v>0</v>
      </c>
      <c r="BP419" s="306"/>
    </row>
    <row r="420" spans="1:68">
      <c r="A420" s="299">
        <f t="shared" si="345"/>
        <v>0</v>
      </c>
      <c r="B420" s="300">
        <f t="shared" si="346"/>
        <v>38385</v>
      </c>
      <c r="C420" s="301" t="e">
        <f t="shared" si="375"/>
        <v>#N/A</v>
      </c>
      <c r="D420" s="301" t="e">
        <f t="shared" si="347"/>
        <v>#N/A</v>
      </c>
      <c r="E420" s="299">
        <f t="shared" si="348"/>
        <v>399</v>
      </c>
      <c r="F420" s="396">
        <f>Weather!M404</f>
        <v>15</v>
      </c>
      <c r="G420" s="301">
        <f>IF(Weather!C404="","",Weather!C404)</f>
        <v>0.31420902348774604</v>
      </c>
      <c r="H420" s="301">
        <f>IF(Weather!D404="","",Weather!D404)</f>
        <v>0.58582927143330044</v>
      </c>
      <c r="I420" s="502">
        <f>IF(Weather!E404="","",Weather!E404)</f>
        <v>0.58582927143330044</v>
      </c>
      <c r="J420" s="397">
        <f>IF(RnSplint!N83&lt;0,0,RnSplint!N83)</f>
        <v>30.673543979834918</v>
      </c>
      <c r="K420" s="302">
        <f t="shared" si="376"/>
        <v>0</v>
      </c>
      <c r="L420" s="303">
        <f t="shared" si="377"/>
        <v>38385</v>
      </c>
      <c r="M420" s="346" t="str">
        <f t="shared" si="342"/>
        <v/>
      </c>
      <c r="N420" s="304">
        <f t="shared" si="378"/>
        <v>0</v>
      </c>
      <c r="O420" s="304">
        <f t="shared" si="379"/>
        <v>0</v>
      </c>
      <c r="P420" s="304">
        <f t="shared" si="349"/>
        <v>0</v>
      </c>
      <c r="Q420" s="304">
        <f t="shared" si="350"/>
        <v>1.2</v>
      </c>
      <c r="R420" s="304">
        <f t="shared" si="351"/>
        <v>1.2</v>
      </c>
      <c r="S420" s="305" t="e">
        <f t="shared" si="380"/>
        <v>#N/A</v>
      </c>
      <c r="T420" s="304">
        <f t="shared" si="352"/>
        <v>0</v>
      </c>
      <c r="U420" s="304">
        <f t="shared" si="390"/>
        <v>0</v>
      </c>
      <c r="V420" s="305" t="e">
        <f t="shared" si="353"/>
        <v>#N/A</v>
      </c>
      <c r="W420" s="305" t="e">
        <f t="shared" si="381"/>
        <v>#N/A</v>
      </c>
      <c r="X420" s="304">
        <f t="shared" si="382"/>
        <v>1.2</v>
      </c>
      <c r="Z420" s="304" t="str">
        <f t="shared" si="354"/>
        <v/>
      </c>
      <c r="AA420" s="305" t="e">
        <f t="shared" si="355"/>
        <v>#N/A</v>
      </c>
      <c r="AB420" s="304">
        <f t="shared" si="356"/>
        <v>0.70299512571996048</v>
      </c>
      <c r="AC420" s="304" t="str">
        <f t="shared" si="383"/>
        <v/>
      </c>
      <c r="AD420" s="306">
        <f t="shared" si="357"/>
        <v>0</v>
      </c>
      <c r="AE420" s="307">
        <f t="shared" si="384"/>
        <v>0.70299512571996048</v>
      </c>
      <c r="AF420" s="308" t="e">
        <f t="shared" si="337"/>
        <v>#N/A</v>
      </c>
      <c r="AG420" s="306">
        <f t="shared" si="385"/>
        <v>694.44899310548954</v>
      </c>
      <c r="AH420" s="306">
        <f t="shared" si="358"/>
        <v>0</v>
      </c>
      <c r="AI420" s="306">
        <f t="shared" si="386"/>
        <v>0</v>
      </c>
      <c r="AJ420" s="306">
        <f t="shared" si="387"/>
        <v>0</v>
      </c>
      <c r="AK420" s="306">
        <f t="shared" si="359"/>
        <v>0</v>
      </c>
      <c r="AL420" s="306">
        <f t="shared" si="388"/>
        <v>0</v>
      </c>
      <c r="AM420" s="306">
        <f t="shared" si="360"/>
        <v>0</v>
      </c>
      <c r="AN420" s="306"/>
      <c r="AO420" s="304" t="str">
        <f t="shared" si="361"/>
        <v/>
      </c>
      <c r="AP420" s="304" t="str">
        <f t="shared" si="389"/>
        <v/>
      </c>
      <c r="AQ420" s="305" t="e">
        <f t="shared" si="338"/>
        <v>#N/A</v>
      </c>
      <c r="AR420" s="304" t="str">
        <f t="shared" si="339"/>
        <v/>
      </c>
      <c r="AS420" s="306">
        <f t="shared" si="362"/>
        <v>0</v>
      </c>
      <c r="AT420" s="307" t="e">
        <f t="shared" si="340"/>
        <v>#N/A</v>
      </c>
      <c r="AU420" s="307" t="e">
        <f t="shared" si="341"/>
        <v>#N/A</v>
      </c>
      <c r="AV420" s="304">
        <f t="shared" si="344"/>
        <v>0.58582927143330044</v>
      </c>
      <c r="AW420" s="309">
        <f t="shared" si="363"/>
        <v>0.58582927143330044</v>
      </c>
      <c r="AX420" s="306">
        <f>IF(ISERROR(Weather!M404),#N/A,Weather!M404)</f>
        <v>15</v>
      </c>
      <c r="AY420" s="310">
        <f t="shared" si="364"/>
        <v>1</v>
      </c>
      <c r="AZ420" s="309">
        <f t="shared" si="365"/>
        <v>1.2</v>
      </c>
      <c r="BA420" s="309">
        <f t="shared" si="366"/>
        <v>267.06075949538581</v>
      </c>
      <c r="BB420" s="311">
        <f>Irrig!H422</f>
        <v>0</v>
      </c>
      <c r="BC420" s="310">
        <f t="shared" si="367"/>
        <v>0</v>
      </c>
      <c r="BD420" s="309">
        <f t="shared" si="368"/>
        <v>0</v>
      </c>
      <c r="BE420" s="309">
        <f t="shared" si="369"/>
        <v>0</v>
      </c>
      <c r="BF420" s="306">
        <f>DailyMet!H404</f>
        <v>-6.13</v>
      </c>
      <c r="BG420" s="306">
        <f>DailyMet!I404</f>
        <v>-11.8</v>
      </c>
      <c r="BH420" s="306">
        <f t="shared" si="370"/>
        <v>-6.13</v>
      </c>
      <c r="BI420" s="306">
        <f t="shared" si="371"/>
        <v>10</v>
      </c>
      <c r="BJ420" s="306">
        <f t="shared" si="372"/>
        <v>-8.0649999999999995</v>
      </c>
      <c r="BK420" s="306">
        <f t="shared" si="343"/>
        <v>0</v>
      </c>
      <c r="BL420" s="304">
        <f t="shared" si="373"/>
        <v>0</v>
      </c>
      <c r="BM420" s="304">
        <f t="shared" si="374"/>
        <v>0</v>
      </c>
      <c r="BN420" s="304">
        <f t="shared" si="391"/>
        <v>0</v>
      </c>
      <c r="BO420" s="306">
        <f t="shared" si="392"/>
        <v>0</v>
      </c>
      <c r="BP420" s="306"/>
    </row>
    <row r="421" spans="1:68">
      <c r="A421" s="299">
        <f t="shared" si="345"/>
        <v>0</v>
      </c>
      <c r="B421" s="300">
        <f t="shared" si="346"/>
        <v>38386</v>
      </c>
      <c r="C421" s="301" t="e">
        <f t="shared" si="375"/>
        <v>#N/A</v>
      </c>
      <c r="D421" s="301" t="e">
        <f t="shared" si="347"/>
        <v>#N/A</v>
      </c>
      <c r="E421" s="299">
        <f t="shared" si="348"/>
        <v>400</v>
      </c>
      <c r="F421" s="396">
        <f>Weather!M405</f>
        <v>0</v>
      </c>
      <c r="G421" s="301">
        <f>IF(Weather!C405="","",Weather!C405)</f>
        <v>0.3200383621137402</v>
      </c>
      <c r="H421" s="301">
        <f>IF(Weather!D405="","",Weather!D405)</f>
        <v>0.43557071163111061</v>
      </c>
      <c r="I421" s="502">
        <f>IF(Weather!E405="","",Weather!E405)</f>
        <v>0.43557071163111061</v>
      </c>
      <c r="J421" s="397">
        <f>IF(RnSplint!N84&lt;0,0,RnSplint!N84)</f>
        <v>30.426328095713899</v>
      </c>
      <c r="K421" s="302">
        <f t="shared" si="376"/>
        <v>0</v>
      </c>
      <c r="L421" s="303">
        <f t="shared" si="377"/>
        <v>38386</v>
      </c>
      <c r="M421" s="346" t="str">
        <f t="shared" si="342"/>
        <v/>
      </c>
      <c r="N421" s="304">
        <f t="shared" si="378"/>
        <v>0</v>
      </c>
      <c r="O421" s="304">
        <f t="shared" si="379"/>
        <v>0</v>
      </c>
      <c r="P421" s="304">
        <f t="shared" si="349"/>
        <v>0</v>
      </c>
      <c r="Q421" s="304">
        <f t="shared" si="350"/>
        <v>1.2</v>
      </c>
      <c r="R421" s="304">
        <f t="shared" si="351"/>
        <v>1.2</v>
      </c>
      <c r="S421" s="305" t="e">
        <f t="shared" si="380"/>
        <v>#N/A</v>
      </c>
      <c r="T421" s="304">
        <f t="shared" si="352"/>
        <v>0</v>
      </c>
      <c r="U421" s="304">
        <f t="shared" si="390"/>
        <v>0</v>
      </c>
      <c r="V421" s="305" t="e">
        <f t="shared" si="353"/>
        <v>#N/A</v>
      </c>
      <c r="W421" s="305" t="e">
        <f t="shared" si="381"/>
        <v>#N/A</v>
      </c>
      <c r="X421" s="304">
        <f t="shared" si="382"/>
        <v>1.2</v>
      </c>
      <c r="Z421" s="304" t="str">
        <f t="shared" si="354"/>
        <v/>
      </c>
      <c r="AA421" s="305" t="e">
        <f t="shared" si="355"/>
        <v>#N/A</v>
      </c>
      <c r="AB421" s="304">
        <f t="shared" si="356"/>
        <v>0.52268485395733266</v>
      </c>
      <c r="AC421" s="304" t="str">
        <f t="shared" si="383"/>
        <v/>
      </c>
      <c r="AD421" s="306">
        <f t="shared" si="357"/>
        <v>0</v>
      </c>
      <c r="AE421" s="307">
        <f t="shared" si="384"/>
        <v>0.52268485395733266</v>
      </c>
      <c r="AF421" s="308" t="e">
        <f t="shared" si="337"/>
        <v>#N/A</v>
      </c>
      <c r="AG421" s="306">
        <f t="shared" si="385"/>
        <v>694.88456381712069</v>
      </c>
      <c r="AH421" s="306">
        <f t="shared" si="358"/>
        <v>0</v>
      </c>
      <c r="AI421" s="306">
        <f t="shared" si="386"/>
        <v>0</v>
      </c>
      <c r="AJ421" s="306">
        <f t="shared" si="387"/>
        <v>0</v>
      </c>
      <c r="AK421" s="306">
        <f t="shared" si="359"/>
        <v>0</v>
      </c>
      <c r="AL421" s="306">
        <f t="shared" si="388"/>
        <v>0</v>
      </c>
      <c r="AM421" s="306">
        <f t="shared" si="360"/>
        <v>0</v>
      </c>
      <c r="AN421" s="306"/>
      <c r="AO421" s="304" t="str">
        <f t="shared" si="361"/>
        <v/>
      </c>
      <c r="AP421" s="304" t="str">
        <f t="shared" si="389"/>
        <v/>
      </c>
      <c r="AQ421" s="305" t="e">
        <f t="shared" si="338"/>
        <v>#N/A</v>
      </c>
      <c r="AR421" s="304" t="str">
        <f t="shared" si="339"/>
        <v/>
      </c>
      <c r="AS421" s="306">
        <f t="shared" si="362"/>
        <v>0</v>
      </c>
      <c r="AT421" s="307" t="e">
        <f t="shared" si="340"/>
        <v>#N/A</v>
      </c>
      <c r="AU421" s="307" t="e">
        <f t="shared" si="341"/>
        <v>#N/A</v>
      </c>
      <c r="AV421" s="304">
        <f t="shared" si="344"/>
        <v>0.43557071163111061</v>
      </c>
      <c r="AW421" s="309">
        <f t="shared" si="363"/>
        <v>1.0213999830644109</v>
      </c>
      <c r="AX421" s="306">
        <f>IF(ISERROR(Weather!M405),#N/A,Weather!M405)</f>
        <v>0</v>
      </c>
      <c r="AY421" s="310">
        <f t="shared" si="364"/>
        <v>2</v>
      </c>
      <c r="AZ421" s="309">
        <f t="shared" si="365"/>
        <v>1.2</v>
      </c>
      <c r="BA421" s="309">
        <f t="shared" si="366"/>
        <v>267.49633020701691</v>
      </c>
      <c r="BB421" s="311">
        <f>Irrig!H423</f>
        <v>0</v>
      </c>
      <c r="BC421" s="310">
        <f t="shared" si="367"/>
        <v>0</v>
      </c>
      <c r="BD421" s="309">
        <f t="shared" si="368"/>
        <v>0</v>
      </c>
      <c r="BE421" s="309">
        <f t="shared" si="369"/>
        <v>0</v>
      </c>
      <c r="BF421" s="306">
        <f>DailyMet!H405</f>
        <v>-5.27</v>
      </c>
      <c r="BG421" s="306">
        <f>DailyMet!I405</f>
        <v>-9.1</v>
      </c>
      <c r="BH421" s="306">
        <f t="shared" si="370"/>
        <v>-5.27</v>
      </c>
      <c r="BI421" s="306">
        <f t="shared" si="371"/>
        <v>10</v>
      </c>
      <c r="BJ421" s="306">
        <f t="shared" si="372"/>
        <v>-7.6349999999999998</v>
      </c>
      <c r="BK421" s="306">
        <f t="shared" si="343"/>
        <v>0</v>
      </c>
      <c r="BL421" s="304">
        <f t="shared" si="373"/>
        <v>0</v>
      </c>
      <c r="BM421" s="304">
        <f t="shared" si="374"/>
        <v>0</v>
      </c>
      <c r="BN421" s="304">
        <f t="shared" si="391"/>
        <v>0</v>
      </c>
      <c r="BO421" s="306">
        <f t="shared" si="392"/>
        <v>0</v>
      </c>
      <c r="BP421" s="306"/>
    </row>
    <row r="422" spans="1:68">
      <c r="A422" s="299">
        <f t="shared" si="345"/>
        <v>0</v>
      </c>
      <c r="B422" s="300">
        <f t="shared" si="346"/>
        <v>38387</v>
      </c>
      <c r="C422" s="301" t="e">
        <f t="shared" si="375"/>
        <v>#N/A</v>
      </c>
      <c r="D422" s="301" t="e">
        <f t="shared" si="347"/>
        <v>#N/A</v>
      </c>
      <c r="E422" s="299">
        <f t="shared" si="348"/>
        <v>401</v>
      </c>
      <c r="F422" s="396">
        <f>Weather!M406</f>
        <v>0</v>
      </c>
      <c r="G422" s="301">
        <f>IF(Weather!C406="","",Weather!C406)</f>
        <v>0.32687856804699328</v>
      </c>
      <c r="H422" s="301">
        <f>IF(Weather!D406="","",Weather!D406)</f>
        <v>0.29668482018556935</v>
      </c>
      <c r="I422" s="502">
        <f>IF(Weather!E406="","",Weather!E406)</f>
        <v>0.29668482018556935</v>
      </c>
      <c r="J422" s="397">
        <f>IF(RnSplint!N85&lt;0,0,RnSplint!N85)</f>
        <v>30.174699570338067</v>
      </c>
      <c r="K422" s="302">
        <f t="shared" si="376"/>
        <v>0</v>
      </c>
      <c r="L422" s="303">
        <f t="shared" si="377"/>
        <v>38387</v>
      </c>
      <c r="M422" s="346" t="str">
        <f t="shared" si="342"/>
        <v/>
      </c>
      <c r="N422" s="304">
        <f t="shared" si="378"/>
        <v>0</v>
      </c>
      <c r="O422" s="304">
        <f t="shared" si="379"/>
        <v>0</v>
      </c>
      <c r="P422" s="304">
        <f t="shared" si="349"/>
        <v>0</v>
      </c>
      <c r="Q422" s="304">
        <f t="shared" si="350"/>
        <v>1.2</v>
      </c>
      <c r="R422" s="304">
        <f t="shared" si="351"/>
        <v>1.2</v>
      </c>
      <c r="S422" s="305" t="e">
        <f t="shared" si="380"/>
        <v>#N/A</v>
      </c>
      <c r="T422" s="304">
        <f t="shared" si="352"/>
        <v>0</v>
      </c>
      <c r="U422" s="304">
        <f t="shared" si="390"/>
        <v>0</v>
      </c>
      <c r="V422" s="305" t="e">
        <f t="shared" si="353"/>
        <v>#N/A</v>
      </c>
      <c r="W422" s="305" t="e">
        <f t="shared" si="381"/>
        <v>#N/A</v>
      </c>
      <c r="X422" s="304">
        <f t="shared" si="382"/>
        <v>1.2</v>
      </c>
      <c r="Z422" s="304" t="str">
        <f t="shared" si="354"/>
        <v/>
      </c>
      <c r="AA422" s="305" t="e">
        <f t="shared" si="355"/>
        <v>#N/A</v>
      </c>
      <c r="AB422" s="304">
        <f t="shared" si="356"/>
        <v>0.35602178422268321</v>
      </c>
      <c r="AC422" s="304" t="str">
        <f t="shared" si="383"/>
        <v/>
      </c>
      <c r="AD422" s="306">
        <f t="shared" si="357"/>
        <v>0</v>
      </c>
      <c r="AE422" s="307">
        <f t="shared" si="384"/>
        <v>0.35602178422268321</v>
      </c>
      <c r="AF422" s="308" t="e">
        <f t="shared" si="337"/>
        <v>#N/A</v>
      </c>
      <c r="AG422" s="306">
        <f t="shared" si="385"/>
        <v>695.18124863730623</v>
      </c>
      <c r="AH422" s="306">
        <f t="shared" si="358"/>
        <v>0</v>
      </c>
      <c r="AI422" s="306">
        <f t="shared" si="386"/>
        <v>0</v>
      </c>
      <c r="AJ422" s="306">
        <f t="shared" si="387"/>
        <v>0</v>
      </c>
      <c r="AK422" s="306">
        <f t="shared" si="359"/>
        <v>0</v>
      </c>
      <c r="AL422" s="306">
        <f t="shared" si="388"/>
        <v>0</v>
      </c>
      <c r="AM422" s="306">
        <f t="shared" si="360"/>
        <v>0</v>
      </c>
      <c r="AN422" s="306"/>
      <c r="AO422" s="304" t="str">
        <f t="shared" si="361"/>
        <v/>
      </c>
      <c r="AP422" s="304" t="str">
        <f t="shared" si="389"/>
        <v/>
      </c>
      <c r="AQ422" s="305" t="e">
        <f t="shared" si="338"/>
        <v>#N/A</v>
      </c>
      <c r="AR422" s="304" t="str">
        <f t="shared" si="339"/>
        <v/>
      </c>
      <c r="AS422" s="306">
        <f t="shared" si="362"/>
        <v>0</v>
      </c>
      <c r="AT422" s="307" t="e">
        <f t="shared" si="340"/>
        <v>#N/A</v>
      </c>
      <c r="AU422" s="307" t="e">
        <f t="shared" si="341"/>
        <v>#N/A</v>
      </c>
      <c r="AV422" s="304">
        <f t="shared" si="344"/>
        <v>0.29668482018556935</v>
      </c>
      <c r="AW422" s="309">
        <f t="shared" si="363"/>
        <v>1.3180848032499803</v>
      </c>
      <c r="AX422" s="306">
        <f>IF(ISERROR(Weather!M406),#N/A,Weather!M406)</f>
        <v>0</v>
      </c>
      <c r="AY422" s="310">
        <f t="shared" si="364"/>
        <v>3</v>
      </c>
      <c r="AZ422" s="309">
        <f t="shared" si="365"/>
        <v>1.2</v>
      </c>
      <c r="BA422" s="309">
        <f t="shared" si="366"/>
        <v>267.7930150272025</v>
      </c>
      <c r="BB422" s="311">
        <f>Irrig!H424</f>
        <v>0</v>
      </c>
      <c r="BC422" s="310">
        <f t="shared" si="367"/>
        <v>0</v>
      </c>
      <c r="BD422" s="309">
        <f t="shared" si="368"/>
        <v>0</v>
      </c>
      <c r="BE422" s="309">
        <f t="shared" si="369"/>
        <v>0</v>
      </c>
      <c r="BF422" s="306">
        <f>DailyMet!H406</f>
        <v>-6.22</v>
      </c>
      <c r="BG422" s="306">
        <f>DailyMet!I406</f>
        <v>-10.9</v>
      </c>
      <c r="BH422" s="306">
        <f t="shared" si="370"/>
        <v>-6.22</v>
      </c>
      <c r="BI422" s="306">
        <f t="shared" si="371"/>
        <v>10</v>
      </c>
      <c r="BJ422" s="306">
        <f t="shared" si="372"/>
        <v>-8.11</v>
      </c>
      <c r="BK422" s="306">
        <f t="shared" si="343"/>
        <v>0</v>
      </c>
      <c r="BL422" s="304">
        <f t="shared" si="373"/>
        <v>0</v>
      </c>
      <c r="BM422" s="304">
        <f t="shared" si="374"/>
        <v>0</v>
      </c>
      <c r="BN422" s="304">
        <f t="shared" si="391"/>
        <v>0</v>
      </c>
      <c r="BO422" s="306">
        <f t="shared" si="392"/>
        <v>0</v>
      </c>
      <c r="BP422" s="306"/>
    </row>
    <row r="423" spans="1:68">
      <c r="A423" s="299">
        <f t="shared" si="345"/>
        <v>0</v>
      </c>
      <c r="B423" s="300">
        <f t="shared" si="346"/>
        <v>38388</v>
      </c>
      <c r="C423" s="301" t="e">
        <f t="shared" si="375"/>
        <v>#N/A</v>
      </c>
      <c r="D423" s="301" t="e">
        <f t="shared" si="347"/>
        <v>#N/A</v>
      </c>
      <c r="E423" s="299">
        <f t="shared" si="348"/>
        <v>402</v>
      </c>
      <c r="F423" s="396">
        <f>Weather!M407</f>
        <v>0</v>
      </c>
      <c r="G423" s="301">
        <f>IF(Weather!C407="","",Weather!C407)</f>
        <v>0.33480897691004141</v>
      </c>
      <c r="H423" s="301">
        <f>IF(Weather!D407="","",Weather!D407)</f>
        <v>0.29163966521745566</v>
      </c>
      <c r="I423" s="502">
        <f>IF(Weather!E407="","",Weather!E407)</f>
        <v>0.29163966521745566</v>
      </c>
      <c r="J423" s="397">
        <f>IF(RnSplint!N86&lt;0,0,RnSplint!N86)</f>
        <v>29.921314226218492</v>
      </c>
      <c r="K423" s="302">
        <f t="shared" si="376"/>
        <v>0</v>
      </c>
      <c r="L423" s="303">
        <f t="shared" si="377"/>
        <v>38388</v>
      </c>
      <c r="M423" s="346" t="str">
        <f t="shared" si="342"/>
        <v/>
      </c>
      <c r="N423" s="304">
        <f t="shared" si="378"/>
        <v>0</v>
      </c>
      <c r="O423" s="304">
        <f t="shared" si="379"/>
        <v>0</v>
      </c>
      <c r="P423" s="304">
        <f t="shared" si="349"/>
        <v>0</v>
      </c>
      <c r="Q423" s="304">
        <f t="shared" si="350"/>
        <v>1.2</v>
      </c>
      <c r="R423" s="304">
        <f t="shared" si="351"/>
        <v>1.2</v>
      </c>
      <c r="S423" s="305" t="e">
        <f t="shared" si="380"/>
        <v>#N/A</v>
      </c>
      <c r="T423" s="304">
        <f t="shared" si="352"/>
        <v>0</v>
      </c>
      <c r="U423" s="304">
        <f t="shared" si="390"/>
        <v>0</v>
      </c>
      <c r="V423" s="305" t="e">
        <f t="shared" si="353"/>
        <v>#N/A</v>
      </c>
      <c r="W423" s="305" t="e">
        <f t="shared" si="381"/>
        <v>#N/A</v>
      </c>
      <c r="X423" s="304">
        <f t="shared" si="382"/>
        <v>1.2</v>
      </c>
      <c r="Z423" s="304" t="str">
        <f t="shared" si="354"/>
        <v/>
      </c>
      <c r="AA423" s="305" t="e">
        <f t="shared" si="355"/>
        <v>#N/A</v>
      </c>
      <c r="AB423" s="304">
        <f t="shared" si="356"/>
        <v>0.34996759826094676</v>
      </c>
      <c r="AC423" s="304" t="str">
        <f t="shared" si="383"/>
        <v/>
      </c>
      <c r="AD423" s="306">
        <f t="shared" si="357"/>
        <v>0</v>
      </c>
      <c r="AE423" s="307">
        <f t="shared" si="384"/>
        <v>0.34996759826094676</v>
      </c>
      <c r="AF423" s="308" t="e">
        <f t="shared" si="337"/>
        <v>#N/A</v>
      </c>
      <c r="AG423" s="306">
        <f t="shared" si="385"/>
        <v>695.47288830252364</v>
      </c>
      <c r="AH423" s="306">
        <f t="shared" si="358"/>
        <v>0</v>
      </c>
      <c r="AI423" s="306">
        <f t="shared" si="386"/>
        <v>0</v>
      </c>
      <c r="AJ423" s="306">
        <f t="shared" si="387"/>
        <v>0</v>
      </c>
      <c r="AK423" s="306">
        <f t="shared" si="359"/>
        <v>0</v>
      </c>
      <c r="AL423" s="306">
        <f t="shared" si="388"/>
        <v>0</v>
      </c>
      <c r="AM423" s="306">
        <f t="shared" si="360"/>
        <v>0</v>
      </c>
      <c r="AN423" s="306"/>
      <c r="AO423" s="304" t="str">
        <f t="shared" si="361"/>
        <v/>
      </c>
      <c r="AP423" s="304" t="str">
        <f t="shared" si="389"/>
        <v/>
      </c>
      <c r="AQ423" s="305" t="e">
        <f t="shared" si="338"/>
        <v>#N/A</v>
      </c>
      <c r="AR423" s="304" t="str">
        <f t="shared" si="339"/>
        <v/>
      </c>
      <c r="AS423" s="306">
        <f t="shared" si="362"/>
        <v>0</v>
      </c>
      <c r="AT423" s="307" t="e">
        <f t="shared" si="340"/>
        <v>#N/A</v>
      </c>
      <c r="AU423" s="307" t="e">
        <f t="shared" si="341"/>
        <v>#N/A</v>
      </c>
      <c r="AV423" s="304">
        <f t="shared" si="344"/>
        <v>0.29163966521745566</v>
      </c>
      <c r="AW423" s="309">
        <f t="shared" si="363"/>
        <v>1.6097244684674359</v>
      </c>
      <c r="AX423" s="306">
        <f>IF(ISERROR(Weather!M407),#N/A,Weather!M407)</f>
        <v>0</v>
      </c>
      <c r="AY423" s="310">
        <f t="shared" si="364"/>
        <v>4</v>
      </c>
      <c r="AZ423" s="309">
        <f t="shared" si="365"/>
        <v>1.2</v>
      </c>
      <c r="BA423" s="309">
        <f t="shared" si="366"/>
        <v>268.08465469241997</v>
      </c>
      <c r="BB423" s="311">
        <f>Irrig!H425</f>
        <v>0</v>
      </c>
      <c r="BC423" s="310">
        <f t="shared" si="367"/>
        <v>0</v>
      </c>
      <c r="BD423" s="309">
        <f t="shared" si="368"/>
        <v>0</v>
      </c>
      <c r="BE423" s="309">
        <f t="shared" si="369"/>
        <v>0</v>
      </c>
      <c r="BF423" s="306">
        <f>DailyMet!H407</f>
        <v>-7.96</v>
      </c>
      <c r="BG423" s="306">
        <f>DailyMet!I407</f>
        <v>-15.4</v>
      </c>
      <c r="BH423" s="306">
        <f t="shared" si="370"/>
        <v>-7.96</v>
      </c>
      <c r="BI423" s="306">
        <f t="shared" si="371"/>
        <v>10</v>
      </c>
      <c r="BJ423" s="306">
        <f t="shared" si="372"/>
        <v>-8.98</v>
      </c>
      <c r="BK423" s="306">
        <f t="shared" si="343"/>
        <v>0</v>
      </c>
      <c r="BL423" s="304">
        <f t="shared" si="373"/>
        <v>0</v>
      </c>
      <c r="BM423" s="304">
        <f t="shared" si="374"/>
        <v>0</v>
      </c>
      <c r="BN423" s="304">
        <f t="shared" si="391"/>
        <v>0</v>
      </c>
      <c r="BO423" s="306">
        <f t="shared" si="392"/>
        <v>0</v>
      </c>
      <c r="BP423" s="306"/>
    </row>
    <row r="424" spans="1:68">
      <c r="A424" s="299">
        <f t="shared" si="345"/>
        <v>0</v>
      </c>
      <c r="B424" s="300">
        <f t="shared" si="346"/>
        <v>38389</v>
      </c>
      <c r="C424" s="301" t="e">
        <f t="shared" si="375"/>
        <v>#N/A</v>
      </c>
      <c r="D424" s="301" t="e">
        <f t="shared" si="347"/>
        <v>#N/A</v>
      </c>
      <c r="E424" s="299">
        <f t="shared" si="348"/>
        <v>403</v>
      </c>
      <c r="F424" s="396">
        <f>Weather!M408</f>
        <v>0</v>
      </c>
      <c r="G424" s="301">
        <f>IF(Weather!C408="","",Weather!C408)</f>
        <v>0.34390892432542064</v>
      </c>
      <c r="H424" s="301">
        <f>IF(Weather!D408="","",Weather!D408)</f>
        <v>0.28112812573389639</v>
      </c>
      <c r="I424" s="502">
        <f>IF(Weather!E408="","",Weather!E408)</f>
        <v>0.28112812573389639</v>
      </c>
      <c r="J424" s="397">
        <f>IF(RnSplint!N87&lt;0,0,RnSplint!N87)</f>
        <v>29.668827885866239</v>
      </c>
      <c r="K424" s="302">
        <f t="shared" si="376"/>
        <v>0</v>
      </c>
      <c r="L424" s="303">
        <f t="shared" si="377"/>
        <v>38389</v>
      </c>
      <c r="M424" s="346" t="str">
        <f t="shared" si="342"/>
        <v/>
      </c>
      <c r="N424" s="304">
        <f t="shared" si="378"/>
        <v>0</v>
      </c>
      <c r="O424" s="304">
        <f t="shared" si="379"/>
        <v>0</v>
      </c>
      <c r="P424" s="304">
        <f t="shared" si="349"/>
        <v>0</v>
      </c>
      <c r="Q424" s="304">
        <f t="shared" si="350"/>
        <v>1.2</v>
      </c>
      <c r="R424" s="304">
        <f t="shared" si="351"/>
        <v>1.2</v>
      </c>
      <c r="S424" s="305" t="e">
        <f t="shared" si="380"/>
        <v>#N/A</v>
      </c>
      <c r="T424" s="304">
        <f t="shared" si="352"/>
        <v>0</v>
      </c>
      <c r="U424" s="304">
        <f t="shared" si="390"/>
        <v>0</v>
      </c>
      <c r="V424" s="305" t="e">
        <f t="shared" si="353"/>
        <v>#N/A</v>
      </c>
      <c r="W424" s="305" t="e">
        <f t="shared" si="381"/>
        <v>#N/A</v>
      </c>
      <c r="X424" s="304">
        <f t="shared" si="382"/>
        <v>1.2</v>
      </c>
      <c r="Z424" s="304" t="str">
        <f t="shared" si="354"/>
        <v/>
      </c>
      <c r="AA424" s="305" t="e">
        <f t="shared" si="355"/>
        <v>#N/A</v>
      </c>
      <c r="AB424" s="304">
        <f t="shared" si="356"/>
        <v>0.33735375088067565</v>
      </c>
      <c r="AC424" s="304" t="str">
        <f t="shared" si="383"/>
        <v/>
      </c>
      <c r="AD424" s="306">
        <f t="shared" si="357"/>
        <v>0</v>
      </c>
      <c r="AE424" s="307">
        <f t="shared" si="384"/>
        <v>0.33735375088067565</v>
      </c>
      <c r="AF424" s="308" t="e">
        <f t="shared" si="337"/>
        <v>#N/A</v>
      </c>
      <c r="AG424" s="306">
        <f t="shared" si="385"/>
        <v>695.7540164282575</v>
      </c>
      <c r="AH424" s="306">
        <f t="shared" si="358"/>
        <v>0</v>
      </c>
      <c r="AI424" s="306">
        <f t="shared" si="386"/>
        <v>0</v>
      </c>
      <c r="AJ424" s="306">
        <f t="shared" si="387"/>
        <v>0</v>
      </c>
      <c r="AK424" s="306">
        <f t="shared" si="359"/>
        <v>0</v>
      </c>
      <c r="AL424" s="306">
        <f t="shared" si="388"/>
        <v>0</v>
      </c>
      <c r="AM424" s="306">
        <f t="shared" si="360"/>
        <v>0</v>
      </c>
      <c r="AN424" s="306"/>
      <c r="AO424" s="304" t="str">
        <f t="shared" si="361"/>
        <v/>
      </c>
      <c r="AP424" s="304" t="str">
        <f t="shared" si="389"/>
        <v/>
      </c>
      <c r="AQ424" s="305" t="e">
        <f t="shared" si="338"/>
        <v>#N/A</v>
      </c>
      <c r="AR424" s="304" t="str">
        <f t="shared" si="339"/>
        <v/>
      </c>
      <c r="AS424" s="306">
        <f t="shared" si="362"/>
        <v>0</v>
      </c>
      <c r="AT424" s="307" t="e">
        <f t="shared" si="340"/>
        <v>#N/A</v>
      </c>
      <c r="AU424" s="307" t="e">
        <f t="shared" si="341"/>
        <v>#N/A</v>
      </c>
      <c r="AV424" s="304">
        <f t="shared" si="344"/>
        <v>0.28112812573389639</v>
      </c>
      <c r="AW424" s="309">
        <f t="shared" si="363"/>
        <v>1.8908525942013323</v>
      </c>
      <c r="AX424" s="306">
        <f>IF(ISERROR(Weather!M408),#N/A,Weather!M408)</f>
        <v>0</v>
      </c>
      <c r="AY424" s="310">
        <f t="shared" si="364"/>
        <v>5</v>
      </c>
      <c r="AZ424" s="309">
        <f t="shared" si="365"/>
        <v>1.2</v>
      </c>
      <c r="BA424" s="309">
        <f t="shared" si="366"/>
        <v>268.36578281815389</v>
      </c>
      <c r="BB424" s="311">
        <f>Irrig!H426</f>
        <v>0</v>
      </c>
      <c r="BC424" s="310">
        <f t="shared" si="367"/>
        <v>0</v>
      </c>
      <c r="BD424" s="309">
        <f t="shared" si="368"/>
        <v>0</v>
      </c>
      <c r="BE424" s="309">
        <f t="shared" si="369"/>
        <v>0</v>
      </c>
      <c r="BF424" s="306">
        <f>DailyMet!H408</f>
        <v>-3.45</v>
      </c>
      <c r="BG424" s="306">
        <f>DailyMet!I408</f>
        <v>-8.1</v>
      </c>
      <c r="BH424" s="306">
        <f t="shared" si="370"/>
        <v>-3.45</v>
      </c>
      <c r="BI424" s="306">
        <f t="shared" si="371"/>
        <v>10</v>
      </c>
      <c r="BJ424" s="306">
        <f t="shared" si="372"/>
        <v>-6.7249999999999996</v>
      </c>
      <c r="BK424" s="306">
        <f t="shared" si="343"/>
        <v>0</v>
      </c>
      <c r="BL424" s="304">
        <f t="shared" si="373"/>
        <v>0</v>
      </c>
      <c r="BM424" s="304">
        <f t="shared" si="374"/>
        <v>0</v>
      </c>
      <c r="BN424" s="304">
        <f t="shared" si="391"/>
        <v>0</v>
      </c>
      <c r="BO424" s="306">
        <f t="shared" si="392"/>
        <v>0</v>
      </c>
      <c r="BP424" s="306"/>
    </row>
    <row r="425" spans="1:68">
      <c r="A425" s="299">
        <f t="shared" si="345"/>
        <v>0</v>
      </c>
      <c r="B425" s="300">
        <f t="shared" si="346"/>
        <v>38390</v>
      </c>
      <c r="C425" s="301" t="e">
        <f t="shared" si="375"/>
        <v>#N/A</v>
      </c>
      <c r="D425" s="301" t="e">
        <f t="shared" si="347"/>
        <v>#N/A</v>
      </c>
      <c r="E425" s="299">
        <f t="shared" si="348"/>
        <v>404</v>
      </c>
      <c r="F425" s="396">
        <f>Weather!M409</f>
        <v>0</v>
      </c>
      <c r="G425" s="301">
        <f>IF(Weather!C409="","",Weather!C409)</f>
        <v>0.35425774591566722</v>
      </c>
      <c r="H425" s="301">
        <f>IF(Weather!D409="","",Weather!D409)</f>
        <v>0.37718204673649641</v>
      </c>
      <c r="I425" s="502">
        <f>IF(Weather!E409="","",Weather!E409)</f>
        <v>0.37718204673649641</v>
      </c>
      <c r="J425" s="397">
        <f>IF(RnSplint!N88&lt;0,0,RnSplint!N88)</f>
        <v>29.41989637179238</v>
      </c>
      <c r="K425" s="302">
        <f t="shared" si="376"/>
        <v>0</v>
      </c>
      <c r="L425" s="303">
        <f t="shared" si="377"/>
        <v>38390</v>
      </c>
      <c r="M425" s="346" t="str">
        <f t="shared" si="342"/>
        <v/>
      </c>
      <c r="N425" s="304">
        <f t="shared" si="378"/>
        <v>0</v>
      </c>
      <c r="O425" s="304">
        <f t="shared" si="379"/>
        <v>0</v>
      </c>
      <c r="P425" s="304">
        <f t="shared" si="349"/>
        <v>0</v>
      </c>
      <c r="Q425" s="304">
        <f t="shared" si="350"/>
        <v>1.2</v>
      </c>
      <c r="R425" s="304">
        <f t="shared" si="351"/>
        <v>1.2</v>
      </c>
      <c r="S425" s="305" t="e">
        <f t="shared" si="380"/>
        <v>#N/A</v>
      </c>
      <c r="T425" s="304">
        <f t="shared" si="352"/>
        <v>0</v>
      </c>
      <c r="U425" s="304">
        <f t="shared" si="390"/>
        <v>0</v>
      </c>
      <c r="V425" s="305" t="e">
        <f t="shared" si="353"/>
        <v>#N/A</v>
      </c>
      <c r="W425" s="305" t="e">
        <f t="shared" si="381"/>
        <v>#N/A</v>
      </c>
      <c r="X425" s="304">
        <f t="shared" si="382"/>
        <v>1.2</v>
      </c>
      <c r="Z425" s="304" t="str">
        <f t="shared" si="354"/>
        <v/>
      </c>
      <c r="AA425" s="305" t="e">
        <f t="shared" si="355"/>
        <v>#N/A</v>
      </c>
      <c r="AB425" s="304">
        <f t="shared" si="356"/>
        <v>0.45261845608379569</v>
      </c>
      <c r="AC425" s="304" t="str">
        <f t="shared" si="383"/>
        <v/>
      </c>
      <c r="AD425" s="306">
        <f t="shared" si="357"/>
        <v>0</v>
      </c>
      <c r="AE425" s="307">
        <f t="shared" si="384"/>
        <v>0.45261845608379569</v>
      </c>
      <c r="AF425" s="308" t="e">
        <f t="shared" si="337"/>
        <v>#N/A</v>
      </c>
      <c r="AG425" s="306">
        <f t="shared" si="385"/>
        <v>696.13119847499399</v>
      </c>
      <c r="AH425" s="306">
        <f t="shared" si="358"/>
        <v>0</v>
      </c>
      <c r="AI425" s="306">
        <f t="shared" si="386"/>
        <v>0</v>
      </c>
      <c r="AJ425" s="306">
        <f t="shared" si="387"/>
        <v>0</v>
      </c>
      <c r="AK425" s="306">
        <f t="shared" si="359"/>
        <v>0</v>
      </c>
      <c r="AL425" s="306">
        <f t="shared" si="388"/>
        <v>0</v>
      </c>
      <c r="AM425" s="306">
        <f t="shared" si="360"/>
        <v>0</v>
      </c>
      <c r="AN425" s="306"/>
      <c r="AO425" s="304" t="str">
        <f t="shared" si="361"/>
        <v/>
      </c>
      <c r="AP425" s="304" t="str">
        <f t="shared" si="389"/>
        <v/>
      </c>
      <c r="AQ425" s="305" t="e">
        <f t="shared" si="338"/>
        <v>#N/A</v>
      </c>
      <c r="AR425" s="304" t="str">
        <f t="shared" si="339"/>
        <v/>
      </c>
      <c r="AS425" s="306">
        <f t="shared" si="362"/>
        <v>0</v>
      </c>
      <c r="AT425" s="307" t="e">
        <f t="shared" si="340"/>
        <v>#N/A</v>
      </c>
      <c r="AU425" s="307" t="e">
        <f t="shared" si="341"/>
        <v>#N/A</v>
      </c>
      <c r="AV425" s="304">
        <f t="shared" si="344"/>
        <v>0.37718204673649641</v>
      </c>
      <c r="AW425" s="309">
        <f t="shared" si="363"/>
        <v>2.2680346409378287</v>
      </c>
      <c r="AX425" s="306">
        <f>IF(ISERROR(Weather!M409),#N/A,Weather!M409)</f>
        <v>0</v>
      </c>
      <c r="AY425" s="310">
        <f t="shared" si="364"/>
        <v>6</v>
      </c>
      <c r="AZ425" s="309">
        <f t="shared" si="365"/>
        <v>1.2</v>
      </c>
      <c r="BA425" s="309">
        <f t="shared" si="366"/>
        <v>268.74296486489038</v>
      </c>
      <c r="BB425" s="311">
        <f>Irrig!H427</f>
        <v>0</v>
      </c>
      <c r="BC425" s="310">
        <f t="shared" si="367"/>
        <v>0</v>
      </c>
      <c r="BD425" s="309">
        <f t="shared" si="368"/>
        <v>0</v>
      </c>
      <c r="BE425" s="309">
        <f t="shared" si="369"/>
        <v>0</v>
      </c>
      <c r="BF425" s="306">
        <f>DailyMet!H409</f>
        <v>-1.28</v>
      </c>
      <c r="BG425" s="306">
        <f>DailyMet!I409</f>
        <v>-6</v>
      </c>
      <c r="BH425" s="306">
        <f t="shared" si="370"/>
        <v>-1.28</v>
      </c>
      <c r="BI425" s="306">
        <f t="shared" si="371"/>
        <v>10</v>
      </c>
      <c r="BJ425" s="306">
        <f t="shared" si="372"/>
        <v>-5.64</v>
      </c>
      <c r="BK425" s="306">
        <f t="shared" si="343"/>
        <v>0</v>
      </c>
      <c r="BL425" s="304">
        <f t="shared" si="373"/>
        <v>0</v>
      </c>
      <c r="BM425" s="304">
        <f t="shared" si="374"/>
        <v>0</v>
      </c>
      <c r="BN425" s="304">
        <f t="shared" si="391"/>
        <v>0</v>
      </c>
      <c r="BO425" s="306">
        <f t="shared" si="392"/>
        <v>0</v>
      </c>
      <c r="BP425" s="306"/>
    </row>
    <row r="426" spans="1:68">
      <c r="A426" s="299">
        <f t="shared" si="345"/>
        <v>0</v>
      </c>
      <c r="B426" s="300">
        <f t="shared" si="346"/>
        <v>38391</v>
      </c>
      <c r="C426" s="301" t="e">
        <f t="shared" si="375"/>
        <v>#N/A</v>
      </c>
      <c r="D426" s="301" t="e">
        <f t="shared" si="347"/>
        <v>#N/A</v>
      </c>
      <c r="E426" s="299">
        <f t="shared" si="348"/>
        <v>405</v>
      </c>
      <c r="F426" s="396">
        <f>Weather!M410</f>
        <v>0</v>
      </c>
      <c r="G426" s="301">
        <f>IF(Weather!C410="","",Weather!C410)</f>
        <v>0.36593477730331719</v>
      </c>
      <c r="H426" s="301">
        <f>IF(Weather!D410="","",Weather!D410)</f>
        <v>0.40184909694054805</v>
      </c>
      <c r="I426" s="502">
        <f>IF(Weather!E410="","",Weather!E410)</f>
        <v>0.40184909694054805</v>
      </c>
      <c r="J426" s="397">
        <f>IF(RnSplint!N89&lt;0,0,RnSplint!N89)</f>
        <v>29.177175506507975</v>
      </c>
      <c r="K426" s="302">
        <f t="shared" si="376"/>
        <v>0</v>
      </c>
      <c r="L426" s="303">
        <f t="shared" si="377"/>
        <v>38391</v>
      </c>
      <c r="M426" s="346" t="str">
        <f t="shared" si="342"/>
        <v/>
      </c>
      <c r="N426" s="304">
        <f t="shared" si="378"/>
        <v>0</v>
      </c>
      <c r="O426" s="304">
        <f t="shared" si="379"/>
        <v>0</v>
      </c>
      <c r="P426" s="304">
        <f t="shared" si="349"/>
        <v>0</v>
      </c>
      <c r="Q426" s="304">
        <f t="shared" si="350"/>
        <v>1.2</v>
      </c>
      <c r="R426" s="304">
        <f t="shared" si="351"/>
        <v>1.2</v>
      </c>
      <c r="S426" s="305" t="e">
        <f t="shared" si="380"/>
        <v>#N/A</v>
      </c>
      <c r="T426" s="304">
        <f t="shared" si="352"/>
        <v>0</v>
      </c>
      <c r="U426" s="304">
        <f t="shared" si="390"/>
        <v>0</v>
      </c>
      <c r="V426" s="305" t="e">
        <f t="shared" si="353"/>
        <v>#N/A</v>
      </c>
      <c r="W426" s="305" t="e">
        <f t="shared" si="381"/>
        <v>#N/A</v>
      </c>
      <c r="X426" s="304">
        <f t="shared" si="382"/>
        <v>1.2</v>
      </c>
      <c r="Z426" s="304" t="str">
        <f t="shared" si="354"/>
        <v/>
      </c>
      <c r="AA426" s="305" t="e">
        <f t="shared" si="355"/>
        <v>#N/A</v>
      </c>
      <c r="AB426" s="304">
        <f t="shared" si="356"/>
        <v>0.48221891632865765</v>
      </c>
      <c r="AC426" s="304" t="str">
        <f t="shared" si="383"/>
        <v/>
      </c>
      <c r="AD426" s="306">
        <f t="shared" si="357"/>
        <v>0</v>
      </c>
      <c r="AE426" s="307">
        <f t="shared" si="384"/>
        <v>0.48221891632865765</v>
      </c>
      <c r="AF426" s="308" t="e">
        <f t="shared" si="337"/>
        <v>#N/A</v>
      </c>
      <c r="AG426" s="306">
        <f t="shared" si="385"/>
        <v>696.5330475719345</v>
      </c>
      <c r="AH426" s="306">
        <f t="shared" si="358"/>
        <v>0</v>
      </c>
      <c r="AI426" s="306">
        <f t="shared" si="386"/>
        <v>0</v>
      </c>
      <c r="AJ426" s="306">
        <f t="shared" si="387"/>
        <v>0</v>
      </c>
      <c r="AK426" s="306">
        <f t="shared" si="359"/>
        <v>0</v>
      </c>
      <c r="AL426" s="306">
        <f t="shared" si="388"/>
        <v>0</v>
      </c>
      <c r="AM426" s="306">
        <f t="shared" si="360"/>
        <v>0</v>
      </c>
      <c r="AN426" s="306"/>
      <c r="AO426" s="304" t="str">
        <f t="shared" si="361"/>
        <v/>
      </c>
      <c r="AP426" s="304" t="str">
        <f t="shared" si="389"/>
        <v/>
      </c>
      <c r="AQ426" s="305" t="e">
        <f t="shared" si="338"/>
        <v>#N/A</v>
      </c>
      <c r="AR426" s="304" t="str">
        <f t="shared" si="339"/>
        <v/>
      </c>
      <c r="AS426" s="306">
        <f t="shared" si="362"/>
        <v>0</v>
      </c>
      <c r="AT426" s="307" t="e">
        <f t="shared" si="340"/>
        <v>#N/A</v>
      </c>
      <c r="AU426" s="307" t="e">
        <f t="shared" si="341"/>
        <v>#N/A</v>
      </c>
      <c r="AV426" s="304">
        <f t="shared" si="344"/>
        <v>0.40184909694054805</v>
      </c>
      <c r="AW426" s="309">
        <f t="shared" si="363"/>
        <v>2.6698837378783766</v>
      </c>
      <c r="AX426" s="306">
        <f>IF(ISERROR(Weather!M410),#N/A,Weather!M410)</f>
        <v>0</v>
      </c>
      <c r="AY426" s="310">
        <f t="shared" si="364"/>
        <v>7</v>
      </c>
      <c r="AZ426" s="309">
        <f t="shared" si="365"/>
        <v>1.2</v>
      </c>
      <c r="BA426" s="309">
        <f t="shared" si="366"/>
        <v>269.14481396183095</v>
      </c>
      <c r="BB426" s="311">
        <f>Irrig!H428</f>
        <v>0</v>
      </c>
      <c r="BC426" s="310">
        <f t="shared" si="367"/>
        <v>0</v>
      </c>
      <c r="BD426" s="309">
        <f t="shared" si="368"/>
        <v>0</v>
      </c>
      <c r="BE426" s="309">
        <f t="shared" si="369"/>
        <v>0</v>
      </c>
      <c r="BF426" s="306">
        <f>DailyMet!H410</f>
        <v>-3.12</v>
      </c>
      <c r="BG426" s="306">
        <f>DailyMet!I410</f>
        <v>-10.5</v>
      </c>
      <c r="BH426" s="306">
        <f t="shared" si="370"/>
        <v>-3.12</v>
      </c>
      <c r="BI426" s="306">
        <f t="shared" si="371"/>
        <v>10</v>
      </c>
      <c r="BJ426" s="306">
        <f t="shared" si="372"/>
        <v>-6.5600000000000005</v>
      </c>
      <c r="BK426" s="306">
        <f t="shared" si="343"/>
        <v>0</v>
      </c>
      <c r="BL426" s="304">
        <f t="shared" si="373"/>
        <v>0</v>
      </c>
      <c r="BM426" s="304">
        <f t="shared" si="374"/>
        <v>0</v>
      </c>
      <c r="BN426" s="304">
        <f t="shared" si="391"/>
        <v>0</v>
      </c>
      <c r="BO426" s="306">
        <f t="shared" si="392"/>
        <v>0</v>
      </c>
      <c r="BP426" s="306"/>
    </row>
    <row r="427" spans="1:68">
      <c r="A427" s="299">
        <f t="shared" si="345"/>
        <v>0</v>
      </c>
      <c r="B427" s="300">
        <f t="shared" si="346"/>
        <v>38392</v>
      </c>
      <c r="C427" s="301" t="e">
        <f t="shared" si="375"/>
        <v>#N/A</v>
      </c>
      <c r="D427" s="301" t="e">
        <f t="shared" si="347"/>
        <v>#N/A</v>
      </c>
      <c r="E427" s="299">
        <f t="shared" si="348"/>
        <v>406</v>
      </c>
      <c r="F427" s="396">
        <f>Weather!M411</f>
        <v>0</v>
      </c>
      <c r="G427" s="301">
        <f>IF(Weather!C411="","",Weather!C411)</f>
        <v>0.37901935411090687</v>
      </c>
      <c r="H427" s="301">
        <f>IF(Weather!D411="","",Weather!D411)</f>
        <v>0.35697698080417573</v>
      </c>
      <c r="I427" s="502">
        <f>IF(Weather!E411="","",Weather!E411)</f>
        <v>0.35697698080417573</v>
      </c>
      <c r="J427" s="397">
        <f>IF(RnSplint!N90&lt;0,0,RnSplint!N90)</f>
        <v>28.943321112524107</v>
      </c>
      <c r="K427" s="302">
        <f t="shared" si="376"/>
        <v>0</v>
      </c>
      <c r="L427" s="303">
        <f t="shared" si="377"/>
        <v>38392</v>
      </c>
      <c r="M427" s="346" t="str">
        <f t="shared" si="342"/>
        <v/>
      </c>
      <c r="N427" s="304">
        <f t="shared" si="378"/>
        <v>0</v>
      </c>
      <c r="O427" s="304">
        <f t="shared" si="379"/>
        <v>0</v>
      </c>
      <c r="P427" s="304">
        <f t="shared" si="349"/>
        <v>0</v>
      </c>
      <c r="Q427" s="304">
        <f t="shared" si="350"/>
        <v>1.2</v>
      </c>
      <c r="R427" s="304">
        <f t="shared" si="351"/>
        <v>1.2</v>
      </c>
      <c r="S427" s="305" t="e">
        <f t="shared" si="380"/>
        <v>#N/A</v>
      </c>
      <c r="T427" s="304">
        <f t="shared" si="352"/>
        <v>0</v>
      </c>
      <c r="U427" s="304">
        <f t="shared" si="390"/>
        <v>0</v>
      </c>
      <c r="V427" s="305" t="e">
        <f t="shared" si="353"/>
        <v>#N/A</v>
      </c>
      <c r="W427" s="305" t="e">
        <f t="shared" si="381"/>
        <v>#N/A</v>
      </c>
      <c r="X427" s="304">
        <f t="shared" si="382"/>
        <v>1.2</v>
      </c>
      <c r="Z427" s="304" t="str">
        <f t="shared" si="354"/>
        <v/>
      </c>
      <c r="AA427" s="305" t="e">
        <f t="shared" si="355"/>
        <v>#N/A</v>
      </c>
      <c r="AB427" s="304">
        <f t="shared" si="356"/>
        <v>0.42837237696501085</v>
      </c>
      <c r="AC427" s="304" t="str">
        <f t="shared" si="383"/>
        <v/>
      </c>
      <c r="AD427" s="306">
        <f t="shared" si="357"/>
        <v>0</v>
      </c>
      <c r="AE427" s="307">
        <f t="shared" si="384"/>
        <v>0.42837237696501085</v>
      </c>
      <c r="AF427" s="308" t="e">
        <f t="shared" si="337"/>
        <v>#N/A</v>
      </c>
      <c r="AG427" s="306">
        <f t="shared" si="385"/>
        <v>696.89002455273862</v>
      </c>
      <c r="AH427" s="306">
        <f t="shared" si="358"/>
        <v>0</v>
      </c>
      <c r="AI427" s="306">
        <f t="shared" si="386"/>
        <v>0</v>
      </c>
      <c r="AJ427" s="306">
        <f t="shared" si="387"/>
        <v>0</v>
      </c>
      <c r="AK427" s="306">
        <f t="shared" si="359"/>
        <v>0</v>
      </c>
      <c r="AL427" s="306">
        <f t="shared" si="388"/>
        <v>0</v>
      </c>
      <c r="AM427" s="306">
        <f t="shared" si="360"/>
        <v>0</v>
      </c>
      <c r="AN427" s="306"/>
      <c r="AO427" s="304" t="str">
        <f t="shared" si="361"/>
        <v/>
      </c>
      <c r="AP427" s="304" t="str">
        <f t="shared" si="389"/>
        <v/>
      </c>
      <c r="AQ427" s="305" t="e">
        <f t="shared" si="338"/>
        <v>#N/A</v>
      </c>
      <c r="AR427" s="304" t="str">
        <f t="shared" si="339"/>
        <v/>
      </c>
      <c r="AS427" s="306">
        <f t="shared" si="362"/>
        <v>0</v>
      </c>
      <c r="AT427" s="307" t="e">
        <f t="shared" si="340"/>
        <v>#N/A</v>
      </c>
      <c r="AU427" s="307" t="e">
        <f t="shared" si="341"/>
        <v>#N/A</v>
      </c>
      <c r="AV427" s="304">
        <f t="shared" si="344"/>
        <v>0.35697698080417573</v>
      </c>
      <c r="AW427" s="309">
        <f t="shared" si="363"/>
        <v>3.0268607186825522</v>
      </c>
      <c r="AX427" s="306">
        <f>IF(ISERROR(Weather!M411),#N/A,Weather!M411)</f>
        <v>0</v>
      </c>
      <c r="AY427" s="310">
        <f t="shared" si="364"/>
        <v>8</v>
      </c>
      <c r="AZ427" s="309">
        <f t="shared" si="365"/>
        <v>1.2</v>
      </c>
      <c r="BA427" s="309">
        <f t="shared" si="366"/>
        <v>269.50179094263513</v>
      </c>
      <c r="BB427" s="311">
        <f>Irrig!H429</f>
        <v>0</v>
      </c>
      <c r="BC427" s="310">
        <f t="shared" si="367"/>
        <v>0</v>
      </c>
      <c r="BD427" s="309">
        <f t="shared" si="368"/>
        <v>0</v>
      </c>
      <c r="BE427" s="309">
        <f t="shared" si="369"/>
        <v>0</v>
      </c>
      <c r="BF427" s="306">
        <f>DailyMet!H411</f>
        <v>-1.85</v>
      </c>
      <c r="BG427" s="306">
        <f>DailyMet!I411</f>
        <v>-4.7</v>
      </c>
      <c r="BH427" s="306">
        <f t="shared" si="370"/>
        <v>-1.85</v>
      </c>
      <c r="BI427" s="306">
        <f t="shared" si="371"/>
        <v>10</v>
      </c>
      <c r="BJ427" s="306">
        <f t="shared" si="372"/>
        <v>-5.9249999999999998</v>
      </c>
      <c r="BK427" s="306">
        <f t="shared" si="343"/>
        <v>0</v>
      </c>
      <c r="BL427" s="304">
        <f t="shared" si="373"/>
        <v>0</v>
      </c>
      <c r="BM427" s="304">
        <f t="shared" si="374"/>
        <v>0</v>
      </c>
      <c r="BN427" s="304">
        <f t="shared" si="391"/>
        <v>0</v>
      </c>
      <c r="BO427" s="306">
        <f t="shared" si="392"/>
        <v>0</v>
      </c>
      <c r="BP427" s="306"/>
    </row>
    <row r="428" spans="1:68">
      <c r="A428" s="299">
        <f t="shared" si="345"/>
        <v>0</v>
      </c>
      <c r="B428" s="300">
        <f t="shared" si="346"/>
        <v>38393</v>
      </c>
      <c r="C428" s="301" t="e">
        <f t="shared" si="375"/>
        <v>#N/A</v>
      </c>
      <c r="D428" s="301" t="e">
        <f t="shared" si="347"/>
        <v>#N/A</v>
      </c>
      <c r="E428" s="299">
        <f t="shared" si="348"/>
        <v>407</v>
      </c>
      <c r="F428" s="396">
        <f>Weather!M412</f>
        <v>0</v>
      </c>
      <c r="G428" s="301">
        <f>IF(Weather!C412="","",Weather!C412)</f>
        <v>0.39359081196097212</v>
      </c>
      <c r="H428" s="301">
        <f>IF(Weather!D412="","",Weather!D412)</f>
        <v>0.40150119165400022</v>
      </c>
      <c r="I428" s="502">
        <f>IF(Weather!E412="","",Weather!E412)</f>
        <v>0.40150119165400022</v>
      </c>
      <c r="J428" s="397">
        <f>IF(RnSplint!N91&lt;0,0,RnSplint!N91)</f>
        <v>28.720989012351822</v>
      </c>
      <c r="K428" s="302">
        <f t="shared" si="376"/>
        <v>0</v>
      </c>
      <c r="L428" s="303">
        <f t="shared" si="377"/>
        <v>38393</v>
      </c>
      <c r="M428" s="346" t="str">
        <f t="shared" si="342"/>
        <v/>
      </c>
      <c r="N428" s="304">
        <f t="shared" si="378"/>
        <v>0</v>
      </c>
      <c r="O428" s="304">
        <f t="shared" si="379"/>
        <v>0</v>
      </c>
      <c r="P428" s="304">
        <f t="shared" si="349"/>
        <v>0</v>
      </c>
      <c r="Q428" s="304">
        <f t="shared" si="350"/>
        <v>1.2</v>
      </c>
      <c r="R428" s="304">
        <f t="shared" si="351"/>
        <v>1.2</v>
      </c>
      <c r="S428" s="305" t="e">
        <f t="shared" si="380"/>
        <v>#N/A</v>
      </c>
      <c r="T428" s="304">
        <f t="shared" si="352"/>
        <v>0</v>
      </c>
      <c r="U428" s="304">
        <f t="shared" si="390"/>
        <v>0</v>
      </c>
      <c r="V428" s="305" t="e">
        <f t="shared" si="353"/>
        <v>#N/A</v>
      </c>
      <c r="W428" s="305" t="e">
        <f t="shared" si="381"/>
        <v>#N/A</v>
      </c>
      <c r="X428" s="304">
        <f t="shared" si="382"/>
        <v>1.2</v>
      </c>
      <c r="Z428" s="304" t="str">
        <f t="shared" si="354"/>
        <v/>
      </c>
      <c r="AA428" s="305" t="e">
        <f t="shared" si="355"/>
        <v>#N/A</v>
      </c>
      <c r="AB428" s="304">
        <f t="shared" si="356"/>
        <v>0.48180142998480024</v>
      </c>
      <c r="AC428" s="304" t="str">
        <f t="shared" si="383"/>
        <v/>
      </c>
      <c r="AD428" s="306">
        <f t="shared" si="357"/>
        <v>0</v>
      </c>
      <c r="AE428" s="307">
        <f t="shared" si="384"/>
        <v>0.48180142998480024</v>
      </c>
      <c r="AF428" s="308" t="e">
        <f t="shared" si="337"/>
        <v>#N/A</v>
      </c>
      <c r="AG428" s="306">
        <f t="shared" si="385"/>
        <v>697.29152574439263</v>
      </c>
      <c r="AH428" s="306">
        <f t="shared" si="358"/>
        <v>0</v>
      </c>
      <c r="AI428" s="306">
        <f t="shared" si="386"/>
        <v>0</v>
      </c>
      <c r="AJ428" s="306">
        <f t="shared" si="387"/>
        <v>0</v>
      </c>
      <c r="AK428" s="306">
        <f t="shared" si="359"/>
        <v>0</v>
      </c>
      <c r="AL428" s="306">
        <f t="shared" si="388"/>
        <v>0</v>
      </c>
      <c r="AM428" s="306">
        <f t="shared" si="360"/>
        <v>0</v>
      </c>
      <c r="AN428" s="306"/>
      <c r="AO428" s="304" t="str">
        <f t="shared" si="361"/>
        <v/>
      </c>
      <c r="AP428" s="304" t="str">
        <f t="shared" si="389"/>
        <v/>
      </c>
      <c r="AQ428" s="305" t="e">
        <f t="shared" si="338"/>
        <v>#N/A</v>
      </c>
      <c r="AR428" s="304" t="str">
        <f t="shared" si="339"/>
        <v/>
      </c>
      <c r="AS428" s="306">
        <f t="shared" si="362"/>
        <v>0</v>
      </c>
      <c r="AT428" s="307" t="e">
        <f t="shared" si="340"/>
        <v>#N/A</v>
      </c>
      <c r="AU428" s="307" t="e">
        <f t="shared" si="341"/>
        <v>#N/A</v>
      </c>
      <c r="AV428" s="304">
        <f t="shared" si="344"/>
        <v>0.40150119165400022</v>
      </c>
      <c r="AW428" s="309">
        <f t="shared" si="363"/>
        <v>3.4283619103365526</v>
      </c>
      <c r="AX428" s="306">
        <f>IF(ISERROR(Weather!M412),#N/A,Weather!M412)</f>
        <v>0</v>
      </c>
      <c r="AY428" s="310">
        <f t="shared" si="364"/>
        <v>9</v>
      </c>
      <c r="AZ428" s="309">
        <f t="shared" si="365"/>
        <v>1.2</v>
      </c>
      <c r="BA428" s="309">
        <f t="shared" si="366"/>
        <v>269.90329213428913</v>
      </c>
      <c r="BB428" s="311">
        <f>Irrig!H430</f>
        <v>0</v>
      </c>
      <c r="BC428" s="310">
        <f t="shared" si="367"/>
        <v>0</v>
      </c>
      <c r="BD428" s="309">
        <f t="shared" si="368"/>
        <v>0</v>
      </c>
      <c r="BE428" s="309">
        <f t="shared" si="369"/>
        <v>0</v>
      </c>
      <c r="BF428" s="306">
        <f>DailyMet!H412</f>
        <v>-3.71</v>
      </c>
      <c r="BG428" s="306">
        <f>DailyMet!I412</f>
        <v>-8</v>
      </c>
      <c r="BH428" s="306">
        <f t="shared" si="370"/>
        <v>-3.71</v>
      </c>
      <c r="BI428" s="306">
        <f t="shared" si="371"/>
        <v>10</v>
      </c>
      <c r="BJ428" s="306">
        <f t="shared" si="372"/>
        <v>-6.8550000000000004</v>
      </c>
      <c r="BK428" s="306">
        <f t="shared" si="343"/>
        <v>0</v>
      </c>
      <c r="BL428" s="304">
        <f t="shared" si="373"/>
        <v>0</v>
      </c>
      <c r="BM428" s="304">
        <f t="shared" si="374"/>
        <v>0</v>
      </c>
      <c r="BN428" s="304">
        <f t="shared" si="391"/>
        <v>0</v>
      </c>
      <c r="BO428" s="306">
        <f t="shared" si="392"/>
        <v>0</v>
      </c>
      <c r="BP428" s="306"/>
    </row>
    <row r="429" spans="1:68">
      <c r="A429" s="299">
        <f t="shared" si="345"/>
        <v>0</v>
      </c>
      <c r="B429" s="300">
        <f t="shared" si="346"/>
        <v>38394</v>
      </c>
      <c r="C429" s="301" t="e">
        <f t="shared" si="375"/>
        <v>#N/A</v>
      </c>
      <c r="D429" s="301" t="e">
        <f t="shared" si="347"/>
        <v>#N/A</v>
      </c>
      <c r="E429" s="299">
        <f t="shared" si="348"/>
        <v>408</v>
      </c>
      <c r="F429" s="396">
        <f>Weather!M413</f>
        <v>0</v>
      </c>
      <c r="G429" s="301">
        <f>IF(Weather!C413="","",Weather!C413)</f>
        <v>0.40972848647604926</v>
      </c>
      <c r="H429" s="301">
        <f>IF(Weather!D413="","",Weather!D413)</f>
        <v>0.52184810169343809</v>
      </c>
      <c r="I429" s="502">
        <f>IF(Weather!E413="","",Weather!E413)</f>
        <v>0.52184810169343809</v>
      </c>
      <c r="J429" s="397">
        <f>IF(RnSplint!N92&lt;0,0,RnSplint!N92)</f>
        <v>28.512835028502206</v>
      </c>
      <c r="K429" s="302">
        <f t="shared" si="376"/>
        <v>0</v>
      </c>
      <c r="L429" s="303">
        <f t="shared" si="377"/>
        <v>38394</v>
      </c>
      <c r="M429" s="346" t="str">
        <f t="shared" si="342"/>
        <v/>
      </c>
      <c r="N429" s="304">
        <f t="shared" si="378"/>
        <v>0</v>
      </c>
      <c r="O429" s="304">
        <f t="shared" si="379"/>
        <v>0</v>
      </c>
      <c r="P429" s="304">
        <f t="shared" si="349"/>
        <v>0</v>
      </c>
      <c r="Q429" s="304">
        <f t="shared" si="350"/>
        <v>1.2</v>
      </c>
      <c r="R429" s="304">
        <f t="shared" si="351"/>
        <v>1.2</v>
      </c>
      <c r="S429" s="305" t="e">
        <f t="shared" si="380"/>
        <v>#N/A</v>
      </c>
      <c r="T429" s="304">
        <f t="shared" si="352"/>
        <v>0</v>
      </c>
      <c r="U429" s="304">
        <f t="shared" si="390"/>
        <v>0</v>
      </c>
      <c r="V429" s="305" t="e">
        <f t="shared" si="353"/>
        <v>#N/A</v>
      </c>
      <c r="W429" s="305" t="e">
        <f t="shared" si="381"/>
        <v>#N/A</v>
      </c>
      <c r="X429" s="304">
        <f t="shared" si="382"/>
        <v>1.2</v>
      </c>
      <c r="Z429" s="304" t="str">
        <f t="shared" si="354"/>
        <v/>
      </c>
      <c r="AA429" s="305" t="e">
        <f t="shared" si="355"/>
        <v>#N/A</v>
      </c>
      <c r="AB429" s="304">
        <f t="shared" si="356"/>
        <v>0.62621772203212567</v>
      </c>
      <c r="AC429" s="304" t="str">
        <f t="shared" si="383"/>
        <v/>
      </c>
      <c r="AD429" s="306">
        <f t="shared" si="357"/>
        <v>0</v>
      </c>
      <c r="AE429" s="307">
        <f t="shared" si="384"/>
        <v>0.62621772203212567</v>
      </c>
      <c r="AF429" s="308" t="e">
        <f t="shared" si="337"/>
        <v>#N/A</v>
      </c>
      <c r="AG429" s="306">
        <f t="shared" si="385"/>
        <v>697.81337384608605</v>
      </c>
      <c r="AH429" s="306">
        <f t="shared" si="358"/>
        <v>0</v>
      </c>
      <c r="AI429" s="306">
        <f t="shared" si="386"/>
        <v>0</v>
      </c>
      <c r="AJ429" s="306">
        <f t="shared" si="387"/>
        <v>0</v>
      </c>
      <c r="AK429" s="306">
        <f t="shared" si="359"/>
        <v>0</v>
      </c>
      <c r="AL429" s="306">
        <f t="shared" si="388"/>
        <v>0</v>
      </c>
      <c r="AM429" s="306">
        <f t="shared" si="360"/>
        <v>0</v>
      </c>
      <c r="AN429" s="306"/>
      <c r="AO429" s="304" t="str">
        <f t="shared" si="361"/>
        <v/>
      </c>
      <c r="AP429" s="304" t="str">
        <f t="shared" si="389"/>
        <v/>
      </c>
      <c r="AQ429" s="305" t="e">
        <f t="shared" si="338"/>
        <v>#N/A</v>
      </c>
      <c r="AR429" s="304" t="str">
        <f t="shared" si="339"/>
        <v/>
      </c>
      <c r="AS429" s="306">
        <f t="shared" si="362"/>
        <v>0</v>
      </c>
      <c r="AT429" s="307" t="e">
        <f t="shared" si="340"/>
        <v>#N/A</v>
      </c>
      <c r="AU429" s="307" t="e">
        <f t="shared" si="341"/>
        <v>#N/A</v>
      </c>
      <c r="AV429" s="304">
        <f t="shared" si="344"/>
        <v>0.52184810169343809</v>
      </c>
      <c r="AW429" s="309">
        <f t="shared" si="363"/>
        <v>3.9502100120299906</v>
      </c>
      <c r="AX429" s="306">
        <f>IF(ISERROR(Weather!M413),#N/A,Weather!M413)</f>
        <v>0</v>
      </c>
      <c r="AY429" s="310">
        <f t="shared" si="364"/>
        <v>10</v>
      </c>
      <c r="AZ429" s="309">
        <f t="shared" si="365"/>
        <v>1.2</v>
      </c>
      <c r="BA429" s="309">
        <f t="shared" si="366"/>
        <v>270.42514023598255</v>
      </c>
      <c r="BB429" s="311">
        <f>Irrig!H431</f>
        <v>0</v>
      </c>
      <c r="BC429" s="310">
        <f t="shared" si="367"/>
        <v>0</v>
      </c>
      <c r="BD429" s="309">
        <f t="shared" si="368"/>
        <v>0</v>
      </c>
      <c r="BE429" s="309">
        <f t="shared" si="369"/>
        <v>0</v>
      </c>
      <c r="BF429" s="306">
        <f>DailyMet!H413</f>
        <v>-5.6</v>
      </c>
      <c r="BG429" s="306">
        <f>DailyMet!I413</f>
        <v>-9.9</v>
      </c>
      <c r="BH429" s="306">
        <f t="shared" si="370"/>
        <v>-5.6</v>
      </c>
      <c r="BI429" s="306">
        <f t="shared" si="371"/>
        <v>10</v>
      </c>
      <c r="BJ429" s="306">
        <f t="shared" si="372"/>
        <v>-7.8</v>
      </c>
      <c r="BK429" s="306">
        <f t="shared" si="343"/>
        <v>0</v>
      </c>
      <c r="BL429" s="304">
        <f t="shared" si="373"/>
        <v>0</v>
      </c>
      <c r="BM429" s="304">
        <f t="shared" si="374"/>
        <v>0</v>
      </c>
      <c r="BN429" s="304">
        <f t="shared" si="391"/>
        <v>0</v>
      </c>
      <c r="BO429" s="306">
        <f t="shared" si="392"/>
        <v>0</v>
      </c>
      <c r="BP429" s="306"/>
    </row>
    <row r="430" spans="1:68">
      <c r="A430" s="299">
        <f t="shared" si="345"/>
        <v>0</v>
      </c>
      <c r="B430" s="300">
        <f t="shared" si="346"/>
        <v>38395</v>
      </c>
      <c r="C430" s="301" t="e">
        <f t="shared" si="375"/>
        <v>#N/A</v>
      </c>
      <c r="D430" s="301" t="e">
        <f t="shared" si="347"/>
        <v>#N/A</v>
      </c>
      <c r="E430" s="299">
        <f t="shared" si="348"/>
        <v>409</v>
      </c>
      <c r="F430" s="396">
        <f>Weather!M414</f>
        <v>0</v>
      </c>
      <c r="G430" s="301">
        <f>IF(Weather!C414="","",Weather!C414)</f>
        <v>0.42751171327867432</v>
      </c>
      <c r="H430" s="301">
        <f>IF(Weather!D414="","",Weather!D414)</f>
        <v>0.36790181555226631</v>
      </c>
      <c r="I430" s="502">
        <f>IF(Weather!E414="","",Weather!E414)</f>
        <v>0.36790181555226631</v>
      </c>
      <c r="J430" s="397">
        <f>IF(RnSplint!N93&lt;0,0,RnSplint!N93)</f>
        <v>28.321514983486313</v>
      </c>
      <c r="K430" s="302">
        <f t="shared" si="376"/>
        <v>0</v>
      </c>
      <c r="L430" s="303">
        <f t="shared" si="377"/>
        <v>38395</v>
      </c>
      <c r="M430" s="346" t="str">
        <f t="shared" si="342"/>
        <v/>
      </c>
      <c r="N430" s="304">
        <f t="shared" si="378"/>
        <v>0</v>
      </c>
      <c r="O430" s="304">
        <f t="shared" si="379"/>
        <v>0</v>
      </c>
      <c r="P430" s="304">
        <f t="shared" si="349"/>
        <v>0</v>
      </c>
      <c r="Q430" s="304">
        <f t="shared" si="350"/>
        <v>1.2</v>
      </c>
      <c r="R430" s="304">
        <f t="shared" si="351"/>
        <v>1.2</v>
      </c>
      <c r="S430" s="305" t="e">
        <f t="shared" si="380"/>
        <v>#N/A</v>
      </c>
      <c r="T430" s="304">
        <f t="shared" si="352"/>
        <v>0</v>
      </c>
      <c r="U430" s="304">
        <f t="shared" si="390"/>
        <v>0</v>
      </c>
      <c r="V430" s="305" t="e">
        <f t="shared" si="353"/>
        <v>#N/A</v>
      </c>
      <c r="W430" s="305" t="e">
        <f t="shared" si="381"/>
        <v>#N/A</v>
      </c>
      <c r="X430" s="304">
        <f t="shared" si="382"/>
        <v>1.2</v>
      </c>
      <c r="Z430" s="304" t="str">
        <f t="shared" si="354"/>
        <v/>
      </c>
      <c r="AA430" s="305" t="e">
        <f t="shared" si="355"/>
        <v>#N/A</v>
      </c>
      <c r="AB430" s="304">
        <f t="shared" si="356"/>
        <v>0.44148217866271955</v>
      </c>
      <c r="AC430" s="304" t="str">
        <f t="shared" si="383"/>
        <v/>
      </c>
      <c r="AD430" s="306">
        <f t="shared" si="357"/>
        <v>0</v>
      </c>
      <c r="AE430" s="307">
        <f t="shared" si="384"/>
        <v>0.44148217866271955</v>
      </c>
      <c r="AF430" s="308" t="e">
        <f t="shared" si="337"/>
        <v>#N/A</v>
      </c>
      <c r="AG430" s="306">
        <f t="shared" si="385"/>
        <v>698.18127566163832</v>
      </c>
      <c r="AH430" s="306">
        <f t="shared" si="358"/>
        <v>0</v>
      </c>
      <c r="AI430" s="306">
        <f t="shared" si="386"/>
        <v>0</v>
      </c>
      <c r="AJ430" s="306">
        <f t="shared" si="387"/>
        <v>0</v>
      </c>
      <c r="AK430" s="306">
        <f t="shared" si="359"/>
        <v>0</v>
      </c>
      <c r="AL430" s="306">
        <f t="shared" si="388"/>
        <v>0</v>
      </c>
      <c r="AM430" s="306">
        <f t="shared" si="360"/>
        <v>0</v>
      </c>
      <c r="AN430" s="306"/>
      <c r="AO430" s="304" t="str">
        <f t="shared" si="361"/>
        <v/>
      </c>
      <c r="AP430" s="304" t="str">
        <f t="shared" si="389"/>
        <v/>
      </c>
      <c r="AQ430" s="305" t="e">
        <f t="shared" si="338"/>
        <v>#N/A</v>
      </c>
      <c r="AR430" s="304" t="str">
        <f t="shared" si="339"/>
        <v/>
      </c>
      <c r="AS430" s="306">
        <f t="shared" si="362"/>
        <v>0</v>
      </c>
      <c r="AT430" s="307" t="e">
        <f t="shared" si="340"/>
        <v>#N/A</v>
      </c>
      <c r="AU430" s="307" t="e">
        <f t="shared" si="341"/>
        <v>#N/A</v>
      </c>
      <c r="AV430" s="304">
        <f t="shared" si="344"/>
        <v>0.36790181555226631</v>
      </c>
      <c r="AW430" s="309">
        <f t="shared" si="363"/>
        <v>4.318111827582257</v>
      </c>
      <c r="AX430" s="306">
        <f>IF(ISERROR(Weather!M414),#N/A,Weather!M414)</f>
        <v>0</v>
      </c>
      <c r="AY430" s="310">
        <f t="shared" si="364"/>
        <v>11</v>
      </c>
      <c r="AZ430" s="309">
        <f t="shared" si="365"/>
        <v>1.2</v>
      </c>
      <c r="BA430" s="309">
        <f t="shared" si="366"/>
        <v>270.79304205153483</v>
      </c>
      <c r="BB430" s="311">
        <f>Irrig!H432</f>
        <v>0</v>
      </c>
      <c r="BC430" s="310">
        <f t="shared" si="367"/>
        <v>0</v>
      </c>
      <c r="BD430" s="309">
        <f t="shared" si="368"/>
        <v>0</v>
      </c>
      <c r="BE430" s="309">
        <f t="shared" si="369"/>
        <v>0</v>
      </c>
      <c r="BF430" s="306">
        <f>DailyMet!H414</f>
        <v>-4.28</v>
      </c>
      <c r="BG430" s="306">
        <f>DailyMet!I414</f>
        <v>-8.4</v>
      </c>
      <c r="BH430" s="306">
        <f t="shared" si="370"/>
        <v>-4.28</v>
      </c>
      <c r="BI430" s="306">
        <f t="shared" si="371"/>
        <v>10</v>
      </c>
      <c r="BJ430" s="306">
        <f t="shared" si="372"/>
        <v>-7.1400000000000006</v>
      </c>
      <c r="BK430" s="306">
        <f t="shared" si="343"/>
        <v>0</v>
      </c>
      <c r="BL430" s="304">
        <f t="shared" si="373"/>
        <v>0</v>
      </c>
      <c r="BM430" s="304">
        <f t="shared" si="374"/>
        <v>0</v>
      </c>
      <c r="BN430" s="304">
        <f t="shared" si="391"/>
        <v>0</v>
      </c>
      <c r="BO430" s="306">
        <f t="shared" si="392"/>
        <v>0</v>
      </c>
      <c r="BP430" s="306"/>
    </row>
    <row r="431" spans="1:68">
      <c r="A431" s="299">
        <f t="shared" si="345"/>
        <v>0</v>
      </c>
      <c r="B431" s="300">
        <f t="shared" si="346"/>
        <v>38396</v>
      </c>
      <c r="C431" s="301" t="e">
        <f t="shared" si="375"/>
        <v>#N/A</v>
      </c>
      <c r="D431" s="301" t="e">
        <f t="shared" si="347"/>
        <v>#N/A</v>
      </c>
      <c r="E431" s="299">
        <f t="shared" si="348"/>
        <v>410</v>
      </c>
      <c r="F431" s="396">
        <f>Weather!M415</f>
        <v>0</v>
      </c>
      <c r="G431" s="301">
        <f>IF(Weather!C415="","",Weather!C415)</f>
        <v>0.44701982799138351</v>
      </c>
      <c r="H431" s="301">
        <f>IF(Weather!D415="","",Weather!D415)</f>
        <v>0.41322020685184946</v>
      </c>
      <c r="I431" s="502">
        <f>IF(Weather!E415="","",Weather!E415)</f>
        <v>0.41322020685184946</v>
      </c>
      <c r="J431" s="397">
        <f>IF(RnSplint!N94&lt;0,0,RnSplint!N94)</f>
        <v>28.149684699815229</v>
      </c>
      <c r="K431" s="302">
        <f t="shared" si="376"/>
        <v>0</v>
      </c>
      <c r="L431" s="303">
        <f t="shared" si="377"/>
        <v>38396</v>
      </c>
      <c r="M431" s="346" t="str">
        <f t="shared" si="342"/>
        <v/>
      </c>
      <c r="N431" s="304">
        <f t="shared" si="378"/>
        <v>0</v>
      </c>
      <c r="O431" s="304">
        <f t="shared" si="379"/>
        <v>0</v>
      </c>
      <c r="P431" s="304">
        <f t="shared" si="349"/>
        <v>0</v>
      </c>
      <c r="Q431" s="304">
        <f t="shared" si="350"/>
        <v>1.2</v>
      </c>
      <c r="R431" s="304">
        <f t="shared" si="351"/>
        <v>1.2</v>
      </c>
      <c r="S431" s="305" t="e">
        <f t="shared" si="380"/>
        <v>#N/A</v>
      </c>
      <c r="T431" s="304">
        <f t="shared" si="352"/>
        <v>0</v>
      </c>
      <c r="U431" s="304">
        <f t="shared" si="390"/>
        <v>0</v>
      </c>
      <c r="V431" s="305" t="e">
        <f t="shared" si="353"/>
        <v>#N/A</v>
      </c>
      <c r="W431" s="305" t="e">
        <f t="shared" si="381"/>
        <v>#N/A</v>
      </c>
      <c r="X431" s="304">
        <f t="shared" si="382"/>
        <v>1.2</v>
      </c>
      <c r="Z431" s="304" t="str">
        <f t="shared" si="354"/>
        <v/>
      </c>
      <c r="AA431" s="305" t="e">
        <f t="shared" si="355"/>
        <v>#N/A</v>
      </c>
      <c r="AB431" s="304">
        <f t="shared" si="356"/>
        <v>0.49586424822221931</v>
      </c>
      <c r="AC431" s="304" t="str">
        <f t="shared" si="383"/>
        <v/>
      </c>
      <c r="AD431" s="306">
        <f t="shared" si="357"/>
        <v>0</v>
      </c>
      <c r="AE431" s="307">
        <f t="shared" si="384"/>
        <v>0.49586424822221931</v>
      </c>
      <c r="AF431" s="308" t="e">
        <f t="shared" si="337"/>
        <v>#N/A</v>
      </c>
      <c r="AG431" s="306">
        <f t="shared" si="385"/>
        <v>698.59449586849018</v>
      </c>
      <c r="AH431" s="306">
        <f t="shared" si="358"/>
        <v>0</v>
      </c>
      <c r="AI431" s="306">
        <f t="shared" si="386"/>
        <v>0</v>
      </c>
      <c r="AJ431" s="306">
        <f t="shared" si="387"/>
        <v>0</v>
      </c>
      <c r="AK431" s="306">
        <f t="shared" si="359"/>
        <v>0</v>
      </c>
      <c r="AL431" s="306">
        <f t="shared" si="388"/>
        <v>0</v>
      </c>
      <c r="AM431" s="306">
        <f t="shared" si="360"/>
        <v>0</v>
      </c>
      <c r="AN431" s="306"/>
      <c r="AO431" s="304" t="str">
        <f t="shared" si="361"/>
        <v/>
      </c>
      <c r="AP431" s="304" t="str">
        <f t="shared" si="389"/>
        <v/>
      </c>
      <c r="AQ431" s="305" t="e">
        <f t="shared" si="338"/>
        <v>#N/A</v>
      </c>
      <c r="AR431" s="304" t="str">
        <f t="shared" si="339"/>
        <v/>
      </c>
      <c r="AS431" s="306">
        <f t="shared" si="362"/>
        <v>0</v>
      </c>
      <c r="AT431" s="307" t="e">
        <f t="shared" si="340"/>
        <v>#N/A</v>
      </c>
      <c r="AU431" s="307" t="e">
        <f t="shared" si="341"/>
        <v>#N/A</v>
      </c>
      <c r="AV431" s="304">
        <f t="shared" si="344"/>
        <v>0.41322020685184946</v>
      </c>
      <c r="AW431" s="309">
        <f t="shared" si="363"/>
        <v>4.7313320344341063</v>
      </c>
      <c r="AX431" s="306">
        <f>IF(ISERROR(Weather!M415),#N/A,Weather!M415)</f>
        <v>0</v>
      </c>
      <c r="AY431" s="310">
        <f t="shared" si="364"/>
        <v>12</v>
      </c>
      <c r="AZ431" s="309">
        <f t="shared" si="365"/>
        <v>1.2</v>
      </c>
      <c r="BA431" s="309">
        <f t="shared" si="366"/>
        <v>271.20626225838669</v>
      </c>
      <c r="BB431" s="311">
        <f>Irrig!H433</f>
        <v>0</v>
      </c>
      <c r="BC431" s="310">
        <f t="shared" si="367"/>
        <v>0</v>
      </c>
      <c r="BD431" s="309">
        <f t="shared" si="368"/>
        <v>0</v>
      </c>
      <c r="BE431" s="309">
        <f t="shared" si="369"/>
        <v>0</v>
      </c>
      <c r="BF431" s="306">
        <f>DailyMet!H415</f>
        <v>-4.6399999999999997</v>
      </c>
      <c r="BG431" s="306">
        <f>DailyMet!I415</f>
        <v>-9.1999999999999993</v>
      </c>
      <c r="BH431" s="306">
        <f t="shared" si="370"/>
        <v>-4.6399999999999997</v>
      </c>
      <c r="BI431" s="306">
        <f t="shared" si="371"/>
        <v>10</v>
      </c>
      <c r="BJ431" s="306">
        <f t="shared" si="372"/>
        <v>-7.32</v>
      </c>
      <c r="BK431" s="306">
        <f t="shared" si="343"/>
        <v>0</v>
      </c>
      <c r="BL431" s="304">
        <f t="shared" si="373"/>
        <v>0</v>
      </c>
      <c r="BM431" s="304">
        <f t="shared" si="374"/>
        <v>0</v>
      </c>
      <c r="BN431" s="304">
        <f t="shared" si="391"/>
        <v>0</v>
      </c>
      <c r="BO431" s="306">
        <f t="shared" si="392"/>
        <v>0</v>
      </c>
      <c r="BP431" s="306"/>
    </row>
    <row r="432" spans="1:68">
      <c r="A432" s="299">
        <f t="shared" si="345"/>
        <v>0</v>
      </c>
      <c r="B432" s="300">
        <f t="shared" si="346"/>
        <v>38397</v>
      </c>
      <c r="C432" s="301" t="e">
        <f t="shared" si="375"/>
        <v>#N/A</v>
      </c>
      <c r="D432" s="301" t="e">
        <f t="shared" si="347"/>
        <v>#N/A</v>
      </c>
      <c r="E432" s="299">
        <f t="shared" si="348"/>
        <v>411</v>
      </c>
      <c r="F432" s="396">
        <f>Weather!M416</f>
        <v>0</v>
      </c>
      <c r="G432" s="301">
        <f>IF(Weather!C416="","",Weather!C416)</f>
        <v>0.46833216623671287</v>
      </c>
      <c r="H432" s="301">
        <f>IF(Weather!D416="","",Weather!D416)</f>
        <v>0.39576125991328082</v>
      </c>
      <c r="I432" s="502">
        <f>IF(Weather!E416="","",Weather!E416)</f>
        <v>0.39576125991328082</v>
      </c>
      <c r="J432" s="397">
        <f>IF(RnSplint!N95&lt;0,0,RnSplint!N95)</f>
        <v>28</v>
      </c>
      <c r="K432" s="302">
        <f t="shared" si="376"/>
        <v>0</v>
      </c>
      <c r="L432" s="303">
        <f t="shared" si="377"/>
        <v>38397</v>
      </c>
      <c r="M432" s="346" t="str">
        <f t="shared" si="342"/>
        <v/>
      </c>
      <c r="N432" s="304">
        <f t="shared" si="378"/>
        <v>0</v>
      </c>
      <c r="O432" s="304">
        <f t="shared" si="379"/>
        <v>0</v>
      </c>
      <c r="P432" s="304">
        <f t="shared" si="349"/>
        <v>0</v>
      </c>
      <c r="Q432" s="304">
        <f t="shared" si="350"/>
        <v>1.1723922989712949</v>
      </c>
      <c r="R432" s="304">
        <f t="shared" si="351"/>
        <v>1.1723922989712949</v>
      </c>
      <c r="S432" s="305" t="e">
        <f t="shared" si="380"/>
        <v>#N/A</v>
      </c>
      <c r="T432" s="304">
        <f t="shared" si="352"/>
        <v>0</v>
      </c>
      <c r="U432" s="304">
        <f t="shared" si="390"/>
        <v>0</v>
      </c>
      <c r="V432" s="305" t="e">
        <f t="shared" si="353"/>
        <v>#N/A</v>
      </c>
      <c r="W432" s="305" t="e">
        <f t="shared" si="381"/>
        <v>#N/A</v>
      </c>
      <c r="X432" s="304">
        <f t="shared" si="382"/>
        <v>1.1723922989712949</v>
      </c>
      <c r="Z432" s="304" t="str">
        <f t="shared" si="354"/>
        <v/>
      </c>
      <c r="AA432" s="305" t="e">
        <f t="shared" si="355"/>
        <v>#N/A</v>
      </c>
      <c r="AB432" s="304">
        <f t="shared" si="356"/>
        <v>0.4639874533535075</v>
      </c>
      <c r="AC432" s="304" t="str">
        <f t="shared" si="383"/>
        <v/>
      </c>
      <c r="AD432" s="306">
        <f t="shared" si="357"/>
        <v>0</v>
      </c>
      <c r="AE432" s="307">
        <f t="shared" si="384"/>
        <v>0.4639874533535075</v>
      </c>
      <c r="AF432" s="308" t="e">
        <f t="shared" si="337"/>
        <v>#N/A</v>
      </c>
      <c r="AG432" s="306">
        <f t="shared" si="385"/>
        <v>698.99025712840341</v>
      </c>
      <c r="AH432" s="306">
        <f t="shared" si="358"/>
        <v>0</v>
      </c>
      <c r="AI432" s="306">
        <f t="shared" si="386"/>
        <v>0</v>
      </c>
      <c r="AJ432" s="306">
        <f t="shared" si="387"/>
        <v>0</v>
      </c>
      <c r="AK432" s="306">
        <f t="shared" si="359"/>
        <v>0</v>
      </c>
      <c r="AL432" s="306">
        <f t="shared" si="388"/>
        <v>0</v>
      </c>
      <c r="AM432" s="306">
        <f t="shared" si="360"/>
        <v>0</v>
      </c>
      <c r="AN432" s="306"/>
      <c r="AO432" s="304" t="str">
        <f t="shared" si="361"/>
        <v/>
      </c>
      <c r="AP432" s="304" t="str">
        <f t="shared" si="389"/>
        <v/>
      </c>
      <c r="AQ432" s="305" t="e">
        <f t="shared" si="338"/>
        <v>#N/A</v>
      </c>
      <c r="AR432" s="304" t="str">
        <f t="shared" si="339"/>
        <v/>
      </c>
      <c r="AS432" s="306">
        <f t="shared" si="362"/>
        <v>0</v>
      </c>
      <c r="AT432" s="307" t="e">
        <f t="shared" si="340"/>
        <v>#N/A</v>
      </c>
      <c r="AU432" s="307" t="e">
        <f t="shared" si="341"/>
        <v>#N/A</v>
      </c>
      <c r="AV432" s="304">
        <f t="shared" si="344"/>
        <v>0.39576125991328082</v>
      </c>
      <c r="AW432" s="309">
        <f t="shared" si="363"/>
        <v>5.1270932943473868</v>
      </c>
      <c r="AX432" s="306">
        <f>IF(ISERROR(Weather!M416),#N/A,Weather!M416)</f>
        <v>0</v>
      </c>
      <c r="AY432" s="310">
        <f t="shared" si="364"/>
        <v>13</v>
      </c>
      <c r="AZ432" s="309">
        <f t="shared" si="365"/>
        <v>1.1723922989712949</v>
      </c>
      <c r="BA432" s="309">
        <f t="shared" si="366"/>
        <v>271.60202351829997</v>
      </c>
      <c r="BB432" s="311">
        <f>Irrig!H434</f>
        <v>0</v>
      </c>
      <c r="BC432" s="310">
        <f t="shared" si="367"/>
        <v>0</v>
      </c>
      <c r="BD432" s="309">
        <f t="shared" si="368"/>
        <v>0</v>
      </c>
      <c r="BE432" s="309">
        <f t="shared" si="369"/>
        <v>0</v>
      </c>
      <c r="BF432" s="306">
        <f>DailyMet!H416</f>
        <v>-1.38</v>
      </c>
      <c r="BG432" s="306">
        <f>DailyMet!I416</f>
        <v>-7.6</v>
      </c>
      <c r="BH432" s="306">
        <f t="shared" si="370"/>
        <v>-1.38</v>
      </c>
      <c r="BI432" s="306">
        <f t="shared" si="371"/>
        <v>10</v>
      </c>
      <c r="BJ432" s="306">
        <f t="shared" si="372"/>
        <v>-5.6899999999999995</v>
      </c>
      <c r="BK432" s="306">
        <f t="shared" si="343"/>
        <v>0</v>
      </c>
      <c r="BL432" s="304">
        <f t="shared" si="373"/>
        <v>0</v>
      </c>
      <c r="BM432" s="304">
        <f t="shared" si="374"/>
        <v>0</v>
      </c>
      <c r="BN432" s="304">
        <f t="shared" si="391"/>
        <v>0</v>
      </c>
      <c r="BO432" s="306">
        <f t="shared" si="392"/>
        <v>0</v>
      </c>
      <c r="BP432" s="306"/>
    </row>
    <row r="433" spans="1:68">
      <c r="A433" s="299">
        <f t="shared" si="345"/>
        <v>0</v>
      </c>
      <c r="B433" s="300">
        <f t="shared" si="346"/>
        <v>38398</v>
      </c>
      <c r="C433" s="301" t="e">
        <f t="shared" si="375"/>
        <v>#N/A</v>
      </c>
      <c r="D433" s="301" t="e">
        <f t="shared" si="347"/>
        <v>#N/A</v>
      </c>
      <c r="E433" s="299">
        <f t="shared" si="348"/>
        <v>412</v>
      </c>
      <c r="F433" s="396">
        <f>Weather!M417</f>
        <v>1</v>
      </c>
      <c r="G433" s="301">
        <f>IF(Weather!C417="","",Weather!C417)</f>
        <v>0.4914907237823789</v>
      </c>
      <c r="H433" s="301">
        <f>IF(Weather!D417="","",Weather!D417)</f>
        <v>0.2110792416261621</v>
      </c>
      <c r="I433" s="502">
        <f>IF(Weather!E417="","",Weather!E417)</f>
        <v>0.2110792416261621</v>
      </c>
      <c r="J433" s="397">
        <f>IF(RnSplint!N96&lt;0,0,RnSplint!N96)</f>
        <v>27.87452485339788</v>
      </c>
      <c r="K433" s="302">
        <f t="shared" si="376"/>
        <v>0</v>
      </c>
      <c r="L433" s="303">
        <f t="shared" si="377"/>
        <v>38398</v>
      </c>
      <c r="M433" s="346" t="str">
        <f t="shared" si="342"/>
        <v/>
      </c>
      <c r="N433" s="304">
        <f t="shared" si="378"/>
        <v>0</v>
      </c>
      <c r="O433" s="304">
        <f t="shared" si="379"/>
        <v>0</v>
      </c>
      <c r="P433" s="304">
        <f t="shared" si="349"/>
        <v>0</v>
      </c>
      <c r="Q433" s="304">
        <f t="shared" si="350"/>
        <v>1.2</v>
      </c>
      <c r="R433" s="304">
        <f t="shared" si="351"/>
        <v>1.2</v>
      </c>
      <c r="S433" s="305" t="e">
        <f t="shared" si="380"/>
        <v>#N/A</v>
      </c>
      <c r="T433" s="304">
        <f t="shared" si="352"/>
        <v>0</v>
      </c>
      <c r="U433" s="304">
        <f t="shared" si="390"/>
        <v>0</v>
      </c>
      <c r="V433" s="305" t="e">
        <f t="shared" si="353"/>
        <v>#N/A</v>
      </c>
      <c r="W433" s="305" t="e">
        <f t="shared" si="381"/>
        <v>#N/A</v>
      </c>
      <c r="X433" s="304">
        <f t="shared" si="382"/>
        <v>1.2</v>
      </c>
      <c r="Z433" s="304" t="str">
        <f t="shared" si="354"/>
        <v/>
      </c>
      <c r="AA433" s="305" t="e">
        <f t="shared" si="355"/>
        <v>#N/A</v>
      </c>
      <c r="AB433" s="304">
        <f t="shared" si="356"/>
        <v>0.25329508995139449</v>
      </c>
      <c r="AC433" s="304" t="str">
        <f t="shared" si="383"/>
        <v/>
      </c>
      <c r="AD433" s="306">
        <f t="shared" si="357"/>
        <v>0</v>
      </c>
      <c r="AE433" s="307">
        <f t="shared" si="384"/>
        <v>0.25329508995139449</v>
      </c>
      <c r="AF433" s="308" t="e">
        <f t="shared" si="337"/>
        <v>#N/A</v>
      </c>
      <c r="AG433" s="306">
        <f t="shared" si="385"/>
        <v>699.20133637002959</v>
      </c>
      <c r="AH433" s="306">
        <f t="shared" si="358"/>
        <v>0</v>
      </c>
      <c r="AI433" s="306">
        <f t="shared" si="386"/>
        <v>0</v>
      </c>
      <c r="AJ433" s="306">
        <f t="shared" si="387"/>
        <v>0</v>
      </c>
      <c r="AK433" s="306">
        <f t="shared" si="359"/>
        <v>0</v>
      </c>
      <c r="AL433" s="306">
        <f t="shared" si="388"/>
        <v>0</v>
      </c>
      <c r="AM433" s="306">
        <f t="shared" si="360"/>
        <v>0</v>
      </c>
      <c r="AN433" s="306"/>
      <c r="AO433" s="304" t="str">
        <f t="shared" si="361"/>
        <v/>
      </c>
      <c r="AP433" s="304" t="str">
        <f t="shared" si="389"/>
        <v/>
      </c>
      <c r="AQ433" s="305" t="e">
        <f t="shared" si="338"/>
        <v>#N/A</v>
      </c>
      <c r="AR433" s="304" t="str">
        <f t="shared" si="339"/>
        <v/>
      </c>
      <c r="AS433" s="306">
        <f t="shared" si="362"/>
        <v>0</v>
      </c>
      <c r="AT433" s="307" t="e">
        <f t="shared" si="340"/>
        <v>#N/A</v>
      </c>
      <c r="AU433" s="307" t="e">
        <f t="shared" si="341"/>
        <v>#N/A</v>
      </c>
      <c r="AV433" s="304">
        <f t="shared" si="344"/>
        <v>0.2110792416261621</v>
      </c>
      <c r="AW433" s="309">
        <f t="shared" si="363"/>
        <v>0.2110792416261621</v>
      </c>
      <c r="AX433" s="306">
        <f>IF(ISERROR(Weather!M417),#N/A,Weather!M417)</f>
        <v>1</v>
      </c>
      <c r="AY433" s="310">
        <f t="shared" si="364"/>
        <v>1</v>
      </c>
      <c r="AZ433" s="309">
        <f t="shared" si="365"/>
        <v>1.2</v>
      </c>
      <c r="BA433" s="309">
        <f t="shared" si="366"/>
        <v>271.81310275992615</v>
      </c>
      <c r="BB433" s="311">
        <f>Irrig!H435</f>
        <v>0</v>
      </c>
      <c r="BC433" s="310">
        <f t="shared" si="367"/>
        <v>0</v>
      </c>
      <c r="BD433" s="309">
        <f t="shared" si="368"/>
        <v>0</v>
      </c>
      <c r="BE433" s="309">
        <f t="shared" si="369"/>
        <v>0</v>
      </c>
      <c r="BF433" s="306">
        <f>DailyMet!H417</f>
        <v>0.11</v>
      </c>
      <c r="BG433" s="306">
        <f>DailyMet!I417</f>
        <v>-7</v>
      </c>
      <c r="BH433" s="306">
        <f t="shared" si="370"/>
        <v>0.11</v>
      </c>
      <c r="BI433" s="306">
        <f t="shared" si="371"/>
        <v>10</v>
      </c>
      <c r="BJ433" s="306">
        <f t="shared" si="372"/>
        <v>-4.9450000000000003</v>
      </c>
      <c r="BK433" s="306">
        <f t="shared" si="343"/>
        <v>0</v>
      </c>
      <c r="BL433" s="304">
        <f t="shared" si="373"/>
        <v>0</v>
      </c>
      <c r="BM433" s="304">
        <f t="shared" si="374"/>
        <v>0</v>
      </c>
      <c r="BN433" s="304">
        <f t="shared" si="391"/>
        <v>0</v>
      </c>
      <c r="BO433" s="306">
        <f t="shared" si="392"/>
        <v>0</v>
      </c>
      <c r="BP433" s="306"/>
    </row>
    <row r="434" spans="1:68">
      <c r="A434" s="299">
        <f t="shared" si="345"/>
        <v>0</v>
      </c>
      <c r="B434" s="300">
        <f t="shared" si="346"/>
        <v>38399</v>
      </c>
      <c r="C434" s="301" t="e">
        <f t="shared" si="375"/>
        <v>#N/A</v>
      </c>
      <c r="D434" s="301" t="e">
        <f t="shared" si="347"/>
        <v>#N/A</v>
      </c>
      <c r="E434" s="299">
        <f t="shared" si="348"/>
        <v>413</v>
      </c>
      <c r="F434" s="396">
        <f>Weather!M418</f>
        <v>0</v>
      </c>
      <c r="G434" s="301">
        <f>IF(Weather!C418="","",Weather!C418)</f>
        <v>0.51638813697681918</v>
      </c>
      <c r="H434" s="301">
        <f>IF(Weather!D418="","",Weather!D418)</f>
        <v>0.16164582054947796</v>
      </c>
      <c r="I434" s="502">
        <f>IF(Weather!E418="","",Weather!E418)</f>
        <v>0.16164582054947796</v>
      </c>
      <c r="J434" s="397">
        <f>IF(RnSplint!N97&lt;0,0,RnSplint!N97)</f>
        <v>27.772955816750773</v>
      </c>
      <c r="K434" s="302">
        <f t="shared" si="376"/>
        <v>0</v>
      </c>
      <c r="L434" s="303">
        <f t="shared" si="377"/>
        <v>38399</v>
      </c>
      <c r="M434" s="346" t="str">
        <f t="shared" si="342"/>
        <v/>
      </c>
      <c r="N434" s="304">
        <f t="shared" si="378"/>
        <v>0</v>
      </c>
      <c r="O434" s="304">
        <f t="shared" si="379"/>
        <v>0</v>
      </c>
      <c r="P434" s="304">
        <f t="shared" si="349"/>
        <v>0</v>
      </c>
      <c r="Q434" s="304">
        <f t="shared" si="350"/>
        <v>1.2</v>
      </c>
      <c r="R434" s="304">
        <f t="shared" si="351"/>
        <v>1.2</v>
      </c>
      <c r="S434" s="305" t="e">
        <f t="shared" si="380"/>
        <v>#N/A</v>
      </c>
      <c r="T434" s="304">
        <f t="shared" si="352"/>
        <v>0</v>
      </c>
      <c r="U434" s="304">
        <f t="shared" si="390"/>
        <v>0</v>
      </c>
      <c r="V434" s="305" t="e">
        <f t="shared" si="353"/>
        <v>#N/A</v>
      </c>
      <c r="W434" s="305" t="e">
        <f t="shared" si="381"/>
        <v>#N/A</v>
      </c>
      <c r="X434" s="304">
        <f t="shared" si="382"/>
        <v>1.2</v>
      </c>
      <c r="Z434" s="304" t="str">
        <f t="shared" si="354"/>
        <v/>
      </c>
      <c r="AA434" s="305" t="e">
        <f t="shared" si="355"/>
        <v>#N/A</v>
      </c>
      <c r="AB434" s="304">
        <f t="shared" si="356"/>
        <v>0.19397498465937354</v>
      </c>
      <c r="AC434" s="304" t="str">
        <f t="shared" si="383"/>
        <v/>
      </c>
      <c r="AD434" s="306">
        <f t="shared" si="357"/>
        <v>0</v>
      </c>
      <c r="AE434" s="307">
        <f t="shared" si="384"/>
        <v>0.19397498465937354</v>
      </c>
      <c r="AF434" s="308" t="e">
        <f t="shared" ref="AF434:AF497" si="393">IF(AD434=0,#N/A,AD434)</f>
        <v>#N/A</v>
      </c>
      <c r="AG434" s="306">
        <f t="shared" si="385"/>
        <v>699.36298219057903</v>
      </c>
      <c r="AH434" s="306">
        <f t="shared" si="358"/>
        <v>0</v>
      </c>
      <c r="AI434" s="306">
        <f t="shared" si="386"/>
        <v>0</v>
      </c>
      <c r="AJ434" s="306">
        <f t="shared" si="387"/>
        <v>0</v>
      </c>
      <c r="AK434" s="306">
        <f t="shared" si="359"/>
        <v>0</v>
      </c>
      <c r="AL434" s="306">
        <f t="shared" si="388"/>
        <v>0</v>
      </c>
      <c r="AM434" s="306">
        <f t="shared" si="360"/>
        <v>0</v>
      </c>
      <c r="AN434" s="306"/>
      <c r="AO434" s="304" t="str">
        <f t="shared" si="361"/>
        <v/>
      </c>
      <c r="AP434" s="304" t="str">
        <f t="shared" si="389"/>
        <v/>
      </c>
      <c r="AQ434" s="305" t="e">
        <f t="shared" si="338"/>
        <v>#N/A</v>
      </c>
      <c r="AR434" s="304" t="str">
        <f t="shared" si="339"/>
        <v/>
      </c>
      <c r="AS434" s="306">
        <f t="shared" si="362"/>
        <v>0</v>
      </c>
      <c r="AT434" s="307" t="e">
        <f t="shared" si="340"/>
        <v>#N/A</v>
      </c>
      <c r="AU434" s="307" t="e">
        <f t="shared" si="341"/>
        <v>#N/A</v>
      </c>
      <c r="AV434" s="304">
        <f t="shared" si="344"/>
        <v>0.16164582054947796</v>
      </c>
      <c r="AW434" s="309">
        <f t="shared" si="363"/>
        <v>0.37272506217564005</v>
      </c>
      <c r="AX434" s="306">
        <f>IF(ISERROR(Weather!M418),#N/A,Weather!M418)</f>
        <v>0</v>
      </c>
      <c r="AY434" s="310">
        <f t="shared" si="364"/>
        <v>2</v>
      </c>
      <c r="AZ434" s="309">
        <f t="shared" si="365"/>
        <v>1.2</v>
      </c>
      <c r="BA434" s="309">
        <f t="shared" si="366"/>
        <v>271.97474858047565</v>
      </c>
      <c r="BB434" s="311">
        <f>Irrig!H436</f>
        <v>0</v>
      </c>
      <c r="BC434" s="310">
        <f t="shared" si="367"/>
        <v>0</v>
      </c>
      <c r="BD434" s="309">
        <f t="shared" si="368"/>
        <v>0</v>
      </c>
      <c r="BE434" s="309">
        <f t="shared" si="369"/>
        <v>0</v>
      </c>
      <c r="BF434" s="306">
        <f>DailyMet!H418</f>
        <v>0.98</v>
      </c>
      <c r="BG434" s="306">
        <f>DailyMet!I418</f>
        <v>-4.3</v>
      </c>
      <c r="BH434" s="306">
        <f t="shared" si="370"/>
        <v>0.98</v>
      </c>
      <c r="BI434" s="306">
        <f t="shared" si="371"/>
        <v>10</v>
      </c>
      <c r="BJ434" s="306">
        <f t="shared" si="372"/>
        <v>-4.51</v>
      </c>
      <c r="BK434" s="306">
        <f t="shared" si="343"/>
        <v>0</v>
      </c>
      <c r="BL434" s="304">
        <f t="shared" si="373"/>
        <v>0</v>
      </c>
      <c r="BM434" s="304">
        <f t="shared" si="374"/>
        <v>0</v>
      </c>
      <c r="BN434" s="304">
        <f t="shared" si="391"/>
        <v>0</v>
      </c>
      <c r="BO434" s="306">
        <f t="shared" si="392"/>
        <v>0</v>
      </c>
      <c r="BP434" s="306"/>
    </row>
    <row r="435" spans="1:68">
      <c r="A435" s="299">
        <f t="shared" si="345"/>
        <v>0</v>
      </c>
      <c r="B435" s="300">
        <f t="shared" si="346"/>
        <v>38400</v>
      </c>
      <c r="C435" s="301" t="e">
        <f t="shared" si="375"/>
        <v>#N/A</v>
      </c>
      <c r="D435" s="301" t="e">
        <f t="shared" si="347"/>
        <v>#N/A</v>
      </c>
      <c r="E435" s="299">
        <f t="shared" si="348"/>
        <v>414</v>
      </c>
      <c r="F435" s="396">
        <f>Weather!M419</f>
        <v>0</v>
      </c>
      <c r="G435" s="301">
        <f>IF(Weather!C419="","",Weather!C419)</f>
        <v>0.54287970231365179</v>
      </c>
      <c r="H435" s="301">
        <f>IF(Weather!D419="","",Weather!D419)</f>
        <v>0.42844195262703466</v>
      </c>
      <c r="I435" s="502">
        <f>IF(Weather!E419="","",Weather!E419)</f>
        <v>0.42844195262703466</v>
      </c>
      <c r="J435" s="397">
        <f>IF(RnSplint!N98&lt;0,0,RnSplint!N98)</f>
        <v>27.694397593646777</v>
      </c>
      <c r="K435" s="302">
        <f t="shared" si="376"/>
        <v>0</v>
      </c>
      <c r="L435" s="303">
        <f t="shared" si="377"/>
        <v>38400</v>
      </c>
      <c r="M435" s="346" t="str">
        <f t="shared" si="342"/>
        <v/>
      </c>
      <c r="N435" s="304">
        <f t="shared" si="378"/>
        <v>0</v>
      </c>
      <c r="O435" s="304">
        <f t="shared" si="379"/>
        <v>0</v>
      </c>
      <c r="P435" s="304">
        <f t="shared" si="349"/>
        <v>0</v>
      </c>
      <c r="Q435" s="304">
        <f t="shared" si="350"/>
        <v>1.2</v>
      </c>
      <c r="R435" s="304">
        <f t="shared" si="351"/>
        <v>1.2</v>
      </c>
      <c r="S435" s="305" t="e">
        <f t="shared" si="380"/>
        <v>#N/A</v>
      </c>
      <c r="T435" s="304">
        <f t="shared" si="352"/>
        <v>0</v>
      </c>
      <c r="U435" s="304">
        <f t="shared" si="390"/>
        <v>0</v>
      </c>
      <c r="V435" s="305" t="e">
        <f t="shared" si="353"/>
        <v>#N/A</v>
      </c>
      <c r="W435" s="305" t="e">
        <f t="shared" si="381"/>
        <v>#N/A</v>
      </c>
      <c r="X435" s="304">
        <f t="shared" si="382"/>
        <v>1.2</v>
      </c>
      <c r="Z435" s="304" t="str">
        <f t="shared" si="354"/>
        <v/>
      </c>
      <c r="AA435" s="305" t="e">
        <f t="shared" si="355"/>
        <v>#N/A</v>
      </c>
      <c r="AB435" s="304">
        <f t="shared" si="356"/>
        <v>0.51413034315244155</v>
      </c>
      <c r="AC435" s="304" t="str">
        <f t="shared" si="383"/>
        <v/>
      </c>
      <c r="AD435" s="306">
        <f t="shared" si="357"/>
        <v>0</v>
      </c>
      <c r="AE435" s="307">
        <f t="shared" si="384"/>
        <v>0.51413034315244155</v>
      </c>
      <c r="AF435" s="308" t="e">
        <f t="shared" si="393"/>
        <v>#N/A</v>
      </c>
      <c r="AG435" s="306">
        <f t="shared" si="385"/>
        <v>699.79142414320609</v>
      </c>
      <c r="AH435" s="306">
        <f t="shared" si="358"/>
        <v>0</v>
      </c>
      <c r="AI435" s="306">
        <f t="shared" si="386"/>
        <v>0</v>
      </c>
      <c r="AJ435" s="306">
        <f t="shared" si="387"/>
        <v>0</v>
      </c>
      <c r="AK435" s="306">
        <f t="shared" si="359"/>
        <v>0</v>
      </c>
      <c r="AL435" s="306">
        <f t="shared" si="388"/>
        <v>0</v>
      </c>
      <c r="AM435" s="306">
        <f t="shared" si="360"/>
        <v>0</v>
      </c>
      <c r="AN435" s="306"/>
      <c r="AO435" s="304" t="str">
        <f t="shared" si="361"/>
        <v/>
      </c>
      <c r="AP435" s="304" t="str">
        <f t="shared" si="389"/>
        <v/>
      </c>
      <c r="AQ435" s="305" t="e">
        <f t="shared" si="338"/>
        <v>#N/A</v>
      </c>
      <c r="AR435" s="304" t="str">
        <f t="shared" si="339"/>
        <v/>
      </c>
      <c r="AS435" s="306">
        <f t="shared" si="362"/>
        <v>0</v>
      </c>
      <c r="AT435" s="307" t="e">
        <f t="shared" si="340"/>
        <v>#N/A</v>
      </c>
      <c r="AU435" s="307" t="e">
        <f t="shared" si="341"/>
        <v>#N/A</v>
      </c>
      <c r="AV435" s="304">
        <f t="shared" si="344"/>
        <v>0.42844195262703466</v>
      </c>
      <c r="AW435" s="309">
        <f t="shared" si="363"/>
        <v>0.80116701480267472</v>
      </c>
      <c r="AX435" s="306">
        <f>IF(ISERROR(Weather!M419),#N/A,Weather!M419)</f>
        <v>0</v>
      </c>
      <c r="AY435" s="310">
        <f t="shared" si="364"/>
        <v>3</v>
      </c>
      <c r="AZ435" s="309">
        <f t="shared" si="365"/>
        <v>1.2</v>
      </c>
      <c r="BA435" s="309">
        <f t="shared" si="366"/>
        <v>272.4031905331027</v>
      </c>
      <c r="BB435" s="311">
        <f>Irrig!H437</f>
        <v>0</v>
      </c>
      <c r="BC435" s="310">
        <f t="shared" si="367"/>
        <v>0</v>
      </c>
      <c r="BD435" s="309">
        <f t="shared" si="368"/>
        <v>0</v>
      </c>
      <c r="BE435" s="309">
        <f t="shared" si="369"/>
        <v>0</v>
      </c>
      <c r="BF435" s="306">
        <f>DailyMet!H419</f>
        <v>2.46</v>
      </c>
      <c r="BG435" s="306">
        <f>DailyMet!I419</f>
        <v>-2.7</v>
      </c>
      <c r="BH435" s="306">
        <f t="shared" si="370"/>
        <v>2.46</v>
      </c>
      <c r="BI435" s="306">
        <f t="shared" si="371"/>
        <v>10</v>
      </c>
      <c r="BJ435" s="306">
        <f t="shared" si="372"/>
        <v>-3.7699999999999996</v>
      </c>
      <c r="BK435" s="306">
        <f t="shared" si="343"/>
        <v>0</v>
      </c>
      <c r="BL435" s="304">
        <f t="shared" si="373"/>
        <v>0</v>
      </c>
      <c r="BM435" s="304">
        <f t="shared" si="374"/>
        <v>0</v>
      </c>
      <c r="BN435" s="304">
        <f t="shared" si="391"/>
        <v>0</v>
      </c>
      <c r="BO435" s="306">
        <f t="shared" si="392"/>
        <v>0</v>
      </c>
      <c r="BP435" s="306"/>
    </row>
    <row r="436" spans="1:68">
      <c r="A436" s="299">
        <f t="shared" si="345"/>
        <v>0</v>
      </c>
      <c r="B436" s="300">
        <f t="shared" si="346"/>
        <v>38401</v>
      </c>
      <c r="C436" s="301" t="e">
        <f t="shared" si="375"/>
        <v>#N/A</v>
      </c>
      <c r="D436" s="301" t="e">
        <f t="shared" si="347"/>
        <v>#N/A</v>
      </c>
      <c r="E436" s="299">
        <f t="shared" si="348"/>
        <v>415</v>
      </c>
      <c r="F436" s="396">
        <f>Weather!M420</f>
        <v>28</v>
      </c>
      <c r="G436" s="301">
        <f>IF(Weather!C420="","",Weather!C420)</f>
        <v>0.57082071628649456</v>
      </c>
      <c r="H436" s="301">
        <f>IF(Weather!D420="","",Weather!D420)</f>
        <v>0.27012829790668447</v>
      </c>
      <c r="I436" s="502">
        <f>IF(Weather!E420="","",Weather!E420)</f>
        <v>0.27012829790668447</v>
      </c>
      <c r="J436" s="397">
        <f>IF(RnSplint!N99&lt;0,0,RnSplint!N99)</f>
        <v>27.637954887673967</v>
      </c>
      <c r="K436" s="302">
        <f t="shared" si="376"/>
        <v>0</v>
      </c>
      <c r="L436" s="303">
        <f t="shared" si="377"/>
        <v>38401</v>
      </c>
      <c r="M436" s="346" t="str">
        <f t="shared" si="342"/>
        <v/>
      </c>
      <c r="N436" s="304">
        <f t="shared" si="378"/>
        <v>0</v>
      </c>
      <c r="O436" s="304">
        <f t="shared" si="379"/>
        <v>0</v>
      </c>
      <c r="P436" s="304">
        <f t="shared" si="349"/>
        <v>0</v>
      </c>
      <c r="Q436" s="304">
        <f t="shared" si="350"/>
        <v>1.2</v>
      </c>
      <c r="R436" s="304">
        <f t="shared" si="351"/>
        <v>1.2</v>
      </c>
      <c r="S436" s="305" t="e">
        <f t="shared" si="380"/>
        <v>#N/A</v>
      </c>
      <c r="T436" s="304">
        <f t="shared" si="352"/>
        <v>0</v>
      </c>
      <c r="U436" s="304">
        <f t="shared" si="390"/>
        <v>0</v>
      </c>
      <c r="V436" s="305" t="e">
        <f t="shared" si="353"/>
        <v>#N/A</v>
      </c>
      <c r="W436" s="305" t="e">
        <f t="shared" si="381"/>
        <v>#N/A</v>
      </c>
      <c r="X436" s="304">
        <f t="shared" si="382"/>
        <v>1.2</v>
      </c>
      <c r="Z436" s="304" t="str">
        <f t="shared" si="354"/>
        <v/>
      </c>
      <c r="AA436" s="305" t="e">
        <f t="shared" si="355"/>
        <v>#N/A</v>
      </c>
      <c r="AB436" s="304">
        <f t="shared" si="356"/>
        <v>0.32415395748802134</v>
      </c>
      <c r="AC436" s="304" t="str">
        <f t="shared" si="383"/>
        <v/>
      </c>
      <c r="AD436" s="306">
        <f t="shared" si="357"/>
        <v>0</v>
      </c>
      <c r="AE436" s="307">
        <f t="shared" si="384"/>
        <v>0.32415395748802134</v>
      </c>
      <c r="AF436" s="308" t="e">
        <f t="shared" si="393"/>
        <v>#N/A</v>
      </c>
      <c r="AG436" s="306">
        <f t="shared" si="385"/>
        <v>700.06155244111278</v>
      </c>
      <c r="AH436" s="306">
        <f t="shared" si="358"/>
        <v>0</v>
      </c>
      <c r="AI436" s="306">
        <f t="shared" si="386"/>
        <v>0</v>
      </c>
      <c r="AJ436" s="306">
        <f t="shared" si="387"/>
        <v>0</v>
      </c>
      <c r="AK436" s="306">
        <f t="shared" si="359"/>
        <v>0</v>
      </c>
      <c r="AL436" s="306">
        <f t="shared" si="388"/>
        <v>0</v>
      </c>
      <c r="AM436" s="306">
        <f t="shared" si="360"/>
        <v>0</v>
      </c>
      <c r="AN436" s="306"/>
      <c r="AO436" s="304" t="str">
        <f t="shared" si="361"/>
        <v/>
      </c>
      <c r="AP436" s="304" t="str">
        <f t="shared" si="389"/>
        <v/>
      </c>
      <c r="AQ436" s="305" t="e">
        <f t="shared" si="338"/>
        <v>#N/A</v>
      </c>
      <c r="AR436" s="304" t="str">
        <f t="shared" si="339"/>
        <v/>
      </c>
      <c r="AS436" s="306">
        <f t="shared" si="362"/>
        <v>0</v>
      </c>
      <c r="AT436" s="307" t="e">
        <f t="shared" si="340"/>
        <v>#N/A</v>
      </c>
      <c r="AU436" s="307" t="e">
        <f t="shared" si="341"/>
        <v>#N/A</v>
      </c>
      <c r="AV436" s="304">
        <f t="shared" si="344"/>
        <v>0.27012829790668447</v>
      </c>
      <c r="AW436" s="309">
        <f t="shared" si="363"/>
        <v>0.27012829790668447</v>
      </c>
      <c r="AX436" s="306">
        <f>IF(ISERROR(Weather!M420),#N/A,Weather!M420)</f>
        <v>28</v>
      </c>
      <c r="AY436" s="310">
        <f t="shared" si="364"/>
        <v>1</v>
      </c>
      <c r="AZ436" s="309">
        <f t="shared" si="365"/>
        <v>1.2</v>
      </c>
      <c r="BA436" s="309">
        <f t="shared" si="366"/>
        <v>272.6733188310094</v>
      </c>
      <c r="BB436" s="311">
        <f>Irrig!H438</f>
        <v>0</v>
      </c>
      <c r="BC436" s="310">
        <f t="shared" si="367"/>
        <v>0</v>
      </c>
      <c r="BD436" s="309">
        <f t="shared" si="368"/>
        <v>0</v>
      </c>
      <c r="BE436" s="309">
        <f t="shared" si="369"/>
        <v>0</v>
      </c>
      <c r="BF436" s="306">
        <f>DailyMet!H420</f>
        <v>3.48</v>
      </c>
      <c r="BG436" s="306">
        <f>DailyMet!I420</f>
        <v>1.3</v>
      </c>
      <c r="BH436" s="306">
        <f t="shared" si="370"/>
        <v>3.48</v>
      </c>
      <c r="BI436" s="306">
        <f t="shared" si="371"/>
        <v>10</v>
      </c>
      <c r="BJ436" s="306">
        <f t="shared" si="372"/>
        <v>-3.26</v>
      </c>
      <c r="BK436" s="306">
        <f t="shared" si="343"/>
        <v>0</v>
      </c>
      <c r="BL436" s="304">
        <f t="shared" si="373"/>
        <v>0</v>
      </c>
      <c r="BM436" s="304">
        <f t="shared" si="374"/>
        <v>0</v>
      </c>
      <c r="BN436" s="304">
        <f t="shared" si="391"/>
        <v>0</v>
      </c>
      <c r="BO436" s="306">
        <f t="shared" si="392"/>
        <v>0</v>
      </c>
      <c r="BP436" s="306"/>
    </row>
    <row r="437" spans="1:68">
      <c r="A437" s="299">
        <f t="shared" si="345"/>
        <v>0</v>
      </c>
      <c r="B437" s="300">
        <f t="shared" si="346"/>
        <v>38402</v>
      </c>
      <c r="C437" s="301" t="e">
        <f t="shared" si="375"/>
        <v>#N/A</v>
      </c>
      <c r="D437" s="301" t="e">
        <f t="shared" si="347"/>
        <v>#N/A</v>
      </c>
      <c r="E437" s="299">
        <f t="shared" si="348"/>
        <v>416</v>
      </c>
      <c r="F437" s="396">
        <f>Weather!M421</f>
        <v>49</v>
      </c>
      <c r="G437" s="301">
        <f>IF(Weather!C421="","",Weather!C421)</f>
        <v>0.60006647538896551</v>
      </c>
      <c r="H437" s="301">
        <f>IF(Weather!D421="","",Weather!D421)</f>
        <v>0.20151220317447621</v>
      </c>
      <c r="I437" s="502">
        <f>IF(Weather!E421="","",Weather!E421)</f>
        <v>0.20151220317447621</v>
      </c>
      <c r="J437" s="397">
        <f>IF(RnSplint!N100&lt;0,0,RnSplint!N100)</f>
        <v>27.60273240242044</v>
      </c>
      <c r="K437" s="302">
        <f t="shared" si="376"/>
        <v>0</v>
      </c>
      <c r="L437" s="303">
        <f t="shared" si="377"/>
        <v>38402</v>
      </c>
      <c r="M437" s="346" t="str">
        <f t="shared" ref="M437:M500" si="394">IF(MONTH(L438)&gt;MONTH(L437),MONTH(L437),"")</f>
        <v/>
      </c>
      <c r="N437" s="304">
        <f t="shared" si="378"/>
        <v>0</v>
      </c>
      <c r="O437" s="304">
        <f t="shared" si="379"/>
        <v>0</v>
      </c>
      <c r="P437" s="304">
        <f t="shared" si="349"/>
        <v>0</v>
      </c>
      <c r="Q437" s="304">
        <f t="shared" si="350"/>
        <v>1.2</v>
      </c>
      <c r="R437" s="304">
        <f t="shared" si="351"/>
        <v>1.2</v>
      </c>
      <c r="S437" s="305" t="e">
        <f t="shared" si="380"/>
        <v>#N/A</v>
      </c>
      <c r="T437" s="304">
        <f t="shared" si="352"/>
        <v>0</v>
      </c>
      <c r="U437" s="304">
        <f t="shared" si="390"/>
        <v>0</v>
      </c>
      <c r="V437" s="305" t="e">
        <f t="shared" si="353"/>
        <v>#N/A</v>
      </c>
      <c r="W437" s="305" t="e">
        <f t="shared" si="381"/>
        <v>#N/A</v>
      </c>
      <c r="X437" s="304">
        <f t="shared" si="382"/>
        <v>1.2</v>
      </c>
      <c r="Z437" s="304" t="str">
        <f t="shared" si="354"/>
        <v/>
      </c>
      <c r="AA437" s="305" t="e">
        <f t="shared" si="355"/>
        <v>#N/A</v>
      </c>
      <c r="AB437" s="304">
        <f t="shared" si="356"/>
        <v>0.24181464380937145</v>
      </c>
      <c r="AC437" s="304" t="str">
        <f t="shared" si="383"/>
        <v/>
      </c>
      <c r="AD437" s="306">
        <f t="shared" si="357"/>
        <v>0</v>
      </c>
      <c r="AE437" s="307">
        <f t="shared" si="384"/>
        <v>0.24181464380937145</v>
      </c>
      <c r="AF437" s="308" t="e">
        <f t="shared" si="393"/>
        <v>#N/A</v>
      </c>
      <c r="AG437" s="306">
        <f t="shared" si="385"/>
        <v>700.26306464428728</v>
      </c>
      <c r="AH437" s="306">
        <f t="shared" si="358"/>
        <v>0</v>
      </c>
      <c r="AI437" s="306">
        <f t="shared" si="386"/>
        <v>0</v>
      </c>
      <c r="AJ437" s="306">
        <f t="shared" si="387"/>
        <v>0</v>
      </c>
      <c r="AK437" s="306">
        <f t="shared" si="359"/>
        <v>0</v>
      </c>
      <c r="AL437" s="306">
        <f t="shared" si="388"/>
        <v>0</v>
      </c>
      <c r="AM437" s="306">
        <f t="shared" si="360"/>
        <v>0</v>
      </c>
      <c r="AN437" s="306"/>
      <c r="AO437" s="304" t="str">
        <f t="shared" si="361"/>
        <v/>
      </c>
      <c r="AP437" s="304" t="str">
        <f t="shared" si="389"/>
        <v/>
      </c>
      <c r="AQ437" s="305" t="e">
        <f t="shared" ref="AQ437:AQ500" si="395">IF(AP437="",#N/A,AP437)</f>
        <v>#N/A</v>
      </c>
      <c r="AR437" s="304" t="str">
        <f t="shared" ref="AR437:AR500" si="396">IF(AP437="","",AP437*AV437)</f>
        <v/>
      </c>
      <c r="AS437" s="306">
        <f t="shared" si="362"/>
        <v>0</v>
      </c>
      <c r="AT437" s="307" t="e">
        <f t="shared" ref="AT437:AT500" si="397">IF(AR437="",#N/A,AR437)</f>
        <v>#N/A</v>
      </c>
      <c r="AU437" s="307" t="e">
        <f t="shared" ref="AU437:AU500" si="398">IF(AS437=0,#N/A,AS437)</f>
        <v>#N/A</v>
      </c>
      <c r="AV437" s="304">
        <f t="shared" si="344"/>
        <v>0.20151220317447621</v>
      </c>
      <c r="AW437" s="309">
        <f t="shared" si="363"/>
        <v>0.20151220317447621</v>
      </c>
      <c r="AX437" s="306">
        <f>IF(ISERROR(Weather!M421),#N/A,Weather!M421)</f>
        <v>49</v>
      </c>
      <c r="AY437" s="310">
        <f t="shared" si="364"/>
        <v>1</v>
      </c>
      <c r="AZ437" s="309">
        <f t="shared" si="365"/>
        <v>1.2</v>
      </c>
      <c r="BA437" s="309">
        <f t="shared" si="366"/>
        <v>272.8748310341839</v>
      </c>
      <c r="BB437" s="311">
        <f>Irrig!H439</f>
        <v>0</v>
      </c>
      <c r="BC437" s="310">
        <f t="shared" si="367"/>
        <v>0</v>
      </c>
      <c r="BD437" s="309">
        <f t="shared" si="368"/>
        <v>0</v>
      </c>
      <c r="BE437" s="309">
        <f t="shared" si="369"/>
        <v>0</v>
      </c>
      <c r="BF437" s="306">
        <f>DailyMet!H421</f>
        <v>3.03</v>
      </c>
      <c r="BG437" s="306">
        <f>DailyMet!I421</f>
        <v>0.6</v>
      </c>
      <c r="BH437" s="306">
        <f t="shared" si="370"/>
        <v>3.03</v>
      </c>
      <c r="BI437" s="306">
        <f t="shared" si="371"/>
        <v>10</v>
      </c>
      <c r="BJ437" s="306">
        <f t="shared" si="372"/>
        <v>-3.4850000000000003</v>
      </c>
      <c r="BK437" s="306">
        <f t="shared" si="343"/>
        <v>0</v>
      </c>
      <c r="BL437" s="304">
        <f t="shared" si="373"/>
        <v>0</v>
      </c>
      <c r="BM437" s="304">
        <f t="shared" si="374"/>
        <v>0</v>
      </c>
      <c r="BN437" s="304">
        <f t="shared" si="391"/>
        <v>0</v>
      </c>
      <c r="BO437" s="306">
        <f t="shared" si="392"/>
        <v>0</v>
      </c>
      <c r="BP437" s="306"/>
    </row>
    <row r="438" spans="1:68">
      <c r="A438" s="299">
        <f t="shared" si="345"/>
        <v>0</v>
      </c>
      <c r="B438" s="300">
        <f t="shared" si="346"/>
        <v>38403</v>
      </c>
      <c r="C438" s="301" t="e">
        <f t="shared" si="375"/>
        <v>#N/A</v>
      </c>
      <c r="D438" s="301" t="e">
        <f t="shared" si="347"/>
        <v>#N/A</v>
      </c>
      <c r="E438" s="299">
        <f t="shared" si="348"/>
        <v>417</v>
      </c>
      <c r="F438" s="396">
        <f>Weather!M422</f>
        <v>4</v>
      </c>
      <c r="G438" s="301">
        <f>IF(Weather!C422="","",Weather!C422)</f>
        <v>0.63047227611468248</v>
      </c>
      <c r="H438" s="301">
        <f>IF(Weather!D422="","",Weather!D422)</f>
        <v>0.40302323288783826</v>
      </c>
      <c r="I438" s="502">
        <f>IF(Weather!E422="","",Weather!E422)</f>
        <v>0.40302323288783826</v>
      </c>
      <c r="J438" s="397">
        <f>IF(RnSplint!N101&lt;0,0,RnSplint!N101)</f>
        <v>27.587834841474276</v>
      </c>
      <c r="K438" s="302">
        <f t="shared" si="376"/>
        <v>0</v>
      </c>
      <c r="L438" s="303">
        <f t="shared" si="377"/>
        <v>38403</v>
      </c>
      <c r="M438" s="346" t="str">
        <f t="shared" si="394"/>
        <v/>
      </c>
      <c r="N438" s="304">
        <f t="shared" si="378"/>
        <v>0</v>
      </c>
      <c r="O438" s="304">
        <f t="shared" si="379"/>
        <v>0</v>
      </c>
      <c r="P438" s="304">
        <f t="shared" si="349"/>
        <v>0</v>
      </c>
      <c r="Q438" s="304">
        <f t="shared" si="350"/>
        <v>1.2</v>
      </c>
      <c r="R438" s="304">
        <f t="shared" si="351"/>
        <v>1.2</v>
      </c>
      <c r="S438" s="305" t="e">
        <f t="shared" si="380"/>
        <v>#N/A</v>
      </c>
      <c r="T438" s="304">
        <f t="shared" si="352"/>
        <v>0</v>
      </c>
      <c r="U438" s="304">
        <f t="shared" si="390"/>
        <v>0</v>
      </c>
      <c r="V438" s="305" t="e">
        <f t="shared" si="353"/>
        <v>#N/A</v>
      </c>
      <c r="W438" s="305" t="e">
        <f t="shared" si="381"/>
        <v>#N/A</v>
      </c>
      <c r="X438" s="304">
        <f t="shared" si="382"/>
        <v>1.2</v>
      </c>
      <c r="Z438" s="304" t="str">
        <f t="shared" si="354"/>
        <v/>
      </c>
      <c r="AA438" s="305" t="e">
        <f t="shared" si="355"/>
        <v>#N/A</v>
      </c>
      <c r="AB438" s="304">
        <f t="shared" si="356"/>
        <v>0.48362787946540586</v>
      </c>
      <c r="AC438" s="304" t="str">
        <f t="shared" si="383"/>
        <v/>
      </c>
      <c r="AD438" s="306">
        <f t="shared" si="357"/>
        <v>0</v>
      </c>
      <c r="AE438" s="307">
        <f t="shared" si="384"/>
        <v>0.48362787946540586</v>
      </c>
      <c r="AF438" s="308" t="e">
        <f t="shared" si="393"/>
        <v>#N/A</v>
      </c>
      <c r="AG438" s="306">
        <f t="shared" si="385"/>
        <v>700.66608787717507</v>
      </c>
      <c r="AH438" s="306">
        <f t="shared" si="358"/>
        <v>0</v>
      </c>
      <c r="AI438" s="306">
        <f t="shared" si="386"/>
        <v>0</v>
      </c>
      <c r="AJ438" s="306">
        <f t="shared" si="387"/>
        <v>0</v>
      </c>
      <c r="AK438" s="306">
        <f t="shared" si="359"/>
        <v>0</v>
      </c>
      <c r="AL438" s="306">
        <f t="shared" si="388"/>
        <v>0</v>
      </c>
      <c r="AM438" s="306">
        <f t="shared" si="360"/>
        <v>0</v>
      </c>
      <c r="AN438" s="306"/>
      <c r="AO438" s="304" t="str">
        <f t="shared" si="361"/>
        <v/>
      </c>
      <c r="AP438" s="304" t="str">
        <f t="shared" si="389"/>
        <v/>
      </c>
      <c r="AQ438" s="305" t="e">
        <f t="shared" si="395"/>
        <v>#N/A</v>
      </c>
      <c r="AR438" s="304" t="str">
        <f t="shared" si="396"/>
        <v/>
      </c>
      <c r="AS438" s="306">
        <f t="shared" si="362"/>
        <v>0</v>
      </c>
      <c r="AT438" s="307" t="e">
        <f t="shared" si="397"/>
        <v>#N/A</v>
      </c>
      <c r="AU438" s="307" t="e">
        <f t="shared" si="398"/>
        <v>#N/A</v>
      </c>
      <c r="AV438" s="304">
        <f t="shared" si="344"/>
        <v>0.40302323288783826</v>
      </c>
      <c r="AW438" s="309">
        <f t="shared" si="363"/>
        <v>0.40302323288783826</v>
      </c>
      <c r="AX438" s="306">
        <f>IF(ISERROR(Weather!M422),#N/A,Weather!M422)</f>
        <v>4</v>
      </c>
      <c r="AY438" s="310">
        <f t="shared" si="364"/>
        <v>1</v>
      </c>
      <c r="AZ438" s="309">
        <f t="shared" si="365"/>
        <v>1.2</v>
      </c>
      <c r="BA438" s="309">
        <f t="shared" si="366"/>
        <v>273.27785426707175</v>
      </c>
      <c r="BB438" s="311">
        <f>Irrig!H440</f>
        <v>0</v>
      </c>
      <c r="BC438" s="310">
        <f t="shared" si="367"/>
        <v>0</v>
      </c>
      <c r="BD438" s="309">
        <f t="shared" si="368"/>
        <v>0</v>
      </c>
      <c r="BE438" s="309">
        <f t="shared" si="369"/>
        <v>0</v>
      </c>
      <c r="BF438" s="306">
        <f>DailyMet!H422</f>
        <v>4.3499999999999996</v>
      </c>
      <c r="BG438" s="306">
        <f>DailyMet!I422</f>
        <v>-0.7</v>
      </c>
      <c r="BH438" s="306">
        <f t="shared" si="370"/>
        <v>4.3499999999999996</v>
      </c>
      <c r="BI438" s="306">
        <f t="shared" si="371"/>
        <v>10</v>
      </c>
      <c r="BJ438" s="306">
        <f t="shared" si="372"/>
        <v>-2.8250000000000002</v>
      </c>
      <c r="BK438" s="306">
        <f t="shared" si="343"/>
        <v>0</v>
      </c>
      <c r="BL438" s="304">
        <f t="shared" si="373"/>
        <v>0</v>
      </c>
      <c r="BM438" s="304">
        <f t="shared" si="374"/>
        <v>0</v>
      </c>
      <c r="BN438" s="304">
        <f t="shared" si="391"/>
        <v>0</v>
      </c>
      <c r="BO438" s="306">
        <f t="shared" si="392"/>
        <v>0</v>
      </c>
      <c r="BP438" s="306"/>
    </row>
    <row r="439" spans="1:68">
      <c r="A439" s="299">
        <f t="shared" si="345"/>
        <v>0</v>
      </c>
      <c r="B439" s="300">
        <f t="shared" si="346"/>
        <v>38404</v>
      </c>
      <c r="C439" s="301" t="e">
        <f t="shared" si="375"/>
        <v>#N/A</v>
      </c>
      <c r="D439" s="301" t="e">
        <f t="shared" si="347"/>
        <v>#N/A</v>
      </c>
      <c r="E439" s="299">
        <f t="shared" si="348"/>
        <v>418</v>
      </c>
      <c r="F439" s="396">
        <f>Weather!M423</f>
        <v>0</v>
      </c>
      <c r="G439" s="301">
        <f>IF(Weather!C423="","",Weather!C423)</f>
        <v>0.66189341495726361</v>
      </c>
      <c r="H439" s="301">
        <f>IF(Weather!D423="","",Weather!D423)</f>
        <v>0.52880251796818045</v>
      </c>
      <c r="I439" s="502">
        <f>IF(Weather!E423="","",Weather!E423)</f>
        <v>0.52880251796818045</v>
      </c>
      <c r="J439" s="397">
        <f>IF(RnSplint!N102&lt;0,0,RnSplint!N102)</f>
        <v>27.592366908423564</v>
      </c>
      <c r="K439" s="302">
        <f t="shared" si="376"/>
        <v>0</v>
      </c>
      <c r="L439" s="303">
        <f t="shared" si="377"/>
        <v>38404</v>
      </c>
      <c r="M439" s="346" t="str">
        <f t="shared" si="394"/>
        <v/>
      </c>
      <c r="N439" s="304">
        <f t="shared" si="378"/>
        <v>0</v>
      </c>
      <c r="O439" s="304">
        <f t="shared" si="379"/>
        <v>0</v>
      </c>
      <c r="P439" s="304">
        <f t="shared" si="349"/>
        <v>0</v>
      </c>
      <c r="Q439" s="304">
        <f t="shared" si="350"/>
        <v>1.2</v>
      </c>
      <c r="R439" s="304">
        <f t="shared" si="351"/>
        <v>1.2</v>
      </c>
      <c r="S439" s="305" t="e">
        <f t="shared" si="380"/>
        <v>#N/A</v>
      </c>
      <c r="T439" s="304">
        <f t="shared" si="352"/>
        <v>0</v>
      </c>
      <c r="U439" s="304">
        <f t="shared" si="390"/>
        <v>0</v>
      </c>
      <c r="V439" s="305" t="e">
        <f t="shared" si="353"/>
        <v>#N/A</v>
      </c>
      <c r="W439" s="305" t="e">
        <f t="shared" si="381"/>
        <v>#N/A</v>
      </c>
      <c r="X439" s="304">
        <f t="shared" si="382"/>
        <v>1.2</v>
      </c>
      <c r="Z439" s="304" t="str">
        <f t="shared" si="354"/>
        <v/>
      </c>
      <c r="AA439" s="305" t="e">
        <f t="shared" si="355"/>
        <v>#N/A</v>
      </c>
      <c r="AB439" s="304">
        <f t="shared" si="356"/>
        <v>0.63456302156181654</v>
      </c>
      <c r="AC439" s="304" t="str">
        <f t="shared" si="383"/>
        <v/>
      </c>
      <c r="AD439" s="306">
        <f t="shared" si="357"/>
        <v>0</v>
      </c>
      <c r="AE439" s="307">
        <f t="shared" si="384"/>
        <v>0.63456302156181654</v>
      </c>
      <c r="AF439" s="308" t="e">
        <f t="shared" si="393"/>
        <v>#N/A</v>
      </c>
      <c r="AG439" s="306">
        <f t="shared" si="385"/>
        <v>701.19489039514326</v>
      </c>
      <c r="AH439" s="306">
        <f t="shared" si="358"/>
        <v>0</v>
      </c>
      <c r="AI439" s="306">
        <f t="shared" si="386"/>
        <v>0</v>
      </c>
      <c r="AJ439" s="306">
        <f t="shared" si="387"/>
        <v>0</v>
      </c>
      <c r="AK439" s="306">
        <f t="shared" si="359"/>
        <v>0</v>
      </c>
      <c r="AL439" s="306">
        <f t="shared" si="388"/>
        <v>0</v>
      </c>
      <c r="AM439" s="306">
        <f t="shared" si="360"/>
        <v>0</v>
      </c>
      <c r="AN439" s="306"/>
      <c r="AO439" s="304" t="str">
        <f t="shared" si="361"/>
        <v/>
      </c>
      <c r="AP439" s="304" t="str">
        <f t="shared" si="389"/>
        <v/>
      </c>
      <c r="AQ439" s="305" t="e">
        <f t="shared" si="395"/>
        <v>#N/A</v>
      </c>
      <c r="AR439" s="304" t="str">
        <f t="shared" si="396"/>
        <v/>
      </c>
      <c r="AS439" s="306">
        <f t="shared" si="362"/>
        <v>0</v>
      </c>
      <c r="AT439" s="307" t="e">
        <f t="shared" si="397"/>
        <v>#N/A</v>
      </c>
      <c r="AU439" s="307" t="e">
        <f t="shared" si="398"/>
        <v>#N/A</v>
      </c>
      <c r="AV439" s="304">
        <f t="shared" si="344"/>
        <v>0.52880251796818045</v>
      </c>
      <c r="AW439" s="309">
        <f t="shared" si="363"/>
        <v>0.93182575085601871</v>
      </c>
      <c r="AX439" s="306">
        <f>IF(ISERROR(Weather!M423),#N/A,Weather!M423)</f>
        <v>0</v>
      </c>
      <c r="AY439" s="310">
        <f t="shared" si="364"/>
        <v>2</v>
      </c>
      <c r="AZ439" s="309">
        <f t="shared" si="365"/>
        <v>1.2</v>
      </c>
      <c r="BA439" s="309">
        <f t="shared" si="366"/>
        <v>273.80665678503993</v>
      </c>
      <c r="BB439" s="311">
        <f>Irrig!H441</f>
        <v>0</v>
      </c>
      <c r="BC439" s="310">
        <f t="shared" si="367"/>
        <v>0</v>
      </c>
      <c r="BD439" s="309">
        <f t="shared" si="368"/>
        <v>0</v>
      </c>
      <c r="BE439" s="309">
        <f t="shared" si="369"/>
        <v>0</v>
      </c>
      <c r="BF439" s="306">
        <f>DailyMet!H423</f>
        <v>4.3600000000000003</v>
      </c>
      <c r="BG439" s="306">
        <f>DailyMet!I423</f>
        <v>-1.2</v>
      </c>
      <c r="BH439" s="306">
        <f t="shared" si="370"/>
        <v>4.3600000000000003</v>
      </c>
      <c r="BI439" s="306">
        <f t="shared" si="371"/>
        <v>10</v>
      </c>
      <c r="BJ439" s="306">
        <f t="shared" si="372"/>
        <v>-2.8200000000000003</v>
      </c>
      <c r="BK439" s="306">
        <f t="shared" si="343"/>
        <v>0</v>
      </c>
      <c r="BL439" s="304">
        <f t="shared" si="373"/>
        <v>0</v>
      </c>
      <c r="BM439" s="304">
        <f t="shared" si="374"/>
        <v>0</v>
      </c>
      <c r="BN439" s="304">
        <f t="shared" si="391"/>
        <v>0</v>
      </c>
      <c r="BO439" s="306">
        <f t="shared" si="392"/>
        <v>0</v>
      </c>
      <c r="BP439" s="306"/>
    </row>
    <row r="440" spans="1:68">
      <c r="A440" s="299">
        <f t="shared" si="345"/>
        <v>0</v>
      </c>
      <c r="B440" s="300">
        <f t="shared" si="346"/>
        <v>38405</v>
      </c>
      <c r="C440" s="301" t="e">
        <f t="shared" si="375"/>
        <v>#N/A</v>
      </c>
      <c r="D440" s="301" t="e">
        <f t="shared" si="347"/>
        <v>#N/A</v>
      </c>
      <c r="E440" s="299">
        <f t="shared" si="348"/>
        <v>419</v>
      </c>
      <c r="F440" s="396">
        <f>Weather!M424</f>
        <v>0</v>
      </c>
      <c r="G440" s="301">
        <f>IF(Weather!C424="","",Weather!C424)</f>
        <v>0.69418518841032661</v>
      </c>
      <c r="H440" s="301">
        <f>IF(Weather!D424="","",Weather!D424)</f>
        <v>0.35968353967974764</v>
      </c>
      <c r="I440" s="502">
        <f>IF(Weather!E424="","",Weather!E424)</f>
        <v>0.35968353967974764</v>
      </c>
      <c r="J440" s="397">
        <f>IF(RnSplint!N103&lt;0,0,RnSplint!N103)</f>
        <v>27.615433306856382</v>
      </c>
      <c r="K440" s="302">
        <f t="shared" si="376"/>
        <v>0</v>
      </c>
      <c r="L440" s="303">
        <f t="shared" si="377"/>
        <v>38405</v>
      </c>
      <c r="M440" s="346" t="str">
        <f t="shared" si="394"/>
        <v/>
      </c>
      <c r="N440" s="304">
        <f t="shared" si="378"/>
        <v>0</v>
      </c>
      <c r="O440" s="304">
        <f t="shared" si="379"/>
        <v>0</v>
      </c>
      <c r="P440" s="304">
        <f t="shared" si="349"/>
        <v>0</v>
      </c>
      <c r="Q440" s="304">
        <f t="shared" si="350"/>
        <v>1.2</v>
      </c>
      <c r="R440" s="304">
        <f t="shared" si="351"/>
        <v>1.2</v>
      </c>
      <c r="S440" s="305" t="e">
        <f t="shared" si="380"/>
        <v>#N/A</v>
      </c>
      <c r="T440" s="304">
        <f t="shared" si="352"/>
        <v>0</v>
      </c>
      <c r="U440" s="304">
        <f t="shared" si="390"/>
        <v>0</v>
      </c>
      <c r="V440" s="305" t="e">
        <f t="shared" si="353"/>
        <v>#N/A</v>
      </c>
      <c r="W440" s="305" t="e">
        <f t="shared" si="381"/>
        <v>#N/A</v>
      </c>
      <c r="X440" s="304">
        <f t="shared" si="382"/>
        <v>1.2</v>
      </c>
      <c r="Z440" s="304" t="str">
        <f t="shared" si="354"/>
        <v/>
      </c>
      <c r="AA440" s="305" t="e">
        <f t="shared" si="355"/>
        <v>#N/A</v>
      </c>
      <c r="AB440" s="304">
        <f t="shared" si="356"/>
        <v>0.43162024761569717</v>
      </c>
      <c r="AC440" s="304" t="str">
        <f t="shared" si="383"/>
        <v/>
      </c>
      <c r="AD440" s="306">
        <f t="shared" si="357"/>
        <v>0</v>
      </c>
      <c r="AE440" s="307">
        <f t="shared" si="384"/>
        <v>0.43162024761569717</v>
      </c>
      <c r="AF440" s="308" t="e">
        <f t="shared" si="393"/>
        <v>#N/A</v>
      </c>
      <c r="AG440" s="306">
        <f t="shared" si="385"/>
        <v>701.554573934823</v>
      </c>
      <c r="AH440" s="306">
        <f t="shared" si="358"/>
        <v>0</v>
      </c>
      <c r="AI440" s="306">
        <f t="shared" si="386"/>
        <v>0</v>
      </c>
      <c r="AJ440" s="306">
        <f t="shared" si="387"/>
        <v>0</v>
      </c>
      <c r="AK440" s="306">
        <f t="shared" si="359"/>
        <v>0</v>
      </c>
      <c r="AL440" s="306">
        <f t="shared" si="388"/>
        <v>0</v>
      </c>
      <c r="AM440" s="306">
        <f t="shared" si="360"/>
        <v>0</v>
      </c>
      <c r="AN440" s="306"/>
      <c r="AO440" s="304" t="str">
        <f t="shared" si="361"/>
        <v/>
      </c>
      <c r="AP440" s="304" t="str">
        <f t="shared" si="389"/>
        <v/>
      </c>
      <c r="AQ440" s="305" t="e">
        <f t="shared" si="395"/>
        <v>#N/A</v>
      </c>
      <c r="AR440" s="304" t="str">
        <f t="shared" si="396"/>
        <v/>
      </c>
      <c r="AS440" s="306">
        <f t="shared" si="362"/>
        <v>0</v>
      </c>
      <c r="AT440" s="307" t="e">
        <f t="shared" si="397"/>
        <v>#N/A</v>
      </c>
      <c r="AU440" s="307" t="e">
        <f t="shared" si="398"/>
        <v>#N/A</v>
      </c>
      <c r="AV440" s="304">
        <f t="shared" si="344"/>
        <v>0.35968353967974764</v>
      </c>
      <c r="AW440" s="309">
        <f t="shared" si="363"/>
        <v>1.2915092905357664</v>
      </c>
      <c r="AX440" s="306">
        <f>IF(ISERROR(Weather!M424),#N/A,Weather!M424)</f>
        <v>0</v>
      </c>
      <c r="AY440" s="310">
        <f t="shared" si="364"/>
        <v>3</v>
      </c>
      <c r="AZ440" s="309">
        <f t="shared" si="365"/>
        <v>1.2</v>
      </c>
      <c r="BA440" s="309">
        <f t="shared" si="366"/>
        <v>274.16634032471967</v>
      </c>
      <c r="BB440" s="311">
        <f>Irrig!H442</f>
        <v>0</v>
      </c>
      <c r="BC440" s="310">
        <f t="shared" si="367"/>
        <v>0</v>
      </c>
      <c r="BD440" s="309">
        <f t="shared" si="368"/>
        <v>0</v>
      </c>
      <c r="BE440" s="309">
        <f t="shared" si="369"/>
        <v>0</v>
      </c>
      <c r="BF440" s="306">
        <f>DailyMet!H424</f>
        <v>6.97</v>
      </c>
      <c r="BG440" s="306">
        <f>DailyMet!I424</f>
        <v>-0.4</v>
      </c>
      <c r="BH440" s="306">
        <f t="shared" si="370"/>
        <v>6.97</v>
      </c>
      <c r="BI440" s="306">
        <f t="shared" si="371"/>
        <v>10</v>
      </c>
      <c r="BJ440" s="306">
        <f t="shared" si="372"/>
        <v>-1.5150000000000006</v>
      </c>
      <c r="BK440" s="306">
        <f t="shared" si="343"/>
        <v>0</v>
      </c>
      <c r="BL440" s="304">
        <f t="shared" si="373"/>
        <v>0</v>
      </c>
      <c r="BM440" s="304">
        <f t="shared" si="374"/>
        <v>0</v>
      </c>
      <c r="BN440" s="304">
        <f t="shared" si="391"/>
        <v>0</v>
      </c>
      <c r="BO440" s="306">
        <f t="shared" si="392"/>
        <v>0</v>
      </c>
      <c r="BP440" s="306"/>
    </row>
    <row r="441" spans="1:68">
      <c r="A441" s="299">
        <f t="shared" si="345"/>
        <v>0</v>
      </c>
      <c r="B441" s="300">
        <f t="shared" si="346"/>
        <v>38406</v>
      </c>
      <c r="C441" s="301" t="e">
        <f t="shared" si="375"/>
        <v>#N/A</v>
      </c>
      <c r="D441" s="301" t="e">
        <f t="shared" si="347"/>
        <v>#N/A</v>
      </c>
      <c r="E441" s="299">
        <f t="shared" si="348"/>
        <v>420</v>
      </c>
      <c r="F441" s="396">
        <f>Weather!M425</f>
        <v>0</v>
      </c>
      <c r="G441" s="301">
        <f>IF(Weather!C425="","",Weather!C425)</f>
        <v>0.72720289296748974</v>
      </c>
      <c r="H441" s="301">
        <f>IF(Weather!D425="","",Weather!D425)</f>
        <v>0.83176917696877539</v>
      </c>
      <c r="I441" s="502">
        <f>IF(Weather!E425="","",Weather!E425)</f>
        <v>0.83176917696877539</v>
      </c>
      <c r="J441" s="397">
        <f>IF(RnSplint!N104&lt;0,0,RnSplint!N104)</f>
        <v>27.656138740360827</v>
      </c>
      <c r="K441" s="302">
        <f t="shared" si="376"/>
        <v>0</v>
      </c>
      <c r="L441" s="303">
        <f t="shared" si="377"/>
        <v>38406</v>
      </c>
      <c r="M441" s="346" t="str">
        <f t="shared" si="394"/>
        <v/>
      </c>
      <c r="N441" s="304">
        <f t="shared" si="378"/>
        <v>0</v>
      </c>
      <c r="O441" s="304">
        <f t="shared" si="379"/>
        <v>0</v>
      </c>
      <c r="P441" s="304">
        <f t="shared" si="349"/>
        <v>0</v>
      </c>
      <c r="Q441" s="304">
        <f t="shared" si="350"/>
        <v>1.2</v>
      </c>
      <c r="R441" s="304">
        <f t="shared" si="351"/>
        <v>1.2</v>
      </c>
      <c r="S441" s="305" t="e">
        <f t="shared" si="380"/>
        <v>#N/A</v>
      </c>
      <c r="T441" s="304">
        <f t="shared" si="352"/>
        <v>0</v>
      </c>
      <c r="U441" s="304">
        <f t="shared" si="390"/>
        <v>0</v>
      </c>
      <c r="V441" s="305" t="e">
        <f t="shared" si="353"/>
        <v>#N/A</v>
      </c>
      <c r="W441" s="305" t="e">
        <f t="shared" si="381"/>
        <v>#N/A</v>
      </c>
      <c r="X441" s="304">
        <f t="shared" si="382"/>
        <v>1.2</v>
      </c>
      <c r="Z441" s="304" t="str">
        <f t="shared" si="354"/>
        <v/>
      </c>
      <c r="AA441" s="305" t="e">
        <f t="shared" si="355"/>
        <v>#N/A</v>
      </c>
      <c r="AB441" s="304">
        <f t="shared" si="356"/>
        <v>0.99812301236253043</v>
      </c>
      <c r="AC441" s="304" t="str">
        <f t="shared" si="383"/>
        <v/>
      </c>
      <c r="AD441" s="306">
        <f t="shared" si="357"/>
        <v>0</v>
      </c>
      <c r="AE441" s="307">
        <f t="shared" si="384"/>
        <v>0.99812301236253043</v>
      </c>
      <c r="AF441" s="308" t="e">
        <f t="shared" si="393"/>
        <v>#N/A</v>
      </c>
      <c r="AG441" s="306">
        <f t="shared" si="385"/>
        <v>702.3863431117918</v>
      </c>
      <c r="AH441" s="306">
        <f t="shared" si="358"/>
        <v>0</v>
      </c>
      <c r="AI441" s="306">
        <f t="shared" si="386"/>
        <v>0</v>
      </c>
      <c r="AJ441" s="306">
        <f t="shared" si="387"/>
        <v>0</v>
      </c>
      <c r="AK441" s="306">
        <f t="shared" si="359"/>
        <v>0</v>
      </c>
      <c r="AL441" s="306">
        <f t="shared" si="388"/>
        <v>0</v>
      </c>
      <c r="AM441" s="306">
        <f t="shared" si="360"/>
        <v>0</v>
      </c>
      <c r="AN441" s="306"/>
      <c r="AO441" s="304" t="str">
        <f t="shared" si="361"/>
        <v/>
      </c>
      <c r="AP441" s="304" t="str">
        <f t="shared" si="389"/>
        <v/>
      </c>
      <c r="AQ441" s="305" t="e">
        <f t="shared" si="395"/>
        <v>#N/A</v>
      </c>
      <c r="AR441" s="304" t="str">
        <f t="shared" si="396"/>
        <v/>
      </c>
      <c r="AS441" s="306">
        <f t="shared" si="362"/>
        <v>0</v>
      </c>
      <c r="AT441" s="307" t="e">
        <f t="shared" si="397"/>
        <v>#N/A</v>
      </c>
      <c r="AU441" s="307" t="e">
        <f t="shared" si="398"/>
        <v>#N/A</v>
      </c>
      <c r="AV441" s="304">
        <f t="shared" si="344"/>
        <v>0.83176917696877539</v>
      </c>
      <c r="AW441" s="309">
        <f t="shared" si="363"/>
        <v>2.1232784675045417</v>
      </c>
      <c r="AX441" s="306">
        <f>IF(ISERROR(Weather!M425),#N/A,Weather!M425)</f>
        <v>0</v>
      </c>
      <c r="AY441" s="310">
        <f t="shared" si="364"/>
        <v>4</v>
      </c>
      <c r="AZ441" s="309">
        <f t="shared" si="365"/>
        <v>1.2</v>
      </c>
      <c r="BA441" s="309">
        <f t="shared" si="366"/>
        <v>274.99810950168842</v>
      </c>
      <c r="BB441" s="311">
        <f>Irrig!H443</f>
        <v>0</v>
      </c>
      <c r="BC441" s="310">
        <f t="shared" si="367"/>
        <v>0</v>
      </c>
      <c r="BD441" s="309">
        <f t="shared" si="368"/>
        <v>0</v>
      </c>
      <c r="BE441" s="309">
        <f t="shared" si="369"/>
        <v>0</v>
      </c>
      <c r="BF441" s="306">
        <f>DailyMet!H425</f>
        <v>9.52</v>
      </c>
      <c r="BG441" s="306">
        <f>DailyMet!I425</f>
        <v>2.8</v>
      </c>
      <c r="BH441" s="306">
        <f t="shared" si="370"/>
        <v>9.52</v>
      </c>
      <c r="BI441" s="306">
        <f t="shared" si="371"/>
        <v>10</v>
      </c>
      <c r="BJ441" s="306">
        <f t="shared" si="372"/>
        <v>-0.24000000000000021</v>
      </c>
      <c r="BK441" s="306">
        <f t="shared" si="343"/>
        <v>0</v>
      </c>
      <c r="BL441" s="304">
        <f t="shared" si="373"/>
        <v>0</v>
      </c>
      <c r="BM441" s="304">
        <f t="shared" si="374"/>
        <v>0</v>
      </c>
      <c r="BN441" s="304">
        <f t="shared" si="391"/>
        <v>0</v>
      </c>
      <c r="BO441" s="306">
        <f t="shared" si="392"/>
        <v>0</v>
      </c>
      <c r="BP441" s="306"/>
    </row>
    <row r="442" spans="1:68">
      <c r="A442" s="299">
        <f t="shared" si="345"/>
        <v>0</v>
      </c>
      <c r="B442" s="300">
        <f t="shared" si="346"/>
        <v>38407</v>
      </c>
      <c r="C442" s="301" t="e">
        <f t="shared" si="375"/>
        <v>#N/A</v>
      </c>
      <c r="D442" s="301" t="e">
        <f t="shared" si="347"/>
        <v>#N/A</v>
      </c>
      <c r="E442" s="299">
        <f t="shared" si="348"/>
        <v>421</v>
      </c>
      <c r="F442" s="396">
        <f>Weather!M426</f>
        <v>4</v>
      </c>
      <c r="G442" s="301">
        <f>IF(Weather!C426="","",Weather!C426)</f>
        <v>0.76080182512237071</v>
      </c>
      <c r="H442" s="301">
        <f>IF(Weather!D426="","",Weather!D426)</f>
        <v>0.65738291518508896</v>
      </c>
      <c r="I442" s="502">
        <f>IF(Weather!E426="","",Weather!E426)</f>
        <v>0.65738291518508896</v>
      </c>
      <c r="J442" s="397">
        <f>IF(RnSplint!N105&lt;0,0,RnSplint!N105)</f>
        <v>27.713587912524982</v>
      </c>
      <c r="K442" s="302">
        <f t="shared" si="376"/>
        <v>0</v>
      </c>
      <c r="L442" s="303">
        <f t="shared" si="377"/>
        <v>38407</v>
      </c>
      <c r="M442" s="346" t="str">
        <f t="shared" si="394"/>
        <v/>
      </c>
      <c r="N442" s="304">
        <f t="shared" si="378"/>
        <v>0</v>
      </c>
      <c r="O442" s="304">
        <f t="shared" si="379"/>
        <v>0</v>
      </c>
      <c r="P442" s="304">
        <f t="shared" si="349"/>
        <v>0</v>
      </c>
      <c r="Q442" s="304">
        <f t="shared" si="350"/>
        <v>1.2</v>
      </c>
      <c r="R442" s="304">
        <f t="shared" si="351"/>
        <v>1.2</v>
      </c>
      <c r="S442" s="305" t="e">
        <f t="shared" si="380"/>
        <v>#N/A</v>
      </c>
      <c r="T442" s="304">
        <f t="shared" si="352"/>
        <v>0</v>
      </c>
      <c r="U442" s="304">
        <f t="shared" si="390"/>
        <v>0</v>
      </c>
      <c r="V442" s="305" t="e">
        <f t="shared" si="353"/>
        <v>#N/A</v>
      </c>
      <c r="W442" s="305" t="e">
        <f t="shared" si="381"/>
        <v>#N/A</v>
      </c>
      <c r="X442" s="304">
        <f t="shared" si="382"/>
        <v>1.2</v>
      </c>
      <c r="Z442" s="304" t="str">
        <f t="shared" si="354"/>
        <v/>
      </c>
      <c r="AA442" s="305" t="e">
        <f t="shared" si="355"/>
        <v>#N/A</v>
      </c>
      <c r="AB442" s="304">
        <f t="shared" si="356"/>
        <v>0.78885949822210677</v>
      </c>
      <c r="AC442" s="304" t="str">
        <f t="shared" si="383"/>
        <v/>
      </c>
      <c r="AD442" s="306">
        <f t="shared" si="357"/>
        <v>0</v>
      </c>
      <c r="AE442" s="307">
        <f t="shared" si="384"/>
        <v>0.78885949822210677</v>
      </c>
      <c r="AF442" s="308" t="e">
        <f t="shared" si="393"/>
        <v>#N/A</v>
      </c>
      <c r="AG442" s="306">
        <f t="shared" si="385"/>
        <v>703.04372602697686</v>
      </c>
      <c r="AH442" s="306">
        <f t="shared" si="358"/>
        <v>0</v>
      </c>
      <c r="AI442" s="306">
        <f t="shared" si="386"/>
        <v>0</v>
      </c>
      <c r="AJ442" s="306">
        <f t="shared" si="387"/>
        <v>0</v>
      </c>
      <c r="AK442" s="306">
        <f t="shared" si="359"/>
        <v>0</v>
      </c>
      <c r="AL442" s="306">
        <f t="shared" si="388"/>
        <v>0</v>
      </c>
      <c r="AM442" s="306">
        <f t="shared" si="360"/>
        <v>0</v>
      </c>
      <c r="AN442" s="306"/>
      <c r="AO442" s="304" t="str">
        <f t="shared" si="361"/>
        <v/>
      </c>
      <c r="AP442" s="304" t="str">
        <f t="shared" si="389"/>
        <v/>
      </c>
      <c r="AQ442" s="305" t="e">
        <f t="shared" si="395"/>
        <v>#N/A</v>
      </c>
      <c r="AR442" s="304" t="str">
        <f t="shared" si="396"/>
        <v/>
      </c>
      <c r="AS442" s="306">
        <f t="shared" si="362"/>
        <v>0</v>
      </c>
      <c r="AT442" s="307" t="e">
        <f t="shared" si="397"/>
        <v>#N/A</v>
      </c>
      <c r="AU442" s="307" t="e">
        <f t="shared" si="398"/>
        <v>#N/A</v>
      </c>
      <c r="AV442" s="304">
        <f t="shared" si="344"/>
        <v>0.65738291518508896</v>
      </c>
      <c r="AW442" s="309">
        <f t="shared" si="363"/>
        <v>0.65738291518508896</v>
      </c>
      <c r="AX442" s="306">
        <f>IF(ISERROR(Weather!M426),#N/A,Weather!M426)</f>
        <v>4</v>
      </c>
      <c r="AY442" s="310">
        <f t="shared" si="364"/>
        <v>1</v>
      </c>
      <c r="AZ442" s="309">
        <f t="shared" si="365"/>
        <v>1.2</v>
      </c>
      <c r="BA442" s="309">
        <f t="shared" si="366"/>
        <v>275.65549241687353</v>
      </c>
      <c r="BB442" s="311">
        <f>Irrig!H444</f>
        <v>0</v>
      </c>
      <c r="BC442" s="310">
        <f t="shared" si="367"/>
        <v>0</v>
      </c>
      <c r="BD442" s="309">
        <f t="shared" si="368"/>
        <v>0</v>
      </c>
      <c r="BE442" s="309">
        <f t="shared" si="369"/>
        <v>0</v>
      </c>
      <c r="BF442" s="306">
        <f>DailyMet!H426</f>
        <v>9.39</v>
      </c>
      <c r="BG442" s="306">
        <f>DailyMet!I426</f>
        <v>2.9</v>
      </c>
      <c r="BH442" s="306">
        <f t="shared" si="370"/>
        <v>9.39</v>
      </c>
      <c r="BI442" s="306">
        <f t="shared" si="371"/>
        <v>10</v>
      </c>
      <c r="BJ442" s="306">
        <f t="shared" si="372"/>
        <v>-0.30499999999999972</v>
      </c>
      <c r="BK442" s="306">
        <f t="shared" si="343"/>
        <v>0</v>
      </c>
      <c r="BL442" s="304">
        <f t="shared" si="373"/>
        <v>0</v>
      </c>
      <c r="BM442" s="304">
        <f t="shared" si="374"/>
        <v>0</v>
      </c>
      <c r="BN442" s="304">
        <f t="shared" si="391"/>
        <v>0</v>
      </c>
      <c r="BO442" s="306">
        <f t="shared" si="392"/>
        <v>0</v>
      </c>
      <c r="BP442" s="306"/>
    </row>
    <row r="443" spans="1:68">
      <c r="A443" s="299">
        <f t="shared" si="345"/>
        <v>0</v>
      </c>
      <c r="B443" s="300">
        <f t="shared" si="346"/>
        <v>38408</v>
      </c>
      <c r="C443" s="301" t="e">
        <f t="shared" si="375"/>
        <v>#N/A</v>
      </c>
      <c r="D443" s="301" t="e">
        <f t="shared" si="347"/>
        <v>#N/A</v>
      </c>
      <c r="E443" s="299">
        <f t="shared" si="348"/>
        <v>422</v>
      </c>
      <c r="F443" s="396">
        <f>Weather!M427</f>
        <v>0</v>
      </c>
      <c r="G443" s="301">
        <f>IF(Weather!C427="","",Weather!C427)</f>
        <v>0.79483728136858767</v>
      </c>
      <c r="H443" s="301">
        <f>IF(Weather!D427="","",Weather!D427)</f>
        <v>0.63911787151342603</v>
      </c>
      <c r="I443" s="502">
        <f>IF(Weather!E427="","",Weather!E427)</f>
        <v>0.63911787151342603</v>
      </c>
      <c r="J443" s="397">
        <f>IF(RnSplint!N106&lt;0,0,RnSplint!N106)</f>
        <v>27.786885526936938</v>
      </c>
      <c r="K443" s="302">
        <f t="shared" si="376"/>
        <v>0</v>
      </c>
      <c r="L443" s="303">
        <f t="shared" si="377"/>
        <v>38408</v>
      </c>
      <c r="M443" s="346" t="str">
        <f t="shared" si="394"/>
        <v/>
      </c>
      <c r="N443" s="304">
        <f t="shared" si="378"/>
        <v>0</v>
      </c>
      <c r="O443" s="304">
        <f t="shared" si="379"/>
        <v>0</v>
      </c>
      <c r="P443" s="304">
        <f t="shared" si="349"/>
        <v>0</v>
      </c>
      <c r="Q443" s="304">
        <f t="shared" si="350"/>
        <v>1.2</v>
      </c>
      <c r="R443" s="304">
        <f t="shared" si="351"/>
        <v>1.2</v>
      </c>
      <c r="S443" s="305" t="e">
        <f t="shared" si="380"/>
        <v>#N/A</v>
      </c>
      <c r="T443" s="304">
        <f t="shared" si="352"/>
        <v>0</v>
      </c>
      <c r="U443" s="304">
        <f t="shared" si="390"/>
        <v>0</v>
      </c>
      <c r="V443" s="305" t="e">
        <f t="shared" si="353"/>
        <v>#N/A</v>
      </c>
      <c r="W443" s="305" t="e">
        <f t="shared" si="381"/>
        <v>#N/A</v>
      </c>
      <c r="X443" s="304">
        <f t="shared" si="382"/>
        <v>1.2</v>
      </c>
      <c r="Z443" s="304" t="str">
        <f t="shared" si="354"/>
        <v/>
      </c>
      <c r="AA443" s="305" t="e">
        <f t="shared" si="355"/>
        <v>#N/A</v>
      </c>
      <c r="AB443" s="304">
        <f t="shared" si="356"/>
        <v>0.76694144581611123</v>
      </c>
      <c r="AC443" s="304" t="str">
        <f t="shared" si="383"/>
        <v/>
      </c>
      <c r="AD443" s="306">
        <f t="shared" si="357"/>
        <v>0</v>
      </c>
      <c r="AE443" s="307">
        <f t="shared" si="384"/>
        <v>0.76694144581611123</v>
      </c>
      <c r="AF443" s="308" t="e">
        <f t="shared" si="393"/>
        <v>#N/A</v>
      </c>
      <c r="AG443" s="306">
        <f t="shared" si="385"/>
        <v>703.68284389849032</v>
      </c>
      <c r="AH443" s="306">
        <f t="shared" si="358"/>
        <v>0</v>
      </c>
      <c r="AI443" s="306">
        <f t="shared" si="386"/>
        <v>0</v>
      </c>
      <c r="AJ443" s="306">
        <f t="shared" si="387"/>
        <v>0</v>
      </c>
      <c r="AK443" s="306">
        <f t="shared" si="359"/>
        <v>0</v>
      </c>
      <c r="AL443" s="306">
        <f t="shared" si="388"/>
        <v>0</v>
      </c>
      <c r="AM443" s="306">
        <f t="shared" si="360"/>
        <v>0</v>
      </c>
      <c r="AN443" s="306"/>
      <c r="AO443" s="304" t="str">
        <f t="shared" si="361"/>
        <v/>
      </c>
      <c r="AP443" s="304" t="str">
        <f t="shared" si="389"/>
        <v/>
      </c>
      <c r="AQ443" s="305" t="e">
        <f t="shared" si="395"/>
        <v>#N/A</v>
      </c>
      <c r="AR443" s="304" t="str">
        <f t="shared" si="396"/>
        <v/>
      </c>
      <c r="AS443" s="306">
        <f t="shared" si="362"/>
        <v>0</v>
      </c>
      <c r="AT443" s="307" t="e">
        <f t="shared" si="397"/>
        <v>#N/A</v>
      </c>
      <c r="AU443" s="307" t="e">
        <f t="shared" si="398"/>
        <v>#N/A</v>
      </c>
      <c r="AV443" s="304">
        <f t="shared" si="344"/>
        <v>0.63911787151342603</v>
      </c>
      <c r="AW443" s="309">
        <f t="shared" si="363"/>
        <v>1.296500786698515</v>
      </c>
      <c r="AX443" s="306">
        <f>IF(ISERROR(Weather!M427),#N/A,Weather!M427)</f>
        <v>0</v>
      </c>
      <c r="AY443" s="310">
        <f t="shared" si="364"/>
        <v>2</v>
      </c>
      <c r="AZ443" s="309">
        <f t="shared" si="365"/>
        <v>1.2</v>
      </c>
      <c r="BA443" s="309">
        <f t="shared" si="366"/>
        <v>276.29461028838693</v>
      </c>
      <c r="BB443" s="311">
        <f>Irrig!H445</f>
        <v>0</v>
      </c>
      <c r="BC443" s="310">
        <f t="shared" si="367"/>
        <v>0</v>
      </c>
      <c r="BD443" s="309">
        <f t="shared" si="368"/>
        <v>0</v>
      </c>
      <c r="BE443" s="309">
        <f t="shared" si="369"/>
        <v>0</v>
      </c>
      <c r="BF443" s="306">
        <f>DailyMet!H427</f>
        <v>7.15</v>
      </c>
      <c r="BG443" s="306">
        <f>DailyMet!I427</f>
        <v>2.1</v>
      </c>
      <c r="BH443" s="306">
        <f t="shared" si="370"/>
        <v>7.15</v>
      </c>
      <c r="BI443" s="306">
        <f t="shared" si="371"/>
        <v>10</v>
      </c>
      <c r="BJ443" s="306">
        <f t="shared" si="372"/>
        <v>-1.4250000000000007</v>
      </c>
      <c r="BK443" s="306">
        <f t="shared" si="343"/>
        <v>0</v>
      </c>
      <c r="BL443" s="304">
        <f t="shared" si="373"/>
        <v>0</v>
      </c>
      <c r="BM443" s="304">
        <f t="shared" si="374"/>
        <v>0</v>
      </c>
      <c r="BN443" s="304">
        <f t="shared" si="391"/>
        <v>0</v>
      </c>
      <c r="BO443" s="306">
        <f t="shared" si="392"/>
        <v>0</v>
      </c>
      <c r="BP443" s="306"/>
    </row>
    <row r="444" spans="1:68">
      <c r="A444" s="299">
        <f t="shared" si="345"/>
        <v>0</v>
      </c>
      <c r="B444" s="300">
        <f t="shared" si="346"/>
        <v>38409</v>
      </c>
      <c r="C444" s="301" t="e">
        <f t="shared" si="375"/>
        <v>#N/A</v>
      </c>
      <c r="D444" s="301" t="e">
        <f t="shared" si="347"/>
        <v>#N/A</v>
      </c>
      <c r="E444" s="299">
        <f t="shared" si="348"/>
        <v>423</v>
      </c>
      <c r="F444" s="396">
        <f>Weather!M428</f>
        <v>11</v>
      </c>
      <c r="G444" s="301">
        <f>IF(Weather!C428="","",Weather!C428)</f>
        <v>0.82916455819975843</v>
      </c>
      <c r="H444" s="301">
        <f>IF(Weather!D428="","",Weather!D428)</f>
        <v>0.79120631579769019</v>
      </c>
      <c r="I444" s="502">
        <f>IF(Weather!E428="","",Weather!E428)</f>
        <v>0.79120631579769019</v>
      </c>
      <c r="J444" s="397">
        <f>IF(RnSplint!N107&lt;0,0,RnSplint!N107)</f>
        <v>27.875136287184773</v>
      </c>
      <c r="K444" s="302">
        <f t="shared" si="376"/>
        <v>0</v>
      </c>
      <c r="L444" s="303">
        <f t="shared" si="377"/>
        <v>38409</v>
      </c>
      <c r="M444" s="346" t="str">
        <f t="shared" si="394"/>
        <v/>
      </c>
      <c r="N444" s="304">
        <f t="shared" si="378"/>
        <v>0</v>
      </c>
      <c r="O444" s="304">
        <f t="shared" si="379"/>
        <v>0</v>
      </c>
      <c r="P444" s="304">
        <f t="shared" si="349"/>
        <v>0</v>
      </c>
      <c r="Q444" s="304">
        <f t="shared" si="350"/>
        <v>1.2</v>
      </c>
      <c r="R444" s="304">
        <f t="shared" si="351"/>
        <v>1.2</v>
      </c>
      <c r="S444" s="305" t="e">
        <f t="shared" si="380"/>
        <v>#N/A</v>
      </c>
      <c r="T444" s="304">
        <f t="shared" si="352"/>
        <v>0</v>
      </c>
      <c r="U444" s="304">
        <f t="shared" si="390"/>
        <v>0</v>
      </c>
      <c r="V444" s="305" t="e">
        <f t="shared" si="353"/>
        <v>#N/A</v>
      </c>
      <c r="W444" s="305" t="e">
        <f t="shared" si="381"/>
        <v>#N/A</v>
      </c>
      <c r="X444" s="304">
        <f t="shared" si="382"/>
        <v>1.2</v>
      </c>
      <c r="Z444" s="304" t="str">
        <f t="shared" si="354"/>
        <v/>
      </c>
      <c r="AA444" s="305" t="e">
        <f t="shared" si="355"/>
        <v>#N/A</v>
      </c>
      <c r="AB444" s="304">
        <f t="shared" si="356"/>
        <v>0.9494475789572282</v>
      </c>
      <c r="AC444" s="304" t="str">
        <f t="shared" si="383"/>
        <v/>
      </c>
      <c r="AD444" s="306">
        <f t="shared" si="357"/>
        <v>0</v>
      </c>
      <c r="AE444" s="307">
        <f t="shared" si="384"/>
        <v>0.9494475789572282</v>
      </c>
      <c r="AF444" s="308" t="e">
        <f t="shared" si="393"/>
        <v>#N/A</v>
      </c>
      <c r="AG444" s="306">
        <f t="shared" si="385"/>
        <v>704.47405021428801</v>
      </c>
      <c r="AH444" s="306">
        <f t="shared" si="358"/>
        <v>0</v>
      </c>
      <c r="AI444" s="306">
        <f t="shared" si="386"/>
        <v>0</v>
      </c>
      <c r="AJ444" s="306">
        <f t="shared" si="387"/>
        <v>0</v>
      </c>
      <c r="AK444" s="306">
        <f t="shared" si="359"/>
        <v>0</v>
      </c>
      <c r="AL444" s="306">
        <f t="shared" si="388"/>
        <v>0</v>
      </c>
      <c r="AM444" s="306">
        <f t="shared" si="360"/>
        <v>0</v>
      </c>
      <c r="AN444" s="306"/>
      <c r="AO444" s="304" t="str">
        <f t="shared" si="361"/>
        <v/>
      </c>
      <c r="AP444" s="304" t="str">
        <f t="shared" si="389"/>
        <v/>
      </c>
      <c r="AQ444" s="305" t="e">
        <f t="shared" si="395"/>
        <v>#N/A</v>
      </c>
      <c r="AR444" s="304" t="str">
        <f t="shared" si="396"/>
        <v/>
      </c>
      <c r="AS444" s="306">
        <f t="shared" si="362"/>
        <v>0</v>
      </c>
      <c r="AT444" s="307" t="e">
        <f t="shared" si="397"/>
        <v>#N/A</v>
      </c>
      <c r="AU444" s="307" t="e">
        <f t="shared" si="398"/>
        <v>#N/A</v>
      </c>
      <c r="AV444" s="304">
        <f t="shared" si="344"/>
        <v>0.79120631579769019</v>
      </c>
      <c r="AW444" s="309">
        <f t="shared" si="363"/>
        <v>0.79120631579769019</v>
      </c>
      <c r="AX444" s="306">
        <f>IF(ISERROR(Weather!M428),#N/A,Weather!M428)</f>
        <v>11</v>
      </c>
      <c r="AY444" s="310">
        <f t="shared" si="364"/>
        <v>1</v>
      </c>
      <c r="AZ444" s="309">
        <f t="shared" si="365"/>
        <v>1.2</v>
      </c>
      <c r="BA444" s="309">
        <f t="shared" si="366"/>
        <v>277.08581660418463</v>
      </c>
      <c r="BB444" s="311">
        <f>Irrig!H446</f>
        <v>0</v>
      </c>
      <c r="BC444" s="310">
        <f t="shared" si="367"/>
        <v>0</v>
      </c>
      <c r="BD444" s="309">
        <f t="shared" si="368"/>
        <v>0</v>
      </c>
      <c r="BE444" s="309">
        <f t="shared" si="369"/>
        <v>0</v>
      </c>
      <c r="BF444" s="306">
        <f>DailyMet!H428</f>
        <v>6.47</v>
      </c>
      <c r="BG444" s="306">
        <f>DailyMet!I428</f>
        <v>0.7</v>
      </c>
      <c r="BH444" s="306">
        <f t="shared" si="370"/>
        <v>6.47</v>
      </c>
      <c r="BI444" s="306">
        <f t="shared" si="371"/>
        <v>10</v>
      </c>
      <c r="BJ444" s="306">
        <f t="shared" si="372"/>
        <v>-1.7650000000000006</v>
      </c>
      <c r="BK444" s="306">
        <f t="shared" si="343"/>
        <v>0</v>
      </c>
      <c r="BL444" s="304">
        <f t="shared" si="373"/>
        <v>0</v>
      </c>
      <c r="BM444" s="304">
        <f t="shared" si="374"/>
        <v>0</v>
      </c>
      <c r="BN444" s="304">
        <f t="shared" si="391"/>
        <v>0</v>
      </c>
      <c r="BO444" s="306">
        <f t="shared" si="392"/>
        <v>0</v>
      </c>
      <c r="BP444" s="306"/>
    </row>
    <row r="445" spans="1:68">
      <c r="A445" s="299">
        <f t="shared" si="345"/>
        <v>0</v>
      </c>
      <c r="B445" s="300">
        <f t="shared" si="346"/>
        <v>38410</v>
      </c>
      <c r="C445" s="301" t="e">
        <f t="shared" si="375"/>
        <v>#N/A</v>
      </c>
      <c r="D445" s="301" t="e">
        <f t="shared" si="347"/>
        <v>#N/A</v>
      </c>
      <c r="E445" s="299">
        <f t="shared" si="348"/>
        <v>424</v>
      </c>
      <c r="F445" s="396">
        <f>Weather!M429</f>
        <v>0</v>
      </c>
      <c r="G445" s="301">
        <f>IF(Weather!C429="","",Weather!C429)</f>
        <v>0.86363895210950103</v>
      </c>
      <c r="H445" s="301">
        <f>IF(Weather!D429="","",Weather!D429)</f>
        <v>0.50865297494834683</v>
      </c>
      <c r="I445" s="502">
        <f>IF(Weather!E429="","",Weather!E429)</f>
        <v>0.50865297494834683</v>
      </c>
      <c r="J445" s="397">
        <f>IF(RnSplint!N108&lt;0,0,RnSplint!N108)</f>
        <v>27.977444896856575</v>
      </c>
      <c r="K445" s="302">
        <f t="shared" si="376"/>
        <v>0</v>
      </c>
      <c r="L445" s="303">
        <f t="shared" si="377"/>
        <v>38410</v>
      </c>
      <c r="M445" s="346" t="str">
        <f t="shared" si="394"/>
        <v/>
      </c>
      <c r="N445" s="304">
        <f t="shared" si="378"/>
        <v>0</v>
      </c>
      <c r="O445" s="304">
        <f t="shared" si="379"/>
        <v>0</v>
      </c>
      <c r="P445" s="304">
        <f t="shared" si="349"/>
        <v>0</v>
      </c>
      <c r="Q445" s="304">
        <f t="shared" si="350"/>
        <v>1.2</v>
      </c>
      <c r="R445" s="304">
        <f t="shared" si="351"/>
        <v>1.2</v>
      </c>
      <c r="S445" s="305" t="e">
        <f t="shared" si="380"/>
        <v>#N/A</v>
      </c>
      <c r="T445" s="304">
        <f t="shared" si="352"/>
        <v>0</v>
      </c>
      <c r="U445" s="304">
        <f t="shared" si="390"/>
        <v>0</v>
      </c>
      <c r="V445" s="305" t="e">
        <f t="shared" si="353"/>
        <v>#N/A</v>
      </c>
      <c r="W445" s="305" t="e">
        <f t="shared" si="381"/>
        <v>#N/A</v>
      </c>
      <c r="X445" s="304">
        <f t="shared" si="382"/>
        <v>1.2</v>
      </c>
      <c r="Z445" s="304" t="str">
        <f t="shared" si="354"/>
        <v/>
      </c>
      <c r="AA445" s="305" t="e">
        <f t="shared" si="355"/>
        <v>#N/A</v>
      </c>
      <c r="AB445" s="304">
        <f t="shared" si="356"/>
        <v>0.61038356993801612</v>
      </c>
      <c r="AC445" s="304" t="str">
        <f t="shared" si="383"/>
        <v/>
      </c>
      <c r="AD445" s="306">
        <f t="shared" si="357"/>
        <v>0</v>
      </c>
      <c r="AE445" s="307">
        <f t="shared" si="384"/>
        <v>0.61038356993801612</v>
      </c>
      <c r="AF445" s="308" t="e">
        <f t="shared" si="393"/>
        <v>#N/A</v>
      </c>
      <c r="AG445" s="306">
        <f t="shared" si="385"/>
        <v>704.9827031892363</v>
      </c>
      <c r="AH445" s="306">
        <f t="shared" si="358"/>
        <v>0</v>
      </c>
      <c r="AI445" s="306">
        <f t="shared" si="386"/>
        <v>0</v>
      </c>
      <c r="AJ445" s="306">
        <f t="shared" si="387"/>
        <v>0</v>
      </c>
      <c r="AK445" s="306">
        <f t="shared" si="359"/>
        <v>0</v>
      </c>
      <c r="AL445" s="306">
        <f t="shared" si="388"/>
        <v>0</v>
      </c>
      <c r="AM445" s="306">
        <f t="shared" si="360"/>
        <v>0</v>
      </c>
      <c r="AN445" s="306"/>
      <c r="AO445" s="304" t="str">
        <f t="shared" si="361"/>
        <v/>
      </c>
      <c r="AP445" s="304" t="str">
        <f t="shared" si="389"/>
        <v/>
      </c>
      <c r="AQ445" s="305" t="e">
        <f t="shared" si="395"/>
        <v>#N/A</v>
      </c>
      <c r="AR445" s="304" t="str">
        <f t="shared" si="396"/>
        <v/>
      </c>
      <c r="AS445" s="306">
        <f t="shared" si="362"/>
        <v>0</v>
      </c>
      <c r="AT445" s="307" t="e">
        <f t="shared" si="397"/>
        <v>#N/A</v>
      </c>
      <c r="AU445" s="307" t="e">
        <f t="shared" si="398"/>
        <v>#N/A</v>
      </c>
      <c r="AV445" s="304">
        <f t="shared" si="344"/>
        <v>0.50865297494834683</v>
      </c>
      <c r="AW445" s="309">
        <f t="shared" si="363"/>
        <v>1.2998592907460371</v>
      </c>
      <c r="AX445" s="306">
        <f>IF(ISERROR(Weather!M429),#N/A,Weather!M429)</f>
        <v>0</v>
      </c>
      <c r="AY445" s="310">
        <f t="shared" si="364"/>
        <v>2</v>
      </c>
      <c r="AZ445" s="309">
        <f t="shared" si="365"/>
        <v>1.2</v>
      </c>
      <c r="BA445" s="309">
        <f t="shared" si="366"/>
        <v>277.59446957913298</v>
      </c>
      <c r="BB445" s="311">
        <f>Irrig!H447</f>
        <v>0</v>
      </c>
      <c r="BC445" s="310">
        <f t="shared" si="367"/>
        <v>0</v>
      </c>
      <c r="BD445" s="309">
        <f t="shared" si="368"/>
        <v>0</v>
      </c>
      <c r="BE445" s="309">
        <f t="shared" si="369"/>
        <v>0</v>
      </c>
      <c r="BF445" s="306">
        <f>DailyMet!H429</f>
        <v>7.32</v>
      </c>
      <c r="BG445" s="306">
        <f>DailyMet!I429</f>
        <v>-0.2</v>
      </c>
      <c r="BH445" s="306">
        <f t="shared" si="370"/>
        <v>7.32</v>
      </c>
      <c r="BI445" s="306">
        <f t="shared" si="371"/>
        <v>10</v>
      </c>
      <c r="BJ445" s="306">
        <f t="shared" si="372"/>
        <v>-1.3399999999999999</v>
      </c>
      <c r="BK445" s="306">
        <f t="shared" si="343"/>
        <v>0</v>
      </c>
      <c r="BL445" s="304">
        <f t="shared" si="373"/>
        <v>0</v>
      </c>
      <c r="BM445" s="304">
        <f t="shared" si="374"/>
        <v>0</v>
      </c>
      <c r="BN445" s="304">
        <f t="shared" si="391"/>
        <v>0</v>
      </c>
      <c r="BO445" s="306">
        <f t="shared" si="392"/>
        <v>0</v>
      </c>
      <c r="BP445" s="306"/>
    </row>
    <row r="446" spans="1:68">
      <c r="A446" s="299">
        <f t="shared" si="345"/>
        <v>0</v>
      </c>
      <c r="B446" s="300">
        <f t="shared" si="346"/>
        <v>38411</v>
      </c>
      <c r="C446" s="301" t="e">
        <f t="shared" si="375"/>
        <v>#N/A</v>
      </c>
      <c r="D446" s="301" t="e">
        <f t="shared" si="347"/>
        <v>#N/A</v>
      </c>
      <c r="E446" s="299">
        <f t="shared" si="348"/>
        <v>425</v>
      </c>
      <c r="F446" s="396">
        <f>Weather!M430</f>
        <v>0</v>
      </c>
      <c r="G446" s="301">
        <f>IF(Weather!C430="","",Weather!C430)</f>
        <v>0.8981157595914333</v>
      </c>
      <c r="H446" s="301">
        <f>IF(Weather!D430="","",Weather!D430)</f>
        <v>0.83577336875360686</v>
      </c>
      <c r="I446" s="502">
        <f>IF(Weather!E430="","",Weather!E430)</f>
        <v>0.83577336875360686</v>
      </c>
      <c r="J446" s="397">
        <f>IF(RnSplint!N109&lt;0,0,RnSplint!N109)</f>
        <v>28.092916059540428</v>
      </c>
      <c r="K446" s="302">
        <f t="shared" si="376"/>
        <v>0</v>
      </c>
      <c r="L446" s="303">
        <f t="shared" si="377"/>
        <v>38411</v>
      </c>
      <c r="M446" s="346">
        <f t="shared" si="394"/>
        <v>2</v>
      </c>
      <c r="N446" s="304">
        <f t="shared" si="378"/>
        <v>0</v>
      </c>
      <c r="O446" s="304">
        <f t="shared" si="379"/>
        <v>0</v>
      </c>
      <c r="P446" s="304">
        <f t="shared" si="349"/>
        <v>0</v>
      </c>
      <c r="Q446" s="304">
        <f t="shared" si="350"/>
        <v>1.2</v>
      </c>
      <c r="R446" s="304">
        <f t="shared" si="351"/>
        <v>1.2</v>
      </c>
      <c r="S446" s="305" t="e">
        <f t="shared" si="380"/>
        <v>#N/A</v>
      </c>
      <c r="T446" s="304">
        <f t="shared" si="352"/>
        <v>0</v>
      </c>
      <c r="U446" s="304">
        <f t="shared" si="390"/>
        <v>0</v>
      </c>
      <c r="V446" s="305" t="e">
        <f t="shared" si="353"/>
        <v>#N/A</v>
      </c>
      <c r="W446" s="305" t="e">
        <f t="shared" si="381"/>
        <v>#N/A</v>
      </c>
      <c r="X446" s="304">
        <f t="shared" si="382"/>
        <v>1.2</v>
      </c>
      <c r="Z446" s="304" t="str">
        <f t="shared" si="354"/>
        <v/>
      </c>
      <c r="AA446" s="305" t="e">
        <f t="shared" si="355"/>
        <v>#N/A</v>
      </c>
      <c r="AB446" s="304">
        <f t="shared" si="356"/>
        <v>1.0029280425043281</v>
      </c>
      <c r="AC446" s="304" t="str">
        <f t="shared" si="383"/>
        <v/>
      </c>
      <c r="AD446" s="306">
        <f t="shared" si="357"/>
        <v>0</v>
      </c>
      <c r="AE446" s="307">
        <f t="shared" si="384"/>
        <v>1.0029280425043281</v>
      </c>
      <c r="AF446" s="308" t="e">
        <f t="shared" si="393"/>
        <v>#N/A</v>
      </c>
      <c r="AG446" s="306">
        <f t="shared" si="385"/>
        <v>705.81847655798992</v>
      </c>
      <c r="AH446" s="306">
        <f t="shared" si="358"/>
        <v>0</v>
      </c>
      <c r="AI446" s="306">
        <f t="shared" si="386"/>
        <v>0</v>
      </c>
      <c r="AJ446" s="306">
        <f t="shared" si="387"/>
        <v>0</v>
      </c>
      <c r="AK446" s="306">
        <f t="shared" si="359"/>
        <v>0</v>
      </c>
      <c r="AL446" s="306">
        <f t="shared" si="388"/>
        <v>0</v>
      </c>
      <c r="AM446" s="306">
        <f t="shared" si="360"/>
        <v>0</v>
      </c>
      <c r="AN446" s="306"/>
      <c r="AO446" s="304" t="str">
        <f t="shared" si="361"/>
        <v/>
      </c>
      <c r="AP446" s="304" t="str">
        <f t="shared" si="389"/>
        <v/>
      </c>
      <c r="AQ446" s="305" t="e">
        <f t="shared" si="395"/>
        <v>#N/A</v>
      </c>
      <c r="AR446" s="304" t="str">
        <f t="shared" si="396"/>
        <v/>
      </c>
      <c r="AS446" s="306">
        <f t="shared" si="362"/>
        <v>0</v>
      </c>
      <c r="AT446" s="307" t="e">
        <f t="shared" si="397"/>
        <v>#N/A</v>
      </c>
      <c r="AU446" s="307" t="e">
        <f t="shared" si="398"/>
        <v>#N/A</v>
      </c>
      <c r="AV446" s="304">
        <f t="shared" si="344"/>
        <v>0.83577336875360686</v>
      </c>
      <c r="AW446" s="309">
        <f t="shared" si="363"/>
        <v>2.135632659499644</v>
      </c>
      <c r="AX446" s="306">
        <f>IF(ISERROR(Weather!M430),#N/A,Weather!M430)</f>
        <v>0</v>
      </c>
      <c r="AY446" s="310">
        <f t="shared" si="364"/>
        <v>3</v>
      </c>
      <c r="AZ446" s="309">
        <f t="shared" si="365"/>
        <v>1.2</v>
      </c>
      <c r="BA446" s="309">
        <f t="shared" si="366"/>
        <v>278.4302429478866</v>
      </c>
      <c r="BB446" s="311">
        <f>Irrig!H448</f>
        <v>0</v>
      </c>
      <c r="BC446" s="310">
        <f t="shared" si="367"/>
        <v>0</v>
      </c>
      <c r="BD446" s="309">
        <f t="shared" si="368"/>
        <v>0</v>
      </c>
      <c r="BE446" s="309">
        <f t="shared" si="369"/>
        <v>0</v>
      </c>
      <c r="BF446" s="306">
        <f>DailyMet!H430</f>
        <v>10.33</v>
      </c>
      <c r="BG446" s="306">
        <f>DailyMet!I430</f>
        <v>4.8</v>
      </c>
      <c r="BH446" s="306">
        <f t="shared" si="370"/>
        <v>10.33</v>
      </c>
      <c r="BI446" s="306">
        <f t="shared" si="371"/>
        <v>10</v>
      </c>
      <c r="BJ446" s="306">
        <f t="shared" si="372"/>
        <v>0.16499999999999915</v>
      </c>
      <c r="BK446" s="306">
        <f t="shared" si="343"/>
        <v>0</v>
      </c>
      <c r="BL446" s="304">
        <f t="shared" si="373"/>
        <v>0</v>
      </c>
      <c r="BM446" s="304">
        <f t="shared" si="374"/>
        <v>9.846292947558774E-3</v>
      </c>
      <c r="BN446" s="304">
        <f t="shared" si="391"/>
        <v>9.846292947558774E-3</v>
      </c>
      <c r="BO446" s="306">
        <f t="shared" si="392"/>
        <v>0</v>
      </c>
      <c r="BP446" s="306"/>
    </row>
    <row r="447" spans="1:68">
      <c r="A447" s="299">
        <f t="shared" si="345"/>
        <v>0</v>
      </c>
      <c r="B447" s="300">
        <f t="shared" si="346"/>
        <v>38412</v>
      </c>
      <c r="C447" s="301" t="e">
        <f t="shared" si="375"/>
        <v>#N/A</v>
      </c>
      <c r="D447" s="301" t="e">
        <f t="shared" si="347"/>
        <v>#N/A</v>
      </c>
      <c r="E447" s="299">
        <f t="shared" si="348"/>
        <v>426</v>
      </c>
      <c r="F447" s="396">
        <f>Weather!M431</f>
        <v>0</v>
      </c>
      <c r="G447" s="301">
        <f>IF(Weather!C431="","",Weather!C431)</f>
        <v>0.93245027713917328</v>
      </c>
      <c r="H447" s="301">
        <f>IF(Weather!D431="","",Weather!D431)</f>
        <v>1.2856834746038537</v>
      </c>
      <c r="I447" s="502">
        <f>IF(Weather!E431="","",Weather!E431)</f>
        <v>1.2856834746038537</v>
      </c>
      <c r="J447" s="397">
        <f>IF(RnSplint!N110&lt;0,0,RnSplint!N110)</f>
        <v>28.220654478824429</v>
      </c>
      <c r="K447" s="302">
        <f t="shared" si="376"/>
        <v>0</v>
      </c>
      <c r="L447" s="303">
        <f t="shared" si="377"/>
        <v>38412</v>
      </c>
      <c r="M447" s="346" t="str">
        <f t="shared" si="394"/>
        <v/>
      </c>
      <c r="N447" s="304">
        <f t="shared" si="378"/>
        <v>0</v>
      </c>
      <c r="O447" s="304">
        <f t="shared" si="379"/>
        <v>0</v>
      </c>
      <c r="P447" s="304">
        <f t="shared" si="349"/>
        <v>0</v>
      </c>
      <c r="Q447" s="304">
        <f t="shared" si="350"/>
        <v>1.2</v>
      </c>
      <c r="R447" s="304">
        <f t="shared" si="351"/>
        <v>1.2</v>
      </c>
      <c r="S447" s="305" t="e">
        <f t="shared" si="380"/>
        <v>#N/A</v>
      </c>
      <c r="T447" s="304">
        <f t="shared" si="352"/>
        <v>0</v>
      </c>
      <c r="U447" s="304">
        <f t="shared" si="390"/>
        <v>0</v>
      </c>
      <c r="V447" s="305" t="e">
        <f t="shared" si="353"/>
        <v>#N/A</v>
      </c>
      <c r="W447" s="305" t="e">
        <f t="shared" si="381"/>
        <v>#N/A</v>
      </c>
      <c r="X447" s="304">
        <f t="shared" si="382"/>
        <v>1.2</v>
      </c>
      <c r="Z447" s="304" t="str">
        <f t="shared" si="354"/>
        <v/>
      </c>
      <c r="AA447" s="305" t="e">
        <f t="shared" si="355"/>
        <v>#N/A</v>
      </c>
      <c r="AB447" s="304">
        <f t="shared" si="356"/>
        <v>1.5428201695246244</v>
      </c>
      <c r="AC447" s="304" t="str">
        <f t="shared" si="383"/>
        <v/>
      </c>
      <c r="AD447" s="306">
        <f t="shared" si="357"/>
        <v>0</v>
      </c>
      <c r="AE447" s="307">
        <f t="shared" si="384"/>
        <v>1.5428201695246244</v>
      </c>
      <c r="AF447" s="308" t="e">
        <f t="shared" si="393"/>
        <v>#N/A</v>
      </c>
      <c r="AG447" s="306">
        <f t="shared" si="385"/>
        <v>707.10416003259377</v>
      </c>
      <c r="AH447" s="306">
        <f t="shared" si="358"/>
        <v>0</v>
      </c>
      <c r="AI447" s="306">
        <f t="shared" si="386"/>
        <v>0</v>
      </c>
      <c r="AJ447" s="306">
        <f t="shared" si="387"/>
        <v>0</v>
      </c>
      <c r="AK447" s="306">
        <f t="shared" si="359"/>
        <v>0</v>
      </c>
      <c r="AL447" s="306">
        <f t="shared" si="388"/>
        <v>0</v>
      </c>
      <c r="AM447" s="306">
        <f t="shared" si="360"/>
        <v>0</v>
      </c>
      <c r="AN447" s="306"/>
      <c r="AO447" s="304" t="str">
        <f t="shared" si="361"/>
        <v/>
      </c>
      <c r="AP447" s="304" t="str">
        <f t="shared" si="389"/>
        <v/>
      </c>
      <c r="AQ447" s="305" t="e">
        <f t="shared" si="395"/>
        <v>#N/A</v>
      </c>
      <c r="AR447" s="304" t="str">
        <f t="shared" si="396"/>
        <v/>
      </c>
      <c r="AS447" s="306">
        <f t="shared" si="362"/>
        <v>0</v>
      </c>
      <c r="AT447" s="307" t="e">
        <f t="shared" si="397"/>
        <v>#N/A</v>
      </c>
      <c r="AU447" s="307" t="e">
        <f t="shared" si="398"/>
        <v>#N/A</v>
      </c>
      <c r="AV447" s="304">
        <f t="shared" si="344"/>
        <v>1.2856834746038537</v>
      </c>
      <c r="AW447" s="309">
        <f t="shared" si="363"/>
        <v>3.4213161341034977</v>
      </c>
      <c r="AX447" s="306">
        <f>IF(ISERROR(Weather!M431),#N/A,Weather!M431)</f>
        <v>0</v>
      </c>
      <c r="AY447" s="310">
        <f t="shared" si="364"/>
        <v>4</v>
      </c>
      <c r="AZ447" s="309">
        <f t="shared" si="365"/>
        <v>1.2</v>
      </c>
      <c r="BA447" s="309">
        <f t="shared" si="366"/>
        <v>279.71592642249044</v>
      </c>
      <c r="BB447" s="311">
        <f>Irrig!H449</f>
        <v>0</v>
      </c>
      <c r="BC447" s="310">
        <f t="shared" si="367"/>
        <v>0</v>
      </c>
      <c r="BD447" s="309">
        <f t="shared" si="368"/>
        <v>0</v>
      </c>
      <c r="BE447" s="309">
        <f t="shared" si="369"/>
        <v>0</v>
      </c>
      <c r="BF447" s="306">
        <f>DailyMet!H431</f>
        <v>9.5500000000000007</v>
      </c>
      <c r="BG447" s="306">
        <f>DailyMet!I431</f>
        <v>1.2</v>
      </c>
      <c r="BH447" s="306">
        <f t="shared" si="370"/>
        <v>9.5500000000000007</v>
      </c>
      <c r="BI447" s="306">
        <f t="shared" si="371"/>
        <v>10</v>
      </c>
      <c r="BJ447" s="306">
        <f t="shared" si="372"/>
        <v>-0.22499999999999964</v>
      </c>
      <c r="BK447" s="306">
        <f t="shared" si="343"/>
        <v>0</v>
      </c>
      <c r="BL447" s="304">
        <f t="shared" si="373"/>
        <v>0</v>
      </c>
      <c r="BM447" s="304">
        <f t="shared" si="374"/>
        <v>0</v>
      </c>
      <c r="BN447" s="304">
        <f t="shared" si="391"/>
        <v>0</v>
      </c>
      <c r="BO447" s="306">
        <f t="shared" si="392"/>
        <v>0</v>
      </c>
      <c r="BP447" s="306"/>
    </row>
    <row r="448" spans="1:68">
      <c r="A448" s="299">
        <f t="shared" si="345"/>
        <v>0</v>
      </c>
      <c r="B448" s="300">
        <f t="shared" si="346"/>
        <v>38413</v>
      </c>
      <c r="C448" s="301" t="e">
        <f t="shared" si="375"/>
        <v>#N/A</v>
      </c>
      <c r="D448" s="301" t="e">
        <f t="shared" si="347"/>
        <v>#N/A</v>
      </c>
      <c r="E448" s="299">
        <f t="shared" si="348"/>
        <v>427</v>
      </c>
      <c r="F448" s="396">
        <f>Weather!M432</f>
        <v>0</v>
      </c>
      <c r="G448" s="301">
        <f>IF(Weather!C432="","",Weather!C432)</f>
        <v>0.96649780124633888</v>
      </c>
      <c r="H448" s="301">
        <f>IF(Weather!D432="","",Weather!D432)</f>
        <v>0.92411704693883201</v>
      </c>
      <c r="I448" s="502">
        <f>IF(Weather!E432="","",Weather!E432)</f>
        <v>0.92411704693883201</v>
      </c>
      <c r="J448" s="397">
        <f>IF(RnSplint!N111&lt;0,0,RnSplint!N111)</f>
        <v>28.35976485829665</v>
      </c>
      <c r="K448" s="302">
        <f t="shared" si="376"/>
        <v>0</v>
      </c>
      <c r="L448" s="303">
        <f t="shared" si="377"/>
        <v>38413</v>
      </c>
      <c r="M448" s="346" t="str">
        <f t="shared" si="394"/>
        <v/>
      </c>
      <c r="N448" s="304">
        <f t="shared" si="378"/>
        <v>0</v>
      </c>
      <c r="O448" s="304">
        <f t="shared" si="379"/>
        <v>0</v>
      </c>
      <c r="P448" s="304">
        <f t="shared" si="349"/>
        <v>0</v>
      </c>
      <c r="Q448" s="304">
        <f t="shared" si="350"/>
        <v>1.2</v>
      </c>
      <c r="R448" s="304">
        <f t="shared" si="351"/>
        <v>1.2</v>
      </c>
      <c r="S448" s="305" t="e">
        <f t="shared" si="380"/>
        <v>#N/A</v>
      </c>
      <c r="T448" s="304">
        <f t="shared" si="352"/>
        <v>0</v>
      </c>
      <c r="U448" s="304">
        <f t="shared" si="390"/>
        <v>0</v>
      </c>
      <c r="V448" s="305" t="e">
        <f t="shared" si="353"/>
        <v>#N/A</v>
      </c>
      <c r="W448" s="305" t="e">
        <f t="shared" si="381"/>
        <v>#N/A</v>
      </c>
      <c r="X448" s="304">
        <f t="shared" si="382"/>
        <v>1.2</v>
      </c>
      <c r="Z448" s="304" t="str">
        <f t="shared" si="354"/>
        <v/>
      </c>
      <c r="AA448" s="305" t="e">
        <f t="shared" si="355"/>
        <v>#N/A</v>
      </c>
      <c r="AB448" s="304">
        <f t="shared" si="356"/>
        <v>1.1089404563265983</v>
      </c>
      <c r="AC448" s="304" t="str">
        <f t="shared" si="383"/>
        <v/>
      </c>
      <c r="AD448" s="306">
        <f t="shared" si="357"/>
        <v>0</v>
      </c>
      <c r="AE448" s="307">
        <f t="shared" si="384"/>
        <v>1.1089404563265983</v>
      </c>
      <c r="AF448" s="308" t="e">
        <f t="shared" si="393"/>
        <v>#N/A</v>
      </c>
      <c r="AG448" s="306">
        <f t="shared" si="385"/>
        <v>708.02827707953259</v>
      </c>
      <c r="AH448" s="306">
        <f t="shared" si="358"/>
        <v>0</v>
      </c>
      <c r="AI448" s="306">
        <f t="shared" si="386"/>
        <v>0</v>
      </c>
      <c r="AJ448" s="306">
        <f t="shared" si="387"/>
        <v>0</v>
      </c>
      <c r="AK448" s="306">
        <f t="shared" si="359"/>
        <v>0</v>
      </c>
      <c r="AL448" s="306">
        <f t="shared" si="388"/>
        <v>0</v>
      </c>
      <c r="AM448" s="306">
        <f t="shared" si="360"/>
        <v>0</v>
      </c>
      <c r="AN448" s="306"/>
      <c r="AO448" s="304" t="str">
        <f t="shared" si="361"/>
        <v/>
      </c>
      <c r="AP448" s="304" t="str">
        <f t="shared" si="389"/>
        <v/>
      </c>
      <c r="AQ448" s="305" t="e">
        <f t="shared" si="395"/>
        <v>#N/A</v>
      </c>
      <c r="AR448" s="304" t="str">
        <f t="shared" si="396"/>
        <v/>
      </c>
      <c r="AS448" s="306">
        <f t="shared" si="362"/>
        <v>0</v>
      </c>
      <c r="AT448" s="307" t="e">
        <f t="shared" si="397"/>
        <v>#N/A</v>
      </c>
      <c r="AU448" s="307" t="e">
        <f t="shared" si="398"/>
        <v>#N/A</v>
      </c>
      <c r="AV448" s="304">
        <f t="shared" si="344"/>
        <v>0.92411704693883201</v>
      </c>
      <c r="AW448" s="309">
        <f t="shared" si="363"/>
        <v>4.3454331810423295</v>
      </c>
      <c r="AX448" s="306">
        <f>IF(ISERROR(Weather!M432),#N/A,Weather!M432)</f>
        <v>0</v>
      </c>
      <c r="AY448" s="310">
        <f t="shared" si="364"/>
        <v>5</v>
      </c>
      <c r="AZ448" s="309">
        <f t="shared" si="365"/>
        <v>1.2</v>
      </c>
      <c r="BA448" s="309">
        <f t="shared" si="366"/>
        <v>280.64004346942926</v>
      </c>
      <c r="BB448" s="311">
        <f>Irrig!H450</f>
        <v>0</v>
      </c>
      <c r="BC448" s="310">
        <f t="shared" si="367"/>
        <v>0</v>
      </c>
      <c r="BD448" s="309">
        <f t="shared" si="368"/>
        <v>0</v>
      </c>
      <c r="BE448" s="309">
        <f t="shared" si="369"/>
        <v>0</v>
      </c>
      <c r="BF448" s="306">
        <f>DailyMet!H432</f>
        <v>11.25</v>
      </c>
      <c r="BG448" s="306">
        <f>DailyMet!I432</f>
        <v>2.7</v>
      </c>
      <c r="BH448" s="306">
        <f t="shared" si="370"/>
        <v>11.25</v>
      </c>
      <c r="BI448" s="306">
        <f t="shared" si="371"/>
        <v>10</v>
      </c>
      <c r="BJ448" s="306">
        <f t="shared" si="372"/>
        <v>0.625</v>
      </c>
      <c r="BK448" s="306">
        <f t="shared" si="343"/>
        <v>0</v>
      </c>
      <c r="BL448" s="304">
        <f t="shared" si="373"/>
        <v>0</v>
      </c>
      <c r="BM448" s="304">
        <f t="shared" si="374"/>
        <v>9.1374269005847941E-2</v>
      </c>
      <c r="BN448" s="304">
        <f t="shared" si="391"/>
        <v>9.1374269005847941E-2</v>
      </c>
      <c r="BO448" s="306">
        <f t="shared" si="392"/>
        <v>0</v>
      </c>
      <c r="BP448" s="306"/>
    </row>
    <row r="449" spans="1:68">
      <c r="A449" s="299">
        <f t="shared" si="345"/>
        <v>0</v>
      </c>
      <c r="B449" s="300">
        <f t="shared" si="346"/>
        <v>38414</v>
      </c>
      <c r="C449" s="301" t="e">
        <f t="shared" si="375"/>
        <v>#N/A</v>
      </c>
      <c r="D449" s="301" t="e">
        <f t="shared" si="347"/>
        <v>#N/A</v>
      </c>
      <c r="E449" s="299">
        <f t="shared" si="348"/>
        <v>428</v>
      </c>
      <c r="F449" s="396">
        <f>Weather!M433</f>
        <v>0</v>
      </c>
      <c r="G449" s="301">
        <f>IF(Weather!C433="","",Weather!C433)</f>
        <v>1.0001136284065482</v>
      </c>
      <c r="H449" s="301">
        <f>IF(Weather!D433="","",Weather!D433)</f>
        <v>1.0608928706242404</v>
      </c>
      <c r="I449" s="502">
        <f>IF(Weather!E433="","",Weather!E433)</f>
        <v>1.0608928706242404</v>
      </c>
      <c r="J449" s="397">
        <f>IF(RnSplint!N112&lt;0,0,RnSplint!N112)</f>
        <v>28.509351901545191</v>
      </c>
      <c r="K449" s="302">
        <f t="shared" si="376"/>
        <v>0</v>
      </c>
      <c r="L449" s="303">
        <f t="shared" si="377"/>
        <v>38414</v>
      </c>
      <c r="M449" s="346" t="str">
        <f t="shared" si="394"/>
        <v/>
      </c>
      <c r="N449" s="304">
        <f t="shared" si="378"/>
        <v>0</v>
      </c>
      <c r="O449" s="304">
        <f t="shared" si="379"/>
        <v>0</v>
      </c>
      <c r="P449" s="304">
        <f t="shared" si="349"/>
        <v>0</v>
      </c>
      <c r="Q449" s="304">
        <f t="shared" si="350"/>
        <v>1.1407459978759029</v>
      </c>
      <c r="R449" s="304">
        <f t="shared" si="351"/>
        <v>1.1407459978759029</v>
      </c>
      <c r="S449" s="305" t="e">
        <f t="shared" si="380"/>
        <v>#N/A</v>
      </c>
      <c r="T449" s="304">
        <f t="shared" si="352"/>
        <v>0</v>
      </c>
      <c r="U449" s="304">
        <f t="shared" si="390"/>
        <v>0</v>
      </c>
      <c r="V449" s="305" t="e">
        <f t="shared" si="353"/>
        <v>#N/A</v>
      </c>
      <c r="W449" s="305" t="e">
        <f t="shared" si="381"/>
        <v>#N/A</v>
      </c>
      <c r="X449" s="304">
        <f t="shared" si="382"/>
        <v>1.1407459978759029</v>
      </c>
      <c r="Z449" s="304" t="str">
        <f t="shared" si="354"/>
        <v/>
      </c>
      <c r="AA449" s="305" t="e">
        <f t="shared" si="355"/>
        <v>#N/A</v>
      </c>
      <c r="AB449" s="304">
        <f t="shared" si="356"/>
        <v>1.2102092963396802</v>
      </c>
      <c r="AC449" s="304" t="str">
        <f t="shared" si="383"/>
        <v/>
      </c>
      <c r="AD449" s="306">
        <f t="shared" si="357"/>
        <v>0</v>
      </c>
      <c r="AE449" s="307">
        <f t="shared" si="384"/>
        <v>1.2102092963396802</v>
      </c>
      <c r="AF449" s="308" t="e">
        <f t="shared" si="393"/>
        <v>#N/A</v>
      </c>
      <c r="AG449" s="306">
        <f t="shared" si="385"/>
        <v>709.08916995015682</v>
      </c>
      <c r="AH449" s="306">
        <f t="shared" si="358"/>
        <v>0</v>
      </c>
      <c r="AI449" s="306">
        <f t="shared" si="386"/>
        <v>0</v>
      </c>
      <c r="AJ449" s="306">
        <f t="shared" si="387"/>
        <v>0</v>
      </c>
      <c r="AK449" s="306">
        <f t="shared" si="359"/>
        <v>0</v>
      </c>
      <c r="AL449" s="306">
        <f t="shared" si="388"/>
        <v>0</v>
      </c>
      <c r="AM449" s="306">
        <f t="shared" si="360"/>
        <v>0</v>
      </c>
      <c r="AN449" s="306"/>
      <c r="AO449" s="304" t="str">
        <f t="shared" si="361"/>
        <v/>
      </c>
      <c r="AP449" s="304" t="str">
        <f t="shared" si="389"/>
        <v/>
      </c>
      <c r="AQ449" s="305" t="e">
        <f t="shared" si="395"/>
        <v>#N/A</v>
      </c>
      <c r="AR449" s="304" t="str">
        <f t="shared" si="396"/>
        <v/>
      </c>
      <c r="AS449" s="306">
        <f t="shared" si="362"/>
        <v>0</v>
      </c>
      <c r="AT449" s="307" t="e">
        <f t="shared" si="397"/>
        <v>#N/A</v>
      </c>
      <c r="AU449" s="307" t="e">
        <f t="shared" si="398"/>
        <v>#N/A</v>
      </c>
      <c r="AV449" s="304">
        <f t="shared" si="344"/>
        <v>1.0608928706242404</v>
      </c>
      <c r="AW449" s="309">
        <f t="shared" si="363"/>
        <v>5.4063260516665697</v>
      </c>
      <c r="AX449" s="306">
        <f>IF(ISERROR(Weather!M433),#N/A,Weather!M433)</f>
        <v>0</v>
      </c>
      <c r="AY449" s="310">
        <f t="shared" si="364"/>
        <v>6</v>
      </c>
      <c r="AZ449" s="309">
        <f t="shared" si="365"/>
        <v>1.1407459978759029</v>
      </c>
      <c r="BA449" s="309">
        <f t="shared" si="366"/>
        <v>281.70093634005349</v>
      </c>
      <c r="BB449" s="311">
        <f>Irrig!H451</f>
        <v>0</v>
      </c>
      <c r="BC449" s="310">
        <f t="shared" si="367"/>
        <v>0</v>
      </c>
      <c r="BD449" s="309">
        <f t="shared" si="368"/>
        <v>0</v>
      </c>
      <c r="BE449" s="309">
        <f t="shared" si="369"/>
        <v>0</v>
      </c>
      <c r="BF449" s="306">
        <f>DailyMet!H433</f>
        <v>10.8</v>
      </c>
      <c r="BG449" s="306">
        <f>DailyMet!I433</f>
        <v>2.6</v>
      </c>
      <c r="BH449" s="306">
        <f t="shared" si="370"/>
        <v>10.8</v>
      </c>
      <c r="BI449" s="306">
        <f t="shared" si="371"/>
        <v>10</v>
      </c>
      <c r="BJ449" s="306">
        <f t="shared" si="372"/>
        <v>0.40000000000000036</v>
      </c>
      <c r="BK449" s="306">
        <f t="shared" si="343"/>
        <v>0</v>
      </c>
      <c r="BL449" s="304">
        <f t="shared" si="373"/>
        <v>0</v>
      </c>
      <c r="BM449" s="304">
        <f t="shared" si="374"/>
        <v>3.9024390243902501E-2</v>
      </c>
      <c r="BN449" s="304">
        <f t="shared" si="391"/>
        <v>3.9024390243902501E-2</v>
      </c>
      <c r="BO449" s="306">
        <f t="shared" si="392"/>
        <v>0</v>
      </c>
      <c r="BP449" s="306"/>
    </row>
    <row r="450" spans="1:68">
      <c r="A450" s="299">
        <f t="shared" si="345"/>
        <v>0</v>
      </c>
      <c r="B450" s="300">
        <f t="shared" si="346"/>
        <v>38415</v>
      </c>
      <c r="C450" s="301" t="e">
        <f t="shared" si="375"/>
        <v>#N/A</v>
      </c>
      <c r="D450" s="301" t="e">
        <f t="shared" si="347"/>
        <v>#N/A</v>
      </c>
      <c r="E450" s="299">
        <f t="shared" si="348"/>
        <v>429</v>
      </c>
      <c r="F450" s="396">
        <f>Weather!M434</f>
        <v>4</v>
      </c>
      <c r="G450" s="301">
        <f>IF(Weather!C434="","",Weather!C434)</f>
        <v>1.0331530551134189</v>
      </c>
      <c r="H450" s="301">
        <f>IF(Weather!D434="","",Weather!D434)</f>
        <v>0.96808272715190891</v>
      </c>
      <c r="I450" s="502">
        <f>IF(Weather!E434="","",Weather!E434)</f>
        <v>0.96808272715190891</v>
      </c>
      <c r="J450" s="397">
        <f>IF(RnSplint!N113&lt;0,0,RnSplint!N113)</f>
        <v>28.66852031215813</v>
      </c>
      <c r="K450" s="302">
        <f t="shared" si="376"/>
        <v>0</v>
      </c>
      <c r="L450" s="303">
        <f t="shared" si="377"/>
        <v>38415</v>
      </c>
      <c r="M450" s="346" t="str">
        <f t="shared" si="394"/>
        <v/>
      </c>
      <c r="N450" s="304">
        <f t="shared" si="378"/>
        <v>0</v>
      </c>
      <c r="O450" s="304">
        <f t="shared" si="379"/>
        <v>0</v>
      </c>
      <c r="P450" s="304">
        <f t="shared" si="349"/>
        <v>0</v>
      </c>
      <c r="Q450" s="304">
        <f t="shared" si="350"/>
        <v>1.2</v>
      </c>
      <c r="R450" s="304">
        <f t="shared" si="351"/>
        <v>1.2</v>
      </c>
      <c r="S450" s="305" t="e">
        <f t="shared" si="380"/>
        <v>#N/A</v>
      </c>
      <c r="T450" s="304">
        <f t="shared" si="352"/>
        <v>0</v>
      </c>
      <c r="U450" s="304">
        <f t="shared" si="390"/>
        <v>0</v>
      </c>
      <c r="V450" s="305" t="e">
        <f t="shared" si="353"/>
        <v>#N/A</v>
      </c>
      <c r="W450" s="305" t="e">
        <f t="shared" si="381"/>
        <v>#N/A</v>
      </c>
      <c r="X450" s="304">
        <f t="shared" si="382"/>
        <v>1.2</v>
      </c>
      <c r="Z450" s="304" t="str">
        <f t="shared" si="354"/>
        <v/>
      </c>
      <c r="AA450" s="305" t="e">
        <f t="shared" si="355"/>
        <v>#N/A</v>
      </c>
      <c r="AB450" s="304">
        <f t="shared" si="356"/>
        <v>1.1616992725822906</v>
      </c>
      <c r="AC450" s="304" t="str">
        <f t="shared" si="383"/>
        <v/>
      </c>
      <c r="AD450" s="306">
        <f t="shared" si="357"/>
        <v>0</v>
      </c>
      <c r="AE450" s="307">
        <f t="shared" si="384"/>
        <v>1.1616992725822906</v>
      </c>
      <c r="AF450" s="308" t="e">
        <f t="shared" si="393"/>
        <v>#N/A</v>
      </c>
      <c r="AG450" s="306">
        <f t="shared" si="385"/>
        <v>710.05725267730872</v>
      </c>
      <c r="AH450" s="306">
        <f t="shared" si="358"/>
        <v>0</v>
      </c>
      <c r="AI450" s="306">
        <f t="shared" si="386"/>
        <v>0</v>
      </c>
      <c r="AJ450" s="306">
        <f t="shared" si="387"/>
        <v>0</v>
      </c>
      <c r="AK450" s="306">
        <f t="shared" si="359"/>
        <v>0</v>
      </c>
      <c r="AL450" s="306">
        <f t="shared" si="388"/>
        <v>0</v>
      </c>
      <c r="AM450" s="306">
        <f t="shared" si="360"/>
        <v>0</v>
      </c>
      <c r="AN450" s="306"/>
      <c r="AO450" s="304" t="str">
        <f t="shared" si="361"/>
        <v/>
      </c>
      <c r="AP450" s="304" t="str">
        <f t="shared" si="389"/>
        <v/>
      </c>
      <c r="AQ450" s="305" t="e">
        <f t="shared" si="395"/>
        <v>#N/A</v>
      </c>
      <c r="AR450" s="304" t="str">
        <f t="shared" si="396"/>
        <v/>
      </c>
      <c r="AS450" s="306">
        <f t="shared" si="362"/>
        <v>0</v>
      </c>
      <c r="AT450" s="307" t="e">
        <f t="shared" si="397"/>
        <v>#N/A</v>
      </c>
      <c r="AU450" s="307" t="e">
        <f t="shared" si="398"/>
        <v>#N/A</v>
      </c>
      <c r="AV450" s="304">
        <f t="shared" si="344"/>
        <v>0.96808272715190891</v>
      </c>
      <c r="AW450" s="309">
        <f t="shared" si="363"/>
        <v>0.96808272715190891</v>
      </c>
      <c r="AX450" s="306">
        <f>IF(ISERROR(Weather!M434),#N/A,Weather!M434)</f>
        <v>4</v>
      </c>
      <c r="AY450" s="310">
        <f t="shared" si="364"/>
        <v>1</v>
      </c>
      <c r="AZ450" s="309">
        <f t="shared" si="365"/>
        <v>1.2</v>
      </c>
      <c r="BA450" s="309">
        <f t="shared" si="366"/>
        <v>282.6690190672054</v>
      </c>
      <c r="BB450" s="311">
        <f>Irrig!H452</f>
        <v>0</v>
      </c>
      <c r="BC450" s="310">
        <f t="shared" si="367"/>
        <v>0</v>
      </c>
      <c r="BD450" s="309">
        <f t="shared" si="368"/>
        <v>0</v>
      </c>
      <c r="BE450" s="309">
        <f t="shared" si="369"/>
        <v>0</v>
      </c>
      <c r="BF450" s="306">
        <f>DailyMet!H434</f>
        <v>11.15</v>
      </c>
      <c r="BG450" s="306">
        <f>DailyMet!I434</f>
        <v>6.7</v>
      </c>
      <c r="BH450" s="306">
        <f t="shared" si="370"/>
        <v>11.15</v>
      </c>
      <c r="BI450" s="306">
        <f t="shared" si="371"/>
        <v>10</v>
      </c>
      <c r="BJ450" s="306">
        <f t="shared" si="372"/>
        <v>0.57499999999999929</v>
      </c>
      <c r="BK450" s="306">
        <f t="shared" si="343"/>
        <v>0</v>
      </c>
      <c r="BL450" s="304">
        <f t="shared" si="373"/>
        <v>0</v>
      </c>
      <c r="BM450" s="304">
        <f t="shared" si="374"/>
        <v>0.14859550561797763</v>
      </c>
      <c r="BN450" s="304">
        <f t="shared" si="391"/>
        <v>0.14859550561797763</v>
      </c>
      <c r="BO450" s="306">
        <f t="shared" si="392"/>
        <v>0</v>
      </c>
      <c r="BP450" s="306"/>
    </row>
    <row r="451" spans="1:68">
      <c r="A451" s="299">
        <f t="shared" si="345"/>
        <v>0</v>
      </c>
      <c r="B451" s="300">
        <f t="shared" si="346"/>
        <v>38416</v>
      </c>
      <c r="C451" s="301" t="e">
        <f t="shared" si="375"/>
        <v>#N/A</v>
      </c>
      <c r="D451" s="301" t="e">
        <f t="shared" si="347"/>
        <v>#N/A</v>
      </c>
      <c r="E451" s="299">
        <f t="shared" si="348"/>
        <v>430</v>
      </c>
      <c r="F451" s="396">
        <f>Weather!M435</f>
        <v>0</v>
      </c>
      <c r="G451" s="301">
        <f>IF(Weather!C435="","",Weather!C435)</f>
        <v>1.0654713778605693</v>
      </c>
      <c r="H451" s="301">
        <f>IF(Weather!D435="","",Weather!D435)</f>
        <v>0.98359335507564682</v>
      </c>
      <c r="I451" s="502">
        <f>IF(Weather!E435="","",Weather!E435)</f>
        <v>0.98359335507564682</v>
      </c>
      <c r="J451" s="397">
        <f>IF(RnSplint!N114&lt;0,0,RnSplint!N114)</f>
        <v>28.836374793723554</v>
      </c>
      <c r="K451" s="302">
        <f t="shared" si="376"/>
        <v>0</v>
      </c>
      <c r="L451" s="303">
        <f t="shared" si="377"/>
        <v>38416</v>
      </c>
      <c r="M451" s="346" t="str">
        <f t="shared" si="394"/>
        <v/>
      </c>
      <c r="N451" s="304">
        <f t="shared" si="378"/>
        <v>0</v>
      </c>
      <c r="O451" s="304">
        <f t="shared" si="379"/>
        <v>0</v>
      </c>
      <c r="P451" s="304">
        <f t="shared" si="349"/>
        <v>0</v>
      </c>
      <c r="Q451" s="304">
        <f t="shared" si="350"/>
        <v>1.2</v>
      </c>
      <c r="R451" s="304">
        <f t="shared" si="351"/>
        <v>1.2</v>
      </c>
      <c r="S451" s="305" t="e">
        <f t="shared" si="380"/>
        <v>#N/A</v>
      </c>
      <c r="T451" s="304">
        <f t="shared" si="352"/>
        <v>0</v>
      </c>
      <c r="U451" s="304">
        <f t="shared" si="390"/>
        <v>0</v>
      </c>
      <c r="V451" s="305" t="e">
        <f t="shared" si="353"/>
        <v>#N/A</v>
      </c>
      <c r="W451" s="305" t="e">
        <f t="shared" si="381"/>
        <v>#N/A</v>
      </c>
      <c r="X451" s="304">
        <f t="shared" si="382"/>
        <v>1.2</v>
      </c>
      <c r="Z451" s="304" t="str">
        <f t="shared" si="354"/>
        <v/>
      </c>
      <c r="AA451" s="305" t="e">
        <f t="shared" si="355"/>
        <v>#N/A</v>
      </c>
      <c r="AB451" s="304">
        <f t="shared" si="356"/>
        <v>1.1803120260907762</v>
      </c>
      <c r="AC451" s="304" t="str">
        <f t="shared" si="383"/>
        <v/>
      </c>
      <c r="AD451" s="306">
        <f t="shared" si="357"/>
        <v>0</v>
      </c>
      <c r="AE451" s="307">
        <f t="shared" si="384"/>
        <v>1.1803120260907762</v>
      </c>
      <c r="AF451" s="308" t="e">
        <f t="shared" si="393"/>
        <v>#N/A</v>
      </c>
      <c r="AG451" s="306">
        <f t="shared" si="385"/>
        <v>711.04084603238437</v>
      </c>
      <c r="AH451" s="306">
        <f t="shared" si="358"/>
        <v>0</v>
      </c>
      <c r="AI451" s="306">
        <f t="shared" si="386"/>
        <v>0</v>
      </c>
      <c r="AJ451" s="306">
        <f t="shared" si="387"/>
        <v>0</v>
      </c>
      <c r="AK451" s="306">
        <f t="shared" si="359"/>
        <v>0</v>
      </c>
      <c r="AL451" s="306">
        <f t="shared" si="388"/>
        <v>0</v>
      </c>
      <c r="AM451" s="306">
        <f t="shared" si="360"/>
        <v>0</v>
      </c>
      <c r="AN451" s="306"/>
      <c r="AO451" s="304" t="str">
        <f t="shared" si="361"/>
        <v/>
      </c>
      <c r="AP451" s="304" t="str">
        <f t="shared" si="389"/>
        <v/>
      </c>
      <c r="AQ451" s="305" t="e">
        <f t="shared" si="395"/>
        <v>#N/A</v>
      </c>
      <c r="AR451" s="304" t="str">
        <f t="shared" si="396"/>
        <v/>
      </c>
      <c r="AS451" s="306">
        <f t="shared" si="362"/>
        <v>0</v>
      </c>
      <c r="AT451" s="307" t="e">
        <f t="shared" si="397"/>
        <v>#N/A</v>
      </c>
      <c r="AU451" s="307" t="e">
        <f t="shared" si="398"/>
        <v>#N/A</v>
      </c>
      <c r="AV451" s="304">
        <f t="shared" si="344"/>
        <v>0.98359335507564682</v>
      </c>
      <c r="AW451" s="309">
        <f t="shared" si="363"/>
        <v>1.9516760822275558</v>
      </c>
      <c r="AX451" s="306">
        <f>IF(ISERROR(Weather!M435),#N/A,Weather!M435)</f>
        <v>0</v>
      </c>
      <c r="AY451" s="310">
        <f t="shared" si="364"/>
        <v>2</v>
      </c>
      <c r="AZ451" s="309">
        <f t="shared" si="365"/>
        <v>1.2</v>
      </c>
      <c r="BA451" s="309">
        <f t="shared" si="366"/>
        <v>283.65261242228104</v>
      </c>
      <c r="BB451" s="311">
        <f>Irrig!H453</f>
        <v>0</v>
      </c>
      <c r="BC451" s="310">
        <f t="shared" si="367"/>
        <v>0</v>
      </c>
      <c r="BD451" s="309">
        <f t="shared" si="368"/>
        <v>0</v>
      </c>
      <c r="BE451" s="309">
        <f t="shared" si="369"/>
        <v>0</v>
      </c>
      <c r="BF451" s="306">
        <f>DailyMet!H435</f>
        <v>9.5500000000000007</v>
      </c>
      <c r="BG451" s="306">
        <f>DailyMet!I435</f>
        <v>4.4000000000000004</v>
      </c>
      <c r="BH451" s="306">
        <f t="shared" si="370"/>
        <v>9.5500000000000007</v>
      </c>
      <c r="BI451" s="306">
        <f t="shared" si="371"/>
        <v>10</v>
      </c>
      <c r="BJ451" s="306">
        <f t="shared" si="372"/>
        <v>-0.22499999999999964</v>
      </c>
      <c r="BK451" s="306">
        <f t="shared" si="343"/>
        <v>0</v>
      </c>
      <c r="BL451" s="304">
        <f t="shared" si="373"/>
        <v>0</v>
      </c>
      <c r="BM451" s="304">
        <f t="shared" si="374"/>
        <v>0</v>
      </c>
      <c r="BN451" s="304">
        <f t="shared" si="391"/>
        <v>0</v>
      </c>
      <c r="BO451" s="306">
        <f t="shared" si="392"/>
        <v>0</v>
      </c>
      <c r="BP451" s="306"/>
    </row>
    <row r="452" spans="1:68">
      <c r="A452" s="299">
        <f t="shared" si="345"/>
        <v>0</v>
      </c>
      <c r="B452" s="300">
        <f t="shared" si="346"/>
        <v>38417</v>
      </c>
      <c r="C452" s="301" t="e">
        <f t="shared" si="375"/>
        <v>#N/A</v>
      </c>
      <c r="D452" s="301" t="e">
        <f t="shared" si="347"/>
        <v>#N/A</v>
      </c>
      <c r="E452" s="299">
        <f t="shared" si="348"/>
        <v>431</v>
      </c>
      <c r="F452" s="396">
        <f>Weather!M436</f>
        <v>0</v>
      </c>
      <c r="G452" s="301">
        <f>IF(Weather!C436="","",Weather!C436)</f>
        <v>1.096923893141617</v>
      </c>
      <c r="H452" s="301">
        <f>IF(Weather!D436="","",Weather!D436)</f>
        <v>1.2950054322307294</v>
      </c>
      <c r="I452" s="502">
        <f>IF(Weather!E436="","",Weather!E436)</f>
        <v>1.2950054322307294</v>
      </c>
      <c r="J452" s="397">
        <f>IF(RnSplint!N115&lt;0,0,RnSplint!N115)</f>
        <v>29.012020049829552</v>
      </c>
      <c r="K452" s="302">
        <f t="shared" si="376"/>
        <v>0</v>
      </c>
      <c r="L452" s="303">
        <f t="shared" si="377"/>
        <v>38417</v>
      </c>
      <c r="M452" s="346" t="str">
        <f t="shared" si="394"/>
        <v/>
      </c>
      <c r="N452" s="304">
        <f t="shared" si="378"/>
        <v>0</v>
      </c>
      <c r="O452" s="304">
        <f t="shared" si="379"/>
        <v>0</v>
      </c>
      <c r="P452" s="304">
        <f t="shared" si="349"/>
        <v>0</v>
      </c>
      <c r="Q452" s="304">
        <f t="shared" si="350"/>
        <v>1.2</v>
      </c>
      <c r="R452" s="304">
        <f t="shared" si="351"/>
        <v>1.2</v>
      </c>
      <c r="S452" s="305" t="e">
        <f t="shared" si="380"/>
        <v>#N/A</v>
      </c>
      <c r="T452" s="304">
        <f t="shared" si="352"/>
        <v>0</v>
      </c>
      <c r="U452" s="304">
        <f t="shared" si="390"/>
        <v>0</v>
      </c>
      <c r="V452" s="305" t="e">
        <f t="shared" si="353"/>
        <v>#N/A</v>
      </c>
      <c r="W452" s="305" t="e">
        <f t="shared" si="381"/>
        <v>#N/A</v>
      </c>
      <c r="X452" s="304">
        <f t="shared" si="382"/>
        <v>1.2</v>
      </c>
      <c r="Z452" s="304" t="str">
        <f t="shared" si="354"/>
        <v/>
      </c>
      <c r="AA452" s="305" t="e">
        <f t="shared" si="355"/>
        <v>#N/A</v>
      </c>
      <c r="AB452" s="304">
        <f t="shared" si="356"/>
        <v>1.5540065186768752</v>
      </c>
      <c r="AC452" s="304" t="str">
        <f t="shared" si="383"/>
        <v/>
      </c>
      <c r="AD452" s="306">
        <f t="shared" si="357"/>
        <v>0</v>
      </c>
      <c r="AE452" s="307">
        <f t="shared" si="384"/>
        <v>1.5540065186768752</v>
      </c>
      <c r="AF452" s="308" t="e">
        <f t="shared" si="393"/>
        <v>#N/A</v>
      </c>
      <c r="AG452" s="306">
        <f t="shared" si="385"/>
        <v>712.33585146461508</v>
      </c>
      <c r="AH452" s="306">
        <f t="shared" si="358"/>
        <v>0</v>
      </c>
      <c r="AI452" s="306">
        <f t="shared" si="386"/>
        <v>0</v>
      </c>
      <c r="AJ452" s="306">
        <f t="shared" si="387"/>
        <v>0</v>
      </c>
      <c r="AK452" s="306">
        <f t="shared" si="359"/>
        <v>0</v>
      </c>
      <c r="AL452" s="306">
        <f t="shared" si="388"/>
        <v>0</v>
      </c>
      <c r="AM452" s="306">
        <f t="shared" si="360"/>
        <v>0</v>
      </c>
      <c r="AN452" s="306"/>
      <c r="AO452" s="304" t="str">
        <f t="shared" si="361"/>
        <v/>
      </c>
      <c r="AP452" s="304" t="str">
        <f t="shared" si="389"/>
        <v/>
      </c>
      <c r="AQ452" s="305" t="e">
        <f t="shared" si="395"/>
        <v>#N/A</v>
      </c>
      <c r="AR452" s="304" t="str">
        <f t="shared" si="396"/>
        <v/>
      </c>
      <c r="AS452" s="306">
        <f t="shared" si="362"/>
        <v>0</v>
      </c>
      <c r="AT452" s="307" t="e">
        <f t="shared" si="397"/>
        <v>#N/A</v>
      </c>
      <c r="AU452" s="307" t="e">
        <f t="shared" si="398"/>
        <v>#N/A</v>
      </c>
      <c r="AV452" s="304">
        <f t="shared" si="344"/>
        <v>1.2950054322307294</v>
      </c>
      <c r="AW452" s="309">
        <f t="shared" si="363"/>
        <v>3.2466815144582855</v>
      </c>
      <c r="AX452" s="306">
        <f>IF(ISERROR(Weather!M436),#N/A,Weather!M436)</f>
        <v>0</v>
      </c>
      <c r="AY452" s="310">
        <f t="shared" si="364"/>
        <v>3</v>
      </c>
      <c r="AZ452" s="309">
        <f t="shared" si="365"/>
        <v>1.2</v>
      </c>
      <c r="BA452" s="309">
        <f t="shared" si="366"/>
        <v>284.94761785451175</v>
      </c>
      <c r="BB452" s="311">
        <f>Irrig!H454</f>
        <v>0</v>
      </c>
      <c r="BC452" s="310">
        <f t="shared" si="367"/>
        <v>0</v>
      </c>
      <c r="BD452" s="309">
        <f t="shared" si="368"/>
        <v>0</v>
      </c>
      <c r="BE452" s="309">
        <f t="shared" si="369"/>
        <v>0</v>
      </c>
      <c r="BF452" s="306">
        <f>DailyMet!H436</f>
        <v>7.85</v>
      </c>
      <c r="BG452" s="306">
        <f>DailyMet!I436</f>
        <v>2.1</v>
      </c>
      <c r="BH452" s="306">
        <f t="shared" si="370"/>
        <v>7.85</v>
      </c>
      <c r="BI452" s="306">
        <f t="shared" si="371"/>
        <v>10</v>
      </c>
      <c r="BJ452" s="306">
        <f t="shared" si="372"/>
        <v>-1.0749999999999993</v>
      </c>
      <c r="BK452" s="306">
        <f t="shared" si="343"/>
        <v>0</v>
      </c>
      <c r="BL452" s="304">
        <f t="shared" si="373"/>
        <v>0</v>
      </c>
      <c r="BM452" s="304">
        <f t="shared" si="374"/>
        <v>0</v>
      </c>
      <c r="BN452" s="304">
        <f t="shared" si="391"/>
        <v>0</v>
      </c>
      <c r="BO452" s="306">
        <f t="shared" si="392"/>
        <v>0</v>
      </c>
      <c r="BP452" s="306"/>
    </row>
    <row r="453" spans="1:68">
      <c r="A453" s="299">
        <f t="shared" si="345"/>
        <v>0</v>
      </c>
      <c r="B453" s="300">
        <f t="shared" si="346"/>
        <v>38418</v>
      </c>
      <c r="C453" s="301" t="e">
        <f t="shared" si="375"/>
        <v>#N/A</v>
      </c>
      <c r="D453" s="301" t="e">
        <f t="shared" si="347"/>
        <v>#N/A</v>
      </c>
      <c r="E453" s="299">
        <f t="shared" si="348"/>
        <v>432</v>
      </c>
      <c r="F453" s="396">
        <f>Weather!M437</f>
        <v>0</v>
      </c>
      <c r="G453" s="301">
        <f>IF(Weather!C437="","",Weather!C437)</f>
        <v>1.1273658974501801</v>
      </c>
      <c r="H453" s="301">
        <f>IF(Weather!D437="","",Weather!D437)</f>
        <v>1.5724939236484043</v>
      </c>
      <c r="I453" s="502">
        <f>IF(Weather!E437="","",Weather!E437)</f>
        <v>1.5724939236484043</v>
      </c>
      <c r="J453" s="397">
        <f>IF(RnSplint!N116&lt;0,0,RnSplint!N116)</f>
        <v>29.194560784064212</v>
      </c>
      <c r="K453" s="302">
        <f t="shared" si="376"/>
        <v>0</v>
      </c>
      <c r="L453" s="303">
        <f t="shared" si="377"/>
        <v>38418</v>
      </c>
      <c r="M453" s="346" t="str">
        <f t="shared" si="394"/>
        <v/>
      </c>
      <c r="N453" s="304">
        <f t="shared" si="378"/>
        <v>0</v>
      </c>
      <c r="O453" s="304">
        <f t="shared" si="379"/>
        <v>0</v>
      </c>
      <c r="P453" s="304">
        <f t="shared" si="349"/>
        <v>0</v>
      </c>
      <c r="Q453" s="304">
        <f t="shared" si="350"/>
        <v>1.2</v>
      </c>
      <c r="R453" s="304">
        <f t="shared" si="351"/>
        <v>1.2</v>
      </c>
      <c r="S453" s="305" t="e">
        <f t="shared" si="380"/>
        <v>#N/A</v>
      </c>
      <c r="T453" s="304">
        <f t="shared" si="352"/>
        <v>0</v>
      </c>
      <c r="U453" s="304">
        <f t="shared" si="390"/>
        <v>0</v>
      </c>
      <c r="V453" s="305" t="e">
        <f t="shared" si="353"/>
        <v>#N/A</v>
      </c>
      <c r="W453" s="305" t="e">
        <f t="shared" si="381"/>
        <v>#N/A</v>
      </c>
      <c r="X453" s="304">
        <f t="shared" si="382"/>
        <v>1.2</v>
      </c>
      <c r="Z453" s="304" t="str">
        <f t="shared" si="354"/>
        <v/>
      </c>
      <c r="AA453" s="305" t="e">
        <f t="shared" si="355"/>
        <v>#N/A</v>
      </c>
      <c r="AB453" s="304">
        <f t="shared" si="356"/>
        <v>1.8869927083780851</v>
      </c>
      <c r="AC453" s="304" t="str">
        <f t="shared" si="383"/>
        <v/>
      </c>
      <c r="AD453" s="306">
        <f t="shared" si="357"/>
        <v>0</v>
      </c>
      <c r="AE453" s="307">
        <f t="shared" si="384"/>
        <v>1.8869927083780851</v>
      </c>
      <c r="AF453" s="308" t="e">
        <f t="shared" si="393"/>
        <v>#N/A</v>
      </c>
      <c r="AG453" s="306">
        <f t="shared" si="385"/>
        <v>713.90834538826346</v>
      </c>
      <c r="AH453" s="306">
        <f t="shared" si="358"/>
        <v>0</v>
      </c>
      <c r="AI453" s="306">
        <f t="shared" si="386"/>
        <v>0</v>
      </c>
      <c r="AJ453" s="306">
        <f t="shared" si="387"/>
        <v>0</v>
      </c>
      <c r="AK453" s="306">
        <f t="shared" si="359"/>
        <v>0</v>
      </c>
      <c r="AL453" s="306">
        <f t="shared" si="388"/>
        <v>0</v>
      </c>
      <c r="AM453" s="306">
        <f t="shared" si="360"/>
        <v>0</v>
      </c>
      <c r="AN453" s="306"/>
      <c r="AO453" s="304" t="str">
        <f t="shared" si="361"/>
        <v/>
      </c>
      <c r="AP453" s="304" t="str">
        <f t="shared" si="389"/>
        <v/>
      </c>
      <c r="AQ453" s="305" t="e">
        <f t="shared" si="395"/>
        <v>#N/A</v>
      </c>
      <c r="AR453" s="304" t="str">
        <f t="shared" si="396"/>
        <v/>
      </c>
      <c r="AS453" s="306">
        <f t="shared" si="362"/>
        <v>0</v>
      </c>
      <c r="AT453" s="307" t="e">
        <f t="shared" si="397"/>
        <v>#N/A</v>
      </c>
      <c r="AU453" s="307" t="e">
        <f t="shared" si="398"/>
        <v>#N/A</v>
      </c>
      <c r="AV453" s="304">
        <f t="shared" si="344"/>
        <v>1.5724939236484043</v>
      </c>
      <c r="AW453" s="309">
        <f t="shared" si="363"/>
        <v>4.81917543810669</v>
      </c>
      <c r="AX453" s="306">
        <f>IF(ISERROR(Weather!M437),#N/A,Weather!M437)</f>
        <v>0</v>
      </c>
      <c r="AY453" s="310">
        <f t="shared" si="364"/>
        <v>4</v>
      </c>
      <c r="AZ453" s="309">
        <f t="shared" si="365"/>
        <v>1.2</v>
      </c>
      <c r="BA453" s="309">
        <f t="shared" si="366"/>
        <v>286.52011177816013</v>
      </c>
      <c r="BB453" s="311">
        <f>Irrig!H455</f>
        <v>0</v>
      </c>
      <c r="BC453" s="310">
        <f t="shared" si="367"/>
        <v>0</v>
      </c>
      <c r="BD453" s="309">
        <f t="shared" si="368"/>
        <v>0</v>
      </c>
      <c r="BE453" s="309">
        <f t="shared" si="369"/>
        <v>0</v>
      </c>
      <c r="BF453" s="306">
        <f>DailyMet!H437</f>
        <v>6.05</v>
      </c>
      <c r="BG453" s="306">
        <f>DailyMet!I437</f>
        <v>-0.8</v>
      </c>
      <c r="BH453" s="306">
        <f t="shared" si="370"/>
        <v>6.05</v>
      </c>
      <c r="BI453" s="306">
        <f t="shared" si="371"/>
        <v>10</v>
      </c>
      <c r="BJ453" s="306">
        <f t="shared" si="372"/>
        <v>-1.9749999999999996</v>
      </c>
      <c r="BK453" s="306">
        <f t="shared" si="343"/>
        <v>0</v>
      </c>
      <c r="BL453" s="304">
        <f t="shared" si="373"/>
        <v>0</v>
      </c>
      <c r="BM453" s="304">
        <f t="shared" si="374"/>
        <v>0</v>
      </c>
      <c r="BN453" s="304">
        <f t="shared" si="391"/>
        <v>0</v>
      </c>
      <c r="BO453" s="306">
        <f t="shared" si="392"/>
        <v>0</v>
      </c>
      <c r="BP453" s="306"/>
    </row>
    <row r="454" spans="1:68">
      <c r="A454" s="299">
        <f t="shared" si="345"/>
        <v>0</v>
      </c>
      <c r="B454" s="300">
        <f t="shared" si="346"/>
        <v>38419</v>
      </c>
      <c r="C454" s="301" t="e">
        <f t="shared" si="375"/>
        <v>#N/A</v>
      </c>
      <c r="D454" s="301" t="e">
        <f t="shared" si="347"/>
        <v>#N/A</v>
      </c>
      <c r="E454" s="299">
        <f t="shared" si="348"/>
        <v>433</v>
      </c>
      <c r="F454" s="396">
        <f>Weather!M438</f>
        <v>0</v>
      </c>
      <c r="G454" s="301">
        <f>IF(Weather!C438="","",Weather!C438)</f>
        <v>1.1566526872798768</v>
      </c>
      <c r="H454" s="301">
        <f>IF(Weather!D438="","",Weather!D438)</f>
        <v>1.0836619209021265</v>
      </c>
      <c r="I454" s="502">
        <f>IF(Weather!E438="","",Weather!E438)</f>
        <v>1.0836619209021265</v>
      </c>
      <c r="J454" s="397">
        <f>IF(RnSplint!N117&lt;0,0,RnSplint!N117)</f>
        <v>29.383101700015608</v>
      </c>
      <c r="K454" s="302">
        <f t="shared" si="376"/>
        <v>0</v>
      </c>
      <c r="L454" s="303">
        <f t="shared" si="377"/>
        <v>38419</v>
      </c>
      <c r="M454" s="346" t="str">
        <f t="shared" si="394"/>
        <v/>
      </c>
      <c r="N454" s="304">
        <f t="shared" si="378"/>
        <v>0</v>
      </c>
      <c r="O454" s="304">
        <f t="shared" si="379"/>
        <v>0</v>
      </c>
      <c r="P454" s="304">
        <f t="shared" si="349"/>
        <v>0</v>
      </c>
      <c r="Q454" s="304">
        <f t="shared" si="350"/>
        <v>1.0901822956880152</v>
      </c>
      <c r="R454" s="304">
        <f t="shared" si="351"/>
        <v>1.0901822956880152</v>
      </c>
      <c r="S454" s="305" t="e">
        <f t="shared" si="380"/>
        <v>#N/A</v>
      </c>
      <c r="T454" s="304">
        <f t="shared" si="352"/>
        <v>0</v>
      </c>
      <c r="U454" s="304">
        <f t="shared" si="390"/>
        <v>0</v>
      </c>
      <c r="V454" s="305" t="e">
        <f t="shared" si="353"/>
        <v>#N/A</v>
      </c>
      <c r="W454" s="305" t="e">
        <f t="shared" si="381"/>
        <v>#N/A</v>
      </c>
      <c r="X454" s="304">
        <f t="shared" si="382"/>
        <v>1.0901822956880152</v>
      </c>
      <c r="Z454" s="304" t="str">
        <f t="shared" si="354"/>
        <v/>
      </c>
      <c r="AA454" s="305" t="e">
        <f t="shared" si="355"/>
        <v>#N/A</v>
      </c>
      <c r="AB454" s="304">
        <f t="shared" si="356"/>
        <v>1.1813890406787646</v>
      </c>
      <c r="AC454" s="304" t="str">
        <f t="shared" si="383"/>
        <v/>
      </c>
      <c r="AD454" s="306">
        <f t="shared" si="357"/>
        <v>0</v>
      </c>
      <c r="AE454" s="307">
        <f t="shared" si="384"/>
        <v>1.1813890406787646</v>
      </c>
      <c r="AF454" s="308" t="e">
        <f t="shared" si="393"/>
        <v>#N/A</v>
      </c>
      <c r="AG454" s="306">
        <f t="shared" si="385"/>
        <v>714.99200730916561</v>
      </c>
      <c r="AH454" s="306">
        <f t="shared" si="358"/>
        <v>0</v>
      </c>
      <c r="AI454" s="306">
        <f t="shared" si="386"/>
        <v>0</v>
      </c>
      <c r="AJ454" s="306">
        <f t="shared" si="387"/>
        <v>0</v>
      </c>
      <c r="AK454" s="306">
        <f t="shared" si="359"/>
        <v>0</v>
      </c>
      <c r="AL454" s="306">
        <f t="shared" si="388"/>
        <v>0</v>
      </c>
      <c r="AM454" s="306">
        <f t="shared" si="360"/>
        <v>0</v>
      </c>
      <c r="AN454" s="306"/>
      <c r="AO454" s="304" t="str">
        <f t="shared" si="361"/>
        <v/>
      </c>
      <c r="AP454" s="304" t="str">
        <f t="shared" si="389"/>
        <v/>
      </c>
      <c r="AQ454" s="305" t="e">
        <f t="shared" si="395"/>
        <v>#N/A</v>
      </c>
      <c r="AR454" s="304" t="str">
        <f t="shared" si="396"/>
        <v/>
      </c>
      <c r="AS454" s="306">
        <f t="shared" si="362"/>
        <v>0</v>
      </c>
      <c r="AT454" s="307" t="e">
        <f t="shared" si="397"/>
        <v>#N/A</v>
      </c>
      <c r="AU454" s="307" t="e">
        <f t="shared" si="398"/>
        <v>#N/A</v>
      </c>
      <c r="AV454" s="304">
        <f t="shared" si="344"/>
        <v>1.0836619209021265</v>
      </c>
      <c r="AW454" s="309">
        <f t="shared" si="363"/>
        <v>5.9028373590088163</v>
      </c>
      <c r="AX454" s="306">
        <f>IF(ISERROR(Weather!M438),#N/A,Weather!M438)</f>
        <v>0</v>
      </c>
      <c r="AY454" s="310">
        <f t="shared" si="364"/>
        <v>5</v>
      </c>
      <c r="AZ454" s="309">
        <f t="shared" si="365"/>
        <v>1.0901822956880152</v>
      </c>
      <c r="BA454" s="309">
        <f t="shared" si="366"/>
        <v>287.60377369906223</v>
      </c>
      <c r="BB454" s="311">
        <f>Irrig!H456</f>
        <v>0</v>
      </c>
      <c r="BC454" s="310">
        <f t="shared" si="367"/>
        <v>0</v>
      </c>
      <c r="BD454" s="309">
        <f t="shared" si="368"/>
        <v>0</v>
      </c>
      <c r="BE454" s="309">
        <f t="shared" si="369"/>
        <v>0</v>
      </c>
      <c r="BF454" s="306">
        <f>DailyMet!H438</f>
        <v>6.23</v>
      </c>
      <c r="BG454" s="306">
        <f>DailyMet!I438</f>
        <v>-0.4</v>
      </c>
      <c r="BH454" s="306">
        <f t="shared" si="370"/>
        <v>6.23</v>
      </c>
      <c r="BI454" s="306">
        <f t="shared" si="371"/>
        <v>10</v>
      </c>
      <c r="BJ454" s="306">
        <f t="shared" si="372"/>
        <v>-1.8849999999999998</v>
      </c>
      <c r="BK454" s="306">
        <f t="shared" si="343"/>
        <v>0</v>
      </c>
      <c r="BL454" s="304">
        <f t="shared" si="373"/>
        <v>0</v>
      </c>
      <c r="BM454" s="304">
        <f t="shared" si="374"/>
        <v>0</v>
      </c>
      <c r="BN454" s="304">
        <f t="shared" si="391"/>
        <v>0</v>
      </c>
      <c r="BO454" s="306">
        <f t="shared" si="392"/>
        <v>0</v>
      </c>
      <c r="BP454" s="306"/>
    </row>
    <row r="455" spans="1:68">
      <c r="A455" s="299">
        <f t="shared" si="345"/>
        <v>0</v>
      </c>
      <c r="B455" s="300">
        <f t="shared" si="346"/>
        <v>38420</v>
      </c>
      <c r="C455" s="301" t="e">
        <f t="shared" si="375"/>
        <v>#N/A</v>
      </c>
      <c r="D455" s="301" t="e">
        <f t="shared" si="347"/>
        <v>#N/A</v>
      </c>
      <c r="E455" s="299">
        <f t="shared" si="348"/>
        <v>434</v>
      </c>
      <c r="F455" s="396">
        <f>Weather!M439</f>
        <v>0.4</v>
      </c>
      <c r="G455" s="301">
        <f>IF(Weather!C439="","",Weather!C439)</f>
        <v>1.1846395591243248</v>
      </c>
      <c r="H455" s="301">
        <f>IF(Weather!D439="","",Weather!D439)</f>
        <v>1.1424230304692966</v>
      </c>
      <c r="I455" s="502">
        <f>IF(Weather!E439="","",Weather!E439)</f>
        <v>1.1424230304692966</v>
      </c>
      <c r="J455" s="397">
        <f>IF(RnSplint!N118&lt;0,0,RnSplint!N118)</f>
        <v>29.576747501271846</v>
      </c>
      <c r="K455" s="302">
        <f t="shared" si="376"/>
        <v>0</v>
      </c>
      <c r="L455" s="303">
        <f t="shared" si="377"/>
        <v>38420</v>
      </c>
      <c r="M455" s="346" t="str">
        <f t="shared" si="394"/>
        <v/>
      </c>
      <c r="N455" s="304">
        <f t="shared" si="378"/>
        <v>0</v>
      </c>
      <c r="O455" s="304">
        <f t="shared" si="379"/>
        <v>0</v>
      </c>
      <c r="P455" s="304">
        <f t="shared" si="349"/>
        <v>0</v>
      </c>
      <c r="Q455" s="304">
        <f t="shared" si="350"/>
        <v>0.99506540894290429</v>
      </c>
      <c r="R455" s="304">
        <f t="shared" si="351"/>
        <v>0.99506540894290429</v>
      </c>
      <c r="S455" s="305" t="e">
        <f t="shared" si="380"/>
        <v>#N/A</v>
      </c>
      <c r="T455" s="304">
        <f t="shared" si="352"/>
        <v>0</v>
      </c>
      <c r="U455" s="304">
        <f t="shared" si="390"/>
        <v>0</v>
      </c>
      <c r="V455" s="305" t="e">
        <f t="shared" si="353"/>
        <v>#N/A</v>
      </c>
      <c r="W455" s="305" t="e">
        <f t="shared" si="381"/>
        <v>#N/A</v>
      </c>
      <c r="X455" s="304">
        <f t="shared" si="382"/>
        <v>0.99506540894290429</v>
      </c>
      <c r="Z455" s="304" t="str">
        <f t="shared" si="354"/>
        <v/>
      </c>
      <c r="AA455" s="305" t="e">
        <f t="shared" si="355"/>
        <v>#N/A</v>
      </c>
      <c r="AB455" s="304">
        <f t="shared" si="356"/>
        <v>1.1367856399997227</v>
      </c>
      <c r="AC455" s="304" t="str">
        <f t="shared" si="383"/>
        <v/>
      </c>
      <c r="AD455" s="306">
        <f t="shared" si="357"/>
        <v>0</v>
      </c>
      <c r="AE455" s="307">
        <f t="shared" si="384"/>
        <v>1.1367856399997227</v>
      </c>
      <c r="AF455" s="308" t="e">
        <f t="shared" si="393"/>
        <v>#N/A</v>
      </c>
      <c r="AG455" s="306">
        <f t="shared" si="385"/>
        <v>716.13443033963495</v>
      </c>
      <c r="AH455" s="306">
        <f t="shared" si="358"/>
        <v>0</v>
      </c>
      <c r="AI455" s="306">
        <f t="shared" si="386"/>
        <v>0</v>
      </c>
      <c r="AJ455" s="306">
        <f t="shared" si="387"/>
        <v>0</v>
      </c>
      <c r="AK455" s="306">
        <f t="shared" si="359"/>
        <v>0</v>
      </c>
      <c r="AL455" s="306">
        <f t="shared" si="388"/>
        <v>0</v>
      </c>
      <c r="AM455" s="306">
        <f t="shared" si="360"/>
        <v>0</v>
      </c>
      <c r="AN455" s="306"/>
      <c r="AO455" s="304" t="str">
        <f t="shared" si="361"/>
        <v/>
      </c>
      <c r="AP455" s="304" t="str">
        <f t="shared" si="389"/>
        <v/>
      </c>
      <c r="AQ455" s="305" t="e">
        <f t="shared" si="395"/>
        <v>#N/A</v>
      </c>
      <c r="AR455" s="304" t="str">
        <f t="shared" si="396"/>
        <v/>
      </c>
      <c r="AS455" s="306">
        <f t="shared" si="362"/>
        <v>0</v>
      </c>
      <c r="AT455" s="307" t="e">
        <f t="shared" si="397"/>
        <v>#N/A</v>
      </c>
      <c r="AU455" s="307" t="e">
        <f t="shared" si="398"/>
        <v>#N/A</v>
      </c>
      <c r="AV455" s="304">
        <f t="shared" si="344"/>
        <v>1.1424230304692966</v>
      </c>
      <c r="AW455" s="309">
        <f t="shared" si="363"/>
        <v>7.0452603894781127</v>
      </c>
      <c r="AX455" s="306">
        <f>IF(ISERROR(Weather!M439),#N/A,Weather!M439)</f>
        <v>0.4</v>
      </c>
      <c r="AY455" s="310">
        <f t="shared" si="364"/>
        <v>6</v>
      </c>
      <c r="AZ455" s="309">
        <f t="shared" si="365"/>
        <v>0.99506540894290429</v>
      </c>
      <c r="BA455" s="309">
        <f t="shared" si="366"/>
        <v>288.7461967295315</v>
      </c>
      <c r="BB455" s="311">
        <f>Irrig!H457</f>
        <v>0</v>
      </c>
      <c r="BC455" s="310">
        <f t="shared" si="367"/>
        <v>0</v>
      </c>
      <c r="BD455" s="309">
        <f t="shared" si="368"/>
        <v>0</v>
      </c>
      <c r="BE455" s="309">
        <f t="shared" si="369"/>
        <v>0</v>
      </c>
      <c r="BF455" s="306">
        <f>DailyMet!H439</f>
        <v>7.98</v>
      </c>
      <c r="BG455" s="306">
        <f>DailyMet!I439</f>
        <v>-0.2</v>
      </c>
      <c r="BH455" s="306">
        <f t="shared" si="370"/>
        <v>7.98</v>
      </c>
      <c r="BI455" s="306">
        <f t="shared" si="371"/>
        <v>10</v>
      </c>
      <c r="BJ455" s="306">
        <f t="shared" si="372"/>
        <v>-1.0099999999999998</v>
      </c>
      <c r="BK455" s="306">
        <f t="shared" si="343"/>
        <v>0</v>
      </c>
      <c r="BL455" s="304">
        <f t="shared" si="373"/>
        <v>0</v>
      </c>
      <c r="BM455" s="304">
        <f t="shared" si="374"/>
        <v>0</v>
      </c>
      <c r="BN455" s="304">
        <f t="shared" si="391"/>
        <v>0</v>
      </c>
      <c r="BO455" s="306">
        <f t="shared" si="392"/>
        <v>0</v>
      </c>
      <c r="BP455" s="306"/>
    </row>
    <row r="456" spans="1:68">
      <c r="A456" s="299">
        <f t="shared" si="345"/>
        <v>0</v>
      </c>
      <c r="B456" s="300">
        <f t="shared" si="346"/>
        <v>38421</v>
      </c>
      <c r="C456" s="301" t="e">
        <f t="shared" si="375"/>
        <v>#N/A</v>
      </c>
      <c r="D456" s="301" t="e">
        <f t="shared" si="347"/>
        <v>#N/A</v>
      </c>
      <c r="E456" s="299">
        <f t="shared" si="348"/>
        <v>435</v>
      </c>
      <c r="F456" s="396">
        <f>Weather!M440</f>
        <v>0</v>
      </c>
      <c r="G456" s="301">
        <f>IF(Weather!C440="","",Weather!C440)</f>
        <v>1.211181809477142</v>
      </c>
      <c r="H456" s="301">
        <f>IF(Weather!D440="","",Weather!D440)</f>
        <v>1.3410329982487244</v>
      </c>
      <c r="I456" s="502">
        <f>IF(Weather!E440="","",Weather!E440)</f>
        <v>1.3410329982487244</v>
      </c>
      <c r="J456" s="397">
        <f>IF(RnSplint!N119&lt;0,0,RnSplint!N119)</f>
        <v>29.774602891420997</v>
      </c>
      <c r="K456" s="302">
        <f t="shared" si="376"/>
        <v>0</v>
      </c>
      <c r="L456" s="303">
        <f t="shared" si="377"/>
        <v>38421</v>
      </c>
      <c r="M456" s="346" t="str">
        <f t="shared" si="394"/>
        <v/>
      </c>
      <c r="N456" s="304">
        <f t="shared" si="378"/>
        <v>0</v>
      </c>
      <c r="O456" s="304">
        <f t="shared" si="379"/>
        <v>0</v>
      </c>
      <c r="P456" s="304">
        <f t="shared" si="349"/>
        <v>0</v>
      </c>
      <c r="Q456" s="304">
        <f t="shared" si="350"/>
        <v>0.90950346904360713</v>
      </c>
      <c r="R456" s="304">
        <f t="shared" si="351"/>
        <v>0.90950346904360713</v>
      </c>
      <c r="S456" s="305" t="e">
        <f t="shared" si="380"/>
        <v>#N/A</v>
      </c>
      <c r="T456" s="304">
        <f t="shared" si="352"/>
        <v>0</v>
      </c>
      <c r="U456" s="304">
        <f t="shared" si="390"/>
        <v>0</v>
      </c>
      <c r="V456" s="305" t="e">
        <f t="shared" si="353"/>
        <v>#N/A</v>
      </c>
      <c r="W456" s="305" t="e">
        <f t="shared" si="381"/>
        <v>#N/A</v>
      </c>
      <c r="X456" s="304">
        <f t="shared" si="382"/>
        <v>0.90950346904360713</v>
      </c>
      <c r="Z456" s="304" t="str">
        <f t="shared" si="354"/>
        <v/>
      </c>
      <c r="AA456" s="305" t="e">
        <f t="shared" si="355"/>
        <v>#N/A</v>
      </c>
      <c r="AB456" s="304">
        <f t="shared" si="356"/>
        <v>1.2196741640091644</v>
      </c>
      <c r="AC456" s="304" t="str">
        <f t="shared" si="383"/>
        <v/>
      </c>
      <c r="AD456" s="306">
        <f t="shared" si="357"/>
        <v>0</v>
      </c>
      <c r="AE456" s="307">
        <f t="shared" si="384"/>
        <v>1.2196741640091644</v>
      </c>
      <c r="AF456" s="308" t="e">
        <f t="shared" si="393"/>
        <v>#N/A</v>
      </c>
      <c r="AG456" s="306">
        <f t="shared" si="385"/>
        <v>717.47546333788364</v>
      </c>
      <c r="AH456" s="306">
        <f t="shared" si="358"/>
        <v>0</v>
      </c>
      <c r="AI456" s="306">
        <f t="shared" si="386"/>
        <v>0</v>
      </c>
      <c r="AJ456" s="306">
        <f t="shared" si="387"/>
        <v>0</v>
      </c>
      <c r="AK456" s="306">
        <f t="shared" si="359"/>
        <v>0</v>
      </c>
      <c r="AL456" s="306">
        <f t="shared" si="388"/>
        <v>0</v>
      </c>
      <c r="AM456" s="306">
        <f t="shared" si="360"/>
        <v>0</v>
      </c>
      <c r="AN456" s="306"/>
      <c r="AO456" s="304" t="str">
        <f t="shared" si="361"/>
        <v/>
      </c>
      <c r="AP456" s="304" t="str">
        <f t="shared" si="389"/>
        <v/>
      </c>
      <c r="AQ456" s="305" t="e">
        <f t="shared" si="395"/>
        <v>#N/A</v>
      </c>
      <c r="AR456" s="304" t="str">
        <f t="shared" si="396"/>
        <v/>
      </c>
      <c r="AS456" s="306">
        <f t="shared" si="362"/>
        <v>0</v>
      </c>
      <c r="AT456" s="307" t="e">
        <f t="shared" si="397"/>
        <v>#N/A</v>
      </c>
      <c r="AU456" s="307" t="e">
        <f t="shared" si="398"/>
        <v>#N/A</v>
      </c>
      <c r="AV456" s="304">
        <f t="shared" si="344"/>
        <v>1.3410329982487244</v>
      </c>
      <c r="AW456" s="309">
        <f t="shared" si="363"/>
        <v>8.3862933877268375</v>
      </c>
      <c r="AX456" s="306">
        <f>IF(ISERROR(Weather!M440),#N/A,Weather!M440)</f>
        <v>0</v>
      </c>
      <c r="AY456" s="310">
        <f t="shared" si="364"/>
        <v>7</v>
      </c>
      <c r="AZ456" s="309">
        <f t="shared" si="365"/>
        <v>0.90950346904360713</v>
      </c>
      <c r="BA456" s="309">
        <f t="shared" si="366"/>
        <v>290.08722972778025</v>
      </c>
      <c r="BB456" s="311">
        <f>Irrig!H458</f>
        <v>0</v>
      </c>
      <c r="BC456" s="310">
        <f t="shared" si="367"/>
        <v>0</v>
      </c>
      <c r="BD456" s="309">
        <f t="shared" si="368"/>
        <v>0</v>
      </c>
      <c r="BE456" s="309">
        <f t="shared" si="369"/>
        <v>0</v>
      </c>
      <c r="BF456" s="306">
        <f>DailyMet!H440</f>
        <v>6.14</v>
      </c>
      <c r="BG456" s="306">
        <f>DailyMet!I440</f>
        <v>-1.7</v>
      </c>
      <c r="BH456" s="306">
        <f t="shared" si="370"/>
        <v>6.14</v>
      </c>
      <c r="BI456" s="306">
        <f t="shared" si="371"/>
        <v>10</v>
      </c>
      <c r="BJ456" s="306">
        <f t="shared" si="372"/>
        <v>-1.9299999999999997</v>
      </c>
      <c r="BK456" s="306">
        <f t="shared" ref="BK456:BK519" si="399">IF(AP456="",0,BK455+BJ456)</f>
        <v>0</v>
      </c>
      <c r="BL456" s="304">
        <f t="shared" si="373"/>
        <v>0</v>
      </c>
      <c r="BM456" s="304">
        <f t="shared" si="374"/>
        <v>0</v>
      </c>
      <c r="BN456" s="304">
        <f t="shared" si="391"/>
        <v>0</v>
      </c>
      <c r="BO456" s="306">
        <f t="shared" si="392"/>
        <v>0</v>
      </c>
      <c r="BP456" s="306"/>
    </row>
    <row r="457" spans="1:68">
      <c r="A457" s="299">
        <f t="shared" si="345"/>
        <v>0</v>
      </c>
      <c r="B457" s="300">
        <f t="shared" si="346"/>
        <v>38422</v>
      </c>
      <c r="C457" s="301" t="e">
        <f t="shared" si="375"/>
        <v>#N/A</v>
      </c>
      <c r="D457" s="301" t="e">
        <f t="shared" si="347"/>
        <v>#N/A</v>
      </c>
      <c r="E457" s="299">
        <f t="shared" si="348"/>
        <v>436</v>
      </c>
      <c r="F457" s="396">
        <f>Weather!M441</f>
        <v>0</v>
      </c>
      <c r="G457" s="301">
        <f>IF(Weather!C441="","",Weather!C441)</f>
        <v>1.2361347348319465</v>
      </c>
      <c r="H457" s="301">
        <f>IF(Weather!D441="","",Weather!D441)</f>
        <v>1.1150450964331124</v>
      </c>
      <c r="I457" s="502">
        <f>IF(Weather!E441="","",Weather!E441)</f>
        <v>1.1150450964331124</v>
      </c>
      <c r="J457" s="397">
        <f>IF(RnSplint!N120&lt;0,0,RnSplint!N120)</f>
        <v>29.975772574051149</v>
      </c>
      <c r="K457" s="302">
        <f t="shared" si="376"/>
        <v>0</v>
      </c>
      <c r="L457" s="303">
        <f t="shared" si="377"/>
        <v>38422</v>
      </c>
      <c r="M457" s="346" t="str">
        <f t="shared" si="394"/>
        <v/>
      </c>
      <c r="N457" s="304">
        <f t="shared" si="378"/>
        <v>0</v>
      </c>
      <c r="O457" s="304">
        <f t="shared" si="379"/>
        <v>0</v>
      </c>
      <c r="P457" s="304">
        <f t="shared" si="349"/>
        <v>0</v>
      </c>
      <c r="Q457" s="304">
        <f t="shared" si="350"/>
        <v>0.85276536841163264</v>
      </c>
      <c r="R457" s="304">
        <f t="shared" si="351"/>
        <v>0.85276536841163264</v>
      </c>
      <c r="S457" s="305" t="e">
        <f t="shared" si="380"/>
        <v>#N/A</v>
      </c>
      <c r="T457" s="304">
        <f t="shared" si="352"/>
        <v>0</v>
      </c>
      <c r="U457" s="304">
        <f t="shared" si="390"/>
        <v>0</v>
      </c>
      <c r="V457" s="305" t="e">
        <f t="shared" si="353"/>
        <v>#N/A</v>
      </c>
      <c r="W457" s="305" t="e">
        <f t="shared" si="381"/>
        <v>#N/A</v>
      </c>
      <c r="X457" s="304">
        <f t="shared" si="382"/>
        <v>0.85276536841163264</v>
      </c>
      <c r="Z457" s="304" t="str">
        <f t="shared" si="354"/>
        <v/>
      </c>
      <c r="AA457" s="305" t="e">
        <f t="shared" si="355"/>
        <v>#N/A</v>
      </c>
      <c r="AB457" s="304">
        <f t="shared" si="356"/>
        <v>0.9508718424553676</v>
      </c>
      <c r="AC457" s="304" t="str">
        <f t="shared" si="383"/>
        <v/>
      </c>
      <c r="AD457" s="306">
        <f t="shared" si="357"/>
        <v>0</v>
      </c>
      <c r="AE457" s="307">
        <f t="shared" si="384"/>
        <v>0.9508718424553676</v>
      </c>
      <c r="AF457" s="308" t="e">
        <f t="shared" si="393"/>
        <v>#N/A</v>
      </c>
      <c r="AG457" s="306">
        <f t="shared" si="385"/>
        <v>718.5905084343168</v>
      </c>
      <c r="AH457" s="306">
        <f t="shared" si="358"/>
        <v>0</v>
      </c>
      <c r="AI457" s="306">
        <f t="shared" si="386"/>
        <v>0</v>
      </c>
      <c r="AJ457" s="306">
        <f t="shared" si="387"/>
        <v>0</v>
      </c>
      <c r="AK457" s="306">
        <f t="shared" si="359"/>
        <v>0</v>
      </c>
      <c r="AL457" s="306">
        <f t="shared" si="388"/>
        <v>0</v>
      </c>
      <c r="AM457" s="306">
        <f t="shared" si="360"/>
        <v>0</v>
      </c>
      <c r="AN457" s="306"/>
      <c r="AO457" s="304" t="str">
        <f t="shared" si="361"/>
        <v/>
      </c>
      <c r="AP457" s="304" t="str">
        <f t="shared" si="389"/>
        <v/>
      </c>
      <c r="AQ457" s="305" t="e">
        <f t="shared" si="395"/>
        <v>#N/A</v>
      </c>
      <c r="AR457" s="304" t="str">
        <f t="shared" si="396"/>
        <v/>
      </c>
      <c r="AS457" s="306">
        <f t="shared" si="362"/>
        <v>0</v>
      </c>
      <c r="AT457" s="307" t="e">
        <f t="shared" si="397"/>
        <v>#N/A</v>
      </c>
      <c r="AU457" s="307" t="e">
        <f t="shared" si="398"/>
        <v>#N/A</v>
      </c>
      <c r="AV457" s="304">
        <f t="shared" si="344"/>
        <v>1.1150450964331124</v>
      </c>
      <c r="AW457" s="309">
        <f t="shared" si="363"/>
        <v>9.50133848415995</v>
      </c>
      <c r="AX457" s="306">
        <f>IF(ISERROR(Weather!M441),#N/A,Weather!M441)</f>
        <v>0</v>
      </c>
      <c r="AY457" s="310">
        <f t="shared" si="364"/>
        <v>8</v>
      </c>
      <c r="AZ457" s="309">
        <f t="shared" si="365"/>
        <v>0.85276536841163264</v>
      </c>
      <c r="BA457" s="309">
        <f t="shared" si="366"/>
        <v>291.20227482421336</v>
      </c>
      <c r="BB457" s="311">
        <f>Irrig!H459</f>
        <v>0</v>
      </c>
      <c r="BC457" s="310">
        <f t="shared" si="367"/>
        <v>0</v>
      </c>
      <c r="BD457" s="309">
        <f t="shared" si="368"/>
        <v>0</v>
      </c>
      <c r="BE457" s="309">
        <f t="shared" si="369"/>
        <v>0</v>
      </c>
      <c r="BF457" s="306">
        <f>DailyMet!H441</f>
        <v>8.26</v>
      </c>
      <c r="BG457" s="306">
        <f>DailyMet!I441</f>
        <v>0</v>
      </c>
      <c r="BH457" s="306">
        <f t="shared" si="370"/>
        <v>8.26</v>
      </c>
      <c r="BI457" s="306">
        <f t="shared" si="371"/>
        <v>10</v>
      </c>
      <c r="BJ457" s="306">
        <f t="shared" si="372"/>
        <v>-0.87000000000000099</v>
      </c>
      <c r="BK457" s="306">
        <f t="shared" si="399"/>
        <v>0</v>
      </c>
      <c r="BL457" s="304">
        <f t="shared" si="373"/>
        <v>0</v>
      </c>
      <c r="BM457" s="304">
        <f t="shared" si="374"/>
        <v>0</v>
      </c>
      <c r="BN457" s="304">
        <f t="shared" si="391"/>
        <v>0</v>
      </c>
      <c r="BO457" s="306">
        <f t="shared" si="392"/>
        <v>0</v>
      </c>
      <c r="BP457" s="306"/>
    </row>
    <row r="458" spans="1:68">
      <c r="A458" s="299">
        <f t="shared" si="345"/>
        <v>0</v>
      </c>
      <c r="B458" s="300">
        <f t="shared" si="346"/>
        <v>38423</v>
      </c>
      <c r="C458" s="301" t="e">
        <f t="shared" si="375"/>
        <v>#N/A</v>
      </c>
      <c r="D458" s="301" t="e">
        <f t="shared" si="347"/>
        <v>#N/A</v>
      </c>
      <c r="E458" s="299">
        <f t="shared" si="348"/>
        <v>437</v>
      </c>
      <c r="F458" s="396">
        <f>Weather!M442</f>
        <v>0</v>
      </c>
      <c r="G458" s="301">
        <f>IF(Weather!C442="","",Weather!C442)</f>
        <v>1.2593536316823561</v>
      </c>
      <c r="H458" s="301">
        <f>IF(Weather!D442="","",Weather!D442)</f>
        <v>1.6884894294026032</v>
      </c>
      <c r="I458" s="502">
        <f>IF(Weather!E442="","",Weather!E442)</f>
        <v>1.6884894294026032</v>
      </c>
      <c r="J458" s="397">
        <f>IF(RnSplint!N121&lt;0,0,RnSplint!N121)</f>
        <v>30.179361252750393</v>
      </c>
      <c r="K458" s="302">
        <f t="shared" si="376"/>
        <v>0</v>
      </c>
      <c r="L458" s="303">
        <f t="shared" si="377"/>
        <v>38423</v>
      </c>
      <c r="M458" s="346" t="str">
        <f t="shared" si="394"/>
        <v/>
      </c>
      <c r="N458" s="304">
        <f t="shared" si="378"/>
        <v>0</v>
      </c>
      <c r="O458" s="304">
        <f t="shared" si="379"/>
        <v>0</v>
      </c>
      <c r="P458" s="304">
        <f t="shared" si="349"/>
        <v>0</v>
      </c>
      <c r="Q458" s="304">
        <f t="shared" si="350"/>
        <v>0.78374291575125643</v>
      </c>
      <c r="R458" s="304">
        <f t="shared" si="351"/>
        <v>0.78374291575125643</v>
      </c>
      <c r="S458" s="305" t="e">
        <f t="shared" si="380"/>
        <v>#N/A</v>
      </c>
      <c r="T458" s="304">
        <f t="shared" si="352"/>
        <v>0</v>
      </c>
      <c r="U458" s="304">
        <f t="shared" si="390"/>
        <v>0</v>
      </c>
      <c r="V458" s="305" t="e">
        <f t="shared" si="353"/>
        <v>#N/A</v>
      </c>
      <c r="W458" s="305" t="e">
        <f t="shared" si="381"/>
        <v>#N/A</v>
      </c>
      <c r="X458" s="304">
        <f t="shared" si="382"/>
        <v>0.78374291575125643</v>
      </c>
      <c r="Z458" s="304" t="str">
        <f t="shared" si="354"/>
        <v/>
      </c>
      <c r="AA458" s="305" t="e">
        <f t="shared" si="355"/>
        <v>#N/A</v>
      </c>
      <c r="AB458" s="304">
        <f t="shared" si="356"/>
        <v>1.3233416286151714</v>
      </c>
      <c r="AC458" s="304" t="str">
        <f t="shared" si="383"/>
        <v/>
      </c>
      <c r="AD458" s="306">
        <f t="shared" si="357"/>
        <v>0</v>
      </c>
      <c r="AE458" s="307">
        <f t="shared" si="384"/>
        <v>1.3233416286151714</v>
      </c>
      <c r="AF458" s="308" t="e">
        <f t="shared" si="393"/>
        <v>#N/A</v>
      </c>
      <c r="AG458" s="306">
        <f t="shared" si="385"/>
        <v>720.27899786371938</v>
      </c>
      <c r="AH458" s="306">
        <f t="shared" si="358"/>
        <v>0</v>
      </c>
      <c r="AI458" s="306">
        <f t="shared" si="386"/>
        <v>0</v>
      </c>
      <c r="AJ458" s="306">
        <f t="shared" si="387"/>
        <v>0</v>
      </c>
      <c r="AK458" s="306">
        <f t="shared" si="359"/>
        <v>0</v>
      </c>
      <c r="AL458" s="306">
        <f t="shared" si="388"/>
        <v>0</v>
      </c>
      <c r="AM458" s="306">
        <f t="shared" si="360"/>
        <v>0</v>
      </c>
      <c r="AN458" s="306"/>
      <c r="AO458" s="304" t="str">
        <f t="shared" si="361"/>
        <v/>
      </c>
      <c r="AP458" s="304" t="str">
        <f t="shared" si="389"/>
        <v/>
      </c>
      <c r="AQ458" s="305" t="e">
        <f t="shared" si="395"/>
        <v>#N/A</v>
      </c>
      <c r="AR458" s="304" t="str">
        <f t="shared" si="396"/>
        <v/>
      </c>
      <c r="AS458" s="306">
        <f t="shared" si="362"/>
        <v>0</v>
      </c>
      <c r="AT458" s="307" t="e">
        <f t="shared" si="397"/>
        <v>#N/A</v>
      </c>
      <c r="AU458" s="307" t="e">
        <f t="shared" si="398"/>
        <v>#N/A</v>
      </c>
      <c r="AV458" s="304">
        <f t="shared" si="344"/>
        <v>1.6884894294026032</v>
      </c>
      <c r="AW458" s="309">
        <f t="shared" si="363"/>
        <v>11.189827913562553</v>
      </c>
      <c r="AX458" s="306">
        <f>IF(ISERROR(Weather!M442),#N/A,Weather!M442)</f>
        <v>0</v>
      </c>
      <c r="AY458" s="310">
        <f t="shared" si="364"/>
        <v>9</v>
      </c>
      <c r="AZ458" s="309">
        <f t="shared" si="365"/>
        <v>0.78374291575125643</v>
      </c>
      <c r="BA458" s="309">
        <f t="shared" si="366"/>
        <v>292.89076425361594</v>
      </c>
      <c r="BB458" s="311">
        <f>Irrig!H460</f>
        <v>0</v>
      </c>
      <c r="BC458" s="310">
        <f t="shared" si="367"/>
        <v>0</v>
      </c>
      <c r="BD458" s="309">
        <f t="shared" si="368"/>
        <v>0</v>
      </c>
      <c r="BE458" s="309">
        <f t="shared" si="369"/>
        <v>0</v>
      </c>
      <c r="BF458" s="306">
        <f>DailyMet!H442</f>
        <v>9.66</v>
      </c>
      <c r="BG458" s="306">
        <f>DailyMet!I442</f>
        <v>-1.2</v>
      </c>
      <c r="BH458" s="306">
        <f t="shared" si="370"/>
        <v>9.66</v>
      </c>
      <c r="BI458" s="306">
        <f t="shared" si="371"/>
        <v>10</v>
      </c>
      <c r="BJ458" s="306">
        <f t="shared" si="372"/>
        <v>-0.16999999999999993</v>
      </c>
      <c r="BK458" s="306">
        <f t="shared" si="399"/>
        <v>0</v>
      </c>
      <c r="BL458" s="304">
        <f t="shared" si="373"/>
        <v>0</v>
      </c>
      <c r="BM458" s="304">
        <f t="shared" si="374"/>
        <v>0</v>
      </c>
      <c r="BN458" s="304">
        <f t="shared" si="391"/>
        <v>0</v>
      </c>
      <c r="BO458" s="306">
        <f t="shared" si="392"/>
        <v>0</v>
      </c>
      <c r="BP458" s="306"/>
    </row>
    <row r="459" spans="1:68">
      <c r="A459" s="299">
        <f t="shared" si="345"/>
        <v>0</v>
      </c>
      <c r="B459" s="300">
        <f t="shared" si="346"/>
        <v>38424</v>
      </c>
      <c r="C459" s="301" t="e">
        <f t="shared" si="375"/>
        <v>#N/A</v>
      </c>
      <c r="D459" s="301" t="e">
        <f t="shared" si="347"/>
        <v>#N/A</v>
      </c>
      <c r="E459" s="299">
        <f t="shared" si="348"/>
        <v>438</v>
      </c>
      <c r="F459" s="396">
        <f>Weather!M443</f>
        <v>1.2</v>
      </c>
      <c r="G459" s="301">
        <f>IF(Weather!C443="","",Weather!C443)</f>
        <v>1.2806937965219891</v>
      </c>
      <c r="H459" s="301">
        <f>IF(Weather!D443="","",Weather!D443)</f>
        <v>1.5557057936289045</v>
      </c>
      <c r="I459" s="502">
        <f>IF(Weather!E443="","",Weather!E443)</f>
        <v>1.5557057936289045</v>
      </c>
      <c r="J459" s="397">
        <f>IF(RnSplint!N122&lt;0,0,RnSplint!N122)</f>
        <v>30.384473631106818</v>
      </c>
      <c r="K459" s="302">
        <f t="shared" si="376"/>
        <v>0</v>
      </c>
      <c r="L459" s="303">
        <f t="shared" si="377"/>
        <v>38424</v>
      </c>
      <c r="M459" s="346" t="str">
        <f t="shared" si="394"/>
        <v/>
      </c>
      <c r="N459" s="304">
        <f t="shared" si="378"/>
        <v>0</v>
      </c>
      <c r="O459" s="304">
        <f t="shared" si="379"/>
        <v>0</v>
      </c>
      <c r="P459" s="304">
        <f t="shared" si="349"/>
        <v>0</v>
      </c>
      <c r="Q459" s="304">
        <f t="shared" si="350"/>
        <v>0.73282751184573547</v>
      </c>
      <c r="R459" s="304">
        <f t="shared" si="351"/>
        <v>0.73282751184573547</v>
      </c>
      <c r="S459" s="305" t="e">
        <f t="shared" si="380"/>
        <v>#N/A</v>
      </c>
      <c r="T459" s="304">
        <f t="shared" si="352"/>
        <v>0</v>
      </c>
      <c r="U459" s="304">
        <f t="shared" si="390"/>
        <v>0</v>
      </c>
      <c r="V459" s="305" t="e">
        <f t="shared" si="353"/>
        <v>#N/A</v>
      </c>
      <c r="W459" s="305" t="e">
        <f t="shared" si="381"/>
        <v>#N/A</v>
      </c>
      <c r="X459" s="304">
        <f t="shared" si="382"/>
        <v>0.73282751184573547</v>
      </c>
      <c r="Z459" s="304" t="str">
        <f t="shared" si="354"/>
        <v/>
      </c>
      <c r="AA459" s="305" t="e">
        <f t="shared" si="355"/>
        <v>#N/A</v>
      </c>
      <c r="AB459" s="304">
        <f t="shared" si="356"/>
        <v>1.1400640059090652</v>
      </c>
      <c r="AC459" s="304" t="str">
        <f t="shared" si="383"/>
        <v/>
      </c>
      <c r="AD459" s="306">
        <f t="shared" si="357"/>
        <v>0</v>
      </c>
      <c r="AE459" s="307">
        <f t="shared" si="384"/>
        <v>1.1400640059090652</v>
      </c>
      <c r="AF459" s="308" t="e">
        <f t="shared" si="393"/>
        <v>#N/A</v>
      </c>
      <c r="AG459" s="306">
        <f t="shared" si="385"/>
        <v>721.83470365734831</v>
      </c>
      <c r="AH459" s="306">
        <f t="shared" si="358"/>
        <v>0</v>
      </c>
      <c r="AI459" s="306">
        <f t="shared" si="386"/>
        <v>0</v>
      </c>
      <c r="AJ459" s="306">
        <f t="shared" si="387"/>
        <v>0</v>
      </c>
      <c r="AK459" s="306">
        <f t="shared" si="359"/>
        <v>0</v>
      </c>
      <c r="AL459" s="306">
        <f t="shared" si="388"/>
        <v>0</v>
      </c>
      <c r="AM459" s="306">
        <f t="shared" si="360"/>
        <v>0</v>
      </c>
      <c r="AN459" s="306"/>
      <c r="AO459" s="304" t="str">
        <f t="shared" si="361"/>
        <v/>
      </c>
      <c r="AP459" s="304" t="str">
        <f t="shared" si="389"/>
        <v/>
      </c>
      <c r="AQ459" s="305" t="e">
        <f t="shared" si="395"/>
        <v>#N/A</v>
      </c>
      <c r="AR459" s="304" t="str">
        <f t="shared" si="396"/>
        <v/>
      </c>
      <c r="AS459" s="306">
        <f t="shared" si="362"/>
        <v>0</v>
      </c>
      <c r="AT459" s="307" t="e">
        <f t="shared" si="397"/>
        <v>#N/A</v>
      </c>
      <c r="AU459" s="307" t="e">
        <f t="shared" si="398"/>
        <v>#N/A</v>
      </c>
      <c r="AV459" s="304">
        <f t="shared" si="344"/>
        <v>1.5557057936289045</v>
      </c>
      <c r="AW459" s="309">
        <f t="shared" si="363"/>
        <v>12.745533707191457</v>
      </c>
      <c r="AX459" s="306">
        <f>IF(ISERROR(Weather!M443),#N/A,Weather!M443)</f>
        <v>1.2</v>
      </c>
      <c r="AY459" s="310">
        <f t="shared" si="364"/>
        <v>10</v>
      </c>
      <c r="AZ459" s="309">
        <f t="shared" si="365"/>
        <v>0.73282751184573547</v>
      </c>
      <c r="BA459" s="309">
        <f t="shared" si="366"/>
        <v>294.44647004724487</v>
      </c>
      <c r="BB459" s="311">
        <f>Irrig!H461</f>
        <v>0</v>
      </c>
      <c r="BC459" s="310">
        <f t="shared" si="367"/>
        <v>0</v>
      </c>
      <c r="BD459" s="309">
        <f t="shared" si="368"/>
        <v>0</v>
      </c>
      <c r="BE459" s="309">
        <f t="shared" si="369"/>
        <v>0</v>
      </c>
      <c r="BF459" s="306">
        <f>DailyMet!H443</f>
        <v>9.9700000000000006</v>
      </c>
      <c r="BG459" s="306">
        <f>DailyMet!I443</f>
        <v>0.9</v>
      </c>
      <c r="BH459" s="306">
        <f t="shared" si="370"/>
        <v>9.9700000000000006</v>
      </c>
      <c r="BI459" s="306">
        <f t="shared" si="371"/>
        <v>10</v>
      </c>
      <c r="BJ459" s="306">
        <f t="shared" si="372"/>
        <v>-1.5000000000000568E-2</v>
      </c>
      <c r="BK459" s="306">
        <f t="shared" si="399"/>
        <v>0</v>
      </c>
      <c r="BL459" s="304">
        <f t="shared" si="373"/>
        <v>0</v>
      </c>
      <c r="BM459" s="304">
        <f t="shared" si="374"/>
        <v>0</v>
      </c>
      <c r="BN459" s="304">
        <f t="shared" si="391"/>
        <v>0</v>
      </c>
      <c r="BO459" s="306">
        <f t="shared" si="392"/>
        <v>0</v>
      </c>
      <c r="BP459" s="306"/>
    </row>
    <row r="460" spans="1:68">
      <c r="A460" s="299">
        <f t="shared" si="345"/>
        <v>0</v>
      </c>
      <c r="B460" s="300">
        <f t="shared" si="346"/>
        <v>38425</v>
      </c>
      <c r="C460" s="301" t="e">
        <f t="shared" si="375"/>
        <v>#N/A</v>
      </c>
      <c r="D460" s="301" t="e">
        <f t="shared" si="347"/>
        <v>#N/A</v>
      </c>
      <c r="E460" s="299">
        <f t="shared" si="348"/>
        <v>439</v>
      </c>
      <c r="F460" s="396">
        <f>Weather!M444</f>
        <v>0</v>
      </c>
      <c r="G460" s="301">
        <f>IF(Weather!C444="","",Weather!C444)</f>
        <v>1.3000105258444627</v>
      </c>
      <c r="H460" s="301">
        <f>IF(Weather!D444="","",Weather!D444)</f>
        <v>1.3808451880317716</v>
      </c>
      <c r="I460" s="502">
        <f>IF(Weather!E444="","",Weather!E444)</f>
        <v>1.3808451880317716</v>
      </c>
      <c r="J460" s="397">
        <f>IF(RnSplint!N123&lt;0,0,RnSplint!N123)</f>
        <v>30.590214412708498</v>
      </c>
      <c r="K460" s="302">
        <f t="shared" si="376"/>
        <v>0</v>
      </c>
      <c r="L460" s="303">
        <f t="shared" si="377"/>
        <v>38425</v>
      </c>
      <c r="M460" s="346" t="str">
        <f t="shared" si="394"/>
        <v/>
      </c>
      <c r="N460" s="304">
        <f t="shared" si="378"/>
        <v>0</v>
      </c>
      <c r="O460" s="304">
        <f t="shared" si="379"/>
        <v>0</v>
      </c>
      <c r="P460" s="304">
        <f t="shared" si="349"/>
        <v>0</v>
      </c>
      <c r="Q460" s="304">
        <f t="shared" si="350"/>
        <v>0.69494524495401178</v>
      </c>
      <c r="R460" s="304">
        <f t="shared" si="351"/>
        <v>0.69494524495401178</v>
      </c>
      <c r="S460" s="305" t="e">
        <f t="shared" si="380"/>
        <v>#N/A</v>
      </c>
      <c r="T460" s="304">
        <f t="shared" si="352"/>
        <v>0</v>
      </c>
      <c r="U460" s="304">
        <f t="shared" si="390"/>
        <v>0</v>
      </c>
      <c r="V460" s="305" t="e">
        <f t="shared" si="353"/>
        <v>#N/A</v>
      </c>
      <c r="W460" s="305" t="e">
        <f t="shared" si="381"/>
        <v>#N/A</v>
      </c>
      <c r="X460" s="304">
        <f t="shared" si="382"/>
        <v>0.69494524495401178</v>
      </c>
      <c r="Z460" s="304" t="str">
        <f t="shared" si="354"/>
        <v/>
      </c>
      <c r="AA460" s="305" t="e">
        <f t="shared" si="355"/>
        <v>#N/A</v>
      </c>
      <c r="AB460" s="304">
        <f t="shared" si="356"/>
        <v>0.959611797440308</v>
      </c>
      <c r="AC460" s="304" t="str">
        <f t="shared" si="383"/>
        <v/>
      </c>
      <c r="AD460" s="306">
        <f t="shared" si="357"/>
        <v>0</v>
      </c>
      <c r="AE460" s="307">
        <f t="shared" si="384"/>
        <v>0.959611797440308</v>
      </c>
      <c r="AF460" s="308" t="e">
        <f t="shared" si="393"/>
        <v>#N/A</v>
      </c>
      <c r="AG460" s="306">
        <f t="shared" si="385"/>
        <v>723.21554884538011</v>
      </c>
      <c r="AH460" s="306">
        <f t="shared" si="358"/>
        <v>0</v>
      </c>
      <c r="AI460" s="306">
        <f t="shared" si="386"/>
        <v>0</v>
      </c>
      <c r="AJ460" s="306">
        <f t="shared" si="387"/>
        <v>0</v>
      </c>
      <c r="AK460" s="306">
        <f t="shared" si="359"/>
        <v>0</v>
      </c>
      <c r="AL460" s="306">
        <f t="shared" si="388"/>
        <v>0</v>
      </c>
      <c r="AM460" s="306">
        <f t="shared" si="360"/>
        <v>0</v>
      </c>
      <c r="AN460" s="306"/>
      <c r="AO460" s="304" t="str">
        <f t="shared" si="361"/>
        <v/>
      </c>
      <c r="AP460" s="304" t="str">
        <f t="shared" si="389"/>
        <v/>
      </c>
      <c r="AQ460" s="305" t="e">
        <f t="shared" si="395"/>
        <v>#N/A</v>
      </c>
      <c r="AR460" s="304" t="str">
        <f t="shared" si="396"/>
        <v/>
      </c>
      <c r="AS460" s="306">
        <f t="shared" si="362"/>
        <v>0</v>
      </c>
      <c r="AT460" s="307" t="e">
        <f t="shared" si="397"/>
        <v>#N/A</v>
      </c>
      <c r="AU460" s="307" t="e">
        <f t="shared" si="398"/>
        <v>#N/A</v>
      </c>
      <c r="AV460" s="304">
        <f t="shared" si="344"/>
        <v>1.3808451880317716</v>
      </c>
      <c r="AW460" s="309">
        <f t="shared" si="363"/>
        <v>14.12637889522323</v>
      </c>
      <c r="AX460" s="306">
        <f>IF(ISERROR(Weather!M444),#N/A,Weather!M444)</f>
        <v>0</v>
      </c>
      <c r="AY460" s="310">
        <f t="shared" si="364"/>
        <v>11</v>
      </c>
      <c r="AZ460" s="309">
        <f t="shared" si="365"/>
        <v>0.69494524495401178</v>
      </c>
      <c r="BA460" s="309">
        <f t="shared" si="366"/>
        <v>295.82731523527667</v>
      </c>
      <c r="BB460" s="311">
        <f>Irrig!H462</f>
        <v>0</v>
      </c>
      <c r="BC460" s="310">
        <f t="shared" si="367"/>
        <v>0</v>
      </c>
      <c r="BD460" s="309">
        <f t="shared" si="368"/>
        <v>0</v>
      </c>
      <c r="BE460" s="309">
        <f t="shared" si="369"/>
        <v>0</v>
      </c>
      <c r="BF460" s="306">
        <f>DailyMet!H444</f>
        <v>10.53</v>
      </c>
      <c r="BG460" s="306">
        <f>DailyMet!I444</f>
        <v>0.4</v>
      </c>
      <c r="BH460" s="306">
        <f t="shared" si="370"/>
        <v>10.53</v>
      </c>
      <c r="BI460" s="306">
        <f t="shared" si="371"/>
        <v>10</v>
      </c>
      <c r="BJ460" s="306">
        <f t="shared" si="372"/>
        <v>0.26500000000000057</v>
      </c>
      <c r="BK460" s="306">
        <f t="shared" si="399"/>
        <v>0</v>
      </c>
      <c r="BL460" s="304">
        <f t="shared" si="373"/>
        <v>0</v>
      </c>
      <c r="BM460" s="304">
        <f t="shared" si="374"/>
        <v>1.3864758144126325E-2</v>
      </c>
      <c r="BN460" s="304">
        <f t="shared" si="391"/>
        <v>1.3864758144126325E-2</v>
      </c>
      <c r="BO460" s="306">
        <f t="shared" si="392"/>
        <v>0</v>
      </c>
      <c r="BP460" s="306"/>
    </row>
    <row r="461" spans="1:68">
      <c r="A461" s="299">
        <f t="shared" si="345"/>
        <v>0</v>
      </c>
      <c r="B461" s="300">
        <f t="shared" si="346"/>
        <v>38426</v>
      </c>
      <c r="C461" s="301" t="e">
        <f t="shared" si="375"/>
        <v>#N/A</v>
      </c>
      <c r="D461" s="301" t="e">
        <f t="shared" si="347"/>
        <v>#N/A</v>
      </c>
      <c r="E461" s="299">
        <f t="shared" si="348"/>
        <v>440</v>
      </c>
      <c r="F461" s="396">
        <f>Weather!M445</f>
        <v>0</v>
      </c>
      <c r="G461" s="301">
        <f>IF(Weather!C445="","",Weather!C445)</f>
        <v>1.3171591161433958</v>
      </c>
      <c r="H461" s="301">
        <f>IF(Weather!D445="","",Weather!D445)</f>
        <v>1.4003264529478212</v>
      </c>
      <c r="I461" s="502">
        <f>IF(Weather!E445="","",Weather!E445)</f>
        <v>1.4003264529478212</v>
      </c>
      <c r="J461" s="397">
        <f>IF(RnSplint!N124&lt;0,0,RnSplint!N124)</f>
        <v>30.795688301143535</v>
      </c>
      <c r="K461" s="302">
        <f t="shared" si="376"/>
        <v>0</v>
      </c>
      <c r="L461" s="303">
        <f t="shared" si="377"/>
        <v>38426</v>
      </c>
      <c r="M461" s="346" t="str">
        <f t="shared" si="394"/>
        <v/>
      </c>
      <c r="N461" s="304">
        <f t="shared" si="378"/>
        <v>0</v>
      </c>
      <c r="O461" s="304">
        <f t="shared" si="379"/>
        <v>0</v>
      </c>
      <c r="P461" s="304">
        <f t="shared" si="349"/>
        <v>0</v>
      </c>
      <c r="Q461" s="304">
        <f t="shared" si="350"/>
        <v>0.66186525312081268</v>
      </c>
      <c r="R461" s="304">
        <f t="shared" si="351"/>
        <v>0.66186525312081268</v>
      </c>
      <c r="S461" s="305" t="e">
        <f t="shared" si="380"/>
        <v>#N/A</v>
      </c>
      <c r="T461" s="304">
        <f t="shared" si="352"/>
        <v>0</v>
      </c>
      <c r="U461" s="304">
        <f t="shared" si="390"/>
        <v>0</v>
      </c>
      <c r="V461" s="305" t="e">
        <f t="shared" si="353"/>
        <v>#N/A</v>
      </c>
      <c r="W461" s="305" t="e">
        <f t="shared" si="381"/>
        <v>#N/A</v>
      </c>
      <c r="X461" s="304">
        <f t="shared" si="382"/>
        <v>0.66186525312081268</v>
      </c>
      <c r="Z461" s="304" t="str">
        <f t="shared" si="354"/>
        <v/>
      </c>
      <c r="AA461" s="305" t="e">
        <f t="shared" si="355"/>
        <v>#N/A</v>
      </c>
      <c r="AB461" s="304">
        <f t="shared" si="356"/>
        <v>0.92682742223207948</v>
      </c>
      <c r="AC461" s="304" t="str">
        <f t="shared" si="383"/>
        <v/>
      </c>
      <c r="AD461" s="306">
        <f t="shared" si="357"/>
        <v>0</v>
      </c>
      <c r="AE461" s="307">
        <f t="shared" si="384"/>
        <v>0.92682742223207948</v>
      </c>
      <c r="AF461" s="308" t="e">
        <f t="shared" si="393"/>
        <v>#N/A</v>
      </c>
      <c r="AG461" s="306">
        <f t="shared" si="385"/>
        <v>724.61587529832798</v>
      </c>
      <c r="AH461" s="306">
        <f t="shared" si="358"/>
        <v>0</v>
      </c>
      <c r="AI461" s="306">
        <f t="shared" si="386"/>
        <v>0</v>
      </c>
      <c r="AJ461" s="306">
        <f t="shared" si="387"/>
        <v>0</v>
      </c>
      <c r="AK461" s="306">
        <f t="shared" si="359"/>
        <v>0</v>
      </c>
      <c r="AL461" s="306">
        <f t="shared" si="388"/>
        <v>0</v>
      </c>
      <c r="AM461" s="306">
        <f t="shared" si="360"/>
        <v>0</v>
      </c>
      <c r="AN461" s="306"/>
      <c r="AO461" s="304" t="str">
        <f t="shared" si="361"/>
        <v/>
      </c>
      <c r="AP461" s="304" t="str">
        <f t="shared" si="389"/>
        <v/>
      </c>
      <c r="AQ461" s="305" t="e">
        <f t="shared" si="395"/>
        <v>#N/A</v>
      </c>
      <c r="AR461" s="304" t="str">
        <f t="shared" si="396"/>
        <v/>
      </c>
      <c r="AS461" s="306">
        <f t="shared" si="362"/>
        <v>0</v>
      </c>
      <c r="AT461" s="307" t="e">
        <f t="shared" si="397"/>
        <v>#N/A</v>
      </c>
      <c r="AU461" s="307" t="e">
        <f t="shared" si="398"/>
        <v>#N/A</v>
      </c>
      <c r="AV461" s="304">
        <f t="shared" si="344"/>
        <v>1.4003264529478212</v>
      </c>
      <c r="AW461" s="309">
        <f t="shared" si="363"/>
        <v>15.526705348171051</v>
      </c>
      <c r="AX461" s="306">
        <f>IF(ISERROR(Weather!M445),#N/A,Weather!M445)</f>
        <v>0</v>
      </c>
      <c r="AY461" s="310">
        <f t="shared" si="364"/>
        <v>12</v>
      </c>
      <c r="AZ461" s="309">
        <f t="shared" si="365"/>
        <v>0.66186525312081268</v>
      </c>
      <c r="BA461" s="309">
        <f t="shared" si="366"/>
        <v>297.22764168822448</v>
      </c>
      <c r="BB461" s="311">
        <f>Irrig!H463</f>
        <v>0</v>
      </c>
      <c r="BC461" s="310">
        <f t="shared" si="367"/>
        <v>0</v>
      </c>
      <c r="BD461" s="309">
        <f t="shared" si="368"/>
        <v>0</v>
      </c>
      <c r="BE461" s="309">
        <f t="shared" si="369"/>
        <v>0</v>
      </c>
      <c r="BF461" s="306">
        <f>DailyMet!H445</f>
        <v>11.39</v>
      </c>
      <c r="BG461" s="306">
        <f>DailyMet!I445</f>
        <v>1.4</v>
      </c>
      <c r="BH461" s="306">
        <f t="shared" si="370"/>
        <v>11.39</v>
      </c>
      <c r="BI461" s="306">
        <f t="shared" si="371"/>
        <v>10</v>
      </c>
      <c r="BJ461" s="306">
        <f t="shared" si="372"/>
        <v>0.69500000000000028</v>
      </c>
      <c r="BK461" s="306">
        <f t="shared" si="399"/>
        <v>0</v>
      </c>
      <c r="BL461" s="304">
        <f t="shared" si="373"/>
        <v>0</v>
      </c>
      <c r="BM461" s="304">
        <f t="shared" si="374"/>
        <v>9.6701701701701767E-2</v>
      </c>
      <c r="BN461" s="304">
        <f t="shared" si="391"/>
        <v>9.6701701701701767E-2</v>
      </c>
      <c r="BO461" s="306">
        <f t="shared" si="392"/>
        <v>0</v>
      </c>
      <c r="BP461" s="306"/>
    </row>
    <row r="462" spans="1:68">
      <c r="A462" s="299">
        <f t="shared" si="345"/>
        <v>0</v>
      </c>
      <c r="B462" s="300">
        <f t="shared" si="346"/>
        <v>38427</v>
      </c>
      <c r="C462" s="301" t="e">
        <f t="shared" si="375"/>
        <v>#N/A</v>
      </c>
      <c r="D462" s="301" t="e">
        <f t="shared" si="347"/>
        <v>#N/A</v>
      </c>
      <c r="E462" s="299">
        <f t="shared" si="348"/>
        <v>441</v>
      </c>
      <c r="F462" s="396">
        <f>Weather!M446</f>
        <v>0</v>
      </c>
      <c r="G462" s="301">
        <f>IF(Weather!C446="","",Weather!C446)</f>
        <v>1.3319948639124057</v>
      </c>
      <c r="H462" s="301">
        <f>IF(Weather!D446="","",Weather!D446)</f>
        <v>0.98386499581817932</v>
      </c>
      <c r="I462" s="502">
        <f>IF(Weather!E446="","",Weather!E446)</f>
        <v>0.98386499581817932</v>
      </c>
      <c r="J462" s="397">
        <f>IF(RnSplint!N125&lt;0,0,RnSplint!N125)</f>
        <v>31</v>
      </c>
      <c r="K462" s="302">
        <f t="shared" si="376"/>
        <v>0</v>
      </c>
      <c r="L462" s="303">
        <f t="shared" si="377"/>
        <v>38427</v>
      </c>
      <c r="M462" s="346" t="str">
        <f t="shared" si="394"/>
        <v/>
      </c>
      <c r="N462" s="304">
        <f t="shared" si="378"/>
        <v>0</v>
      </c>
      <c r="O462" s="304">
        <f t="shared" si="379"/>
        <v>0</v>
      </c>
      <c r="P462" s="304">
        <f t="shared" si="349"/>
        <v>0</v>
      </c>
      <c r="Q462" s="304">
        <f t="shared" si="350"/>
        <v>0.64121145973662419</v>
      </c>
      <c r="R462" s="304">
        <f t="shared" si="351"/>
        <v>0.64121145973662419</v>
      </c>
      <c r="S462" s="305" t="e">
        <f t="shared" si="380"/>
        <v>#N/A</v>
      </c>
      <c r="T462" s="304">
        <f t="shared" si="352"/>
        <v>0</v>
      </c>
      <c r="U462" s="304">
        <f t="shared" si="390"/>
        <v>0</v>
      </c>
      <c r="V462" s="305" t="e">
        <f t="shared" si="353"/>
        <v>#N/A</v>
      </c>
      <c r="W462" s="305" t="e">
        <f t="shared" si="381"/>
        <v>#N/A</v>
      </c>
      <c r="X462" s="304">
        <f t="shared" si="382"/>
        <v>0.64121145973662419</v>
      </c>
      <c r="Z462" s="304" t="str">
        <f t="shared" si="354"/>
        <v/>
      </c>
      <c r="AA462" s="305" t="e">
        <f t="shared" si="355"/>
        <v>#N/A</v>
      </c>
      <c r="AB462" s="304">
        <f t="shared" si="356"/>
        <v>0.63086551015234238</v>
      </c>
      <c r="AC462" s="304" t="str">
        <f t="shared" si="383"/>
        <v/>
      </c>
      <c r="AD462" s="306">
        <f t="shared" si="357"/>
        <v>0</v>
      </c>
      <c r="AE462" s="307">
        <f t="shared" si="384"/>
        <v>0.63086551015234238</v>
      </c>
      <c r="AF462" s="308" t="e">
        <f t="shared" si="393"/>
        <v>#N/A</v>
      </c>
      <c r="AG462" s="306">
        <f t="shared" si="385"/>
        <v>725.59974029414616</v>
      </c>
      <c r="AH462" s="306">
        <f t="shared" si="358"/>
        <v>0</v>
      </c>
      <c r="AI462" s="306">
        <f t="shared" si="386"/>
        <v>0</v>
      </c>
      <c r="AJ462" s="306">
        <f t="shared" si="387"/>
        <v>0</v>
      </c>
      <c r="AK462" s="306">
        <f t="shared" si="359"/>
        <v>0</v>
      </c>
      <c r="AL462" s="306">
        <f t="shared" si="388"/>
        <v>0</v>
      </c>
      <c r="AM462" s="306">
        <f t="shared" si="360"/>
        <v>0</v>
      </c>
      <c r="AN462" s="306"/>
      <c r="AO462" s="304" t="str">
        <f t="shared" si="361"/>
        <v/>
      </c>
      <c r="AP462" s="304" t="str">
        <f t="shared" si="389"/>
        <v/>
      </c>
      <c r="AQ462" s="305" t="e">
        <f t="shared" si="395"/>
        <v>#N/A</v>
      </c>
      <c r="AR462" s="304" t="str">
        <f t="shared" si="396"/>
        <v/>
      </c>
      <c r="AS462" s="306">
        <f t="shared" si="362"/>
        <v>0</v>
      </c>
      <c r="AT462" s="307" t="e">
        <f t="shared" si="397"/>
        <v>#N/A</v>
      </c>
      <c r="AU462" s="307" t="e">
        <f t="shared" si="398"/>
        <v>#N/A</v>
      </c>
      <c r="AV462" s="304">
        <f t="shared" ref="AV462:AV525" si="400">IF(I462&lt;0,0,I462)</f>
        <v>0.98386499581817932</v>
      </c>
      <c r="AW462" s="309">
        <f t="shared" si="363"/>
        <v>16.51057034398923</v>
      </c>
      <c r="AX462" s="306">
        <f>IF(ISERROR(Weather!M446),#N/A,Weather!M446)</f>
        <v>0</v>
      </c>
      <c r="AY462" s="310">
        <f t="shared" si="364"/>
        <v>13</v>
      </c>
      <c r="AZ462" s="309">
        <f t="shared" si="365"/>
        <v>0.64121145973662419</v>
      </c>
      <c r="BA462" s="309">
        <f t="shared" si="366"/>
        <v>298.21150668404266</v>
      </c>
      <c r="BB462" s="311">
        <f>Irrig!H464</f>
        <v>0</v>
      </c>
      <c r="BC462" s="310">
        <f t="shared" si="367"/>
        <v>0</v>
      </c>
      <c r="BD462" s="309">
        <f t="shared" si="368"/>
        <v>0</v>
      </c>
      <c r="BE462" s="309">
        <f t="shared" si="369"/>
        <v>0</v>
      </c>
      <c r="BF462" s="306">
        <f>DailyMet!H446</f>
        <v>11.01</v>
      </c>
      <c r="BG462" s="306">
        <f>DailyMet!I446</f>
        <v>2.2999999999999998</v>
      </c>
      <c r="BH462" s="306">
        <f t="shared" si="370"/>
        <v>11.01</v>
      </c>
      <c r="BI462" s="306">
        <f t="shared" si="371"/>
        <v>10</v>
      </c>
      <c r="BJ462" s="306">
        <f t="shared" si="372"/>
        <v>0.50499999999999901</v>
      </c>
      <c r="BK462" s="306">
        <f t="shared" si="399"/>
        <v>0</v>
      </c>
      <c r="BL462" s="304">
        <f t="shared" si="373"/>
        <v>0</v>
      </c>
      <c r="BM462" s="304">
        <f t="shared" si="374"/>
        <v>5.8559127439724426E-2</v>
      </c>
      <c r="BN462" s="304">
        <f t="shared" si="391"/>
        <v>5.8559127439724426E-2</v>
      </c>
      <c r="BO462" s="306">
        <f t="shared" si="392"/>
        <v>0</v>
      </c>
      <c r="BP462" s="306"/>
    </row>
    <row r="463" spans="1:68">
      <c r="A463" s="299">
        <f t="shared" si="345"/>
        <v>0</v>
      </c>
      <c r="B463" s="300">
        <f t="shared" si="346"/>
        <v>38428</v>
      </c>
      <c r="C463" s="301" t="e">
        <f t="shared" si="375"/>
        <v>#N/A</v>
      </c>
      <c r="D463" s="301" t="e">
        <f t="shared" si="347"/>
        <v>#N/A</v>
      </c>
      <c r="E463" s="299">
        <f t="shared" si="348"/>
        <v>442</v>
      </c>
      <c r="F463" s="396">
        <f>Weather!M447</f>
        <v>0</v>
      </c>
      <c r="G463" s="301">
        <f>IF(Weather!C447="","",Weather!C447)</f>
        <v>1.3444261383962139</v>
      </c>
      <c r="H463" s="301">
        <f>IF(Weather!D447="","",Weather!D447)</f>
        <v>1.3348911220504578</v>
      </c>
      <c r="I463" s="502">
        <f>IF(Weather!E447="","",Weather!E447)</f>
        <v>1.3348911220504578</v>
      </c>
      <c r="J463" s="397">
        <f>IF(RnSplint!N126&lt;0,0,RnSplint!N126)</f>
        <v>31.202191359003745</v>
      </c>
      <c r="K463" s="302">
        <f t="shared" si="376"/>
        <v>0</v>
      </c>
      <c r="L463" s="303">
        <f t="shared" si="377"/>
        <v>38428</v>
      </c>
      <c r="M463" s="346" t="str">
        <f t="shared" si="394"/>
        <v/>
      </c>
      <c r="N463" s="304">
        <f t="shared" si="378"/>
        <v>0</v>
      </c>
      <c r="O463" s="304">
        <f t="shared" si="379"/>
        <v>0</v>
      </c>
      <c r="P463" s="304">
        <f t="shared" si="349"/>
        <v>0</v>
      </c>
      <c r="Q463" s="304">
        <f t="shared" si="350"/>
        <v>0.61599639515260707</v>
      </c>
      <c r="R463" s="304">
        <f t="shared" si="351"/>
        <v>0.61599639515260707</v>
      </c>
      <c r="S463" s="305" t="e">
        <f t="shared" si="380"/>
        <v>#N/A</v>
      </c>
      <c r="T463" s="304">
        <f t="shared" si="352"/>
        <v>0</v>
      </c>
      <c r="U463" s="304">
        <f t="shared" si="390"/>
        <v>0</v>
      </c>
      <c r="V463" s="305" t="e">
        <f t="shared" si="353"/>
        <v>#N/A</v>
      </c>
      <c r="W463" s="305" t="e">
        <f t="shared" si="381"/>
        <v>#N/A</v>
      </c>
      <c r="X463" s="304">
        <f t="shared" si="382"/>
        <v>0.61599639515260707</v>
      </c>
      <c r="Z463" s="304" t="str">
        <f t="shared" si="354"/>
        <v/>
      </c>
      <c r="AA463" s="305" t="e">
        <f t="shared" si="355"/>
        <v>#N/A</v>
      </c>
      <c r="AB463" s="304">
        <f t="shared" si="356"/>
        <v>0.82228811910430077</v>
      </c>
      <c r="AC463" s="304" t="str">
        <f t="shared" si="383"/>
        <v/>
      </c>
      <c r="AD463" s="306">
        <f t="shared" si="357"/>
        <v>0</v>
      </c>
      <c r="AE463" s="307">
        <f t="shared" si="384"/>
        <v>0.82228811910430077</v>
      </c>
      <c r="AF463" s="308" t="e">
        <f t="shared" si="393"/>
        <v>#N/A</v>
      </c>
      <c r="AG463" s="306">
        <f t="shared" si="385"/>
        <v>726.93463141619657</v>
      </c>
      <c r="AH463" s="306">
        <f t="shared" si="358"/>
        <v>0</v>
      </c>
      <c r="AI463" s="306">
        <f t="shared" si="386"/>
        <v>0</v>
      </c>
      <c r="AJ463" s="306">
        <f t="shared" si="387"/>
        <v>0</v>
      </c>
      <c r="AK463" s="306">
        <f t="shared" si="359"/>
        <v>0</v>
      </c>
      <c r="AL463" s="306">
        <f t="shared" si="388"/>
        <v>0</v>
      </c>
      <c r="AM463" s="306">
        <f t="shared" si="360"/>
        <v>0</v>
      </c>
      <c r="AN463" s="306"/>
      <c r="AO463" s="304" t="str">
        <f t="shared" si="361"/>
        <v/>
      </c>
      <c r="AP463" s="304" t="str">
        <f t="shared" si="389"/>
        <v/>
      </c>
      <c r="AQ463" s="305" t="e">
        <f t="shared" si="395"/>
        <v>#N/A</v>
      </c>
      <c r="AR463" s="304" t="str">
        <f t="shared" si="396"/>
        <v/>
      </c>
      <c r="AS463" s="306">
        <f t="shared" si="362"/>
        <v>0</v>
      </c>
      <c r="AT463" s="307" t="e">
        <f t="shared" si="397"/>
        <v>#N/A</v>
      </c>
      <c r="AU463" s="307" t="e">
        <f t="shared" si="398"/>
        <v>#N/A</v>
      </c>
      <c r="AV463" s="304">
        <f t="shared" si="400"/>
        <v>1.3348911220504578</v>
      </c>
      <c r="AW463" s="309">
        <f t="shared" si="363"/>
        <v>17.845461466039687</v>
      </c>
      <c r="AX463" s="306">
        <f>IF(ISERROR(Weather!M447),#N/A,Weather!M447)</f>
        <v>0</v>
      </c>
      <c r="AY463" s="310">
        <f t="shared" si="364"/>
        <v>14</v>
      </c>
      <c r="AZ463" s="309">
        <f t="shared" si="365"/>
        <v>0.61599639515260707</v>
      </c>
      <c r="BA463" s="309">
        <f t="shared" si="366"/>
        <v>299.54639780609313</v>
      </c>
      <c r="BB463" s="311">
        <f>Irrig!H465</f>
        <v>0</v>
      </c>
      <c r="BC463" s="310">
        <f t="shared" si="367"/>
        <v>0</v>
      </c>
      <c r="BD463" s="309">
        <f t="shared" si="368"/>
        <v>0</v>
      </c>
      <c r="BE463" s="309">
        <f t="shared" si="369"/>
        <v>0</v>
      </c>
      <c r="BF463" s="306">
        <f>DailyMet!H447</f>
        <v>10.25</v>
      </c>
      <c r="BG463" s="306">
        <f>DailyMet!I447</f>
        <v>5.2</v>
      </c>
      <c r="BH463" s="306">
        <f t="shared" si="370"/>
        <v>10.25</v>
      </c>
      <c r="BI463" s="306">
        <f t="shared" si="371"/>
        <v>10</v>
      </c>
      <c r="BJ463" s="306">
        <f t="shared" si="372"/>
        <v>0.125</v>
      </c>
      <c r="BK463" s="306">
        <f t="shared" si="399"/>
        <v>0</v>
      </c>
      <c r="BL463" s="304">
        <f t="shared" si="373"/>
        <v>0</v>
      </c>
      <c r="BM463" s="304">
        <f t="shared" si="374"/>
        <v>6.1881188118811884E-3</v>
      </c>
      <c r="BN463" s="304">
        <f t="shared" si="391"/>
        <v>6.1881188118811884E-3</v>
      </c>
      <c r="BO463" s="306">
        <f t="shared" si="392"/>
        <v>0</v>
      </c>
      <c r="BP463" s="306"/>
    </row>
    <row r="464" spans="1:68">
      <c r="A464" s="299">
        <f t="shared" si="345"/>
        <v>0</v>
      </c>
      <c r="B464" s="300">
        <f t="shared" si="346"/>
        <v>38429</v>
      </c>
      <c r="C464" s="301" t="e">
        <f t="shared" si="375"/>
        <v>#N/A</v>
      </c>
      <c r="D464" s="301" t="e">
        <f t="shared" si="347"/>
        <v>#N/A</v>
      </c>
      <c r="E464" s="299">
        <f t="shared" si="348"/>
        <v>443</v>
      </c>
      <c r="F464" s="396">
        <f>Weather!M448</f>
        <v>0</v>
      </c>
      <c r="G464" s="301">
        <f>IF(Weather!C448="","",Weather!C448)</f>
        <v>1.3545735998439545</v>
      </c>
      <c r="H464" s="301">
        <f>IF(Weather!D448="","",Weather!D448)</f>
        <v>1.3733747862333849</v>
      </c>
      <c r="I464" s="502">
        <f>IF(Weather!E448="","",Weather!E448)</f>
        <v>1.3733747862333849</v>
      </c>
      <c r="J464" s="397">
        <f>IF(RnSplint!N127&lt;0,0,RnSplint!N127)</f>
        <v>31.401052812431619</v>
      </c>
      <c r="K464" s="302">
        <f t="shared" si="376"/>
        <v>0</v>
      </c>
      <c r="L464" s="303">
        <f t="shared" si="377"/>
        <v>38429</v>
      </c>
      <c r="M464" s="346" t="str">
        <f t="shared" si="394"/>
        <v/>
      </c>
      <c r="N464" s="304">
        <f t="shared" si="378"/>
        <v>0</v>
      </c>
      <c r="O464" s="304">
        <f t="shared" si="379"/>
        <v>0</v>
      </c>
      <c r="P464" s="304">
        <f t="shared" si="349"/>
        <v>0</v>
      </c>
      <c r="Q464" s="304">
        <f t="shared" si="350"/>
        <v>0.59287526252092504</v>
      </c>
      <c r="R464" s="304">
        <f t="shared" si="351"/>
        <v>0.59287526252092504</v>
      </c>
      <c r="S464" s="305" t="e">
        <f t="shared" si="380"/>
        <v>#N/A</v>
      </c>
      <c r="T464" s="304">
        <f t="shared" si="352"/>
        <v>0</v>
      </c>
      <c r="U464" s="304">
        <f t="shared" si="390"/>
        <v>0</v>
      </c>
      <c r="V464" s="305" t="e">
        <f t="shared" si="353"/>
        <v>#N/A</v>
      </c>
      <c r="W464" s="305" t="e">
        <f t="shared" si="381"/>
        <v>#N/A</v>
      </c>
      <c r="X464" s="304">
        <f t="shared" si="382"/>
        <v>0.59287526252092504</v>
      </c>
      <c r="Z464" s="304" t="str">
        <f t="shared" si="354"/>
        <v/>
      </c>
      <c r="AA464" s="305" t="e">
        <f t="shared" si="355"/>
        <v>#N/A</v>
      </c>
      <c r="AB464" s="304">
        <f t="shared" si="356"/>
        <v>0.81423993692773744</v>
      </c>
      <c r="AC464" s="304" t="str">
        <f t="shared" si="383"/>
        <v/>
      </c>
      <c r="AD464" s="306">
        <f t="shared" si="357"/>
        <v>0</v>
      </c>
      <c r="AE464" s="307">
        <f t="shared" si="384"/>
        <v>0.81423993692773744</v>
      </c>
      <c r="AF464" s="308" t="e">
        <f t="shared" si="393"/>
        <v>#N/A</v>
      </c>
      <c r="AG464" s="306">
        <f t="shared" si="385"/>
        <v>728.30800620242997</v>
      </c>
      <c r="AH464" s="306">
        <f t="shared" si="358"/>
        <v>0</v>
      </c>
      <c r="AI464" s="306">
        <f t="shared" si="386"/>
        <v>0</v>
      </c>
      <c r="AJ464" s="306">
        <f t="shared" si="387"/>
        <v>0</v>
      </c>
      <c r="AK464" s="306">
        <f t="shared" si="359"/>
        <v>0</v>
      </c>
      <c r="AL464" s="306">
        <f t="shared" si="388"/>
        <v>0</v>
      </c>
      <c r="AM464" s="306">
        <f t="shared" si="360"/>
        <v>0</v>
      </c>
      <c r="AN464" s="306"/>
      <c r="AO464" s="304" t="str">
        <f t="shared" si="361"/>
        <v/>
      </c>
      <c r="AP464" s="304" t="str">
        <f t="shared" si="389"/>
        <v/>
      </c>
      <c r="AQ464" s="305" t="e">
        <f t="shared" si="395"/>
        <v>#N/A</v>
      </c>
      <c r="AR464" s="304" t="str">
        <f t="shared" si="396"/>
        <v/>
      </c>
      <c r="AS464" s="306">
        <f t="shared" si="362"/>
        <v>0</v>
      </c>
      <c r="AT464" s="307" t="e">
        <f t="shared" si="397"/>
        <v>#N/A</v>
      </c>
      <c r="AU464" s="307" t="e">
        <f t="shared" si="398"/>
        <v>#N/A</v>
      </c>
      <c r="AV464" s="304">
        <f t="shared" si="400"/>
        <v>1.3733747862333849</v>
      </c>
      <c r="AW464" s="309">
        <f t="shared" si="363"/>
        <v>19.218836252273071</v>
      </c>
      <c r="AX464" s="306">
        <f>IF(ISERROR(Weather!M448),#N/A,Weather!M448)</f>
        <v>0</v>
      </c>
      <c r="AY464" s="310">
        <f t="shared" si="364"/>
        <v>15</v>
      </c>
      <c r="AZ464" s="309">
        <f t="shared" si="365"/>
        <v>0.59287526252092504</v>
      </c>
      <c r="BA464" s="309">
        <f t="shared" si="366"/>
        <v>300.91977259232652</v>
      </c>
      <c r="BB464" s="311">
        <f>Irrig!H466</f>
        <v>0</v>
      </c>
      <c r="BC464" s="310">
        <f t="shared" si="367"/>
        <v>0</v>
      </c>
      <c r="BD464" s="309">
        <f t="shared" si="368"/>
        <v>0</v>
      </c>
      <c r="BE464" s="309">
        <f t="shared" si="369"/>
        <v>0</v>
      </c>
      <c r="BF464" s="306">
        <f>DailyMet!H448</f>
        <v>12.83</v>
      </c>
      <c r="BG464" s="306">
        <f>DailyMet!I448</f>
        <v>5.6</v>
      </c>
      <c r="BH464" s="306">
        <f t="shared" si="370"/>
        <v>12.83</v>
      </c>
      <c r="BI464" s="306">
        <f t="shared" si="371"/>
        <v>10</v>
      </c>
      <c r="BJ464" s="306">
        <f t="shared" si="372"/>
        <v>1.4149999999999991</v>
      </c>
      <c r="BK464" s="306">
        <f t="shared" si="399"/>
        <v>0</v>
      </c>
      <c r="BL464" s="304">
        <f t="shared" si="373"/>
        <v>0</v>
      </c>
      <c r="BM464" s="304">
        <f t="shared" si="374"/>
        <v>0.55386583679114798</v>
      </c>
      <c r="BN464" s="304">
        <f t="shared" si="391"/>
        <v>0.55386583679114798</v>
      </c>
      <c r="BO464" s="306">
        <f t="shared" si="392"/>
        <v>0</v>
      </c>
      <c r="BP464" s="306"/>
    </row>
    <row r="465" spans="1:68">
      <c r="A465" s="299">
        <f t="shared" si="345"/>
        <v>0</v>
      </c>
      <c r="B465" s="300">
        <f t="shared" si="346"/>
        <v>38430</v>
      </c>
      <c r="C465" s="301" t="e">
        <f t="shared" si="375"/>
        <v>#N/A</v>
      </c>
      <c r="D465" s="301" t="e">
        <f t="shared" si="347"/>
        <v>#N/A</v>
      </c>
      <c r="E465" s="299">
        <f t="shared" si="348"/>
        <v>444</v>
      </c>
      <c r="F465" s="396">
        <f>Weather!M449</f>
        <v>5.6</v>
      </c>
      <c r="G465" s="301">
        <f>IF(Weather!C449="","",Weather!C449)</f>
        <v>1.3626109812558653</v>
      </c>
      <c r="H465" s="301">
        <f>IF(Weather!D449="","",Weather!D449)</f>
        <v>1.5527441502753514</v>
      </c>
      <c r="I465" s="502">
        <f>IF(Weather!E449="","",Weather!E449)</f>
        <v>1.5527441502753514</v>
      </c>
      <c r="J465" s="397">
        <f>IF(RnSplint!N128&lt;0,0,RnSplint!N128)</f>
        <v>31.595311940698227</v>
      </c>
      <c r="K465" s="302">
        <f t="shared" si="376"/>
        <v>0</v>
      </c>
      <c r="L465" s="303">
        <f t="shared" si="377"/>
        <v>38430</v>
      </c>
      <c r="M465" s="346" t="str">
        <f t="shared" si="394"/>
        <v/>
      </c>
      <c r="N465" s="304">
        <f t="shared" si="378"/>
        <v>0</v>
      </c>
      <c r="O465" s="304">
        <f t="shared" si="379"/>
        <v>0</v>
      </c>
      <c r="P465" s="304">
        <f t="shared" si="349"/>
        <v>0</v>
      </c>
      <c r="Q465" s="304">
        <f t="shared" si="350"/>
        <v>1.2</v>
      </c>
      <c r="R465" s="304">
        <f t="shared" si="351"/>
        <v>1.2</v>
      </c>
      <c r="S465" s="305" t="e">
        <f t="shared" si="380"/>
        <v>#N/A</v>
      </c>
      <c r="T465" s="304">
        <f t="shared" si="352"/>
        <v>0</v>
      </c>
      <c r="U465" s="304">
        <f t="shared" si="390"/>
        <v>0</v>
      </c>
      <c r="V465" s="305" t="e">
        <f t="shared" si="353"/>
        <v>#N/A</v>
      </c>
      <c r="W465" s="305" t="e">
        <f t="shared" si="381"/>
        <v>#N/A</v>
      </c>
      <c r="X465" s="304">
        <f t="shared" si="382"/>
        <v>1.2</v>
      </c>
      <c r="Z465" s="304" t="str">
        <f t="shared" si="354"/>
        <v/>
      </c>
      <c r="AA465" s="305" t="e">
        <f t="shared" si="355"/>
        <v>#N/A</v>
      </c>
      <c r="AB465" s="304">
        <f t="shared" si="356"/>
        <v>1.8632929803304217</v>
      </c>
      <c r="AC465" s="304" t="str">
        <f t="shared" si="383"/>
        <v/>
      </c>
      <c r="AD465" s="306">
        <f t="shared" si="357"/>
        <v>0</v>
      </c>
      <c r="AE465" s="307">
        <f t="shared" si="384"/>
        <v>1.8632929803304217</v>
      </c>
      <c r="AF465" s="308" t="e">
        <f t="shared" si="393"/>
        <v>#N/A</v>
      </c>
      <c r="AG465" s="306">
        <f t="shared" si="385"/>
        <v>729.86075035270528</v>
      </c>
      <c r="AH465" s="306">
        <f t="shared" si="358"/>
        <v>0</v>
      </c>
      <c r="AI465" s="306">
        <f t="shared" si="386"/>
        <v>0</v>
      </c>
      <c r="AJ465" s="306">
        <f t="shared" si="387"/>
        <v>0</v>
      </c>
      <c r="AK465" s="306">
        <f t="shared" si="359"/>
        <v>0</v>
      </c>
      <c r="AL465" s="306">
        <f t="shared" si="388"/>
        <v>0</v>
      </c>
      <c r="AM465" s="306">
        <f t="shared" si="360"/>
        <v>0</v>
      </c>
      <c r="AN465" s="306"/>
      <c r="AO465" s="304" t="str">
        <f t="shared" si="361"/>
        <v/>
      </c>
      <c r="AP465" s="304" t="str">
        <f t="shared" si="389"/>
        <v/>
      </c>
      <c r="AQ465" s="305" t="e">
        <f t="shared" si="395"/>
        <v>#N/A</v>
      </c>
      <c r="AR465" s="304" t="str">
        <f t="shared" si="396"/>
        <v/>
      </c>
      <c r="AS465" s="306">
        <f t="shared" si="362"/>
        <v>0</v>
      </c>
      <c r="AT465" s="307" t="e">
        <f t="shared" si="397"/>
        <v>#N/A</v>
      </c>
      <c r="AU465" s="307" t="e">
        <f t="shared" si="398"/>
        <v>#N/A</v>
      </c>
      <c r="AV465" s="304">
        <f t="shared" si="400"/>
        <v>1.5527441502753514</v>
      </c>
      <c r="AW465" s="309">
        <f t="shared" si="363"/>
        <v>1.5527441502753514</v>
      </c>
      <c r="AX465" s="306">
        <f>IF(ISERROR(Weather!M449),#N/A,Weather!M449)</f>
        <v>5.6</v>
      </c>
      <c r="AY465" s="310">
        <f t="shared" si="364"/>
        <v>1</v>
      </c>
      <c r="AZ465" s="309">
        <f t="shared" si="365"/>
        <v>1.2</v>
      </c>
      <c r="BA465" s="309">
        <f t="shared" si="366"/>
        <v>302.4725167426019</v>
      </c>
      <c r="BB465" s="311">
        <f>Irrig!H467</f>
        <v>0</v>
      </c>
      <c r="BC465" s="310">
        <f t="shared" si="367"/>
        <v>0</v>
      </c>
      <c r="BD465" s="309">
        <f t="shared" si="368"/>
        <v>0</v>
      </c>
      <c r="BE465" s="309">
        <f t="shared" si="369"/>
        <v>0</v>
      </c>
      <c r="BF465" s="306">
        <f>DailyMet!H449</f>
        <v>11.43</v>
      </c>
      <c r="BG465" s="306">
        <f>DailyMet!I449</f>
        <v>4.7</v>
      </c>
      <c r="BH465" s="306">
        <f t="shared" si="370"/>
        <v>11.43</v>
      </c>
      <c r="BI465" s="306">
        <f t="shared" si="371"/>
        <v>10</v>
      </c>
      <c r="BJ465" s="306">
        <f t="shared" si="372"/>
        <v>0.71499999999999986</v>
      </c>
      <c r="BK465" s="306">
        <f t="shared" si="399"/>
        <v>0</v>
      </c>
      <c r="BL465" s="304">
        <f t="shared" si="373"/>
        <v>0</v>
      </c>
      <c r="BM465" s="304">
        <f t="shared" si="374"/>
        <v>0.1519242199108469</v>
      </c>
      <c r="BN465" s="304">
        <f t="shared" si="391"/>
        <v>0.1519242199108469</v>
      </c>
      <c r="BO465" s="306">
        <f t="shared" si="392"/>
        <v>0</v>
      </c>
      <c r="BP465" s="306"/>
    </row>
    <row r="466" spans="1:68">
      <c r="A466" s="299">
        <f t="shared" si="345"/>
        <v>0</v>
      </c>
      <c r="B466" s="300">
        <f t="shared" si="346"/>
        <v>38431</v>
      </c>
      <c r="C466" s="301" t="e">
        <f t="shared" si="375"/>
        <v>#N/A</v>
      </c>
      <c r="D466" s="301" t="e">
        <f t="shared" si="347"/>
        <v>#N/A</v>
      </c>
      <c r="E466" s="299">
        <f t="shared" si="348"/>
        <v>445</v>
      </c>
      <c r="F466" s="396">
        <f>Weather!M450</f>
        <v>0</v>
      </c>
      <c r="G466" s="301">
        <f>IF(Weather!C450="","",Weather!C450)</f>
        <v>1.3687120156321837</v>
      </c>
      <c r="H466" s="301">
        <f>IF(Weather!D450="","",Weather!D450)</f>
        <v>1.2539160732494974</v>
      </c>
      <c r="I466" s="502">
        <f>IF(Weather!E450="","",Weather!E450)</f>
        <v>1.2539160732494974</v>
      </c>
      <c r="J466" s="397">
        <f>IF(RnSplint!N129&lt;0,0,RnSplint!N129)</f>
        <v>31.783696324218187</v>
      </c>
      <c r="K466" s="302">
        <f t="shared" si="376"/>
        <v>0</v>
      </c>
      <c r="L466" s="303">
        <f t="shared" si="377"/>
        <v>38431</v>
      </c>
      <c r="M466" s="346" t="str">
        <f t="shared" si="394"/>
        <v/>
      </c>
      <c r="N466" s="304">
        <f t="shared" si="378"/>
        <v>0</v>
      </c>
      <c r="O466" s="304">
        <f t="shared" si="379"/>
        <v>0</v>
      </c>
      <c r="P466" s="304">
        <f t="shared" si="349"/>
        <v>0</v>
      </c>
      <c r="Q466" s="304">
        <f t="shared" si="350"/>
        <v>1.2</v>
      </c>
      <c r="R466" s="304">
        <f t="shared" si="351"/>
        <v>1.2</v>
      </c>
      <c r="S466" s="305" t="e">
        <f t="shared" si="380"/>
        <v>#N/A</v>
      </c>
      <c r="T466" s="304">
        <f t="shared" si="352"/>
        <v>0</v>
      </c>
      <c r="U466" s="304">
        <f t="shared" si="390"/>
        <v>0</v>
      </c>
      <c r="V466" s="305" t="e">
        <f t="shared" si="353"/>
        <v>#N/A</v>
      </c>
      <c r="W466" s="305" t="e">
        <f t="shared" si="381"/>
        <v>#N/A</v>
      </c>
      <c r="X466" s="304">
        <f t="shared" si="382"/>
        <v>1.2</v>
      </c>
      <c r="Z466" s="304" t="str">
        <f t="shared" si="354"/>
        <v/>
      </c>
      <c r="AA466" s="305" t="e">
        <f t="shared" si="355"/>
        <v>#N/A</v>
      </c>
      <c r="AB466" s="304">
        <f t="shared" si="356"/>
        <v>1.5046992878993968</v>
      </c>
      <c r="AC466" s="304" t="str">
        <f t="shared" si="383"/>
        <v/>
      </c>
      <c r="AD466" s="306">
        <f t="shared" si="357"/>
        <v>0</v>
      </c>
      <c r="AE466" s="307">
        <f t="shared" si="384"/>
        <v>1.5046992878993968</v>
      </c>
      <c r="AF466" s="308" t="e">
        <f t="shared" si="393"/>
        <v>#N/A</v>
      </c>
      <c r="AG466" s="306">
        <f t="shared" si="385"/>
        <v>731.11466642595474</v>
      </c>
      <c r="AH466" s="306">
        <f t="shared" si="358"/>
        <v>0</v>
      </c>
      <c r="AI466" s="306">
        <f t="shared" si="386"/>
        <v>0</v>
      </c>
      <c r="AJ466" s="306">
        <f t="shared" si="387"/>
        <v>0</v>
      </c>
      <c r="AK466" s="306">
        <f t="shared" si="359"/>
        <v>0</v>
      </c>
      <c r="AL466" s="306">
        <f t="shared" si="388"/>
        <v>0</v>
      </c>
      <c r="AM466" s="306">
        <f t="shared" si="360"/>
        <v>0</v>
      </c>
      <c r="AN466" s="306"/>
      <c r="AO466" s="304" t="str">
        <f t="shared" si="361"/>
        <v/>
      </c>
      <c r="AP466" s="304" t="str">
        <f t="shared" si="389"/>
        <v/>
      </c>
      <c r="AQ466" s="305" t="e">
        <f t="shared" si="395"/>
        <v>#N/A</v>
      </c>
      <c r="AR466" s="304" t="str">
        <f t="shared" si="396"/>
        <v/>
      </c>
      <c r="AS466" s="306">
        <f t="shared" si="362"/>
        <v>0</v>
      </c>
      <c r="AT466" s="307" t="e">
        <f t="shared" si="397"/>
        <v>#N/A</v>
      </c>
      <c r="AU466" s="307" t="e">
        <f t="shared" si="398"/>
        <v>#N/A</v>
      </c>
      <c r="AV466" s="304">
        <f t="shared" si="400"/>
        <v>1.2539160732494974</v>
      </c>
      <c r="AW466" s="309">
        <f t="shared" si="363"/>
        <v>2.8066602235248488</v>
      </c>
      <c r="AX466" s="306">
        <f>IF(ISERROR(Weather!M450),#N/A,Weather!M450)</f>
        <v>0</v>
      </c>
      <c r="AY466" s="310">
        <f t="shared" si="364"/>
        <v>2</v>
      </c>
      <c r="AZ466" s="309">
        <f t="shared" si="365"/>
        <v>1.2</v>
      </c>
      <c r="BA466" s="309">
        <f t="shared" si="366"/>
        <v>303.72643281585141</v>
      </c>
      <c r="BB466" s="311">
        <f>Irrig!H468</f>
        <v>0</v>
      </c>
      <c r="BC466" s="310">
        <f t="shared" si="367"/>
        <v>0</v>
      </c>
      <c r="BD466" s="309">
        <f t="shared" si="368"/>
        <v>0</v>
      </c>
      <c r="BE466" s="309">
        <f t="shared" si="369"/>
        <v>0</v>
      </c>
      <c r="BF466" s="306">
        <f>DailyMet!H450</f>
        <v>10.64</v>
      </c>
      <c r="BG466" s="306">
        <f>DailyMet!I450</f>
        <v>4.8</v>
      </c>
      <c r="BH466" s="306">
        <f t="shared" si="370"/>
        <v>10.64</v>
      </c>
      <c r="BI466" s="306">
        <f t="shared" si="371"/>
        <v>10</v>
      </c>
      <c r="BJ466" s="306">
        <f t="shared" si="372"/>
        <v>0.32000000000000028</v>
      </c>
      <c r="BK466" s="306">
        <f t="shared" si="399"/>
        <v>0</v>
      </c>
      <c r="BL466" s="304">
        <f t="shared" si="373"/>
        <v>0</v>
      </c>
      <c r="BM466" s="304">
        <f t="shared" si="374"/>
        <v>3.5068493150684991E-2</v>
      </c>
      <c r="BN466" s="304">
        <f t="shared" si="391"/>
        <v>3.5068493150684991E-2</v>
      </c>
      <c r="BO466" s="306">
        <f t="shared" si="392"/>
        <v>0</v>
      </c>
      <c r="BP466" s="306"/>
    </row>
    <row r="467" spans="1:68">
      <c r="A467" s="299">
        <f t="shared" si="345"/>
        <v>0</v>
      </c>
      <c r="B467" s="300">
        <f t="shared" si="346"/>
        <v>38432</v>
      </c>
      <c r="C467" s="301" t="e">
        <f t="shared" si="375"/>
        <v>#N/A</v>
      </c>
      <c r="D467" s="301" t="e">
        <f t="shared" si="347"/>
        <v>#N/A</v>
      </c>
      <c r="E467" s="299">
        <f t="shared" si="348"/>
        <v>446</v>
      </c>
      <c r="F467" s="396">
        <f>Weather!M451</f>
        <v>1.8</v>
      </c>
      <c r="G467" s="301">
        <f>IF(Weather!C451="","",Weather!C451)</f>
        <v>1.3730504359731475</v>
      </c>
      <c r="H467" s="301">
        <f>IF(Weather!D451="","",Weather!D451)</f>
        <v>0.47253029285191905</v>
      </c>
      <c r="I467" s="502">
        <f>IF(Weather!E451="","",Weather!E451)</f>
        <v>0.47253029285191905</v>
      </c>
      <c r="J467" s="397">
        <f>IF(RnSplint!N130&lt;0,0,RnSplint!N130)</f>
        <v>31.964933543406101</v>
      </c>
      <c r="K467" s="302">
        <f t="shared" si="376"/>
        <v>0</v>
      </c>
      <c r="L467" s="303">
        <f t="shared" si="377"/>
        <v>38432</v>
      </c>
      <c r="M467" s="346" t="str">
        <f t="shared" si="394"/>
        <v/>
      </c>
      <c r="N467" s="304">
        <f t="shared" si="378"/>
        <v>0</v>
      </c>
      <c r="O467" s="304">
        <f t="shared" si="379"/>
        <v>0</v>
      </c>
      <c r="P467" s="304">
        <f t="shared" si="349"/>
        <v>0</v>
      </c>
      <c r="Q467" s="304">
        <f t="shared" si="350"/>
        <v>1.2</v>
      </c>
      <c r="R467" s="304">
        <f t="shared" si="351"/>
        <v>1.2</v>
      </c>
      <c r="S467" s="305" t="e">
        <f t="shared" si="380"/>
        <v>#N/A</v>
      </c>
      <c r="T467" s="304">
        <f t="shared" si="352"/>
        <v>0</v>
      </c>
      <c r="U467" s="304">
        <f t="shared" si="390"/>
        <v>0</v>
      </c>
      <c r="V467" s="305" t="e">
        <f t="shared" si="353"/>
        <v>#N/A</v>
      </c>
      <c r="W467" s="305" t="e">
        <f t="shared" si="381"/>
        <v>#N/A</v>
      </c>
      <c r="X467" s="304">
        <f t="shared" si="382"/>
        <v>1.2</v>
      </c>
      <c r="Z467" s="304" t="str">
        <f t="shared" si="354"/>
        <v/>
      </c>
      <c r="AA467" s="305" t="e">
        <f t="shared" si="355"/>
        <v>#N/A</v>
      </c>
      <c r="AB467" s="304">
        <f t="shared" si="356"/>
        <v>0.5670363514223028</v>
      </c>
      <c r="AC467" s="304" t="str">
        <f t="shared" si="383"/>
        <v/>
      </c>
      <c r="AD467" s="306">
        <f t="shared" si="357"/>
        <v>0</v>
      </c>
      <c r="AE467" s="307">
        <f t="shared" si="384"/>
        <v>0.5670363514223028</v>
      </c>
      <c r="AF467" s="308" t="e">
        <f t="shared" si="393"/>
        <v>#N/A</v>
      </c>
      <c r="AG467" s="306">
        <f t="shared" si="385"/>
        <v>731.58719671880669</v>
      </c>
      <c r="AH467" s="306">
        <f t="shared" si="358"/>
        <v>0</v>
      </c>
      <c r="AI467" s="306">
        <f t="shared" si="386"/>
        <v>0</v>
      </c>
      <c r="AJ467" s="306">
        <f t="shared" si="387"/>
        <v>0</v>
      </c>
      <c r="AK467" s="306">
        <f t="shared" si="359"/>
        <v>0</v>
      </c>
      <c r="AL467" s="306">
        <f t="shared" si="388"/>
        <v>0</v>
      </c>
      <c r="AM467" s="306">
        <f t="shared" si="360"/>
        <v>0</v>
      </c>
      <c r="AN467" s="306"/>
      <c r="AO467" s="304" t="str">
        <f t="shared" si="361"/>
        <v/>
      </c>
      <c r="AP467" s="304" t="str">
        <f t="shared" si="389"/>
        <v/>
      </c>
      <c r="AQ467" s="305" t="e">
        <f t="shared" si="395"/>
        <v>#N/A</v>
      </c>
      <c r="AR467" s="304" t="str">
        <f t="shared" si="396"/>
        <v/>
      </c>
      <c r="AS467" s="306">
        <f t="shared" si="362"/>
        <v>0</v>
      </c>
      <c r="AT467" s="307" t="e">
        <f t="shared" si="397"/>
        <v>#N/A</v>
      </c>
      <c r="AU467" s="307" t="e">
        <f t="shared" si="398"/>
        <v>#N/A</v>
      </c>
      <c r="AV467" s="304">
        <f t="shared" si="400"/>
        <v>0.47253029285191905</v>
      </c>
      <c r="AW467" s="309">
        <f t="shared" si="363"/>
        <v>0.47253029285191905</v>
      </c>
      <c r="AX467" s="306">
        <f>IF(ISERROR(Weather!M451),#N/A,Weather!M451)</f>
        <v>1.8</v>
      </c>
      <c r="AY467" s="310">
        <f t="shared" si="364"/>
        <v>1</v>
      </c>
      <c r="AZ467" s="309">
        <f t="shared" si="365"/>
        <v>1.2</v>
      </c>
      <c r="BA467" s="309">
        <f t="shared" si="366"/>
        <v>304.19896310870331</v>
      </c>
      <c r="BB467" s="311">
        <f>Irrig!H469</f>
        <v>0</v>
      </c>
      <c r="BC467" s="310">
        <f t="shared" si="367"/>
        <v>0</v>
      </c>
      <c r="BD467" s="309">
        <f t="shared" si="368"/>
        <v>0</v>
      </c>
      <c r="BE467" s="309">
        <f t="shared" si="369"/>
        <v>0</v>
      </c>
      <c r="BF467" s="306">
        <f>DailyMet!H451</f>
        <v>13.36</v>
      </c>
      <c r="BG467" s="306">
        <f>DailyMet!I451</f>
        <v>5.3</v>
      </c>
      <c r="BH467" s="306">
        <f t="shared" si="370"/>
        <v>13.36</v>
      </c>
      <c r="BI467" s="306">
        <f t="shared" si="371"/>
        <v>10</v>
      </c>
      <c r="BJ467" s="306">
        <f t="shared" si="372"/>
        <v>1.6799999999999997</v>
      </c>
      <c r="BK467" s="306">
        <f t="shared" si="399"/>
        <v>0</v>
      </c>
      <c r="BL467" s="304">
        <f t="shared" si="373"/>
        <v>0</v>
      </c>
      <c r="BM467" s="304">
        <f t="shared" si="374"/>
        <v>0.70034739454094286</v>
      </c>
      <c r="BN467" s="304">
        <f t="shared" si="391"/>
        <v>0.70034739454094286</v>
      </c>
      <c r="BO467" s="306">
        <f t="shared" si="392"/>
        <v>0</v>
      </c>
      <c r="BP467" s="306"/>
    </row>
    <row r="468" spans="1:68">
      <c r="A468" s="299">
        <f t="shared" si="345"/>
        <v>0</v>
      </c>
      <c r="B468" s="300">
        <f t="shared" si="346"/>
        <v>38433</v>
      </c>
      <c r="C468" s="301" t="e">
        <f t="shared" si="375"/>
        <v>#N/A</v>
      </c>
      <c r="D468" s="301" t="e">
        <f t="shared" si="347"/>
        <v>#N/A</v>
      </c>
      <c r="E468" s="299">
        <f t="shared" si="348"/>
        <v>447</v>
      </c>
      <c r="F468" s="396">
        <f>Weather!M452</f>
        <v>20.8</v>
      </c>
      <c r="G468" s="301">
        <f>IF(Weather!C452="","",Weather!C452)</f>
        <v>1.3757999752789938</v>
      </c>
      <c r="H468" s="301">
        <f>IF(Weather!D452="","",Weather!D452)</f>
        <v>1.4014913229730439</v>
      </c>
      <c r="I468" s="502">
        <f>IF(Weather!E452="","",Weather!E452)</f>
        <v>1.4014913229730439</v>
      </c>
      <c r="J468" s="397">
        <f>IF(RnSplint!N131&lt;0,0,RnSplint!N131)</f>
        <v>32.137751178676574</v>
      </c>
      <c r="K468" s="302">
        <f t="shared" si="376"/>
        <v>0</v>
      </c>
      <c r="L468" s="303">
        <f t="shared" si="377"/>
        <v>38433</v>
      </c>
      <c r="M468" s="346" t="str">
        <f t="shared" si="394"/>
        <v/>
      </c>
      <c r="N468" s="304">
        <f t="shared" si="378"/>
        <v>0</v>
      </c>
      <c r="O468" s="304">
        <f t="shared" si="379"/>
        <v>0</v>
      </c>
      <c r="P468" s="304">
        <f t="shared" si="349"/>
        <v>0</v>
      </c>
      <c r="Q468" s="304">
        <f t="shared" si="350"/>
        <v>1.2</v>
      </c>
      <c r="R468" s="304">
        <f t="shared" si="351"/>
        <v>1.2</v>
      </c>
      <c r="S468" s="305" t="e">
        <f t="shared" si="380"/>
        <v>#N/A</v>
      </c>
      <c r="T468" s="304">
        <f t="shared" si="352"/>
        <v>0</v>
      </c>
      <c r="U468" s="304">
        <f t="shared" si="390"/>
        <v>0</v>
      </c>
      <c r="V468" s="305" t="e">
        <f t="shared" si="353"/>
        <v>#N/A</v>
      </c>
      <c r="W468" s="305" t="e">
        <f t="shared" si="381"/>
        <v>#N/A</v>
      </c>
      <c r="X468" s="304">
        <f t="shared" si="382"/>
        <v>1.2</v>
      </c>
      <c r="Z468" s="304" t="str">
        <f t="shared" si="354"/>
        <v/>
      </c>
      <c r="AA468" s="305" t="e">
        <f t="shared" si="355"/>
        <v>#N/A</v>
      </c>
      <c r="AB468" s="304">
        <f t="shared" si="356"/>
        <v>1.6817895875676527</v>
      </c>
      <c r="AC468" s="304" t="str">
        <f t="shared" si="383"/>
        <v/>
      </c>
      <c r="AD468" s="306">
        <f t="shared" si="357"/>
        <v>0</v>
      </c>
      <c r="AE468" s="307">
        <f t="shared" si="384"/>
        <v>1.6817895875676527</v>
      </c>
      <c r="AF468" s="308" t="e">
        <f t="shared" si="393"/>
        <v>#N/A</v>
      </c>
      <c r="AG468" s="306">
        <f t="shared" si="385"/>
        <v>732.98868804177971</v>
      </c>
      <c r="AH468" s="306">
        <f t="shared" si="358"/>
        <v>0</v>
      </c>
      <c r="AI468" s="306">
        <f t="shared" si="386"/>
        <v>0</v>
      </c>
      <c r="AJ468" s="306">
        <f t="shared" si="387"/>
        <v>0</v>
      </c>
      <c r="AK468" s="306">
        <f t="shared" si="359"/>
        <v>0</v>
      </c>
      <c r="AL468" s="306">
        <f t="shared" si="388"/>
        <v>0</v>
      </c>
      <c r="AM468" s="306">
        <f t="shared" si="360"/>
        <v>0</v>
      </c>
      <c r="AN468" s="306"/>
      <c r="AO468" s="304" t="str">
        <f t="shared" si="361"/>
        <v/>
      </c>
      <c r="AP468" s="304" t="str">
        <f t="shared" si="389"/>
        <v/>
      </c>
      <c r="AQ468" s="305" t="e">
        <f t="shared" si="395"/>
        <v>#N/A</v>
      </c>
      <c r="AR468" s="304" t="str">
        <f t="shared" si="396"/>
        <v/>
      </c>
      <c r="AS468" s="306">
        <f t="shared" si="362"/>
        <v>0</v>
      </c>
      <c r="AT468" s="307" t="e">
        <f t="shared" si="397"/>
        <v>#N/A</v>
      </c>
      <c r="AU468" s="307" t="e">
        <f t="shared" si="398"/>
        <v>#N/A</v>
      </c>
      <c r="AV468" s="304">
        <f t="shared" si="400"/>
        <v>1.4014913229730439</v>
      </c>
      <c r="AW468" s="309">
        <f t="shared" si="363"/>
        <v>1.4014913229730439</v>
      </c>
      <c r="AX468" s="306">
        <f>IF(ISERROR(Weather!M452),#N/A,Weather!M452)</f>
        <v>20.8</v>
      </c>
      <c r="AY468" s="310">
        <f t="shared" si="364"/>
        <v>1</v>
      </c>
      <c r="AZ468" s="309">
        <f t="shared" si="365"/>
        <v>1.2</v>
      </c>
      <c r="BA468" s="309">
        <f t="shared" si="366"/>
        <v>305.60045443167633</v>
      </c>
      <c r="BB468" s="311">
        <f>Irrig!H470</f>
        <v>0</v>
      </c>
      <c r="BC468" s="310">
        <f t="shared" si="367"/>
        <v>0</v>
      </c>
      <c r="BD468" s="309">
        <f t="shared" si="368"/>
        <v>0</v>
      </c>
      <c r="BE468" s="309">
        <f t="shared" si="369"/>
        <v>0</v>
      </c>
      <c r="BF468" s="306">
        <f>DailyMet!H452</f>
        <v>13.86</v>
      </c>
      <c r="BG468" s="306">
        <f>DailyMet!I452</f>
        <v>6.2</v>
      </c>
      <c r="BH468" s="306">
        <f t="shared" si="370"/>
        <v>13.86</v>
      </c>
      <c r="BI468" s="306">
        <f t="shared" si="371"/>
        <v>10</v>
      </c>
      <c r="BJ468" s="306">
        <f t="shared" si="372"/>
        <v>1.9299999999999997</v>
      </c>
      <c r="BK468" s="306">
        <f t="shared" si="399"/>
        <v>0</v>
      </c>
      <c r="BL468" s="304">
        <f t="shared" si="373"/>
        <v>0</v>
      </c>
      <c r="BM468" s="304">
        <f t="shared" si="374"/>
        <v>0.97255874673629228</v>
      </c>
      <c r="BN468" s="304">
        <f t="shared" si="391"/>
        <v>0.97255874673629228</v>
      </c>
      <c r="BO468" s="306">
        <f t="shared" si="392"/>
        <v>0</v>
      </c>
      <c r="BP468" s="306"/>
    </row>
    <row r="469" spans="1:68">
      <c r="A469" s="299">
        <f t="shared" si="345"/>
        <v>0</v>
      </c>
      <c r="B469" s="300">
        <f t="shared" si="346"/>
        <v>38434</v>
      </c>
      <c r="C469" s="301" t="e">
        <f t="shared" si="375"/>
        <v>#N/A</v>
      </c>
      <c r="D469" s="301" t="e">
        <f t="shared" si="347"/>
        <v>#N/A</v>
      </c>
      <c r="E469" s="299">
        <f t="shared" si="348"/>
        <v>448</v>
      </c>
      <c r="F469" s="396">
        <f>Weather!M453</f>
        <v>5.2</v>
      </c>
      <c r="G469" s="301">
        <f>IF(Weather!C453="","",Weather!C453)</f>
        <v>1.3771343665499607</v>
      </c>
      <c r="H469" s="301">
        <f>IF(Weather!D453="","",Weather!D453)</f>
        <v>1.8243026445582893</v>
      </c>
      <c r="I469" s="502">
        <f>IF(Weather!E453="","",Weather!E453)</f>
        <v>1.8243026445582893</v>
      </c>
      <c r="J469" s="397">
        <f>IF(RnSplint!N132&lt;0,0,RnSplint!N132)</f>
        <v>32.300876810444223</v>
      </c>
      <c r="K469" s="302">
        <f t="shared" si="376"/>
        <v>0</v>
      </c>
      <c r="L469" s="303">
        <f t="shared" si="377"/>
        <v>38434</v>
      </c>
      <c r="M469" s="346" t="str">
        <f t="shared" si="394"/>
        <v/>
      </c>
      <c r="N469" s="304">
        <f t="shared" si="378"/>
        <v>0</v>
      </c>
      <c r="O469" s="304">
        <f t="shared" si="379"/>
        <v>0</v>
      </c>
      <c r="P469" s="304">
        <f t="shared" si="349"/>
        <v>0</v>
      </c>
      <c r="Q469" s="304">
        <f t="shared" si="350"/>
        <v>1.2</v>
      </c>
      <c r="R469" s="304">
        <f t="shared" si="351"/>
        <v>1.2</v>
      </c>
      <c r="S469" s="305" t="e">
        <f t="shared" si="380"/>
        <v>#N/A</v>
      </c>
      <c r="T469" s="304">
        <f t="shared" si="352"/>
        <v>0</v>
      </c>
      <c r="U469" s="304">
        <f t="shared" si="390"/>
        <v>0</v>
      </c>
      <c r="V469" s="305" t="e">
        <f t="shared" si="353"/>
        <v>#N/A</v>
      </c>
      <c r="W469" s="305" t="e">
        <f t="shared" si="381"/>
        <v>#N/A</v>
      </c>
      <c r="X469" s="304">
        <f t="shared" si="382"/>
        <v>1.2</v>
      </c>
      <c r="Z469" s="304" t="str">
        <f t="shared" si="354"/>
        <v/>
      </c>
      <c r="AA469" s="305" t="e">
        <f t="shared" si="355"/>
        <v>#N/A</v>
      </c>
      <c r="AB469" s="304">
        <f t="shared" si="356"/>
        <v>2.189163173469947</v>
      </c>
      <c r="AC469" s="304" t="str">
        <f t="shared" si="383"/>
        <v/>
      </c>
      <c r="AD469" s="306">
        <f t="shared" si="357"/>
        <v>0</v>
      </c>
      <c r="AE469" s="307">
        <f t="shared" si="384"/>
        <v>2.189163173469947</v>
      </c>
      <c r="AF469" s="308" t="e">
        <f t="shared" si="393"/>
        <v>#N/A</v>
      </c>
      <c r="AG469" s="306">
        <f t="shared" si="385"/>
        <v>734.81299068633803</v>
      </c>
      <c r="AH469" s="306">
        <f t="shared" si="358"/>
        <v>0</v>
      </c>
      <c r="AI469" s="306">
        <f t="shared" si="386"/>
        <v>0</v>
      </c>
      <c r="AJ469" s="306">
        <f t="shared" si="387"/>
        <v>0</v>
      </c>
      <c r="AK469" s="306">
        <f t="shared" si="359"/>
        <v>0</v>
      </c>
      <c r="AL469" s="306">
        <f t="shared" si="388"/>
        <v>0</v>
      </c>
      <c r="AM469" s="306">
        <f t="shared" si="360"/>
        <v>0</v>
      </c>
      <c r="AN469" s="306"/>
      <c r="AO469" s="304" t="str">
        <f t="shared" si="361"/>
        <v/>
      </c>
      <c r="AP469" s="304" t="str">
        <f t="shared" si="389"/>
        <v/>
      </c>
      <c r="AQ469" s="305" t="e">
        <f t="shared" si="395"/>
        <v>#N/A</v>
      </c>
      <c r="AR469" s="304" t="str">
        <f t="shared" si="396"/>
        <v/>
      </c>
      <c r="AS469" s="306">
        <f t="shared" si="362"/>
        <v>0</v>
      </c>
      <c r="AT469" s="307" t="e">
        <f t="shared" si="397"/>
        <v>#N/A</v>
      </c>
      <c r="AU469" s="307" t="e">
        <f t="shared" si="398"/>
        <v>#N/A</v>
      </c>
      <c r="AV469" s="304">
        <f t="shared" si="400"/>
        <v>1.8243026445582893</v>
      </c>
      <c r="AW469" s="309">
        <f t="shared" si="363"/>
        <v>1.8243026445582893</v>
      </c>
      <c r="AX469" s="306">
        <f>IF(ISERROR(Weather!M453),#N/A,Weather!M453)</f>
        <v>5.2</v>
      </c>
      <c r="AY469" s="310">
        <f t="shared" si="364"/>
        <v>1</v>
      </c>
      <c r="AZ469" s="309">
        <f t="shared" si="365"/>
        <v>1.2</v>
      </c>
      <c r="BA469" s="309">
        <f t="shared" si="366"/>
        <v>307.42475707623464</v>
      </c>
      <c r="BB469" s="311">
        <f>Irrig!H471</f>
        <v>0</v>
      </c>
      <c r="BC469" s="310">
        <f t="shared" si="367"/>
        <v>0</v>
      </c>
      <c r="BD469" s="309">
        <f t="shared" si="368"/>
        <v>0</v>
      </c>
      <c r="BE469" s="309">
        <f t="shared" si="369"/>
        <v>0</v>
      </c>
      <c r="BF469" s="306">
        <f>DailyMet!H453</f>
        <v>13.17</v>
      </c>
      <c r="BG469" s="306">
        <f>DailyMet!I453</f>
        <v>3.7</v>
      </c>
      <c r="BH469" s="306">
        <f t="shared" si="370"/>
        <v>13.17</v>
      </c>
      <c r="BI469" s="306">
        <f t="shared" si="371"/>
        <v>10</v>
      </c>
      <c r="BJ469" s="306">
        <f t="shared" si="372"/>
        <v>1.5850000000000009</v>
      </c>
      <c r="BK469" s="306">
        <f t="shared" si="399"/>
        <v>0</v>
      </c>
      <c r="BL469" s="304">
        <f t="shared" si="373"/>
        <v>0</v>
      </c>
      <c r="BM469" s="304">
        <f t="shared" si="374"/>
        <v>0.53056494192185855</v>
      </c>
      <c r="BN469" s="304">
        <f t="shared" si="391"/>
        <v>0.53056494192185855</v>
      </c>
      <c r="BO469" s="306">
        <f t="shared" si="392"/>
        <v>0</v>
      </c>
      <c r="BP469" s="306"/>
    </row>
    <row r="470" spans="1:68">
      <c r="A470" s="299">
        <f t="shared" ref="A470:A533" si="401">IF(B470&gt;K$12,0,IF(B470&gt;L$11,4,IF(B470&gt;=L$10,3,IF(B470&gt;L$9,2,IF(B470&gt;=K$8,1,0)))))</f>
        <v>0</v>
      </c>
      <c r="B470" s="300">
        <f t="shared" ref="B470:B533" si="402">B469+1</f>
        <v>38435</v>
      </c>
      <c r="C470" s="301" t="e">
        <f t="shared" si="375"/>
        <v>#N/A</v>
      </c>
      <c r="D470" s="301" t="e">
        <f t="shared" ref="D470:D533" si="403">IF(ISNA(C470),#N/A,IF(Q470&lt;C470,Q470,C470))</f>
        <v>#N/A</v>
      </c>
      <c r="E470" s="299">
        <f t="shared" ref="E470:E533" si="404">B470-DATE(K$2-1,12,31)</f>
        <v>449</v>
      </c>
      <c r="F470" s="396">
        <f>Weather!M454</f>
        <v>0</v>
      </c>
      <c r="G470" s="301">
        <f>IF(Weather!C454="","",Weather!C454)</f>
        <v>1.3772273427862851</v>
      </c>
      <c r="H470" s="301">
        <f>IF(Weather!D454="","",Weather!D454)</f>
        <v>0.49590084445667348</v>
      </c>
      <c r="I470" s="502">
        <f>IF(Weather!E454="","",Weather!E454)</f>
        <v>0.49590084445667348</v>
      </c>
      <c r="J470" s="397">
        <f>IF(RnSplint!N133&lt;0,0,RnSplint!N133)</f>
        <v>32.453038019123646</v>
      </c>
      <c r="K470" s="302">
        <f t="shared" si="376"/>
        <v>0</v>
      </c>
      <c r="L470" s="303">
        <f t="shared" si="377"/>
        <v>38435</v>
      </c>
      <c r="M470" s="346" t="str">
        <f t="shared" si="394"/>
        <v/>
      </c>
      <c r="N470" s="304">
        <f t="shared" si="378"/>
        <v>0</v>
      </c>
      <c r="O470" s="304">
        <f t="shared" si="379"/>
        <v>0</v>
      </c>
      <c r="P470" s="304">
        <f t="shared" ref="P470:P533" si="405">IF($N470+$O470&gt;K$6,$K$6,$N470+$O470)</f>
        <v>0</v>
      </c>
      <c r="Q470" s="304">
        <f t="shared" ref="Q470:Q533" si="406">AZ470</f>
        <v>1.2</v>
      </c>
      <c r="R470" s="304">
        <f t="shared" ref="R470:R533" si="407">IF(Q470&gt;P470,Q470,P470)</f>
        <v>1.2</v>
      </c>
      <c r="S470" s="305" t="e">
        <f t="shared" si="380"/>
        <v>#N/A</v>
      </c>
      <c r="T470" s="304">
        <f t="shared" ref="T470:T533" si="408">BE470</f>
        <v>0</v>
      </c>
      <c r="U470" s="304">
        <f t="shared" si="390"/>
        <v>0</v>
      </c>
      <c r="V470" s="305" t="e">
        <f t="shared" ref="V470:V533" si="409">IF(N470=0,#N/A,U470)</f>
        <v>#N/A</v>
      </c>
      <c r="W470" s="305" t="e">
        <f t="shared" si="381"/>
        <v>#N/A</v>
      </c>
      <c r="X470" s="304">
        <f t="shared" si="382"/>
        <v>1.2</v>
      </c>
      <c r="Z470" s="304" t="str">
        <f t="shared" ref="Z470:Z533" si="410">IF(A470=2,X470,"")</f>
        <v/>
      </c>
      <c r="AA470" s="305" t="e">
        <f t="shared" ref="AA470:AA533" si="411">IF(N470=0,#N/A,X470)</f>
        <v>#N/A</v>
      </c>
      <c r="AB470" s="304">
        <f t="shared" ref="AB470:AB533" si="412">X470*AV470</f>
        <v>0.59508101334800811</v>
      </c>
      <c r="AC470" s="304" t="str">
        <f t="shared" si="383"/>
        <v/>
      </c>
      <c r="AD470" s="306">
        <f t="shared" ref="AD470:AD533" si="413">IF(OR(AND(L$3=4,E470&gt;366),AND(L$3=2,E470&gt;366)),0,IF(A470=0,0,AD469+AB470))</f>
        <v>0</v>
      </c>
      <c r="AE470" s="307">
        <f t="shared" si="384"/>
        <v>0.59508101334800811</v>
      </c>
      <c r="AF470" s="308" t="e">
        <f t="shared" si="393"/>
        <v>#N/A</v>
      </c>
      <c r="AG470" s="306">
        <f t="shared" si="385"/>
        <v>735.30889153079465</v>
      </c>
      <c r="AH470" s="306">
        <f t="shared" ref="AH470:AH533" si="414">IF($A470=1,I470,0)</f>
        <v>0</v>
      </c>
      <c r="AI470" s="306">
        <f t="shared" si="386"/>
        <v>0</v>
      </c>
      <c r="AJ470" s="306">
        <f t="shared" si="387"/>
        <v>0</v>
      </c>
      <c r="AK470" s="306">
        <f t="shared" ref="AK470:AK533" si="415">IF($A470=1,AE470,0)</f>
        <v>0</v>
      </c>
      <c r="AL470" s="306">
        <f t="shared" si="388"/>
        <v>0</v>
      </c>
      <c r="AM470" s="306">
        <f t="shared" ref="AM470:AM533" si="416">IF($A470=4,$AE470,0)</f>
        <v>0</v>
      </c>
      <c r="AN470" s="306"/>
      <c r="AO470" s="304" t="str">
        <f t="shared" ref="AO470:AO533" si="417">IF($A470=1,$AC$9,IF($A470=2,$AP469+$AD$9,IF($A470=3,$AC$10,IF($A470=4,$AP469+$AD$11,""))))</f>
        <v/>
      </c>
      <c r="AP470" s="304" t="str">
        <f t="shared" si="389"/>
        <v/>
      </c>
      <c r="AQ470" s="305" t="e">
        <f t="shared" si="395"/>
        <v>#N/A</v>
      </c>
      <c r="AR470" s="304" t="str">
        <f t="shared" si="396"/>
        <v/>
      </c>
      <c r="AS470" s="306">
        <f t="shared" ref="AS470:AS533" si="418">IF(OR(AND(L$3=4,E470&gt;366),AND(L$3=2,E470&gt;366)),0,IF(AR470="",0,AS469+AR470))</f>
        <v>0</v>
      </c>
      <c r="AT470" s="307" t="e">
        <f t="shared" si="397"/>
        <v>#N/A</v>
      </c>
      <c r="AU470" s="307" t="e">
        <f t="shared" si="398"/>
        <v>#N/A</v>
      </c>
      <c r="AV470" s="304">
        <f t="shared" si="400"/>
        <v>0.49590084445667348</v>
      </c>
      <c r="AW470" s="309">
        <f t="shared" ref="AW470:AW533" si="419">IF(AV470="",0,IF(AY470=1,AV470,AW469+AV470))</f>
        <v>2.320203489014963</v>
      </c>
      <c r="AX470" s="306">
        <f>IF(ISERROR(Weather!M454),#N/A,Weather!M454)</f>
        <v>0</v>
      </c>
      <c r="AY470" s="310">
        <f t="shared" ref="AY470:AY533" si="420">IF(AV470="",0,IF(AX470&gt;2*AV470,1,AY469+1))</f>
        <v>2</v>
      </c>
      <c r="AZ470" s="309">
        <f t="shared" ref="AZ470:AZ533" si="421">IF(2.725*$AW470^-0.516&gt;1.2,1.2,2.725*$AW470^-0.516)</f>
        <v>1.2</v>
      </c>
      <c r="BA470" s="309">
        <f t="shared" ref="BA470:BA533" si="422">IF($AV470="",0,IF(BC470=1,$AV470,BA469+$AV470))</f>
        <v>307.92065792069133</v>
      </c>
      <c r="BB470" s="311">
        <f>Irrig!H472</f>
        <v>0</v>
      </c>
      <c r="BC470" s="310">
        <f t="shared" ref="BC470:BC533" si="423">IF(A470=0,0,IF(BB470="",0,IF(BB470&gt;2*AV470,1,IF(A469=0,2,BC469+1))))</f>
        <v>0</v>
      </c>
      <c r="BD470" s="309">
        <f t="shared" ref="BD470:BD533" si="424">IF($A470=0,0,IF(2.725*$BA470^-0.516&gt;1.2,IF($A469=0,$Q470,1.2),IF($A469=0,$Q470,2.725*$BA470^-0.516)))</f>
        <v>0</v>
      </c>
      <c r="BE470" s="309">
        <f t="shared" ref="BE470:BE533" si="425">(BE$18/100)*BD470</f>
        <v>0</v>
      </c>
      <c r="BF470" s="306">
        <f>DailyMet!H454</f>
        <v>13.04</v>
      </c>
      <c r="BG470" s="306">
        <f>DailyMet!I454</f>
        <v>4.5999999999999996</v>
      </c>
      <c r="BH470" s="306">
        <f t="shared" ref="BH470:BH533" si="426">IF(BF470&gt;$V$3,$V$3,BF470)</f>
        <v>13.04</v>
      </c>
      <c r="BI470" s="306">
        <f t="shared" ref="BI470:BI533" si="427">IF(BG470&lt;$V$4,$V$4,BG470)</f>
        <v>10</v>
      </c>
      <c r="BJ470" s="306">
        <f t="shared" ref="BJ470:BJ533" si="428">(BH470+BI470)/2-V$4</f>
        <v>1.5199999999999996</v>
      </c>
      <c r="BK470" s="306">
        <f t="shared" si="399"/>
        <v>0</v>
      </c>
      <c r="BL470" s="304">
        <f t="shared" ref="BL470:BL533" si="429">IF($BG470&gt;$V$3,($BG470+$BF470)/2-$V$3,IF($BF470&gt;$V$3,($BF470-$V$3)^2/(2*($BF470-$BG470)),0))</f>
        <v>0</v>
      </c>
      <c r="BM470" s="304">
        <f t="shared" ref="BM470:BM533" si="430">IF($BG470&gt;$V$4,($BG470+$BF470)/2-$V$4,IF($BF470&gt;$V$4,($BF470-$V$4)^2/(2*($BF470-$BG470)),0))</f>
        <v>0.54748815165876752</v>
      </c>
      <c r="BN470" s="304">
        <f t="shared" si="391"/>
        <v>0.54748815165876752</v>
      </c>
      <c r="BO470" s="306">
        <f t="shared" si="392"/>
        <v>0</v>
      </c>
      <c r="BP470" s="306"/>
    </row>
    <row r="471" spans="1:68">
      <c r="A471" s="299">
        <f t="shared" si="401"/>
        <v>0</v>
      </c>
      <c r="B471" s="300">
        <f t="shared" si="402"/>
        <v>38436</v>
      </c>
      <c r="C471" s="301" t="e">
        <f t="shared" ref="C471:C534" si="431">VLOOKUP(B471,$L$8:$R$12,7,FALSE)</f>
        <v>#N/A</v>
      </c>
      <c r="D471" s="301" t="e">
        <f t="shared" si="403"/>
        <v>#N/A</v>
      </c>
      <c r="E471" s="299">
        <f t="shared" si="404"/>
        <v>450</v>
      </c>
      <c r="F471" s="396">
        <f>Weather!M455</f>
        <v>0</v>
      </c>
      <c r="G471" s="301">
        <f>IF(Weather!C455="","",Weather!C455)</f>
        <v>1.3762526369882051</v>
      </c>
      <c r="H471" s="301">
        <f>IF(Weather!D455="","",Weather!D455)</f>
        <v>1.5357753584385381</v>
      </c>
      <c r="I471" s="502">
        <f>IF(Weather!E455="","",Weather!E455)</f>
        <v>1.5357753584385381</v>
      </c>
      <c r="J471" s="397">
        <f>IF(RnSplint!N134&lt;0,0,RnSplint!N134)</f>
        <v>32.592962385129454</v>
      </c>
      <c r="K471" s="302">
        <f t="shared" ref="K471:K534" si="432">IF(AND($B471&gt;=L$8,$B471&lt;=L$9),Z$9,IF(AND($B471&gt;L$9,$B471&lt;=L$10),N470+AA$9,IF(AND($B471&gt;L$10,$B471&lt;=L$11),N470+AA$10,IF(AND($B471&gt;L$11,$B471&lt;=L$12),N470+AA$11,0))))</f>
        <v>0</v>
      </c>
      <c r="L471" s="303">
        <f t="shared" ref="L471:L534" si="433">B471</f>
        <v>38436</v>
      </c>
      <c r="M471" s="346" t="str">
        <f t="shared" si="394"/>
        <v/>
      </c>
      <c r="N471" s="304">
        <f t="shared" ref="N471:N534" si="434">K471</f>
        <v>0</v>
      </c>
      <c r="O471" s="304">
        <f t="shared" ref="O471:O534" si="435">IF($L$3&lt;3,0,IF($R$3=E471,R$2,IF($R$4=E470,0,IF($R$5=E471,R$2,IF($R$6=E470,0,O470)))))</f>
        <v>0</v>
      </c>
      <c r="P471" s="304">
        <f t="shared" si="405"/>
        <v>0</v>
      </c>
      <c r="Q471" s="304">
        <f t="shared" si="406"/>
        <v>1.2</v>
      </c>
      <c r="R471" s="304">
        <f t="shared" si="407"/>
        <v>1.2</v>
      </c>
      <c r="S471" s="305" t="e">
        <f t="shared" ref="S471:S534" si="436">IF(N471=0,#N/A,R471)</f>
        <v>#N/A</v>
      </c>
      <c r="T471" s="304">
        <f t="shared" si="408"/>
        <v>0</v>
      </c>
      <c r="U471" s="304">
        <f t="shared" si="390"/>
        <v>0</v>
      </c>
      <c r="V471" s="305" t="e">
        <f t="shared" si="409"/>
        <v>#N/A</v>
      </c>
      <c r="W471" s="305" t="e">
        <f t="shared" ref="W471:W534" si="437">IF(OR(P471=0,P471=""),#N/A,P471)</f>
        <v>#N/A</v>
      </c>
      <c r="X471" s="304">
        <f t="shared" ref="X471:X534" si="438">IF(R471&gt;U471,R471,U471)</f>
        <v>1.2</v>
      </c>
      <c r="Z471" s="304" t="str">
        <f t="shared" si="410"/>
        <v/>
      </c>
      <c r="AA471" s="305" t="e">
        <f t="shared" si="411"/>
        <v>#N/A</v>
      </c>
      <c r="AB471" s="304">
        <f t="shared" si="412"/>
        <v>1.8429304301262457</v>
      </c>
      <c r="AC471" s="304" t="str">
        <f t="shared" ref="AC471:AC534" si="439">IF($A471=4,$X471,"")</f>
        <v/>
      </c>
      <c r="AD471" s="306">
        <f t="shared" si="413"/>
        <v>0</v>
      </c>
      <c r="AE471" s="307">
        <f t="shared" ref="AE471:AE534" si="440">IF(AB471="",#N/A,AB471)</f>
        <v>1.8429304301262457</v>
      </c>
      <c r="AF471" s="308" t="e">
        <f t="shared" si="393"/>
        <v>#N/A</v>
      </c>
      <c r="AG471" s="306">
        <f t="shared" ref="AG471:AG534" si="441">AG470+$I471</f>
        <v>736.84466688923317</v>
      </c>
      <c r="AH471" s="306">
        <f t="shared" si="414"/>
        <v>0</v>
      </c>
      <c r="AI471" s="306">
        <f t="shared" ref="AI471:AI534" si="442">IF($A471=3,I471,0)</f>
        <v>0</v>
      </c>
      <c r="AJ471" s="306">
        <f t="shared" ref="AJ471:AJ534" si="443">IF($A471=4,$I471,0)</f>
        <v>0</v>
      </c>
      <c r="AK471" s="306">
        <f t="shared" si="415"/>
        <v>0</v>
      </c>
      <c r="AL471" s="306">
        <f t="shared" ref="AL471:AL534" si="444">IF($A471=3,AE471,0)</f>
        <v>0</v>
      </c>
      <c r="AM471" s="306">
        <f t="shared" si="416"/>
        <v>0</v>
      </c>
      <c r="AN471" s="306"/>
      <c r="AO471" s="304" t="str">
        <f t="shared" si="417"/>
        <v/>
      </c>
      <c r="AP471" s="304" t="str">
        <f t="shared" ref="AP471:AP534" si="445">IF(OR($L$3=2,$L$3=4),AN471,AO471)</f>
        <v/>
      </c>
      <c r="AQ471" s="305" t="e">
        <f t="shared" si="395"/>
        <v>#N/A</v>
      </c>
      <c r="AR471" s="304" t="str">
        <f t="shared" si="396"/>
        <v/>
      </c>
      <c r="AS471" s="306">
        <f t="shared" si="418"/>
        <v>0</v>
      </c>
      <c r="AT471" s="307" t="e">
        <f t="shared" si="397"/>
        <v>#N/A</v>
      </c>
      <c r="AU471" s="307" t="e">
        <f t="shared" si="398"/>
        <v>#N/A</v>
      </c>
      <c r="AV471" s="304">
        <f t="shared" si="400"/>
        <v>1.5357753584385381</v>
      </c>
      <c r="AW471" s="309">
        <f t="shared" si="419"/>
        <v>3.8559788474535011</v>
      </c>
      <c r="AX471" s="306">
        <f>IF(ISERROR(Weather!M455),#N/A,Weather!M455)</f>
        <v>0</v>
      </c>
      <c r="AY471" s="310">
        <f t="shared" si="420"/>
        <v>3</v>
      </c>
      <c r="AZ471" s="309">
        <f t="shared" si="421"/>
        <v>1.2</v>
      </c>
      <c r="BA471" s="309">
        <f t="shared" si="422"/>
        <v>309.45643327912984</v>
      </c>
      <c r="BB471" s="311">
        <f>Irrig!H473</f>
        <v>0</v>
      </c>
      <c r="BC471" s="310">
        <f t="shared" si="423"/>
        <v>0</v>
      </c>
      <c r="BD471" s="309">
        <f t="shared" si="424"/>
        <v>0</v>
      </c>
      <c r="BE471" s="309">
        <f t="shared" si="425"/>
        <v>0</v>
      </c>
      <c r="BF471" s="306">
        <f>DailyMet!H455</f>
        <v>13.91</v>
      </c>
      <c r="BG471" s="306">
        <f>DailyMet!I455</f>
        <v>5.9</v>
      </c>
      <c r="BH471" s="306">
        <f t="shared" si="426"/>
        <v>13.91</v>
      </c>
      <c r="BI471" s="306">
        <f t="shared" si="427"/>
        <v>10</v>
      </c>
      <c r="BJ471" s="306">
        <f t="shared" si="428"/>
        <v>1.9550000000000001</v>
      </c>
      <c r="BK471" s="306">
        <f t="shared" si="399"/>
        <v>0</v>
      </c>
      <c r="BL471" s="304">
        <f t="shared" si="429"/>
        <v>0</v>
      </c>
      <c r="BM471" s="304">
        <f t="shared" si="430"/>
        <v>0.95431335830212249</v>
      </c>
      <c r="BN471" s="304">
        <f t="shared" si="391"/>
        <v>0.95431335830212249</v>
      </c>
      <c r="BO471" s="306">
        <f t="shared" si="392"/>
        <v>0</v>
      </c>
      <c r="BP471" s="306"/>
    </row>
    <row r="472" spans="1:68">
      <c r="A472" s="299">
        <f t="shared" si="401"/>
        <v>0</v>
      </c>
      <c r="B472" s="300">
        <f t="shared" si="402"/>
        <v>38437</v>
      </c>
      <c r="C472" s="301" t="e">
        <f t="shared" si="431"/>
        <v>#N/A</v>
      </c>
      <c r="D472" s="301" t="e">
        <f t="shared" si="403"/>
        <v>#N/A</v>
      </c>
      <c r="E472" s="299">
        <f t="shared" si="404"/>
        <v>451</v>
      </c>
      <c r="F472" s="396">
        <f>Weather!M456</f>
        <v>0</v>
      </c>
      <c r="G472" s="301">
        <f>IF(Weather!C456="","",Weather!C456)</f>
        <v>1.3743839821559578</v>
      </c>
      <c r="H472" s="301">
        <f>IF(Weather!D456="","",Weather!D456)</f>
        <v>1.8042864664435185</v>
      </c>
      <c r="I472" s="502">
        <f>IF(Weather!E456="","",Weather!E456)</f>
        <v>1.8042864664435185</v>
      </c>
      <c r="J472" s="397">
        <f>IF(RnSplint!N135&lt;0,0,RnSplint!N135)</f>
        <v>32.719377488876262</v>
      </c>
      <c r="K472" s="302">
        <f t="shared" si="432"/>
        <v>0</v>
      </c>
      <c r="L472" s="303">
        <f t="shared" si="433"/>
        <v>38437</v>
      </c>
      <c r="M472" s="346" t="str">
        <f t="shared" si="394"/>
        <v/>
      </c>
      <c r="N472" s="304">
        <f t="shared" si="434"/>
        <v>0</v>
      </c>
      <c r="O472" s="304">
        <f t="shared" si="435"/>
        <v>0</v>
      </c>
      <c r="P472" s="304">
        <f t="shared" si="405"/>
        <v>0</v>
      </c>
      <c r="Q472" s="304">
        <f t="shared" si="406"/>
        <v>1.1140449743874761</v>
      </c>
      <c r="R472" s="304">
        <f t="shared" si="407"/>
        <v>1.1140449743874761</v>
      </c>
      <c r="S472" s="305" t="e">
        <f t="shared" si="436"/>
        <v>#N/A</v>
      </c>
      <c r="T472" s="304">
        <f t="shared" si="408"/>
        <v>0</v>
      </c>
      <c r="U472" s="304">
        <f t="shared" ref="U472:U535" si="446">IF(T472&gt;P472,T472,P472)</f>
        <v>0</v>
      </c>
      <c r="V472" s="305" t="e">
        <f t="shared" si="409"/>
        <v>#N/A</v>
      </c>
      <c r="W472" s="305" t="e">
        <f t="shared" si="437"/>
        <v>#N/A</v>
      </c>
      <c r="X472" s="304">
        <f t="shared" si="438"/>
        <v>1.1140449743874761</v>
      </c>
      <c r="Z472" s="304" t="str">
        <f t="shared" si="410"/>
        <v/>
      </c>
      <c r="AA472" s="305" t="e">
        <f t="shared" si="411"/>
        <v>#N/A</v>
      </c>
      <c r="AB472" s="304">
        <f t="shared" si="412"/>
        <v>2.0100562702967393</v>
      </c>
      <c r="AC472" s="304" t="str">
        <f t="shared" si="439"/>
        <v/>
      </c>
      <c r="AD472" s="306">
        <f t="shared" si="413"/>
        <v>0</v>
      </c>
      <c r="AE472" s="307">
        <f t="shared" si="440"/>
        <v>2.0100562702967393</v>
      </c>
      <c r="AF472" s="308" t="e">
        <f t="shared" si="393"/>
        <v>#N/A</v>
      </c>
      <c r="AG472" s="306">
        <f t="shared" si="441"/>
        <v>738.64895335567667</v>
      </c>
      <c r="AH472" s="306">
        <f t="shared" si="414"/>
        <v>0</v>
      </c>
      <c r="AI472" s="306">
        <f t="shared" si="442"/>
        <v>0</v>
      </c>
      <c r="AJ472" s="306">
        <f t="shared" si="443"/>
        <v>0</v>
      </c>
      <c r="AK472" s="306">
        <f t="shared" si="415"/>
        <v>0</v>
      </c>
      <c r="AL472" s="306">
        <f t="shared" si="444"/>
        <v>0</v>
      </c>
      <c r="AM472" s="306">
        <f t="shared" si="416"/>
        <v>0</v>
      </c>
      <c r="AN472" s="306"/>
      <c r="AO472" s="304" t="str">
        <f t="shared" si="417"/>
        <v/>
      </c>
      <c r="AP472" s="304" t="str">
        <f t="shared" si="445"/>
        <v/>
      </c>
      <c r="AQ472" s="305" t="e">
        <f t="shared" si="395"/>
        <v>#N/A</v>
      </c>
      <c r="AR472" s="304" t="str">
        <f t="shared" si="396"/>
        <v/>
      </c>
      <c r="AS472" s="306">
        <f t="shared" si="418"/>
        <v>0</v>
      </c>
      <c r="AT472" s="307" t="e">
        <f t="shared" si="397"/>
        <v>#N/A</v>
      </c>
      <c r="AU472" s="307" t="e">
        <f t="shared" si="398"/>
        <v>#N/A</v>
      </c>
      <c r="AV472" s="304">
        <f t="shared" si="400"/>
        <v>1.8042864664435185</v>
      </c>
      <c r="AW472" s="309">
        <f t="shared" si="419"/>
        <v>5.6602653138970194</v>
      </c>
      <c r="AX472" s="306">
        <f>IF(ISERROR(Weather!M456),#N/A,Weather!M456)</f>
        <v>0</v>
      </c>
      <c r="AY472" s="310">
        <f t="shared" si="420"/>
        <v>4</v>
      </c>
      <c r="AZ472" s="309">
        <f t="shared" si="421"/>
        <v>1.1140449743874761</v>
      </c>
      <c r="BA472" s="309">
        <f t="shared" si="422"/>
        <v>311.26071974557334</v>
      </c>
      <c r="BB472" s="311">
        <f>Irrig!H474</f>
        <v>0</v>
      </c>
      <c r="BC472" s="310">
        <f t="shared" si="423"/>
        <v>0</v>
      </c>
      <c r="BD472" s="309">
        <f t="shared" si="424"/>
        <v>0</v>
      </c>
      <c r="BE472" s="309">
        <f t="shared" si="425"/>
        <v>0</v>
      </c>
      <c r="BF472" s="306">
        <f>DailyMet!H456</f>
        <v>14.98</v>
      </c>
      <c r="BG472" s="306">
        <f>DailyMet!I456</f>
        <v>8.6</v>
      </c>
      <c r="BH472" s="306">
        <f t="shared" si="426"/>
        <v>14.98</v>
      </c>
      <c r="BI472" s="306">
        <f t="shared" si="427"/>
        <v>10</v>
      </c>
      <c r="BJ472" s="306">
        <f t="shared" si="428"/>
        <v>2.4900000000000002</v>
      </c>
      <c r="BK472" s="306">
        <f t="shared" si="399"/>
        <v>0</v>
      </c>
      <c r="BL472" s="304">
        <f t="shared" si="429"/>
        <v>0</v>
      </c>
      <c r="BM472" s="304">
        <f t="shared" si="430"/>
        <v>1.9436050156739813</v>
      </c>
      <c r="BN472" s="304">
        <f t="shared" ref="BN472:BN535" si="447">BM472-BL472</f>
        <v>1.9436050156739813</v>
      </c>
      <c r="BO472" s="306">
        <f t="shared" ref="BO472:BO535" si="448">IF(AP472="",0,BO471+BN472)</f>
        <v>0</v>
      </c>
      <c r="BP472" s="306"/>
    </row>
    <row r="473" spans="1:68">
      <c r="A473" s="299">
        <f t="shared" si="401"/>
        <v>0</v>
      </c>
      <c r="B473" s="300">
        <f t="shared" si="402"/>
        <v>38438</v>
      </c>
      <c r="C473" s="301" t="e">
        <f t="shared" si="431"/>
        <v>#N/A</v>
      </c>
      <c r="D473" s="301" t="e">
        <f t="shared" si="403"/>
        <v>#N/A</v>
      </c>
      <c r="E473" s="299">
        <f t="shared" si="404"/>
        <v>452</v>
      </c>
      <c r="F473" s="396">
        <f>Weather!M457</f>
        <v>0</v>
      </c>
      <c r="G473" s="301">
        <f>IF(Weather!C457="","",Weather!C457)</f>
        <v>1.3717951112897815</v>
      </c>
      <c r="H473" s="301">
        <f>IF(Weather!D457="","",Weather!D457)</f>
        <v>1.0646170170755511</v>
      </c>
      <c r="I473" s="502">
        <f>IF(Weather!E457="","",Weather!E457)</f>
        <v>1.0646170170755511</v>
      </c>
      <c r="J473" s="397">
        <f>IF(RnSplint!N136&lt;0,0,RnSplint!N136)</f>
        <v>32.831010910778673</v>
      </c>
      <c r="K473" s="302">
        <f t="shared" si="432"/>
        <v>0</v>
      </c>
      <c r="L473" s="303">
        <f t="shared" si="433"/>
        <v>38438</v>
      </c>
      <c r="M473" s="346" t="str">
        <f t="shared" si="394"/>
        <v/>
      </c>
      <c r="N473" s="304">
        <f t="shared" si="434"/>
        <v>0</v>
      </c>
      <c r="O473" s="304">
        <f t="shared" si="435"/>
        <v>0</v>
      </c>
      <c r="P473" s="304">
        <f t="shared" si="405"/>
        <v>0</v>
      </c>
      <c r="Q473" s="304">
        <f t="shared" si="406"/>
        <v>1.0192511420782533</v>
      </c>
      <c r="R473" s="304">
        <f t="shared" si="407"/>
        <v>1.0192511420782533</v>
      </c>
      <c r="S473" s="305" t="e">
        <f t="shared" si="436"/>
        <v>#N/A</v>
      </c>
      <c r="T473" s="304">
        <f t="shared" si="408"/>
        <v>0</v>
      </c>
      <c r="U473" s="304">
        <f t="shared" si="446"/>
        <v>0</v>
      </c>
      <c r="V473" s="305" t="e">
        <f t="shared" si="409"/>
        <v>#N/A</v>
      </c>
      <c r="W473" s="305" t="e">
        <f t="shared" si="437"/>
        <v>#N/A</v>
      </c>
      <c r="X473" s="304">
        <f t="shared" si="438"/>
        <v>1.0192511420782533</v>
      </c>
      <c r="Z473" s="304" t="str">
        <f t="shared" si="410"/>
        <v/>
      </c>
      <c r="AA473" s="305" t="e">
        <f t="shared" si="411"/>
        <v>#N/A</v>
      </c>
      <c r="AB473" s="304">
        <f t="shared" si="412"/>
        <v>1.0851121105301988</v>
      </c>
      <c r="AC473" s="304" t="str">
        <f t="shared" si="439"/>
        <v/>
      </c>
      <c r="AD473" s="306">
        <f t="shared" si="413"/>
        <v>0</v>
      </c>
      <c r="AE473" s="307">
        <f t="shared" si="440"/>
        <v>1.0851121105301988</v>
      </c>
      <c r="AF473" s="308" t="e">
        <f t="shared" si="393"/>
        <v>#N/A</v>
      </c>
      <c r="AG473" s="306">
        <f t="shared" si="441"/>
        <v>739.7135703727522</v>
      </c>
      <c r="AH473" s="306">
        <f t="shared" si="414"/>
        <v>0</v>
      </c>
      <c r="AI473" s="306">
        <f t="shared" si="442"/>
        <v>0</v>
      </c>
      <c r="AJ473" s="306">
        <f t="shared" si="443"/>
        <v>0</v>
      </c>
      <c r="AK473" s="306">
        <f t="shared" si="415"/>
        <v>0</v>
      </c>
      <c r="AL473" s="306">
        <f t="shared" si="444"/>
        <v>0</v>
      </c>
      <c r="AM473" s="306">
        <f t="shared" si="416"/>
        <v>0</v>
      </c>
      <c r="AN473" s="306"/>
      <c r="AO473" s="304" t="str">
        <f t="shared" si="417"/>
        <v/>
      </c>
      <c r="AP473" s="304" t="str">
        <f t="shared" si="445"/>
        <v/>
      </c>
      <c r="AQ473" s="305" t="e">
        <f t="shared" si="395"/>
        <v>#N/A</v>
      </c>
      <c r="AR473" s="304" t="str">
        <f t="shared" si="396"/>
        <v/>
      </c>
      <c r="AS473" s="306">
        <f t="shared" si="418"/>
        <v>0</v>
      </c>
      <c r="AT473" s="307" t="e">
        <f t="shared" si="397"/>
        <v>#N/A</v>
      </c>
      <c r="AU473" s="307" t="e">
        <f t="shared" si="398"/>
        <v>#N/A</v>
      </c>
      <c r="AV473" s="304">
        <f t="shared" si="400"/>
        <v>1.0646170170755511</v>
      </c>
      <c r="AW473" s="309">
        <f t="shared" si="419"/>
        <v>6.7248823309725703</v>
      </c>
      <c r="AX473" s="306">
        <f>IF(ISERROR(Weather!M457),#N/A,Weather!M457)</f>
        <v>0</v>
      </c>
      <c r="AY473" s="310">
        <f t="shared" si="420"/>
        <v>5</v>
      </c>
      <c r="AZ473" s="309">
        <f t="shared" si="421"/>
        <v>1.0192511420782533</v>
      </c>
      <c r="BA473" s="309">
        <f t="shared" si="422"/>
        <v>312.32533676264887</v>
      </c>
      <c r="BB473" s="311">
        <f>Irrig!H475</f>
        <v>0</v>
      </c>
      <c r="BC473" s="310">
        <f t="shared" si="423"/>
        <v>0</v>
      </c>
      <c r="BD473" s="309">
        <f t="shared" si="424"/>
        <v>0</v>
      </c>
      <c r="BE473" s="309">
        <f t="shared" si="425"/>
        <v>0</v>
      </c>
      <c r="BF473" s="306">
        <f>DailyMet!H457</f>
        <v>14.03</v>
      </c>
      <c r="BG473" s="306">
        <f>DailyMet!I457</f>
        <v>3.3</v>
      </c>
      <c r="BH473" s="306">
        <f t="shared" si="426"/>
        <v>14.03</v>
      </c>
      <c r="BI473" s="306">
        <f t="shared" si="427"/>
        <v>10</v>
      </c>
      <c r="BJ473" s="306">
        <f t="shared" si="428"/>
        <v>2.0150000000000006</v>
      </c>
      <c r="BK473" s="306">
        <f t="shared" si="399"/>
        <v>0</v>
      </c>
      <c r="BL473" s="304">
        <f t="shared" si="429"/>
        <v>0</v>
      </c>
      <c r="BM473" s="304">
        <f t="shared" si="430"/>
        <v>0.75679869524697085</v>
      </c>
      <c r="BN473" s="304">
        <f t="shared" si="447"/>
        <v>0.75679869524697085</v>
      </c>
      <c r="BO473" s="306">
        <f t="shared" si="448"/>
        <v>0</v>
      </c>
      <c r="BP473" s="306"/>
    </row>
    <row r="474" spans="1:68">
      <c r="A474" s="299">
        <f t="shared" si="401"/>
        <v>0</v>
      </c>
      <c r="B474" s="300">
        <f t="shared" si="402"/>
        <v>38439</v>
      </c>
      <c r="C474" s="301" t="e">
        <f t="shared" si="431"/>
        <v>#N/A</v>
      </c>
      <c r="D474" s="301" t="e">
        <f t="shared" si="403"/>
        <v>#N/A</v>
      </c>
      <c r="E474" s="299">
        <f t="shared" si="404"/>
        <v>453</v>
      </c>
      <c r="F474" s="396">
        <f>Weather!M458</f>
        <v>0</v>
      </c>
      <c r="G474" s="301">
        <f>IF(Weather!C458="","",Weather!C458)</f>
        <v>1.3686597573899133</v>
      </c>
      <c r="H474" s="301">
        <f>IF(Weather!D458="","",Weather!D458)</f>
        <v>0.68732022495647926</v>
      </c>
      <c r="I474" s="502">
        <f>IF(Weather!E458="","",Weather!E458)</f>
        <v>0.68732022495647926</v>
      </c>
      <c r="J474" s="397">
        <f>IF(RnSplint!N137&lt;0,0,RnSplint!N137)</f>
        <v>32.926590231251289</v>
      </c>
      <c r="K474" s="302">
        <f t="shared" si="432"/>
        <v>0</v>
      </c>
      <c r="L474" s="303">
        <f t="shared" si="433"/>
        <v>38439</v>
      </c>
      <c r="M474" s="346" t="str">
        <f t="shared" si="394"/>
        <v/>
      </c>
      <c r="N474" s="304">
        <f t="shared" si="434"/>
        <v>0</v>
      </c>
      <c r="O474" s="304">
        <f t="shared" si="435"/>
        <v>0</v>
      </c>
      <c r="P474" s="304">
        <f t="shared" si="405"/>
        <v>0</v>
      </c>
      <c r="Q474" s="304">
        <f t="shared" si="406"/>
        <v>0.9693345904191083</v>
      </c>
      <c r="R474" s="304">
        <f t="shared" si="407"/>
        <v>0.9693345904191083</v>
      </c>
      <c r="S474" s="305" t="e">
        <f t="shared" si="436"/>
        <v>#N/A</v>
      </c>
      <c r="T474" s="304">
        <f t="shared" si="408"/>
        <v>0</v>
      </c>
      <c r="U474" s="304">
        <f t="shared" si="446"/>
        <v>0</v>
      </c>
      <c r="V474" s="305" t="e">
        <f t="shared" si="409"/>
        <v>#N/A</v>
      </c>
      <c r="W474" s="305" t="e">
        <f t="shared" si="437"/>
        <v>#N/A</v>
      </c>
      <c r="X474" s="304">
        <f t="shared" si="438"/>
        <v>0.9693345904191083</v>
      </c>
      <c r="Z474" s="304" t="str">
        <f t="shared" si="410"/>
        <v/>
      </c>
      <c r="AA474" s="305" t="e">
        <f t="shared" si="411"/>
        <v>#N/A</v>
      </c>
      <c r="AB474" s="304">
        <f t="shared" si="412"/>
        <v>0.66624326874495821</v>
      </c>
      <c r="AC474" s="304" t="str">
        <f t="shared" si="439"/>
        <v/>
      </c>
      <c r="AD474" s="306">
        <f t="shared" si="413"/>
        <v>0</v>
      </c>
      <c r="AE474" s="307">
        <f t="shared" si="440"/>
        <v>0.66624326874495821</v>
      </c>
      <c r="AF474" s="308" t="e">
        <f t="shared" si="393"/>
        <v>#N/A</v>
      </c>
      <c r="AG474" s="306">
        <f t="shared" si="441"/>
        <v>740.40089059770867</v>
      </c>
      <c r="AH474" s="306">
        <f t="shared" si="414"/>
        <v>0</v>
      </c>
      <c r="AI474" s="306">
        <f t="shared" si="442"/>
        <v>0</v>
      </c>
      <c r="AJ474" s="306">
        <f t="shared" si="443"/>
        <v>0</v>
      </c>
      <c r="AK474" s="306">
        <f t="shared" si="415"/>
        <v>0</v>
      </c>
      <c r="AL474" s="306">
        <f t="shared" si="444"/>
        <v>0</v>
      </c>
      <c r="AM474" s="306">
        <f t="shared" si="416"/>
        <v>0</v>
      </c>
      <c r="AN474" s="306"/>
      <c r="AO474" s="304" t="str">
        <f t="shared" si="417"/>
        <v/>
      </c>
      <c r="AP474" s="304" t="str">
        <f t="shared" si="445"/>
        <v/>
      </c>
      <c r="AQ474" s="305" t="e">
        <f t="shared" si="395"/>
        <v>#N/A</v>
      </c>
      <c r="AR474" s="304" t="str">
        <f t="shared" si="396"/>
        <v/>
      </c>
      <c r="AS474" s="306">
        <f t="shared" si="418"/>
        <v>0</v>
      </c>
      <c r="AT474" s="307" t="e">
        <f t="shared" si="397"/>
        <v>#N/A</v>
      </c>
      <c r="AU474" s="307" t="e">
        <f t="shared" si="398"/>
        <v>#N/A</v>
      </c>
      <c r="AV474" s="304">
        <f t="shared" si="400"/>
        <v>0.68732022495647926</v>
      </c>
      <c r="AW474" s="309">
        <f t="shared" si="419"/>
        <v>7.4122025559290492</v>
      </c>
      <c r="AX474" s="306">
        <f>IF(ISERROR(Weather!M458),#N/A,Weather!M458)</f>
        <v>0</v>
      </c>
      <c r="AY474" s="310">
        <f t="shared" si="420"/>
        <v>6</v>
      </c>
      <c r="AZ474" s="309">
        <f t="shared" si="421"/>
        <v>0.9693345904191083</v>
      </c>
      <c r="BA474" s="309">
        <f t="shared" si="422"/>
        <v>313.01265698760534</v>
      </c>
      <c r="BB474" s="311">
        <f>Irrig!H476</f>
        <v>0</v>
      </c>
      <c r="BC474" s="310">
        <f t="shared" si="423"/>
        <v>0</v>
      </c>
      <c r="BD474" s="309">
        <f t="shared" si="424"/>
        <v>0</v>
      </c>
      <c r="BE474" s="309">
        <f t="shared" si="425"/>
        <v>0</v>
      </c>
      <c r="BF474" s="306">
        <f>DailyMet!H458</f>
        <v>15.86</v>
      </c>
      <c r="BG474" s="306">
        <f>DailyMet!I458</f>
        <v>6.5</v>
      </c>
      <c r="BH474" s="306">
        <f t="shared" si="426"/>
        <v>15.86</v>
      </c>
      <c r="BI474" s="306">
        <f t="shared" si="427"/>
        <v>10</v>
      </c>
      <c r="BJ474" s="306">
        <f t="shared" si="428"/>
        <v>2.9299999999999997</v>
      </c>
      <c r="BK474" s="306">
        <f t="shared" si="399"/>
        <v>0</v>
      </c>
      <c r="BL474" s="304">
        <f t="shared" si="429"/>
        <v>0</v>
      </c>
      <c r="BM474" s="304">
        <f t="shared" si="430"/>
        <v>1.8343803418803415</v>
      </c>
      <c r="BN474" s="304">
        <f t="shared" si="447"/>
        <v>1.8343803418803415</v>
      </c>
      <c r="BO474" s="306">
        <f t="shared" si="448"/>
        <v>0</v>
      </c>
      <c r="BP474" s="306"/>
    </row>
    <row r="475" spans="1:68">
      <c r="A475" s="299">
        <f t="shared" si="401"/>
        <v>0</v>
      </c>
      <c r="B475" s="300">
        <f t="shared" si="402"/>
        <v>38440</v>
      </c>
      <c r="C475" s="301" t="e">
        <f t="shared" si="431"/>
        <v>#N/A</v>
      </c>
      <c r="D475" s="301" t="e">
        <f t="shared" si="403"/>
        <v>#N/A</v>
      </c>
      <c r="E475" s="299">
        <f t="shared" si="404"/>
        <v>454</v>
      </c>
      <c r="F475" s="396">
        <f>Weather!M459</f>
        <v>2.6</v>
      </c>
      <c r="G475" s="301">
        <f>IF(Weather!C459="","",Weather!C459)</f>
        <v>1.3651516534565904</v>
      </c>
      <c r="H475" s="301">
        <f>IF(Weather!D459="","",Weather!D459)</f>
        <v>2.3931185072781882</v>
      </c>
      <c r="I475" s="502">
        <f>IF(Weather!E459="","",Weather!E459)</f>
        <v>2.3931185072781882</v>
      </c>
      <c r="J475" s="397">
        <f>IF(RnSplint!N138&lt;0,0,RnSplint!N138)</f>
        <v>33.004843030708727</v>
      </c>
      <c r="K475" s="302">
        <f t="shared" si="432"/>
        <v>0</v>
      </c>
      <c r="L475" s="303">
        <f t="shared" si="433"/>
        <v>38440</v>
      </c>
      <c r="M475" s="346" t="str">
        <f t="shared" si="394"/>
        <v/>
      </c>
      <c r="N475" s="304">
        <f t="shared" si="434"/>
        <v>0</v>
      </c>
      <c r="O475" s="304">
        <f t="shared" si="435"/>
        <v>0</v>
      </c>
      <c r="P475" s="304">
        <f t="shared" si="405"/>
        <v>0</v>
      </c>
      <c r="Q475" s="304">
        <f t="shared" si="406"/>
        <v>0.8390197967641817</v>
      </c>
      <c r="R475" s="304">
        <f t="shared" si="407"/>
        <v>0.8390197967641817</v>
      </c>
      <c r="S475" s="305" t="e">
        <f t="shared" si="436"/>
        <v>#N/A</v>
      </c>
      <c r="T475" s="304">
        <f t="shared" si="408"/>
        <v>0</v>
      </c>
      <c r="U475" s="304">
        <f t="shared" si="446"/>
        <v>0</v>
      </c>
      <c r="V475" s="305" t="e">
        <f t="shared" si="409"/>
        <v>#N/A</v>
      </c>
      <c r="W475" s="305" t="e">
        <f t="shared" si="437"/>
        <v>#N/A</v>
      </c>
      <c r="X475" s="304">
        <f t="shared" si="438"/>
        <v>0.8390197967641817</v>
      </c>
      <c r="Z475" s="304" t="str">
        <f t="shared" si="410"/>
        <v/>
      </c>
      <c r="AA475" s="305" t="e">
        <f t="shared" si="411"/>
        <v>#N/A</v>
      </c>
      <c r="AB475" s="304">
        <f t="shared" si="412"/>
        <v>2.0078738036091472</v>
      </c>
      <c r="AC475" s="304" t="str">
        <f t="shared" si="439"/>
        <v/>
      </c>
      <c r="AD475" s="306">
        <f t="shared" si="413"/>
        <v>0</v>
      </c>
      <c r="AE475" s="307">
        <f t="shared" si="440"/>
        <v>2.0078738036091472</v>
      </c>
      <c r="AF475" s="308" t="e">
        <f t="shared" si="393"/>
        <v>#N/A</v>
      </c>
      <c r="AG475" s="306">
        <f t="shared" si="441"/>
        <v>742.7940091049868</v>
      </c>
      <c r="AH475" s="306">
        <f t="shared" si="414"/>
        <v>0</v>
      </c>
      <c r="AI475" s="306">
        <f t="shared" si="442"/>
        <v>0</v>
      </c>
      <c r="AJ475" s="306">
        <f t="shared" si="443"/>
        <v>0</v>
      </c>
      <c r="AK475" s="306">
        <f t="shared" si="415"/>
        <v>0</v>
      </c>
      <c r="AL475" s="306">
        <f t="shared" si="444"/>
        <v>0</v>
      </c>
      <c r="AM475" s="306">
        <f t="shared" si="416"/>
        <v>0</v>
      </c>
      <c r="AN475" s="306"/>
      <c r="AO475" s="304" t="str">
        <f t="shared" si="417"/>
        <v/>
      </c>
      <c r="AP475" s="304" t="str">
        <f t="shared" si="445"/>
        <v/>
      </c>
      <c r="AQ475" s="305" t="e">
        <f t="shared" si="395"/>
        <v>#N/A</v>
      </c>
      <c r="AR475" s="304" t="str">
        <f t="shared" si="396"/>
        <v/>
      </c>
      <c r="AS475" s="306">
        <f t="shared" si="418"/>
        <v>0</v>
      </c>
      <c r="AT475" s="307" t="e">
        <f t="shared" si="397"/>
        <v>#N/A</v>
      </c>
      <c r="AU475" s="307" t="e">
        <f t="shared" si="398"/>
        <v>#N/A</v>
      </c>
      <c r="AV475" s="304">
        <f t="shared" si="400"/>
        <v>2.3931185072781882</v>
      </c>
      <c r="AW475" s="309">
        <f t="shared" si="419"/>
        <v>9.8053210632072378</v>
      </c>
      <c r="AX475" s="306">
        <f>IF(ISERROR(Weather!M459),#N/A,Weather!M459)</f>
        <v>2.6</v>
      </c>
      <c r="AY475" s="310">
        <f t="shared" si="420"/>
        <v>7</v>
      </c>
      <c r="AZ475" s="309">
        <f t="shared" si="421"/>
        <v>0.8390197967641817</v>
      </c>
      <c r="BA475" s="309">
        <f t="shared" si="422"/>
        <v>315.40577549488353</v>
      </c>
      <c r="BB475" s="311">
        <f>Irrig!H477</f>
        <v>0</v>
      </c>
      <c r="BC475" s="310">
        <f t="shared" si="423"/>
        <v>0</v>
      </c>
      <c r="BD475" s="309">
        <f t="shared" si="424"/>
        <v>0</v>
      </c>
      <c r="BE475" s="309">
        <f t="shared" si="425"/>
        <v>0</v>
      </c>
      <c r="BF475" s="306">
        <f>DailyMet!H459</f>
        <v>17.48</v>
      </c>
      <c r="BG475" s="306">
        <f>DailyMet!I459</f>
        <v>6</v>
      </c>
      <c r="BH475" s="306">
        <f t="shared" si="426"/>
        <v>17.48</v>
      </c>
      <c r="BI475" s="306">
        <f t="shared" si="427"/>
        <v>10</v>
      </c>
      <c r="BJ475" s="306">
        <f t="shared" si="428"/>
        <v>3.74</v>
      </c>
      <c r="BK475" s="306">
        <f t="shared" si="399"/>
        <v>0</v>
      </c>
      <c r="BL475" s="304">
        <f t="shared" si="429"/>
        <v>0</v>
      </c>
      <c r="BM475" s="304">
        <f t="shared" si="430"/>
        <v>2.4368641114982581</v>
      </c>
      <c r="BN475" s="304">
        <f t="shared" si="447"/>
        <v>2.4368641114982581</v>
      </c>
      <c r="BO475" s="306">
        <f t="shared" si="448"/>
        <v>0</v>
      </c>
      <c r="BP475" s="306"/>
    </row>
    <row r="476" spans="1:68">
      <c r="A476" s="299">
        <f t="shared" si="401"/>
        <v>0</v>
      </c>
      <c r="B476" s="300">
        <f t="shared" si="402"/>
        <v>38441</v>
      </c>
      <c r="C476" s="301" t="e">
        <f t="shared" si="431"/>
        <v>#N/A</v>
      </c>
      <c r="D476" s="301" t="e">
        <f t="shared" si="403"/>
        <v>#N/A</v>
      </c>
      <c r="E476" s="299">
        <f t="shared" si="404"/>
        <v>455</v>
      </c>
      <c r="F476" s="396">
        <f>Weather!M460</f>
        <v>2.2000000000000002</v>
      </c>
      <c r="G476" s="301">
        <f>IF(Weather!C460="","",Weather!C460)</f>
        <v>1.3614445324900508</v>
      </c>
      <c r="H476" s="301">
        <f>IF(Weather!D460="","",Weather!D460)</f>
        <v>2.1526092770776621</v>
      </c>
      <c r="I476" s="502">
        <f>IF(Weather!E460="","",Weather!E460)</f>
        <v>2.1526092770776621</v>
      </c>
      <c r="J476" s="397">
        <f>IF(RnSplint!N139&lt;0,0,RnSplint!N139)</f>
        <v>33.064496889565589</v>
      </c>
      <c r="K476" s="302">
        <f t="shared" si="432"/>
        <v>0</v>
      </c>
      <c r="L476" s="303">
        <f t="shared" si="433"/>
        <v>38441</v>
      </c>
      <c r="M476" s="346" t="str">
        <f t="shared" si="394"/>
        <v/>
      </c>
      <c r="N476" s="304">
        <f t="shared" si="434"/>
        <v>0</v>
      </c>
      <c r="O476" s="304">
        <f t="shared" si="435"/>
        <v>0</v>
      </c>
      <c r="P476" s="304">
        <f t="shared" si="405"/>
        <v>0</v>
      </c>
      <c r="Q476" s="304">
        <f t="shared" si="406"/>
        <v>0.75734890307378222</v>
      </c>
      <c r="R476" s="304">
        <f t="shared" si="407"/>
        <v>0.75734890307378222</v>
      </c>
      <c r="S476" s="305" t="e">
        <f t="shared" si="436"/>
        <v>#N/A</v>
      </c>
      <c r="T476" s="304">
        <f t="shared" si="408"/>
        <v>0</v>
      </c>
      <c r="U476" s="304">
        <f t="shared" si="446"/>
        <v>0</v>
      </c>
      <c r="V476" s="305" t="e">
        <f t="shared" si="409"/>
        <v>#N/A</v>
      </c>
      <c r="W476" s="305" t="e">
        <f t="shared" si="437"/>
        <v>#N/A</v>
      </c>
      <c r="X476" s="304">
        <f t="shared" si="438"/>
        <v>0.75734890307378222</v>
      </c>
      <c r="Z476" s="304" t="str">
        <f t="shared" si="410"/>
        <v/>
      </c>
      <c r="AA476" s="305" t="e">
        <f t="shared" si="411"/>
        <v>#N/A</v>
      </c>
      <c r="AB476" s="304">
        <f t="shared" si="412"/>
        <v>1.6302762747412147</v>
      </c>
      <c r="AC476" s="304" t="str">
        <f t="shared" si="439"/>
        <v/>
      </c>
      <c r="AD476" s="306">
        <f t="shared" si="413"/>
        <v>0</v>
      </c>
      <c r="AE476" s="307">
        <f t="shared" si="440"/>
        <v>1.6302762747412147</v>
      </c>
      <c r="AF476" s="308" t="e">
        <f t="shared" si="393"/>
        <v>#N/A</v>
      </c>
      <c r="AG476" s="306">
        <f t="shared" si="441"/>
        <v>744.94661838206446</v>
      </c>
      <c r="AH476" s="306">
        <f t="shared" si="414"/>
        <v>0</v>
      </c>
      <c r="AI476" s="306">
        <f t="shared" si="442"/>
        <v>0</v>
      </c>
      <c r="AJ476" s="306">
        <f t="shared" si="443"/>
        <v>0</v>
      </c>
      <c r="AK476" s="306">
        <f t="shared" si="415"/>
        <v>0</v>
      </c>
      <c r="AL476" s="306">
        <f t="shared" si="444"/>
        <v>0</v>
      </c>
      <c r="AM476" s="306">
        <f t="shared" si="416"/>
        <v>0</v>
      </c>
      <c r="AN476" s="306"/>
      <c r="AO476" s="304" t="str">
        <f t="shared" si="417"/>
        <v/>
      </c>
      <c r="AP476" s="304" t="str">
        <f t="shared" si="445"/>
        <v/>
      </c>
      <c r="AQ476" s="305" t="e">
        <f t="shared" si="395"/>
        <v>#N/A</v>
      </c>
      <c r="AR476" s="304" t="str">
        <f t="shared" si="396"/>
        <v/>
      </c>
      <c r="AS476" s="306">
        <f t="shared" si="418"/>
        <v>0</v>
      </c>
      <c r="AT476" s="307" t="e">
        <f t="shared" si="397"/>
        <v>#N/A</v>
      </c>
      <c r="AU476" s="307" t="e">
        <f t="shared" si="398"/>
        <v>#N/A</v>
      </c>
      <c r="AV476" s="304">
        <f t="shared" si="400"/>
        <v>2.1526092770776621</v>
      </c>
      <c r="AW476" s="309">
        <f t="shared" si="419"/>
        <v>11.9579303402849</v>
      </c>
      <c r="AX476" s="306">
        <f>IF(ISERROR(Weather!M460),#N/A,Weather!M460)</f>
        <v>2.2000000000000002</v>
      </c>
      <c r="AY476" s="310">
        <f t="shared" si="420"/>
        <v>8</v>
      </c>
      <c r="AZ476" s="309">
        <f t="shared" si="421"/>
        <v>0.75734890307378222</v>
      </c>
      <c r="BA476" s="309">
        <f t="shared" si="422"/>
        <v>317.55838477196119</v>
      </c>
      <c r="BB476" s="311">
        <f>Irrig!H478</f>
        <v>0</v>
      </c>
      <c r="BC476" s="310">
        <f t="shared" si="423"/>
        <v>0</v>
      </c>
      <c r="BD476" s="309">
        <f t="shared" si="424"/>
        <v>0</v>
      </c>
      <c r="BE476" s="309">
        <f t="shared" si="425"/>
        <v>0</v>
      </c>
      <c r="BF476" s="306">
        <f>DailyMet!H460</f>
        <v>18.34</v>
      </c>
      <c r="BG476" s="306">
        <f>DailyMet!I460</f>
        <v>11</v>
      </c>
      <c r="BH476" s="306">
        <f t="shared" si="426"/>
        <v>18.34</v>
      </c>
      <c r="BI476" s="306">
        <f t="shared" si="427"/>
        <v>11</v>
      </c>
      <c r="BJ476" s="306">
        <f t="shared" si="428"/>
        <v>4.67</v>
      </c>
      <c r="BK476" s="306">
        <f t="shared" si="399"/>
        <v>0</v>
      </c>
      <c r="BL476" s="304">
        <f t="shared" si="429"/>
        <v>0</v>
      </c>
      <c r="BM476" s="304">
        <f t="shared" si="430"/>
        <v>4.67</v>
      </c>
      <c r="BN476" s="304">
        <f t="shared" si="447"/>
        <v>4.67</v>
      </c>
      <c r="BO476" s="306">
        <f t="shared" si="448"/>
        <v>0</v>
      </c>
      <c r="BP476" s="306"/>
    </row>
    <row r="477" spans="1:68">
      <c r="A477" s="299">
        <f t="shared" si="401"/>
        <v>0</v>
      </c>
      <c r="B477" s="300">
        <f t="shared" si="402"/>
        <v>38442</v>
      </c>
      <c r="C477" s="301" t="e">
        <f t="shared" si="431"/>
        <v>#N/A</v>
      </c>
      <c r="D477" s="301" t="e">
        <f t="shared" si="403"/>
        <v>#N/A</v>
      </c>
      <c r="E477" s="299">
        <f t="shared" si="404"/>
        <v>456</v>
      </c>
      <c r="F477" s="396">
        <f>Weather!M461</f>
        <v>5.6</v>
      </c>
      <c r="G477" s="301">
        <f>IF(Weather!C461="","",Weather!C461)</f>
        <v>1.3577121274905322</v>
      </c>
      <c r="H477" s="301">
        <f>IF(Weather!D461="","",Weather!D461)</f>
        <v>2.5106888403813876</v>
      </c>
      <c r="I477" s="502">
        <f>IF(Weather!E461="","",Weather!E461)</f>
        <v>2.5106888403813876</v>
      </c>
      <c r="J477" s="397">
        <f>IF(RnSplint!N140&lt;0,0,RnSplint!N140)</f>
        <v>33.104279388236492</v>
      </c>
      <c r="K477" s="302">
        <f t="shared" si="432"/>
        <v>0</v>
      </c>
      <c r="L477" s="303">
        <f t="shared" si="433"/>
        <v>38442</v>
      </c>
      <c r="M477" s="346">
        <f t="shared" si="394"/>
        <v>3</v>
      </c>
      <c r="N477" s="304">
        <f t="shared" si="434"/>
        <v>0</v>
      </c>
      <c r="O477" s="304">
        <f t="shared" si="435"/>
        <v>0</v>
      </c>
      <c r="P477" s="304">
        <f t="shared" si="405"/>
        <v>0</v>
      </c>
      <c r="Q477" s="304">
        <f t="shared" si="406"/>
        <v>1.2</v>
      </c>
      <c r="R477" s="304">
        <f t="shared" si="407"/>
        <v>1.2</v>
      </c>
      <c r="S477" s="305" t="e">
        <f t="shared" si="436"/>
        <v>#N/A</v>
      </c>
      <c r="T477" s="304">
        <f t="shared" si="408"/>
        <v>0</v>
      </c>
      <c r="U477" s="304">
        <f t="shared" si="446"/>
        <v>0</v>
      </c>
      <c r="V477" s="305" t="e">
        <f t="shared" si="409"/>
        <v>#N/A</v>
      </c>
      <c r="W477" s="305" t="e">
        <f t="shared" si="437"/>
        <v>#N/A</v>
      </c>
      <c r="X477" s="304">
        <f t="shared" si="438"/>
        <v>1.2</v>
      </c>
      <c r="Z477" s="304" t="str">
        <f t="shared" si="410"/>
        <v/>
      </c>
      <c r="AA477" s="305" t="e">
        <f t="shared" si="411"/>
        <v>#N/A</v>
      </c>
      <c r="AB477" s="304">
        <f t="shared" si="412"/>
        <v>3.0128266084576651</v>
      </c>
      <c r="AC477" s="304" t="str">
        <f t="shared" si="439"/>
        <v/>
      </c>
      <c r="AD477" s="306">
        <f t="shared" si="413"/>
        <v>0</v>
      </c>
      <c r="AE477" s="307">
        <f t="shared" si="440"/>
        <v>3.0128266084576651</v>
      </c>
      <c r="AF477" s="308" t="e">
        <f t="shared" si="393"/>
        <v>#N/A</v>
      </c>
      <c r="AG477" s="306">
        <f t="shared" si="441"/>
        <v>747.45730722244582</v>
      </c>
      <c r="AH477" s="306">
        <f t="shared" si="414"/>
        <v>0</v>
      </c>
      <c r="AI477" s="306">
        <f t="shared" si="442"/>
        <v>0</v>
      </c>
      <c r="AJ477" s="306">
        <f t="shared" si="443"/>
        <v>0</v>
      </c>
      <c r="AK477" s="306">
        <f t="shared" si="415"/>
        <v>0</v>
      </c>
      <c r="AL477" s="306">
        <f t="shared" si="444"/>
        <v>0</v>
      </c>
      <c r="AM477" s="306">
        <f t="shared" si="416"/>
        <v>0</v>
      </c>
      <c r="AN477" s="306"/>
      <c r="AO477" s="304" t="str">
        <f t="shared" si="417"/>
        <v/>
      </c>
      <c r="AP477" s="304" t="str">
        <f t="shared" si="445"/>
        <v/>
      </c>
      <c r="AQ477" s="305" t="e">
        <f t="shared" si="395"/>
        <v>#N/A</v>
      </c>
      <c r="AR477" s="304" t="str">
        <f t="shared" si="396"/>
        <v/>
      </c>
      <c r="AS477" s="306">
        <f t="shared" si="418"/>
        <v>0</v>
      </c>
      <c r="AT477" s="307" t="e">
        <f t="shared" si="397"/>
        <v>#N/A</v>
      </c>
      <c r="AU477" s="307" t="e">
        <f t="shared" si="398"/>
        <v>#N/A</v>
      </c>
      <c r="AV477" s="304">
        <f t="shared" si="400"/>
        <v>2.5106888403813876</v>
      </c>
      <c r="AW477" s="309">
        <f t="shared" si="419"/>
        <v>2.5106888403813876</v>
      </c>
      <c r="AX477" s="306">
        <f>IF(ISERROR(Weather!M461),#N/A,Weather!M461)</f>
        <v>5.6</v>
      </c>
      <c r="AY477" s="310">
        <f t="shared" si="420"/>
        <v>1</v>
      </c>
      <c r="AZ477" s="309">
        <f t="shared" si="421"/>
        <v>1.2</v>
      </c>
      <c r="BA477" s="309">
        <f t="shared" si="422"/>
        <v>320.06907361234255</v>
      </c>
      <c r="BB477" s="311">
        <f>Irrig!H479</f>
        <v>0</v>
      </c>
      <c r="BC477" s="310">
        <f t="shared" si="423"/>
        <v>0</v>
      </c>
      <c r="BD477" s="309">
        <f t="shared" si="424"/>
        <v>0</v>
      </c>
      <c r="BE477" s="309">
        <f t="shared" si="425"/>
        <v>0</v>
      </c>
      <c r="BF477" s="306">
        <f>DailyMet!H461</f>
        <v>15.09</v>
      </c>
      <c r="BG477" s="306">
        <f>DailyMet!I461</f>
        <v>6.6</v>
      </c>
      <c r="BH477" s="306">
        <f t="shared" si="426"/>
        <v>15.09</v>
      </c>
      <c r="BI477" s="306">
        <f t="shared" si="427"/>
        <v>10</v>
      </c>
      <c r="BJ477" s="306">
        <f t="shared" si="428"/>
        <v>2.5449999999999999</v>
      </c>
      <c r="BK477" s="306">
        <f t="shared" si="399"/>
        <v>0</v>
      </c>
      <c r="BL477" s="304">
        <f t="shared" si="429"/>
        <v>0</v>
      </c>
      <c r="BM477" s="304">
        <f t="shared" si="430"/>
        <v>1.5258009422850409</v>
      </c>
      <c r="BN477" s="304">
        <f t="shared" si="447"/>
        <v>1.5258009422850409</v>
      </c>
      <c r="BO477" s="306">
        <f t="shared" si="448"/>
        <v>0</v>
      </c>
      <c r="BP477" s="306"/>
    </row>
    <row r="478" spans="1:68">
      <c r="A478" s="299">
        <f t="shared" si="401"/>
        <v>0</v>
      </c>
      <c r="B478" s="300">
        <f t="shared" si="402"/>
        <v>38443</v>
      </c>
      <c r="C478" s="301" t="e">
        <f t="shared" si="431"/>
        <v>#N/A</v>
      </c>
      <c r="D478" s="301" t="e">
        <f t="shared" si="403"/>
        <v>#N/A</v>
      </c>
      <c r="E478" s="299">
        <f t="shared" si="404"/>
        <v>457</v>
      </c>
      <c r="F478" s="396">
        <f>Weather!M462</f>
        <v>9.1999999999999993</v>
      </c>
      <c r="G478" s="301">
        <f>IF(Weather!C462="","",Weather!C462)</f>
        <v>1.3541281714582716</v>
      </c>
      <c r="H478" s="301">
        <f>IF(Weather!D462="","",Weather!D462)</f>
        <v>0.93869359143232689</v>
      </c>
      <c r="I478" s="502">
        <f>IF(Weather!E462="","",Weather!E462)</f>
        <v>0.93869359143232689</v>
      </c>
      <c r="J478" s="397">
        <f>IF(RnSplint!N141&lt;0,0,RnSplint!N141)</f>
        <v>33.122918107136044</v>
      </c>
      <c r="K478" s="302">
        <f t="shared" si="432"/>
        <v>0</v>
      </c>
      <c r="L478" s="303">
        <f t="shared" si="433"/>
        <v>38443</v>
      </c>
      <c r="M478" s="346" t="str">
        <f t="shared" si="394"/>
        <v/>
      </c>
      <c r="N478" s="304">
        <f t="shared" si="434"/>
        <v>0</v>
      </c>
      <c r="O478" s="304">
        <f t="shared" si="435"/>
        <v>0</v>
      </c>
      <c r="P478" s="304">
        <f t="shared" si="405"/>
        <v>0</v>
      </c>
      <c r="Q478" s="304">
        <f t="shared" si="406"/>
        <v>1.2</v>
      </c>
      <c r="R478" s="304">
        <f t="shared" si="407"/>
        <v>1.2</v>
      </c>
      <c r="S478" s="305" t="e">
        <f t="shared" si="436"/>
        <v>#N/A</v>
      </c>
      <c r="T478" s="304">
        <f t="shared" si="408"/>
        <v>0</v>
      </c>
      <c r="U478" s="304">
        <f t="shared" si="446"/>
        <v>0</v>
      </c>
      <c r="V478" s="305" t="e">
        <f t="shared" si="409"/>
        <v>#N/A</v>
      </c>
      <c r="W478" s="305" t="e">
        <f t="shared" si="437"/>
        <v>#N/A</v>
      </c>
      <c r="X478" s="304">
        <f t="shared" si="438"/>
        <v>1.2</v>
      </c>
      <c r="Z478" s="304" t="str">
        <f t="shared" si="410"/>
        <v/>
      </c>
      <c r="AA478" s="305" t="e">
        <f t="shared" si="411"/>
        <v>#N/A</v>
      </c>
      <c r="AB478" s="304">
        <f t="shared" si="412"/>
        <v>1.1264323097187923</v>
      </c>
      <c r="AC478" s="304" t="str">
        <f t="shared" si="439"/>
        <v/>
      </c>
      <c r="AD478" s="306">
        <f t="shared" si="413"/>
        <v>0</v>
      </c>
      <c r="AE478" s="307">
        <f t="shared" si="440"/>
        <v>1.1264323097187923</v>
      </c>
      <c r="AF478" s="308" t="e">
        <f t="shared" si="393"/>
        <v>#N/A</v>
      </c>
      <c r="AG478" s="306">
        <f t="shared" si="441"/>
        <v>748.39600081387812</v>
      </c>
      <c r="AH478" s="306">
        <f t="shared" si="414"/>
        <v>0</v>
      </c>
      <c r="AI478" s="306">
        <f t="shared" si="442"/>
        <v>0</v>
      </c>
      <c r="AJ478" s="306">
        <f t="shared" si="443"/>
        <v>0</v>
      </c>
      <c r="AK478" s="306">
        <f t="shared" si="415"/>
        <v>0</v>
      </c>
      <c r="AL478" s="306">
        <f t="shared" si="444"/>
        <v>0</v>
      </c>
      <c r="AM478" s="306">
        <f t="shared" si="416"/>
        <v>0</v>
      </c>
      <c r="AN478" s="306"/>
      <c r="AO478" s="304" t="str">
        <f t="shared" si="417"/>
        <v/>
      </c>
      <c r="AP478" s="304" t="str">
        <f t="shared" si="445"/>
        <v/>
      </c>
      <c r="AQ478" s="305" t="e">
        <f t="shared" si="395"/>
        <v>#N/A</v>
      </c>
      <c r="AR478" s="304" t="str">
        <f t="shared" si="396"/>
        <v/>
      </c>
      <c r="AS478" s="306">
        <f t="shared" si="418"/>
        <v>0</v>
      </c>
      <c r="AT478" s="307" t="e">
        <f t="shared" si="397"/>
        <v>#N/A</v>
      </c>
      <c r="AU478" s="307" t="e">
        <f t="shared" si="398"/>
        <v>#N/A</v>
      </c>
      <c r="AV478" s="304">
        <f t="shared" si="400"/>
        <v>0.93869359143232689</v>
      </c>
      <c r="AW478" s="309">
        <f t="shared" si="419"/>
        <v>0.93869359143232689</v>
      </c>
      <c r="AX478" s="306">
        <f>IF(ISERROR(Weather!M462),#N/A,Weather!M462)</f>
        <v>9.1999999999999993</v>
      </c>
      <c r="AY478" s="310">
        <f t="shared" si="420"/>
        <v>1</v>
      </c>
      <c r="AZ478" s="309">
        <f t="shared" si="421"/>
        <v>1.2</v>
      </c>
      <c r="BA478" s="309">
        <f t="shared" si="422"/>
        <v>321.0077672037749</v>
      </c>
      <c r="BB478" s="311">
        <f>Irrig!H480</f>
        <v>0</v>
      </c>
      <c r="BC478" s="310">
        <f t="shared" si="423"/>
        <v>0</v>
      </c>
      <c r="BD478" s="309">
        <f t="shared" si="424"/>
        <v>0</v>
      </c>
      <c r="BE478" s="309">
        <f t="shared" si="425"/>
        <v>0</v>
      </c>
      <c r="BF478" s="306">
        <f>DailyMet!H462</f>
        <v>10.37</v>
      </c>
      <c r="BG478" s="306">
        <f>DailyMet!I462</f>
        <v>4.7</v>
      </c>
      <c r="BH478" s="306">
        <f t="shared" si="426"/>
        <v>10.37</v>
      </c>
      <c r="BI478" s="306">
        <f t="shared" si="427"/>
        <v>10</v>
      </c>
      <c r="BJ478" s="306">
        <f t="shared" si="428"/>
        <v>0.18499999999999872</v>
      </c>
      <c r="BK478" s="306">
        <f t="shared" si="399"/>
        <v>0</v>
      </c>
      <c r="BL478" s="304">
        <f t="shared" si="429"/>
        <v>0</v>
      </c>
      <c r="BM478" s="304">
        <f t="shared" si="430"/>
        <v>1.207231040564369E-2</v>
      </c>
      <c r="BN478" s="304">
        <f t="shared" si="447"/>
        <v>1.207231040564369E-2</v>
      </c>
      <c r="BO478" s="306">
        <f t="shared" si="448"/>
        <v>0</v>
      </c>
      <c r="BP478" s="306"/>
    </row>
    <row r="479" spans="1:68">
      <c r="A479" s="299">
        <f t="shared" si="401"/>
        <v>0</v>
      </c>
      <c r="B479" s="300">
        <f t="shared" si="402"/>
        <v>38444</v>
      </c>
      <c r="C479" s="301" t="e">
        <f t="shared" si="431"/>
        <v>#N/A</v>
      </c>
      <c r="D479" s="301" t="e">
        <f t="shared" si="403"/>
        <v>#N/A</v>
      </c>
      <c r="E479" s="299">
        <f t="shared" si="404"/>
        <v>458</v>
      </c>
      <c r="F479" s="396">
        <f>Weather!M463</f>
        <v>0.6</v>
      </c>
      <c r="G479" s="301">
        <f>IF(Weather!C463="","",Weather!C463)</f>
        <v>1.3508663973935069</v>
      </c>
      <c r="H479" s="301">
        <f>IF(Weather!D463="","",Weather!D463)</f>
        <v>1.6167318103592816</v>
      </c>
      <c r="I479" s="502">
        <f>IF(Weather!E463="","",Weather!E463)</f>
        <v>1.6167318103592816</v>
      </c>
      <c r="J479" s="397">
        <f>IF(RnSplint!N142&lt;0,0,RnSplint!N142)</f>
        <v>33.119140626678835</v>
      </c>
      <c r="K479" s="302">
        <f t="shared" si="432"/>
        <v>0</v>
      </c>
      <c r="L479" s="303">
        <f t="shared" si="433"/>
        <v>38444</v>
      </c>
      <c r="M479" s="346" t="str">
        <f t="shared" si="394"/>
        <v/>
      </c>
      <c r="N479" s="304">
        <f t="shared" si="434"/>
        <v>0</v>
      </c>
      <c r="O479" s="304">
        <f t="shared" si="435"/>
        <v>0</v>
      </c>
      <c r="P479" s="304">
        <f t="shared" si="405"/>
        <v>0</v>
      </c>
      <c r="Q479" s="304">
        <f t="shared" si="406"/>
        <v>1.2</v>
      </c>
      <c r="R479" s="304">
        <f t="shared" si="407"/>
        <v>1.2</v>
      </c>
      <c r="S479" s="305" t="e">
        <f t="shared" si="436"/>
        <v>#N/A</v>
      </c>
      <c r="T479" s="304">
        <f t="shared" si="408"/>
        <v>0</v>
      </c>
      <c r="U479" s="304">
        <f t="shared" si="446"/>
        <v>0</v>
      </c>
      <c r="V479" s="305" t="e">
        <f t="shared" si="409"/>
        <v>#N/A</v>
      </c>
      <c r="W479" s="305" t="e">
        <f t="shared" si="437"/>
        <v>#N/A</v>
      </c>
      <c r="X479" s="304">
        <f t="shared" si="438"/>
        <v>1.2</v>
      </c>
      <c r="Z479" s="304" t="str">
        <f t="shared" si="410"/>
        <v/>
      </c>
      <c r="AA479" s="305" t="e">
        <f t="shared" si="411"/>
        <v>#N/A</v>
      </c>
      <c r="AB479" s="304">
        <f t="shared" si="412"/>
        <v>1.9400781724311378</v>
      </c>
      <c r="AC479" s="304" t="str">
        <f t="shared" si="439"/>
        <v/>
      </c>
      <c r="AD479" s="306">
        <f t="shared" si="413"/>
        <v>0</v>
      </c>
      <c r="AE479" s="307">
        <f t="shared" si="440"/>
        <v>1.9400781724311378</v>
      </c>
      <c r="AF479" s="308" t="e">
        <f t="shared" si="393"/>
        <v>#N/A</v>
      </c>
      <c r="AG479" s="306">
        <f t="shared" si="441"/>
        <v>750.0127326242374</v>
      </c>
      <c r="AH479" s="306">
        <f t="shared" si="414"/>
        <v>0</v>
      </c>
      <c r="AI479" s="306">
        <f t="shared" si="442"/>
        <v>0</v>
      </c>
      <c r="AJ479" s="306">
        <f t="shared" si="443"/>
        <v>0</v>
      </c>
      <c r="AK479" s="306">
        <f t="shared" si="415"/>
        <v>0</v>
      </c>
      <c r="AL479" s="306">
        <f t="shared" si="444"/>
        <v>0</v>
      </c>
      <c r="AM479" s="306">
        <f t="shared" si="416"/>
        <v>0</v>
      </c>
      <c r="AN479" s="306"/>
      <c r="AO479" s="304" t="str">
        <f t="shared" si="417"/>
        <v/>
      </c>
      <c r="AP479" s="304" t="str">
        <f t="shared" si="445"/>
        <v/>
      </c>
      <c r="AQ479" s="305" t="e">
        <f t="shared" si="395"/>
        <v>#N/A</v>
      </c>
      <c r="AR479" s="304" t="str">
        <f t="shared" si="396"/>
        <v/>
      </c>
      <c r="AS479" s="306">
        <f t="shared" si="418"/>
        <v>0</v>
      </c>
      <c r="AT479" s="307" t="e">
        <f t="shared" si="397"/>
        <v>#N/A</v>
      </c>
      <c r="AU479" s="307" t="e">
        <f t="shared" si="398"/>
        <v>#N/A</v>
      </c>
      <c r="AV479" s="304">
        <f t="shared" si="400"/>
        <v>1.6167318103592816</v>
      </c>
      <c r="AW479" s="309">
        <f t="shared" si="419"/>
        <v>2.5554254017916085</v>
      </c>
      <c r="AX479" s="306">
        <f>IF(ISERROR(Weather!M463),#N/A,Weather!M463)</f>
        <v>0.6</v>
      </c>
      <c r="AY479" s="310">
        <f t="shared" si="420"/>
        <v>2</v>
      </c>
      <c r="AZ479" s="309">
        <f t="shared" si="421"/>
        <v>1.2</v>
      </c>
      <c r="BA479" s="309">
        <f t="shared" si="422"/>
        <v>322.62449901413419</v>
      </c>
      <c r="BB479" s="311">
        <f>Irrig!H481</f>
        <v>0</v>
      </c>
      <c r="BC479" s="310">
        <f t="shared" si="423"/>
        <v>0</v>
      </c>
      <c r="BD479" s="309">
        <f t="shared" si="424"/>
        <v>0</v>
      </c>
      <c r="BE479" s="309">
        <f t="shared" si="425"/>
        <v>0</v>
      </c>
      <c r="BF479" s="306">
        <f>DailyMet!H463</f>
        <v>10.85</v>
      </c>
      <c r="BG479" s="306">
        <f>DailyMet!I463</f>
        <v>1.7</v>
      </c>
      <c r="BH479" s="306">
        <f t="shared" si="426"/>
        <v>10.85</v>
      </c>
      <c r="BI479" s="306">
        <f t="shared" si="427"/>
        <v>10</v>
      </c>
      <c r="BJ479" s="306">
        <f t="shared" si="428"/>
        <v>0.42500000000000071</v>
      </c>
      <c r="BK479" s="306">
        <f t="shared" si="399"/>
        <v>0</v>
      </c>
      <c r="BL479" s="304">
        <f t="shared" si="429"/>
        <v>0</v>
      </c>
      <c r="BM479" s="304">
        <f t="shared" si="430"/>
        <v>3.9480874316939855E-2</v>
      </c>
      <c r="BN479" s="304">
        <f t="shared" si="447"/>
        <v>3.9480874316939855E-2</v>
      </c>
      <c r="BO479" s="306">
        <f t="shared" si="448"/>
        <v>0</v>
      </c>
      <c r="BP479" s="306"/>
    </row>
    <row r="480" spans="1:68">
      <c r="A480" s="299">
        <f t="shared" si="401"/>
        <v>0</v>
      </c>
      <c r="B480" s="300">
        <f t="shared" si="402"/>
        <v>38445</v>
      </c>
      <c r="C480" s="301" t="e">
        <f t="shared" si="431"/>
        <v>#N/A</v>
      </c>
      <c r="D480" s="301" t="e">
        <f t="shared" si="403"/>
        <v>#N/A</v>
      </c>
      <c r="E480" s="299">
        <f t="shared" si="404"/>
        <v>459</v>
      </c>
      <c r="F480" s="396">
        <f>Weather!M464</f>
        <v>0</v>
      </c>
      <c r="G480" s="301">
        <f>IF(Weather!C464="","",Weather!C464)</f>
        <v>1.3481005382964759</v>
      </c>
      <c r="H480" s="301">
        <f>IF(Weather!D464="","",Weather!D464)</f>
        <v>1.8984918973670475</v>
      </c>
      <c r="I480" s="502">
        <f>IF(Weather!E464="","",Weather!E464)</f>
        <v>1.8984918973670475</v>
      </c>
      <c r="J480" s="397">
        <f>IF(RnSplint!N143&lt;0,0,RnSplint!N143)</f>
        <v>33.091674527279494</v>
      </c>
      <c r="K480" s="302">
        <f t="shared" si="432"/>
        <v>0</v>
      </c>
      <c r="L480" s="303">
        <f t="shared" si="433"/>
        <v>38445</v>
      </c>
      <c r="M480" s="346" t="str">
        <f t="shared" si="394"/>
        <v/>
      </c>
      <c r="N480" s="304">
        <f t="shared" si="434"/>
        <v>0</v>
      </c>
      <c r="O480" s="304">
        <f t="shared" si="435"/>
        <v>0</v>
      </c>
      <c r="P480" s="304">
        <f t="shared" si="405"/>
        <v>0</v>
      </c>
      <c r="Q480" s="304">
        <f t="shared" si="406"/>
        <v>1.2</v>
      </c>
      <c r="R480" s="304">
        <f t="shared" si="407"/>
        <v>1.2</v>
      </c>
      <c r="S480" s="305" t="e">
        <f t="shared" si="436"/>
        <v>#N/A</v>
      </c>
      <c r="T480" s="304">
        <f t="shared" si="408"/>
        <v>0</v>
      </c>
      <c r="U480" s="304">
        <f t="shared" si="446"/>
        <v>0</v>
      </c>
      <c r="V480" s="305" t="e">
        <f t="shared" si="409"/>
        <v>#N/A</v>
      </c>
      <c r="W480" s="305" t="e">
        <f t="shared" si="437"/>
        <v>#N/A</v>
      </c>
      <c r="X480" s="304">
        <f t="shared" si="438"/>
        <v>1.2</v>
      </c>
      <c r="Z480" s="304" t="str">
        <f t="shared" si="410"/>
        <v/>
      </c>
      <c r="AA480" s="305" t="e">
        <f t="shared" si="411"/>
        <v>#N/A</v>
      </c>
      <c r="AB480" s="304">
        <f t="shared" si="412"/>
        <v>2.2781902768404567</v>
      </c>
      <c r="AC480" s="304" t="str">
        <f t="shared" si="439"/>
        <v/>
      </c>
      <c r="AD480" s="306">
        <f t="shared" si="413"/>
        <v>0</v>
      </c>
      <c r="AE480" s="307">
        <f t="shared" si="440"/>
        <v>2.2781902768404567</v>
      </c>
      <c r="AF480" s="308" t="e">
        <f t="shared" si="393"/>
        <v>#N/A</v>
      </c>
      <c r="AG480" s="306">
        <f t="shared" si="441"/>
        <v>751.91122452160448</v>
      </c>
      <c r="AH480" s="306">
        <f t="shared" si="414"/>
        <v>0</v>
      </c>
      <c r="AI480" s="306">
        <f t="shared" si="442"/>
        <v>0</v>
      </c>
      <c r="AJ480" s="306">
        <f t="shared" si="443"/>
        <v>0</v>
      </c>
      <c r="AK480" s="306">
        <f t="shared" si="415"/>
        <v>0</v>
      </c>
      <c r="AL480" s="306">
        <f t="shared" si="444"/>
        <v>0</v>
      </c>
      <c r="AM480" s="306">
        <f t="shared" si="416"/>
        <v>0</v>
      </c>
      <c r="AN480" s="306"/>
      <c r="AO480" s="304" t="str">
        <f t="shared" si="417"/>
        <v/>
      </c>
      <c r="AP480" s="304" t="str">
        <f t="shared" si="445"/>
        <v/>
      </c>
      <c r="AQ480" s="305" t="e">
        <f t="shared" si="395"/>
        <v>#N/A</v>
      </c>
      <c r="AR480" s="304" t="str">
        <f t="shared" si="396"/>
        <v/>
      </c>
      <c r="AS480" s="306">
        <f t="shared" si="418"/>
        <v>0</v>
      </c>
      <c r="AT480" s="307" t="e">
        <f t="shared" si="397"/>
        <v>#N/A</v>
      </c>
      <c r="AU480" s="307" t="e">
        <f t="shared" si="398"/>
        <v>#N/A</v>
      </c>
      <c r="AV480" s="304">
        <f t="shared" si="400"/>
        <v>1.8984918973670475</v>
      </c>
      <c r="AW480" s="309">
        <f t="shared" si="419"/>
        <v>4.4539172991586558</v>
      </c>
      <c r="AX480" s="306">
        <f>IF(ISERROR(Weather!M464),#N/A,Weather!M464)</f>
        <v>0</v>
      </c>
      <c r="AY480" s="310">
        <f t="shared" si="420"/>
        <v>3</v>
      </c>
      <c r="AZ480" s="309">
        <f t="shared" si="421"/>
        <v>1.2</v>
      </c>
      <c r="BA480" s="309">
        <f t="shared" si="422"/>
        <v>324.52299091150121</v>
      </c>
      <c r="BB480" s="311">
        <f>Irrig!H482</f>
        <v>0</v>
      </c>
      <c r="BC480" s="310">
        <f t="shared" si="423"/>
        <v>0</v>
      </c>
      <c r="BD480" s="309">
        <f t="shared" si="424"/>
        <v>0</v>
      </c>
      <c r="BE480" s="309">
        <f t="shared" si="425"/>
        <v>0</v>
      </c>
      <c r="BF480" s="306">
        <f>DailyMet!H464</f>
        <v>11.95</v>
      </c>
      <c r="BG480" s="306">
        <f>DailyMet!I464</f>
        <v>6.3</v>
      </c>
      <c r="BH480" s="306">
        <f t="shared" si="426"/>
        <v>11.95</v>
      </c>
      <c r="BI480" s="306">
        <f t="shared" si="427"/>
        <v>10</v>
      </c>
      <c r="BJ480" s="306">
        <f t="shared" si="428"/>
        <v>0.97499999999999964</v>
      </c>
      <c r="BK480" s="306">
        <f t="shared" si="399"/>
        <v>0</v>
      </c>
      <c r="BL480" s="304">
        <f t="shared" si="429"/>
        <v>0</v>
      </c>
      <c r="BM480" s="304">
        <f t="shared" si="430"/>
        <v>0.33650442477876086</v>
      </c>
      <c r="BN480" s="304">
        <f t="shared" si="447"/>
        <v>0.33650442477876086</v>
      </c>
      <c r="BO480" s="306">
        <f t="shared" si="448"/>
        <v>0</v>
      </c>
      <c r="BP480" s="306"/>
    </row>
    <row r="481" spans="1:68">
      <c r="A481" s="299">
        <f t="shared" si="401"/>
        <v>0</v>
      </c>
      <c r="B481" s="300">
        <f t="shared" si="402"/>
        <v>38446</v>
      </c>
      <c r="C481" s="301" t="e">
        <f t="shared" si="431"/>
        <v>#N/A</v>
      </c>
      <c r="D481" s="301" t="e">
        <f t="shared" si="403"/>
        <v>#N/A</v>
      </c>
      <c r="E481" s="299">
        <f t="shared" si="404"/>
        <v>460</v>
      </c>
      <c r="F481" s="396">
        <f>Weather!M465</f>
        <v>0</v>
      </c>
      <c r="G481" s="301">
        <f>IF(Weather!C465="","",Weather!C465)</f>
        <v>1.3460043271674156</v>
      </c>
      <c r="H481" s="301">
        <f>IF(Weather!D465="","",Weather!D465)</f>
        <v>2.1128725013730758</v>
      </c>
      <c r="I481" s="502">
        <f>IF(Weather!E465="","",Weather!E465)</f>
        <v>2.1128725013730758</v>
      </c>
      <c r="J481" s="397">
        <f>IF(RnSplint!N144&lt;0,0,RnSplint!N144)</f>
        <v>33.039247389352624</v>
      </c>
      <c r="K481" s="302">
        <f t="shared" si="432"/>
        <v>0</v>
      </c>
      <c r="L481" s="303">
        <f t="shared" si="433"/>
        <v>38446</v>
      </c>
      <c r="M481" s="346" t="str">
        <f t="shared" si="394"/>
        <v/>
      </c>
      <c r="N481" s="304">
        <f t="shared" si="434"/>
        <v>0</v>
      </c>
      <c r="O481" s="304">
        <f t="shared" si="435"/>
        <v>0</v>
      </c>
      <c r="P481" s="304">
        <f t="shared" si="405"/>
        <v>0</v>
      </c>
      <c r="Q481" s="304">
        <f t="shared" si="406"/>
        <v>1.0318398567169094</v>
      </c>
      <c r="R481" s="304">
        <f t="shared" si="407"/>
        <v>1.0318398567169094</v>
      </c>
      <c r="S481" s="305" t="e">
        <f t="shared" si="436"/>
        <v>#N/A</v>
      </c>
      <c r="T481" s="304">
        <f t="shared" si="408"/>
        <v>0</v>
      </c>
      <c r="U481" s="304">
        <f t="shared" si="446"/>
        <v>0</v>
      </c>
      <c r="V481" s="305" t="e">
        <f t="shared" si="409"/>
        <v>#N/A</v>
      </c>
      <c r="W481" s="305" t="e">
        <f t="shared" si="437"/>
        <v>#N/A</v>
      </c>
      <c r="X481" s="304">
        <f t="shared" si="438"/>
        <v>1.0318398567169094</v>
      </c>
      <c r="Z481" s="304" t="str">
        <f t="shared" si="410"/>
        <v/>
      </c>
      <c r="AA481" s="305" t="e">
        <f t="shared" si="411"/>
        <v>#N/A</v>
      </c>
      <c r="AB481" s="304">
        <f t="shared" si="412"/>
        <v>2.1801460590778925</v>
      </c>
      <c r="AC481" s="304" t="str">
        <f t="shared" si="439"/>
        <v/>
      </c>
      <c r="AD481" s="306">
        <f t="shared" si="413"/>
        <v>0</v>
      </c>
      <c r="AE481" s="307">
        <f t="shared" si="440"/>
        <v>2.1801460590778925</v>
      </c>
      <c r="AF481" s="308" t="e">
        <f t="shared" si="393"/>
        <v>#N/A</v>
      </c>
      <c r="AG481" s="306">
        <f t="shared" si="441"/>
        <v>754.02409702297757</v>
      </c>
      <c r="AH481" s="306">
        <f t="shared" si="414"/>
        <v>0</v>
      </c>
      <c r="AI481" s="306">
        <f t="shared" si="442"/>
        <v>0</v>
      </c>
      <c r="AJ481" s="306">
        <f t="shared" si="443"/>
        <v>0</v>
      </c>
      <c r="AK481" s="306">
        <f t="shared" si="415"/>
        <v>0</v>
      </c>
      <c r="AL481" s="306">
        <f t="shared" si="444"/>
        <v>0</v>
      </c>
      <c r="AM481" s="306">
        <f t="shared" si="416"/>
        <v>0</v>
      </c>
      <c r="AN481" s="306"/>
      <c r="AO481" s="304" t="str">
        <f t="shared" si="417"/>
        <v/>
      </c>
      <c r="AP481" s="304" t="str">
        <f t="shared" si="445"/>
        <v/>
      </c>
      <c r="AQ481" s="305" t="e">
        <f t="shared" si="395"/>
        <v>#N/A</v>
      </c>
      <c r="AR481" s="304" t="str">
        <f t="shared" si="396"/>
        <v/>
      </c>
      <c r="AS481" s="306">
        <f t="shared" si="418"/>
        <v>0</v>
      </c>
      <c r="AT481" s="307" t="e">
        <f t="shared" si="397"/>
        <v>#N/A</v>
      </c>
      <c r="AU481" s="307" t="e">
        <f t="shared" si="398"/>
        <v>#N/A</v>
      </c>
      <c r="AV481" s="304">
        <f t="shared" si="400"/>
        <v>2.1128725013730758</v>
      </c>
      <c r="AW481" s="309">
        <f t="shared" si="419"/>
        <v>6.5667898005317316</v>
      </c>
      <c r="AX481" s="306">
        <f>IF(ISERROR(Weather!M465),#N/A,Weather!M465)</f>
        <v>0</v>
      </c>
      <c r="AY481" s="310">
        <f t="shared" si="420"/>
        <v>4</v>
      </c>
      <c r="AZ481" s="309">
        <f t="shared" si="421"/>
        <v>1.0318398567169094</v>
      </c>
      <c r="BA481" s="309">
        <f t="shared" si="422"/>
        <v>326.6358634128743</v>
      </c>
      <c r="BB481" s="311">
        <f>Irrig!H483</f>
        <v>0</v>
      </c>
      <c r="BC481" s="310">
        <f t="shared" si="423"/>
        <v>0</v>
      </c>
      <c r="BD481" s="309">
        <f t="shared" si="424"/>
        <v>0</v>
      </c>
      <c r="BE481" s="309">
        <f t="shared" si="425"/>
        <v>0</v>
      </c>
      <c r="BF481" s="306">
        <f>DailyMet!H465</f>
        <v>13.88</v>
      </c>
      <c r="BG481" s="306">
        <f>DailyMet!I465</f>
        <v>11.9</v>
      </c>
      <c r="BH481" s="306">
        <f t="shared" si="426"/>
        <v>13.88</v>
      </c>
      <c r="BI481" s="306">
        <f t="shared" si="427"/>
        <v>11.9</v>
      </c>
      <c r="BJ481" s="306">
        <f t="shared" si="428"/>
        <v>2.8900000000000006</v>
      </c>
      <c r="BK481" s="306">
        <f t="shared" si="399"/>
        <v>0</v>
      </c>
      <c r="BL481" s="304">
        <f t="shared" si="429"/>
        <v>0</v>
      </c>
      <c r="BM481" s="304">
        <f t="shared" si="430"/>
        <v>2.8900000000000006</v>
      </c>
      <c r="BN481" s="304">
        <f t="shared" si="447"/>
        <v>2.8900000000000006</v>
      </c>
      <c r="BO481" s="306">
        <f t="shared" si="448"/>
        <v>0</v>
      </c>
      <c r="BP481" s="306"/>
    </row>
    <row r="482" spans="1:68">
      <c r="A482" s="299">
        <f t="shared" si="401"/>
        <v>0</v>
      </c>
      <c r="B482" s="300">
        <f t="shared" si="402"/>
        <v>38447</v>
      </c>
      <c r="C482" s="301" t="e">
        <f t="shared" si="431"/>
        <v>#N/A</v>
      </c>
      <c r="D482" s="301" t="e">
        <f t="shared" si="403"/>
        <v>#N/A</v>
      </c>
      <c r="E482" s="299">
        <f t="shared" si="404"/>
        <v>461</v>
      </c>
      <c r="F482" s="396">
        <f>Weather!M466</f>
        <v>0</v>
      </c>
      <c r="G482" s="301">
        <f>IF(Weather!C466="","",Weather!C466)</f>
        <v>1.3447514970065642</v>
      </c>
      <c r="H482" s="301">
        <f>IF(Weather!D466="","",Weather!D466)</f>
        <v>0.44427184411836929</v>
      </c>
      <c r="I482" s="502">
        <f>IF(Weather!E466="","",Weather!E466)</f>
        <v>0.44427184411836929</v>
      </c>
      <c r="J482" s="397">
        <f>IF(RnSplint!N145&lt;0,0,RnSplint!N145)</f>
        <v>32.960586793312821</v>
      </c>
      <c r="K482" s="302">
        <f t="shared" si="432"/>
        <v>0</v>
      </c>
      <c r="L482" s="303">
        <f t="shared" si="433"/>
        <v>38447</v>
      </c>
      <c r="M482" s="346" t="str">
        <f t="shared" si="394"/>
        <v/>
      </c>
      <c r="N482" s="304">
        <f t="shared" si="434"/>
        <v>0</v>
      </c>
      <c r="O482" s="304">
        <f t="shared" si="435"/>
        <v>0</v>
      </c>
      <c r="P482" s="304">
        <f t="shared" si="405"/>
        <v>0</v>
      </c>
      <c r="Q482" s="304">
        <f t="shared" si="406"/>
        <v>0.99756699811188931</v>
      </c>
      <c r="R482" s="304">
        <f t="shared" si="407"/>
        <v>0.99756699811188931</v>
      </c>
      <c r="S482" s="305" t="e">
        <f t="shared" si="436"/>
        <v>#N/A</v>
      </c>
      <c r="T482" s="304">
        <f t="shared" si="408"/>
        <v>0</v>
      </c>
      <c r="U482" s="304">
        <f t="shared" si="446"/>
        <v>0</v>
      </c>
      <c r="V482" s="305" t="e">
        <f t="shared" si="409"/>
        <v>#N/A</v>
      </c>
      <c r="W482" s="305" t="e">
        <f t="shared" si="437"/>
        <v>#N/A</v>
      </c>
      <c r="X482" s="304">
        <f t="shared" si="438"/>
        <v>0.99756699811188931</v>
      </c>
      <c r="Z482" s="304" t="str">
        <f t="shared" si="410"/>
        <v/>
      </c>
      <c r="AA482" s="305" t="e">
        <f t="shared" si="411"/>
        <v>#N/A</v>
      </c>
      <c r="AB482" s="304">
        <f t="shared" si="412"/>
        <v>0.4431909298827949</v>
      </c>
      <c r="AC482" s="304" t="str">
        <f t="shared" si="439"/>
        <v/>
      </c>
      <c r="AD482" s="306">
        <f t="shared" si="413"/>
        <v>0</v>
      </c>
      <c r="AE482" s="307">
        <f t="shared" si="440"/>
        <v>0.4431909298827949</v>
      </c>
      <c r="AF482" s="308" t="e">
        <f t="shared" si="393"/>
        <v>#N/A</v>
      </c>
      <c r="AG482" s="306">
        <f t="shared" si="441"/>
        <v>754.46836886709593</v>
      </c>
      <c r="AH482" s="306">
        <f t="shared" si="414"/>
        <v>0</v>
      </c>
      <c r="AI482" s="306">
        <f t="shared" si="442"/>
        <v>0</v>
      </c>
      <c r="AJ482" s="306">
        <f t="shared" si="443"/>
        <v>0</v>
      </c>
      <c r="AK482" s="306">
        <f t="shared" si="415"/>
        <v>0</v>
      </c>
      <c r="AL482" s="306">
        <f t="shared" si="444"/>
        <v>0</v>
      </c>
      <c r="AM482" s="306">
        <f t="shared" si="416"/>
        <v>0</v>
      </c>
      <c r="AN482" s="306"/>
      <c r="AO482" s="304" t="str">
        <f t="shared" si="417"/>
        <v/>
      </c>
      <c r="AP482" s="304" t="str">
        <f t="shared" si="445"/>
        <v/>
      </c>
      <c r="AQ482" s="305" t="e">
        <f t="shared" si="395"/>
        <v>#N/A</v>
      </c>
      <c r="AR482" s="304" t="str">
        <f t="shared" si="396"/>
        <v/>
      </c>
      <c r="AS482" s="306">
        <f t="shared" si="418"/>
        <v>0</v>
      </c>
      <c r="AT482" s="307" t="e">
        <f t="shared" si="397"/>
        <v>#N/A</v>
      </c>
      <c r="AU482" s="307" t="e">
        <f t="shared" si="398"/>
        <v>#N/A</v>
      </c>
      <c r="AV482" s="304">
        <f t="shared" si="400"/>
        <v>0.44427184411836929</v>
      </c>
      <c r="AW482" s="309">
        <f t="shared" si="419"/>
        <v>7.0110616446501011</v>
      </c>
      <c r="AX482" s="306">
        <f>IF(ISERROR(Weather!M466),#N/A,Weather!M466)</f>
        <v>0</v>
      </c>
      <c r="AY482" s="310">
        <f t="shared" si="420"/>
        <v>5</v>
      </c>
      <c r="AZ482" s="309">
        <f t="shared" si="421"/>
        <v>0.99756699811188931</v>
      </c>
      <c r="BA482" s="309">
        <f t="shared" si="422"/>
        <v>327.08013525699266</v>
      </c>
      <c r="BB482" s="311">
        <f>Irrig!H484</f>
        <v>0</v>
      </c>
      <c r="BC482" s="310">
        <f t="shared" si="423"/>
        <v>0</v>
      </c>
      <c r="BD482" s="309">
        <f t="shared" si="424"/>
        <v>0</v>
      </c>
      <c r="BE482" s="309">
        <f t="shared" si="425"/>
        <v>0</v>
      </c>
      <c r="BF482" s="306">
        <f>DailyMet!H466</f>
        <v>13.86</v>
      </c>
      <c r="BG482" s="306">
        <f>DailyMet!I466</f>
        <v>8.1999999999999993</v>
      </c>
      <c r="BH482" s="306">
        <f t="shared" si="426"/>
        <v>13.86</v>
      </c>
      <c r="BI482" s="306">
        <f t="shared" si="427"/>
        <v>10</v>
      </c>
      <c r="BJ482" s="306">
        <f t="shared" si="428"/>
        <v>1.9299999999999997</v>
      </c>
      <c r="BK482" s="306">
        <f t="shared" si="399"/>
        <v>0</v>
      </c>
      <c r="BL482" s="304">
        <f t="shared" si="429"/>
        <v>0</v>
      </c>
      <c r="BM482" s="304">
        <f t="shared" si="430"/>
        <v>1.3162190812720844</v>
      </c>
      <c r="BN482" s="304">
        <f t="shared" si="447"/>
        <v>1.3162190812720844</v>
      </c>
      <c r="BO482" s="306">
        <f t="shared" si="448"/>
        <v>0</v>
      </c>
      <c r="BP482" s="306"/>
    </row>
    <row r="483" spans="1:68">
      <c r="A483" s="299">
        <f t="shared" si="401"/>
        <v>0</v>
      </c>
      <c r="B483" s="300">
        <f t="shared" si="402"/>
        <v>38448</v>
      </c>
      <c r="C483" s="301" t="e">
        <f t="shared" si="431"/>
        <v>#N/A</v>
      </c>
      <c r="D483" s="301" t="e">
        <f t="shared" si="403"/>
        <v>#N/A</v>
      </c>
      <c r="E483" s="299">
        <f t="shared" si="404"/>
        <v>462</v>
      </c>
      <c r="F483" s="396">
        <f>Weather!M467</f>
        <v>0</v>
      </c>
      <c r="G483" s="301">
        <f>IF(Weather!C467="","",Weather!C467)</f>
        <v>1.3445157808141583</v>
      </c>
      <c r="H483" s="301">
        <f>IF(Weather!D467="","",Weather!D467)</f>
        <v>1.2870475400541517</v>
      </c>
      <c r="I483" s="502">
        <f>IF(Weather!E467="","",Weather!E467)</f>
        <v>1.2870475400541517</v>
      </c>
      <c r="J483" s="397">
        <f>IF(RnSplint!N146&lt;0,0,RnSplint!N146)</f>
        <v>32.854420319574707</v>
      </c>
      <c r="K483" s="302">
        <f t="shared" si="432"/>
        <v>0</v>
      </c>
      <c r="L483" s="303">
        <f t="shared" si="433"/>
        <v>38448</v>
      </c>
      <c r="M483" s="346" t="str">
        <f t="shared" si="394"/>
        <v/>
      </c>
      <c r="N483" s="304">
        <f t="shared" si="434"/>
        <v>0</v>
      </c>
      <c r="O483" s="304">
        <f t="shared" si="435"/>
        <v>0</v>
      </c>
      <c r="P483" s="304">
        <f t="shared" si="405"/>
        <v>0</v>
      </c>
      <c r="Q483" s="304">
        <f t="shared" si="406"/>
        <v>0.91447801248430827</v>
      </c>
      <c r="R483" s="304">
        <f t="shared" si="407"/>
        <v>0.91447801248430827</v>
      </c>
      <c r="S483" s="305" t="e">
        <f t="shared" si="436"/>
        <v>#N/A</v>
      </c>
      <c r="T483" s="304">
        <f t="shared" si="408"/>
        <v>0</v>
      </c>
      <c r="U483" s="304">
        <f t="shared" si="446"/>
        <v>0</v>
      </c>
      <c r="V483" s="305" t="e">
        <f t="shared" si="409"/>
        <v>#N/A</v>
      </c>
      <c r="W483" s="305" t="e">
        <f t="shared" si="437"/>
        <v>#N/A</v>
      </c>
      <c r="X483" s="304">
        <f t="shared" si="438"/>
        <v>0.91447801248430827</v>
      </c>
      <c r="Z483" s="304" t="str">
        <f t="shared" si="410"/>
        <v/>
      </c>
      <c r="AA483" s="305" t="e">
        <f t="shared" si="411"/>
        <v>#N/A</v>
      </c>
      <c r="AB483" s="304">
        <f t="shared" si="412"/>
        <v>1.1769766764015388</v>
      </c>
      <c r="AC483" s="304" t="str">
        <f t="shared" si="439"/>
        <v/>
      </c>
      <c r="AD483" s="306">
        <f t="shared" si="413"/>
        <v>0</v>
      </c>
      <c r="AE483" s="307">
        <f t="shared" si="440"/>
        <v>1.1769766764015388</v>
      </c>
      <c r="AF483" s="308" t="e">
        <f t="shared" si="393"/>
        <v>#N/A</v>
      </c>
      <c r="AG483" s="306">
        <f t="shared" si="441"/>
        <v>755.75541640715005</v>
      </c>
      <c r="AH483" s="306">
        <f t="shared" si="414"/>
        <v>0</v>
      </c>
      <c r="AI483" s="306">
        <f t="shared" si="442"/>
        <v>0</v>
      </c>
      <c r="AJ483" s="306">
        <f t="shared" si="443"/>
        <v>0</v>
      </c>
      <c r="AK483" s="306">
        <f t="shared" si="415"/>
        <v>0</v>
      </c>
      <c r="AL483" s="306">
        <f t="shared" si="444"/>
        <v>0</v>
      </c>
      <c r="AM483" s="306">
        <f t="shared" si="416"/>
        <v>0</v>
      </c>
      <c r="AN483" s="306"/>
      <c r="AO483" s="304" t="str">
        <f t="shared" si="417"/>
        <v/>
      </c>
      <c r="AP483" s="304" t="str">
        <f t="shared" si="445"/>
        <v/>
      </c>
      <c r="AQ483" s="305" t="e">
        <f t="shared" si="395"/>
        <v>#N/A</v>
      </c>
      <c r="AR483" s="304" t="str">
        <f t="shared" si="396"/>
        <v/>
      </c>
      <c r="AS483" s="306">
        <f t="shared" si="418"/>
        <v>0</v>
      </c>
      <c r="AT483" s="307" t="e">
        <f t="shared" si="397"/>
        <v>#N/A</v>
      </c>
      <c r="AU483" s="307" t="e">
        <f t="shared" si="398"/>
        <v>#N/A</v>
      </c>
      <c r="AV483" s="304">
        <f t="shared" si="400"/>
        <v>1.2870475400541517</v>
      </c>
      <c r="AW483" s="309">
        <f t="shared" si="419"/>
        <v>8.2981091847042521</v>
      </c>
      <c r="AX483" s="306">
        <f>IF(ISERROR(Weather!M467),#N/A,Weather!M467)</f>
        <v>0</v>
      </c>
      <c r="AY483" s="310">
        <f t="shared" si="420"/>
        <v>6</v>
      </c>
      <c r="AZ483" s="309">
        <f t="shared" si="421"/>
        <v>0.91447801248430827</v>
      </c>
      <c r="BA483" s="309">
        <f t="shared" si="422"/>
        <v>328.36718279704684</v>
      </c>
      <c r="BB483" s="311">
        <f>Irrig!H485</f>
        <v>0</v>
      </c>
      <c r="BC483" s="310">
        <f t="shared" si="423"/>
        <v>0</v>
      </c>
      <c r="BD483" s="309">
        <f t="shared" si="424"/>
        <v>0</v>
      </c>
      <c r="BE483" s="309">
        <f t="shared" si="425"/>
        <v>0</v>
      </c>
      <c r="BF483" s="306">
        <f>DailyMet!H467</f>
        <v>15.1</v>
      </c>
      <c r="BG483" s="306">
        <f>DailyMet!I467</f>
        <v>8.8000000000000007</v>
      </c>
      <c r="BH483" s="306">
        <f t="shared" si="426"/>
        <v>15.1</v>
      </c>
      <c r="BI483" s="306">
        <f t="shared" si="427"/>
        <v>10</v>
      </c>
      <c r="BJ483" s="306">
        <f t="shared" si="428"/>
        <v>2.5500000000000007</v>
      </c>
      <c r="BK483" s="306">
        <f t="shared" si="399"/>
        <v>0</v>
      </c>
      <c r="BL483" s="304">
        <f t="shared" si="429"/>
        <v>0</v>
      </c>
      <c r="BM483" s="304">
        <f t="shared" si="430"/>
        <v>2.0642857142857145</v>
      </c>
      <c r="BN483" s="304">
        <f t="shared" si="447"/>
        <v>2.0642857142857145</v>
      </c>
      <c r="BO483" s="306">
        <f t="shared" si="448"/>
        <v>0</v>
      </c>
      <c r="BP483" s="306"/>
    </row>
    <row r="484" spans="1:68">
      <c r="A484" s="299">
        <f t="shared" si="401"/>
        <v>0</v>
      </c>
      <c r="B484" s="300">
        <f t="shared" si="402"/>
        <v>38449</v>
      </c>
      <c r="C484" s="301" t="e">
        <f t="shared" si="431"/>
        <v>#N/A</v>
      </c>
      <c r="D484" s="301" t="e">
        <f t="shared" si="403"/>
        <v>#N/A</v>
      </c>
      <c r="E484" s="299">
        <f t="shared" si="404"/>
        <v>463</v>
      </c>
      <c r="F484" s="396">
        <f>Weather!M468</f>
        <v>0</v>
      </c>
      <c r="G484" s="301">
        <f>IF(Weather!C468="","",Weather!C468)</f>
        <v>1.3454709115904369</v>
      </c>
      <c r="H484" s="301">
        <f>IF(Weather!D468="","",Weather!D468)</f>
        <v>1.8718532351116166</v>
      </c>
      <c r="I484" s="502">
        <f>IF(Weather!E468="","",Weather!E468)</f>
        <v>1.8718532351116166</v>
      </c>
      <c r="J484" s="397">
        <f>IF(RnSplint!N147&lt;0,0,RnSplint!N147)</f>
        <v>32.719475548552893</v>
      </c>
      <c r="K484" s="302">
        <f t="shared" si="432"/>
        <v>0</v>
      </c>
      <c r="L484" s="303">
        <f t="shared" si="433"/>
        <v>38449</v>
      </c>
      <c r="M484" s="346" t="str">
        <f t="shared" si="394"/>
        <v/>
      </c>
      <c r="N484" s="304">
        <f t="shared" si="434"/>
        <v>0</v>
      </c>
      <c r="O484" s="304">
        <f t="shared" si="435"/>
        <v>0</v>
      </c>
      <c r="P484" s="304">
        <f t="shared" si="405"/>
        <v>0</v>
      </c>
      <c r="Q484" s="304">
        <f t="shared" si="406"/>
        <v>0.82335992123696855</v>
      </c>
      <c r="R484" s="304">
        <f t="shared" si="407"/>
        <v>0.82335992123696855</v>
      </c>
      <c r="S484" s="305" t="e">
        <f t="shared" si="436"/>
        <v>#N/A</v>
      </c>
      <c r="T484" s="304">
        <f t="shared" si="408"/>
        <v>0</v>
      </c>
      <c r="U484" s="304">
        <f t="shared" si="446"/>
        <v>0</v>
      </c>
      <c r="V484" s="305" t="e">
        <f t="shared" si="409"/>
        <v>#N/A</v>
      </c>
      <c r="W484" s="305" t="e">
        <f t="shared" si="437"/>
        <v>#N/A</v>
      </c>
      <c r="X484" s="304">
        <f t="shared" si="438"/>
        <v>0.82335992123696855</v>
      </c>
      <c r="Z484" s="304" t="str">
        <f t="shared" si="410"/>
        <v/>
      </c>
      <c r="AA484" s="305" t="e">
        <f t="shared" si="411"/>
        <v>#N/A</v>
      </c>
      <c r="AB484" s="304">
        <f t="shared" si="412"/>
        <v>1.5412089322286655</v>
      </c>
      <c r="AC484" s="304" t="str">
        <f t="shared" si="439"/>
        <v/>
      </c>
      <c r="AD484" s="306">
        <f t="shared" si="413"/>
        <v>0</v>
      </c>
      <c r="AE484" s="307">
        <f t="shared" si="440"/>
        <v>1.5412089322286655</v>
      </c>
      <c r="AF484" s="308" t="e">
        <f t="shared" si="393"/>
        <v>#N/A</v>
      </c>
      <c r="AG484" s="306">
        <f t="shared" si="441"/>
        <v>757.62726964226169</v>
      </c>
      <c r="AH484" s="306">
        <f t="shared" si="414"/>
        <v>0</v>
      </c>
      <c r="AI484" s="306">
        <f t="shared" si="442"/>
        <v>0</v>
      </c>
      <c r="AJ484" s="306">
        <f t="shared" si="443"/>
        <v>0</v>
      </c>
      <c r="AK484" s="306">
        <f t="shared" si="415"/>
        <v>0</v>
      </c>
      <c r="AL484" s="306">
        <f t="shared" si="444"/>
        <v>0</v>
      </c>
      <c r="AM484" s="306">
        <f t="shared" si="416"/>
        <v>0</v>
      </c>
      <c r="AN484" s="306"/>
      <c r="AO484" s="304" t="str">
        <f t="shared" si="417"/>
        <v/>
      </c>
      <c r="AP484" s="304" t="str">
        <f t="shared" si="445"/>
        <v/>
      </c>
      <c r="AQ484" s="305" t="e">
        <f t="shared" si="395"/>
        <v>#N/A</v>
      </c>
      <c r="AR484" s="304" t="str">
        <f t="shared" si="396"/>
        <v/>
      </c>
      <c r="AS484" s="306">
        <f t="shared" si="418"/>
        <v>0</v>
      </c>
      <c r="AT484" s="307" t="e">
        <f t="shared" si="397"/>
        <v>#N/A</v>
      </c>
      <c r="AU484" s="307" t="e">
        <f t="shared" si="398"/>
        <v>#N/A</v>
      </c>
      <c r="AV484" s="304">
        <f t="shared" si="400"/>
        <v>1.8718532351116166</v>
      </c>
      <c r="AW484" s="309">
        <f t="shared" si="419"/>
        <v>10.169962419815869</v>
      </c>
      <c r="AX484" s="306">
        <f>IF(ISERROR(Weather!M468),#N/A,Weather!M468)</f>
        <v>0</v>
      </c>
      <c r="AY484" s="310">
        <f t="shared" si="420"/>
        <v>7</v>
      </c>
      <c r="AZ484" s="309">
        <f t="shared" si="421"/>
        <v>0.82335992123696855</v>
      </c>
      <c r="BA484" s="309">
        <f t="shared" si="422"/>
        <v>330.23903603215848</v>
      </c>
      <c r="BB484" s="311">
        <f>Irrig!H486</f>
        <v>0</v>
      </c>
      <c r="BC484" s="310">
        <f t="shared" si="423"/>
        <v>0</v>
      </c>
      <c r="BD484" s="309">
        <f t="shared" si="424"/>
        <v>0</v>
      </c>
      <c r="BE484" s="309">
        <f t="shared" si="425"/>
        <v>0</v>
      </c>
      <c r="BF484" s="306">
        <f>DailyMet!H468</f>
        <v>15.11</v>
      </c>
      <c r="BG484" s="306">
        <f>DailyMet!I468</f>
        <v>8.5</v>
      </c>
      <c r="BH484" s="306">
        <f t="shared" si="426"/>
        <v>15.11</v>
      </c>
      <c r="BI484" s="306">
        <f t="shared" si="427"/>
        <v>10</v>
      </c>
      <c r="BJ484" s="306">
        <f t="shared" si="428"/>
        <v>2.5549999999999997</v>
      </c>
      <c r="BK484" s="306">
        <f t="shared" si="399"/>
        <v>0</v>
      </c>
      <c r="BL484" s="304">
        <f t="shared" si="429"/>
        <v>0</v>
      </c>
      <c r="BM484" s="304">
        <f t="shared" si="430"/>
        <v>1.9751966717095308</v>
      </c>
      <c r="BN484" s="304">
        <f t="shared" si="447"/>
        <v>1.9751966717095308</v>
      </c>
      <c r="BO484" s="306">
        <f t="shared" si="448"/>
        <v>0</v>
      </c>
      <c r="BP484" s="306"/>
    </row>
    <row r="485" spans="1:68">
      <c r="A485" s="299">
        <f t="shared" si="401"/>
        <v>0</v>
      </c>
      <c r="B485" s="300">
        <f t="shared" si="402"/>
        <v>38450</v>
      </c>
      <c r="C485" s="301" t="e">
        <f t="shared" si="431"/>
        <v>#N/A</v>
      </c>
      <c r="D485" s="301" t="e">
        <f t="shared" si="403"/>
        <v>#N/A</v>
      </c>
      <c r="E485" s="299">
        <f t="shared" si="404"/>
        <v>464</v>
      </c>
      <c r="F485" s="396">
        <f>Weather!M469</f>
        <v>0</v>
      </c>
      <c r="G485" s="301">
        <f>IF(Weather!C469="","",Weather!C469)</f>
        <v>1.3477906223356362</v>
      </c>
      <c r="H485" s="301">
        <f>IF(Weather!D469="","",Weather!D469)</f>
        <v>2.4478030510786795</v>
      </c>
      <c r="I485" s="502">
        <f>IF(Weather!E469="","",Weather!E469)</f>
        <v>2.4478030510786795</v>
      </c>
      <c r="J485" s="397">
        <f>IF(RnSplint!N148&lt;0,0,RnSplint!N148)</f>
        <v>32.554480060661966</v>
      </c>
      <c r="K485" s="302">
        <f t="shared" si="432"/>
        <v>0</v>
      </c>
      <c r="L485" s="303">
        <f t="shared" si="433"/>
        <v>38450</v>
      </c>
      <c r="M485" s="346" t="str">
        <f t="shared" si="394"/>
        <v/>
      </c>
      <c r="N485" s="304">
        <f t="shared" si="434"/>
        <v>0</v>
      </c>
      <c r="O485" s="304">
        <f t="shared" si="435"/>
        <v>0</v>
      </c>
      <c r="P485" s="304">
        <f t="shared" si="405"/>
        <v>0</v>
      </c>
      <c r="Q485" s="304">
        <f t="shared" si="406"/>
        <v>0.73664723316821645</v>
      </c>
      <c r="R485" s="304">
        <f t="shared" si="407"/>
        <v>0.73664723316821645</v>
      </c>
      <c r="S485" s="305" t="e">
        <f t="shared" si="436"/>
        <v>#N/A</v>
      </c>
      <c r="T485" s="304">
        <f t="shared" si="408"/>
        <v>0</v>
      </c>
      <c r="U485" s="304">
        <f t="shared" si="446"/>
        <v>0</v>
      </c>
      <c r="V485" s="305" t="e">
        <f t="shared" si="409"/>
        <v>#N/A</v>
      </c>
      <c r="W485" s="305" t="e">
        <f t="shared" si="437"/>
        <v>#N/A</v>
      </c>
      <c r="X485" s="304">
        <f t="shared" si="438"/>
        <v>0.73664723316821645</v>
      </c>
      <c r="Z485" s="304" t="str">
        <f t="shared" si="410"/>
        <v/>
      </c>
      <c r="AA485" s="305" t="e">
        <f t="shared" si="411"/>
        <v>#N/A</v>
      </c>
      <c r="AB485" s="304">
        <f t="shared" si="412"/>
        <v>1.8031673449178276</v>
      </c>
      <c r="AC485" s="304" t="str">
        <f t="shared" si="439"/>
        <v/>
      </c>
      <c r="AD485" s="306">
        <f t="shared" si="413"/>
        <v>0</v>
      </c>
      <c r="AE485" s="307">
        <f t="shared" si="440"/>
        <v>1.8031673449178276</v>
      </c>
      <c r="AF485" s="308" t="e">
        <f t="shared" si="393"/>
        <v>#N/A</v>
      </c>
      <c r="AG485" s="306">
        <f t="shared" si="441"/>
        <v>760.07507269334042</v>
      </c>
      <c r="AH485" s="306">
        <f t="shared" si="414"/>
        <v>0</v>
      </c>
      <c r="AI485" s="306">
        <f t="shared" si="442"/>
        <v>0</v>
      </c>
      <c r="AJ485" s="306">
        <f t="shared" si="443"/>
        <v>0</v>
      </c>
      <c r="AK485" s="306">
        <f t="shared" si="415"/>
        <v>0</v>
      </c>
      <c r="AL485" s="306">
        <f t="shared" si="444"/>
        <v>0</v>
      </c>
      <c r="AM485" s="306">
        <f t="shared" si="416"/>
        <v>0</v>
      </c>
      <c r="AN485" s="306"/>
      <c r="AO485" s="304" t="str">
        <f t="shared" si="417"/>
        <v/>
      </c>
      <c r="AP485" s="304" t="str">
        <f t="shared" si="445"/>
        <v/>
      </c>
      <c r="AQ485" s="305" t="e">
        <f t="shared" si="395"/>
        <v>#N/A</v>
      </c>
      <c r="AR485" s="304" t="str">
        <f t="shared" si="396"/>
        <v/>
      </c>
      <c r="AS485" s="306">
        <f t="shared" si="418"/>
        <v>0</v>
      </c>
      <c r="AT485" s="307" t="e">
        <f t="shared" si="397"/>
        <v>#N/A</v>
      </c>
      <c r="AU485" s="307" t="e">
        <f t="shared" si="398"/>
        <v>#N/A</v>
      </c>
      <c r="AV485" s="304">
        <f t="shared" si="400"/>
        <v>2.4478030510786795</v>
      </c>
      <c r="AW485" s="309">
        <f t="shared" si="419"/>
        <v>12.617765470894549</v>
      </c>
      <c r="AX485" s="306">
        <f>IF(ISERROR(Weather!M469),#N/A,Weather!M469)</f>
        <v>0</v>
      </c>
      <c r="AY485" s="310">
        <f t="shared" si="420"/>
        <v>8</v>
      </c>
      <c r="AZ485" s="309">
        <f t="shared" si="421"/>
        <v>0.73664723316821645</v>
      </c>
      <c r="BA485" s="309">
        <f t="shared" si="422"/>
        <v>332.68683908323715</v>
      </c>
      <c r="BB485" s="311">
        <f>Irrig!H487</f>
        <v>0</v>
      </c>
      <c r="BC485" s="310">
        <f t="shared" si="423"/>
        <v>0</v>
      </c>
      <c r="BD485" s="309">
        <f t="shared" si="424"/>
        <v>0</v>
      </c>
      <c r="BE485" s="309">
        <f t="shared" si="425"/>
        <v>0</v>
      </c>
      <c r="BF485" s="306">
        <f>DailyMet!H469</f>
        <v>8.58</v>
      </c>
      <c r="BG485" s="306">
        <f>DailyMet!I469</f>
        <v>3.5</v>
      </c>
      <c r="BH485" s="306">
        <f t="shared" si="426"/>
        <v>8.58</v>
      </c>
      <c r="BI485" s="306">
        <f t="shared" si="427"/>
        <v>10</v>
      </c>
      <c r="BJ485" s="306">
        <f t="shared" si="428"/>
        <v>-0.71000000000000085</v>
      </c>
      <c r="BK485" s="306">
        <f t="shared" si="399"/>
        <v>0</v>
      </c>
      <c r="BL485" s="304">
        <f t="shared" si="429"/>
        <v>0</v>
      </c>
      <c r="BM485" s="304">
        <f t="shared" si="430"/>
        <v>0</v>
      </c>
      <c r="BN485" s="304">
        <f t="shared" si="447"/>
        <v>0</v>
      </c>
      <c r="BO485" s="306">
        <f t="shared" si="448"/>
        <v>0</v>
      </c>
      <c r="BP485" s="306"/>
    </row>
    <row r="486" spans="1:68">
      <c r="A486" s="299">
        <f t="shared" si="401"/>
        <v>0</v>
      </c>
      <c r="B486" s="300">
        <f t="shared" si="402"/>
        <v>38451</v>
      </c>
      <c r="C486" s="301" t="e">
        <f t="shared" si="431"/>
        <v>#N/A</v>
      </c>
      <c r="D486" s="301" t="e">
        <f t="shared" si="403"/>
        <v>#N/A</v>
      </c>
      <c r="E486" s="299">
        <f t="shared" si="404"/>
        <v>465</v>
      </c>
      <c r="F486" s="396">
        <f>Weather!M470</f>
        <v>0</v>
      </c>
      <c r="G486" s="301">
        <f>IF(Weather!C470="","",Weather!C470)</f>
        <v>1.3516486460499944</v>
      </c>
      <c r="H486" s="301">
        <f>IF(Weather!D470="","",Weather!D470)</f>
        <v>0.46595535146604128</v>
      </c>
      <c r="I486" s="502">
        <f>IF(Weather!E470="","",Weather!E470)</f>
        <v>0.46595535146604128</v>
      </c>
      <c r="J486" s="397">
        <f>IF(RnSplint!N149&lt;0,0,RnSplint!N149)</f>
        <v>32.358161436316557</v>
      </c>
      <c r="K486" s="302">
        <f t="shared" si="432"/>
        <v>0</v>
      </c>
      <c r="L486" s="303">
        <f t="shared" si="433"/>
        <v>38451</v>
      </c>
      <c r="M486" s="346" t="str">
        <f t="shared" si="394"/>
        <v/>
      </c>
      <c r="N486" s="304">
        <f t="shared" si="434"/>
        <v>0</v>
      </c>
      <c r="O486" s="304">
        <f t="shared" si="435"/>
        <v>0</v>
      </c>
      <c r="P486" s="304">
        <f t="shared" si="405"/>
        <v>0</v>
      </c>
      <c r="Q486" s="304">
        <f t="shared" si="406"/>
        <v>0.72299146758462907</v>
      </c>
      <c r="R486" s="304">
        <f t="shared" si="407"/>
        <v>0.72299146758462907</v>
      </c>
      <c r="S486" s="305" t="e">
        <f t="shared" si="436"/>
        <v>#N/A</v>
      </c>
      <c r="T486" s="304">
        <f t="shared" si="408"/>
        <v>0</v>
      </c>
      <c r="U486" s="304">
        <f t="shared" si="446"/>
        <v>0</v>
      </c>
      <c r="V486" s="305" t="e">
        <f t="shared" si="409"/>
        <v>#N/A</v>
      </c>
      <c r="W486" s="305" t="e">
        <f t="shared" si="437"/>
        <v>#N/A</v>
      </c>
      <c r="X486" s="304">
        <f t="shared" si="438"/>
        <v>0.72299146758462907</v>
      </c>
      <c r="Z486" s="304" t="str">
        <f t="shared" si="410"/>
        <v/>
      </c>
      <c r="AA486" s="305" t="e">
        <f t="shared" si="411"/>
        <v>#N/A</v>
      </c>
      <c r="AB486" s="304">
        <f t="shared" si="412"/>
        <v>0.33688174338534482</v>
      </c>
      <c r="AC486" s="304" t="str">
        <f t="shared" si="439"/>
        <v/>
      </c>
      <c r="AD486" s="306">
        <f t="shared" si="413"/>
        <v>0</v>
      </c>
      <c r="AE486" s="307">
        <f t="shared" si="440"/>
        <v>0.33688174338534482</v>
      </c>
      <c r="AF486" s="308" t="e">
        <f t="shared" si="393"/>
        <v>#N/A</v>
      </c>
      <c r="AG486" s="306">
        <f t="shared" si="441"/>
        <v>760.54102804480647</v>
      </c>
      <c r="AH486" s="306">
        <f t="shared" si="414"/>
        <v>0</v>
      </c>
      <c r="AI486" s="306">
        <f t="shared" si="442"/>
        <v>0</v>
      </c>
      <c r="AJ486" s="306">
        <f t="shared" si="443"/>
        <v>0</v>
      </c>
      <c r="AK486" s="306">
        <f t="shared" si="415"/>
        <v>0</v>
      </c>
      <c r="AL486" s="306">
        <f t="shared" si="444"/>
        <v>0</v>
      </c>
      <c r="AM486" s="306">
        <f t="shared" si="416"/>
        <v>0</v>
      </c>
      <c r="AN486" s="306"/>
      <c r="AO486" s="304" t="str">
        <f t="shared" si="417"/>
        <v/>
      </c>
      <c r="AP486" s="304" t="str">
        <f t="shared" si="445"/>
        <v/>
      </c>
      <c r="AQ486" s="305" t="e">
        <f t="shared" si="395"/>
        <v>#N/A</v>
      </c>
      <c r="AR486" s="304" t="str">
        <f t="shared" si="396"/>
        <v/>
      </c>
      <c r="AS486" s="306">
        <f t="shared" si="418"/>
        <v>0</v>
      </c>
      <c r="AT486" s="307" t="e">
        <f t="shared" si="397"/>
        <v>#N/A</v>
      </c>
      <c r="AU486" s="307" t="e">
        <f t="shared" si="398"/>
        <v>#N/A</v>
      </c>
      <c r="AV486" s="304">
        <f t="shared" si="400"/>
        <v>0.46595535146604128</v>
      </c>
      <c r="AW486" s="309">
        <f t="shared" si="419"/>
        <v>13.08372082236059</v>
      </c>
      <c r="AX486" s="306">
        <f>IF(ISERROR(Weather!M470),#N/A,Weather!M470)</f>
        <v>0</v>
      </c>
      <c r="AY486" s="310">
        <f t="shared" si="420"/>
        <v>9</v>
      </c>
      <c r="AZ486" s="309">
        <f t="shared" si="421"/>
        <v>0.72299146758462907</v>
      </c>
      <c r="BA486" s="309">
        <f t="shared" si="422"/>
        <v>333.1527944347032</v>
      </c>
      <c r="BB486" s="311">
        <f>Irrig!H488</f>
        <v>0</v>
      </c>
      <c r="BC486" s="310">
        <f t="shared" si="423"/>
        <v>0</v>
      </c>
      <c r="BD486" s="309">
        <f t="shared" si="424"/>
        <v>0</v>
      </c>
      <c r="BE486" s="309">
        <f t="shared" si="425"/>
        <v>0</v>
      </c>
      <c r="BF486" s="306">
        <f>DailyMet!H470</f>
        <v>7.48</v>
      </c>
      <c r="BG486" s="306">
        <f>DailyMet!I470</f>
        <v>0.4</v>
      </c>
      <c r="BH486" s="306">
        <f t="shared" si="426"/>
        <v>7.48</v>
      </c>
      <c r="BI486" s="306">
        <f t="shared" si="427"/>
        <v>10</v>
      </c>
      <c r="BJ486" s="306">
        <f t="shared" si="428"/>
        <v>-1.2599999999999998</v>
      </c>
      <c r="BK486" s="306">
        <f t="shared" si="399"/>
        <v>0</v>
      </c>
      <c r="BL486" s="304">
        <f t="shared" si="429"/>
        <v>0</v>
      </c>
      <c r="BM486" s="304">
        <f t="shared" si="430"/>
        <v>0</v>
      </c>
      <c r="BN486" s="304">
        <f t="shared" si="447"/>
        <v>0</v>
      </c>
      <c r="BO486" s="306">
        <f t="shared" si="448"/>
        <v>0</v>
      </c>
      <c r="BP486" s="306"/>
    </row>
    <row r="487" spans="1:68">
      <c r="A487" s="299">
        <f t="shared" si="401"/>
        <v>0</v>
      </c>
      <c r="B487" s="300">
        <f t="shared" si="402"/>
        <v>38452</v>
      </c>
      <c r="C487" s="301" t="e">
        <f t="shared" si="431"/>
        <v>#N/A</v>
      </c>
      <c r="D487" s="301" t="e">
        <f t="shared" si="403"/>
        <v>#N/A</v>
      </c>
      <c r="E487" s="299">
        <f t="shared" si="404"/>
        <v>466</v>
      </c>
      <c r="F487" s="396">
        <f>Weather!M471</f>
        <v>0</v>
      </c>
      <c r="G487" s="301">
        <f>IF(Weather!C471="","",Weather!C471)</f>
        <v>1.3572187157337487</v>
      </c>
      <c r="H487" s="301">
        <f>IF(Weather!D471="","",Weather!D471)</f>
        <v>0.54789851191428862</v>
      </c>
      <c r="I487" s="502">
        <f>IF(Weather!E471="","",Weather!E471)</f>
        <v>0.54789851191428862</v>
      </c>
      <c r="J487" s="397">
        <f>IF(RnSplint!N150&lt;0,0,RnSplint!N150)</f>
        <v>32.129247255931261</v>
      </c>
      <c r="K487" s="302">
        <f t="shared" si="432"/>
        <v>0</v>
      </c>
      <c r="L487" s="303">
        <f t="shared" si="433"/>
        <v>38452</v>
      </c>
      <c r="M487" s="346" t="str">
        <f t="shared" si="394"/>
        <v/>
      </c>
      <c r="N487" s="304">
        <f t="shared" si="434"/>
        <v>0</v>
      </c>
      <c r="O487" s="304">
        <f t="shared" si="435"/>
        <v>0</v>
      </c>
      <c r="P487" s="304">
        <f t="shared" si="405"/>
        <v>0</v>
      </c>
      <c r="Q487" s="304">
        <f t="shared" si="406"/>
        <v>0.7078480214877414</v>
      </c>
      <c r="R487" s="304">
        <f t="shared" si="407"/>
        <v>0.7078480214877414</v>
      </c>
      <c r="S487" s="305" t="e">
        <f t="shared" si="436"/>
        <v>#N/A</v>
      </c>
      <c r="T487" s="304">
        <f t="shared" si="408"/>
        <v>0</v>
      </c>
      <c r="U487" s="304">
        <f t="shared" si="446"/>
        <v>0</v>
      </c>
      <c r="V487" s="305" t="e">
        <f t="shared" si="409"/>
        <v>#N/A</v>
      </c>
      <c r="W487" s="305" t="e">
        <f t="shared" si="437"/>
        <v>#N/A</v>
      </c>
      <c r="X487" s="304">
        <f t="shared" si="438"/>
        <v>0.7078480214877414</v>
      </c>
      <c r="Z487" s="304" t="str">
        <f t="shared" si="410"/>
        <v/>
      </c>
      <c r="AA487" s="305" t="e">
        <f t="shared" si="411"/>
        <v>#N/A</v>
      </c>
      <c r="AB487" s="304">
        <f t="shared" si="412"/>
        <v>0.38782887763460688</v>
      </c>
      <c r="AC487" s="304" t="str">
        <f t="shared" si="439"/>
        <v/>
      </c>
      <c r="AD487" s="306">
        <f t="shared" si="413"/>
        <v>0</v>
      </c>
      <c r="AE487" s="307">
        <f t="shared" si="440"/>
        <v>0.38782887763460688</v>
      </c>
      <c r="AF487" s="308" t="e">
        <f t="shared" si="393"/>
        <v>#N/A</v>
      </c>
      <c r="AG487" s="306">
        <f t="shared" si="441"/>
        <v>761.08892655672071</v>
      </c>
      <c r="AH487" s="306">
        <f t="shared" si="414"/>
        <v>0</v>
      </c>
      <c r="AI487" s="306">
        <f t="shared" si="442"/>
        <v>0</v>
      </c>
      <c r="AJ487" s="306">
        <f t="shared" si="443"/>
        <v>0</v>
      </c>
      <c r="AK487" s="306">
        <f t="shared" si="415"/>
        <v>0</v>
      </c>
      <c r="AL487" s="306">
        <f t="shared" si="444"/>
        <v>0</v>
      </c>
      <c r="AM487" s="306">
        <f t="shared" si="416"/>
        <v>0</v>
      </c>
      <c r="AN487" s="306"/>
      <c r="AO487" s="304" t="str">
        <f t="shared" si="417"/>
        <v/>
      </c>
      <c r="AP487" s="304" t="str">
        <f t="shared" si="445"/>
        <v/>
      </c>
      <c r="AQ487" s="305" t="e">
        <f t="shared" si="395"/>
        <v>#N/A</v>
      </c>
      <c r="AR487" s="304" t="str">
        <f t="shared" si="396"/>
        <v/>
      </c>
      <c r="AS487" s="306">
        <f t="shared" si="418"/>
        <v>0</v>
      </c>
      <c r="AT487" s="307" t="e">
        <f t="shared" si="397"/>
        <v>#N/A</v>
      </c>
      <c r="AU487" s="307" t="e">
        <f t="shared" si="398"/>
        <v>#N/A</v>
      </c>
      <c r="AV487" s="304">
        <f t="shared" si="400"/>
        <v>0.54789851191428862</v>
      </c>
      <c r="AW487" s="309">
        <f t="shared" si="419"/>
        <v>13.631619334274879</v>
      </c>
      <c r="AX487" s="306">
        <f>IF(ISERROR(Weather!M471),#N/A,Weather!M471)</f>
        <v>0</v>
      </c>
      <c r="AY487" s="310">
        <f t="shared" si="420"/>
        <v>10</v>
      </c>
      <c r="AZ487" s="309">
        <f t="shared" si="421"/>
        <v>0.7078480214877414</v>
      </c>
      <c r="BA487" s="309">
        <f t="shared" si="422"/>
        <v>333.70069294661749</v>
      </c>
      <c r="BB487" s="311">
        <f>Irrig!H489</f>
        <v>0</v>
      </c>
      <c r="BC487" s="310">
        <f t="shared" si="423"/>
        <v>0</v>
      </c>
      <c r="BD487" s="309">
        <f t="shared" si="424"/>
        <v>0</v>
      </c>
      <c r="BE487" s="309">
        <f t="shared" si="425"/>
        <v>0</v>
      </c>
      <c r="BF487" s="306">
        <f>DailyMet!H471</f>
        <v>9.65</v>
      </c>
      <c r="BG487" s="306">
        <f>DailyMet!I471</f>
        <v>2.5</v>
      </c>
      <c r="BH487" s="306">
        <f t="shared" si="426"/>
        <v>9.65</v>
      </c>
      <c r="BI487" s="306">
        <f t="shared" si="427"/>
        <v>10</v>
      </c>
      <c r="BJ487" s="306">
        <f t="shared" si="428"/>
        <v>-0.17500000000000071</v>
      </c>
      <c r="BK487" s="306">
        <f t="shared" si="399"/>
        <v>0</v>
      </c>
      <c r="BL487" s="304">
        <f t="shared" si="429"/>
        <v>0</v>
      </c>
      <c r="BM487" s="304">
        <f t="shared" si="430"/>
        <v>0</v>
      </c>
      <c r="BN487" s="304">
        <f t="shared" si="447"/>
        <v>0</v>
      </c>
      <c r="BO487" s="306">
        <f t="shared" si="448"/>
        <v>0</v>
      </c>
      <c r="BP487" s="306"/>
    </row>
    <row r="488" spans="1:68">
      <c r="A488" s="299">
        <f t="shared" si="401"/>
        <v>0</v>
      </c>
      <c r="B488" s="300">
        <f t="shared" si="402"/>
        <v>38453</v>
      </c>
      <c r="C488" s="301" t="e">
        <f t="shared" si="431"/>
        <v>#N/A</v>
      </c>
      <c r="D488" s="301" t="e">
        <f t="shared" si="403"/>
        <v>#N/A</v>
      </c>
      <c r="E488" s="299">
        <f t="shared" si="404"/>
        <v>467</v>
      </c>
      <c r="F488" s="396">
        <f>Weather!M472</f>
        <v>0</v>
      </c>
      <c r="G488" s="301">
        <f>IF(Weather!C472="","",Weather!C472)</f>
        <v>1.3646745643871374</v>
      </c>
      <c r="H488" s="301">
        <f>IF(Weather!D472="","",Weather!D472)</f>
        <v>1.5021347877701818</v>
      </c>
      <c r="I488" s="502">
        <f>IF(Weather!E472="","",Weather!E472)</f>
        <v>1.5021347877701818</v>
      </c>
      <c r="J488" s="397">
        <f>IF(RnSplint!N151&lt;0,0,RnSplint!N151)</f>
        <v>31.866465099920692</v>
      </c>
      <c r="K488" s="302">
        <f t="shared" si="432"/>
        <v>0</v>
      </c>
      <c r="L488" s="303">
        <f t="shared" si="433"/>
        <v>38453</v>
      </c>
      <c r="M488" s="346" t="str">
        <f t="shared" si="394"/>
        <v/>
      </c>
      <c r="N488" s="304">
        <f t="shared" si="434"/>
        <v>0</v>
      </c>
      <c r="O488" s="304">
        <f t="shared" si="435"/>
        <v>0</v>
      </c>
      <c r="P488" s="304">
        <f t="shared" si="405"/>
        <v>0</v>
      </c>
      <c r="Q488" s="304">
        <f t="shared" si="406"/>
        <v>0.67067794193979324</v>
      </c>
      <c r="R488" s="304">
        <f t="shared" si="407"/>
        <v>0.67067794193979324</v>
      </c>
      <c r="S488" s="305" t="e">
        <f t="shared" si="436"/>
        <v>#N/A</v>
      </c>
      <c r="T488" s="304">
        <f t="shared" si="408"/>
        <v>0</v>
      </c>
      <c r="U488" s="304">
        <f t="shared" si="446"/>
        <v>0</v>
      </c>
      <c r="V488" s="305" t="e">
        <f t="shared" si="409"/>
        <v>#N/A</v>
      </c>
      <c r="W488" s="305" t="e">
        <f t="shared" si="437"/>
        <v>#N/A</v>
      </c>
      <c r="X488" s="304">
        <f t="shared" si="438"/>
        <v>0.67067794193979324</v>
      </c>
      <c r="Z488" s="304" t="str">
        <f t="shared" si="410"/>
        <v/>
      </c>
      <c r="AA488" s="305" t="e">
        <f t="shared" si="411"/>
        <v>#N/A</v>
      </c>
      <c r="AB488" s="304">
        <f t="shared" si="412"/>
        <v>1.0074486679778736</v>
      </c>
      <c r="AC488" s="304" t="str">
        <f t="shared" si="439"/>
        <v/>
      </c>
      <c r="AD488" s="306">
        <f t="shared" si="413"/>
        <v>0</v>
      </c>
      <c r="AE488" s="307">
        <f t="shared" si="440"/>
        <v>1.0074486679778736</v>
      </c>
      <c r="AF488" s="308" t="e">
        <f t="shared" si="393"/>
        <v>#N/A</v>
      </c>
      <c r="AG488" s="306">
        <f t="shared" si="441"/>
        <v>762.59106134449087</v>
      </c>
      <c r="AH488" s="306">
        <f t="shared" si="414"/>
        <v>0</v>
      </c>
      <c r="AI488" s="306">
        <f t="shared" si="442"/>
        <v>0</v>
      </c>
      <c r="AJ488" s="306">
        <f t="shared" si="443"/>
        <v>0</v>
      </c>
      <c r="AK488" s="306">
        <f t="shared" si="415"/>
        <v>0</v>
      </c>
      <c r="AL488" s="306">
        <f t="shared" si="444"/>
        <v>0</v>
      </c>
      <c r="AM488" s="306">
        <f t="shared" si="416"/>
        <v>0</v>
      </c>
      <c r="AN488" s="306"/>
      <c r="AO488" s="304" t="str">
        <f t="shared" si="417"/>
        <v/>
      </c>
      <c r="AP488" s="304" t="str">
        <f t="shared" si="445"/>
        <v/>
      </c>
      <c r="AQ488" s="305" t="e">
        <f t="shared" si="395"/>
        <v>#N/A</v>
      </c>
      <c r="AR488" s="304" t="str">
        <f t="shared" si="396"/>
        <v/>
      </c>
      <c r="AS488" s="306">
        <f t="shared" si="418"/>
        <v>0</v>
      </c>
      <c r="AT488" s="307" t="e">
        <f t="shared" si="397"/>
        <v>#N/A</v>
      </c>
      <c r="AU488" s="307" t="e">
        <f t="shared" si="398"/>
        <v>#N/A</v>
      </c>
      <c r="AV488" s="304">
        <f t="shared" si="400"/>
        <v>1.5021347877701818</v>
      </c>
      <c r="AW488" s="309">
        <f t="shared" si="419"/>
        <v>15.13375412204506</v>
      </c>
      <c r="AX488" s="306">
        <f>IF(ISERROR(Weather!M472),#N/A,Weather!M472)</f>
        <v>0</v>
      </c>
      <c r="AY488" s="310">
        <f t="shared" si="420"/>
        <v>11</v>
      </c>
      <c r="AZ488" s="309">
        <f t="shared" si="421"/>
        <v>0.67067794193979324</v>
      </c>
      <c r="BA488" s="309">
        <f t="shared" si="422"/>
        <v>335.20282773438765</v>
      </c>
      <c r="BB488" s="311">
        <f>Irrig!H490</f>
        <v>0</v>
      </c>
      <c r="BC488" s="310">
        <f t="shared" si="423"/>
        <v>0</v>
      </c>
      <c r="BD488" s="309">
        <f t="shared" si="424"/>
        <v>0</v>
      </c>
      <c r="BE488" s="309">
        <f t="shared" si="425"/>
        <v>0</v>
      </c>
      <c r="BF488" s="306">
        <f>DailyMet!H472</f>
        <v>8.93</v>
      </c>
      <c r="BG488" s="306">
        <f>DailyMet!I472</f>
        <v>6.5</v>
      </c>
      <c r="BH488" s="306">
        <f t="shared" si="426"/>
        <v>8.93</v>
      </c>
      <c r="BI488" s="306">
        <f t="shared" si="427"/>
        <v>10</v>
      </c>
      <c r="BJ488" s="306">
        <f t="shared" si="428"/>
        <v>-0.53500000000000014</v>
      </c>
      <c r="BK488" s="306">
        <f t="shared" si="399"/>
        <v>0</v>
      </c>
      <c r="BL488" s="304">
        <f t="shared" si="429"/>
        <v>0</v>
      </c>
      <c r="BM488" s="304">
        <f t="shared" si="430"/>
        <v>0</v>
      </c>
      <c r="BN488" s="304">
        <f t="shared" si="447"/>
        <v>0</v>
      </c>
      <c r="BO488" s="306">
        <f t="shared" si="448"/>
        <v>0</v>
      </c>
      <c r="BP488" s="306"/>
    </row>
    <row r="489" spans="1:68">
      <c r="A489" s="299">
        <f t="shared" si="401"/>
        <v>0</v>
      </c>
      <c r="B489" s="300">
        <f t="shared" si="402"/>
        <v>38454</v>
      </c>
      <c r="C489" s="301" t="e">
        <f t="shared" si="431"/>
        <v>#N/A</v>
      </c>
      <c r="D489" s="301" t="e">
        <f t="shared" si="403"/>
        <v>#N/A</v>
      </c>
      <c r="E489" s="299">
        <f t="shared" si="404"/>
        <v>468</v>
      </c>
      <c r="F489" s="396">
        <f>Weather!M473</f>
        <v>0</v>
      </c>
      <c r="G489" s="301">
        <f>IF(Weather!C473="","",Weather!C473)</f>
        <v>1.3741899250103971</v>
      </c>
      <c r="H489" s="301">
        <f>IF(Weather!D473="","",Weather!D473)</f>
        <v>1.4775161847336267</v>
      </c>
      <c r="I489" s="502">
        <f>IF(Weather!E473="","",Weather!E473)</f>
        <v>1.4775161847336267</v>
      </c>
      <c r="J489" s="397">
        <f>IF(RnSplint!N152&lt;0,0,RnSplint!N152)</f>
        <v>31.568542548699455</v>
      </c>
      <c r="K489" s="302">
        <f t="shared" si="432"/>
        <v>0</v>
      </c>
      <c r="L489" s="303">
        <f t="shared" si="433"/>
        <v>38454</v>
      </c>
      <c r="M489" s="346" t="str">
        <f t="shared" si="394"/>
        <v/>
      </c>
      <c r="N489" s="304">
        <f t="shared" si="434"/>
        <v>0</v>
      </c>
      <c r="O489" s="304">
        <f>IF($L$3&lt;3,0,IF($R$3=E489,R$2,IF($R$4=E488,0,IF($R$5=E489,R$2,IF($R$6=E488,0,O488)))))</f>
        <v>0</v>
      </c>
      <c r="P489" s="304">
        <f t="shared" si="405"/>
        <v>0</v>
      </c>
      <c r="Q489" s="304">
        <f t="shared" si="406"/>
        <v>0.63920275540026228</v>
      </c>
      <c r="R489" s="304">
        <f t="shared" si="407"/>
        <v>0.63920275540026228</v>
      </c>
      <c r="S489" s="305" t="e">
        <f t="shared" si="436"/>
        <v>#N/A</v>
      </c>
      <c r="T489" s="304">
        <f t="shared" si="408"/>
        <v>0</v>
      </c>
      <c r="U489" s="304">
        <f t="shared" si="446"/>
        <v>0</v>
      </c>
      <c r="V489" s="305" t="e">
        <f t="shared" si="409"/>
        <v>#N/A</v>
      </c>
      <c r="W489" s="305" t="e">
        <f t="shared" si="437"/>
        <v>#N/A</v>
      </c>
      <c r="X489" s="304">
        <f t="shared" si="438"/>
        <v>0.63920275540026228</v>
      </c>
      <c r="Z489" s="304" t="str">
        <f t="shared" si="410"/>
        <v/>
      </c>
      <c r="AA489" s="305" t="e">
        <f t="shared" si="411"/>
        <v>#N/A</v>
      </c>
      <c r="AB489" s="304">
        <f t="shared" si="412"/>
        <v>0.94443241643021714</v>
      </c>
      <c r="AC489" s="304" t="str">
        <f t="shared" si="439"/>
        <v/>
      </c>
      <c r="AD489" s="306">
        <f t="shared" si="413"/>
        <v>0</v>
      </c>
      <c r="AE489" s="307">
        <f t="shared" si="440"/>
        <v>0.94443241643021714</v>
      </c>
      <c r="AF489" s="308" t="e">
        <f t="shared" si="393"/>
        <v>#N/A</v>
      </c>
      <c r="AG489" s="306">
        <f t="shared" si="441"/>
        <v>764.06857752922451</v>
      </c>
      <c r="AH489" s="306">
        <f t="shared" si="414"/>
        <v>0</v>
      </c>
      <c r="AI489" s="306">
        <f t="shared" si="442"/>
        <v>0</v>
      </c>
      <c r="AJ489" s="306">
        <f t="shared" si="443"/>
        <v>0</v>
      </c>
      <c r="AK489" s="306">
        <f t="shared" si="415"/>
        <v>0</v>
      </c>
      <c r="AL489" s="306">
        <f t="shared" si="444"/>
        <v>0</v>
      </c>
      <c r="AM489" s="306">
        <f t="shared" si="416"/>
        <v>0</v>
      </c>
      <c r="AN489" s="306"/>
      <c r="AO489" s="304" t="str">
        <f t="shared" si="417"/>
        <v/>
      </c>
      <c r="AP489" s="304" t="str">
        <f t="shared" si="445"/>
        <v/>
      </c>
      <c r="AQ489" s="305" t="e">
        <f t="shared" si="395"/>
        <v>#N/A</v>
      </c>
      <c r="AR489" s="304" t="str">
        <f t="shared" si="396"/>
        <v/>
      </c>
      <c r="AS489" s="306">
        <f t="shared" si="418"/>
        <v>0</v>
      </c>
      <c r="AT489" s="307" t="e">
        <f t="shared" si="397"/>
        <v>#N/A</v>
      </c>
      <c r="AU489" s="307" t="e">
        <f t="shared" si="398"/>
        <v>#N/A</v>
      </c>
      <c r="AV489" s="304">
        <f t="shared" si="400"/>
        <v>1.4775161847336267</v>
      </c>
      <c r="AW489" s="309">
        <f t="shared" si="419"/>
        <v>16.611270306778685</v>
      </c>
      <c r="AX489" s="306">
        <f>IF(ISERROR(Weather!M473),#N/A,Weather!M473)</f>
        <v>0</v>
      </c>
      <c r="AY489" s="310">
        <f t="shared" si="420"/>
        <v>12</v>
      </c>
      <c r="AZ489" s="309">
        <f t="shared" si="421"/>
        <v>0.63920275540026228</v>
      </c>
      <c r="BA489" s="309">
        <f t="shared" si="422"/>
        <v>336.6803439191213</v>
      </c>
      <c r="BB489" s="311">
        <f>Irrig!H491</f>
        <v>0</v>
      </c>
      <c r="BC489" s="310">
        <f t="shared" si="423"/>
        <v>0</v>
      </c>
      <c r="BD489" s="309">
        <f t="shared" si="424"/>
        <v>0</v>
      </c>
      <c r="BE489" s="309">
        <f t="shared" si="425"/>
        <v>0</v>
      </c>
      <c r="BF489" s="306">
        <f>DailyMet!H473</f>
        <v>11.36</v>
      </c>
      <c r="BG489" s="306">
        <f>DailyMet!I473</f>
        <v>3.5</v>
      </c>
      <c r="BH489" s="306">
        <f t="shared" si="426"/>
        <v>11.36</v>
      </c>
      <c r="BI489" s="306">
        <f t="shared" si="427"/>
        <v>10</v>
      </c>
      <c r="BJ489" s="306">
        <f t="shared" si="428"/>
        <v>0.67999999999999972</v>
      </c>
      <c r="BK489" s="306">
        <f t="shared" si="399"/>
        <v>0</v>
      </c>
      <c r="BL489" s="304">
        <f t="shared" si="429"/>
        <v>0</v>
      </c>
      <c r="BM489" s="304">
        <f t="shared" si="430"/>
        <v>0.11765903307888032</v>
      </c>
      <c r="BN489" s="304">
        <f t="shared" si="447"/>
        <v>0.11765903307888032</v>
      </c>
      <c r="BO489" s="306">
        <f t="shared" si="448"/>
        <v>0</v>
      </c>
      <c r="BP489" s="306"/>
    </row>
    <row r="490" spans="1:68">
      <c r="A490" s="299">
        <f t="shared" si="401"/>
        <v>0</v>
      </c>
      <c r="B490" s="300">
        <f t="shared" si="402"/>
        <v>38455</v>
      </c>
      <c r="C490" s="301" t="e">
        <f t="shared" si="431"/>
        <v>#N/A</v>
      </c>
      <c r="D490" s="301" t="e">
        <f t="shared" si="403"/>
        <v>#N/A</v>
      </c>
      <c r="E490" s="299">
        <f t="shared" si="404"/>
        <v>469</v>
      </c>
      <c r="F490" s="396">
        <f>Weather!M474</f>
        <v>0</v>
      </c>
      <c r="G490" s="301">
        <f>IF(Weather!C474="","",Weather!C474)</f>
        <v>1.3859385306037662</v>
      </c>
      <c r="H490" s="301">
        <f>IF(Weather!D474="","",Weather!D474)</f>
        <v>2.3188094411304103</v>
      </c>
      <c r="I490" s="502">
        <f>IF(Weather!E474="","",Weather!E474)</f>
        <v>2.3188094411304103</v>
      </c>
      <c r="J490" s="397">
        <f>IF(RnSplint!N153&lt;0,0,RnSplint!N153)</f>
        <v>31.234207182682159</v>
      </c>
      <c r="K490" s="302">
        <f t="shared" si="432"/>
        <v>0</v>
      </c>
      <c r="L490" s="303">
        <f t="shared" si="433"/>
        <v>38455</v>
      </c>
      <c r="M490" s="346" t="str">
        <f t="shared" si="394"/>
        <v/>
      </c>
      <c r="N490" s="304">
        <f t="shared" si="434"/>
        <v>0</v>
      </c>
      <c r="O490" s="304">
        <f t="shared" si="435"/>
        <v>0</v>
      </c>
      <c r="P490" s="304">
        <f t="shared" si="405"/>
        <v>0</v>
      </c>
      <c r="Q490" s="304">
        <f t="shared" si="406"/>
        <v>0.59752467692978806</v>
      </c>
      <c r="R490" s="304">
        <f t="shared" si="407"/>
        <v>0.59752467692978806</v>
      </c>
      <c r="S490" s="305" t="e">
        <f t="shared" si="436"/>
        <v>#N/A</v>
      </c>
      <c r="T490" s="304">
        <f t="shared" si="408"/>
        <v>0</v>
      </c>
      <c r="U490" s="304">
        <f t="shared" si="446"/>
        <v>0</v>
      </c>
      <c r="V490" s="305" t="e">
        <f t="shared" si="409"/>
        <v>#N/A</v>
      </c>
      <c r="W490" s="305" t="e">
        <f t="shared" si="437"/>
        <v>#N/A</v>
      </c>
      <c r="X490" s="304">
        <f t="shared" si="438"/>
        <v>0.59752467692978806</v>
      </c>
      <c r="Z490" s="304" t="str">
        <f t="shared" si="410"/>
        <v/>
      </c>
      <c r="AA490" s="305" t="e">
        <f t="shared" si="411"/>
        <v>#N/A</v>
      </c>
      <c r="AB490" s="304">
        <f t="shared" si="412"/>
        <v>1.3855458621731909</v>
      </c>
      <c r="AC490" s="304" t="str">
        <f t="shared" si="439"/>
        <v/>
      </c>
      <c r="AD490" s="306">
        <f t="shared" si="413"/>
        <v>0</v>
      </c>
      <c r="AE490" s="307">
        <f t="shared" si="440"/>
        <v>1.3855458621731909</v>
      </c>
      <c r="AF490" s="308" t="e">
        <f t="shared" si="393"/>
        <v>#N/A</v>
      </c>
      <c r="AG490" s="306">
        <f t="shared" si="441"/>
        <v>766.3873869703549</v>
      </c>
      <c r="AH490" s="306">
        <f t="shared" si="414"/>
        <v>0</v>
      </c>
      <c r="AI490" s="306">
        <f t="shared" si="442"/>
        <v>0</v>
      </c>
      <c r="AJ490" s="306">
        <f t="shared" si="443"/>
        <v>0</v>
      </c>
      <c r="AK490" s="306">
        <f t="shared" si="415"/>
        <v>0</v>
      </c>
      <c r="AL490" s="306">
        <f t="shared" si="444"/>
        <v>0</v>
      </c>
      <c r="AM490" s="306">
        <f t="shared" si="416"/>
        <v>0</v>
      </c>
      <c r="AN490" s="306"/>
      <c r="AO490" s="304" t="str">
        <f t="shared" si="417"/>
        <v/>
      </c>
      <c r="AP490" s="304" t="str">
        <f t="shared" si="445"/>
        <v/>
      </c>
      <c r="AQ490" s="305" t="e">
        <f t="shared" si="395"/>
        <v>#N/A</v>
      </c>
      <c r="AR490" s="304" t="str">
        <f t="shared" si="396"/>
        <v/>
      </c>
      <c r="AS490" s="306">
        <f t="shared" si="418"/>
        <v>0</v>
      </c>
      <c r="AT490" s="307" t="e">
        <f t="shared" si="397"/>
        <v>#N/A</v>
      </c>
      <c r="AU490" s="307" t="e">
        <f t="shared" si="398"/>
        <v>#N/A</v>
      </c>
      <c r="AV490" s="304">
        <f t="shared" si="400"/>
        <v>2.3188094411304103</v>
      </c>
      <c r="AW490" s="309">
        <f t="shared" si="419"/>
        <v>18.930079747909097</v>
      </c>
      <c r="AX490" s="306">
        <f>IF(ISERROR(Weather!M474),#N/A,Weather!M474)</f>
        <v>0</v>
      </c>
      <c r="AY490" s="310">
        <f t="shared" si="420"/>
        <v>13</v>
      </c>
      <c r="AZ490" s="309">
        <f t="shared" si="421"/>
        <v>0.59752467692978806</v>
      </c>
      <c r="BA490" s="309">
        <f t="shared" si="422"/>
        <v>338.99915336025168</v>
      </c>
      <c r="BB490" s="311">
        <f>Irrig!H492</f>
        <v>0</v>
      </c>
      <c r="BC490" s="310">
        <f t="shared" si="423"/>
        <v>0</v>
      </c>
      <c r="BD490" s="309">
        <f t="shared" si="424"/>
        <v>0</v>
      </c>
      <c r="BE490" s="309">
        <f t="shared" si="425"/>
        <v>0</v>
      </c>
      <c r="BF490" s="306">
        <f>DailyMet!H474</f>
        <v>10.53</v>
      </c>
      <c r="BG490" s="306">
        <f>DailyMet!I474</f>
        <v>8.8000000000000007</v>
      </c>
      <c r="BH490" s="306">
        <f t="shared" si="426"/>
        <v>10.53</v>
      </c>
      <c r="BI490" s="306">
        <f t="shared" si="427"/>
        <v>10</v>
      </c>
      <c r="BJ490" s="306">
        <f t="shared" si="428"/>
        <v>0.26500000000000057</v>
      </c>
      <c r="BK490" s="306">
        <f t="shared" si="399"/>
        <v>0</v>
      </c>
      <c r="BL490" s="304">
        <f t="shared" si="429"/>
        <v>0</v>
      </c>
      <c r="BM490" s="304">
        <f t="shared" si="430"/>
        <v>8.1184971098265765E-2</v>
      </c>
      <c r="BN490" s="304">
        <f t="shared" si="447"/>
        <v>8.1184971098265765E-2</v>
      </c>
      <c r="BO490" s="306">
        <f t="shared" si="448"/>
        <v>0</v>
      </c>
      <c r="BP490" s="306"/>
    </row>
    <row r="491" spans="1:68">
      <c r="A491" s="299">
        <f t="shared" si="401"/>
        <v>0</v>
      </c>
      <c r="B491" s="300">
        <f t="shared" si="402"/>
        <v>38456</v>
      </c>
      <c r="C491" s="301" t="e">
        <f t="shared" si="431"/>
        <v>#N/A</v>
      </c>
      <c r="D491" s="301" t="e">
        <f t="shared" si="403"/>
        <v>#N/A</v>
      </c>
      <c r="E491" s="299">
        <f t="shared" si="404"/>
        <v>470</v>
      </c>
      <c r="F491" s="396">
        <f>Weather!M475</f>
        <v>0</v>
      </c>
      <c r="G491" s="301">
        <f>IF(Weather!C475="","",Weather!C475)</f>
        <v>1.4000941141674814</v>
      </c>
      <c r="H491" s="301">
        <f>IF(Weather!D475="","",Weather!D475)</f>
        <v>2.3817274499732548</v>
      </c>
      <c r="I491" s="502">
        <f>IF(Weather!E475="","",Weather!E475)</f>
        <v>2.3817274499732548</v>
      </c>
      <c r="J491" s="397">
        <f>IF(RnSplint!N154&lt;0,0,RnSplint!N154)</f>
        <v>30.86218658228341</v>
      </c>
      <c r="K491" s="302">
        <f t="shared" si="432"/>
        <v>0</v>
      </c>
      <c r="L491" s="303">
        <f t="shared" si="433"/>
        <v>38456</v>
      </c>
      <c r="M491" s="346" t="str">
        <f t="shared" si="394"/>
        <v/>
      </c>
      <c r="N491" s="304">
        <f t="shared" si="434"/>
        <v>0</v>
      </c>
      <c r="O491" s="304">
        <f t="shared" si="435"/>
        <v>0</v>
      </c>
      <c r="P491" s="304">
        <f t="shared" si="405"/>
        <v>0</v>
      </c>
      <c r="Q491" s="304">
        <f t="shared" si="406"/>
        <v>0.56208040176453788</v>
      </c>
      <c r="R491" s="304">
        <f t="shared" si="407"/>
        <v>0.56208040176453788</v>
      </c>
      <c r="S491" s="305" t="e">
        <f t="shared" si="436"/>
        <v>#N/A</v>
      </c>
      <c r="T491" s="304">
        <f t="shared" si="408"/>
        <v>0</v>
      </c>
      <c r="U491" s="304">
        <f t="shared" si="446"/>
        <v>0</v>
      </c>
      <c r="V491" s="305" t="e">
        <f t="shared" si="409"/>
        <v>#N/A</v>
      </c>
      <c r="W491" s="305" t="e">
        <f t="shared" si="437"/>
        <v>#N/A</v>
      </c>
      <c r="X491" s="304">
        <f t="shared" si="438"/>
        <v>0.56208040176453788</v>
      </c>
      <c r="Z491" s="304" t="str">
        <f t="shared" si="410"/>
        <v/>
      </c>
      <c r="AA491" s="305" t="e">
        <f t="shared" si="411"/>
        <v>#N/A</v>
      </c>
      <c r="AB491" s="304">
        <f t="shared" si="412"/>
        <v>1.3387223219745954</v>
      </c>
      <c r="AC491" s="304" t="str">
        <f t="shared" si="439"/>
        <v/>
      </c>
      <c r="AD491" s="306">
        <f t="shared" si="413"/>
        <v>0</v>
      </c>
      <c r="AE491" s="307">
        <f t="shared" si="440"/>
        <v>1.3387223219745954</v>
      </c>
      <c r="AF491" s="308" t="e">
        <f t="shared" si="393"/>
        <v>#N/A</v>
      </c>
      <c r="AG491" s="306">
        <f t="shared" si="441"/>
        <v>768.76911442032815</v>
      </c>
      <c r="AH491" s="306">
        <f t="shared" si="414"/>
        <v>0</v>
      </c>
      <c r="AI491" s="306">
        <f t="shared" si="442"/>
        <v>0</v>
      </c>
      <c r="AJ491" s="306">
        <f t="shared" si="443"/>
        <v>0</v>
      </c>
      <c r="AK491" s="306">
        <f t="shared" si="415"/>
        <v>0</v>
      </c>
      <c r="AL491" s="306">
        <f t="shared" si="444"/>
        <v>0</v>
      </c>
      <c r="AM491" s="306">
        <f t="shared" si="416"/>
        <v>0</v>
      </c>
      <c r="AN491" s="306"/>
      <c r="AO491" s="304" t="str">
        <f t="shared" si="417"/>
        <v/>
      </c>
      <c r="AP491" s="304" t="str">
        <f t="shared" si="445"/>
        <v/>
      </c>
      <c r="AQ491" s="305" t="e">
        <f t="shared" si="395"/>
        <v>#N/A</v>
      </c>
      <c r="AR491" s="304" t="str">
        <f t="shared" si="396"/>
        <v/>
      </c>
      <c r="AS491" s="306">
        <f t="shared" si="418"/>
        <v>0</v>
      </c>
      <c r="AT491" s="307" t="e">
        <f t="shared" si="397"/>
        <v>#N/A</v>
      </c>
      <c r="AU491" s="307" t="e">
        <f t="shared" si="398"/>
        <v>#N/A</v>
      </c>
      <c r="AV491" s="304">
        <f t="shared" si="400"/>
        <v>2.3817274499732548</v>
      </c>
      <c r="AW491" s="309">
        <f t="shared" si="419"/>
        <v>21.311807197882352</v>
      </c>
      <c r="AX491" s="306">
        <f>IF(ISERROR(Weather!M475),#N/A,Weather!M475)</f>
        <v>0</v>
      </c>
      <c r="AY491" s="310">
        <f t="shared" si="420"/>
        <v>14</v>
      </c>
      <c r="AZ491" s="309">
        <f t="shared" si="421"/>
        <v>0.56208040176453788</v>
      </c>
      <c r="BA491" s="309">
        <f t="shared" si="422"/>
        <v>341.38088081022494</v>
      </c>
      <c r="BB491" s="311">
        <f>Irrig!H493</f>
        <v>0</v>
      </c>
      <c r="BC491" s="310">
        <f t="shared" si="423"/>
        <v>0</v>
      </c>
      <c r="BD491" s="309">
        <f t="shared" si="424"/>
        <v>0</v>
      </c>
      <c r="BE491" s="309">
        <f t="shared" si="425"/>
        <v>0</v>
      </c>
      <c r="BF491" s="306">
        <f>DailyMet!H475</f>
        <v>11.32</v>
      </c>
      <c r="BG491" s="306">
        <f>DailyMet!I475</f>
        <v>8.6</v>
      </c>
      <c r="BH491" s="306">
        <f t="shared" si="426"/>
        <v>11.32</v>
      </c>
      <c r="BI491" s="306">
        <f t="shared" si="427"/>
        <v>10</v>
      </c>
      <c r="BJ491" s="306">
        <f t="shared" si="428"/>
        <v>0.66000000000000014</v>
      </c>
      <c r="BK491" s="306">
        <f t="shared" si="399"/>
        <v>0</v>
      </c>
      <c r="BL491" s="304">
        <f t="shared" si="429"/>
        <v>0</v>
      </c>
      <c r="BM491" s="304">
        <f t="shared" si="430"/>
        <v>0.3202941176470589</v>
      </c>
      <c r="BN491" s="304">
        <f t="shared" si="447"/>
        <v>0.3202941176470589</v>
      </c>
      <c r="BO491" s="306">
        <f t="shared" si="448"/>
        <v>0</v>
      </c>
      <c r="BP491" s="306"/>
    </row>
    <row r="492" spans="1:68">
      <c r="A492" s="299">
        <f t="shared" si="401"/>
        <v>0</v>
      </c>
      <c r="B492" s="300">
        <f t="shared" si="402"/>
        <v>38457</v>
      </c>
      <c r="C492" s="301" t="e">
        <f t="shared" si="431"/>
        <v>#N/A</v>
      </c>
      <c r="D492" s="301" t="e">
        <f t="shared" si="403"/>
        <v>#N/A</v>
      </c>
      <c r="E492" s="299">
        <f t="shared" si="404"/>
        <v>471</v>
      </c>
      <c r="F492" s="396">
        <f>Weather!M476</f>
        <v>0</v>
      </c>
      <c r="G492" s="301">
        <f>IF(Weather!C476="","",Weather!C476)</f>
        <v>1.4168304087017813</v>
      </c>
      <c r="H492" s="301">
        <f>IF(Weather!D476="","",Weather!D476)</f>
        <v>1.2746820392788025</v>
      </c>
      <c r="I492" s="502">
        <f>IF(Weather!E476="","",Weather!E476)</f>
        <v>1.2746820392788025</v>
      </c>
      <c r="J492" s="397">
        <f>IF(RnSplint!N155&lt;0,0,RnSplint!N155)</f>
        <v>30.451208327917822</v>
      </c>
      <c r="K492" s="302">
        <f t="shared" si="432"/>
        <v>0</v>
      </c>
      <c r="L492" s="303">
        <f t="shared" si="433"/>
        <v>38457</v>
      </c>
      <c r="M492" s="346" t="str">
        <f t="shared" si="394"/>
        <v/>
      </c>
      <c r="N492" s="304">
        <f t="shared" si="434"/>
        <v>0</v>
      </c>
      <c r="O492" s="304">
        <f t="shared" si="435"/>
        <v>0</v>
      </c>
      <c r="P492" s="304">
        <f t="shared" si="405"/>
        <v>0</v>
      </c>
      <c r="Q492" s="304">
        <f t="shared" si="406"/>
        <v>0.54548217239791685</v>
      </c>
      <c r="R492" s="304">
        <f t="shared" si="407"/>
        <v>0.54548217239791685</v>
      </c>
      <c r="S492" s="305" t="e">
        <f t="shared" si="436"/>
        <v>#N/A</v>
      </c>
      <c r="T492" s="304">
        <f t="shared" si="408"/>
        <v>0</v>
      </c>
      <c r="U492" s="304">
        <f t="shared" si="446"/>
        <v>0</v>
      </c>
      <c r="V492" s="305" t="e">
        <f t="shared" si="409"/>
        <v>#N/A</v>
      </c>
      <c r="W492" s="305" t="e">
        <f t="shared" si="437"/>
        <v>#N/A</v>
      </c>
      <c r="X492" s="304">
        <f t="shared" si="438"/>
        <v>0.54548217239791685</v>
      </c>
      <c r="Z492" s="304" t="str">
        <f t="shared" si="410"/>
        <v/>
      </c>
      <c r="AA492" s="305" t="e">
        <f t="shared" si="411"/>
        <v>#N/A</v>
      </c>
      <c r="AB492" s="304">
        <f t="shared" si="412"/>
        <v>0.69531632790240794</v>
      </c>
      <c r="AC492" s="304" t="str">
        <f t="shared" si="439"/>
        <v/>
      </c>
      <c r="AD492" s="306">
        <f t="shared" si="413"/>
        <v>0</v>
      </c>
      <c r="AE492" s="307">
        <f t="shared" si="440"/>
        <v>0.69531632790240794</v>
      </c>
      <c r="AF492" s="308" t="e">
        <f t="shared" si="393"/>
        <v>#N/A</v>
      </c>
      <c r="AG492" s="306">
        <f t="shared" si="441"/>
        <v>770.04379645960694</v>
      </c>
      <c r="AH492" s="306">
        <f t="shared" si="414"/>
        <v>0</v>
      </c>
      <c r="AI492" s="306">
        <f t="shared" si="442"/>
        <v>0</v>
      </c>
      <c r="AJ492" s="306">
        <f t="shared" si="443"/>
        <v>0</v>
      </c>
      <c r="AK492" s="306">
        <f t="shared" si="415"/>
        <v>0</v>
      </c>
      <c r="AL492" s="306">
        <f t="shared" si="444"/>
        <v>0</v>
      </c>
      <c r="AM492" s="306">
        <f t="shared" si="416"/>
        <v>0</v>
      </c>
      <c r="AN492" s="306"/>
      <c r="AO492" s="304" t="str">
        <f t="shared" si="417"/>
        <v/>
      </c>
      <c r="AP492" s="304" t="str">
        <f t="shared" si="445"/>
        <v/>
      </c>
      <c r="AQ492" s="305" t="e">
        <f t="shared" si="395"/>
        <v>#N/A</v>
      </c>
      <c r="AR492" s="304" t="str">
        <f t="shared" si="396"/>
        <v/>
      </c>
      <c r="AS492" s="306">
        <f t="shared" si="418"/>
        <v>0</v>
      </c>
      <c r="AT492" s="307" t="e">
        <f t="shared" si="397"/>
        <v>#N/A</v>
      </c>
      <c r="AU492" s="307" t="e">
        <f t="shared" si="398"/>
        <v>#N/A</v>
      </c>
      <c r="AV492" s="304">
        <f t="shared" si="400"/>
        <v>1.2746820392788025</v>
      </c>
      <c r="AW492" s="309">
        <f t="shared" si="419"/>
        <v>22.586489237161153</v>
      </c>
      <c r="AX492" s="306">
        <f>IF(ISERROR(Weather!M476),#N/A,Weather!M476)</f>
        <v>0</v>
      </c>
      <c r="AY492" s="310">
        <f t="shared" si="420"/>
        <v>15</v>
      </c>
      <c r="AZ492" s="309">
        <f t="shared" si="421"/>
        <v>0.54548217239791685</v>
      </c>
      <c r="BA492" s="309">
        <f t="shared" si="422"/>
        <v>342.65556284950372</v>
      </c>
      <c r="BB492" s="311">
        <f>Irrig!H494</f>
        <v>0</v>
      </c>
      <c r="BC492" s="310">
        <f t="shared" si="423"/>
        <v>0</v>
      </c>
      <c r="BD492" s="309">
        <f t="shared" si="424"/>
        <v>0</v>
      </c>
      <c r="BE492" s="309">
        <f t="shared" si="425"/>
        <v>0</v>
      </c>
      <c r="BF492" s="306">
        <f>DailyMet!H476</f>
        <v>11.31</v>
      </c>
      <c r="BG492" s="306">
        <f>DailyMet!I476</f>
        <v>7</v>
      </c>
      <c r="BH492" s="306">
        <f t="shared" si="426"/>
        <v>11.31</v>
      </c>
      <c r="BI492" s="306">
        <f t="shared" si="427"/>
        <v>10</v>
      </c>
      <c r="BJ492" s="306">
        <f t="shared" si="428"/>
        <v>0.65500000000000114</v>
      </c>
      <c r="BK492" s="306">
        <f t="shared" si="399"/>
        <v>0</v>
      </c>
      <c r="BL492" s="304">
        <f t="shared" si="429"/>
        <v>0</v>
      </c>
      <c r="BM492" s="304">
        <f t="shared" si="430"/>
        <v>0.19908352668213469</v>
      </c>
      <c r="BN492" s="304">
        <f t="shared" si="447"/>
        <v>0.19908352668213469</v>
      </c>
      <c r="BO492" s="306">
        <f t="shared" si="448"/>
        <v>0</v>
      </c>
      <c r="BP492" s="306"/>
    </row>
    <row r="493" spans="1:68">
      <c r="A493" s="299">
        <f t="shared" si="401"/>
        <v>0</v>
      </c>
      <c r="B493" s="300">
        <f t="shared" si="402"/>
        <v>38458</v>
      </c>
      <c r="C493" s="301" t="e">
        <f t="shared" si="431"/>
        <v>#N/A</v>
      </c>
      <c r="D493" s="301" t="e">
        <f t="shared" si="403"/>
        <v>#N/A</v>
      </c>
      <c r="E493" s="299">
        <f t="shared" si="404"/>
        <v>472</v>
      </c>
      <c r="F493" s="396">
        <f>Weather!M477</f>
        <v>0</v>
      </c>
      <c r="G493" s="301">
        <f>IF(Weather!C477="","",Weather!C477)</f>
        <v>1.4363211472069024</v>
      </c>
      <c r="H493" s="301">
        <f>IF(Weather!D477="","",Weather!D477)</f>
        <v>1.7042348255788369</v>
      </c>
      <c r="I493" s="502">
        <f>IF(Weather!E477="","",Weather!E477)</f>
        <v>1.7042348255788369</v>
      </c>
      <c r="J493" s="397">
        <f>IF(RnSplint!N156&lt;0,0,RnSplint!N156)</f>
        <v>30</v>
      </c>
      <c r="K493" s="302">
        <f t="shared" si="432"/>
        <v>0</v>
      </c>
      <c r="L493" s="303">
        <f t="shared" si="433"/>
        <v>38458</v>
      </c>
      <c r="M493" s="346" t="str">
        <f t="shared" si="394"/>
        <v/>
      </c>
      <c r="N493" s="304">
        <f t="shared" si="434"/>
        <v>0</v>
      </c>
      <c r="O493" s="304">
        <f t="shared" si="435"/>
        <v>0</v>
      </c>
      <c r="P493" s="304">
        <f t="shared" si="405"/>
        <v>0</v>
      </c>
      <c r="Q493" s="304">
        <f t="shared" si="406"/>
        <v>0.52538688680520818</v>
      </c>
      <c r="R493" s="304">
        <f t="shared" si="407"/>
        <v>0.52538688680520818</v>
      </c>
      <c r="S493" s="305" t="e">
        <f t="shared" si="436"/>
        <v>#N/A</v>
      </c>
      <c r="T493" s="304">
        <f t="shared" si="408"/>
        <v>0</v>
      </c>
      <c r="U493" s="304">
        <f t="shared" si="446"/>
        <v>0</v>
      </c>
      <c r="V493" s="305" t="e">
        <f t="shared" si="409"/>
        <v>#N/A</v>
      </c>
      <c r="W493" s="305" t="e">
        <f t="shared" si="437"/>
        <v>#N/A</v>
      </c>
      <c r="X493" s="304">
        <f t="shared" si="438"/>
        <v>0.52538688680520818</v>
      </c>
      <c r="Z493" s="304" t="str">
        <f t="shared" si="410"/>
        <v/>
      </c>
      <c r="AA493" s="305" t="e">
        <f t="shared" si="411"/>
        <v>#N/A</v>
      </c>
      <c r="AB493" s="304">
        <f t="shared" si="412"/>
        <v>0.89538262939588209</v>
      </c>
      <c r="AC493" s="304" t="str">
        <f t="shared" si="439"/>
        <v/>
      </c>
      <c r="AD493" s="306">
        <f t="shared" si="413"/>
        <v>0</v>
      </c>
      <c r="AE493" s="307">
        <f t="shared" si="440"/>
        <v>0.89538262939588209</v>
      </c>
      <c r="AF493" s="308" t="e">
        <f t="shared" si="393"/>
        <v>#N/A</v>
      </c>
      <c r="AG493" s="306">
        <f t="shared" si="441"/>
        <v>771.74803128518579</v>
      </c>
      <c r="AH493" s="306">
        <f t="shared" si="414"/>
        <v>0</v>
      </c>
      <c r="AI493" s="306">
        <f t="shared" si="442"/>
        <v>0</v>
      </c>
      <c r="AJ493" s="306">
        <f t="shared" si="443"/>
        <v>0</v>
      </c>
      <c r="AK493" s="306">
        <f t="shared" si="415"/>
        <v>0</v>
      </c>
      <c r="AL493" s="306">
        <f t="shared" si="444"/>
        <v>0</v>
      </c>
      <c r="AM493" s="306">
        <f t="shared" si="416"/>
        <v>0</v>
      </c>
      <c r="AN493" s="306"/>
      <c r="AO493" s="304" t="str">
        <f t="shared" si="417"/>
        <v/>
      </c>
      <c r="AP493" s="304" t="str">
        <f t="shared" si="445"/>
        <v/>
      </c>
      <c r="AQ493" s="305" t="e">
        <f t="shared" si="395"/>
        <v>#N/A</v>
      </c>
      <c r="AR493" s="304" t="str">
        <f t="shared" si="396"/>
        <v/>
      </c>
      <c r="AS493" s="306">
        <f t="shared" si="418"/>
        <v>0</v>
      </c>
      <c r="AT493" s="307" t="e">
        <f t="shared" si="397"/>
        <v>#N/A</v>
      </c>
      <c r="AU493" s="307" t="e">
        <f t="shared" si="398"/>
        <v>#N/A</v>
      </c>
      <c r="AV493" s="304">
        <f t="shared" si="400"/>
        <v>1.7042348255788369</v>
      </c>
      <c r="AW493" s="309">
        <f t="shared" si="419"/>
        <v>24.29072406273999</v>
      </c>
      <c r="AX493" s="306">
        <f>IF(ISERROR(Weather!M477),#N/A,Weather!M477)</f>
        <v>0</v>
      </c>
      <c r="AY493" s="310">
        <f t="shared" si="420"/>
        <v>16</v>
      </c>
      <c r="AZ493" s="309">
        <f t="shared" si="421"/>
        <v>0.52538688680520818</v>
      </c>
      <c r="BA493" s="309">
        <f t="shared" si="422"/>
        <v>344.35979767508258</v>
      </c>
      <c r="BB493" s="311">
        <f>Irrig!H495</f>
        <v>0</v>
      </c>
      <c r="BC493" s="310">
        <f t="shared" si="423"/>
        <v>0</v>
      </c>
      <c r="BD493" s="309">
        <f t="shared" si="424"/>
        <v>0</v>
      </c>
      <c r="BE493" s="309">
        <f t="shared" si="425"/>
        <v>0</v>
      </c>
      <c r="BF493" s="306">
        <f>DailyMet!H477</f>
        <v>11.22</v>
      </c>
      <c r="BG493" s="306">
        <f>DailyMet!I477</f>
        <v>8.1</v>
      </c>
      <c r="BH493" s="306">
        <f t="shared" si="426"/>
        <v>11.22</v>
      </c>
      <c r="BI493" s="306">
        <f t="shared" si="427"/>
        <v>10</v>
      </c>
      <c r="BJ493" s="306">
        <f t="shared" si="428"/>
        <v>0.60999999999999943</v>
      </c>
      <c r="BK493" s="306">
        <f t="shared" si="399"/>
        <v>0</v>
      </c>
      <c r="BL493" s="304">
        <f t="shared" si="429"/>
        <v>0</v>
      </c>
      <c r="BM493" s="304">
        <f t="shared" si="430"/>
        <v>0.23852564102564119</v>
      </c>
      <c r="BN493" s="304">
        <f t="shared" si="447"/>
        <v>0.23852564102564119</v>
      </c>
      <c r="BO493" s="306">
        <f t="shared" si="448"/>
        <v>0</v>
      </c>
      <c r="BP493" s="306"/>
    </row>
    <row r="494" spans="1:68">
      <c r="A494" s="299">
        <f t="shared" si="401"/>
        <v>0</v>
      </c>
      <c r="B494" s="300">
        <f t="shared" si="402"/>
        <v>38459</v>
      </c>
      <c r="C494" s="301" t="e">
        <f t="shared" si="431"/>
        <v>#N/A</v>
      </c>
      <c r="D494" s="301" t="e">
        <f t="shared" si="403"/>
        <v>#N/A</v>
      </c>
      <c r="E494" s="299">
        <f t="shared" si="404"/>
        <v>473</v>
      </c>
      <c r="F494" s="396">
        <f>Weather!M478</f>
        <v>0</v>
      </c>
      <c r="G494" s="301">
        <f>IF(Weather!C478="","",Weather!C478)</f>
        <v>1.4586920641558638</v>
      </c>
      <c r="H494" s="301">
        <f>IF(Weather!D478="","",Weather!D478)</f>
        <v>0.75456294317937433</v>
      </c>
      <c r="I494" s="502">
        <f>IF(Weather!E478="","",Weather!E478)</f>
        <v>0.75456294317937433</v>
      </c>
      <c r="J494" s="397">
        <f>IF(RnSplint!N157&lt;0,0,RnSplint!N157)</f>
        <v>29.507893046914287</v>
      </c>
      <c r="K494" s="302">
        <f t="shared" si="432"/>
        <v>0</v>
      </c>
      <c r="L494" s="303">
        <f t="shared" si="433"/>
        <v>38459</v>
      </c>
      <c r="M494" s="346" t="str">
        <f t="shared" si="394"/>
        <v/>
      </c>
      <c r="N494" s="304">
        <f t="shared" si="434"/>
        <v>0</v>
      </c>
      <c r="O494" s="304">
        <f t="shared" si="435"/>
        <v>0</v>
      </c>
      <c r="P494" s="304">
        <f t="shared" si="405"/>
        <v>0</v>
      </c>
      <c r="Q494" s="304">
        <f t="shared" si="406"/>
        <v>0.51715875823446478</v>
      </c>
      <c r="R494" s="304">
        <f t="shared" si="407"/>
        <v>0.51715875823446478</v>
      </c>
      <c r="S494" s="305" t="e">
        <f t="shared" si="436"/>
        <v>#N/A</v>
      </c>
      <c r="T494" s="304">
        <f t="shared" si="408"/>
        <v>0</v>
      </c>
      <c r="U494" s="304">
        <f t="shared" si="446"/>
        <v>0</v>
      </c>
      <c r="V494" s="305" t="e">
        <f t="shared" si="409"/>
        <v>#N/A</v>
      </c>
      <c r="W494" s="305" t="e">
        <f t="shared" si="437"/>
        <v>#N/A</v>
      </c>
      <c r="X494" s="304">
        <f t="shared" si="438"/>
        <v>0.51715875823446478</v>
      </c>
      <c r="Z494" s="304" t="str">
        <f t="shared" si="410"/>
        <v/>
      </c>
      <c r="AA494" s="305" t="e">
        <f t="shared" si="411"/>
        <v>#N/A</v>
      </c>
      <c r="AB494" s="304">
        <f t="shared" si="412"/>
        <v>0.39022883470438824</v>
      </c>
      <c r="AC494" s="304" t="str">
        <f t="shared" si="439"/>
        <v/>
      </c>
      <c r="AD494" s="306">
        <f t="shared" si="413"/>
        <v>0</v>
      </c>
      <c r="AE494" s="307">
        <f t="shared" si="440"/>
        <v>0.39022883470438824</v>
      </c>
      <c r="AF494" s="308" t="e">
        <f t="shared" si="393"/>
        <v>#N/A</v>
      </c>
      <c r="AG494" s="306">
        <f t="shared" si="441"/>
        <v>772.50259422836518</v>
      </c>
      <c r="AH494" s="306">
        <f t="shared" si="414"/>
        <v>0</v>
      </c>
      <c r="AI494" s="306">
        <f t="shared" si="442"/>
        <v>0</v>
      </c>
      <c r="AJ494" s="306">
        <f t="shared" si="443"/>
        <v>0</v>
      </c>
      <c r="AK494" s="306">
        <f t="shared" si="415"/>
        <v>0</v>
      </c>
      <c r="AL494" s="306">
        <f t="shared" si="444"/>
        <v>0</v>
      </c>
      <c r="AM494" s="306">
        <f t="shared" si="416"/>
        <v>0</v>
      </c>
      <c r="AN494" s="306"/>
      <c r="AO494" s="304" t="str">
        <f t="shared" si="417"/>
        <v/>
      </c>
      <c r="AP494" s="304" t="str">
        <f t="shared" si="445"/>
        <v/>
      </c>
      <c r="AQ494" s="305" t="e">
        <f t="shared" si="395"/>
        <v>#N/A</v>
      </c>
      <c r="AR494" s="304" t="str">
        <f t="shared" si="396"/>
        <v/>
      </c>
      <c r="AS494" s="306">
        <f t="shared" si="418"/>
        <v>0</v>
      </c>
      <c r="AT494" s="307" t="e">
        <f t="shared" si="397"/>
        <v>#N/A</v>
      </c>
      <c r="AU494" s="307" t="e">
        <f t="shared" si="398"/>
        <v>#N/A</v>
      </c>
      <c r="AV494" s="304">
        <f t="shared" si="400"/>
        <v>0.75456294317937433</v>
      </c>
      <c r="AW494" s="309">
        <f t="shared" si="419"/>
        <v>25.045287005919363</v>
      </c>
      <c r="AX494" s="306">
        <f>IF(ISERROR(Weather!M478),#N/A,Weather!M478)</f>
        <v>0</v>
      </c>
      <c r="AY494" s="310">
        <f t="shared" si="420"/>
        <v>17</v>
      </c>
      <c r="AZ494" s="309">
        <f t="shared" si="421"/>
        <v>0.51715875823446478</v>
      </c>
      <c r="BA494" s="309">
        <f t="shared" si="422"/>
        <v>345.11436061826197</v>
      </c>
      <c r="BB494" s="311">
        <f>Irrig!H496</f>
        <v>0</v>
      </c>
      <c r="BC494" s="310">
        <f t="shared" si="423"/>
        <v>0</v>
      </c>
      <c r="BD494" s="309">
        <f t="shared" si="424"/>
        <v>0</v>
      </c>
      <c r="BE494" s="309">
        <f t="shared" si="425"/>
        <v>0</v>
      </c>
      <c r="BF494" s="306">
        <f>DailyMet!H478</f>
        <v>12.44</v>
      </c>
      <c r="BG494" s="306">
        <f>DailyMet!I478</f>
        <v>7.4</v>
      </c>
      <c r="BH494" s="306">
        <f t="shared" si="426"/>
        <v>12.44</v>
      </c>
      <c r="BI494" s="306">
        <f t="shared" si="427"/>
        <v>10</v>
      </c>
      <c r="BJ494" s="306">
        <f t="shared" si="428"/>
        <v>1.2199999999999989</v>
      </c>
      <c r="BK494" s="306">
        <f t="shared" si="399"/>
        <v>0</v>
      </c>
      <c r="BL494" s="304">
        <f t="shared" si="429"/>
        <v>0</v>
      </c>
      <c r="BM494" s="304">
        <f t="shared" si="430"/>
        <v>0.59063492063492051</v>
      </c>
      <c r="BN494" s="304">
        <f t="shared" si="447"/>
        <v>0.59063492063492051</v>
      </c>
      <c r="BO494" s="306">
        <f t="shared" si="448"/>
        <v>0</v>
      </c>
      <c r="BP494" s="306"/>
    </row>
    <row r="495" spans="1:68">
      <c r="A495" s="299">
        <f t="shared" si="401"/>
        <v>0</v>
      </c>
      <c r="B495" s="300">
        <f t="shared" si="402"/>
        <v>38460</v>
      </c>
      <c r="C495" s="301" t="e">
        <f t="shared" si="431"/>
        <v>#N/A</v>
      </c>
      <c r="D495" s="301" t="e">
        <f t="shared" si="403"/>
        <v>#N/A</v>
      </c>
      <c r="E495" s="299">
        <f t="shared" si="404"/>
        <v>474</v>
      </c>
      <c r="F495" s="396">
        <f>Weather!M479</f>
        <v>0</v>
      </c>
      <c r="G495" s="301">
        <f>IF(Weather!C479="","",Weather!C479)</f>
        <v>1.4838768999128071</v>
      </c>
      <c r="H495" s="301">
        <f>IF(Weather!D479="","",Weather!D479)</f>
        <v>1.6714663384207553</v>
      </c>
      <c r="I495" s="502">
        <f>IF(Weather!E479="","",Weather!E479)</f>
        <v>1.6714663384207553</v>
      </c>
      <c r="J495" s="397">
        <f>IF(RnSplint!N158&lt;0,0,RnSplint!N158)</f>
        <v>28.976634388923969</v>
      </c>
      <c r="K495" s="302">
        <f t="shared" si="432"/>
        <v>0</v>
      </c>
      <c r="L495" s="303">
        <f t="shared" si="433"/>
        <v>38460</v>
      </c>
      <c r="M495" s="346" t="str">
        <f t="shared" si="394"/>
        <v/>
      </c>
      <c r="N495" s="304">
        <f t="shared" si="434"/>
        <v>0</v>
      </c>
      <c r="O495" s="304">
        <f t="shared" si="435"/>
        <v>0</v>
      </c>
      <c r="P495" s="304">
        <f t="shared" si="405"/>
        <v>0</v>
      </c>
      <c r="Q495" s="304">
        <f t="shared" si="406"/>
        <v>0.50020281010274381</v>
      </c>
      <c r="R495" s="304">
        <f t="shared" si="407"/>
        <v>0.50020281010274381</v>
      </c>
      <c r="S495" s="305" t="e">
        <f t="shared" si="436"/>
        <v>#N/A</v>
      </c>
      <c r="T495" s="304">
        <f t="shared" si="408"/>
        <v>0</v>
      </c>
      <c r="U495" s="304">
        <f t="shared" si="446"/>
        <v>0</v>
      </c>
      <c r="V495" s="305" t="e">
        <f t="shared" si="409"/>
        <v>#N/A</v>
      </c>
      <c r="W495" s="305" t="e">
        <f t="shared" si="437"/>
        <v>#N/A</v>
      </c>
      <c r="X495" s="304">
        <f t="shared" si="438"/>
        <v>0.50020281010274381</v>
      </c>
      <c r="Z495" s="304" t="str">
        <f t="shared" si="410"/>
        <v/>
      </c>
      <c r="AA495" s="305" t="e">
        <f t="shared" si="411"/>
        <v>#N/A</v>
      </c>
      <c r="AB495" s="304">
        <f t="shared" si="412"/>
        <v>0.83607215947020563</v>
      </c>
      <c r="AC495" s="304" t="str">
        <f t="shared" si="439"/>
        <v/>
      </c>
      <c r="AD495" s="306">
        <f t="shared" si="413"/>
        <v>0</v>
      </c>
      <c r="AE495" s="307">
        <f t="shared" si="440"/>
        <v>0.83607215947020563</v>
      </c>
      <c r="AF495" s="308" t="e">
        <f t="shared" si="393"/>
        <v>#N/A</v>
      </c>
      <c r="AG495" s="306">
        <f t="shared" si="441"/>
        <v>774.1740605667859</v>
      </c>
      <c r="AH495" s="306">
        <f t="shared" si="414"/>
        <v>0</v>
      </c>
      <c r="AI495" s="306">
        <f t="shared" si="442"/>
        <v>0</v>
      </c>
      <c r="AJ495" s="306">
        <f t="shared" si="443"/>
        <v>0</v>
      </c>
      <c r="AK495" s="306">
        <f t="shared" si="415"/>
        <v>0</v>
      </c>
      <c r="AL495" s="306">
        <f t="shared" si="444"/>
        <v>0</v>
      </c>
      <c r="AM495" s="306">
        <f t="shared" si="416"/>
        <v>0</v>
      </c>
      <c r="AN495" s="306"/>
      <c r="AO495" s="304" t="str">
        <f t="shared" si="417"/>
        <v/>
      </c>
      <c r="AP495" s="304" t="str">
        <f t="shared" si="445"/>
        <v/>
      </c>
      <c r="AQ495" s="305" t="e">
        <f t="shared" si="395"/>
        <v>#N/A</v>
      </c>
      <c r="AR495" s="304" t="str">
        <f t="shared" si="396"/>
        <v/>
      </c>
      <c r="AS495" s="306">
        <f t="shared" si="418"/>
        <v>0</v>
      </c>
      <c r="AT495" s="307" t="e">
        <f t="shared" si="397"/>
        <v>#N/A</v>
      </c>
      <c r="AU495" s="307" t="e">
        <f t="shared" si="398"/>
        <v>#N/A</v>
      </c>
      <c r="AV495" s="304">
        <f t="shared" si="400"/>
        <v>1.6714663384207553</v>
      </c>
      <c r="AW495" s="309">
        <f t="shared" si="419"/>
        <v>26.71675334434012</v>
      </c>
      <c r="AX495" s="306">
        <f>IF(ISERROR(Weather!M479),#N/A,Weather!M479)</f>
        <v>0</v>
      </c>
      <c r="AY495" s="310">
        <f t="shared" si="420"/>
        <v>18</v>
      </c>
      <c r="AZ495" s="309">
        <f t="shared" si="421"/>
        <v>0.50020281010274381</v>
      </c>
      <c r="BA495" s="309">
        <f t="shared" si="422"/>
        <v>346.78582695668274</v>
      </c>
      <c r="BB495" s="311">
        <f>Irrig!H497</f>
        <v>0</v>
      </c>
      <c r="BC495" s="310">
        <f t="shared" si="423"/>
        <v>0</v>
      </c>
      <c r="BD495" s="309">
        <f t="shared" si="424"/>
        <v>0</v>
      </c>
      <c r="BE495" s="309">
        <f t="shared" si="425"/>
        <v>0</v>
      </c>
      <c r="BF495" s="306">
        <f>DailyMet!H479</f>
        <v>11.4</v>
      </c>
      <c r="BG495" s="306">
        <f>DailyMet!I479</f>
        <v>7.1</v>
      </c>
      <c r="BH495" s="306">
        <f t="shared" si="426"/>
        <v>11.4</v>
      </c>
      <c r="BI495" s="306">
        <f t="shared" si="427"/>
        <v>10</v>
      </c>
      <c r="BJ495" s="306">
        <f t="shared" si="428"/>
        <v>0.69999999999999929</v>
      </c>
      <c r="BK495" s="306">
        <f t="shared" si="399"/>
        <v>0</v>
      </c>
      <c r="BL495" s="304">
        <f t="shared" si="429"/>
        <v>0</v>
      </c>
      <c r="BM495" s="304">
        <f t="shared" si="430"/>
        <v>0.22790697674418614</v>
      </c>
      <c r="BN495" s="304">
        <f t="shared" si="447"/>
        <v>0.22790697674418614</v>
      </c>
      <c r="BO495" s="306">
        <f t="shared" si="448"/>
        <v>0</v>
      </c>
      <c r="BP495" s="306"/>
    </row>
    <row r="496" spans="1:68">
      <c r="A496" s="299">
        <f t="shared" si="401"/>
        <v>0</v>
      </c>
      <c r="B496" s="300">
        <f t="shared" si="402"/>
        <v>38461</v>
      </c>
      <c r="C496" s="301" t="e">
        <f t="shared" si="431"/>
        <v>#N/A</v>
      </c>
      <c r="D496" s="301" t="e">
        <f t="shared" si="403"/>
        <v>#N/A</v>
      </c>
      <c r="E496" s="299">
        <f t="shared" si="404"/>
        <v>475</v>
      </c>
      <c r="F496" s="396">
        <f>Weather!M480</f>
        <v>0</v>
      </c>
      <c r="G496" s="301">
        <f>IF(Weather!C480="","",Weather!C480)</f>
        <v>1.5117613963146546</v>
      </c>
      <c r="H496" s="301">
        <f>IF(Weather!D480="","",Weather!D480)</f>
        <v>2.3496203991815219</v>
      </c>
      <c r="I496" s="502">
        <f>IF(Weather!E480="","",Weather!E480)</f>
        <v>2.3496203991815219</v>
      </c>
      <c r="J496" s="397">
        <f>IF(RnSplint!N159&lt;0,0,RnSplint!N159)</f>
        <v>28.408574814262071</v>
      </c>
      <c r="K496" s="302">
        <f t="shared" si="432"/>
        <v>0</v>
      </c>
      <c r="L496" s="303">
        <f t="shared" si="433"/>
        <v>38461</v>
      </c>
      <c r="M496" s="346" t="str">
        <f t="shared" si="394"/>
        <v/>
      </c>
      <c r="N496" s="304">
        <f t="shared" si="434"/>
        <v>0</v>
      </c>
      <c r="O496" s="304">
        <f t="shared" si="435"/>
        <v>0</v>
      </c>
      <c r="P496" s="304">
        <f t="shared" si="405"/>
        <v>0</v>
      </c>
      <c r="Q496" s="304">
        <f t="shared" si="406"/>
        <v>0.4789132207118264</v>
      </c>
      <c r="R496" s="304">
        <f t="shared" si="407"/>
        <v>0.4789132207118264</v>
      </c>
      <c r="S496" s="305" t="e">
        <f t="shared" si="436"/>
        <v>#N/A</v>
      </c>
      <c r="T496" s="304">
        <f t="shared" si="408"/>
        <v>0</v>
      </c>
      <c r="U496" s="304">
        <f t="shared" si="446"/>
        <v>0</v>
      </c>
      <c r="V496" s="305" t="e">
        <f t="shared" si="409"/>
        <v>#N/A</v>
      </c>
      <c r="W496" s="305" t="e">
        <f t="shared" si="437"/>
        <v>#N/A</v>
      </c>
      <c r="X496" s="304">
        <f t="shared" si="438"/>
        <v>0.4789132207118264</v>
      </c>
      <c r="Z496" s="304" t="str">
        <f t="shared" si="410"/>
        <v/>
      </c>
      <c r="AA496" s="305" t="e">
        <f t="shared" si="411"/>
        <v>#N/A</v>
      </c>
      <c r="AB496" s="304">
        <f t="shared" si="412"/>
        <v>1.1252642728222297</v>
      </c>
      <c r="AC496" s="304" t="str">
        <f t="shared" si="439"/>
        <v/>
      </c>
      <c r="AD496" s="306">
        <f t="shared" si="413"/>
        <v>0</v>
      </c>
      <c r="AE496" s="307">
        <f t="shared" si="440"/>
        <v>1.1252642728222297</v>
      </c>
      <c r="AF496" s="308" t="e">
        <f t="shared" si="393"/>
        <v>#N/A</v>
      </c>
      <c r="AG496" s="306">
        <f t="shared" si="441"/>
        <v>776.5236809659674</v>
      </c>
      <c r="AH496" s="306">
        <f t="shared" si="414"/>
        <v>0</v>
      </c>
      <c r="AI496" s="306">
        <f t="shared" si="442"/>
        <v>0</v>
      </c>
      <c r="AJ496" s="306">
        <f t="shared" si="443"/>
        <v>0</v>
      </c>
      <c r="AK496" s="306">
        <f t="shared" si="415"/>
        <v>0</v>
      </c>
      <c r="AL496" s="306">
        <f t="shared" si="444"/>
        <v>0</v>
      </c>
      <c r="AM496" s="306">
        <f t="shared" si="416"/>
        <v>0</v>
      </c>
      <c r="AN496" s="306"/>
      <c r="AO496" s="304" t="str">
        <f t="shared" si="417"/>
        <v/>
      </c>
      <c r="AP496" s="304" t="str">
        <f t="shared" si="445"/>
        <v/>
      </c>
      <c r="AQ496" s="305" t="e">
        <f t="shared" si="395"/>
        <v>#N/A</v>
      </c>
      <c r="AR496" s="304" t="str">
        <f t="shared" si="396"/>
        <v/>
      </c>
      <c r="AS496" s="306">
        <f t="shared" si="418"/>
        <v>0</v>
      </c>
      <c r="AT496" s="307" t="e">
        <f t="shared" si="397"/>
        <v>#N/A</v>
      </c>
      <c r="AU496" s="307" t="e">
        <f t="shared" si="398"/>
        <v>#N/A</v>
      </c>
      <c r="AV496" s="304">
        <f t="shared" si="400"/>
        <v>2.3496203991815219</v>
      </c>
      <c r="AW496" s="309">
        <f t="shared" si="419"/>
        <v>29.066373743521641</v>
      </c>
      <c r="AX496" s="306">
        <f>IF(ISERROR(Weather!M480),#N/A,Weather!M480)</f>
        <v>0</v>
      </c>
      <c r="AY496" s="310">
        <f t="shared" si="420"/>
        <v>19</v>
      </c>
      <c r="AZ496" s="309">
        <f t="shared" si="421"/>
        <v>0.4789132207118264</v>
      </c>
      <c r="BA496" s="309">
        <f t="shared" si="422"/>
        <v>349.13544735586424</v>
      </c>
      <c r="BB496" s="311">
        <f>Irrig!H498</f>
        <v>0</v>
      </c>
      <c r="BC496" s="310">
        <f t="shared" si="423"/>
        <v>0</v>
      </c>
      <c r="BD496" s="309">
        <f t="shared" si="424"/>
        <v>0</v>
      </c>
      <c r="BE496" s="309">
        <f t="shared" si="425"/>
        <v>0</v>
      </c>
      <c r="BF496" s="306">
        <f>DailyMet!H480</f>
        <v>11.37</v>
      </c>
      <c r="BG496" s="306">
        <f>DailyMet!I480</f>
        <v>5.8</v>
      </c>
      <c r="BH496" s="306">
        <f t="shared" si="426"/>
        <v>11.37</v>
      </c>
      <c r="BI496" s="306">
        <f t="shared" si="427"/>
        <v>10</v>
      </c>
      <c r="BJ496" s="306">
        <f t="shared" si="428"/>
        <v>0.68499999999999872</v>
      </c>
      <c r="BK496" s="306">
        <f t="shared" si="399"/>
        <v>0</v>
      </c>
      <c r="BL496" s="304">
        <f t="shared" si="429"/>
        <v>0</v>
      </c>
      <c r="BM496" s="304">
        <f t="shared" si="430"/>
        <v>0.16848294434470359</v>
      </c>
      <c r="BN496" s="304">
        <f t="shared" si="447"/>
        <v>0.16848294434470359</v>
      </c>
      <c r="BO496" s="306">
        <f t="shared" si="448"/>
        <v>0</v>
      </c>
      <c r="BP496" s="306"/>
    </row>
    <row r="497" spans="1:68">
      <c r="A497" s="299">
        <f t="shared" si="401"/>
        <v>0</v>
      </c>
      <c r="B497" s="300">
        <f t="shared" si="402"/>
        <v>38462</v>
      </c>
      <c r="C497" s="301" t="e">
        <f t="shared" si="431"/>
        <v>#N/A</v>
      </c>
      <c r="D497" s="301" t="e">
        <f t="shared" si="403"/>
        <v>#N/A</v>
      </c>
      <c r="E497" s="299">
        <f t="shared" si="404"/>
        <v>476</v>
      </c>
      <c r="F497" s="396">
        <f>Weather!M481</f>
        <v>0</v>
      </c>
      <c r="G497" s="301">
        <f>IF(Weather!C481="","",Weather!C481)</f>
        <v>1.5422312951983292</v>
      </c>
      <c r="H497" s="301">
        <f>IF(Weather!D481="","",Weather!D481)</f>
        <v>2.1232463360499847</v>
      </c>
      <c r="I497" s="502">
        <f>IF(Weather!E481="","",Weather!E481)</f>
        <v>2.1232463360499847</v>
      </c>
      <c r="J497" s="397">
        <f>IF(RnSplint!N160&lt;0,0,RnSplint!N160)</f>
        <v>27.806065111161619</v>
      </c>
      <c r="K497" s="302">
        <f t="shared" si="432"/>
        <v>0</v>
      </c>
      <c r="L497" s="303">
        <f t="shared" si="433"/>
        <v>38462</v>
      </c>
      <c r="M497" s="346" t="str">
        <f t="shared" si="394"/>
        <v/>
      </c>
      <c r="N497" s="304">
        <f t="shared" si="434"/>
        <v>0</v>
      </c>
      <c r="O497" s="304">
        <f t="shared" si="435"/>
        <v>0</v>
      </c>
      <c r="P497" s="304">
        <f t="shared" si="405"/>
        <v>0</v>
      </c>
      <c r="Q497" s="304">
        <f t="shared" si="406"/>
        <v>0.46180358807496436</v>
      </c>
      <c r="R497" s="304">
        <f t="shared" si="407"/>
        <v>0.46180358807496436</v>
      </c>
      <c r="S497" s="305" t="e">
        <f t="shared" si="436"/>
        <v>#N/A</v>
      </c>
      <c r="T497" s="304">
        <f t="shared" si="408"/>
        <v>0</v>
      </c>
      <c r="U497" s="304">
        <f t="shared" si="446"/>
        <v>0</v>
      </c>
      <c r="V497" s="305" t="e">
        <f t="shared" si="409"/>
        <v>#N/A</v>
      </c>
      <c r="W497" s="305" t="e">
        <f t="shared" si="437"/>
        <v>#N/A</v>
      </c>
      <c r="X497" s="304">
        <f t="shared" si="438"/>
        <v>0.46180358807496436</v>
      </c>
      <c r="Z497" s="304" t="str">
        <f t="shared" si="410"/>
        <v/>
      </c>
      <c r="AA497" s="305" t="e">
        <f t="shared" si="411"/>
        <v>#N/A</v>
      </c>
      <c r="AB497" s="304">
        <f t="shared" si="412"/>
        <v>0.98052277635490448</v>
      </c>
      <c r="AC497" s="304" t="str">
        <f t="shared" si="439"/>
        <v/>
      </c>
      <c r="AD497" s="306">
        <f t="shared" si="413"/>
        <v>0</v>
      </c>
      <c r="AE497" s="307">
        <f t="shared" si="440"/>
        <v>0.98052277635490448</v>
      </c>
      <c r="AF497" s="308" t="e">
        <f t="shared" si="393"/>
        <v>#N/A</v>
      </c>
      <c r="AG497" s="306">
        <f t="shared" si="441"/>
        <v>778.64692730201739</v>
      </c>
      <c r="AH497" s="306">
        <f t="shared" si="414"/>
        <v>0</v>
      </c>
      <c r="AI497" s="306">
        <f t="shared" si="442"/>
        <v>0</v>
      </c>
      <c r="AJ497" s="306">
        <f t="shared" si="443"/>
        <v>0</v>
      </c>
      <c r="AK497" s="306">
        <f t="shared" si="415"/>
        <v>0</v>
      </c>
      <c r="AL497" s="306">
        <f t="shared" si="444"/>
        <v>0</v>
      </c>
      <c r="AM497" s="306">
        <f t="shared" si="416"/>
        <v>0</v>
      </c>
      <c r="AN497" s="306"/>
      <c r="AO497" s="304" t="str">
        <f t="shared" si="417"/>
        <v/>
      </c>
      <c r="AP497" s="304" t="str">
        <f t="shared" si="445"/>
        <v/>
      </c>
      <c r="AQ497" s="305" t="e">
        <f t="shared" si="395"/>
        <v>#N/A</v>
      </c>
      <c r="AR497" s="304" t="str">
        <f t="shared" si="396"/>
        <v/>
      </c>
      <c r="AS497" s="306">
        <f t="shared" si="418"/>
        <v>0</v>
      </c>
      <c r="AT497" s="307" t="e">
        <f t="shared" si="397"/>
        <v>#N/A</v>
      </c>
      <c r="AU497" s="307" t="e">
        <f t="shared" si="398"/>
        <v>#N/A</v>
      </c>
      <c r="AV497" s="304">
        <f t="shared" si="400"/>
        <v>2.1232463360499847</v>
      </c>
      <c r="AW497" s="309">
        <f t="shared" si="419"/>
        <v>31.189620079571625</v>
      </c>
      <c r="AX497" s="306">
        <f>IF(ISERROR(Weather!M481),#N/A,Weather!M481)</f>
        <v>0</v>
      </c>
      <c r="AY497" s="310">
        <f t="shared" si="420"/>
        <v>20</v>
      </c>
      <c r="AZ497" s="309">
        <f t="shared" si="421"/>
        <v>0.46180358807496436</v>
      </c>
      <c r="BA497" s="309">
        <f t="shared" si="422"/>
        <v>351.25869369191423</v>
      </c>
      <c r="BB497" s="311">
        <f>Irrig!H499</f>
        <v>0</v>
      </c>
      <c r="BC497" s="310">
        <f t="shared" si="423"/>
        <v>0</v>
      </c>
      <c r="BD497" s="309">
        <f t="shared" si="424"/>
        <v>0</v>
      </c>
      <c r="BE497" s="309">
        <f t="shared" si="425"/>
        <v>0</v>
      </c>
      <c r="BF497" s="306">
        <f>DailyMet!H481</f>
        <v>11.97</v>
      </c>
      <c r="BG497" s="306">
        <f>DailyMet!I481</f>
        <v>8.3000000000000007</v>
      </c>
      <c r="BH497" s="306">
        <f t="shared" si="426"/>
        <v>11.97</v>
      </c>
      <c r="BI497" s="306">
        <f t="shared" si="427"/>
        <v>10</v>
      </c>
      <c r="BJ497" s="306">
        <f t="shared" si="428"/>
        <v>0.98499999999999943</v>
      </c>
      <c r="BK497" s="306">
        <f t="shared" si="399"/>
        <v>0</v>
      </c>
      <c r="BL497" s="304">
        <f t="shared" si="429"/>
        <v>0</v>
      </c>
      <c r="BM497" s="304">
        <f t="shared" si="430"/>
        <v>0.52873297002724828</v>
      </c>
      <c r="BN497" s="304">
        <f t="shared" si="447"/>
        <v>0.52873297002724828</v>
      </c>
      <c r="BO497" s="306">
        <f t="shared" si="448"/>
        <v>0</v>
      </c>
      <c r="BP497" s="306"/>
    </row>
    <row r="498" spans="1:68">
      <c r="A498" s="299">
        <f t="shared" si="401"/>
        <v>0</v>
      </c>
      <c r="B498" s="300">
        <f t="shared" si="402"/>
        <v>38463</v>
      </c>
      <c r="C498" s="301" t="e">
        <f t="shared" si="431"/>
        <v>#N/A</v>
      </c>
      <c r="D498" s="301" t="e">
        <f t="shared" si="403"/>
        <v>#N/A</v>
      </c>
      <c r="E498" s="299">
        <f t="shared" si="404"/>
        <v>477</v>
      </c>
      <c r="F498" s="396">
        <f>Weather!M482</f>
        <v>0</v>
      </c>
      <c r="G498" s="301">
        <f>IF(Weather!C482="","",Weather!C482)</f>
        <v>1.5751723384007537</v>
      </c>
      <c r="H498" s="301">
        <f>IF(Weather!D482="","",Weather!D482)</f>
        <v>2.3856445539884792</v>
      </c>
      <c r="I498" s="502">
        <f>IF(Weather!E482="","",Weather!E482)</f>
        <v>2.3856445539884792</v>
      </c>
      <c r="J498" s="397">
        <f>IF(RnSplint!N161&lt;0,0,RnSplint!N161)</f>
        <v>27.171456067855633</v>
      </c>
      <c r="K498" s="302">
        <f t="shared" si="432"/>
        <v>0</v>
      </c>
      <c r="L498" s="303">
        <f t="shared" si="433"/>
        <v>38463</v>
      </c>
      <c r="M498" s="346" t="str">
        <f t="shared" si="394"/>
        <v/>
      </c>
      <c r="N498" s="304">
        <f t="shared" si="434"/>
        <v>0</v>
      </c>
      <c r="O498" s="304">
        <f t="shared" si="435"/>
        <v>0</v>
      </c>
      <c r="P498" s="304">
        <f t="shared" si="405"/>
        <v>0</v>
      </c>
      <c r="Q498" s="304">
        <f t="shared" si="406"/>
        <v>0.44457032814546987</v>
      </c>
      <c r="R498" s="304">
        <f t="shared" si="407"/>
        <v>0.44457032814546987</v>
      </c>
      <c r="S498" s="305" t="e">
        <f t="shared" si="436"/>
        <v>#N/A</v>
      </c>
      <c r="T498" s="304">
        <f t="shared" si="408"/>
        <v>0</v>
      </c>
      <c r="U498" s="304">
        <f t="shared" si="446"/>
        <v>0</v>
      </c>
      <c r="V498" s="305" t="e">
        <f t="shared" si="409"/>
        <v>#N/A</v>
      </c>
      <c r="W498" s="305" t="e">
        <f t="shared" si="437"/>
        <v>#N/A</v>
      </c>
      <c r="X498" s="304">
        <f t="shared" si="438"/>
        <v>0.44457032814546987</v>
      </c>
      <c r="Z498" s="304" t="str">
        <f t="shared" si="410"/>
        <v/>
      </c>
      <c r="AA498" s="305" t="e">
        <f t="shared" si="411"/>
        <v>#N/A</v>
      </c>
      <c r="AB498" s="304">
        <f t="shared" si="412"/>
        <v>1.0605867822051114</v>
      </c>
      <c r="AC498" s="304" t="str">
        <f t="shared" si="439"/>
        <v/>
      </c>
      <c r="AD498" s="306">
        <f t="shared" si="413"/>
        <v>0</v>
      </c>
      <c r="AE498" s="307">
        <f t="shared" si="440"/>
        <v>1.0605867822051114</v>
      </c>
      <c r="AF498" s="308" t="e">
        <f t="shared" ref="AF498:AF561" si="449">IF(AD498=0,#N/A,AD498)</f>
        <v>#N/A</v>
      </c>
      <c r="AG498" s="306">
        <f t="shared" si="441"/>
        <v>781.03257185600592</v>
      </c>
      <c r="AH498" s="306">
        <f t="shared" si="414"/>
        <v>0</v>
      </c>
      <c r="AI498" s="306">
        <f t="shared" si="442"/>
        <v>0</v>
      </c>
      <c r="AJ498" s="306">
        <f t="shared" si="443"/>
        <v>0</v>
      </c>
      <c r="AK498" s="306">
        <f t="shared" si="415"/>
        <v>0</v>
      </c>
      <c r="AL498" s="306">
        <f t="shared" si="444"/>
        <v>0</v>
      </c>
      <c r="AM498" s="306">
        <f t="shared" si="416"/>
        <v>0</v>
      </c>
      <c r="AN498" s="306"/>
      <c r="AO498" s="304" t="str">
        <f t="shared" si="417"/>
        <v/>
      </c>
      <c r="AP498" s="304" t="str">
        <f t="shared" si="445"/>
        <v/>
      </c>
      <c r="AQ498" s="305" t="e">
        <f t="shared" si="395"/>
        <v>#N/A</v>
      </c>
      <c r="AR498" s="304" t="str">
        <f t="shared" si="396"/>
        <v/>
      </c>
      <c r="AS498" s="306">
        <f t="shared" si="418"/>
        <v>0</v>
      </c>
      <c r="AT498" s="307" t="e">
        <f t="shared" si="397"/>
        <v>#N/A</v>
      </c>
      <c r="AU498" s="307" t="e">
        <f t="shared" si="398"/>
        <v>#N/A</v>
      </c>
      <c r="AV498" s="304">
        <f t="shared" si="400"/>
        <v>2.3856445539884792</v>
      </c>
      <c r="AW498" s="309">
        <f t="shared" si="419"/>
        <v>33.575264633560103</v>
      </c>
      <c r="AX498" s="306">
        <f>IF(ISERROR(Weather!M482),#N/A,Weather!M482)</f>
        <v>0</v>
      </c>
      <c r="AY498" s="310">
        <f t="shared" si="420"/>
        <v>21</v>
      </c>
      <c r="AZ498" s="309">
        <f t="shared" si="421"/>
        <v>0.44457032814546987</v>
      </c>
      <c r="BA498" s="309">
        <f t="shared" si="422"/>
        <v>353.6443382459027</v>
      </c>
      <c r="BB498" s="311">
        <f>Irrig!H500</f>
        <v>0</v>
      </c>
      <c r="BC498" s="310">
        <f t="shared" si="423"/>
        <v>0</v>
      </c>
      <c r="BD498" s="309">
        <f t="shared" si="424"/>
        <v>0</v>
      </c>
      <c r="BE498" s="309">
        <f t="shared" si="425"/>
        <v>0</v>
      </c>
      <c r="BF498" s="306">
        <f>DailyMet!H482</f>
        <v>13.45</v>
      </c>
      <c r="BG498" s="306">
        <f>DailyMet!I482</f>
        <v>5.6</v>
      </c>
      <c r="BH498" s="306">
        <f t="shared" si="426"/>
        <v>13.45</v>
      </c>
      <c r="BI498" s="306">
        <f t="shared" si="427"/>
        <v>10</v>
      </c>
      <c r="BJ498" s="306">
        <f t="shared" si="428"/>
        <v>1.7249999999999996</v>
      </c>
      <c r="BK498" s="306">
        <f t="shared" si="399"/>
        <v>0</v>
      </c>
      <c r="BL498" s="304">
        <f t="shared" si="429"/>
        <v>0</v>
      </c>
      <c r="BM498" s="304">
        <f t="shared" si="430"/>
        <v>0.75812101910827989</v>
      </c>
      <c r="BN498" s="304">
        <f t="shared" si="447"/>
        <v>0.75812101910827989</v>
      </c>
      <c r="BO498" s="306">
        <f t="shared" si="448"/>
        <v>0</v>
      </c>
      <c r="BP498" s="306"/>
    </row>
    <row r="499" spans="1:68">
      <c r="A499" s="299">
        <f t="shared" si="401"/>
        <v>0</v>
      </c>
      <c r="B499" s="300">
        <f t="shared" si="402"/>
        <v>38464</v>
      </c>
      <c r="C499" s="301" t="e">
        <f t="shared" si="431"/>
        <v>#N/A</v>
      </c>
      <c r="D499" s="301" t="e">
        <f t="shared" si="403"/>
        <v>#N/A</v>
      </c>
      <c r="E499" s="299">
        <f t="shared" si="404"/>
        <v>478</v>
      </c>
      <c r="F499" s="396">
        <f>Weather!M483</f>
        <v>1.2</v>
      </c>
      <c r="G499" s="301">
        <f>IF(Weather!C483="","",Weather!C483)</f>
        <v>1.6104702677588503</v>
      </c>
      <c r="H499" s="301">
        <f>IF(Weather!D483="","",Weather!D483)</f>
        <v>2.5681773320425307</v>
      </c>
      <c r="I499" s="502">
        <f>IF(Weather!E483="","",Weather!E483)</f>
        <v>2.5681773320425307</v>
      </c>
      <c r="J499" s="397">
        <f>IF(RnSplint!N162&lt;0,0,RnSplint!N162)</f>
        <v>26.507098472577134</v>
      </c>
      <c r="K499" s="302">
        <f t="shared" si="432"/>
        <v>0</v>
      </c>
      <c r="L499" s="303">
        <f t="shared" si="433"/>
        <v>38464</v>
      </c>
      <c r="M499" s="346" t="str">
        <f t="shared" si="394"/>
        <v/>
      </c>
      <c r="N499" s="304">
        <f t="shared" si="434"/>
        <v>0</v>
      </c>
      <c r="O499" s="304">
        <f t="shared" si="435"/>
        <v>0</v>
      </c>
      <c r="P499" s="304">
        <f t="shared" si="405"/>
        <v>0</v>
      </c>
      <c r="Q499" s="304">
        <f t="shared" si="406"/>
        <v>0.42797980871392421</v>
      </c>
      <c r="R499" s="304">
        <f t="shared" si="407"/>
        <v>0.42797980871392421</v>
      </c>
      <c r="S499" s="305" t="e">
        <f t="shared" si="436"/>
        <v>#N/A</v>
      </c>
      <c r="T499" s="304">
        <f t="shared" si="408"/>
        <v>0</v>
      </c>
      <c r="U499" s="304">
        <f t="shared" si="446"/>
        <v>0</v>
      </c>
      <c r="V499" s="305" t="e">
        <f t="shared" si="409"/>
        <v>#N/A</v>
      </c>
      <c r="W499" s="305" t="e">
        <f t="shared" si="437"/>
        <v>#N/A</v>
      </c>
      <c r="X499" s="304">
        <f t="shared" si="438"/>
        <v>0.42797980871392421</v>
      </c>
      <c r="Z499" s="304" t="str">
        <f t="shared" si="410"/>
        <v/>
      </c>
      <c r="AA499" s="305" t="e">
        <f t="shared" si="411"/>
        <v>#N/A</v>
      </c>
      <c r="AB499" s="304">
        <f t="shared" si="412"/>
        <v>1.0991280433109984</v>
      </c>
      <c r="AC499" s="304" t="str">
        <f t="shared" si="439"/>
        <v/>
      </c>
      <c r="AD499" s="306">
        <f t="shared" si="413"/>
        <v>0</v>
      </c>
      <c r="AE499" s="307">
        <f t="shared" si="440"/>
        <v>1.0991280433109984</v>
      </c>
      <c r="AF499" s="308" t="e">
        <f t="shared" si="449"/>
        <v>#N/A</v>
      </c>
      <c r="AG499" s="306">
        <f t="shared" si="441"/>
        <v>783.60074918804844</v>
      </c>
      <c r="AH499" s="306">
        <f t="shared" si="414"/>
        <v>0</v>
      </c>
      <c r="AI499" s="306">
        <f t="shared" si="442"/>
        <v>0</v>
      </c>
      <c r="AJ499" s="306">
        <f t="shared" si="443"/>
        <v>0</v>
      </c>
      <c r="AK499" s="306">
        <f t="shared" si="415"/>
        <v>0</v>
      </c>
      <c r="AL499" s="306">
        <f t="shared" si="444"/>
        <v>0</v>
      </c>
      <c r="AM499" s="306">
        <f t="shared" si="416"/>
        <v>0</v>
      </c>
      <c r="AN499" s="306"/>
      <c r="AO499" s="304" t="str">
        <f t="shared" si="417"/>
        <v/>
      </c>
      <c r="AP499" s="304" t="str">
        <f t="shared" si="445"/>
        <v/>
      </c>
      <c r="AQ499" s="305" t="e">
        <f t="shared" si="395"/>
        <v>#N/A</v>
      </c>
      <c r="AR499" s="304" t="str">
        <f t="shared" si="396"/>
        <v/>
      </c>
      <c r="AS499" s="306">
        <f t="shared" si="418"/>
        <v>0</v>
      </c>
      <c r="AT499" s="307" t="e">
        <f t="shared" si="397"/>
        <v>#N/A</v>
      </c>
      <c r="AU499" s="307" t="e">
        <f t="shared" si="398"/>
        <v>#N/A</v>
      </c>
      <c r="AV499" s="304">
        <f t="shared" si="400"/>
        <v>2.5681773320425307</v>
      </c>
      <c r="AW499" s="309">
        <f t="shared" si="419"/>
        <v>36.143441965602634</v>
      </c>
      <c r="AX499" s="306">
        <f>IF(ISERROR(Weather!M483),#N/A,Weather!M483)</f>
        <v>1.2</v>
      </c>
      <c r="AY499" s="310">
        <f t="shared" si="420"/>
        <v>22</v>
      </c>
      <c r="AZ499" s="309">
        <f t="shared" si="421"/>
        <v>0.42797980871392421</v>
      </c>
      <c r="BA499" s="309">
        <f t="shared" si="422"/>
        <v>356.21251557794523</v>
      </c>
      <c r="BB499" s="311">
        <f>Irrig!H501</f>
        <v>0</v>
      </c>
      <c r="BC499" s="310">
        <f t="shared" si="423"/>
        <v>0</v>
      </c>
      <c r="BD499" s="309">
        <f t="shared" si="424"/>
        <v>0</v>
      </c>
      <c r="BE499" s="309">
        <f t="shared" si="425"/>
        <v>0</v>
      </c>
      <c r="BF499" s="306">
        <f>DailyMet!H483</f>
        <v>14.15</v>
      </c>
      <c r="BG499" s="306">
        <f>DailyMet!I483</f>
        <v>7.3</v>
      </c>
      <c r="BH499" s="306">
        <f t="shared" si="426"/>
        <v>14.15</v>
      </c>
      <c r="BI499" s="306">
        <f t="shared" si="427"/>
        <v>10</v>
      </c>
      <c r="BJ499" s="306">
        <f t="shared" si="428"/>
        <v>2.0749999999999993</v>
      </c>
      <c r="BK499" s="306">
        <f t="shared" si="399"/>
        <v>0</v>
      </c>
      <c r="BL499" s="304">
        <f t="shared" si="429"/>
        <v>0</v>
      </c>
      <c r="BM499" s="304">
        <f t="shared" si="430"/>
        <v>1.257116788321168</v>
      </c>
      <c r="BN499" s="304">
        <f t="shared" si="447"/>
        <v>1.257116788321168</v>
      </c>
      <c r="BO499" s="306">
        <f t="shared" si="448"/>
        <v>0</v>
      </c>
      <c r="BP499" s="306"/>
    </row>
    <row r="500" spans="1:68">
      <c r="A500" s="299">
        <f t="shared" si="401"/>
        <v>0</v>
      </c>
      <c r="B500" s="300">
        <f t="shared" si="402"/>
        <v>38465</v>
      </c>
      <c r="C500" s="301" t="e">
        <f t="shared" si="431"/>
        <v>#N/A</v>
      </c>
      <c r="D500" s="301" t="e">
        <f t="shared" si="403"/>
        <v>#N/A</v>
      </c>
      <c r="E500" s="299">
        <f t="shared" si="404"/>
        <v>479</v>
      </c>
      <c r="F500" s="396">
        <f>Weather!M484</f>
        <v>11.6</v>
      </c>
      <c r="G500" s="301">
        <f>IF(Weather!C484="","",Weather!C484)</f>
        <v>1.6480108251095418</v>
      </c>
      <c r="H500" s="301">
        <f>IF(Weather!D484="","",Weather!D484)</f>
        <v>2.6660228759485736</v>
      </c>
      <c r="I500" s="502">
        <f>IF(Weather!E484="","",Weather!E484)</f>
        <v>2.6660228759485736</v>
      </c>
      <c r="J500" s="397">
        <f>IF(RnSplint!N163&lt;0,0,RnSplint!N163)</f>
        <v>25.815343113559148</v>
      </c>
      <c r="K500" s="302">
        <f t="shared" si="432"/>
        <v>0</v>
      </c>
      <c r="L500" s="303">
        <f t="shared" si="433"/>
        <v>38465</v>
      </c>
      <c r="M500" s="346" t="str">
        <f t="shared" si="394"/>
        <v/>
      </c>
      <c r="N500" s="304">
        <f t="shared" si="434"/>
        <v>0</v>
      </c>
      <c r="O500" s="304">
        <f t="shared" si="435"/>
        <v>0</v>
      </c>
      <c r="P500" s="304">
        <f t="shared" si="405"/>
        <v>0</v>
      </c>
      <c r="Q500" s="304">
        <f t="shared" si="406"/>
        <v>1.2</v>
      </c>
      <c r="R500" s="304">
        <f t="shared" si="407"/>
        <v>1.2</v>
      </c>
      <c r="S500" s="305" t="e">
        <f t="shared" si="436"/>
        <v>#N/A</v>
      </c>
      <c r="T500" s="304">
        <f t="shared" si="408"/>
        <v>0</v>
      </c>
      <c r="U500" s="304">
        <f t="shared" si="446"/>
        <v>0</v>
      </c>
      <c r="V500" s="305" t="e">
        <f t="shared" si="409"/>
        <v>#N/A</v>
      </c>
      <c r="W500" s="305" t="e">
        <f t="shared" si="437"/>
        <v>#N/A</v>
      </c>
      <c r="X500" s="304">
        <f t="shared" si="438"/>
        <v>1.2</v>
      </c>
      <c r="Z500" s="304" t="str">
        <f t="shared" si="410"/>
        <v/>
      </c>
      <c r="AA500" s="305" t="e">
        <f t="shared" si="411"/>
        <v>#N/A</v>
      </c>
      <c r="AB500" s="304">
        <f t="shared" si="412"/>
        <v>3.1992274511382881</v>
      </c>
      <c r="AC500" s="304" t="str">
        <f t="shared" si="439"/>
        <v/>
      </c>
      <c r="AD500" s="306">
        <f t="shared" si="413"/>
        <v>0</v>
      </c>
      <c r="AE500" s="307">
        <f t="shared" si="440"/>
        <v>3.1992274511382881</v>
      </c>
      <c r="AF500" s="308" t="e">
        <f t="shared" si="449"/>
        <v>#N/A</v>
      </c>
      <c r="AG500" s="306">
        <f t="shared" si="441"/>
        <v>786.266772063997</v>
      </c>
      <c r="AH500" s="306">
        <f t="shared" si="414"/>
        <v>0</v>
      </c>
      <c r="AI500" s="306">
        <f t="shared" si="442"/>
        <v>0</v>
      </c>
      <c r="AJ500" s="306">
        <f t="shared" si="443"/>
        <v>0</v>
      </c>
      <c r="AK500" s="306">
        <f t="shared" si="415"/>
        <v>0</v>
      </c>
      <c r="AL500" s="306">
        <f t="shared" si="444"/>
        <v>0</v>
      </c>
      <c r="AM500" s="306">
        <f t="shared" si="416"/>
        <v>0</v>
      </c>
      <c r="AN500" s="306"/>
      <c r="AO500" s="304" t="str">
        <f t="shared" si="417"/>
        <v/>
      </c>
      <c r="AP500" s="304" t="str">
        <f t="shared" si="445"/>
        <v/>
      </c>
      <c r="AQ500" s="305" t="e">
        <f t="shared" si="395"/>
        <v>#N/A</v>
      </c>
      <c r="AR500" s="304" t="str">
        <f t="shared" si="396"/>
        <v/>
      </c>
      <c r="AS500" s="306">
        <f t="shared" si="418"/>
        <v>0</v>
      </c>
      <c r="AT500" s="307" t="e">
        <f t="shared" si="397"/>
        <v>#N/A</v>
      </c>
      <c r="AU500" s="307" t="e">
        <f t="shared" si="398"/>
        <v>#N/A</v>
      </c>
      <c r="AV500" s="304">
        <f t="shared" si="400"/>
        <v>2.6660228759485736</v>
      </c>
      <c r="AW500" s="309">
        <f t="shared" si="419"/>
        <v>2.6660228759485736</v>
      </c>
      <c r="AX500" s="306">
        <f>IF(ISERROR(Weather!M484),#N/A,Weather!M484)</f>
        <v>11.6</v>
      </c>
      <c r="AY500" s="310">
        <f t="shared" si="420"/>
        <v>1</v>
      </c>
      <c r="AZ500" s="309">
        <f t="shared" si="421"/>
        <v>1.2</v>
      </c>
      <c r="BA500" s="309">
        <f t="shared" si="422"/>
        <v>358.87853845389378</v>
      </c>
      <c r="BB500" s="311">
        <f>Irrig!H502</f>
        <v>0</v>
      </c>
      <c r="BC500" s="310">
        <f t="shared" si="423"/>
        <v>0</v>
      </c>
      <c r="BD500" s="309">
        <f t="shared" si="424"/>
        <v>0</v>
      </c>
      <c r="BE500" s="309">
        <f t="shared" si="425"/>
        <v>0</v>
      </c>
      <c r="BF500" s="306">
        <f>DailyMet!H484</f>
        <v>12</v>
      </c>
      <c r="BG500" s="306">
        <f>DailyMet!I484</f>
        <v>5</v>
      </c>
      <c r="BH500" s="306">
        <f t="shared" si="426"/>
        <v>12</v>
      </c>
      <c r="BI500" s="306">
        <f t="shared" si="427"/>
        <v>10</v>
      </c>
      <c r="BJ500" s="306">
        <f t="shared" si="428"/>
        <v>1</v>
      </c>
      <c r="BK500" s="306">
        <f t="shared" si="399"/>
        <v>0</v>
      </c>
      <c r="BL500" s="304">
        <f t="shared" si="429"/>
        <v>0</v>
      </c>
      <c r="BM500" s="304">
        <f t="shared" si="430"/>
        <v>0.2857142857142857</v>
      </c>
      <c r="BN500" s="304">
        <f t="shared" si="447"/>
        <v>0.2857142857142857</v>
      </c>
      <c r="BO500" s="306">
        <f t="shared" si="448"/>
        <v>0</v>
      </c>
      <c r="BP500" s="306"/>
    </row>
    <row r="501" spans="1:68">
      <c r="A501" s="299">
        <f t="shared" si="401"/>
        <v>0</v>
      </c>
      <c r="B501" s="300">
        <f t="shared" si="402"/>
        <v>38466</v>
      </c>
      <c r="C501" s="301" t="e">
        <f t="shared" si="431"/>
        <v>#N/A</v>
      </c>
      <c r="D501" s="301" t="e">
        <f t="shared" si="403"/>
        <v>#N/A</v>
      </c>
      <c r="E501" s="299">
        <f t="shared" si="404"/>
        <v>480</v>
      </c>
      <c r="F501" s="396">
        <f>Weather!M485</f>
        <v>10.6</v>
      </c>
      <c r="G501" s="301">
        <f>IF(Weather!C485="","",Weather!C485)</f>
        <v>1.6876797522897506</v>
      </c>
      <c r="H501" s="301">
        <f>IF(Weather!D485="","",Weather!D485)</f>
        <v>2.2909912187436534</v>
      </c>
      <c r="I501" s="502">
        <f>IF(Weather!E485="","",Weather!E485)</f>
        <v>2.2909912187436534</v>
      </c>
      <c r="J501" s="397">
        <f>IF(RnSplint!N164&lt;0,0,RnSplint!N164)</f>
        <v>25.0985407790347</v>
      </c>
      <c r="K501" s="302">
        <f t="shared" si="432"/>
        <v>0</v>
      </c>
      <c r="L501" s="303">
        <f t="shared" si="433"/>
        <v>38466</v>
      </c>
      <c r="M501" s="346" t="str">
        <f t="shared" ref="M501:M564" si="450">IF(MONTH(L502)&gt;MONTH(L501),MONTH(L501),"")</f>
        <v/>
      </c>
      <c r="N501" s="304">
        <f t="shared" si="434"/>
        <v>0</v>
      </c>
      <c r="O501" s="304">
        <f t="shared" si="435"/>
        <v>0</v>
      </c>
      <c r="P501" s="304">
        <f t="shared" si="405"/>
        <v>0</v>
      </c>
      <c r="Q501" s="304">
        <f t="shared" si="406"/>
        <v>1.2</v>
      </c>
      <c r="R501" s="304">
        <f t="shared" si="407"/>
        <v>1.2</v>
      </c>
      <c r="S501" s="305" t="e">
        <f t="shared" si="436"/>
        <v>#N/A</v>
      </c>
      <c r="T501" s="304">
        <f t="shared" si="408"/>
        <v>0</v>
      </c>
      <c r="U501" s="304">
        <f t="shared" si="446"/>
        <v>0</v>
      </c>
      <c r="V501" s="305" t="e">
        <f t="shared" si="409"/>
        <v>#N/A</v>
      </c>
      <c r="W501" s="305" t="e">
        <f t="shared" si="437"/>
        <v>#N/A</v>
      </c>
      <c r="X501" s="304">
        <f t="shared" si="438"/>
        <v>1.2</v>
      </c>
      <c r="Z501" s="304" t="str">
        <f t="shared" si="410"/>
        <v/>
      </c>
      <c r="AA501" s="305" t="e">
        <f t="shared" si="411"/>
        <v>#N/A</v>
      </c>
      <c r="AB501" s="304">
        <f t="shared" si="412"/>
        <v>2.7491894624923838</v>
      </c>
      <c r="AC501" s="304" t="str">
        <f t="shared" si="439"/>
        <v/>
      </c>
      <c r="AD501" s="306">
        <f t="shared" si="413"/>
        <v>0</v>
      </c>
      <c r="AE501" s="307">
        <f t="shared" si="440"/>
        <v>2.7491894624923838</v>
      </c>
      <c r="AF501" s="308" t="e">
        <f t="shared" si="449"/>
        <v>#N/A</v>
      </c>
      <c r="AG501" s="306">
        <f t="shared" si="441"/>
        <v>788.55776328274067</v>
      </c>
      <c r="AH501" s="306">
        <f t="shared" si="414"/>
        <v>0</v>
      </c>
      <c r="AI501" s="306">
        <f t="shared" si="442"/>
        <v>0</v>
      </c>
      <c r="AJ501" s="306">
        <f t="shared" si="443"/>
        <v>0</v>
      </c>
      <c r="AK501" s="306">
        <f t="shared" si="415"/>
        <v>0</v>
      </c>
      <c r="AL501" s="306">
        <f t="shared" si="444"/>
        <v>0</v>
      </c>
      <c r="AM501" s="306">
        <f t="shared" si="416"/>
        <v>0</v>
      </c>
      <c r="AN501" s="306"/>
      <c r="AO501" s="304" t="str">
        <f t="shared" si="417"/>
        <v/>
      </c>
      <c r="AP501" s="304" t="str">
        <f t="shared" si="445"/>
        <v/>
      </c>
      <c r="AQ501" s="305" t="e">
        <f t="shared" ref="AQ501:AQ564" si="451">IF(AP501="",#N/A,AP501)</f>
        <v>#N/A</v>
      </c>
      <c r="AR501" s="304" t="str">
        <f t="shared" ref="AR501:AR564" si="452">IF(AP501="","",AP501*AV501)</f>
        <v/>
      </c>
      <c r="AS501" s="306">
        <f t="shared" si="418"/>
        <v>0</v>
      </c>
      <c r="AT501" s="307" t="e">
        <f t="shared" ref="AT501:AT564" si="453">IF(AR501="",#N/A,AR501)</f>
        <v>#N/A</v>
      </c>
      <c r="AU501" s="307" t="e">
        <f t="shared" ref="AU501:AU564" si="454">IF(AS501=0,#N/A,AS501)</f>
        <v>#N/A</v>
      </c>
      <c r="AV501" s="304">
        <f t="shared" si="400"/>
        <v>2.2909912187436534</v>
      </c>
      <c r="AW501" s="309">
        <f t="shared" si="419"/>
        <v>2.2909912187436534</v>
      </c>
      <c r="AX501" s="306">
        <f>IF(ISERROR(Weather!M485),#N/A,Weather!M485)</f>
        <v>10.6</v>
      </c>
      <c r="AY501" s="310">
        <f t="shared" si="420"/>
        <v>1</v>
      </c>
      <c r="AZ501" s="309">
        <f t="shared" si="421"/>
        <v>1.2</v>
      </c>
      <c r="BA501" s="309">
        <f t="shared" si="422"/>
        <v>361.16952967263745</v>
      </c>
      <c r="BB501" s="311">
        <f>Irrig!H503</f>
        <v>0</v>
      </c>
      <c r="BC501" s="310">
        <f t="shared" si="423"/>
        <v>0</v>
      </c>
      <c r="BD501" s="309">
        <f t="shared" si="424"/>
        <v>0</v>
      </c>
      <c r="BE501" s="309">
        <f t="shared" si="425"/>
        <v>0</v>
      </c>
      <c r="BF501" s="306">
        <f>DailyMet!H485</f>
        <v>14.41</v>
      </c>
      <c r="BG501" s="306">
        <f>DailyMet!I485</f>
        <v>9.5</v>
      </c>
      <c r="BH501" s="306">
        <f t="shared" si="426"/>
        <v>14.41</v>
      </c>
      <c r="BI501" s="306">
        <f t="shared" si="427"/>
        <v>10</v>
      </c>
      <c r="BJ501" s="306">
        <f t="shared" si="428"/>
        <v>2.2050000000000001</v>
      </c>
      <c r="BK501" s="306">
        <f t="shared" si="399"/>
        <v>0</v>
      </c>
      <c r="BL501" s="304">
        <f t="shared" si="429"/>
        <v>0</v>
      </c>
      <c r="BM501" s="304">
        <f t="shared" si="430"/>
        <v>1.9804582484725051</v>
      </c>
      <c r="BN501" s="304">
        <f t="shared" si="447"/>
        <v>1.9804582484725051</v>
      </c>
      <c r="BO501" s="306">
        <f t="shared" si="448"/>
        <v>0</v>
      </c>
      <c r="BP501" s="306"/>
    </row>
    <row r="502" spans="1:68">
      <c r="A502" s="299">
        <f t="shared" si="401"/>
        <v>0</v>
      </c>
      <c r="B502" s="300">
        <f t="shared" si="402"/>
        <v>38467</v>
      </c>
      <c r="C502" s="301" t="e">
        <f t="shared" si="431"/>
        <v>#N/A</v>
      </c>
      <c r="D502" s="301" t="e">
        <f t="shared" si="403"/>
        <v>#N/A</v>
      </c>
      <c r="E502" s="299">
        <f t="shared" si="404"/>
        <v>481</v>
      </c>
      <c r="F502" s="396">
        <f>Weather!M486</f>
        <v>7</v>
      </c>
      <c r="G502" s="301">
        <f>IF(Weather!C486="","",Weather!C486)</f>
        <v>1.7293627911363993</v>
      </c>
      <c r="H502" s="301">
        <f>IF(Weather!D486="","",Weather!D486)</f>
        <v>1.7423348114641519</v>
      </c>
      <c r="I502" s="502">
        <f>IF(Weather!E486="","",Weather!E486)</f>
        <v>1.7423348114641519</v>
      </c>
      <c r="J502" s="397">
        <f>IF(RnSplint!N165&lt;0,0,RnSplint!N165)</f>
        <v>24.359042257236808</v>
      </c>
      <c r="K502" s="302">
        <f t="shared" si="432"/>
        <v>0</v>
      </c>
      <c r="L502" s="303">
        <f t="shared" si="433"/>
        <v>38467</v>
      </c>
      <c r="M502" s="346" t="str">
        <f t="shared" si="450"/>
        <v/>
      </c>
      <c r="N502" s="304">
        <f t="shared" si="434"/>
        <v>0</v>
      </c>
      <c r="O502" s="304">
        <f t="shared" si="435"/>
        <v>0</v>
      </c>
      <c r="P502" s="304">
        <f t="shared" si="405"/>
        <v>0</v>
      </c>
      <c r="Q502" s="304">
        <f t="shared" si="406"/>
        <v>1.2</v>
      </c>
      <c r="R502" s="304">
        <f t="shared" si="407"/>
        <v>1.2</v>
      </c>
      <c r="S502" s="305" t="e">
        <f t="shared" si="436"/>
        <v>#N/A</v>
      </c>
      <c r="T502" s="304">
        <f t="shared" si="408"/>
        <v>0</v>
      </c>
      <c r="U502" s="304">
        <f t="shared" si="446"/>
        <v>0</v>
      </c>
      <c r="V502" s="305" t="e">
        <f t="shared" si="409"/>
        <v>#N/A</v>
      </c>
      <c r="W502" s="305" t="e">
        <f t="shared" si="437"/>
        <v>#N/A</v>
      </c>
      <c r="X502" s="304">
        <f t="shared" si="438"/>
        <v>1.2</v>
      </c>
      <c r="Z502" s="304" t="str">
        <f t="shared" si="410"/>
        <v/>
      </c>
      <c r="AA502" s="305" t="e">
        <f t="shared" si="411"/>
        <v>#N/A</v>
      </c>
      <c r="AB502" s="304">
        <f t="shared" si="412"/>
        <v>2.0908017737569824</v>
      </c>
      <c r="AC502" s="304" t="str">
        <f t="shared" si="439"/>
        <v/>
      </c>
      <c r="AD502" s="306">
        <f t="shared" si="413"/>
        <v>0</v>
      </c>
      <c r="AE502" s="307">
        <f t="shared" si="440"/>
        <v>2.0908017737569824</v>
      </c>
      <c r="AF502" s="308" t="e">
        <f t="shared" si="449"/>
        <v>#N/A</v>
      </c>
      <c r="AG502" s="306">
        <f t="shared" si="441"/>
        <v>790.30009809420483</v>
      </c>
      <c r="AH502" s="306">
        <f t="shared" si="414"/>
        <v>0</v>
      </c>
      <c r="AI502" s="306">
        <f t="shared" si="442"/>
        <v>0</v>
      </c>
      <c r="AJ502" s="306">
        <f t="shared" si="443"/>
        <v>0</v>
      </c>
      <c r="AK502" s="306">
        <f t="shared" si="415"/>
        <v>0</v>
      </c>
      <c r="AL502" s="306">
        <f t="shared" si="444"/>
        <v>0</v>
      </c>
      <c r="AM502" s="306">
        <f t="shared" si="416"/>
        <v>0</v>
      </c>
      <c r="AN502" s="306"/>
      <c r="AO502" s="304" t="str">
        <f t="shared" si="417"/>
        <v/>
      </c>
      <c r="AP502" s="304" t="str">
        <f t="shared" si="445"/>
        <v/>
      </c>
      <c r="AQ502" s="305" t="e">
        <f t="shared" si="451"/>
        <v>#N/A</v>
      </c>
      <c r="AR502" s="304" t="str">
        <f t="shared" si="452"/>
        <v/>
      </c>
      <c r="AS502" s="306">
        <f t="shared" si="418"/>
        <v>0</v>
      </c>
      <c r="AT502" s="307" t="e">
        <f t="shared" si="453"/>
        <v>#N/A</v>
      </c>
      <c r="AU502" s="307" t="e">
        <f t="shared" si="454"/>
        <v>#N/A</v>
      </c>
      <c r="AV502" s="304">
        <f t="shared" si="400"/>
        <v>1.7423348114641519</v>
      </c>
      <c r="AW502" s="309">
        <f t="shared" si="419"/>
        <v>1.7423348114641519</v>
      </c>
      <c r="AX502" s="306">
        <f>IF(ISERROR(Weather!M486),#N/A,Weather!M486)</f>
        <v>7</v>
      </c>
      <c r="AY502" s="310">
        <f t="shared" si="420"/>
        <v>1</v>
      </c>
      <c r="AZ502" s="309">
        <f t="shared" si="421"/>
        <v>1.2</v>
      </c>
      <c r="BA502" s="309">
        <f t="shared" si="422"/>
        <v>362.91186448410161</v>
      </c>
      <c r="BB502" s="311">
        <f>Irrig!H504</f>
        <v>0</v>
      </c>
      <c r="BC502" s="310">
        <f t="shared" si="423"/>
        <v>0</v>
      </c>
      <c r="BD502" s="309">
        <f t="shared" si="424"/>
        <v>0</v>
      </c>
      <c r="BE502" s="309">
        <f t="shared" si="425"/>
        <v>0</v>
      </c>
      <c r="BF502" s="306">
        <f>DailyMet!H486</f>
        <v>14.18</v>
      </c>
      <c r="BG502" s="306">
        <f>DailyMet!I486</f>
        <v>6.9</v>
      </c>
      <c r="BH502" s="306">
        <f t="shared" si="426"/>
        <v>14.18</v>
      </c>
      <c r="BI502" s="306">
        <f t="shared" si="427"/>
        <v>10</v>
      </c>
      <c r="BJ502" s="306">
        <f t="shared" si="428"/>
        <v>2.09</v>
      </c>
      <c r="BK502" s="306">
        <f t="shared" si="399"/>
        <v>0</v>
      </c>
      <c r="BL502" s="304">
        <f t="shared" si="429"/>
        <v>0</v>
      </c>
      <c r="BM502" s="304">
        <f t="shared" si="430"/>
        <v>1.2000274725274724</v>
      </c>
      <c r="BN502" s="304">
        <f t="shared" si="447"/>
        <v>1.2000274725274724</v>
      </c>
      <c r="BO502" s="306">
        <f t="shared" si="448"/>
        <v>0</v>
      </c>
      <c r="BP502" s="306"/>
    </row>
    <row r="503" spans="1:68">
      <c r="A503" s="299">
        <f t="shared" si="401"/>
        <v>0</v>
      </c>
      <c r="B503" s="300">
        <f t="shared" si="402"/>
        <v>38468</v>
      </c>
      <c r="C503" s="301" t="e">
        <f t="shared" si="431"/>
        <v>#N/A</v>
      </c>
      <c r="D503" s="301" t="e">
        <f t="shared" si="403"/>
        <v>#N/A</v>
      </c>
      <c r="E503" s="299">
        <f t="shared" si="404"/>
        <v>482</v>
      </c>
      <c r="F503" s="396">
        <f>Weather!M487</f>
        <v>4.4000000000000004</v>
      </c>
      <c r="G503" s="301">
        <f>IF(Weather!C487="","",Weather!C487)</f>
        <v>1.772945683486411</v>
      </c>
      <c r="H503" s="301">
        <f>IF(Weather!D487="","",Weather!D487)</f>
        <v>0.3063071784918493</v>
      </c>
      <c r="I503" s="502">
        <f>IF(Weather!E487="","",Weather!E487)</f>
        <v>0.3063071784918493</v>
      </c>
      <c r="J503" s="397">
        <f>IF(RnSplint!N166&lt;0,0,RnSplint!N166)</f>
        <v>23.599198336398498</v>
      </c>
      <c r="K503" s="302">
        <f t="shared" si="432"/>
        <v>0</v>
      </c>
      <c r="L503" s="303">
        <f t="shared" si="433"/>
        <v>38468</v>
      </c>
      <c r="M503" s="346" t="str">
        <f t="shared" si="450"/>
        <v/>
      </c>
      <c r="N503" s="304">
        <f t="shared" si="434"/>
        <v>0</v>
      </c>
      <c r="O503" s="304">
        <f t="shared" si="435"/>
        <v>0</v>
      </c>
      <c r="P503" s="304">
        <f t="shared" si="405"/>
        <v>0</v>
      </c>
      <c r="Q503" s="304">
        <f t="shared" si="406"/>
        <v>1.2</v>
      </c>
      <c r="R503" s="304">
        <f t="shared" si="407"/>
        <v>1.2</v>
      </c>
      <c r="S503" s="305" t="e">
        <f t="shared" si="436"/>
        <v>#N/A</v>
      </c>
      <c r="T503" s="304">
        <f t="shared" si="408"/>
        <v>0</v>
      </c>
      <c r="U503" s="304">
        <f t="shared" si="446"/>
        <v>0</v>
      </c>
      <c r="V503" s="305" t="e">
        <f t="shared" si="409"/>
        <v>#N/A</v>
      </c>
      <c r="W503" s="305" t="e">
        <f t="shared" si="437"/>
        <v>#N/A</v>
      </c>
      <c r="X503" s="304">
        <f t="shared" si="438"/>
        <v>1.2</v>
      </c>
      <c r="Z503" s="304" t="str">
        <f t="shared" si="410"/>
        <v/>
      </c>
      <c r="AA503" s="305" t="e">
        <f t="shared" si="411"/>
        <v>#N/A</v>
      </c>
      <c r="AB503" s="304">
        <f t="shared" si="412"/>
        <v>0.36756861419021913</v>
      </c>
      <c r="AC503" s="304" t="str">
        <f t="shared" si="439"/>
        <v/>
      </c>
      <c r="AD503" s="306">
        <f t="shared" si="413"/>
        <v>0</v>
      </c>
      <c r="AE503" s="307">
        <f t="shared" si="440"/>
        <v>0.36756861419021913</v>
      </c>
      <c r="AF503" s="308" t="e">
        <f t="shared" si="449"/>
        <v>#N/A</v>
      </c>
      <c r="AG503" s="306">
        <f t="shared" si="441"/>
        <v>790.60640527269663</v>
      </c>
      <c r="AH503" s="306">
        <f t="shared" si="414"/>
        <v>0</v>
      </c>
      <c r="AI503" s="306">
        <f t="shared" si="442"/>
        <v>0</v>
      </c>
      <c r="AJ503" s="306">
        <f t="shared" si="443"/>
        <v>0</v>
      </c>
      <c r="AK503" s="306">
        <f t="shared" si="415"/>
        <v>0</v>
      </c>
      <c r="AL503" s="306">
        <f t="shared" si="444"/>
        <v>0</v>
      </c>
      <c r="AM503" s="306">
        <f t="shared" si="416"/>
        <v>0</v>
      </c>
      <c r="AN503" s="306"/>
      <c r="AO503" s="304" t="str">
        <f t="shared" si="417"/>
        <v/>
      </c>
      <c r="AP503" s="304" t="str">
        <f t="shared" si="445"/>
        <v/>
      </c>
      <c r="AQ503" s="305" t="e">
        <f t="shared" si="451"/>
        <v>#N/A</v>
      </c>
      <c r="AR503" s="304" t="str">
        <f t="shared" si="452"/>
        <v/>
      </c>
      <c r="AS503" s="306">
        <f t="shared" si="418"/>
        <v>0</v>
      </c>
      <c r="AT503" s="307" t="e">
        <f t="shared" si="453"/>
        <v>#N/A</v>
      </c>
      <c r="AU503" s="307" t="e">
        <f t="shared" si="454"/>
        <v>#N/A</v>
      </c>
      <c r="AV503" s="304">
        <f t="shared" si="400"/>
        <v>0.3063071784918493</v>
      </c>
      <c r="AW503" s="309">
        <f t="shared" si="419"/>
        <v>0.3063071784918493</v>
      </c>
      <c r="AX503" s="306">
        <f>IF(ISERROR(Weather!M487),#N/A,Weather!M487)</f>
        <v>4.4000000000000004</v>
      </c>
      <c r="AY503" s="310">
        <f t="shared" si="420"/>
        <v>1</v>
      </c>
      <c r="AZ503" s="309">
        <f t="shared" si="421"/>
        <v>1.2</v>
      </c>
      <c r="BA503" s="309">
        <f t="shared" si="422"/>
        <v>363.21817166259348</v>
      </c>
      <c r="BB503" s="311">
        <f>Irrig!H505</f>
        <v>0</v>
      </c>
      <c r="BC503" s="310">
        <f t="shared" si="423"/>
        <v>0</v>
      </c>
      <c r="BD503" s="309">
        <f t="shared" si="424"/>
        <v>0</v>
      </c>
      <c r="BE503" s="309">
        <f t="shared" si="425"/>
        <v>0</v>
      </c>
      <c r="BF503" s="306">
        <f>DailyMet!H487</f>
        <v>14.88</v>
      </c>
      <c r="BG503" s="306">
        <f>DailyMet!I487</f>
        <v>5.8</v>
      </c>
      <c r="BH503" s="306">
        <f t="shared" si="426"/>
        <v>14.88</v>
      </c>
      <c r="BI503" s="306">
        <f t="shared" si="427"/>
        <v>10</v>
      </c>
      <c r="BJ503" s="306">
        <f t="shared" si="428"/>
        <v>2.4400000000000013</v>
      </c>
      <c r="BK503" s="306">
        <f t="shared" si="399"/>
        <v>0</v>
      </c>
      <c r="BL503" s="304">
        <f t="shared" si="429"/>
        <v>0</v>
      </c>
      <c r="BM503" s="304">
        <f t="shared" si="430"/>
        <v>1.3113656387665198</v>
      </c>
      <c r="BN503" s="304">
        <f t="shared" si="447"/>
        <v>1.3113656387665198</v>
      </c>
      <c r="BO503" s="306">
        <f t="shared" si="448"/>
        <v>0</v>
      </c>
      <c r="BP503" s="306"/>
    </row>
    <row r="504" spans="1:68">
      <c r="A504" s="299">
        <f t="shared" si="401"/>
        <v>0</v>
      </c>
      <c r="B504" s="300">
        <f t="shared" si="402"/>
        <v>38469</v>
      </c>
      <c r="C504" s="301" t="e">
        <f t="shared" si="431"/>
        <v>#N/A</v>
      </c>
      <c r="D504" s="301" t="e">
        <f t="shared" si="403"/>
        <v>#N/A</v>
      </c>
      <c r="E504" s="299">
        <f t="shared" si="404"/>
        <v>483</v>
      </c>
      <c r="F504" s="396">
        <f>Weather!M488</f>
        <v>2.6</v>
      </c>
      <c r="G504" s="301">
        <f>IF(Weather!C488="","",Weather!C488)</f>
        <v>1.8183141711767077</v>
      </c>
      <c r="H504" s="301">
        <f>IF(Weather!D488="","",Weather!D488)</f>
        <v>0.21108337461382062</v>
      </c>
      <c r="I504" s="502">
        <f>IF(Weather!E488="","",Weather!E488)</f>
        <v>0.21108337461382062</v>
      </c>
      <c r="J504" s="397">
        <f>IF(RnSplint!N167&lt;0,0,RnSplint!N167)</f>
        <v>22.821359804752792</v>
      </c>
      <c r="K504" s="302">
        <f t="shared" si="432"/>
        <v>0</v>
      </c>
      <c r="L504" s="303">
        <f t="shared" si="433"/>
        <v>38469</v>
      </c>
      <c r="M504" s="346" t="str">
        <f t="shared" si="450"/>
        <v/>
      </c>
      <c r="N504" s="304">
        <f t="shared" si="434"/>
        <v>0</v>
      </c>
      <c r="O504" s="304">
        <f t="shared" si="435"/>
        <v>0</v>
      </c>
      <c r="P504" s="304">
        <f t="shared" si="405"/>
        <v>0</v>
      </c>
      <c r="Q504" s="304">
        <f t="shared" si="406"/>
        <v>1.2</v>
      </c>
      <c r="R504" s="304">
        <f t="shared" si="407"/>
        <v>1.2</v>
      </c>
      <c r="S504" s="305" t="e">
        <f t="shared" si="436"/>
        <v>#N/A</v>
      </c>
      <c r="T504" s="304">
        <f t="shared" si="408"/>
        <v>0</v>
      </c>
      <c r="U504" s="304">
        <f t="shared" si="446"/>
        <v>0</v>
      </c>
      <c r="V504" s="305" t="e">
        <f t="shared" si="409"/>
        <v>#N/A</v>
      </c>
      <c r="W504" s="305" t="e">
        <f t="shared" si="437"/>
        <v>#N/A</v>
      </c>
      <c r="X504" s="304">
        <f t="shared" si="438"/>
        <v>1.2</v>
      </c>
      <c r="Z504" s="304" t="str">
        <f t="shared" si="410"/>
        <v/>
      </c>
      <c r="AA504" s="305" t="e">
        <f t="shared" si="411"/>
        <v>#N/A</v>
      </c>
      <c r="AB504" s="304">
        <f t="shared" si="412"/>
        <v>0.25330004953658475</v>
      </c>
      <c r="AC504" s="304" t="str">
        <f t="shared" si="439"/>
        <v/>
      </c>
      <c r="AD504" s="306">
        <f t="shared" si="413"/>
        <v>0</v>
      </c>
      <c r="AE504" s="307">
        <f t="shared" si="440"/>
        <v>0.25330004953658475</v>
      </c>
      <c r="AF504" s="308" t="e">
        <f t="shared" si="449"/>
        <v>#N/A</v>
      </c>
      <c r="AG504" s="306">
        <f t="shared" si="441"/>
        <v>790.81748864731048</v>
      </c>
      <c r="AH504" s="306">
        <f t="shared" si="414"/>
        <v>0</v>
      </c>
      <c r="AI504" s="306">
        <f t="shared" si="442"/>
        <v>0</v>
      </c>
      <c r="AJ504" s="306">
        <f t="shared" si="443"/>
        <v>0</v>
      </c>
      <c r="AK504" s="306">
        <f t="shared" si="415"/>
        <v>0</v>
      </c>
      <c r="AL504" s="306">
        <f t="shared" si="444"/>
        <v>0</v>
      </c>
      <c r="AM504" s="306">
        <f t="shared" si="416"/>
        <v>0</v>
      </c>
      <c r="AN504" s="306"/>
      <c r="AO504" s="304" t="str">
        <f t="shared" si="417"/>
        <v/>
      </c>
      <c r="AP504" s="304" t="str">
        <f t="shared" si="445"/>
        <v/>
      </c>
      <c r="AQ504" s="305" t="e">
        <f t="shared" si="451"/>
        <v>#N/A</v>
      </c>
      <c r="AR504" s="304" t="str">
        <f t="shared" si="452"/>
        <v/>
      </c>
      <c r="AS504" s="306">
        <f t="shared" si="418"/>
        <v>0</v>
      </c>
      <c r="AT504" s="307" t="e">
        <f t="shared" si="453"/>
        <v>#N/A</v>
      </c>
      <c r="AU504" s="307" t="e">
        <f t="shared" si="454"/>
        <v>#N/A</v>
      </c>
      <c r="AV504" s="304">
        <f t="shared" si="400"/>
        <v>0.21108337461382062</v>
      </c>
      <c r="AW504" s="309">
        <f t="shared" si="419"/>
        <v>0.21108337461382062</v>
      </c>
      <c r="AX504" s="306">
        <f>IF(ISERROR(Weather!M488),#N/A,Weather!M488)</f>
        <v>2.6</v>
      </c>
      <c r="AY504" s="310">
        <f t="shared" si="420"/>
        <v>1</v>
      </c>
      <c r="AZ504" s="309">
        <f t="shared" si="421"/>
        <v>1.2</v>
      </c>
      <c r="BA504" s="309">
        <f t="shared" si="422"/>
        <v>363.42925503720727</v>
      </c>
      <c r="BB504" s="311">
        <f>Irrig!H506</f>
        <v>0</v>
      </c>
      <c r="BC504" s="310">
        <f t="shared" si="423"/>
        <v>0</v>
      </c>
      <c r="BD504" s="309">
        <f t="shared" si="424"/>
        <v>0</v>
      </c>
      <c r="BE504" s="309">
        <f t="shared" si="425"/>
        <v>0</v>
      </c>
      <c r="BF504" s="306">
        <f>DailyMet!H488</f>
        <v>16.829999999999998</v>
      </c>
      <c r="BG504" s="306">
        <f>DailyMet!I488</f>
        <v>8.3000000000000007</v>
      </c>
      <c r="BH504" s="306">
        <f t="shared" si="426"/>
        <v>16.829999999999998</v>
      </c>
      <c r="BI504" s="306">
        <f t="shared" si="427"/>
        <v>10</v>
      </c>
      <c r="BJ504" s="306">
        <f t="shared" si="428"/>
        <v>3.4149999999999991</v>
      </c>
      <c r="BK504" s="306">
        <f t="shared" si="399"/>
        <v>0</v>
      </c>
      <c r="BL504" s="304">
        <f t="shared" si="429"/>
        <v>0</v>
      </c>
      <c r="BM504" s="304">
        <f t="shared" si="430"/>
        <v>2.7344021101992961</v>
      </c>
      <c r="BN504" s="304">
        <f t="shared" si="447"/>
        <v>2.7344021101992961</v>
      </c>
      <c r="BO504" s="306">
        <f t="shared" si="448"/>
        <v>0</v>
      </c>
      <c r="BP504" s="306"/>
    </row>
    <row r="505" spans="1:68">
      <c r="A505" s="299">
        <f t="shared" si="401"/>
        <v>0</v>
      </c>
      <c r="B505" s="300">
        <f t="shared" si="402"/>
        <v>38470</v>
      </c>
      <c r="C505" s="301" t="e">
        <f t="shared" si="431"/>
        <v>#N/A</v>
      </c>
      <c r="D505" s="301" t="e">
        <f t="shared" si="403"/>
        <v>#N/A</v>
      </c>
      <c r="E505" s="299">
        <f t="shared" si="404"/>
        <v>484</v>
      </c>
      <c r="F505" s="396">
        <f>Weather!M489</f>
        <v>0.6</v>
      </c>
      <c r="G505" s="301">
        <f>IF(Weather!C489="","",Weather!C489)</f>
        <v>1.8653539960442129</v>
      </c>
      <c r="H505" s="301">
        <f>IF(Weather!D489="","",Weather!D489)</f>
        <v>0.15562453823735539</v>
      </c>
      <c r="I505" s="502">
        <f>IF(Weather!E489="","",Weather!E489)</f>
        <v>0.15562453823735539</v>
      </c>
      <c r="J505" s="397">
        <f>IF(RnSplint!N168&lt;0,0,RnSplint!N168)</f>
        <v>22.027877450532717</v>
      </c>
      <c r="K505" s="302">
        <f t="shared" si="432"/>
        <v>0</v>
      </c>
      <c r="L505" s="303">
        <f t="shared" si="433"/>
        <v>38470</v>
      </c>
      <c r="M505" s="346" t="str">
        <f t="shared" si="450"/>
        <v/>
      </c>
      <c r="N505" s="304">
        <f t="shared" si="434"/>
        <v>0</v>
      </c>
      <c r="O505" s="304">
        <f t="shared" si="435"/>
        <v>0</v>
      </c>
      <c r="P505" s="304">
        <f t="shared" si="405"/>
        <v>0</v>
      </c>
      <c r="Q505" s="304">
        <f t="shared" si="406"/>
        <v>1.2</v>
      </c>
      <c r="R505" s="304">
        <f t="shared" si="407"/>
        <v>1.2</v>
      </c>
      <c r="S505" s="305" t="e">
        <f t="shared" si="436"/>
        <v>#N/A</v>
      </c>
      <c r="T505" s="304">
        <f t="shared" si="408"/>
        <v>0</v>
      </c>
      <c r="U505" s="304">
        <f t="shared" si="446"/>
        <v>0</v>
      </c>
      <c r="V505" s="305" t="e">
        <f t="shared" si="409"/>
        <v>#N/A</v>
      </c>
      <c r="W505" s="305" t="e">
        <f t="shared" si="437"/>
        <v>#N/A</v>
      </c>
      <c r="X505" s="304">
        <f t="shared" si="438"/>
        <v>1.2</v>
      </c>
      <c r="Z505" s="304" t="str">
        <f t="shared" si="410"/>
        <v/>
      </c>
      <c r="AA505" s="305" t="e">
        <f t="shared" si="411"/>
        <v>#N/A</v>
      </c>
      <c r="AB505" s="304">
        <f t="shared" si="412"/>
        <v>0.18674944588482648</v>
      </c>
      <c r="AC505" s="304" t="str">
        <f t="shared" si="439"/>
        <v/>
      </c>
      <c r="AD505" s="306">
        <f t="shared" si="413"/>
        <v>0</v>
      </c>
      <c r="AE505" s="307">
        <f t="shared" si="440"/>
        <v>0.18674944588482648</v>
      </c>
      <c r="AF505" s="308" t="e">
        <f t="shared" si="449"/>
        <v>#N/A</v>
      </c>
      <c r="AG505" s="306">
        <f t="shared" si="441"/>
        <v>790.97311318554785</v>
      </c>
      <c r="AH505" s="306">
        <f t="shared" si="414"/>
        <v>0</v>
      </c>
      <c r="AI505" s="306">
        <f t="shared" si="442"/>
        <v>0</v>
      </c>
      <c r="AJ505" s="306">
        <f t="shared" si="443"/>
        <v>0</v>
      </c>
      <c r="AK505" s="306">
        <f t="shared" si="415"/>
        <v>0</v>
      </c>
      <c r="AL505" s="306">
        <f t="shared" si="444"/>
        <v>0</v>
      </c>
      <c r="AM505" s="306">
        <f t="shared" si="416"/>
        <v>0</v>
      </c>
      <c r="AN505" s="306"/>
      <c r="AO505" s="304" t="str">
        <f t="shared" si="417"/>
        <v/>
      </c>
      <c r="AP505" s="304" t="str">
        <f t="shared" si="445"/>
        <v/>
      </c>
      <c r="AQ505" s="305" t="e">
        <f t="shared" si="451"/>
        <v>#N/A</v>
      </c>
      <c r="AR505" s="304" t="str">
        <f t="shared" si="452"/>
        <v/>
      </c>
      <c r="AS505" s="306">
        <f t="shared" si="418"/>
        <v>0</v>
      </c>
      <c r="AT505" s="307" t="e">
        <f t="shared" si="453"/>
        <v>#N/A</v>
      </c>
      <c r="AU505" s="307" t="e">
        <f t="shared" si="454"/>
        <v>#N/A</v>
      </c>
      <c r="AV505" s="304">
        <f t="shared" si="400"/>
        <v>0.15562453823735539</v>
      </c>
      <c r="AW505" s="309">
        <f t="shared" si="419"/>
        <v>0.15562453823735539</v>
      </c>
      <c r="AX505" s="306">
        <f>IF(ISERROR(Weather!M489),#N/A,Weather!M489)</f>
        <v>0.6</v>
      </c>
      <c r="AY505" s="310">
        <f t="shared" si="420"/>
        <v>1</v>
      </c>
      <c r="AZ505" s="309">
        <f t="shared" si="421"/>
        <v>1.2</v>
      </c>
      <c r="BA505" s="309">
        <f t="shared" si="422"/>
        <v>363.58487957544463</v>
      </c>
      <c r="BB505" s="311">
        <f>Irrig!H507</f>
        <v>0</v>
      </c>
      <c r="BC505" s="310">
        <f t="shared" si="423"/>
        <v>0</v>
      </c>
      <c r="BD505" s="309">
        <f t="shared" si="424"/>
        <v>0</v>
      </c>
      <c r="BE505" s="309">
        <f t="shared" si="425"/>
        <v>0</v>
      </c>
      <c r="BF505" s="306">
        <f>DailyMet!H489</f>
        <v>18.48</v>
      </c>
      <c r="BG505" s="306">
        <f>DailyMet!I489</f>
        <v>8.6</v>
      </c>
      <c r="BH505" s="306">
        <f t="shared" si="426"/>
        <v>18.48</v>
      </c>
      <c r="BI505" s="306">
        <f t="shared" si="427"/>
        <v>10</v>
      </c>
      <c r="BJ505" s="306">
        <f t="shared" si="428"/>
        <v>4.24</v>
      </c>
      <c r="BK505" s="306">
        <f t="shared" si="399"/>
        <v>0</v>
      </c>
      <c r="BL505" s="304">
        <f t="shared" si="429"/>
        <v>0</v>
      </c>
      <c r="BM505" s="304">
        <f t="shared" si="430"/>
        <v>3.6391902834008101</v>
      </c>
      <c r="BN505" s="304">
        <f t="shared" si="447"/>
        <v>3.6391902834008101</v>
      </c>
      <c r="BO505" s="306">
        <f t="shared" si="448"/>
        <v>0</v>
      </c>
      <c r="BP505" s="306"/>
    </row>
    <row r="506" spans="1:68">
      <c r="A506" s="299">
        <f t="shared" si="401"/>
        <v>0</v>
      </c>
      <c r="B506" s="300">
        <f t="shared" si="402"/>
        <v>38471</v>
      </c>
      <c r="C506" s="301" t="e">
        <f t="shared" si="431"/>
        <v>#N/A</v>
      </c>
      <c r="D506" s="301" t="e">
        <f t="shared" si="403"/>
        <v>#N/A</v>
      </c>
      <c r="E506" s="299">
        <f t="shared" si="404"/>
        <v>485</v>
      </c>
      <c r="F506" s="396">
        <f>Weather!M490</f>
        <v>4.5999999999999996</v>
      </c>
      <c r="G506" s="301">
        <f>IF(Weather!C490="","",Weather!C490)</f>
        <v>1.9139508999258481</v>
      </c>
      <c r="H506" s="301">
        <f>IF(Weather!D490="","",Weather!D490)</f>
        <v>0.19878373475728461</v>
      </c>
      <c r="I506" s="502">
        <f>IF(Weather!E490="","",Weather!E490)</f>
        <v>0.19878373475728461</v>
      </c>
      <c r="J506" s="397">
        <f>IF(RnSplint!N169&lt;0,0,RnSplint!N169)</f>
        <v>21.22110206197129</v>
      </c>
      <c r="K506" s="302">
        <f t="shared" si="432"/>
        <v>0</v>
      </c>
      <c r="L506" s="303">
        <f t="shared" si="433"/>
        <v>38471</v>
      </c>
      <c r="M506" s="346" t="str">
        <f t="shared" si="450"/>
        <v/>
      </c>
      <c r="N506" s="304">
        <f t="shared" si="434"/>
        <v>0</v>
      </c>
      <c r="O506" s="304">
        <f t="shared" si="435"/>
        <v>0</v>
      </c>
      <c r="P506" s="304">
        <f t="shared" si="405"/>
        <v>0</v>
      </c>
      <c r="Q506" s="304">
        <f t="shared" si="406"/>
        <v>1.2</v>
      </c>
      <c r="R506" s="304">
        <f t="shared" si="407"/>
        <v>1.2</v>
      </c>
      <c r="S506" s="305" t="e">
        <f t="shared" si="436"/>
        <v>#N/A</v>
      </c>
      <c r="T506" s="304">
        <f t="shared" si="408"/>
        <v>0</v>
      </c>
      <c r="U506" s="304">
        <f t="shared" si="446"/>
        <v>0</v>
      </c>
      <c r="V506" s="305" t="e">
        <f t="shared" si="409"/>
        <v>#N/A</v>
      </c>
      <c r="W506" s="305" t="e">
        <f t="shared" si="437"/>
        <v>#N/A</v>
      </c>
      <c r="X506" s="304">
        <f t="shared" si="438"/>
        <v>1.2</v>
      </c>
      <c r="Z506" s="304" t="str">
        <f t="shared" si="410"/>
        <v/>
      </c>
      <c r="AA506" s="305" t="e">
        <f t="shared" si="411"/>
        <v>#N/A</v>
      </c>
      <c r="AB506" s="304">
        <f t="shared" si="412"/>
        <v>0.23854048170874154</v>
      </c>
      <c r="AC506" s="304" t="str">
        <f t="shared" si="439"/>
        <v/>
      </c>
      <c r="AD506" s="306">
        <f t="shared" si="413"/>
        <v>0</v>
      </c>
      <c r="AE506" s="307">
        <f t="shared" si="440"/>
        <v>0.23854048170874154</v>
      </c>
      <c r="AF506" s="308" t="e">
        <f t="shared" si="449"/>
        <v>#N/A</v>
      </c>
      <c r="AG506" s="306">
        <f t="shared" si="441"/>
        <v>791.17189692030513</v>
      </c>
      <c r="AH506" s="306">
        <f t="shared" si="414"/>
        <v>0</v>
      </c>
      <c r="AI506" s="306">
        <f t="shared" si="442"/>
        <v>0</v>
      </c>
      <c r="AJ506" s="306">
        <f t="shared" si="443"/>
        <v>0</v>
      </c>
      <c r="AK506" s="306">
        <f t="shared" si="415"/>
        <v>0</v>
      </c>
      <c r="AL506" s="306">
        <f t="shared" si="444"/>
        <v>0</v>
      </c>
      <c r="AM506" s="306">
        <f t="shared" si="416"/>
        <v>0</v>
      </c>
      <c r="AN506" s="306"/>
      <c r="AO506" s="304" t="str">
        <f t="shared" si="417"/>
        <v/>
      </c>
      <c r="AP506" s="304" t="str">
        <f t="shared" si="445"/>
        <v/>
      </c>
      <c r="AQ506" s="305" t="e">
        <f t="shared" si="451"/>
        <v>#N/A</v>
      </c>
      <c r="AR506" s="304" t="str">
        <f t="shared" si="452"/>
        <v/>
      </c>
      <c r="AS506" s="306">
        <f t="shared" si="418"/>
        <v>0</v>
      </c>
      <c r="AT506" s="307" t="e">
        <f t="shared" si="453"/>
        <v>#N/A</v>
      </c>
      <c r="AU506" s="307" t="e">
        <f t="shared" si="454"/>
        <v>#N/A</v>
      </c>
      <c r="AV506" s="304">
        <f t="shared" si="400"/>
        <v>0.19878373475728461</v>
      </c>
      <c r="AW506" s="309">
        <f t="shared" si="419"/>
        <v>0.19878373475728461</v>
      </c>
      <c r="AX506" s="306">
        <f>IF(ISERROR(Weather!M490),#N/A,Weather!M490)</f>
        <v>4.5999999999999996</v>
      </c>
      <c r="AY506" s="310">
        <f t="shared" si="420"/>
        <v>1</v>
      </c>
      <c r="AZ506" s="309">
        <f t="shared" si="421"/>
        <v>1.2</v>
      </c>
      <c r="BA506" s="309">
        <f t="shared" si="422"/>
        <v>363.78366331020192</v>
      </c>
      <c r="BB506" s="311">
        <f>Irrig!H508</f>
        <v>0</v>
      </c>
      <c r="BC506" s="310">
        <f t="shared" si="423"/>
        <v>0</v>
      </c>
      <c r="BD506" s="309">
        <f t="shared" si="424"/>
        <v>0</v>
      </c>
      <c r="BE506" s="309">
        <f t="shared" si="425"/>
        <v>0</v>
      </c>
      <c r="BF506" s="306">
        <f>DailyMet!H490</f>
        <v>17.48</v>
      </c>
      <c r="BG506" s="306">
        <f>DailyMet!I490</f>
        <v>13.4</v>
      </c>
      <c r="BH506" s="306">
        <f t="shared" si="426"/>
        <v>17.48</v>
      </c>
      <c r="BI506" s="306">
        <f t="shared" si="427"/>
        <v>13.4</v>
      </c>
      <c r="BJ506" s="306">
        <f t="shared" si="428"/>
        <v>5.4400000000000013</v>
      </c>
      <c r="BK506" s="306">
        <f t="shared" si="399"/>
        <v>0</v>
      </c>
      <c r="BL506" s="304">
        <f t="shared" si="429"/>
        <v>0</v>
      </c>
      <c r="BM506" s="304">
        <f t="shared" si="430"/>
        <v>5.4400000000000013</v>
      </c>
      <c r="BN506" s="304">
        <f t="shared" si="447"/>
        <v>5.4400000000000013</v>
      </c>
      <c r="BO506" s="306">
        <f t="shared" si="448"/>
        <v>0</v>
      </c>
      <c r="BP506" s="306"/>
    </row>
    <row r="507" spans="1:68">
      <c r="A507" s="299">
        <f t="shared" si="401"/>
        <v>0</v>
      </c>
      <c r="B507" s="300">
        <f t="shared" si="402"/>
        <v>38472</v>
      </c>
      <c r="C507" s="301" t="e">
        <f t="shared" si="431"/>
        <v>#N/A</v>
      </c>
      <c r="D507" s="301" t="e">
        <f t="shared" si="403"/>
        <v>#N/A</v>
      </c>
      <c r="E507" s="299">
        <f t="shared" si="404"/>
        <v>486</v>
      </c>
      <c r="F507" s="396">
        <f>Weather!M491</f>
        <v>6</v>
      </c>
      <c r="G507" s="301">
        <f>IF(Weather!C491="","",Weather!C491)</f>
        <v>1.9639906246585359</v>
      </c>
      <c r="H507" s="301">
        <f>IF(Weather!D491="","",Weather!D491)</f>
        <v>0.18408138027917034</v>
      </c>
      <c r="I507" s="502">
        <f>IF(Weather!E491="","",Weather!E491)</f>
        <v>0.18408138027917034</v>
      </c>
      <c r="J507" s="397">
        <f>IF(RnSplint!N170&lt;0,0,RnSplint!N170)</f>
        <v>20.403384427301535</v>
      </c>
      <c r="K507" s="302">
        <f t="shared" si="432"/>
        <v>0</v>
      </c>
      <c r="L507" s="303">
        <f t="shared" si="433"/>
        <v>38472</v>
      </c>
      <c r="M507" s="346">
        <f t="shared" si="450"/>
        <v>4</v>
      </c>
      <c r="N507" s="304">
        <f t="shared" si="434"/>
        <v>0</v>
      </c>
      <c r="O507" s="304">
        <f t="shared" si="435"/>
        <v>0</v>
      </c>
      <c r="P507" s="304">
        <f t="shared" si="405"/>
        <v>0</v>
      </c>
      <c r="Q507" s="304">
        <f t="shared" si="406"/>
        <v>1.2</v>
      </c>
      <c r="R507" s="304">
        <f t="shared" si="407"/>
        <v>1.2</v>
      </c>
      <c r="S507" s="305" t="e">
        <f t="shared" si="436"/>
        <v>#N/A</v>
      </c>
      <c r="T507" s="304">
        <f t="shared" si="408"/>
        <v>0</v>
      </c>
      <c r="U507" s="304">
        <f t="shared" si="446"/>
        <v>0</v>
      </c>
      <c r="V507" s="305" t="e">
        <f t="shared" si="409"/>
        <v>#N/A</v>
      </c>
      <c r="W507" s="305" t="e">
        <f t="shared" si="437"/>
        <v>#N/A</v>
      </c>
      <c r="X507" s="304">
        <f t="shared" si="438"/>
        <v>1.2</v>
      </c>
      <c r="Z507" s="304" t="str">
        <f t="shared" si="410"/>
        <v/>
      </c>
      <c r="AA507" s="305" t="e">
        <f t="shared" si="411"/>
        <v>#N/A</v>
      </c>
      <c r="AB507" s="304">
        <f t="shared" si="412"/>
        <v>0.22089765633500441</v>
      </c>
      <c r="AC507" s="304" t="str">
        <f t="shared" si="439"/>
        <v/>
      </c>
      <c r="AD507" s="306">
        <f t="shared" si="413"/>
        <v>0</v>
      </c>
      <c r="AE507" s="307">
        <f t="shared" si="440"/>
        <v>0.22089765633500441</v>
      </c>
      <c r="AF507" s="308" t="e">
        <f t="shared" si="449"/>
        <v>#N/A</v>
      </c>
      <c r="AG507" s="306">
        <f t="shared" si="441"/>
        <v>791.3559783005843</v>
      </c>
      <c r="AH507" s="306">
        <f t="shared" si="414"/>
        <v>0</v>
      </c>
      <c r="AI507" s="306">
        <f t="shared" si="442"/>
        <v>0</v>
      </c>
      <c r="AJ507" s="306">
        <f t="shared" si="443"/>
        <v>0</v>
      </c>
      <c r="AK507" s="306">
        <f t="shared" si="415"/>
        <v>0</v>
      </c>
      <c r="AL507" s="306">
        <f t="shared" si="444"/>
        <v>0</v>
      </c>
      <c r="AM507" s="306">
        <f t="shared" si="416"/>
        <v>0</v>
      </c>
      <c r="AN507" s="306"/>
      <c r="AO507" s="304" t="str">
        <f t="shared" si="417"/>
        <v/>
      </c>
      <c r="AP507" s="304" t="str">
        <f t="shared" si="445"/>
        <v/>
      </c>
      <c r="AQ507" s="305" t="e">
        <f t="shared" si="451"/>
        <v>#N/A</v>
      </c>
      <c r="AR507" s="304" t="str">
        <f t="shared" si="452"/>
        <v/>
      </c>
      <c r="AS507" s="306">
        <f t="shared" si="418"/>
        <v>0</v>
      </c>
      <c r="AT507" s="307" t="e">
        <f t="shared" si="453"/>
        <v>#N/A</v>
      </c>
      <c r="AU507" s="307" t="e">
        <f t="shared" si="454"/>
        <v>#N/A</v>
      </c>
      <c r="AV507" s="304">
        <f t="shared" si="400"/>
        <v>0.18408138027917034</v>
      </c>
      <c r="AW507" s="309">
        <f t="shared" si="419"/>
        <v>0.18408138027917034</v>
      </c>
      <c r="AX507" s="306">
        <f>IF(ISERROR(Weather!M491),#N/A,Weather!M491)</f>
        <v>6</v>
      </c>
      <c r="AY507" s="310">
        <f t="shared" si="420"/>
        <v>1</v>
      </c>
      <c r="AZ507" s="309">
        <f t="shared" si="421"/>
        <v>1.2</v>
      </c>
      <c r="BA507" s="309">
        <f t="shared" si="422"/>
        <v>363.96774469048108</v>
      </c>
      <c r="BB507" s="311">
        <f>Irrig!H509</f>
        <v>0</v>
      </c>
      <c r="BC507" s="310">
        <f t="shared" si="423"/>
        <v>0</v>
      </c>
      <c r="BD507" s="309">
        <f t="shared" si="424"/>
        <v>0</v>
      </c>
      <c r="BE507" s="309">
        <f t="shared" si="425"/>
        <v>0</v>
      </c>
      <c r="BF507" s="306">
        <f>DailyMet!H491</f>
        <v>17.45</v>
      </c>
      <c r="BG507" s="306">
        <f>DailyMet!I491</f>
        <v>12.8</v>
      </c>
      <c r="BH507" s="306">
        <f t="shared" si="426"/>
        <v>17.45</v>
      </c>
      <c r="BI507" s="306">
        <f t="shared" si="427"/>
        <v>12.8</v>
      </c>
      <c r="BJ507" s="306">
        <f t="shared" si="428"/>
        <v>5.125</v>
      </c>
      <c r="BK507" s="306">
        <f t="shared" si="399"/>
        <v>0</v>
      </c>
      <c r="BL507" s="304">
        <f t="shared" si="429"/>
        <v>0</v>
      </c>
      <c r="BM507" s="304">
        <f t="shared" si="430"/>
        <v>5.125</v>
      </c>
      <c r="BN507" s="304">
        <f t="shared" si="447"/>
        <v>5.125</v>
      </c>
      <c r="BO507" s="306">
        <f t="shared" si="448"/>
        <v>0</v>
      </c>
      <c r="BP507" s="306"/>
    </row>
    <row r="508" spans="1:68">
      <c r="A508" s="299">
        <f t="shared" si="401"/>
        <v>0</v>
      </c>
      <c r="B508" s="300">
        <f t="shared" si="402"/>
        <v>38473</v>
      </c>
      <c r="C508" s="301" t="e">
        <f t="shared" si="431"/>
        <v>#N/A</v>
      </c>
      <c r="D508" s="301" t="e">
        <f t="shared" si="403"/>
        <v>#N/A</v>
      </c>
      <c r="E508" s="299">
        <f t="shared" si="404"/>
        <v>487</v>
      </c>
      <c r="F508" s="396">
        <f>Weather!M492</f>
        <v>0</v>
      </c>
      <c r="G508" s="301">
        <f>IF(Weather!C492="","",Weather!C492)</f>
        <v>2.0153589120792001</v>
      </c>
      <c r="H508" s="301">
        <f>IF(Weather!D492="","",Weather!D492)</f>
        <v>0.12965692950090307</v>
      </c>
      <c r="I508" s="502">
        <f>IF(Weather!E492="","",Weather!E492)</f>
        <v>0.12965692950090307</v>
      </c>
      <c r="J508" s="397">
        <f>IF(RnSplint!N171&lt;0,0,RnSplint!N171)</f>
        <v>19.577075334756479</v>
      </c>
      <c r="K508" s="302">
        <f t="shared" si="432"/>
        <v>0</v>
      </c>
      <c r="L508" s="303">
        <f t="shared" si="433"/>
        <v>38473</v>
      </c>
      <c r="M508" s="346" t="str">
        <f t="shared" si="450"/>
        <v/>
      </c>
      <c r="N508" s="304">
        <f t="shared" si="434"/>
        <v>0</v>
      </c>
      <c r="O508" s="304">
        <f t="shared" si="435"/>
        <v>0</v>
      </c>
      <c r="P508" s="304">
        <f t="shared" si="405"/>
        <v>0</v>
      </c>
      <c r="Q508" s="304">
        <f t="shared" si="406"/>
        <v>1.2</v>
      </c>
      <c r="R508" s="304">
        <f t="shared" si="407"/>
        <v>1.2</v>
      </c>
      <c r="S508" s="305" t="e">
        <f t="shared" si="436"/>
        <v>#N/A</v>
      </c>
      <c r="T508" s="304">
        <f t="shared" si="408"/>
        <v>0</v>
      </c>
      <c r="U508" s="304">
        <f t="shared" si="446"/>
        <v>0</v>
      </c>
      <c r="V508" s="305" t="e">
        <f t="shared" si="409"/>
        <v>#N/A</v>
      </c>
      <c r="W508" s="305" t="e">
        <f t="shared" si="437"/>
        <v>#N/A</v>
      </c>
      <c r="X508" s="304">
        <f t="shared" si="438"/>
        <v>1.2</v>
      </c>
      <c r="Z508" s="304" t="str">
        <f t="shared" si="410"/>
        <v/>
      </c>
      <c r="AA508" s="305" t="e">
        <f t="shared" si="411"/>
        <v>#N/A</v>
      </c>
      <c r="AB508" s="304">
        <f t="shared" si="412"/>
        <v>0.15558831540108367</v>
      </c>
      <c r="AC508" s="304" t="str">
        <f t="shared" si="439"/>
        <v/>
      </c>
      <c r="AD508" s="306">
        <f t="shared" si="413"/>
        <v>0</v>
      </c>
      <c r="AE508" s="307">
        <f t="shared" si="440"/>
        <v>0.15558831540108367</v>
      </c>
      <c r="AF508" s="308" t="e">
        <f t="shared" si="449"/>
        <v>#N/A</v>
      </c>
      <c r="AG508" s="306">
        <f t="shared" si="441"/>
        <v>791.48563523008522</v>
      </c>
      <c r="AH508" s="306">
        <f t="shared" si="414"/>
        <v>0</v>
      </c>
      <c r="AI508" s="306">
        <f t="shared" si="442"/>
        <v>0</v>
      </c>
      <c r="AJ508" s="306">
        <f t="shared" si="443"/>
        <v>0</v>
      </c>
      <c r="AK508" s="306">
        <f t="shared" si="415"/>
        <v>0</v>
      </c>
      <c r="AL508" s="306">
        <f t="shared" si="444"/>
        <v>0</v>
      </c>
      <c r="AM508" s="306">
        <f t="shared" si="416"/>
        <v>0</v>
      </c>
      <c r="AN508" s="306"/>
      <c r="AO508" s="304" t="str">
        <f t="shared" si="417"/>
        <v/>
      </c>
      <c r="AP508" s="304" t="str">
        <f t="shared" si="445"/>
        <v/>
      </c>
      <c r="AQ508" s="305" t="e">
        <f t="shared" si="451"/>
        <v>#N/A</v>
      </c>
      <c r="AR508" s="304" t="str">
        <f t="shared" si="452"/>
        <v/>
      </c>
      <c r="AS508" s="306">
        <f t="shared" si="418"/>
        <v>0</v>
      </c>
      <c r="AT508" s="307" t="e">
        <f t="shared" si="453"/>
        <v>#N/A</v>
      </c>
      <c r="AU508" s="307" t="e">
        <f t="shared" si="454"/>
        <v>#N/A</v>
      </c>
      <c r="AV508" s="304">
        <f t="shared" si="400"/>
        <v>0.12965692950090307</v>
      </c>
      <c r="AW508" s="309">
        <f t="shared" si="419"/>
        <v>0.31373830978007344</v>
      </c>
      <c r="AX508" s="306">
        <f>IF(ISERROR(Weather!M492),#N/A,Weather!M492)</f>
        <v>0</v>
      </c>
      <c r="AY508" s="310">
        <f t="shared" si="420"/>
        <v>2</v>
      </c>
      <c r="AZ508" s="309">
        <f t="shared" si="421"/>
        <v>1.2</v>
      </c>
      <c r="BA508" s="309">
        <f t="shared" si="422"/>
        <v>364.09740161998201</v>
      </c>
      <c r="BB508" s="311">
        <f>Irrig!H510</f>
        <v>0</v>
      </c>
      <c r="BC508" s="310">
        <f t="shared" si="423"/>
        <v>0</v>
      </c>
      <c r="BD508" s="309">
        <f t="shared" si="424"/>
        <v>0</v>
      </c>
      <c r="BE508" s="309">
        <f t="shared" si="425"/>
        <v>0</v>
      </c>
      <c r="BF508" s="306">
        <f>DailyMet!H492</f>
        <v>15.65</v>
      </c>
      <c r="BG508" s="306">
        <f>DailyMet!I492</f>
        <v>9.8000000000000007</v>
      </c>
      <c r="BH508" s="306">
        <f t="shared" si="426"/>
        <v>15.65</v>
      </c>
      <c r="BI508" s="306">
        <f t="shared" si="427"/>
        <v>10</v>
      </c>
      <c r="BJ508" s="306">
        <f t="shared" si="428"/>
        <v>2.8249999999999993</v>
      </c>
      <c r="BK508" s="306">
        <f t="shared" si="399"/>
        <v>0</v>
      </c>
      <c r="BL508" s="304">
        <f t="shared" si="429"/>
        <v>0</v>
      </c>
      <c r="BM508" s="304">
        <f t="shared" si="430"/>
        <v>2.7284188034188039</v>
      </c>
      <c r="BN508" s="304">
        <f t="shared" si="447"/>
        <v>2.7284188034188039</v>
      </c>
      <c r="BO508" s="306">
        <f t="shared" si="448"/>
        <v>0</v>
      </c>
      <c r="BP508" s="306"/>
    </row>
    <row r="509" spans="1:68">
      <c r="A509" s="299">
        <f t="shared" si="401"/>
        <v>0</v>
      </c>
      <c r="B509" s="300">
        <f t="shared" si="402"/>
        <v>38474</v>
      </c>
      <c r="C509" s="301" t="e">
        <f t="shared" si="431"/>
        <v>#N/A</v>
      </c>
      <c r="D509" s="301" t="e">
        <f t="shared" si="403"/>
        <v>#N/A</v>
      </c>
      <c r="E509" s="299">
        <f t="shared" si="404"/>
        <v>488</v>
      </c>
      <c r="F509" s="396">
        <f>Weather!M493</f>
        <v>11.4</v>
      </c>
      <c r="G509" s="301">
        <f>IF(Weather!C493="","",Weather!C493)</f>
        <v>2.0679415040247622</v>
      </c>
      <c r="H509" s="301">
        <f>IF(Weather!D493="","",Weather!D493)</f>
        <v>0.1468710709433419</v>
      </c>
      <c r="I509" s="502">
        <f>IF(Weather!E493="","",Weather!E493)</f>
        <v>0.1468710709433419</v>
      </c>
      <c r="J509" s="397">
        <f>IF(RnSplint!N172&lt;0,0,RnSplint!N172)</f>
        <v>18.744525572569145</v>
      </c>
      <c r="K509" s="302">
        <f t="shared" si="432"/>
        <v>0</v>
      </c>
      <c r="L509" s="303">
        <f t="shared" si="433"/>
        <v>38474</v>
      </c>
      <c r="M509" s="346" t="str">
        <f t="shared" si="450"/>
        <v/>
      </c>
      <c r="N509" s="304">
        <f t="shared" si="434"/>
        <v>0</v>
      </c>
      <c r="O509" s="304">
        <f t="shared" si="435"/>
        <v>0</v>
      </c>
      <c r="P509" s="304">
        <f t="shared" si="405"/>
        <v>0</v>
      </c>
      <c r="Q509" s="304">
        <f t="shared" si="406"/>
        <v>1.2</v>
      </c>
      <c r="R509" s="304">
        <f t="shared" si="407"/>
        <v>1.2</v>
      </c>
      <c r="S509" s="305" t="e">
        <f t="shared" si="436"/>
        <v>#N/A</v>
      </c>
      <c r="T509" s="304">
        <f t="shared" si="408"/>
        <v>0</v>
      </c>
      <c r="U509" s="304">
        <f t="shared" si="446"/>
        <v>0</v>
      </c>
      <c r="V509" s="305" t="e">
        <f t="shared" si="409"/>
        <v>#N/A</v>
      </c>
      <c r="W509" s="305" t="e">
        <f t="shared" si="437"/>
        <v>#N/A</v>
      </c>
      <c r="X509" s="304">
        <f t="shared" si="438"/>
        <v>1.2</v>
      </c>
      <c r="Z509" s="304" t="str">
        <f t="shared" si="410"/>
        <v/>
      </c>
      <c r="AA509" s="305" t="e">
        <f t="shared" si="411"/>
        <v>#N/A</v>
      </c>
      <c r="AB509" s="304">
        <f t="shared" si="412"/>
        <v>0.17624528513201027</v>
      </c>
      <c r="AC509" s="304" t="str">
        <f t="shared" si="439"/>
        <v/>
      </c>
      <c r="AD509" s="306">
        <f t="shared" si="413"/>
        <v>0</v>
      </c>
      <c r="AE509" s="307">
        <f t="shared" si="440"/>
        <v>0.17624528513201027</v>
      </c>
      <c r="AF509" s="308" t="e">
        <f t="shared" si="449"/>
        <v>#N/A</v>
      </c>
      <c r="AG509" s="306">
        <f t="shared" si="441"/>
        <v>791.63250630102857</v>
      </c>
      <c r="AH509" s="306">
        <f t="shared" si="414"/>
        <v>0</v>
      </c>
      <c r="AI509" s="306">
        <f t="shared" si="442"/>
        <v>0</v>
      </c>
      <c r="AJ509" s="306">
        <f t="shared" si="443"/>
        <v>0</v>
      </c>
      <c r="AK509" s="306">
        <f t="shared" si="415"/>
        <v>0</v>
      </c>
      <c r="AL509" s="306">
        <f t="shared" si="444"/>
        <v>0</v>
      </c>
      <c r="AM509" s="306">
        <f t="shared" si="416"/>
        <v>0</v>
      </c>
      <c r="AN509" s="306"/>
      <c r="AO509" s="304" t="str">
        <f t="shared" si="417"/>
        <v/>
      </c>
      <c r="AP509" s="304" t="str">
        <f t="shared" si="445"/>
        <v/>
      </c>
      <c r="AQ509" s="305" t="e">
        <f t="shared" si="451"/>
        <v>#N/A</v>
      </c>
      <c r="AR509" s="304" t="str">
        <f t="shared" si="452"/>
        <v/>
      </c>
      <c r="AS509" s="306">
        <f t="shared" si="418"/>
        <v>0</v>
      </c>
      <c r="AT509" s="307" t="e">
        <f t="shared" si="453"/>
        <v>#N/A</v>
      </c>
      <c r="AU509" s="307" t="e">
        <f t="shared" si="454"/>
        <v>#N/A</v>
      </c>
      <c r="AV509" s="304">
        <f t="shared" si="400"/>
        <v>0.1468710709433419</v>
      </c>
      <c r="AW509" s="309">
        <f t="shared" si="419"/>
        <v>0.1468710709433419</v>
      </c>
      <c r="AX509" s="306">
        <f>IF(ISERROR(Weather!M493),#N/A,Weather!M493)</f>
        <v>11.4</v>
      </c>
      <c r="AY509" s="310">
        <f t="shared" si="420"/>
        <v>1</v>
      </c>
      <c r="AZ509" s="309">
        <f t="shared" si="421"/>
        <v>1.2</v>
      </c>
      <c r="BA509" s="309">
        <f t="shared" si="422"/>
        <v>364.24427269092536</v>
      </c>
      <c r="BB509" s="311">
        <f>Irrig!H511</f>
        <v>0</v>
      </c>
      <c r="BC509" s="310">
        <f t="shared" si="423"/>
        <v>0</v>
      </c>
      <c r="BD509" s="309">
        <f t="shared" si="424"/>
        <v>0</v>
      </c>
      <c r="BE509" s="309">
        <f t="shared" si="425"/>
        <v>0</v>
      </c>
      <c r="BF509" s="306">
        <f>DailyMet!H493</f>
        <v>15.85</v>
      </c>
      <c r="BG509" s="306">
        <f>DailyMet!I493</f>
        <v>9.3000000000000007</v>
      </c>
      <c r="BH509" s="306">
        <f t="shared" si="426"/>
        <v>15.85</v>
      </c>
      <c r="BI509" s="306">
        <f t="shared" si="427"/>
        <v>10</v>
      </c>
      <c r="BJ509" s="306">
        <f t="shared" si="428"/>
        <v>2.9250000000000007</v>
      </c>
      <c r="BK509" s="306">
        <f t="shared" si="399"/>
        <v>0</v>
      </c>
      <c r="BL509" s="304">
        <f t="shared" si="429"/>
        <v>0</v>
      </c>
      <c r="BM509" s="304">
        <f t="shared" si="430"/>
        <v>2.6124045801526719</v>
      </c>
      <c r="BN509" s="304">
        <f t="shared" si="447"/>
        <v>2.6124045801526719</v>
      </c>
      <c r="BO509" s="306">
        <f t="shared" si="448"/>
        <v>0</v>
      </c>
      <c r="BP509" s="306"/>
    </row>
    <row r="510" spans="1:68">
      <c r="A510" s="299">
        <f t="shared" si="401"/>
        <v>0</v>
      </c>
      <c r="B510" s="300">
        <f t="shared" si="402"/>
        <v>38475</v>
      </c>
      <c r="C510" s="301" t="e">
        <f t="shared" si="431"/>
        <v>#N/A</v>
      </c>
      <c r="D510" s="301" t="e">
        <f t="shared" si="403"/>
        <v>#N/A</v>
      </c>
      <c r="E510" s="299">
        <f t="shared" si="404"/>
        <v>489</v>
      </c>
      <c r="F510" s="396">
        <f>Weather!M494</f>
        <v>0</v>
      </c>
      <c r="G510" s="301">
        <f>IF(Weather!C494="","",Weather!C494)</f>
        <v>2.1216241423321454</v>
      </c>
      <c r="H510" s="301">
        <f>IF(Weather!D494="","",Weather!D494)</f>
        <v>2.7175793432871416</v>
      </c>
      <c r="I510" s="502">
        <f>IF(Weather!E494="","",Weather!E494)</f>
        <v>2.7175793432871416</v>
      </c>
      <c r="J510" s="397">
        <f>IF(RnSplint!N173&lt;0,0,RnSplint!N173)</f>
        <v>17.908085928972554</v>
      </c>
      <c r="K510" s="302">
        <f t="shared" si="432"/>
        <v>0</v>
      </c>
      <c r="L510" s="303">
        <f t="shared" si="433"/>
        <v>38475</v>
      </c>
      <c r="M510" s="346" t="str">
        <f t="shared" si="450"/>
        <v/>
      </c>
      <c r="N510" s="304">
        <f t="shared" si="434"/>
        <v>0</v>
      </c>
      <c r="O510" s="304">
        <f t="shared" si="435"/>
        <v>0</v>
      </c>
      <c r="P510" s="304">
        <f t="shared" si="405"/>
        <v>0</v>
      </c>
      <c r="Q510" s="304">
        <f t="shared" si="406"/>
        <v>1.2</v>
      </c>
      <c r="R510" s="304">
        <f t="shared" si="407"/>
        <v>1.2</v>
      </c>
      <c r="S510" s="305" t="e">
        <f t="shared" si="436"/>
        <v>#N/A</v>
      </c>
      <c r="T510" s="304">
        <f t="shared" si="408"/>
        <v>0</v>
      </c>
      <c r="U510" s="304">
        <f t="shared" si="446"/>
        <v>0</v>
      </c>
      <c r="V510" s="305" t="e">
        <f t="shared" si="409"/>
        <v>#N/A</v>
      </c>
      <c r="W510" s="305" t="e">
        <f t="shared" si="437"/>
        <v>#N/A</v>
      </c>
      <c r="X510" s="304">
        <f t="shared" si="438"/>
        <v>1.2</v>
      </c>
      <c r="Z510" s="304" t="str">
        <f t="shared" si="410"/>
        <v/>
      </c>
      <c r="AA510" s="305" t="e">
        <f t="shared" si="411"/>
        <v>#N/A</v>
      </c>
      <c r="AB510" s="304">
        <f t="shared" si="412"/>
        <v>3.26109521194457</v>
      </c>
      <c r="AC510" s="304" t="str">
        <f t="shared" si="439"/>
        <v/>
      </c>
      <c r="AD510" s="306">
        <f t="shared" si="413"/>
        <v>0</v>
      </c>
      <c r="AE510" s="307">
        <f t="shared" si="440"/>
        <v>3.26109521194457</v>
      </c>
      <c r="AF510" s="308" t="e">
        <f t="shared" si="449"/>
        <v>#N/A</v>
      </c>
      <c r="AG510" s="306">
        <f t="shared" si="441"/>
        <v>794.35008564431575</v>
      </c>
      <c r="AH510" s="306">
        <f t="shared" si="414"/>
        <v>0</v>
      </c>
      <c r="AI510" s="306">
        <f t="shared" si="442"/>
        <v>0</v>
      </c>
      <c r="AJ510" s="306">
        <f t="shared" si="443"/>
        <v>0</v>
      </c>
      <c r="AK510" s="306">
        <f t="shared" si="415"/>
        <v>0</v>
      </c>
      <c r="AL510" s="306">
        <f t="shared" si="444"/>
        <v>0</v>
      </c>
      <c r="AM510" s="306">
        <f t="shared" si="416"/>
        <v>0</v>
      </c>
      <c r="AN510" s="306"/>
      <c r="AO510" s="304" t="str">
        <f t="shared" si="417"/>
        <v/>
      </c>
      <c r="AP510" s="304" t="str">
        <f t="shared" si="445"/>
        <v/>
      </c>
      <c r="AQ510" s="305" t="e">
        <f t="shared" si="451"/>
        <v>#N/A</v>
      </c>
      <c r="AR510" s="304" t="str">
        <f t="shared" si="452"/>
        <v/>
      </c>
      <c r="AS510" s="306">
        <f t="shared" si="418"/>
        <v>0</v>
      </c>
      <c r="AT510" s="307" t="e">
        <f t="shared" si="453"/>
        <v>#N/A</v>
      </c>
      <c r="AU510" s="307" t="e">
        <f t="shared" si="454"/>
        <v>#N/A</v>
      </c>
      <c r="AV510" s="304">
        <f t="shared" si="400"/>
        <v>2.7175793432871416</v>
      </c>
      <c r="AW510" s="309">
        <f t="shared" si="419"/>
        <v>2.8644504142304834</v>
      </c>
      <c r="AX510" s="306">
        <f>IF(ISERROR(Weather!M494),#N/A,Weather!M494)</f>
        <v>0</v>
      </c>
      <c r="AY510" s="310">
        <f t="shared" si="420"/>
        <v>2</v>
      </c>
      <c r="AZ510" s="309">
        <f t="shared" si="421"/>
        <v>1.2</v>
      </c>
      <c r="BA510" s="309">
        <f t="shared" si="422"/>
        <v>366.96185203421248</v>
      </c>
      <c r="BB510" s="311">
        <f>Irrig!H512</f>
        <v>0</v>
      </c>
      <c r="BC510" s="310">
        <f t="shared" si="423"/>
        <v>0</v>
      </c>
      <c r="BD510" s="309">
        <f t="shared" si="424"/>
        <v>0</v>
      </c>
      <c r="BE510" s="309">
        <f t="shared" si="425"/>
        <v>0</v>
      </c>
      <c r="BF510" s="306">
        <f>DailyMet!H494</f>
        <v>17.18</v>
      </c>
      <c r="BG510" s="306">
        <f>DailyMet!I494</f>
        <v>10.7</v>
      </c>
      <c r="BH510" s="306">
        <f t="shared" si="426"/>
        <v>17.18</v>
      </c>
      <c r="BI510" s="306">
        <f t="shared" si="427"/>
        <v>10.7</v>
      </c>
      <c r="BJ510" s="306">
        <f t="shared" si="428"/>
        <v>3.9399999999999995</v>
      </c>
      <c r="BK510" s="306">
        <f t="shared" si="399"/>
        <v>0</v>
      </c>
      <c r="BL510" s="304">
        <f t="shared" si="429"/>
        <v>0</v>
      </c>
      <c r="BM510" s="304">
        <f t="shared" si="430"/>
        <v>3.9399999999999995</v>
      </c>
      <c r="BN510" s="304">
        <f t="shared" si="447"/>
        <v>3.9399999999999995</v>
      </c>
      <c r="BO510" s="306">
        <f t="shared" si="448"/>
        <v>0</v>
      </c>
      <c r="BP510" s="306"/>
    </row>
    <row r="511" spans="1:68">
      <c r="A511" s="299">
        <f t="shared" si="401"/>
        <v>0</v>
      </c>
      <c r="B511" s="300">
        <f t="shared" si="402"/>
        <v>38476</v>
      </c>
      <c r="C511" s="301" t="e">
        <f t="shared" si="431"/>
        <v>#N/A</v>
      </c>
      <c r="D511" s="301" t="e">
        <f t="shared" si="403"/>
        <v>#N/A</v>
      </c>
      <c r="E511" s="299">
        <f t="shared" si="404"/>
        <v>490</v>
      </c>
      <c r="F511" s="396">
        <f>Weather!M495</f>
        <v>4.4000000000000004</v>
      </c>
      <c r="G511" s="301">
        <f>IF(Weather!C495="","",Weather!C495)</f>
        <v>2.1762925688382717</v>
      </c>
      <c r="H511" s="301">
        <f>IF(Weather!D495="","",Weather!D495)</f>
        <v>3.2908053176774832</v>
      </c>
      <c r="I511" s="502">
        <f>IF(Weather!E495="","",Weather!E495)</f>
        <v>3.2908053176774832</v>
      </c>
      <c r="J511" s="397">
        <f>IF(RnSplint!N174&lt;0,0,RnSplint!N174)</f>
        <v>17.070107192199725</v>
      </c>
      <c r="K511" s="302">
        <f t="shared" si="432"/>
        <v>0</v>
      </c>
      <c r="L511" s="303">
        <f t="shared" si="433"/>
        <v>38476</v>
      </c>
      <c r="M511" s="346" t="str">
        <f t="shared" si="450"/>
        <v/>
      </c>
      <c r="N511" s="304">
        <f t="shared" si="434"/>
        <v>0</v>
      </c>
      <c r="O511" s="304">
        <f t="shared" si="435"/>
        <v>0</v>
      </c>
      <c r="P511" s="304">
        <f t="shared" si="405"/>
        <v>0</v>
      </c>
      <c r="Q511" s="304">
        <f t="shared" si="406"/>
        <v>1.0668798638098937</v>
      </c>
      <c r="R511" s="304">
        <f t="shared" si="407"/>
        <v>1.0668798638098937</v>
      </c>
      <c r="S511" s="305" t="e">
        <f t="shared" si="436"/>
        <v>#N/A</v>
      </c>
      <c r="T511" s="304">
        <f t="shared" si="408"/>
        <v>0</v>
      </c>
      <c r="U511" s="304">
        <f t="shared" si="446"/>
        <v>0</v>
      </c>
      <c r="V511" s="305" t="e">
        <f t="shared" si="409"/>
        <v>#N/A</v>
      </c>
      <c r="W511" s="305" t="e">
        <f t="shared" si="437"/>
        <v>#N/A</v>
      </c>
      <c r="X511" s="304">
        <f t="shared" si="438"/>
        <v>1.0668798638098937</v>
      </c>
      <c r="Z511" s="304" t="str">
        <f t="shared" si="410"/>
        <v/>
      </c>
      <c r="AA511" s="305" t="e">
        <f t="shared" si="411"/>
        <v>#N/A</v>
      </c>
      <c r="AB511" s="304">
        <f t="shared" si="412"/>
        <v>3.5108939291486272</v>
      </c>
      <c r="AC511" s="304" t="str">
        <f t="shared" si="439"/>
        <v/>
      </c>
      <c r="AD511" s="306">
        <f t="shared" si="413"/>
        <v>0</v>
      </c>
      <c r="AE511" s="307">
        <f t="shared" si="440"/>
        <v>3.5108939291486272</v>
      </c>
      <c r="AF511" s="308" t="e">
        <f t="shared" si="449"/>
        <v>#N/A</v>
      </c>
      <c r="AG511" s="306">
        <f t="shared" si="441"/>
        <v>797.64089096199325</v>
      </c>
      <c r="AH511" s="306">
        <f t="shared" si="414"/>
        <v>0</v>
      </c>
      <c r="AI511" s="306">
        <f t="shared" si="442"/>
        <v>0</v>
      </c>
      <c r="AJ511" s="306">
        <f t="shared" si="443"/>
        <v>0</v>
      </c>
      <c r="AK511" s="306">
        <f t="shared" si="415"/>
        <v>0</v>
      </c>
      <c r="AL511" s="306">
        <f t="shared" si="444"/>
        <v>0</v>
      </c>
      <c r="AM511" s="306">
        <f t="shared" si="416"/>
        <v>0</v>
      </c>
      <c r="AN511" s="306"/>
      <c r="AO511" s="304" t="str">
        <f t="shared" si="417"/>
        <v/>
      </c>
      <c r="AP511" s="304" t="str">
        <f t="shared" si="445"/>
        <v/>
      </c>
      <c r="AQ511" s="305" t="e">
        <f t="shared" si="451"/>
        <v>#N/A</v>
      </c>
      <c r="AR511" s="304" t="str">
        <f t="shared" si="452"/>
        <v/>
      </c>
      <c r="AS511" s="306">
        <f t="shared" si="418"/>
        <v>0</v>
      </c>
      <c r="AT511" s="307" t="e">
        <f t="shared" si="453"/>
        <v>#N/A</v>
      </c>
      <c r="AU511" s="307" t="e">
        <f t="shared" si="454"/>
        <v>#N/A</v>
      </c>
      <c r="AV511" s="304">
        <f t="shared" si="400"/>
        <v>3.2908053176774832</v>
      </c>
      <c r="AW511" s="309">
        <f t="shared" si="419"/>
        <v>6.1552557319079666</v>
      </c>
      <c r="AX511" s="306">
        <f>IF(ISERROR(Weather!M495),#N/A,Weather!M495)</f>
        <v>4.4000000000000004</v>
      </c>
      <c r="AY511" s="310">
        <f t="shared" si="420"/>
        <v>3</v>
      </c>
      <c r="AZ511" s="309">
        <f t="shared" si="421"/>
        <v>1.0668798638098937</v>
      </c>
      <c r="BA511" s="309">
        <f t="shared" si="422"/>
        <v>370.25265735188998</v>
      </c>
      <c r="BB511" s="311">
        <f>Irrig!H513</f>
        <v>0</v>
      </c>
      <c r="BC511" s="310">
        <f t="shared" si="423"/>
        <v>0</v>
      </c>
      <c r="BD511" s="309">
        <f t="shared" si="424"/>
        <v>0</v>
      </c>
      <c r="BE511" s="309">
        <f t="shared" si="425"/>
        <v>0</v>
      </c>
      <c r="BF511" s="306">
        <f>DailyMet!H495</f>
        <v>17.45</v>
      </c>
      <c r="BG511" s="306">
        <f>DailyMet!I495</f>
        <v>10.7</v>
      </c>
      <c r="BH511" s="306">
        <f t="shared" si="426"/>
        <v>17.45</v>
      </c>
      <c r="BI511" s="306">
        <f t="shared" si="427"/>
        <v>10.7</v>
      </c>
      <c r="BJ511" s="306">
        <f t="shared" si="428"/>
        <v>4.0749999999999993</v>
      </c>
      <c r="BK511" s="306">
        <f t="shared" si="399"/>
        <v>0</v>
      </c>
      <c r="BL511" s="304">
        <f t="shared" si="429"/>
        <v>0</v>
      </c>
      <c r="BM511" s="304">
        <f t="shared" si="430"/>
        <v>4.0749999999999993</v>
      </c>
      <c r="BN511" s="304">
        <f t="shared" si="447"/>
        <v>4.0749999999999993</v>
      </c>
      <c r="BO511" s="306">
        <f t="shared" si="448"/>
        <v>0</v>
      </c>
      <c r="BP511" s="306"/>
    </row>
    <row r="512" spans="1:68">
      <c r="A512" s="299">
        <f t="shared" si="401"/>
        <v>0</v>
      </c>
      <c r="B512" s="300">
        <f t="shared" si="402"/>
        <v>38477</v>
      </c>
      <c r="C512" s="301" t="e">
        <f t="shared" si="431"/>
        <v>#N/A</v>
      </c>
      <c r="D512" s="301" t="e">
        <f t="shared" si="403"/>
        <v>#N/A</v>
      </c>
      <c r="E512" s="299">
        <f t="shared" si="404"/>
        <v>491</v>
      </c>
      <c r="F512" s="396">
        <f>Weather!M496</f>
        <v>0</v>
      </c>
      <c r="G512" s="301">
        <f>IF(Weather!C496="","",Weather!C496)</f>
        <v>2.2318325253800646</v>
      </c>
      <c r="H512" s="301">
        <f>IF(Weather!D496="","",Weather!D496)</f>
        <v>1.9868260661321759</v>
      </c>
      <c r="I512" s="502">
        <f>IF(Weather!E496="","",Weather!E496)</f>
        <v>1.9868260661321759</v>
      </c>
      <c r="J512" s="397">
        <f>IF(RnSplint!N175&lt;0,0,RnSplint!N175)</f>
        <v>16.232940150483692</v>
      </c>
      <c r="K512" s="302">
        <f t="shared" si="432"/>
        <v>0</v>
      </c>
      <c r="L512" s="303">
        <f t="shared" si="433"/>
        <v>38477</v>
      </c>
      <c r="M512" s="346" t="str">
        <f t="shared" si="450"/>
        <v/>
      </c>
      <c r="N512" s="304">
        <f t="shared" si="434"/>
        <v>0</v>
      </c>
      <c r="O512" s="304">
        <f t="shared" si="435"/>
        <v>0</v>
      </c>
      <c r="P512" s="304">
        <f t="shared" si="405"/>
        <v>0</v>
      </c>
      <c r="Q512" s="304">
        <f t="shared" si="406"/>
        <v>0.92347896741995372</v>
      </c>
      <c r="R512" s="304">
        <f t="shared" si="407"/>
        <v>0.92347896741995372</v>
      </c>
      <c r="S512" s="305" t="e">
        <f t="shared" si="436"/>
        <v>#N/A</v>
      </c>
      <c r="T512" s="304">
        <f t="shared" si="408"/>
        <v>0</v>
      </c>
      <c r="U512" s="304">
        <f t="shared" si="446"/>
        <v>0</v>
      </c>
      <c r="V512" s="305" t="e">
        <f t="shared" si="409"/>
        <v>#N/A</v>
      </c>
      <c r="W512" s="305" t="e">
        <f t="shared" si="437"/>
        <v>#N/A</v>
      </c>
      <c r="X512" s="304">
        <f t="shared" si="438"/>
        <v>0.92347896741995372</v>
      </c>
      <c r="Z512" s="304" t="str">
        <f t="shared" si="410"/>
        <v/>
      </c>
      <c r="AA512" s="305" t="e">
        <f t="shared" si="411"/>
        <v>#N/A</v>
      </c>
      <c r="AB512" s="304">
        <f t="shared" si="412"/>
        <v>1.8347920839947904</v>
      </c>
      <c r="AC512" s="304" t="str">
        <f t="shared" si="439"/>
        <v/>
      </c>
      <c r="AD512" s="306">
        <f t="shared" si="413"/>
        <v>0</v>
      </c>
      <c r="AE512" s="307">
        <f t="shared" si="440"/>
        <v>1.8347920839947904</v>
      </c>
      <c r="AF512" s="308" t="e">
        <f t="shared" si="449"/>
        <v>#N/A</v>
      </c>
      <c r="AG512" s="306">
        <f t="shared" si="441"/>
        <v>799.6277170281254</v>
      </c>
      <c r="AH512" s="306">
        <f t="shared" si="414"/>
        <v>0</v>
      </c>
      <c r="AI512" s="306">
        <f t="shared" si="442"/>
        <v>0</v>
      </c>
      <c r="AJ512" s="306">
        <f t="shared" si="443"/>
        <v>0</v>
      </c>
      <c r="AK512" s="306">
        <f t="shared" si="415"/>
        <v>0</v>
      </c>
      <c r="AL512" s="306">
        <f t="shared" si="444"/>
        <v>0</v>
      </c>
      <c r="AM512" s="306">
        <f t="shared" si="416"/>
        <v>0</v>
      </c>
      <c r="AN512" s="306"/>
      <c r="AO512" s="304" t="str">
        <f t="shared" si="417"/>
        <v/>
      </c>
      <c r="AP512" s="304" t="str">
        <f t="shared" si="445"/>
        <v/>
      </c>
      <c r="AQ512" s="305" t="e">
        <f t="shared" si="451"/>
        <v>#N/A</v>
      </c>
      <c r="AR512" s="304" t="str">
        <f t="shared" si="452"/>
        <v/>
      </c>
      <c r="AS512" s="306">
        <f t="shared" si="418"/>
        <v>0</v>
      </c>
      <c r="AT512" s="307" t="e">
        <f t="shared" si="453"/>
        <v>#N/A</v>
      </c>
      <c r="AU512" s="307" t="e">
        <f t="shared" si="454"/>
        <v>#N/A</v>
      </c>
      <c r="AV512" s="304">
        <f t="shared" si="400"/>
        <v>1.9868260661321759</v>
      </c>
      <c r="AW512" s="309">
        <f t="shared" si="419"/>
        <v>8.1420817980401416</v>
      </c>
      <c r="AX512" s="306">
        <f>IF(ISERROR(Weather!M496),#N/A,Weather!M496)</f>
        <v>0</v>
      </c>
      <c r="AY512" s="310">
        <f t="shared" si="420"/>
        <v>4</v>
      </c>
      <c r="AZ512" s="309">
        <f t="shared" si="421"/>
        <v>0.92347896741995372</v>
      </c>
      <c r="BA512" s="309">
        <f t="shared" si="422"/>
        <v>372.23948341802213</v>
      </c>
      <c r="BB512" s="311">
        <f>Irrig!H514</f>
        <v>0</v>
      </c>
      <c r="BC512" s="310">
        <f t="shared" si="423"/>
        <v>0</v>
      </c>
      <c r="BD512" s="309">
        <f t="shared" si="424"/>
        <v>0</v>
      </c>
      <c r="BE512" s="309">
        <f t="shared" si="425"/>
        <v>0</v>
      </c>
      <c r="BF512" s="306">
        <f>DailyMet!H496</f>
        <v>17.649999999999999</v>
      </c>
      <c r="BG512" s="306">
        <f>DailyMet!I496</f>
        <v>10.5</v>
      </c>
      <c r="BH512" s="306">
        <f t="shared" si="426"/>
        <v>17.649999999999999</v>
      </c>
      <c r="BI512" s="306">
        <f t="shared" si="427"/>
        <v>10.5</v>
      </c>
      <c r="BJ512" s="306">
        <f t="shared" si="428"/>
        <v>4.0749999999999993</v>
      </c>
      <c r="BK512" s="306">
        <f t="shared" si="399"/>
        <v>0</v>
      </c>
      <c r="BL512" s="304">
        <f t="shared" si="429"/>
        <v>0</v>
      </c>
      <c r="BM512" s="304">
        <f t="shared" si="430"/>
        <v>4.0749999999999993</v>
      </c>
      <c r="BN512" s="304">
        <f t="shared" si="447"/>
        <v>4.0749999999999993</v>
      </c>
      <c r="BO512" s="306">
        <f t="shared" si="448"/>
        <v>0</v>
      </c>
      <c r="BP512" s="306"/>
    </row>
    <row r="513" spans="1:68">
      <c r="A513" s="299">
        <f t="shared" si="401"/>
        <v>0</v>
      </c>
      <c r="B513" s="300">
        <f t="shared" si="402"/>
        <v>38478</v>
      </c>
      <c r="C513" s="301" t="e">
        <f t="shared" si="431"/>
        <v>#N/A</v>
      </c>
      <c r="D513" s="301" t="e">
        <f t="shared" si="403"/>
        <v>#N/A</v>
      </c>
      <c r="E513" s="299">
        <f t="shared" si="404"/>
        <v>492</v>
      </c>
      <c r="F513" s="396">
        <f>Weather!M497</f>
        <v>0</v>
      </c>
      <c r="G513" s="301">
        <f>IF(Weather!C497="","",Weather!C497)</f>
        <v>2.2881297537944461</v>
      </c>
      <c r="H513" s="301">
        <f>IF(Weather!D497="","",Weather!D497)</f>
        <v>2.9434706790229859</v>
      </c>
      <c r="I513" s="502">
        <f>IF(Weather!E497="","",Weather!E497)</f>
        <v>2.9434706790229859</v>
      </c>
      <c r="J513" s="397">
        <f>IF(RnSplint!N176&lt;0,0,RnSplint!N176)</f>
        <v>15.398935592057468</v>
      </c>
      <c r="K513" s="302">
        <f t="shared" si="432"/>
        <v>0</v>
      </c>
      <c r="L513" s="303">
        <f t="shared" si="433"/>
        <v>38478</v>
      </c>
      <c r="M513" s="346" t="str">
        <f t="shared" si="450"/>
        <v/>
      </c>
      <c r="N513" s="304">
        <f t="shared" si="434"/>
        <v>0</v>
      </c>
      <c r="O513" s="304">
        <f t="shared" si="435"/>
        <v>0</v>
      </c>
      <c r="P513" s="304">
        <f t="shared" si="405"/>
        <v>0</v>
      </c>
      <c r="Q513" s="304">
        <f t="shared" si="406"/>
        <v>0.78753836206299899</v>
      </c>
      <c r="R513" s="304">
        <f t="shared" si="407"/>
        <v>0.78753836206299899</v>
      </c>
      <c r="S513" s="305" t="e">
        <f t="shared" si="436"/>
        <v>#N/A</v>
      </c>
      <c r="T513" s="304">
        <f t="shared" si="408"/>
        <v>0</v>
      </c>
      <c r="U513" s="304">
        <f t="shared" si="446"/>
        <v>0</v>
      </c>
      <c r="V513" s="305" t="e">
        <f t="shared" si="409"/>
        <v>#N/A</v>
      </c>
      <c r="W513" s="305" t="e">
        <f t="shared" si="437"/>
        <v>#N/A</v>
      </c>
      <c r="X513" s="304">
        <f t="shared" si="438"/>
        <v>0.78753836206299899</v>
      </c>
      <c r="Z513" s="304" t="str">
        <f t="shared" si="410"/>
        <v/>
      </c>
      <c r="AA513" s="305" t="e">
        <f t="shared" si="411"/>
        <v>#N/A</v>
      </c>
      <c r="AB513" s="304">
        <f t="shared" si="412"/>
        <v>2.3180960773382258</v>
      </c>
      <c r="AC513" s="304" t="str">
        <f t="shared" si="439"/>
        <v/>
      </c>
      <c r="AD513" s="306">
        <f t="shared" si="413"/>
        <v>0</v>
      </c>
      <c r="AE513" s="307">
        <f t="shared" si="440"/>
        <v>2.3180960773382258</v>
      </c>
      <c r="AF513" s="308" t="e">
        <f t="shared" si="449"/>
        <v>#N/A</v>
      </c>
      <c r="AG513" s="306">
        <f t="shared" si="441"/>
        <v>802.5711877071484</v>
      </c>
      <c r="AH513" s="306">
        <f t="shared" si="414"/>
        <v>0</v>
      </c>
      <c r="AI513" s="306">
        <f t="shared" si="442"/>
        <v>0</v>
      </c>
      <c r="AJ513" s="306">
        <f t="shared" si="443"/>
        <v>0</v>
      </c>
      <c r="AK513" s="306">
        <f t="shared" si="415"/>
        <v>0</v>
      </c>
      <c r="AL513" s="306">
        <f t="shared" si="444"/>
        <v>0</v>
      </c>
      <c r="AM513" s="306">
        <f t="shared" si="416"/>
        <v>0</v>
      </c>
      <c r="AN513" s="306"/>
      <c r="AO513" s="304" t="str">
        <f t="shared" si="417"/>
        <v/>
      </c>
      <c r="AP513" s="304" t="str">
        <f t="shared" si="445"/>
        <v/>
      </c>
      <c r="AQ513" s="305" t="e">
        <f t="shared" si="451"/>
        <v>#N/A</v>
      </c>
      <c r="AR513" s="304" t="str">
        <f t="shared" si="452"/>
        <v/>
      </c>
      <c r="AS513" s="306">
        <f t="shared" si="418"/>
        <v>0</v>
      </c>
      <c r="AT513" s="307" t="e">
        <f t="shared" si="453"/>
        <v>#N/A</v>
      </c>
      <c r="AU513" s="307" t="e">
        <f t="shared" si="454"/>
        <v>#N/A</v>
      </c>
      <c r="AV513" s="304">
        <f t="shared" si="400"/>
        <v>2.9434706790229859</v>
      </c>
      <c r="AW513" s="309">
        <f t="shared" si="419"/>
        <v>11.085552477063128</v>
      </c>
      <c r="AX513" s="306">
        <f>IF(ISERROR(Weather!M497),#N/A,Weather!M497)</f>
        <v>0</v>
      </c>
      <c r="AY513" s="310">
        <f t="shared" si="420"/>
        <v>5</v>
      </c>
      <c r="AZ513" s="309">
        <f t="shared" si="421"/>
        <v>0.78753836206299899</v>
      </c>
      <c r="BA513" s="309">
        <f t="shared" si="422"/>
        <v>375.18295409704513</v>
      </c>
      <c r="BB513" s="311">
        <f>Irrig!H515</f>
        <v>0</v>
      </c>
      <c r="BC513" s="310">
        <f t="shared" si="423"/>
        <v>0</v>
      </c>
      <c r="BD513" s="309">
        <f t="shared" si="424"/>
        <v>0</v>
      </c>
      <c r="BE513" s="309">
        <f t="shared" si="425"/>
        <v>0</v>
      </c>
      <c r="BF513" s="306">
        <f>DailyMet!H497</f>
        <v>16.75</v>
      </c>
      <c r="BG513" s="306">
        <f>DailyMet!I497</f>
        <v>13</v>
      </c>
      <c r="BH513" s="306">
        <f t="shared" si="426"/>
        <v>16.75</v>
      </c>
      <c r="BI513" s="306">
        <f t="shared" si="427"/>
        <v>13</v>
      </c>
      <c r="BJ513" s="306">
        <f t="shared" si="428"/>
        <v>4.875</v>
      </c>
      <c r="BK513" s="306">
        <f t="shared" si="399"/>
        <v>0</v>
      </c>
      <c r="BL513" s="304">
        <f t="shared" si="429"/>
        <v>0</v>
      </c>
      <c r="BM513" s="304">
        <f t="shared" si="430"/>
        <v>4.875</v>
      </c>
      <c r="BN513" s="304">
        <f t="shared" si="447"/>
        <v>4.875</v>
      </c>
      <c r="BO513" s="306">
        <f t="shared" si="448"/>
        <v>0</v>
      </c>
      <c r="BP513" s="306"/>
    </row>
    <row r="514" spans="1:68">
      <c r="A514" s="299">
        <f t="shared" si="401"/>
        <v>0</v>
      </c>
      <c r="B514" s="300">
        <f t="shared" si="402"/>
        <v>38479</v>
      </c>
      <c r="C514" s="301" t="e">
        <f t="shared" si="431"/>
        <v>#N/A</v>
      </c>
      <c r="D514" s="301" t="e">
        <f t="shared" si="403"/>
        <v>#N/A</v>
      </c>
      <c r="E514" s="299">
        <f t="shared" si="404"/>
        <v>493</v>
      </c>
      <c r="F514" s="396">
        <f>Weather!M498</f>
        <v>0</v>
      </c>
      <c r="G514" s="301">
        <f>IF(Weather!C498="","",Weather!C498)</f>
        <v>2.3450699959183381</v>
      </c>
      <c r="H514" s="301">
        <f>IF(Weather!D498="","",Weather!D498)</f>
        <v>3.3627214264420116</v>
      </c>
      <c r="I514" s="502">
        <f>IF(Weather!E498="","",Weather!E498)</f>
        <v>3.3627214264420116</v>
      </c>
      <c r="J514" s="397">
        <f>IF(RnSplint!N177&lt;0,0,RnSplint!N177)</f>
        <v>14.57044430515408</v>
      </c>
      <c r="K514" s="302">
        <f t="shared" si="432"/>
        <v>0</v>
      </c>
      <c r="L514" s="303">
        <f t="shared" si="433"/>
        <v>38479</v>
      </c>
      <c r="M514" s="346" t="str">
        <f t="shared" si="450"/>
        <v/>
      </c>
      <c r="N514" s="304">
        <f t="shared" si="434"/>
        <v>0</v>
      </c>
      <c r="O514" s="304">
        <f t="shared" si="435"/>
        <v>0</v>
      </c>
      <c r="P514" s="304">
        <f t="shared" si="405"/>
        <v>0</v>
      </c>
      <c r="Q514" s="304">
        <f t="shared" si="406"/>
        <v>0.68691257685441853</v>
      </c>
      <c r="R514" s="304">
        <f t="shared" si="407"/>
        <v>0.68691257685441853</v>
      </c>
      <c r="S514" s="305" t="e">
        <f t="shared" si="436"/>
        <v>#N/A</v>
      </c>
      <c r="T514" s="304">
        <f t="shared" si="408"/>
        <v>0</v>
      </c>
      <c r="U514" s="304">
        <f t="shared" si="446"/>
        <v>0</v>
      </c>
      <c r="V514" s="305" t="e">
        <f t="shared" si="409"/>
        <v>#N/A</v>
      </c>
      <c r="W514" s="305" t="e">
        <f t="shared" si="437"/>
        <v>#N/A</v>
      </c>
      <c r="X514" s="304">
        <f t="shared" si="438"/>
        <v>0.68691257685441853</v>
      </c>
      <c r="Z514" s="304" t="str">
        <f t="shared" si="410"/>
        <v/>
      </c>
      <c r="AA514" s="305" t="e">
        <f t="shared" si="411"/>
        <v>#N/A</v>
      </c>
      <c r="AB514" s="304">
        <f t="shared" si="412"/>
        <v>2.3098956402808484</v>
      </c>
      <c r="AC514" s="304" t="str">
        <f t="shared" si="439"/>
        <v/>
      </c>
      <c r="AD514" s="306">
        <f t="shared" si="413"/>
        <v>0</v>
      </c>
      <c r="AE514" s="307">
        <f t="shared" si="440"/>
        <v>2.3098956402808484</v>
      </c>
      <c r="AF514" s="308" t="e">
        <f t="shared" si="449"/>
        <v>#N/A</v>
      </c>
      <c r="AG514" s="306">
        <f t="shared" si="441"/>
        <v>805.93390913359042</v>
      </c>
      <c r="AH514" s="306">
        <f t="shared" si="414"/>
        <v>0</v>
      </c>
      <c r="AI514" s="306">
        <f t="shared" si="442"/>
        <v>0</v>
      </c>
      <c r="AJ514" s="306">
        <f t="shared" si="443"/>
        <v>0</v>
      </c>
      <c r="AK514" s="306">
        <f t="shared" si="415"/>
        <v>0</v>
      </c>
      <c r="AL514" s="306">
        <f t="shared" si="444"/>
        <v>0</v>
      </c>
      <c r="AM514" s="306">
        <f t="shared" si="416"/>
        <v>0</v>
      </c>
      <c r="AN514" s="306"/>
      <c r="AO514" s="304" t="str">
        <f t="shared" si="417"/>
        <v/>
      </c>
      <c r="AP514" s="304" t="str">
        <f t="shared" si="445"/>
        <v/>
      </c>
      <c r="AQ514" s="305" t="e">
        <f t="shared" si="451"/>
        <v>#N/A</v>
      </c>
      <c r="AR514" s="304" t="str">
        <f t="shared" si="452"/>
        <v/>
      </c>
      <c r="AS514" s="306">
        <f t="shared" si="418"/>
        <v>0</v>
      </c>
      <c r="AT514" s="307" t="e">
        <f t="shared" si="453"/>
        <v>#N/A</v>
      </c>
      <c r="AU514" s="307" t="e">
        <f t="shared" si="454"/>
        <v>#N/A</v>
      </c>
      <c r="AV514" s="304">
        <f t="shared" si="400"/>
        <v>3.3627214264420116</v>
      </c>
      <c r="AW514" s="309">
        <f t="shared" si="419"/>
        <v>14.44827390350514</v>
      </c>
      <c r="AX514" s="306">
        <f>IF(ISERROR(Weather!M498),#N/A,Weather!M498)</f>
        <v>0</v>
      </c>
      <c r="AY514" s="310">
        <f t="shared" si="420"/>
        <v>6</v>
      </c>
      <c r="AZ514" s="309">
        <f t="shared" si="421"/>
        <v>0.68691257685441853</v>
      </c>
      <c r="BA514" s="309">
        <f t="shared" si="422"/>
        <v>378.54567552348715</v>
      </c>
      <c r="BB514" s="311">
        <f>Irrig!H516</f>
        <v>0</v>
      </c>
      <c r="BC514" s="310">
        <f t="shared" si="423"/>
        <v>0</v>
      </c>
      <c r="BD514" s="309">
        <f t="shared" si="424"/>
        <v>0</v>
      </c>
      <c r="BE514" s="309">
        <f t="shared" si="425"/>
        <v>0</v>
      </c>
      <c r="BF514" s="306">
        <f>DailyMet!H498</f>
        <v>16.79</v>
      </c>
      <c r="BG514" s="306">
        <f>DailyMet!I498</f>
        <v>11.4</v>
      </c>
      <c r="BH514" s="306">
        <f t="shared" si="426"/>
        <v>16.79</v>
      </c>
      <c r="BI514" s="306">
        <f t="shared" si="427"/>
        <v>11.4</v>
      </c>
      <c r="BJ514" s="306">
        <f t="shared" si="428"/>
        <v>4.0949999999999989</v>
      </c>
      <c r="BK514" s="306">
        <f t="shared" si="399"/>
        <v>0</v>
      </c>
      <c r="BL514" s="304">
        <f t="shared" si="429"/>
        <v>0</v>
      </c>
      <c r="BM514" s="304">
        <f t="shared" si="430"/>
        <v>4.0949999999999989</v>
      </c>
      <c r="BN514" s="304">
        <f t="shared" si="447"/>
        <v>4.0949999999999989</v>
      </c>
      <c r="BO514" s="306">
        <f t="shared" si="448"/>
        <v>0</v>
      </c>
      <c r="BP514" s="306"/>
    </row>
    <row r="515" spans="1:68">
      <c r="A515" s="299">
        <f t="shared" si="401"/>
        <v>0</v>
      </c>
      <c r="B515" s="300">
        <f t="shared" si="402"/>
        <v>38480</v>
      </c>
      <c r="C515" s="301" t="e">
        <f t="shared" si="431"/>
        <v>#N/A</v>
      </c>
      <c r="D515" s="301" t="e">
        <f t="shared" si="403"/>
        <v>#N/A</v>
      </c>
      <c r="E515" s="299">
        <f t="shared" si="404"/>
        <v>494</v>
      </c>
      <c r="F515" s="396">
        <f>Weather!M499</f>
        <v>0</v>
      </c>
      <c r="G515" s="301">
        <f>IF(Weather!C499="","",Weather!C499)</f>
        <v>2.4025389935886645</v>
      </c>
      <c r="H515" s="301">
        <f>IF(Weather!D499="","",Weather!D499)</f>
        <v>1.8421522137245261</v>
      </c>
      <c r="I515" s="502">
        <f>IF(Weather!E499="","",Weather!E499)</f>
        <v>1.8421522137245261</v>
      </c>
      <c r="J515" s="397">
        <f>IF(RnSplint!N178&lt;0,0,RnSplint!N178)</f>
        <v>13.749817078006551</v>
      </c>
      <c r="K515" s="302">
        <f t="shared" si="432"/>
        <v>0</v>
      </c>
      <c r="L515" s="303">
        <f t="shared" si="433"/>
        <v>38480</v>
      </c>
      <c r="M515" s="346" t="str">
        <f t="shared" si="450"/>
        <v/>
      </c>
      <c r="N515" s="304">
        <f t="shared" si="434"/>
        <v>0</v>
      </c>
      <c r="O515" s="304">
        <f t="shared" si="435"/>
        <v>0</v>
      </c>
      <c r="P515" s="304">
        <f t="shared" si="405"/>
        <v>0</v>
      </c>
      <c r="Q515" s="304">
        <f t="shared" si="406"/>
        <v>0.64566815223773377</v>
      </c>
      <c r="R515" s="304">
        <f t="shared" si="407"/>
        <v>0.64566815223773377</v>
      </c>
      <c r="S515" s="305" t="e">
        <f t="shared" si="436"/>
        <v>#N/A</v>
      </c>
      <c r="T515" s="304">
        <f t="shared" si="408"/>
        <v>0</v>
      </c>
      <c r="U515" s="304">
        <f t="shared" si="446"/>
        <v>0</v>
      </c>
      <c r="V515" s="305" t="e">
        <f t="shared" si="409"/>
        <v>#N/A</v>
      </c>
      <c r="W515" s="305" t="e">
        <f t="shared" si="437"/>
        <v>#N/A</v>
      </c>
      <c r="X515" s="304">
        <f t="shared" si="438"/>
        <v>0.64566815223773377</v>
      </c>
      <c r="Z515" s="304" t="str">
        <f t="shared" si="410"/>
        <v/>
      </c>
      <c r="AA515" s="305" t="e">
        <f t="shared" si="411"/>
        <v>#N/A</v>
      </c>
      <c r="AB515" s="304">
        <f t="shared" si="412"/>
        <v>1.1894190159761655</v>
      </c>
      <c r="AC515" s="304" t="str">
        <f t="shared" si="439"/>
        <v/>
      </c>
      <c r="AD515" s="306">
        <f t="shared" si="413"/>
        <v>0</v>
      </c>
      <c r="AE515" s="307">
        <f t="shared" si="440"/>
        <v>1.1894190159761655</v>
      </c>
      <c r="AF515" s="308" t="e">
        <f t="shared" si="449"/>
        <v>#N/A</v>
      </c>
      <c r="AG515" s="306">
        <f t="shared" si="441"/>
        <v>807.77606134731491</v>
      </c>
      <c r="AH515" s="306">
        <f t="shared" si="414"/>
        <v>0</v>
      </c>
      <c r="AI515" s="306">
        <f t="shared" si="442"/>
        <v>0</v>
      </c>
      <c r="AJ515" s="306">
        <f t="shared" si="443"/>
        <v>0</v>
      </c>
      <c r="AK515" s="306">
        <f t="shared" si="415"/>
        <v>0</v>
      </c>
      <c r="AL515" s="306">
        <f t="shared" si="444"/>
        <v>0</v>
      </c>
      <c r="AM515" s="306">
        <f t="shared" si="416"/>
        <v>0</v>
      </c>
      <c r="AN515" s="306"/>
      <c r="AO515" s="304" t="str">
        <f t="shared" si="417"/>
        <v/>
      </c>
      <c r="AP515" s="304" t="str">
        <f t="shared" si="445"/>
        <v/>
      </c>
      <c r="AQ515" s="305" t="e">
        <f t="shared" si="451"/>
        <v>#N/A</v>
      </c>
      <c r="AR515" s="304" t="str">
        <f t="shared" si="452"/>
        <v/>
      </c>
      <c r="AS515" s="306">
        <f t="shared" si="418"/>
        <v>0</v>
      </c>
      <c r="AT515" s="307" t="e">
        <f t="shared" si="453"/>
        <v>#N/A</v>
      </c>
      <c r="AU515" s="307" t="e">
        <f t="shared" si="454"/>
        <v>#N/A</v>
      </c>
      <c r="AV515" s="304">
        <f t="shared" si="400"/>
        <v>1.8421522137245261</v>
      </c>
      <c r="AW515" s="309">
        <f t="shared" si="419"/>
        <v>16.290426117229664</v>
      </c>
      <c r="AX515" s="306">
        <f>IF(ISERROR(Weather!M499),#N/A,Weather!M499)</f>
        <v>0</v>
      </c>
      <c r="AY515" s="310">
        <f t="shared" si="420"/>
        <v>7</v>
      </c>
      <c r="AZ515" s="309">
        <f t="shared" si="421"/>
        <v>0.64566815223773377</v>
      </c>
      <c r="BA515" s="309">
        <f t="shared" si="422"/>
        <v>380.38782773721169</v>
      </c>
      <c r="BB515" s="311">
        <f>Irrig!H517</f>
        <v>0</v>
      </c>
      <c r="BC515" s="310">
        <f t="shared" si="423"/>
        <v>0</v>
      </c>
      <c r="BD515" s="309">
        <f t="shared" si="424"/>
        <v>0</v>
      </c>
      <c r="BE515" s="309">
        <f t="shared" si="425"/>
        <v>0</v>
      </c>
      <c r="BF515" s="306">
        <f>DailyMet!H499</f>
        <v>18.03</v>
      </c>
      <c r="BG515" s="306">
        <f>DailyMet!I499</f>
        <v>9.5</v>
      </c>
      <c r="BH515" s="306">
        <f t="shared" si="426"/>
        <v>18.03</v>
      </c>
      <c r="BI515" s="306">
        <f t="shared" si="427"/>
        <v>10</v>
      </c>
      <c r="BJ515" s="306">
        <f t="shared" si="428"/>
        <v>4.0150000000000006</v>
      </c>
      <c r="BK515" s="306">
        <f t="shared" si="399"/>
        <v>0</v>
      </c>
      <c r="BL515" s="304">
        <f t="shared" si="429"/>
        <v>0</v>
      </c>
      <c r="BM515" s="304">
        <f t="shared" si="430"/>
        <v>3.7796541617819468</v>
      </c>
      <c r="BN515" s="304">
        <f t="shared" si="447"/>
        <v>3.7796541617819468</v>
      </c>
      <c r="BO515" s="306">
        <f t="shared" si="448"/>
        <v>0</v>
      </c>
      <c r="BP515" s="306"/>
    </row>
    <row r="516" spans="1:68">
      <c r="A516" s="299">
        <f t="shared" si="401"/>
        <v>0</v>
      </c>
      <c r="B516" s="300">
        <f t="shared" si="402"/>
        <v>38481</v>
      </c>
      <c r="C516" s="301" t="e">
        <f t="shared" si="431"/>
        <v>#N/A</v>
      </c>
      <c r="D516" s="301" t="e">
        <f t="shared" si="403"/>
        <v>#N/A</v>
      </c>
      <c r="E516" s="299">
        <f t="shared" si="404"/>
        <v>495</v>
      </c>
      <c r="F516" s="396">
        <f>Weather!M500</f>
        <v>2.6</v>
      </c>
      <c r="G516" s="301">
        <f>IF(Weather!C500="","",Weather!C500)</f>
        <v>2.4604224886423482</v>
      </c>
      <c r="H516" s="301">
        <f>IF(Weather!D500="","",Weather!D500)</f>
        <v>1.6487735550847691</v>
      </c>
      <c r="I516" s="502">
        <f>IF(Weather!E500="","",Weather!E500)</f>
        <v>1.6487735550847691</v>
      </c>
      <c r="J516" s="397">
        <f>IF(RnSplint!N179&lt;0,0,RnSplint!N179)</f>
        <v>12.939404698847902</v>
      </c>
      <c r="K516" s="302">
        <f t="shared" si="432"/>
        <v>0</v>
      </c>
      <c r="L516" s="303">
        <f t="shared" si="433"/>
        <v>38481</v>
      </c>
      <c r="M516" s="346" t="str">
        <f t="shared" si="450"/>
        <v/>
      </c>
      <c r="N516" s="304">
        <f t="shared" si="434"/>
        <v>0</v>
      </c>
      <c r="O516" s="304">
        <f t="shared" si="435"/>
        <v>0</v>
      </c>
      <c r="P516" s="304">
        <f t="shared" si="405"/>
        <v>0</v>
      </c>
      <c r="Q516" s="304">
        <f t="shared" si="406"/>
        <v>0.61433339725239178</v>
      </c>
      <c r="R516" s="304">
        <f t="shared" si="407"/>
        <v>0.61433339725239178</v>
      </c>
      <c r="S516" s="305" t="e">
        <f t="shared" si="436"/>
        <v>#N/A</v>
      </c>
      <c r="T516" s="304">
        <f t="shared" si="408"/>
        <v>0</v>
      </c>
      <c r="U516" s="304">
        <f t="shared" si="446"/>
        <v>0</v>
      </c>
      <c r="V516" s="305" t="e">
        <f t="shared" si="409"/>
        <v>#N/A</v>
      </c>
      <c r="W516" s="305" t="e">
        <f t="shared" si="437"/>
        <v>#N/A</v>
      </c>
      <c r="X516" s="304">
        <f t="shared" si="438"/>
        <v>0.61433339725239178</v>
      </c>
      <c r="Z516" s="304" t="str">
        <f t="shared" si="410"/>
        <v/>
      </c>
      <c r="AA516" s="305" t="e">
        <f t="shared" si="411"/>
        <v>#N/A</v>
      </c>
      <c r="AB516" s="304">
        <f t="shared" si="412"/>
        <v>1.0128966593951296</v>
      </c>
      <c r="AC516" s="304" t="str">
        <f t="shared" si="439"/>
        <v/>
      </c>
      <c r="AD516" s="306">
        <f t="shared" si="413"/>
        <v>0</v>
      </c>
      <c r="AE516" s="307">
        <f t="shared" si="440"/>
        <v>1.0128966593951296</v>
      </c>
      <c r="AF516" s="308" t="e">
        <f t="shared" si="449"/>
        <v>#N/A</v>
      </c>
      <c r="AG516" s="306">
        <f t="shared" si="441"/>
        <v>809.42483490239965</v>
      </c>
      <c r="AH516" s="306">
        <f t="shared" si="414"/>
        <v>0</v>
      </c>
      <c r="AI516" s="306">
        <f t="shared" si="442"/>
        <v>0</v>
      </c>
      <c r="AJ516" s="306">
        <f t="shared" si="443"/>
        <v>0</v>
      </c>
      <c r="AK516" s="306">
        <f t="shared" si="415"/>
        <v>0</v>
      </c>
      <c r="AL516" s="306">
        <f t="shared" si="444"/>
        <v>0</v>
      </c>
      <c r="AM516" s="306">
        <f t="shared" si="416"/>
        <v>0</v>
      </c>
      <c r="AN516" s="306"/>
      <c r="AO516" s="304" t="str">
        <f t="shared" si="417"/>
        <v/>
      </c>
      <c r="AP516" s="304" t="str">
        <f t="shared" si="445"/>
        <v/>
      </c>
      <c r="AQ516" s="305" t="e">
        <f t="shared" si="451"/>
        <v>#N/A</v>
      </c>
      <c r="AR516" s="304" t="str">
        <f t="shared" si="452"/>
        <v/>
      </c>
      <c r="AS516" s="306">
        <f t="shared" si="418"/>
        <v>0</v>
      </c>
      <c r="AT516" s="307" t="e">
        <f t="shared" si="453"/>
        <v>#N/A</v>
      </c>
      <c r="AU516" s="307" t="e">
        <f t="shared" si="454"/>
        <v>#N/A</v>
      </c>
      <c r="AV516" s="304">
        <f t="shared" si="400"/>
        <v>1.6487735550847691</v>
      </c>
      <c r="AW516" s="309">
        <f t="shared" si="419"/>
        <v>17.939199672314434</v>
      </c>
      <c r="AX516" s="306">
        <f>IF(ISERROR(Weather!M500),#N/A,Weather!M500)</f>
        <v>2.6</v>
      </c>
      <c r="AY516" s="310">
        <f t="shared" si="420"/>
        <v>8</v>
      </c>
      <c r="AZ516" s="309">
        <f t="shared" si="421"/>
        <v>0.61433339725239178</v>
      </c>
      <c r="BA516" s="309">
        <f t="shared" si="422"/>
        <v>382.03660129229644</v>
      </c>
      <c r="BB516" s="311">
        <f>Irrig!H518</f>
        <v>0</v>
      </c>
      <c r="BC516" s="310">
        <f t="shared" si="423"/>
        <v>0</v>
      </c>
      <c r="BD516" s="309">
        <f t="shared" si="424"/>
        <v>0</v>
      </c>
      <c r="BE516" s="309">
        <f t="shared" si="425"/>
        <v>0</v>
      </c>
      <c r="BF516" s="306">
        <f>DailyMet!H500</f>
        <v>19.100000000000001</v>
      </c>
      <c r="BG516" s="306">
        <f>DailyMet!I500</f>
        <v>12.9</v>
      </c>
      <c r="BH516" s="306">
        <f t="shared" si="426"/>
        <v>19.100000000000001</v>
      </c>
      <c r="BI516" s="306">
        <f t="shared" si="427"/>
        <v>12.9</v>
      </c>
      <c r="BJ516" s="306">
        <f t="shared" si="428"/>
        <v>6</v>
      </c>
      <c r="BK516" s="306">
        <f t="shared" si="399"/>
        <v>0</v>
      </c>
      <c r="BL516" s="304">
        <f t="shared" si="429"/>
        <v>0</v>
      </c>
      <c r="BM516" s="304">
        <f t="shared" si="430"/>
        <v>6</v>
      </c>
      <c r="BN516" s="304">
        <f t="shared" si="447"/>
        <v>6</v>
      </c>
      <c r="BO516" s="306">
        <f t="shared" si="448"/>
        <v>0</v>
      </c>
      <c r="BP516" s="306"/>
    </row>
    <row r="517" spans="1:68">
      <c r="A517" s="299">
        <f t="shared" si="401"/>
        <v>0</v>
      </c>
      <c r="B517" s="300">
        <f t="shared" si="402"/>
        <v>38482</v>
      </c>
      <c r="C517" s="301" t="e">
        <f t="shared" si="431"/>
        <v>#N/A</v>
      </c>
      <c r="D517" s="301" t="e">
        <f t="shared" si="403"/>
        <v>#N/A</v>
      </c>
      <c r="E517" s="299">
        <f t="shared" si="404"/>
        <v>496</v>
      </c>
      <c r="F517" s="396">
        <f>Weather!M501</f>
        <v>26</v>
      </c>
      <c r="G517" s="301">
        <f>IF(Weather!C501="","",Weather!C501)</f>
        <v>2.51860622291631</v>
      </c>
      <c r="H517" s="301">
        <f>IF(Weather!D501="","",Weather!D501)</f>
        <v>2.9498016282126498</v>
      </c>
      <c r="I517" s="502">
        <f>IF(Weather!E501="","",Weather!E501)</f>
        <v>2.9498016282126498</v>
      </c>
      <c r="J517" s="397">
        <f>IF(RnSplint!N180&lt;0,0,RnSplint!N180)</f>
        <v>12.141557955911159</v>
      </c>
      <c r="K517" s="302">
        <f t="shared" si="432"/>
        <v>0</v>
      </c>
      <c r="L517" s="303">
        <f t="shared" si="433"/>
        <v>38482</v>
      </c>
      <c r="M517" s="346" t="str">
        <f t="shared" si="450"/>
        <v/>
      </c>
      <c r="N517" s="304">
        <f t="shared" si="434"/>
        <v>0</v>
      </c>
      <c r="O517" s="304">
        <f t="shared" si="435"/>
        <v>0</v>
      </c>
      <c r="P517" s="304">
        <f t="shared" si="405"/>
        <v>0</v>
      </c>
      <c r="Q517" s="304">
        <f t="shared" si="406"/>
        <v>1.2</v>
      </c>
      <c r="R517" s="304">
        <f t="shared" si="407"/>
        <v>1.2</v>
      </c>
      <c r="S517" s="305" t="e">
        <f t="shared" si="436"/>
        <v>#N/A</v>
      </c>
      <c r="T517" s="304">
        <f t="shared" si="408"/>
        <v>0</v>
      </c>
      <c r="U517" s="304">
        <f t="shared" si="446"/>
        <v>0</v>
      </c>
      <c r="V517" s="305" t="e">
        <f t="shared" si="409"/>
        <v>#N/A</v>
      </c>
      <c r="W517" s="305" t="e">
        <f t="shared" si="437"/>
        <v>#N/A</v>
      </c>
      <c r="X517" s="304">
        <f t="shared" si="438"/>
        <v>1.2</v>
      </c>
      <c r="Z517" s="304" t="str">
        <f t="shared" si="410"/>
        <v/>
      </c>
      <c r="AA517" s="305" t="e">
        <f t="shared" si="411"/>
        <v>#N/A</v>
      </c>
      <c r="AB517" s="304">
        <f t="shared" si="412"/>
        <v>3.5397619538551797</v>
      </c>
      <c r="AC517" s="304" t="str">
        <f t="shared" si="439"/>
        <v/>
      </c>
      <c r="AD517" s="306">
        <f t="shared" si="413"/>
        <v>0</v>
      </c>
      <c r="AE517" s="307">
        <f t="shared" si="440"/>
        <v>3.5397619538551797</v>
      </c>
      <c r="AF517" s="308" t="e">
        <f t="shared" si="449"/>
        <v>#N/A</v>
      </c>
      <c r="AG517" s="306">
        <f t="shared" si="441"/>
        <v>812.37463653061229</v>
      </c>
      <c r="AH517" s="306">
        <f t="shared" si="414"/>
        <v>0</v>
      </c>
      <c r="AI517" s="306">
        <f t="shared" si="442"/>
        <v>0</v>
      </c>
      <c r="AJ517" s="306">
        <f t="shared" si="443"/>
        <v>0</v>
      </c>
      <c r="AK517" s="306">
        <f t="shared" si="415"/>
        <v>0</v>
      </c>
      <c r="AL517" s="306">
        <f t="shared" si="444"/>
        <v>0</v>
      </c>
      <c r="AM517" s="306">
        <f t="shared" si="416"/>
        <v>0</v>
      </c>
      <c r="AN517" s="306"/>
      <c r="AO517" s="304" t="str">
        <f t="shared" si="417"/>
        <v/>
      </c>
      <c r="AP517" s="304" t="str">
        <f t="shared" si="445"/>
        <v/>
      </c>
      <c r="AQ517" s="305" t="e">
        <f t="shared" si="451"/>
        <v>#N/A</v>
      </c>
      <c r="AR517" s="304" t="str">
        <f t="shared" si="452"/>
        <v/>
      </c>
      <c r="AS517" s="306">
        <f t="shared" si="418"/>
        <v>0</v>
      </c>
      <c r="AT517" s="307" t="e">
        <f t="shared" si="453"/>
        <v>#N/A</v>
      </c>
      <c r="AU517" s="307" t="e">
        <f t="shared" si="454"/>
        <v>#N/A</v>
      </c>
      <c r="AV517" s="304">
        <f t="shared" si="400"/>
        <v>2.9498016282126498</v>
      </c>
      <c r="AW517" s="309">
        <f t="shared" si="419"/>
        <v>2.9498016282126498</v>
      </c>
      <c r="AX517" s="306">
        <f>IF(ISERROR(Weather!M501),#N/A,Weather!M501)</f>
        <v>26</v>
      </c>
      <c r="AY517" s="310">
        <f t="shared" si="420"/>
        <v>1</v>
      </c>
      <c r="AZ517" s="309">
        <f t="shared" si="421"/>
        <v>1.2</v>
      </c>
      <c r="BA517" s="309">
        <f t="shared" si="422"/>
        <v>384.98640292050908</v>
      </c>
      <c r="BB517" s="311">
        <f>Irrig!H519</f>
        <v>0</v>
      </c>
      <c r="BC517" s="310">
        <f t="shared" si="423"/>
        <v>0</v>
      </c>
      <c r="BD517" s="309">
        <f t="shared" si="424"/>
        <v>0</v>
      </c>
      <c r="BE517" s="309">
        <f t="shared" si="425"/>
        <v>0</v>
      </c>
      <c r="BF517" s="306">
        <f>DailyMet!H501</f>
        <v>20.79</v>
      </c>
      <c r="BG517" s="306">
        <f>DailyMet!I501</f>
        <v>12.9</v>
      </c>
      <c r="BH517" s="306">
        <f t="shared" si="426"/>
        <v>20.79</v>
      </c>
      <c r="BI517" s="306">
        <f t="shared" si="427"/>
        <v>12.9</v>
      </c>
      <c r="BJ517" s="306">
        <f t="shared" si="428"/>
        <v>6.8449999999999989</v>
      </c>
      <c r="BK517" s="306">
        <f t="shared" si="399"/>
        <v>0</v>
      </c>
      <c r="BL517" s="304">
        <f t="shared" si="429"/>
        <v>0</v>
      </c>
      <c r="BM517" s="304">
        <f t="shared" si="430"/>
        <v>6.8449999999999989</v>
      </c>
      <c r="BN517" s="304">
        <f t="shared" si="447"/>
        <v>6.8449999999999989</v>
      </c>
      <c r="BO517" s="306">
        <f t="shared" si="448"/>
        <v>0</v>
      </c>
      <c r="BP517" s="306"/>
    </row>
    <row r="518" spans="1:68">
      <c r="A518" s="299">
        <f t="shared" si="401"/>
        <v>0</v>
      </c>
      <c r="B518" s="300">
        <f t="shared" si="402"/>
        <v>38483</v>
      </c>
      <c r="C518" s="301" t="e">
        <f t="shared" si="431"/>
        <v>#N/A</v>
      </c>
      <c r="D518" s="301" t="e">
        <f t="shared" si="403"/>
        <v>#N/A</v>
      </c>
      <c r="E518" s="299">
        <f t="shared" si="404"/>
        <v>497</v>
      </c>
      <c r="F518" s="396">
        <f>Weather!M502</f>
        <v>7.2</v>
      </c>
      <c r="G518" s="301">
        <f>IF(Weather!C502="","",Weather!C502)</f>
        <v>2.5769759382474735</v>
      </c>
      <c r="H518" s="301">
        <f>IF(Weather!D502="","",Weather!D502)</f>
        <v>3.8585248973018555</v>
      </c>
      <c r="I518" s="502">
        <f>IF(Weather!E502="","",Weather!E502)</f>
        <v>3.8585248973018555</v>
      </c>
      <c r="J518" s="397">
        <f>IF(RnSplint!N181&lt;0,0,RnSplint!N181)</f>
        <v>11.358627637429347</v>
      </c>
      <c r="K518" s="302">
        <f t="shared" si="432"/>
        <v>0</v>
      </c>
      <c r="L518" s="303">
        <f t="shared" si="433"/>
        <v>38483</v>
      </c>
      <c r="M518" s="346" t="str">
        <f t="shared" si="450"/>
        <v/>
      </c>
      <c r="N518" s="304">
        <f t="shared" si="434"/>
        <v>0</v>
      </c>
      <c r="O518" s="304">
        <f t="shared" si="435"/>
        <v>0</v>
      </c>
      <c r="P518" s="304">
        <f t="shared" si="405"/>
        <v>0</v>
      </c>
      <c r="Q518" s="304">
        <f t="shared" si="406"/>
        <v>1.0127859606601326</v>
      </c>
      <c r="R518" s="304">
        <f t="shared" si="407"/>
        <v>1.0127859606601326</v>
      </c>
      <c r="S518" s="305" t="e">
        <f t="shared" si="436"/>
        <v>#N/A</v>
      </c>
      <c r="T518" s="304">
        <f t="shared" si="408"/>
        <v>0</v>
      </c>
      <c r="U518" s="304">
        <f t="shared" si="446"/>
        <v>0</v>
      </c>
      <c r="V518" s="305" t="e">
        <f t="shared" si="409"/>
        <v>#N/A</v>
      </c>
      <c r="W518" s="305" t="e">
        <f t="shared" si="437"/>
        <v>#N/A</v>
      </c>
      <c r="X518" s="304">
        <f t="shared" si="438"/>
        <v>1.0127859606601326</v>
      </c>
      <c r="Z518" s="304" t="str">
        <f t="shared" si="410"/>
        <v/>
      </c>
      <c r="AA518" s="305" t="e">
        <f t="shared" si="411"/>
        <v>#N/A</v>
      </c>
      <c r="AB518" s="304">
        <f t="shared" si="412"/>
        <v>3.9078598448448991</v>
      </c>
      <c r="AC518" s="304" t="str">
        <f t="shared" si="439"/>
        <v/>
      </c>
      <c r="AD518" s="306">
        <f t="shared" si="413"/>
        <v>0</v>
      </c>
      <c r="AE518" s="307">
        <f t="shared" si="440"/>
        <v>3.9078598448448991</v>
      </c>
      <c r="AF518" s="308" t="e">
        <f t="shared" si="449"/>
        <v>#N/A</v>
      </c>
      <c r="AG518" s="306">
        <f t="shared" si="441"/>
        <v>816.23316142791418</v>
      </c>
      <c r="AH518" s="306">
        <f t="shared" si="414"/>
        <v>0</v>
      </c>
      <c r="AI518" s="306">
        <f t="shared" si="442"/>
        <v>0</v>
      </c>
      <c r="AJ518" s="306">
        <f t="shared" si="443"/>
        <v>0</v>
      </c>
      <c r="AK518" s="306">
        <f t="shared" si="415"/>
        <v>0</v>
      </c>
      <c r="AL518" s="306">
        <f t="shared" si="444"/>
        <v>0</v>
      </c>
      <c r="AM518" s="306">
        <f t="shared" si="416"/>
        <v>0</v>
      </c>
      <c r="AN518" s="306"/>
      <c r="AO518" s="304" t="str">
        <f t="shared" si="417"/>
        <v/>
      </c>
      <c r="AP518" s="304" t="str">
        <f t="shared" si="445"/>
        <v/>
      </c>
      <c r="AQ518" s="305" t="e">
        <f t="shared" si="451"/>
        <v>#N/A</v>
      </c>
      <c r="AR518" s="304" t="str">
        <f t="shared" si="452"/>
        <v/>
      </c>
      <c r="AS518" s="306">
        <f t="shared" si="418"/>
        <v>0</v>
      </c>
      <c r="AT518" s="307" t="e">
        <f t="shared" si="453"/>
        <v>#N/A</v>
      </c>
      <c r="AU518" s="307" t="e">
        <f t="shared" si="454"/>
        <v>#N/A</v>
      </c>
      <c r="AV518" s="304">
        <f t="shared" si="400"/>
        <v>3.8585248973018555</v>
      </c>
      <c r="AW518" s="309">
        <f t="shared" si="419"/>
        <v>6.8083265255145058</v>
      </c>
      <c r="AX518" s="306">
        <f>IF(ISERROR(Weather!M502),#N/A,Weather!M502)</f>
        <v>7.2</v>
      </c>
      <c r="AY518" s="310">
        <f t="shared" si="420"/>
        <v>2</v>
      </c>
      <c r="AZ518" s="309">
        <f t="shared" si="421"/>
        <v>1.0127859606601326</v>
      </c>
      <c r="BA518" s="309">
        <f t="shared" si="422"/>
        <v>388.84492781781091</v>
      </c>
      <c r="BB518" s="311">
        <f>Irrig!H520</f>
        <v>0</v>
      </c>
      <c r="BC518" s="310">
        <f t="shared" si="423"/>
        <v>0</v>
      </c>
      <c r="BD518" s="309">
        <f t="shared" si="424"/>
        <v>0</v>
      </c>
      <c r="BE518" s="309">
        <f t="shared" si="425"/>
        <v>0</v>
      </c>
      <c r="BF518" s="306">
        <f>DailyMet!H502</f>
        <v>23</v>
      </c>
      <c r="BG518" s="306">
        <f>DailyMet!I502</f>
        <v>14.7</v>
      </c>
      <c r="BH518" s="306">
        <f t="shared" si="426"/>
        <v>23</v>
      </c>
      <c r="BI518" s="306">
        <f t="shared" si="427"/>
        <v>14.7</v>
      </c>
      <c r="BJ518" s="306">
        <f t="shared" si="428"/>
        <v>8.8500000000000014</v>
      </c>
      <c r="BK518" s="306">
        <f t="shared" si="399"/>
        <v>0</v>
      </c>
      <c r="BL518" s="304">
        <f t="shared" si="429"/>
        <v>0</v>
      </c>
      <c r="BM518" s="304">
        <f t="shared" si="430"/>
        <v>8.8500000000000014</v>
      </c>
      <c r="BN518" s="304">
        <f t="shared" si="447"/>
        <v>8.8500000000000014</v>
      </c>
      <c r="BO518" s="306">
        <f t="shared" si="448"/>
        <v>0</v>
      </c>
      <c r="BP518" s="306"/>
    </row>
    <row r="519" spans="1:68">
      <c r="A519" s="299">
        <f t="shared" si="401"/>
        <v>0</v>
      </c>
      <c r="B519" s="300">
        <f t="shared" si="402"/>
        <v>38484</v>
      </c>
      <c r="C519" s="301" t="e">
        <f t="shared" si="431"/>
        <v>#N/A</v>
      </c>
      <c r="D519" s="301" t="e">
        <f t="shared" si="403"/>
        <v>#N/A</v>
      </c>
      <c r="E519" s="299">
        <f t="shared" si="404"/>
        <v>498</v>
      </c>
      <c r="F519" s="396">
        <f>Weather!M503</f>
        <v>0.2</v>
      </c>
      <c r="G519" s="301">
        <f>IF(Weather!C503="","",Weather!C503)</f>
        <v>2.6354173764727618</v>
      </c>
      <c r="H519" s="301">
        <f>IF(Weather!D503="","",Weather!D503)</f>
        <v>3.672381118675212</v>
      </c>
      <c r="I519" s="502">
        <f>IF(Weather!E503="","",Weather!E503)</f>
        <v>3.672381118675212</v>
      </c>
      <c r="J519" s="397">
        <f>IF(RnSplint!N182&lt;0,0,RnSplint!N182)</f>
        <v>10.592964531635483</v>
      </c>
      <c r="K519" s="302">
        <f t="shared" si="432"/>
        <v>0</v>
      </c>
      <c r="L519" s="303">
        <f t="shared" si="433"/>
        <v>38484</v>
      </c>
      <c r="M519" s="346" t="str">
        <f t="shared" si="450"/>
        <v/>
      </c>
      <c r="N519" s="304">
        <f t="shared" si="434"/>
        <v>0</v>
      </c>
      <c r="O519" s="304">
        <f t="shared" si="435"/>
        <v>0</v>
      </c>
      <c r="P519" s="304">
        <f t="shared" si="405"/>
        <v>0</v>
      </c>
      <c r="Q519" s="304">
        <f t="shared" si="406"/>
        <v>0.81067159028495461</v>
      </c>
      <c r="R519" s="304">
        <f t="shared" si="407"/>
        <v>0.81067159028495461</v>
      </c>
      <c r="S519" s="305" t="e">
        <f t="shared" si="436"/>
        <v>#N/A</v>
      </c>
      <c r="T519" s="304">
        <f t="shared" si="408"/>
        <v>0</v>
      </c>
      <c r="U519" s="304">
        <f t="shared" si="446"/>
        <v>0</v>
      </c>
      <c r="V519" s="305" t="e">
        <f t="shared" si="409"/>
        <v>#N/A</v>
      </c>
      <c r="W519" s="305" t="e">
        <f t="shared" si="437"/>
        <v>#N/A</v>
      </c>
      <c r="X519" s="304">
        <f t="shared" si="438"/>
        <v>0.81067159028495461</v>
      </c>
      <c r="Z519" s="304" t="str">
        <f t="shared" si="410"/>
        <v/>
      </c>
      <c r="AA519" s="305" t="e">
        <f t="shared" si="411"/>
        <v>#N/A</v>
      </c>
      <c r="AB519" s="304">
        <f t="shared" si="412"/>
        <v>2.9770950416088748</v>
      </c>
      <c r="AC519" s="304" t="str">
        <f t="shared" si="439"/>
        <v/>
      </c>
      <c r="AD519" s="306">
        <f t="shared" si="413"/>
        <v>0</v>
      </c>
      <c r="AE519" s="307">
        <f t="shared" si="440"/>
        <v>2.9770950416088748</v>
      </c>
      <c r="AF519" s="308" t="e">
        <f t="shared" si="449"/>
        <v>#N/A</v>
      </c>
      <c r="AG519" s="306">
        <f t="shared" si="441"/>
        <v>819.90554254658934</v>
      </c>
      <c r="AH519" s="306">
        <f t="shared" si="414"/>
        <v>0</v>
      </c>
      <c r="AI519" s="306">
        <f t="shared" si="442"/>
        <v>0</v>
      </c>
      <c r="AJ519" s="306">
        <f t="shared" si="443"/>
        <v>0</v>
      </c>
      <c r="AK519" s="306">
        <f t="shared" si="415"/>
        <v>0</v>
      </c>
      <c r="AL519" s="306">
        <f t="shared" si="444"/>
        <v>0</v>
      </c>
      <c r="AM519" s="306">
        <f t="shared" si="416"/>
        <v>0</v>
      </c>
      <c r="AN519" s="306"/>
      <c r="AO519" s="304" t="str">
        <f t="shared" si="417"/>
        <v/>
      </c>
      <c r="AP519" s="304" t="str">
        <f t="shared" si="445"/>
        <v/>
      </c>
      <c r="AQ519" s="305" t="e">
        <f t="shared" si="451"/>
        <v>#N/A</v>
      </c>
      <c r="AR519" s="304" t="str">
        <f t="shared" si="452"/>
        <v/>
      </c>
      <c r="AS519" s="306">
        <f t="shared" si="418"/>
        <v>0</v>
      </c>
      <c r="AT519" s="307" t="e">
        <f t="shared" si="453"/>
        <v>#N/A</v>
      </c>
      <c r="AU519" s="307" t="e">
        <f t="shared" si="454"/>
        <v>#N/A</v>
      </c>
      <c r="AV519" s="304">
        <f t="shared" si="400"/>
        <v>3.672381118675212</v>
      </c>
      <c r="AW519" s="309">
        <f t="shared" si="419"/>
        <v>10.480707644189717</v>
      </c>
      <c r="AX519" s="306">
        <f>IF(ISERROR(Weather!M503),#N/A,Weather!M503)</f>
        <v>0.2</v>
      </c>
      <c r="AY519" s="310">
        <f t="shared" si="420"/>
        <v>3</v>
      </c>
      <c r="AZ519" s="309">
        <f t="shared" si="421"/>
        <v>0.81067159028495461</v>
      </c>
      <c r="BA519" s="309">
        <f t="shared" si="422"/>
        <v>392.51730893648613</v>
      </c>
      <c r="BB519" s="311">
        <f>Irrig!H521</f>
        <v>0</v>
      </c>
      <c r="BC519" s="310">
        <f t="shared" si="423"/>
        <v>0</v>
      </c>
      <c r="BD519" s="309">
        <f t="shared" si="424"/>
        <v>0</v>
      </c>
      <c r="BE519" s="309">
        <f t="shared" si="425"/>
        <v>0</v>
      </c>
      <c r="BF519" s="306">
        <f>DailyMet!H503</f>
        <v>24.29</v>
      </c>
      <c r="BG519" s="306">
        <f>DailyMet!I503</f>
        <v>15.6</v>
      </c>
      <c r="BH519" s="306">
        <f t="shared" si="426"/>
        <v>24.29</v>
      </c>
      <c r="BI519" s="306">
        <f t="shared" si="427"/>
        <v>15.6</v>
      </c>
      <c r="BJ519" s="306">
        <f t="shared" si="428"/>
        <v>9.9450000000000003</v>
      </c>
      <c r="BK519" s="306">
        <f t="shared" si="399"/>
        <v>0</v>
      </c>
      <c r="BL519" s="304">
        <f t="shared" si="429"/>
        <v>0</v>
      </c>
      <c r="BM519" s="304">
        <f t="shared" si="430"/>
        <v>9.9450000000000003</v>
      </c>
      <c r="BN519" s="304">
        <f t="shared" si="447"/>
        <v>9.9450000000000003</v>
      </c>
      <c r="BO519" s="306">
        <f t="shared" si="448"/>
        <v>0</v>
      </c>
      <c r="BP519" s="306"/>
    </row>
    <row r="520" spans="1:68">
      <c r="A520" s="299">
        <f t="shared" si="401"/>
        <v>0</v>
      </c>
      <c r="B520" s="300">
        <f t="shared" si="402"/>
        <v>38485</v>
      </c>
      <c r="C520" s="301" t="e">
        <f t="shared" si="431"/>
        <v>#N/A</v>
      </c>
      <c r="D520" s="301" t="e">
        <f t="shared" si="403"/>
        <v>#N/A</v>
      </c>
      <c r="E520" s="299">
        <f t="shared" si="404"/>
        <v>499</v>
      </c>
      <c r="F520" s="396">
        <f>Weather!M504</f>
        <v>0</v>
      </c>
      <c r="G520" s="301">
        <f>IF(Weather!C504="","",Weather!C504)</f>
        <v>2.6938162794290963</v>
      </c>
      <c r="H520" s="301">
        <f>IF(Weather!D504="","",Weather!D504)</f>
        <v>3.9687784154374723</v>
      </c>
      <c r="I520" s="502">
        <f>IF(Weather!E504="","",Weather!E504)</f>
        <v>3.9687784154374723</v>
      </c>
      <c r="J520" s="397">
        <f>IF(RnSplint!N183&lt;0,0,RnSplint!N183)</f>
        <v>9.846919426762593</v>
      </c>
      <c r="K520" s="302">
        <f t="shared" si="432"/>
        <v>0</v>
      </c>
      <c r="L520" s="303">
        <f t="shared" si="433"/>
        <v>38485</v>
      </c>
      <c r="M520" s="346" t="str">
        <f t="shared" si="450"/>
        <v/>
      </c>
      <c r="N520" s="304">
        <f t="shared" si="434"/>
        <v>0</v>
      </c>
      <c r="O520" s="304">
        <f t="shared" si="435"/>
        <v>0</v>
      </c>
      <c r="P520" s="304">
        <f t="shared" si="405"/>
        <v>0</v>
      </c>
      <c r="Q520" s="304">
        <f t="shared" si="406"/>
        <v>0.68688284197747329</v>
      </c>
      <c r="R520" s="304">
        <f t="shared" si="407"/>
        <v>0.68688284197747329</v>
      </c>
      <c r="S520" s="305" t="e">
        <f t="shared" si="436"/>
        <v>#N/A</v>
      </c>
      <c r="T520" s="304">
        <f t="shared" si="408"/>
        <v>0</v>
      </c>
      <c r="U520" s="304">
        <f t="shared" si="446"/>
        <v>0</v>
      </c>
      <c r="V520" s="305" t="e">
        <f t="shared" si="409"/>
        <v>#N/A</v>
      </c>
      <c r="W520" s="305" t="e">
        <f t="shared" si="437"/>
        <v>#N/A</v>
      </c>
      <c r="X520" s="304">
        <f t="shared" si="438"/>
        <v>0.68688284197747329</v>
      </c>
      <c r="Z520" s="304" t="str">
        <f t="shared" si="410"/>
        <v/>
      </c>
      <c r="AA520" s="305" t="e">
        <f t="shared" si="411"/>
        <v>#N/A</v>
      </c>
      <c r="AB520" s="304">
        <f t="shared" si="412"/>
        <v>2.726085797174544</v>
      </c>
      <c r="AC520" s="304" t="str">
        <f t="shared" si="439"/>
        <v/>
      </c>
      <c r="AD520" s="306">
        <f t="shared" si="413"/>
        <v>0</v>
      </c>
      <c r="AE520" s="307">
        <f t="shared" si="440"/>
        <v>2.726085797174544</v>
      </c>
      <c r="AF520" s="308" t="e">
        <f t="shared" si="449"/>
        <v>#N/A</v>
      </c>
      <c r="AG520" s="306">
        <f t="shared" si="441"/>
        <v>823.87432096202679</v>
      </c>
      <c r="AH520" s="306">
        <f t="shared" si="414"/>
        <v>0</v>
      </c>
      <c r="AI520" s="306">
        <f t="shared" si="442"/>
        <v>0</v>
      </c>
      <c r="AJ520" s="306">
        <f t="shared" si="443"/>
        <v>0</v>
      </c>
      <c r="AK520" s="306">
        <f t="shared" si="415"/>
        <v>0</v>
      </c>
      <c r="AL520" s="306">
        <f t="shared" si="444"/>
        <v>0</v>
      </c>
      <c r="AM520" s="306">
        <f t="shared" si="416"/>
        <v>0</v>
      </c>
      <c r="AN520" s="306"/>
      <c r="AO520" s="304" t="str">
        <f t="shared" si="417"/>
        <v/>
      </c>
      <c r="AP520" s="304" t="str">
        <f t="shared" si="445"/>
        <v/>
      </c>
      <c r="AQ520" s="305" t="e">
        <f t="shared" si="451"/>
        <v>#N/A</v>
      </c>
      <c r="AR520" s="304" t="str">
        <f t="shared" si="452"/>
        <v/>
      </c>
      <c r="AS520" s="306">
        <f t="shared" si="418"/>
        <v>0</v>
      </c>
      <c r="AT520" s="307" t="e">
        <f t="shared" si="453"/>
        <v>#N/A</v>
      </c>
      <c r="AU520" s="307" t="e">
        <f t="shared" si="454"/>
        <v>#N/A</v>
      </c>
      <c r="AV520" s="304">
        <f t="shared" si="400"/>
        <v>3.9687784154374723</v>
      </c>
      <c r="AW520" s="309">
        <f t="shared" si="419"/>
        <v>14.449486059627191</v>
      </c>
      <c r="AX520" s="306">
        <f>IF(ISERROR(Weather!M504),#N/A,Weather!M504)</f>
        <v>0</v>
      </c>
      <c r="AY520" s="310">
        <f t="shared" si="420"/>
        <v>4</v>
      </c>
      <c r="AZ520" s="309">
        <f t="shared" si="421"/>
        <v>0.68688284197747329</v>
      </c>
      <c r="BA520" s="309">
        <f t="shared" si="422"/>
        <v>396.48608735192363</v>
      </c>
      <c r="BB520" s="311">
        <f>Irrig!H522</f>
        <v>0</v>
      </c>
      <c r="BC520" s="310">
        <f t="shared" si="423"/>
        <v>0</v>
      </c>
      <c r="BD520" s="309">
        <f t="shared" si="424"/>
        <v>0</v>
      </c>
      <c r="BE520" s="309">
        <f t="shared" si="425"/>
        <v>0</v>
      </c>
      <c r="BF520" s="306">
        <f>DailyMet!H504</f>
        <v>13.66</v>
      </c>
      <c r="BG520" s="306">
        <f>DailyMet!I504</f>
        <v>10.3</v>
      </c>
      <c r="BH520" s="306">
        <f t="shared" si="426"/>
        <v>13.66</v>
      </c>
      <c r="BI520" s="306">
        <f t="shared" si="427"/>
        <v>10.3</v>
      </c>
      <c r="BJ520" s="306">
        <f t="shared" si="428"/>
        <v>1.9800000000000004</v>
      </c>
      <c r="BK520" s="306">
        <f t="shared" ref="BK520:BK583" si="455">IF(AP520="",0,BK519+BJ520)</f>
        <v>0</v>
      </c>
      <c r="BL520" s="304">
        <f t="shared" si="429"/>
        <v>0</v>
      </c>
      <c r="BM520" s="304">
        <f t="shared" si="430"/>
        <v>1.9800000000000004</v>
      </c>
      <c r="BN520" s="304">
        <f t="shared" si="447"/>
        <v>1.9800000000000004</v>
      </c>
      <c r="BO520" s="306">
        <f t="shared" si="448"/>
        <v>0</v>
      </c>
      <c r="BP520" s="306"/>
    </row>
    <row r="521" spans="1:68">
      <c r="A521" s="299">
        <f t="shared" si="401"/>
        <v>0</v>
      </c>
      <c r="B521" s="300">
        <f t="shared" si="402"/>
        <v>38486</v>
      </c>
      <c r="C521" s="301" t="e">
        <f t="shared" si="431"/>
        <v>#N/A</v>
      </c>
      <c r="D521" s="301" t="e">
        <f t="shared" si="403"/>
        <v>#N/A</v>
      </c>
      <c r="E521" s="299">
        <f t="shared" si="404"/>
        <v>500</v>
      </c>
      <c r="F521" s="396">
        <f>Weather!M505</f>
        <v>8.4</v>
      </c>
      <c r="G521" s="301">
        <f>IF(Weather!C505="","",Weather!C505)</f>
        <v>2.7520583889534009</v>
      </c>
      <c r="H521" s="301">
        <f>IF(Weather!D505="","",Weather!D505)</f>
        <v>2.7737374970843311</v>
      </c>
      <c r="I521" s="502">
        <f>IF(Weather!E505="","",Weather!E505)</f>
        <v>2.7737374970843311</v>
      </c>
      <c r="J521" s="397">
        <f>IF(RnSplint!N184&lt;0,0,RnSplint!N184)</f>
        <v>9.1228431110437018</v>
      </c>
      <c r="K521" s="302">
        <f t="shared" si="432"/>
        <v>0</v>
      </c>
      <c r="L521" s="303">
        <f t="shared" si="433"/>
        <v>38486</v>
      </c>
      <c r="M521" s="346" t="str">
        <f t="shared" si="450"/>
        <v/>
      </c>
      <c r="N521" s="304">
        <f t="shared" si="434"/>
        <v>0</v>
      </c>
      <c r="O521" s="304">
        <f t="shared" si="435"/>
        <v>0</v>
      </c>
      <c r="P521" s="304">
        <f t="shared" si="405"/>
        <v>0</v>
      </c>
      <c r="Q521" s="304">
        <f t="shared" si="406"/>
        <v>1.2</v>
      </c>
      <c r="R521" s="304">
        <f t="shared" si="407"/>
        <v>1.2</v>
      </c>
      <c r="S521" s="305" t="e">
        <f t="shared" si="436"/>
        <v>#N/A</v>
      </c>
      <c r="T521" s="304">
        <f t="shared" si="408"/>
        <v>0</v>
      </c>
      <c r="U521" s="304">
        <f t="shared" si="446"/>
        <v>0</v>
      </c>
      <c r="V521" s="305" t="e">
        <f t="shared" si="409"/>
        <v>#N/A</v>
      </c>
      <c r="W521" s="305" t="e">
        <f t="shared" si="437"/>
        <v>#N/A</v>
      </c>
      <c r="X521" s="304">
        <f t="shared" si="438"/>
        <v>1.2</v>
      </c>
      <c r="Z521" s="304" t="str">
        <f t="shared" si="410"/>
        <v/>
      </c>
      <c r="AA521" s="305" t="e">
        <f t="shared" si="411"/>
        <v>#N/A</v>
      </c>
      <c r="AB521" s="304">
        <f t="shared" si="412"/>
        <v>3.3284849965011971</v>
      </c>
      <c r="AC521" s="304" t="str">
        <f t="shared" si="439"/>
        <v/>
      </c>
      <c r="AD521" s="306">
        <f t="shared" si="413"/>
        <v>0</v>
      </c>
      <c r="AE521" s="307">
        <f t="shared" si="440"/>
        <v>3.3284849965011971</v>
      </c>
      <c r="AF521" s="308" t="e">
        <f t="shared" si="449"/>
        <v>#N/A</v>
      </c>
      <c r="AG521" s="306">
        <f t="shared" si="441"/>
        <v>826.6480584591111</v>
      </c>
      <c r="AH521" s="306">
        <f t="shared" si="414"/>
        <v>0</v>
      </c>
      <c r="AI521" s="306">
        <f t="shared" si="442"/>
        <v>0</v>
      </c>
      <c r="AJ521" s="306">
        <f t="shared" si="443"/>
        <v>0</v>
      </c>
      <c r="AK521" s="306">
        <f t="shared" si="415"/>
        <v>0</v>
      </c>
      <c r="AL521" s="306">
        <f t="shared" si="444"/>
        <v>0</v>
      </c>
      <c r="AM521" s="306">
        <f t="shared" si="416"/>
        <v>0</v>
      </c>
      <c r="AN521" s="306"/>
      <c r="AO521" s="304" t="str">
        <f t="shared" si="417"/>
        <v/>
      </c>
      <c r="AP521" s="304" t="str">
        <f t="shared" si="445"/>
        <v/>
      </c>
      <c r="AQ521" s="305" t="e">
        <f t="shared" si="451"/>
        <v>#N/A</v>
      </c>
      <c r="AR521" s="304" t="str">
        <f t="shared" si="452"/>
        <v/>
      </c>
      <c r="AS521" s="306">
        <f t="shared" si="418"/>
        <v>0</v>
      </c>
      <c r="AT521" s="307" t="e">
        <f t="shared" si="453"/>
        <v>#N/A</v>
      </c>
      <c r="AU521" s="307" t="e">
        <f t="shared" si="454"/>
        <v>#N/A</v>
      </c>
      <c r="AV521" s="304">
        <f t="shared" si="400"/>
        <v>2.7737374970843311</v>
      </c>
      <c r="AW521" s="309">
        <f t="shared" si="419"/>
        <v>2.7737374970843311</v>
      </c>
      <c r="AX521" s="306">
        <f>IF(ISERROR(Weather!M505),#N/A,Weather!M505)</f>
        <v>8.4</v>
      </c>
      <c r="AY521" s="310">
        <f t="shared" si="420"/>
        <v>1</v>
      </c>
      <c r="AZ521" s="309">
        <f t="shared" si="421"/>
        <v>1.2</v>
      </c>
      <c r="BA521" s="309">
        <f t="shared" si="422"/>
        <v>399.25982484900794</v>
      </c>
      <c r="BB521" s="311">
        <f>Irrig!H523</f>
        <v>0</v>
      </c>
      <c r="BC521" s="310">
        <f t="shared" si="423"/>
        <v>0</v>
      </c>
      <c r="BD521" s="309">
        <f t="shared" si="424"/>
        <v>0</v>
      </c>
      <c r="BE521" s="309">
        <f t="shared" si="425"/>
        <v>0</v>
      </c>
      <c r="BF521" s="306">
        <f>DailyMet!H505</f>
        <v>13.97</v>
      </c>
      <c r="BG521" s="306">
        <f>DailyMet!I505</f>
        <v>7.5</v>
      </c>
      <c r="BH521" s="306">
        <f t="shared" si="426"/>
        <v>13.97</v>
      </c>
      <c r="BI521" s="306">
        <f t="shared" si="427"/>
        <v>10</v>
      </c>
      <c r="BJ521" s="306">
        <f t="shared" si="428"/>
        <v>1.9849999999999994</v>
      </c>
      <c r="BK521" s="306">
        <f t="shared" si="455"/>
        <v>0</v>
      </c>
      <c r="BL521" s="304">
        <f t="shared" si="429"/>
        <v>0</v>
      </c>
      <c r="BM521" s="304">
        <f t="shared" si="430"/>
        <v>1.2179984544049463</v>
      </c>
      <c r="BN521" s="304">
        <f t="shared" si="447"/>
        <v>1.2179984544049463</v>
      </c>
      <c r="BO521" s="306">
        <f t="shared" si="448"/>
        <v>0</v>
      </c>
      <c r="BP521" s="306"/>
    </row>
    <row r="522" spans="1:68">
      <c r="A522" s="299">
        <f t="shared" si="401"/>
        <v>0</v>
      </c>
      <c r="B522" s="300">
        <f t="shared" si="402"/>
        <v>38487</v>
      </c>
      <c r="C522" s="301" t="e">
        <f t="shared" si="431"/>
        <v>#N/A</v>
      </c>
      <c r="D522" s="301" t="e">
        <f t="shared" si="403"/>
        <v>#N/A</v>
      </c>
      <c r="E522" s="299">
        <f t="shared" si="404"/>
        <v>501</v>
      </c>
      <c r="F522" s="396">
        <f>Weather!M506</f>
        <v>0.8</v>
      </c>
      <c r="G522" s="301">
        <f>IF(Weather!C506="","",Weather!C506)</f>
        <v>2.8100294468825973</v>
      </c>
      <c r="H522" s="301">
        <f>IF(Weather!D506="","",Weather!D506)</f>
        <v>2.5122717623350574</v>
      </c>
      <c r="I522" s="502">
        <f>IF(Weather!E506="","",Weather!E506)</f>
        <v>2.5122717623350574</v>
      </c>
      <c r="J522" s="397">
        <f>IF(RnSplint!N185&lt;0,0,RnSplint!N185)</f>
        <v>8.423086372711829</v>
      </c>
      <c r="K522" s="302">
        <f t="shared" si="432"/>
        <v>0</v>
      </c>
      <c r="L522" s="303">
        <f t="shared" si="433"/>
        <v>38487</v>
      </c>
      <c r="M522" s="346" t="str">
        <f t="shared" si="450"/>
        <v/>
      </c>
      <c r="N522" s="304">
        <f t="shared" si="434"/>
        <v>0</v>
      </c>
      <c r="O522" s="304">
        <f t="shared" si="435"/>
        <v>0</v>
      </c>
      <c r="P522" s="304">
        <f t="shared" si="405"/>
        <v>0</v>
      </c>
      <c r="Q522" s="304">
        <f t="shared" si="406"/>
        <v>1.154070925876401</v>
      </c>
      <c r="R522" s="304">
        <f t="shared" si="407"/>
        <v>1.154070925876401</v>
      </c>
      <c r="S522" s="305" t="e">
        <f t="shared" si="436"/>
        <v>#N/A</v>
      </c>
      <c r="T522" s="304">
        <f t="shared" si="408"/>
        <v>0</v>
      </c>
      <c r="U522" s="304">
        <f t="shared" si="446"/>
        <v>0</v>
      </c>
      <c r="V522" s="305" t="e">
        <f t="shared" si="409"/>
        <v>#N/A</v>
      </c>
      <c r="W522" s="305" t="e">
        <f t="shared" si="437"/>
        <v>#N/A</v>
      </c>
      <c r="X522" s="304">
        <f t="shared" si="438"/>
        <v>1.154070925876401</v>
      </c>
      <c r="Z522" s="304" t="str">
        <f t="shared" si="410"/>
        <v/>
      </c>
      <c r="AA522" s="305" t="e">
        <f t="shared" si="411"/>
        <v>#N/A</v>
      </c>
      <c r="AB522" s="304">
        <f t="shared" si="412"/>
        <v>2.8993397988111576</v>
      </c>
      <c r="AC522" s="304" t="str">
        <f t="shared" si="439"/>
        <v/>
      </c>
      <c r="AD522" s="306">
        <f t="shared" si="413"/>
        <v>0</v>
      </c>
      <c r="AE522" s="307">
        <f t="shared" si="440"/>
        <v>2.8993397988111576</v>
      </c>
      <c r="AF522" s="308" t="e">
        <f t="shared" si="449"/>
        <v>#N/A</v>
      </c>
      <c r="AG522" s="306">
        <f t="shared" si="441"/>
        <v>829.1603302214462</v>
      </c>
      <c r="AH522" s="306">
        <f t="shared" si="414"/>
        <v>0</v>
      </c>
      <c r="AI522" s="306">
        <f t="shared" si="442"/>
        <v>0</v>
      </c>
      <c r="AJ522" s="306">
        <f t="shared" si="443"/>
        <v>0</v>
      </c>
      <c r="AK522" s="306">
        <f t="shared" si="415"/>
        <v>0</v>
      </c>
      <c r="AL522" s="306">
        <f t="shared" si="444"/>
        <v>0</v>
      </c>
      <c r="AM522" s="306">
        <f t="shared" si="416"/>
        <v>0</v>
      </c>
      <c r="AN522" s="306"/>
      <c r="AO522" s="304" t="str">
        <f t="shared" si="417"/>
        <v/>
      </c>
      <c r="AP522" s="304" t="str">
        <f t="shared" si="445"/>
        <v/>
      </c>
      <c r="AQ522" s="305" t="e">
        <f t="shared" si="451"/>
        <v>#N/A</v>
      </c>
      <c r="AR522" s="304" t="str">
        <f t="shared" si="452"/>
        <v/>
      </c>
      <c r="AS522" s="306">
        <f t="shared" si="418"/>
        <v>0</v>
      </c>
      <c r="AT522" s="307" t="e">
        <f t="shared" si="453"/>
        <v>#N/A</v>
      </c>
      <c r="AU522" s="307" t="e">
        <f t="shared" si="454"/>
        <v>#N/A</v>
      </c>
      <c r="AV522" s="304">
        <f t="shared" si="400"/>
        <v>2.5122717623350574</v>
      </c>
      <c r="AW522" s="309">
        <f t="shared" si="419"/>
        <v>5.286009259419389</v>
      </c>
      <c r="AX522" s="306">
        <f>IF(ISERROR(Weather!M506),#N/A,Weather!M506)</f>
        <v>0.8</v>
      </c>
      <c r="AY522" s="310">
        <f t="shared" si="420"/>
        <v>2</v>
      </c>
      <c r="AZ522" s="309">
        <f t="shared" si="421"/>
        <v>1.154070925876401</v>
      </c>
      <c r="BA522" s="309">
        <f t="shared" si="422"/>
        <v>401.77209661134299</v>
      </c>
      <c r="BB522" s="311">
        <f>Irrig!H524</f>
        <v>0</v>
      </c>
      <c r="BC522" s="310">
        <f t="shared" si="423"/>
        <v>0</v>
      </c>
      <c r="BD522" s="309">
        <f t="shared" si="424"/>
        <v>0</v>
      </c>
      <c r="BE522" s="309">
        <f t="shared" si="425"/>
        <v>0</v>
      </c>
      <c r="BF522" s="306">
        <f>DailyMet!H506</f>
        <v>15.43</v>
      </c>
      <c r="BG522" s="306">
        <f>DailyMet!I506</f>
        <v>6.7</v>
      </c>
      <c r="BH522" s="306">
        <f t="shared" si="426"/>
        <v>15.43</v>
      </c>
      <c r="BI522" s="306">
        <f t="shared" si="427"/>
        <v>10</v>
      </c>
      <c r="BJ522" s="306">
        <f t="shared" si="428"/>
        <v>2.7149999999999999</v>
      </c>
      <c r="BK522" s="306">
        <f t="shared" si="455"/>
        <v>0</v>
      </c>
      <c r="BL522" s="304">
        <f t="shared" si="429"/>
        <v>0</v>
      </c>
      <c r="BM522" s="304">
        <f t="shared" si="430"/>
        <v>1.6887113402061853</v>
      </c>
      <c r="BN522" s="304">
        <f t="shared" si="447"/>
        <v>1.6887113402061853</v>
      </c>
      <c r="BO522" s="306">
        <f t="shared" si="448"/>
        <v>0</v>
      </c>
      <c r="BP522" s="306"/>
    </row>
    <row r="523" spans="1:68">
      <c r="A523" s="299">
        <f t="shared" si="401"/>
        <v>0</v>
      </c>
      <c r="B523" s="300">
        <f t="shared" si="402"/>
        <v>38488</v>
      </c>
      <c r="C523" s="301" t="e">
        <f t="shared" si="431"/>
        <v>#N/A</v>
      </c>
      <c r="D523" s="301" t="e">
        <f t="shared" si="403"/>
        <v>#N/A</v>
      </c>
      <c r="E523" s="299">
        <f t="shared" si="404"/>
        <v>502</v>
      </c>
      <c r="F523" s="396">
        <f>Weather!M507</f>
        <v>0</v>
      </c>
      <c r="G523" s="301">
        <f>IF(Weather!C507="","",Weather!C507)</f>
        <v>2.8676151950536086</v>
      </c>
      <c r="H523" s="301">
        <f>IF(Weather!D507="","",Weather!D507)</f>
        <v>2.6871893259664557</v>
      </c>
      <c r="I523" s="502">
        <f>IF(Weather!E507="","",Weather!E507)</f>
        <v>2.6871893259664557</v>
      </c>
      <c r="J523" s="397">
        <f>IF(RnSplint!N186&lt;0,0,RnSplint!N186)</f>
        <v>7.75</v>
      </c>
      <c r="K523" s="302">
        <f t="shared" si="432"/>
        <v>0</v>
      </c>
      <c r="L523" s="303">
        <f t="shared" si="433"/>
        <v>38488</v>
      </c>
      <c r="M523" s="346" t="str">
        <f t="shared" si="450"/>
        <v/>
      </c>
      <c r="N523" s="304">
        <f t="shared" si="434"/>
        <v>0</v>
      </c>
      <c r="O523" s="304">
        <f t="shared" si="435"/>
        <v>0</v>
      </c>
      <c r="P523" s="304">
        <f t="shared" si="405"/>
        <v>0</v>
      </c>
      <c r="Q523" s="304">
        <f t="shared" si="406"/>
        <v>0.93352100589607068</v>
      </c>
      <c r="R523" s="304">
        <f t="shared" si="407"/>
        <v>0.93352100589607068</v>
      </c>
      <c r="S523" s="305" t="e">
        <f t="shared" si="436"/>
        <v>#N/A</v>
      </c>
      <c r="T523" s="304">
        <f t="shared" si="408"/>
        <v>0</v>
      </c>
      <c r="U523" s="304">
        <f t="shared" si="446"/>
        <v>0</v>
      </c>
      <c r="V523" s="305" t="e">
        <f t="shared" si="409"/>
        <v>#N/A</v>
      </c>
      <c r="W523" s="305" t="e">
        <f t="shared" si="437"/>
        <v>#N/A</v>
      </c>
      <c r="X523" s="304">
        <f t="shared" si="438"/>
        <v>0.93352100589607068</v>
      </c>
      <c r="Z523" s="304" t="str">
        <f t="shared" si="410"/>
        <v/>
      </c>
      <c r="AA523" s="305" t="e">
        <f t="shared" si="411"/>
        <v>#N/A</v>
      </c>
      <c r="AB523" s="304">
        <f t="shared" si="412"/>
        <v>2.50854768260939</v>
      </c>
      <c r="AC523" s="304" t="str">
        <f t="shared" si="439"/>
        <v/>
      </c>
      <c r="AD523" s="306">
        <f t="shared" si="413"/>
        <v>0</v>
      </c>
      <c r="AE523" s="307">
        <f t="shared" si="440"/>
        <v>2.50854768260939</v>
      </c>
      <c r="AF523" s="308" t="e">
        <f t="shared" si="449"/>
        <v>#N/A</v>
      </c>
      <c r="AG523" s="306">
        <f t="shared" si="441"/>
        <v>831.84751954741262</v>
      </c>
      <c r="AH523" s="306">
        <f t="shared" si="414"/>
        <v>0</v>
      </c>
      <c r="AI523" s="306">
        <f t="shared" si="442"/>
        <v>0</v>
      </c>
      <c r="AJ523" s="306">
        <f t="shared" si="443"/>
        <v>0</v>
      </c>
      <c r="AK523" s="306">
        <f t="shared" si="415"/>
        <v>0</v>
      </c>
      <c r="AL523" s="306">
        <f t="shared" si="444"/>
        <v>0</v>
      </c>
      <c r="AM523" s="306">
        <f t="shared" si="416"/>
        <v>0</v>
      </c>
      <c r="AN523" s="306"/>
      <c r="AO523" s="304" t="str">
        <f t="shared" si="417"/>
        <v/>
      </c>
      <c r="AP523" s="304" t="str">
        <f t="shared" si="445"/>
        <v/>
      </c>
      <c r="AQ523" s="305" t="e">
        <f t="shared" si="451"/>
        <v>#N/A</v>
      </c>
      <c r="AR523" s="304" t="str">
        <f t="shared" si="452"/>
        <v/>
      </c>
      <c r="AS523" s="306">
        <f t="shared" si="418"/>
        <v>0</v>
      </c>
      <c r="AT523" s="307" t="e">
        <f t="shared" si="453"/>
        <v>#N/A</v>
      </c>
      <c r="AU523" s="307" t="e">
        <f t="shared" si="454"/>
        <v>#N/A</v>
      </c>
      <c r="AV523" s="304">
        <f t="shared" si="400"/>
        <v>2.6871893259664557</v>
      </c>
      <c r="AW523" s="309">
        <f t="shared" si="419"/>
        <v>7.9731985853858447</v>
      </c>
      <c r="AX523" s="306">
        <f>IF(ISERROR(Weather!M507),#N/A,Weather!M507)</f>
        <v>0</v>
      </c>
      <c r="AY523" s="310">
        <f t="shared" si="420"/>
        <v>3</v>
      </c>
      <c r="AZ523" s="309">
        <f t="shared" si="421"/>
        <v>0.93352100589607068</v>
      </c>
      <c r="BA523" s="309">
        <f t="shared" si="422"/>
        <v>404.45928593730946</v>
      </c>
      <c r="BB523" s="311">
        <f>Irrig!H525</f>
        <v>0</v>
      </c>
      <c r="BC523" s="310">
        <f t="shared" si="423"/>
        <v>0</v>
      </c>
      <c r="BD523" s="309">
        <f t="shared" si="424"/>
        <v>0</v>
      </c>
      <c r="BE523" s="309">
        <f t="shared" si="425"/>
        <v>0</v>
      </c>
      <c r="BF523" s="306">
        <f>DailyMet!H507</f>
        <v>12.09</v>
      </c>
      <c r="BG523" s="306">
        <f>DailyMet!I507</f>
        <v>6</v>
      </c>
      <c r="BH523" s="306">
        <f t="shared" si="426"/>
        <v>12.09</v>
      </c>
      <c r="BI523" s="306">
        <f t="shared" si="427"/>
        <v>10</v>
      </c>
      <c r="BJ523" s="306">
        <f t="shared" si="428"/>
        <v>1.0449999999999999</v>
      </c>
      <c r="BK523" s="306">
        <f t="shared" si="455"/>
        <v>0</v>
      </c>
      <c r="BL523" s="304">
        <f t="shared" si="429"/>
        <v>0</v>
      </c>
      <c r="BM523" s="304">
        <f t="shared" si="430"/>
        <v>0.35862889983579632</v>
      </c>
      <c r="BN523" s="304">
        <f t="shared" si="447"/>
        <v>0.35862889983579632</v>
      </c>
      <c r="BO523" s="306">
        <f t="shared" si="448"/>
        <v>0</v>
      </c>
      <c r="BP523" s="306"/>
    </row>
    <row r="524" spans="1:68">
      <c r="A524" s="299">
        <f t="shared" si="401"/>
        <v>0</v>
      </c>
      <c r="B524" s="300">
        <f t="shared" si="402"/>
        <v>38489</v>
      </c>
      <c r="C524" s="301" t="e">
        <f t="shared" si="431"/>
        <v>#N/A</v>
      </c>
      <c r="D524" s="301" t="e">
        <f t="shared" si="403"/>
        <v>#N/A</v>
      </c>
      <c r="E524" s="299">
        <f t="shared" si="404"/>
        <v>503</v>
      </c>
      <c r="F524" s="396">
        <f>Weather!M508</f>
        <v>0</v>
      </c>
      <c r="G524" s="301">
        <f>IF(Weather!C508="","",Weather!C508)</f>
        <v>2.9247146403846855</v>
      </c>
      <c r="H524" s="301">
        <f>IF(Weather!D508="","",Weather!D508)</f>
        <v>2.6582090288371689</v>
      </c>
      <c r="I524" s="502">
        <f>IF(Weather!E508="","",Weather!E508)</f>
        <v>2.6582090288371689</v>
      </c>
      <c r="J524" s="397">
        <f>IF(RnSplint!N187&lt;0,0,RnSplint!N187)</f>
        <v>7.1056683005131003</v>
      </c>
      <c r="K524" s="302">
        <f t="shared" si="432"/>
        <v>0</v>
      </c>
      <c r="L524" s="303">
        <f t="shared" si="433"/>
        <v>38489</v>
      </c>
      <c r="M524" s="346" t="str">
        <f t="shared" si="450"/>
        <v/>
      </c>
      <c r="N524" s="304">
        <f t="shared" si="434"/>
        <v>0</v>
      </c>
      <c r="O524" s="304">
        <f t="shared" si="435"/>
        <v>0</v>
      </c>
      <c r="P524" s="304">
        <f t="shared" si="405"/>
        <v>0</v>
      </c>
      <c r="Q524" s="304">
        <f t="shared" si="406"/>
        <v>0.80472162016369475</v>
      </c>
      <c r="R524" s="304">
        <f t="shared" si="407"/>
        <v>0.80472162016369475</v>
      </c>
      <c r="S524" s="305" t="e">
        <f t="shared" si="436"/>
        <v>#N/A</v>
      </c>
      <c r="T524" s="304">
        <f t="shared" si="408"/>
        <v>0</v>
      </c>
      <c r="U524" s="304">
        <f t="shared" si="446"/>
        <v>0</v>
      </c>
      <c r="V524" s="305" t="e">
        <f t="shared" si="409"/>
        <v>#N/A</v>
      </c>
      <c r="W524" s="305" t="e">
        <f t="shared" si="437"/>
        <v>#N/A</v>
      </c>
      <c r="X524" s="304">
        <f t="shared" si="438"/>
        <v>0.80472162016369475</v>
      </c>
      <c r="Z524" s="304" t="str">
        <f t="shared" si="410"/>
        <v/>
      </c>
      <c r="AA524" s="305" t="e">
        <f t="shared" si="411"/>
        <v>#N/A</v>
      </c>
      <c r="AB524" s="304">
        <f t="shared" si="412"/>
        <v>2.1391182764196079</v>
      </c>
      <c r="AC524" s="304" t="str">
        <f t="shared" si="439"/>
        <v/>
      </c>
      <c r="AD524" s="306">
        <f t="shared" si="413"/>
        <v>0</v>
      </c>
      <c r="AE524" s="307">
        <f t="shared" si="440"/>
        <v>2.1391182764196079</v>
      </c>
      <c r="AF524" s="308" t="e">
        <f t="shared" si="449"/>
        <v>#N/A</v>
      </c>
      <c r="AG524" s="306">
        <f t="shared" si="441"/>
        <v>834.50572857624979</v>
      </c>
      <c r="AH524" s="306">
        <f t="shared" si="414"/>
        <v>0</v>
      </c>
      <c r="AI524" s="306">
        <f t="shared" si="442"/>
        <v>0</v>
      </c>
      <c r="AJ524" s="306">
        <f t="shared" si="443"/>
        <v>0</v>
      </c>
      <c r="AK524" s="306">
        <f t="shared" si="415"/>
        <v>0</v>
      </c>
      <c r="AL524" s="306">
        <f t="shared" si="444"/>
        <v>0</v>
      </c>
      <c r="AM524" s="306">
        <f t="shared" si="416"/>
        <v>0</v>
      </c>
      <c r="AN524" s="306"/>
      <c r="AO524" s="304" t="str">
        <f t="shared" si="417"/>
        <v/>
      </c>
      <c r="AP524" s="304" t="str">
        <f t="shared" si="445"/>
        <v/>
      </c>
      <c r="AQ524" s="305" t="e">
        <f t="shared" si="451"/>
        <v>#N/A</v>
      </c>
      <c r="AR524" s="304" t="str">
        <f t="shared" si="452"/>
        <v/>
      </c>
      <c r="AS524" s="306">
        <f t="shared" si="418"/>
        <v>0</v>
      </c>
      <c r="AT524" s="307" t="e">
        <f t="shared" si="453"/>
        <v>#N/A</v>
      </c>
      <c r="AU524" s="307" t="e">
        <f t="shared" si="454"/>
        <v>#N/A</v>
      </c>
      <c r="AV524" s="304">
        <f t="shared" si="400"/>
        <v>2.6582090288371689</v>
      </c>
      <c r="AW524" s="309">
        <f t="shared" si="419"/>
        <v>10.631407614223013</v>
      </c>
      <c r="AX524" s="306">
        <f>IF(ISERROR(Weather!M508),#N/A,Weather!M508)</f>
        <v>0</v>
      </c>
      <c r="AY524" s="310">
        <f t="shared" si="420"/>
        <v>4</v>
      </c>
      <c r="AZ524" s="309">
        <f t="shared" si="421"/>
        <v>0.80472162016369475</v>
      </c>
      <c r="BA524" s="309">
        <f t="shared" si="422"/>
        <v>407.11749496614664</v>
      </c>
      <c r="BB524" s="311">
        <f>Irrig!H526</f>
        <v>0</v>
      </c>
      <c r="BC524" s="310">
        <f t="shared" si="423"/>
        <v>0</v>
      </c>
      <c r="BD524" s="309">
        <f t="shared" si="424"/>
        <v>0</v>
      </c>
      <c r="BE524" s="309">
        <f t="shared" si="425"/>
        <v>0</v>
      </c>
      <c r="BF524" s="306">
        <f>DailyMet!H508</f>
        <v>14.77</v>
      </c>
      <c r="BG524" s="306">
        <f>DailyMet!I508</f>
        <v>6.2</v>
      </c>
      <c r="BH524" s="306">
        <f t="shared" si="426"/>
        <v>14.77</v>
      </c>
      <c r="BI524" s="306">
        <f t="shared" si="427"/>
        <v>10</v>
      </c>
      <c r="BJ524" s="306">
        <f t="shared" si="428"/>
        <v>2.3849999999999998</v>
      </c>
      <c r="BK524" s="306">
        <f t="shared" si="455"/>
        <v>0</v>
      </c>
      <c r="BL524" s="304">
        <f t="shared" si="429"/>
        <v>0</v>
      </c>
      <c r="BM524" s="304">
        <f t="shared" si="430"/>
        <v>1.3274737456242705</v>
      </c>
      <c r="BN524" s="304">
        <f t="shared" si="447"/>
        <v>1.3274737456242705</v>
      </c>
      <c r="BO524" s="306">
        <f t="shared" si="448"/>
        <v>0</v>
      </c>
      <c r="BP524" s="306"/>
    </row>
    <row r="525" spans="1:68">
      <c r="A525" s="299">
        <f t="shared" si="401"/>
        <v>0</v>
      </c>
      <c r="B525" s="300">
        <f t="shared" si="402"/>
        <v>38490</v>
      </c>
      <c r="C525" s="301" t="e">
        <f t="shared" si="431"/>
        <v>#N/A</v>
      </c>
      <c r="D525" s="301" t="e">
        <f t="shared" si="403"/>
        <v>#N/A</v>
      </c>
      <c r="E525" s="299">
        <f t="shared" si="404"/>
        <v>504</v>
      </c>
      <c r="F525" s="396">
        <f>Weather!M509</f>
        <v>0</v>
      </c>
      <c r="G525" s="301">
        <f>IF(Weather!C509="","",Weather!C509)</f>
        <v>2.9812798501193929</v>
      </c>
      <c r="H525" s="301">
        <f>IF(Weather!D509="","",Weather!D509)</f>
        <v>2.1669250851470583</v>
      </c>
      <c r="I525" s="502">
        <f>IF(Weather!E509="","",Weather!E509)</f>
        <v>2.1669250851470583</v>
      </c>
      <c r="J525" s="397">
        <f>IF(RnSplint!N188&lt;0,0,RnSplint!N188)</f>
        <v>6.4911096593434641</v>
      </c>
      <c r="K525" s="302">
        <f t="shared" si="432"/>
        <v>0</v>
      </c>
      <c r="L525" s="303">
        <f t="shared" si="433"/>
        <v>38490</v>
      </c>
      <c r="M525" s="346" t="str">
        <f t="shared" si="450"/>
        <v/>
      </c>
      <c r="N525" s="304">
        <f t="shared" si="434"/>
        <v>0</v>
      </c>
      <c r="O525" s="304">
        <f t="shared" si="435"/>
        <v>0</v>
      </c>
      <c r="P525" s="304">
        <f t="shared" si="405"/>
        <v>0</v>
      </c>
      <c r="Q525" s="304">
        <f t="shared" si="406"/>
        <v>0.73126595443168185</v>
      </c>
      <c r="R525" s="304">
        <f t="shared" si="407"/>
        <v>0.73126595443168185</v>
      </c>
      <c r="S525" s="305" t="e">
        <f t="shared" si="436"/>
        <v>#N/A</v>
      </c>
      <c r="T525" s="304">
        <f t="shared" si="408"/>
        <v>0</v>
      </c>
      <c r="U525" s="304">
        <f t="shared" si="446"/>
        <v>0</v>
      </c>
      <c r="V525" s="305" t="e">
        <f t="shared" si="409"/>
        <v>#N/A</v>
      </c>
      <c r="W525" s="305" t="e">
        <f t="shared" si="437"/>
        <v>#N/A</v>
      </c>
      <c r="X525" s="304">
        <f t="shared" si="438"/>
        <v>0.73126595443168185</v>
      </c>
      <c r="Z525" s="304" t="str">
        <f t="shared" si="410"/>
        <v/>
      </c>
      <c r="AA525" s="305" t="e">
        <f t="shared" si="411"/>
        <v>#N/A</v>
      </c>
      <c r="AB525" s="304">
        <f t="shared" si="412"/>
        <v>1.5845985405720171</v>
      </c>
      <c r="AC525" s="304" t="str">
        <f t="shared" si="439"/>
        <v/>
      </c>
      <c r="AD525" s="306">
        <f t="shared" si="413"/>
        <v>0</v>
      </c>
      <c r="AE525" s="307">
        <f t="shared" si="440"/>
        <v>1.5845985405720171</v>
      </c>
      <c r="AF525" s="308" t="e">
        <f t="shared" si="449"/>
        <v>#N/A</v>
      </c>
      <c r="AG525" s="306">
        <f t="shared" si="441"/>
        <v>836.67265366139691</v>
      </c>
      <c r="AH525" s="306">
        <f t="shared" si="414"/>
        <v>0</v>
      </c>
      <c r="AI525" s="306">
        <f t="shared" si="442"/>
        <v>0</v>
      </c>
      <c r="AJ525" s="306">
        <f t="shared" si="443"/>
        <v>0</v>
      </c>
      <c r="AK525" s="306">
        <f t="shared" si="415"/>
        <v>0</v>
      </c>
      <c r="AL525" s="306">
        <f t="shared" si="444"/>
        <v>0</v>
      </c>
      <c r="AM525" s="306">
        <f t="shared" si="416"/>
        <v>0</v>
      </c>
      <c r="AN525" s="306"/>
      <c r="AO525" s="304" t="str">
        <f t="shared" si="417"/>
        <v/>
      </c>
      <c r="AP525" s="304" t="str">
        <f t="shared" si="445"/>
        <v/>
      </c>
      <c r="AQ525" s="305" t="e">
        <f t="shared" si="451"/>
        <v>#N/A</v>
      </c>
      <c r="AR525" s="304" t="str">
        <f t="shared" si="452"/>
        <v/>
      </c>
      <c r="AS525" s="306">
        <f t="shared" si="418"/>
        <v>0</v>
      </c>
      <c r="AT525" s="307" t="e">
        <f t="shared" si="453"/>
        <v>#N/A</v>
      </c>
      <c r="AU525" s="307" t="e">
        <f t="shared" si="454"/>
        <v>#N/A</v>
      </c>
      <c r="AV525" s="304">
        <f t="shared" si="400"/>
        <v>2.1669250851470583</v>
      </c>
      <c r="AW525" s="309">
        <f t="shared" si="419"/>
        <v>12.798332699370071</v>
      </c>
      <c r="AX525" s="306">
        <f>IF(ISERROR(Weather!M509),#N/A,Weather!M509)</f>
        <v>0</v>
      </c>
      <c r="AY525" s="310">
        <f t="shared" si="420"/>
        <v>5</v>
      </c>
      <c r="AZ525" s="309">
        <f t="shared" si="421"/>
        <v>0.73126595443168185</v>
      </c>
      <c r="BA525" s="309">
        <f t="shared" si="422"/>
        <v>409.28442005129369</v>
      </c>
      <c r="BB525" s="311">
        <f>Irrig!H527</f>
        <v>0</v>
      </c>
      <c r="BC525" s="310">
        <f t="shared" si="423"/>
        <v>0</v>
      </c>
      <c r="BD525" s="309">
        <f t="shared" si="424"/>
        <v>0</v>
      </c>
      <c r="BE525" s="309">
        <f t="shared" si="425"/>
        <v>0</v>
      </c>
      <c r="BF525" s="306">
        <f>DailyMet!H509</f>
        <v>15.14</v>
      </c>
      <c r="BG525" s="306">
        <f>DailyMet!I509</f>
        <v>4.8</v>
      </c>
      <c r="BH525" s="306">
        <f t="shared" si="426"/>
        <v>15.14</v>
      </c>
      <c r="BI525" s="306">
        <f t="shared" si="427"/>
        <v>10</v>
      </c>
      <c r="BJ525" s="306">
        <f t="shared" si="428"/>
        <v>2.5700000000000003</v>
      </c>
      <c r="BK525" s="306">
        <f t="shared" si="455"/>
        <v>0</v>
      </c>
      <c r="BL525" s="304">
        <f t="shared" si="429"/>
        <v>0</v>
      </c>
      <c r="BM525" s="304">
        <f t="shared" si="430"/>
        <v>1.277543520309478</v>
      </c>
      <c r="BN525" s="304">
        <f t="shared" si="447"/>
        <v>1.277543520309478</v>
      </c>
      <c r="BO525" s="306">
        <f t="shared" si="448"/>
        <v>0</v>
      </c>
      <c r="BP525" s="306"/>
    </row>
    <row r="526" spans="1:68">
      <c r="A526" s="299">
        <f t="shared" si="401"/>
        <v>0</v>
      </c>
      <c r="B526" s="300">
        <f t="shared" si="402"/>
        <v>38491</v>
      </c>
      <c r="C526" s="301" t="e">
        <f t="shared" si="431"/>
        <v>#N/A</v>
      </c>
      <c r="D526" s="301" t="e">
        <f t="shared" si="403"/>
        <v>#N/A</v>
      </c>
      <c r="E526" s="299">
        <f t="shared" si="404"/>
        <v>505</v>
      </c>
      <c r="F526" s="396">
        <f>Weather!M510</f>
        <v>0</v>
      </c>
      <c r="G526" s="301">
        <f>IF(Weather!C510="","",Weather!C510)</f>
        <v>3.0372761565826236</v>
      </c>
      <c r="H526" s="301">
        <f>IF(Weather!D510="","",Weather!D510)</f>
        <v>3.1563511268161637</v>
      </c>
      <c r="I526" s="502">
        <f>IF(Weather!E510="","",Weather!E510)</f>
        <v>3.1563511268161637</v>
      </c>
      <c r="J526" s="397">
        <f>IF(RnSplint!N189&lt;0,0,RnSplint!N189)</f>
        <v>5.9070759809552902</v>
      </c>
      <c r="K526" s="302">
        <f t="shared" si="432"/>
        <v>0</v>
      </c>
      <c r="L526" s="303">
        <f t="shared" si="433"/>
        <v>38491</v>
      </c>
      <c r="M526" s="346" t="str">
        <f t="shared" si="450"/>
        <v/>
      </c>
      <c r="N526" s="304">
        <f t="shared" si="434"/>
        <v>0</v>
      </c>
      <c r="O526" s="304">
        <f t="shared" si="435"/>
        <v>0</v>
      </c>
      <c r="P526" s="304">
        <f t="shared" si="405"/>
        <v>0</v>
      </c>
      <c r="Q526" s="304">
        <f t="shared" si="406"/>
        <v>0.65264376637865895</v>
      </c>
      <c r="R526" s="304">
        <f t="shared" si="407"/>
        <v>0.65264376637865895</v>
      </c>
      <c r="S526" s="305" t="e">
        <f t="shared" si="436"/>
        <v>#N/A</v>
      </c>
      <c r="T526" s="304">
        <f t="shared" si="408"/>
        <v>0</v>
      </c>
      <c r="U526" s="304">
        <f t="shared" si="446"/>
        <v>0</v>
      </c>
      <c r="V526" s="305" t="e">
        <f t="shared" si="409"/>
        <v>#N/A</v>
      </c>
      <c r="W526" s="305" t="e">
        <f t="shared" si="437"/>
        <v>#N/A</v>
      </c>
      <c r="X526" s="304">
        <f t="shared" si="438"/>
        <v>0.65264376637865895</v>
      </c>
      <c r="Z526" s="304" t="str">
        <f t="shared" si="410"/>
        <v/>
      </c>
      <c r="AA526" s="305" t="e">
        <f t="shared" si="411"/>
        <v>#N/A</v>
      </c>
      <c r="AB526" s="304">
        <f t="shared" si="412"/>
        <v>2.0599728874188252</v>
      </c>
      <c r="AC526" s="304" t="str">
        <f t="shared" si="439"/>
        <v/>
      </c>
      <c r="AD526" s="306">
        <f t="shared" si="413"/>
        <v>0</v>
      </c>
      <c r="AE526" s="307">
        <f t="shared" si="440"/>
        <v>2.0599728874188252</v>
      </c>
      <c r="AF526" s="308" t="e">
        <f t="shared" si="449"/>
        <v>#N/A</v>
      </c>
      <c r="AG526" s="306">
        <f t="shared" si="441"/>
        <v>839.82900478821307</v>
      </c>
      <c r="AH526" s="306">
        <f t="shared" si="414"/>
        <v>0</v>
      </c>
      <c r="AI526" s="306">
        <f t="shared" si="442"/>
        <v>0</v>
      </c>
      <c r="AJ526" s="306">
        <f t="shared" si="443"/>
        <v>0</v>
      </c>
      <c r="AK526" s="306">
        <f t="shared" si="415"/>
        <v>0</v>
      </c>
      <c r="AL526" s="306">
        <f t="shared" si="444"/>
        <v>0</v>
      </c>
      <c r="AM526" s="306">
        <f t="shared" si="416"/>
        <v>0</v>
      </c>
      <c r="AN526" s="306"/>
      <c r="AO526" s="304" t="str">
        <f t="shared" si="417"/>
        <v/>
      </c>
      <c r="AP526" s="304" t="str">
        <f t="shared" si="445"/>
        <v/>
      </c>
      <c r="AQ526" s="305" t="e">
        <f t="shared" si="451"/>
        <v>#N/A</v>
      </c>
      <c r="AR526" s="304" t="str">
        <f t="shared" si="452"/>
        <v/>
      </c>
      <c r="AS526" s="306">
        <f t="shared" si="418"/>
        <v>0</v>
      </c>
      <c r="AT526" s="307" t="e">
        <f t="shared" si="453"/>
        <v>#N/A</v>
      </c>
      <c r="AU526" s="307" t="e">
        <f t="shared" si="454"/>
        <v>#N/A</v>
      </c>
      <c r="AV526" s="304">
        <f t="shared" ref="AV526:AV589" si="456">IF(I526&lt;0,0,I526)</f>
        <v>3.1563511268161637</v>
      </c>
      <c r="AW526" s="309">
        <f t="shared" si="419"/>
        <v>15.954683826186235</v>
      </c>
      <c r="AX526" s="306">
        <f>IF(ISERROR(Weather!M510),#N/A,Weather!M510)</f>
        <v>0</v>
      </c>
      <c r="AY526" s="310">
        <f t="shared" si="420"/>
        <v>6</v>
      </c>
      <c r="AZ526" s="309">
        <f t="shared" si="421"/>
        <v>0.65264376637865895</v>
      </c>
      <c r="BA526" s="309">
        <f t="shared" si="422"/>
        <v>412.44077117810986</v>
      </c>
      <c r="BB526" s="311">
        <f>Irrig!H528</f>
        <v>0</v>
      </c>
      <c r="BC526" s="310">
        <f t="shared" si="423"/>
        <v>0</v>
      </c>
      <c r="BD526" s="309">
        <f t="shared" si="424"/>
        <v>0</v>
      </c>
      <c r="BE526" s="309">
        <f t="shared" si="425"/>
        <v>0</v>
      </c>
      <c r="BF526" s="306">
        <f>DailyMet!H510</f>
        <v>16.11</v>
      </c>
      <c r="BG526" s="306">
        <f>DailyMet!I510</f>
        <v>6.7</v>
      </c>
      <c r="BH526" s="306">
        <f t="shared" si="426"/>
        <v>16.11</v>
      </c>
      <c r="BI526" s="306">
        <f t="shared" si="427"/>
        <v>10</v>
      </c>
      <c r="BJ526" s="306">
        <f t="shared" si="428"/>
        <v>3.0549999999999997</v>
      </c>
      <c r="BK526" s="306">
        <f t="shared" si="455"/>
        <v>0</v>
      </c>
      <c r="BL526" s="304">
        <f t="shared" si="429"/>
        <v>0</v>
      </c>
      <c r="BM526" s="304">
        <f t="shared" si="430"/>
        <v>1.9836397449521779</v>
      </c>
      <c r="BN526" s="304">
        <f t="shared" si="447"/>
        <v>1.9836397449521779</v>
      </c>
      <c r="BO526" s="306">
        <f t="shared" si="448"/>
        <v>0</v>
      </c>
      <c r="BP526" s="306"/>
    </row>
    <row r="527" spans="1:68">
      <c r="A527" s="299">
        <f t="shared" si="401"/>
        <v>0</v>
      </c>
      <c r="B527" s="300">
        <f t="shared" si="402"/>
        <v>38492</v>
      </c>
      <c r="C527" s="301" t="e">
        <f t="shared" si="431"/>
        <v>#N/A</v>
      </c>
      <c r="D527" s="301" t="e">
        <f t="shared" si="403"/>
        <v>#N/A</v>
      </c>
      <c r="E527" s="299">
        <f t="shared" si="404"/>
        <v>506</v>
      </c>
      <c r="F527" s="396">
        <f>Weather!M511</f>
        <v>0</v>
      </c>
      <c r="G527" s="301">
        <f>IF(Weather!C511="","",Weather!C511)</f>
        <v>3.0926688920992711</v>
      </c>
      <c r="H527" s="301">
        <f>IF(Weather!D511="","",Weather!D511)</f>
        <v>2.2714870024934979</v>
      </c>
      <c r="I527" s="502">
        <f>IF(Weather!E511="","",Weather!E511)</f>
        <v>2.2714870024934979</v>
      </c>
      <c r="J527" s="397">
        <f>IF(RnSplint!N190&lt;0,0,RnSplint!N190)</f>
        <v>5.354319169812773</v>
      </c>
      <c r="K527" s="302">
        <f t="shared" si="432"/>
        <v>0</v>
      </c>
      <c r="L527" s="303">
        <f t="shared" si="433"/>
        <v>38492</v>
      </c>
      <c r="M527" s="346" t="str">
        <f t="shared" si="450"/>
        <v/>
      </c>
      <c r="N527" s="304">
        <f t="shared" si="434"/>
        <v>0</v>
      </c>
      <c r="O527" s="304">
        <f t="shared" si="435"/>
        <v>0</v>
      </c>
      <c r="P527" s="304">
        <f t="shared" si="405"/>
        <v>0</v>
      </c>
      <c r="Q527" s="304">
        <f t="shared" si="406"/>
        <v>0.60932312588773763</v>
      </c>
      <c r="R527" s="304">
        <f t="shared" si="407"/>
        <v>0.60932312588773763</v>
      </c>
      <c r="S527" s="305" t="e">
        <f t="shared" si="436"/>
        <v>#N/A</v>
      </c>
      <c r="T527" s="304">
        <f t="shared" si="408"/>
        <v>0</v>
      </c>
      <c r="U527" s="304">
        <f t="shared" si="446"/>
        <v>0</v>
      </c>
      <c r="V527" s="305" t="e">
        <f t="shared" si="409"/>
        <v>#N/A</v>
      </c>
      <c r="W527" s="305" t="e">
        <f t="shared" si="437"/>
        <v>#N/A</v>
      </c>
      <c r="X527" s="304">
        <f t="shared" si="438"/>
        <v>0.60932312588773763</v>
      </c>
      <c r="Z527" s="304" t="str">
        <f t="shared" si="410"/>
        <v/>
      </c>
      <c r="AA527" s="305" t="e">
        <f t="shared" si="411"/>
        <v>#N/A</v>
      </c>
      <c r="AB527" s="304">
        <f t="shared" si="412"/>
        <v>1.3840695607727054</v>
      </c>
      <c r="AC527" s="304" t="str">
        <f t="shared" si="439"/>
        <v/>
      </c>
      <c r="AD527" s="306">
        <f t="shared" si="413"/>
        <v>0</v>
      </c>
      <c r="AE527" s="307">
        <f t="shared" si="440"/>
        <v>1.3840695607727054</v>
      </c>
      <c r="AF527" s="308" t="e">
        <f t="shared" si="449"/>
        <v>#N/A</v>
      </c>
      <c r="AG527" s="306">
        <f t="shared" si="441"/>
        <v>842.10049179070654</v>
      </c>
      <c r="AH527" s="306">
        <f t="shared" si="414"/>
        <v>0</v>
      </c>
      <c r="AI527" s="306">
        <f t="shared" si="442"/>
        <v>0</v>
      </c>
      <c r="AJ527" s="306">
        <f t="shared" si="443"/>
        <v>0</v>
      </c>
      <c r="AK527" s="306">
        <f t="shared" si="415"/>
        <v>0</v>
      </c>
      <c r="AL527" s="306">
        <f t="shared" si="444"/>
        <v>0</v>
      </c>
      <c r="AM527" s="306">
        <f t="shared" si="416"/>
        <v>0</v>
      </c>
      <c r="AN527" s="306"/>
      <c r="AO527" s="304" t="str">
        <f t="shared" si="417"/>
        <v/>
      </c>
      <c r="AP527" s="304" t="str">
        <f t="shared" si="445"/>
        <v/>
      </c>
      <c r="AQ527" s="305" t="e">
        <f t="shared" si="451"/>
        <v>#N/A</v>
      </c>
      <c r="AR527" s="304" t="str">
        <f t="shared" si="452"/>
        <v/>
      </c>
      <c r="AS527" s="306">
        <f t="shared" si="418"/>
        <v>0</v>
      </c>
      <c r="AT527" s="307" t="e">
        <f t="shared" si="453"/>
        <v>#N/A</v>
      </c>
      <c r="AU527" s="307" t="e">
        <f t="shared" si="454"/>
        <v>#N/A</v>
      </c>
      <c r="AV527" s="304">
        <f t="shared" si="456"/>
        <v>2.2714870024934979</v>
      </c>
      <c r="AW527" s="309">
        <f t="shared" si="419"/>
        <v>18.226170828679734</v>
      </c>
      <c r="AX527" s="306">
        <f>IF(ISERROR(Weather!M511),#N/A,Weather!M511)</f>
        <v>0</v>
      </c>
      <c r="AY527" s="310">
        <f t="shared" si="420"/>
        <v>7</v>
      </c>
      <c r="AZ527" s="309">
        <f t="shared" si="421"/>
        <v>0.60932312588773763</v>
      </c>
      <c r="BA527" s="309">
        <f t="shared" si="422"/>
        <v>414.71225818060333</v>
      </c>
      <c r="BB527" s="311">
        <f>Irrig!H529</f>
        <v>0</v>
      </c>
      <c r="BC527" s="310">
        <f t="shared" si="423"/>
        <v>0</v>
      </c>
      <c r="BD527" s="309">
        <f t="shared" si="424"/>
        <v>0</v>
      </c>
      <c r="BE527" s="309">
        <f t="shared" si="425"/>
        <v>0</v>
      </c>
      <c r="BF527" s="306">
        <f>DailyMet!H511</f>
        <v>14.3</v>
      </c>
      <c r="BG527" s="306">
        <f>DailyMet!I511</f>
        <v>10.3</v>
      </c>
      <c r="BH527" s="306">
        <f t="shared" si="426"/>
        <v>14.3</v>
      </c>
      <c r="BI527" s="306">
        <f t="shared" si="427"/>
        <v>10.3</v>
      </c>
      <c r="BJ527" s="306">
        <f t="shared" si="428"/>
        <v>2.3000000000000007</v>
      </c>
      <c r="BK527" s="306">
        <f t="shared" si="455"/>
        <v>0</v>
      </c>
      <c r="BL527" s="304">
        <f t="shared" si="429"/>
        <v>0</v>
      </c>
      <c r="BM527" s="304">
        <f t="shared" si="430"/>
        <v>2.3000000000000007</v>
      </c>
      <c r="BN527" s="304">
        <f t="shared" si="447"/>
        <v>2.3000000000000007</v>
      </c>
      <c r="BO527" s="306">
        <f t="shared" si="448"/>
        <v>0</v>
      </c>
      <c r="BP527" s="306"/>
    </row>
    <row r="528" spans="1:68">
      <c r="A528" s="299">
        <f t="shared" si="401"/>
        <v>0</v>
      </c>
      <c r="B528" s="300">
        <f t="shared" si="402"/>
        <v>38493</v>
      </c>
      <c r="C528" s="301" t="e">
        <f t="shared" si="431"/>
        <v>#N/A</v>
      </c>
      <c r="D528" s="301" t="e">
        <f t="shared" si="403"/>
        <v>#N/A</v>
      </c>
      <c r="E528" s="299">
        <f t="shared" si="404"/>
        <v>507</v>
      </c>
      <c r="F528" s="396">
        <f>Weather!M512</f>
        <v>0</v>
      </c>
      <c r="G528" s="301">
        <f>IF(Weather!C512="","",Weather!C512)</f>
        <v>3.1474233889942287</v>
      </c>
      <c r="H528" s="301">
        <f>IF(Weather!D512="","",Weather!D512)</f>
        <v>2.3149334984040815</v>
      </c>
      <c r="I528" s="502">
        <f>IF(Weather!E512="","",Weather!E512)</f>
        <v>2.3149334984040815</v>
      </c>
      <c r="J528" s="397">
        <f>IF(RnSplint!N191&lt;0,0,RnSplint!N191)</f>
        <v>4.8335911303801122</v>
      </c>
      <c r="K528" s="302">
        <f t="shared" si="432"/>
        <v>0</v>
      </c>
      <c r="L528" s="303">
        <f t="shared" si="433"/>
        <v>38493</v>
      </c>
      <c r="M528" s="346" t="str">
        <f t="shared" si="450"/>
        <v/>
      </c>
      <c r="N528" s="304">
        <f t="shared" si="434"/>
        <v>0</v>
      </c>
      <c r="O528" s="304">
        <f t="shared" si="435"/>
        <v>0</v>
      </c>
      <c r="P528" s="304">
        <f t="shared" si="405"/>
        <v>0</v>
      </c>
      <c r="Q528" s="304">
        <f t="shared" si="406"/>
        <v>0.57286545191622684</v>
      </c>
      <c r="R528" s="304">
        <f t="shared" si="407"/>
        <v>0.57286545191622684</v>
      </c>
      <c r="S528" s="305" t="e">
        <f t="shared" si="436"/>
        <v>#N/A</v>
      </c>
      <c r="T528" s="304">
        <f t="shared" si="408"/>
        <v>0</v>
      </c>
      <c r="U528" s="304">
        <f t="shared" si="446"/>
        <v>0</v>
      </c>
      <c r="V528" s="305" t="e">
        <f t="shared" si="409"/>
        <v>#N/A</v>
      </c>
      <c r="W528" s="305" t="e">
        <f t="shared" si="437"/>
        <v>#N/A</v>
      </c>
      <c r="X528" s="304">
        <f t="shared" si="438"/>
        <v>0.57286545191622684</v>
      </c>
      <c r="Z528" s="304" t="str">
        <f t="shared" si="410"/>
        <v/>
      </c>
      <c r="AA528" s="305" t="e">
        <f t="shared" si="411"/>
        <v>#N/A</v>
      </c>
      <c r="AB528" s="304">
        <f t="shared" si="412"/>
        <v>1.3261454247192661</v>
      </c>
      <c r="AC528" s="304" t="str">
        <f t="shared" si="439"/>
        <v/>
      </c>
      <c r="AD528" s="306">
        <f t="shared" si="413"/>
        <v>0</v>
      </c>
      <c r="AE528" s="307">
        <f t="shared" si="440"/>
        <v>1.3261454247192661</v>
      </c>
      <c r="AF528" s="308" t="e">
        <f t="shared" si="449"/>
        <v>#N/A</v>
      </c>
      <c r="AG528" s="306">
        <f t="shared" si="441"/>
        <v>844.41542528911066</v>
      </c>
      <c r="AH528" s="306">
        <f t="shared" si="414"/>
        <v>0</v>
      </c>
      <c r="AI528" s="306">
        <f t="shared" si="442"/>
        <v>0</v>
      </c>
      <c r="AJ528" s="306">
        <f t="shared" si="443"/>
        <v>0</v>
      </c>
      <c r="AK528" s="306">
        <f t="shared" si="415"/>
        <v>0</v>
      </c>
      <c r="AL528" s="306">
        <f t="shared" si="444"/>
        <v>0</v>
      </c>
      <c r="AM528" s="306">
        <f t="shared" si="416"/>
        <v>0</v>
      </c>
      <c r="AN528" s="306"/>
      <c r="AO528" s="304" t="str">
        <f t="shared" si="417"/>
        <v/>
      </c>
      <c r="AP528" s="304" t="str">
        <f t="shared" si="445"/>
        <v/>
      </c>
      <c r="AQ528" s="305" t="e">
        <f t="shared" si="451"/>
        <v>#N/A</v>
      </c>
      <c r="AR528" s="304" t="str">
        <f t="shared" si="452"/>
        <v/>
      </c>
      <c r="AS528" s="306">
        <f t="shared" si="418"/>
        <v>0</v>
      </c>
      <c r="AT528" s="307" t="e">
        <f t="shared" si="453"/>
        <v>#N/A</v>
      </c>
      <c r="AU528" s="307" t="e">
        <f t="shared" si="454"/>
        <v>#N/A</v>
      </c>
      <c r="AV528" s="304">
        <f t="shared" si="456"/>
        <v>2.3149334984040815</v>
      </c>
      <c r="AW528" s="309">
        <f t="shared" si="419"/>
        <v>20.541104327083815</v>
      </c>
      <c r="AX528" s="306">
        <f>IF(ISERROR(Weather!M512),#N/A,Weather!M512)</f>
        <v>0</v>
      </c>
      <c r="AY528" s="310">
        <f t="shared" si="420"/>
        <v>8</v>
      </c>
      <c r="AZ528" s="309">
        <f t="shared" si="421"/>
        <v>0.57286545191622684</v>
      </c>
      <c r="BA528" s="309">
        <f t="shared" si="422"/>
        <v>417.02719167900739</v>
      </c>
      <c r="BB528" s="311">
        <f>Irrig!H530</f>
        <v>0</v>
      </c>
      <c r="BC528" s="310">
        <f t="shared" si="423"/>
        <v>0</v>
      </c>
      <c r="BD528" s="309">
        <f t="shared" si="424"/>
        <v>0</v>
      </c>
      <c r="BE528" s="309">
        <f t="shared" si="425"/>
        <v>0</v>
      </c>
      <c r="BF528" s="306">
        <f>DailyMet!H512</f>
        <v>13.67</v>
      </c>
      <c r="BG528" s="306">
        <f>DailyMet!I512</f>
        <v>10.9</v>
      </c>
      <c r="BH528" s="306">
        <f t="shared" si="426"/>
        <v>13.67</v>
      </c>
      <c r="BI528" s="306">
        <f t="shared" si="427"/>
        <v>10.9</v>
      </c>
      <c r="BJ528" s="306">
        <f t="shared" si="428"/>
        <v>2.2850000000000001</v>
      </c>
      <c r="BK528" s="306">
        <f t="shared" si="455"/>
        <v>0</v>
      </c>
      <c r="BL528" s="304">
        <f t="shared" si="429"/>
        <v>0</v>
      </c>
      <c r="BM528" s="304">
        <f t="shared" si="430"/>
        <v>2.2850000000000001</v>
      </c>
      <c r="BN528" s="304">
        <f t="shared" si="447"/>
        <v>2.2850000000000001</v>
      </c>
      <c r="BO528" s="306">
        <f t="shared" si="448"/>
        <v>0</v>
      </c>
      <c r="BP528" s="306"/>
    </row>
    <row r="529" spans="1:68">
      <c r="A529" s="299">
        <f t="shared" si="401"/>
        <v>0</v>
      </c>
      <c r="B529" s="300">
        <f t="shared" si="402"/>
        <v>38494</v>
      </c>
      <c r="C529" s="301" t="e">
        <f t="shared" si="431"/>
        <v>#N/A</v>
      </c>
      <c r="D529" s="301" t="e">
        <f t="shared" si="403"/>
        <v>#N/A</v>
      </c>
      <c r="E529" s="299">
        <f t="shared" si="404"/>
        <v>508</v>
      </c>
      <c r="F529" s="396">
        <f>Weather!M513</f>
        <v>0</v>
      </c>
      <c r="G529" s="301">
        <f>IF(Weather!C513="","",Weather!C513)</f>
        <v>3.2015049795923889</v>
      </c>
      <c r="H529" s="301">
        <f>IF(Weather!D513="","",Weather!D513)</f>
        <v>2.6663210175425371</v>
      </c>
      <c r="I529" s="502">
        <f>IF(Weather!E513="","",Weather!E513)</f>
        <v>2.6663210175425371</v>
      </c>
      <c r="J529" s="397">
        <f>IF(RnSplint!N192&lt;0,0,RnSplint!N192)</f>
        <v>4.3456437671215022</v>
      </c>
      <c r="K529" s="302">
        <f t="shared" si="432"/>
        <v>0</v>
      </c>
      <c r="L529" s="303">
        <f t="shared" si="433"/>
        <v>38494</v>
      </c>
      <c r="M529" s="346" t="str">
        <f t="shared" si="450"/>
        <v/>
      </c>
      <c r="N529" s="304">
        <f t="shared" si="434"/>
        <v>0</v>
      </c>
      <c r="O529" s="304">
        <f t="shared" si="435"/>
        <v>0</v>
      </c>
      <c r="P529" s="304">
        <f t="shared" si="405"/>
        <v>0</v>
      </c>
      <c r="Q529" s="304">
        <f t="shared" si="406"/>
        <v>0.53790179580368924</v>
      </c>
      <c r="R529" s="304">
        <f t="shared" si="407"/>
        <v>0.53790179580368924</v>
      </c>
      <c r="S529" s="305" t="e">
        <f t="shared" si="436"/>
        <v>#N/A</v>
      </c>
      <c r="T529" s="304">
        <f t="shared" si="408"/>
        <v>0</v>
      </c>
      <c r="U529" s="304">
        <f t="shared" si="446"/>
        <v>0</v>
      </c>
      <c r="V529" s="305" t="e">
        <f t="shared" si="409"/>
        <v>#N/A</v>
      </c>
      <c r="W529" s="305" t="e">
        <f t="shared" si="437"/>
        <v>#N/A</v>
      </c>
      <c r="X529" s="304">
        <f t="shared" si="438"/>
        <v>0.53790179580368924</v>
      </c>
      <c r="Z529" s="304" t="str">
        <f t="shared" si="410"/>
        <v/>
      </c>
      <c r="AA529" s="305" t="e">
        <f t="shared" si="411"/>
        <v>#N/A</v>
      </c>
      <c r="AB529" s="304">
        <f t="shared" si="412"/>
        <v>1.4342188635252506</v>
      </c>
      <c r="AC529" s="304" t="str">
        <f t="shared" si="439"/>
        <v/>
      </c>
      <c r="AD529" s="306">
        <f t="shared" si="413"/>
        <v>0</v>
      </c>
      <c r="AE529" s="307">
        <f t="shared" si="440"/>
        <v>1.4342188635252506</v>
      </c>
      <c r="AF529" s="308" t="e">
        <f t="shared" si="449"/>
        <v>#N/A</v>
      </c>
      <c r="AG529" s="306">
        <f t="shared" si="441"/>
        <v>847.08174630665314</v>
      </c>
      <c r="AH529" s="306">
        <f t="shared" si="414"/>
        <v>0</v>
      </c>
      <c r="AI529" s="306">
        <f t="shared" si="442"/>
        <v>0</v>
      </c>
      <c r="AJ529" s="306">
        <f t="shared" si="443"/>
        <v>0</v>
      </c>
      <c r="AK529" s="306">
        <f t="shared" si="415"/>
        <v>0</v>
      </c>
      <c r="AL529" s="306">
        <f t="shared" si="444"/>
        <v>0</v>
      </c>
      <c r="AM529" s="306">
        <f t="shared" si="416"/>
        <v>0</v>
      </c>
      <c r="AN529" s="306"/>
      <c r="AO529" s="304" t="str">
        <f t="shared" si="417"/>
        <v/>
      </c>
      <c r="AP529" s="304" t="str">
        <f t="shared" si="445"/>
        <v/>
      </c>
      <c r="AQ529" s="305" t="e">
        <f t="shared" si="451"/>
        <v>#N/A</v>
      </c>
      <c r="AR529" s="304" t="str">
        <f t="shared" si="452"/>
        <v/>
      </c>
      <c r="AS529" s="306">
        <f t="shared" si="418"/>
        <v>0</v>
      </c>
      <c r="AT529" s="307" t="e">
        <f t="shared" si="453"/>
        <v>#N/A</v>
      </c>
      <c r="AU529" s="307" t="e">
        <f t="shared" si="454"/>
        <v>#N/A</v>
      </c>
      <c r="AV529" s="304">
        <f t="shared" si="456"/>
        <v>2.6663210175425371</v>
      </c>
      <c r="AW529" s="309">
        <f t="shared" si="419"/>
        <v>23.207425344626351</v>
      </c>
      <c r="AX529" s="306">
        <f>IF(ISERROR(Weather!M513),#N/A,Weather!M513)</f>
        <v>0</v>
      </c>
      <c r="AY529" s="310">
        <f t="shared" si="420"/>
        <v>9</v>
      </c>
      <c r="AZ529" s="309">
        <f t="shared" si="421"/>
        <v>0.53790179580368924</v>
      </c>
      <c r="BA529" s="309">
        <f t="shared" si="422"/>
        <v>419.69351269654993</v>
      </c>
      <c r="BB529" s="311">
        <f>Irrig!H531</f>
        <v>0</v>
      </c>
      <c r="BC529" s="310">
        <f t="shared" si="423"/>
        <v>0</v>
      </c>
      <c r="BD529" s="309">
        <f t="shared" si="424"/>
        <v>0</v>
      </c>
      <c r="BE529" s="309">
        <f t="shared" si="425"/>
        <v>0</v>
      </c>
      <c r="BF529" s="306">
        <f>DailyMet!H513</f>
        <v>16.52</v>
      </c>
      <c r="BG529" s="306">
        <f>DailyMet!I513</f>
        <v>11.2</v>
      </c>
      <c r="BH529" s="306">
        <f t="shared" si="426"/>
        <v>16.52</v>
      </c>
      <c r="BI529" s="306">
        <f t="shared" si="427"/>
        <v>11.2</v>
      </c>
      <c r="BJ529" s="306">
        <f t="shared" si="428"/>
        <v>3.8599999999999994</v>
      </c>
      <c r="BK529" s="306">
        <f t="shared" si="455"/>
        <v>0</v>
      </c>
      <c r="BL529" s="304">
        <f t="shared" si="429"/>
        <v>0</v>
      </c>
      <c r="BM529" s="304">
        <f t="shared" si="430"/>
        <v>3.8599999999999994</v>
      </c>
      <c r="BN529" s="304">
        <f t="shared" si="447"/>
        <v>3.8599999999999994</v>
      </c>
      <c r="BO529" s="306">
        <f t="shared" si="448"/>
        <v>0</v>
      </c>
      <c r="BP529" s="306"/>
    </row>
    <row r="530" spans="1:68">
      <c r="A530" s="299">
        <f t="shared" si="401"/>
        <v>0</v>
      </c>
      <c r="B530" s="300">
        <f t="shared" si="402"/>
        <v>38495</v>
      </c>
      <c r="C530" s="301" t="e">
        <f t="shared" si="431"/>
        <v>#N/A</v>
      </c>
      <c r="D530" s="301" t="e">
        <f t="shared" si="403"/>
        <v>#N/A</v>
      </c>
      <c r="E530" s="299">
        <f t="shared" si="404"/>
        <v>509</v>
      </c>
      <c r="F530" s="396">
        <f>Weather!M514</f>
        <v>0</v>
      </c>
      <c r="G530" s="301">
        <f>IF(Weather!C514="","",Weather!C514)</f>
        <v>3.254878996218646</v>
      </c>
      <c r="H530" s="301">
        <f>IF(Weather!D514="","",Weather!D514)</f>
        <v>2.0078951527307867</v>
      </c>
      <c r="I530" s="502">
        <f>IF(Weather!E514="","",Weather!E514)</f>
        <v>2.0078951527307867</v>
      </c>
      <c r="J530" s="397">
        <f>IF(RnSplint!N193&lt;0,0,RnSplint!N193)</f>
        <v>3.8912289845011419</v>
      </c>
      <c r="K530" s="302">
        <f t="shared" si="432"/>
        <v>0</v>
      </c>
      <c r="L530" s="303">
        <f t="shared" si="433"/>
        <v>38495</v>
      </c>
      <c r="M530" s="346" t="str">
        <f t="shared" si="450"/>
        <v/>
      </c>
      <c r="N530" s="304">
        <f t="shared" si="434"/>
        <v>0</v>
      </c>
      <c r="O530" s="304">
        <f t="shared" si="435"/>
        <v>0</v>
      </c>
      <c r="P530" s="304">
        <f t="shared" si="405"/>
        <v>0</v>
      </c>
      <c r="Q530" s="304">
        <f t="shared" si="406"/>
        <v>0.51535634623545856</v>
      </c>
      <c r="R530" s="304">
        <f t="shared" si="407"/>
        <v>0.51535634623545856</v>
      </c>
      <c r="S530" s="305" t="e">
        <f t="shared" si="436"/>
        <v>#N/A</v>
      </c>
      <c r="T530" s="304">
        <f t="shared" si="408"/>
        <v>0</v>
      </c>
      <c r="U530" s="304">
        <f t="shared" si="446"/>
        <v>0</v>
      </c>
      <c r="V530" s="305" t="e">
        <f t="shared" si="409"/>
        <v>#N/A</v>
      </c>
      <c r="W530" s="305" t="e">
        <f t="shared" si="437"/>
        <v>#N/A</v>
      </c>
      <c r="X530" s="304">
        <f t="shared" si="438"/>
        <v>0.51535634623545856</v>
      </c>
      <c r="Z530" s="304" t="str">
        <f t="shared" si="410"/>
        <v/>
      </c>
      <c r="AA530" s="305" t="e">
        <f t="shared" si="411"/>
        <v>#N/A</v>
      </c>
      <c r="AB530" s="304">
        <f t="shared" si="412"/>
        <v>1.0347815095352262</v>
      </c>
      <c r="AC530" s="304" t="str">
        <f t="shared" si="439"/>
        <v/>
      </c>
      <c r="AD530" s="306">
        <f t="shared" si="413"/>
        <v>0</v>
      </c>
      <c r="AE530" s="307">
        <f t="shared" si="440"/>
        <v>1.0347815095352262</v>
      </c>
      <c r="AF530" s="308" t="e">
        <f t="shared" si="449"/>
        <v>#N/A</v>
      </c>
      <c r="AG530" s="306">
        <f t="shared" si="441"/>
        <v>849.08964145938398</v>
      </c>
      <c r="AH530" s="306">
        <f t="shared" si="414"/>
        <v>0</v>
      </c>
      <c r="AI530" s="306">
        <f t="shared" si="442"/>
        <v>0</v>
      </c>
      <c r="AJ530" s="306">
        <f t="shared" si="443"/>
        <v>0</v>
      </c>
      <c r="AK530" s="306">
        <f t="shared" si="415"/>
        <v>0</v>
      </c>
      <c r="AL530" s="306">
        <f t="shared" si="444"/>
        <v>0</v>
      </c>
      <c r="AM530" s="306">
        <f t="shared" si="416"/>
        <v>0</v>
      </c>
      <c r="AN530" s="306"/>
      <c r="AO530" s="304" t="str">
        <f t="shared" si="417"/>
        <v/>
      </c>
      <c r="AP530" s="304" t="str">
        <f t="shared" si="445"/>
        <v/>
      </c>
      <c r="AQ530" s="305" t="e">
        <f t="shared" si="451"/>
        <v>#N/A</v>
      </c>
      <c r="AR530" s="304" t="str">
        <f t="shared" si="452"/>
        <v/>
      </c>
      <c r="AS530" s="306">
        <f t="shared" si="418"/>
        <v>0</v>
      </c>
      <c r="AT530" s="307" t="e">
        <f t="shared" si="453"/>
        <v>#N/A</v>
      </c>
      <c r="AU530" s="307" t="e">
        <f t="shared" si="454"/>
        <v>#N/A</v>
      </c>
      <c r="AV530" s="304">
        <f t="shared" si="456"/>
        <v>2.0078951527307867</v>
      </c>
      <c r="AW530" s="309">
        <f t="shared" si="419"/>
        <v>25.215320497357137</v>
      </c>
      <c r="AX530" s="306">
        <f>IF(ISERROR(Weather!M514),#N/A,Weather!M514)</f>
        <v>0</v>
      </c>
      <c r="AY530" s="310">
        <f t="shared" si="420"/>
        <v>10</v>
      </c>
      <c r="AZ530" s="309">
        <f t="shared" si="421"/>
        <v>0.51535634623545856</v>
      </c>
      <c r="BA530" s="309">
        <f t="shared" si="422"/>
        <v>421.70140784928071</v>
      </c>
      <c r="BB530" s="311">
        <f>Irrig!H532</f>
        <v>0</v>
      </c>
      <c r="BC530" s="310">
        <f t="shared" si="423"/>
        <v>0</v>
      </c>
      <c r="BD530" s="309">
        <f t="shared" si="424"/>
        <v>0</v>
      </c>
      <c r="BE530" s="309">
        <f t="shared" si="425"/>
        <v>0</v>
      </c>
      <c r="BF530" s="306">
        <f>DailyMet!H514</f>
        <v>19.8</v>
      </c>
      <c r="BG530" s="306">
        <f>DailyMet!I514</f>
        <v>15.1</v>
      </c>
      <c r="BH530" s="306">
        <f t="shared" si="426"/>
        <v>19.8</v>
      </c>
      <c r="BI530" s="306">
        <f t="shared" si="427"/>
        <v>15.1</v>
      </c>
      <c r="BJ530" s="306">
        <f t="shared" si="428"/>
        <v>7.4499999999999993</v>
      </c>
      <c r="BK530" s="306">
        <f t="shared" si="455"/>
        <v>0</v>
      </c>
      <c r="BL530" s="304">
        <f t="shared" si="429"/>
        <v>0</v>
      </c>
      <c r="BM530" s="304">
        <f t="shared" si="430"/>
        <v>7.4499999999999993</v>
      </c>
      <c r="BN530" s="304">
        <f t="shared" si="447"/>
        <v>7.4499999999999993</v>
      </c>
      <c r="BO530" s="306">
        <f t="shared" si="448"/>
        <v>0</v>
      </c>
      <c r="BP530" s="306"/>
    </row>
    <row r="531" spans="1:68">
      <c r="A531" s="299">
        <f t="shared" si="401"/>
        <v>0</v>
      </c>
      <c r="B531" s="300">
        <f t="shared" si="402"/>
        <v>38496</v>
      </c>
      <c r="C531" s="301" t="e">
        <f t="shared" si="431"/>
        <v>#N/A</v>
      </c>
      <c r="D531" s="301" t="e">
        <f t="shared" si="403"/>
        <v>#N/A</v>
      </c>
      <c r="E531" s="299">
        <f t="shared" si="404"/>
        <v>510</v>
      </c>
      <c r="F531" s="396">
        <f>Weather!M515</f>
        <v>0</v>
      </c>
      <c r="G531" s="301">
        <f>IF(Weather!C515="","",Weather!C515)</f>
        <v>3.3075107711978906</v>
      </c>
      <c r="H531" s="301">
        <f>IF(Weather!D515="","",Weather!D515)</f>
        <v>3.3353746158162507</v>
      </c>
      <c r="I531" s="502">
        <f>IF(Weather!E515="","",Weather!E515)</f>
        <v>3.3353746158162507</v>
      </c>
      <c r="J531" s="397">
        <f>IF(RnSplint!N194&lt;0,0,RnSplint!N194)</f>
        <v>3.4710986869832294</v>
      </c>
      <c r="K531" s="302">
        <f t="shared" si="432"/>
        <v>0</v>
      </c>
      <c r="L531" s="303">
        <f t="shared" si="433"/>
        <v>38496</v>
      </c>
      <c r="M531" s="346" t="str">
        <f t="shared" si="450"/>
        <v/>
      </c>
      <c r="N531" s="304">
        <f t="shared" si="434"/>
        <v>0</v>
      </c>
      <c r="O531" s="304">
        <f t="shared" si="435"/>
        <v>0</v>
      </c>
      <c r="P531" s="304">
        <f t="shared" si="405"/>
        <v>0</v>
      </c>
      <c r="Q531" s="304">
        <f t="shared" si="406"/>
        <v>0.48335731611092797</v>
      </c>
      <c r="R531" s="304">
        <f t="shared" si="407"/>
        <v>0.48335731611092797</v>
      </c>
      <c r="S531" s="305" t="e">
        <f t="shared" si="436"/>
        <v>#N/A</v>
      </c>
      <c r="T531" s="304">
        <f t="shared" si="408"/>
        <v>0</v>
      </c>
      <c r="U531" s="304">
        <f t="shared" si="446"/>
        <v>0</v>
      </c>
      <c r="V531" s="305" t="e">
        <f t="shared" si="409"/>
        <v>#N/A</v>
      </c>
      <c r="W531" s="305" t="e">
        <f t="shared" si="437"/>
        <v>#N/A</v>
      </c>
      <c r="X531" s="304">
        <f t="shared" si="438"/>
        <v>0.48335731611092797</v>
      </c>
      <c r="Z531" s="304" t="str">
        <f t="shared" si="410"/>
        <v/>
      </c>
      <c r="AA531" s="305" t="e">
        <f t="shared" si="411"/>
        <v>#N/A</v>
      </c>
      <c r="AB531" s="304">
        <f t="shared" si="412"/>
        <v>1.6121777225254605</v>
      </c>
      <c r="AC531" s="304" t="str">
        <f t="shared" si="439"/>
        <v/>
      </c>
      <c r="AD531" s="306">
        <f t="shared" si="413"/>
        <v>0</v>
      </c>
      <c r="AE531" s="307">
        <f t="shared" si="440"/>
        <v>1.6121777225254605</v>
      </c>
      <c r="AF531" s="308" t="e">
        <f t="shared" si="449"/>
        <v>#N/A</v>
      </c>
      <c r="AG531" s="306">
        <f t="shared" si="441"/>
        <v>852.42501607520023</v>
      </c>
      <c r="AH531" s="306">
        <f t="shared" si="414"/>
        <v>0</v>
      </c>
      <c r="AI531" s="306">
        <f t="shared" si="442"/>
        <v>0</v>
      </c>
      <c r="AJ531" s="306">
        <f t="shared" si="443"/>
        <v>0</v>
      </c>
      <c r="AK531" s="306">
        <f t="shared" si="415"/>
        <v>0</v>
      </c>
      <c r="AL531" s="306">
        <f t="shared" si="444"/>
        <v>0</v>
      </c>
      <c r="AM531" s="306">
        <f t="shared" si="416"/>
        <v>0</v>
      </c>
      <c r="AN531" s="306"/>
      <c r="AO531" s="304" t="str">
        <f t="shared" si="417"/>
        <v/>
      </c>
      <c r="AP531" s="304" t="str">
        <f t="shared" si="445"/>
        <v/>
      </c>
      <c r="AQ531" s="305" t="e">
        <f t="shared" si="451"/>
        <v>#N/A</v>
      </c>
      <c r="AR531" s="304" t="str">
        <f t="shared" si="452"/>
        <v/>
      </c>
      <c r="AS531" s="306">
        <f t="shared" si="418"/>
        <v>0</v>
      </c>
      <c r="AT531" s="307" t="e">
        <f t="shared" si="453"/>
        <v>#N/A</v>
      </c>
      <c r="AU531" s="307" t="e">
        <f t="shared" si="454"/>
        <v>#N/A</v>
      </c>
      <c r="AV531" s="304">
        <f t="shared" si="456"/>
        <v>3.3353746158162507</v>
      </c>
      <c r="AW531" s="309">
        <f t="shared" si="419"/>
        <v>28.550695113173386</v>
      </c>
      <c r="AX531" s="306">
        <f>IF(ISERROR(Weather!M515),#N/A,Weather!M515)</f>
        <v>0</v>
      </c>
      <c r="AY531" s="310">
        <f t="shared" si="420"/>
        <v>11</v>
      </c>
      <c r="AZ531" s="309">
        <f t="shared" si="421"/>
        <v>0.48335731611092797</v>
      </c>
      <c r="BA531" s="309">
        <f t="shared" si="422"/>
        <v>425.03678246509696</v>
      </c>
      <c r="BB531" s="311">
        <f>Irrig!H533</f>
        <v>0</v>
      </c>
      <c r="BC531" s="310">
        <f t="shared" si="423"/>
        <v>0</v>
      </c>
      <c r="BD531" s="309">
        <f t="shared" si="424"/>
        <v>0</v>
      </c>
      <c r="BE531" s="309">
        <f t="shared" si="425"/>
        <v>0</v>
      </c>
      <c r="BF531" s="306">
        <f>DailyMet!H515</f>
        <v>22.06</v>
      </c>
      <c r="BG531" s="306">
        <f>DailyMet!I515</f>
        <v>14.9</v>
      </c>
      <c r="BH531" s="306">
        <f t="shared" si="426"/>
        <v>22.06</v>
      </c>
      <c r="BI531" s="306">
        <f t="shared" si="427"/>
        <v>14.9</v>
      </c>
      <c r="BJ531" s="306">
        <f t="shared" si="428"/>
        <v>8.48</v>
      </c>
      <c r="BK531" s="306">
        <f t="shared" si="455"/>
        <v>0</v>
      </c>
      <c r="BL531" s="304">
        <f t="shared" si="429"/>
        <v>0</v>
      </c>
      <c r="BM531" s="304">
        <f t="shared" si="430"/>
        <v>8.48</v>
      </c>
      <c r="BN531" s="304">
        <f t="shared" si="447"/>
        <v>8.48</v>
      </c>
      <c r="BO531" s="306">
        <f t="shared" si="448"/>
        <v>0</v>
      </c>
      <c r="BP531" s="306"/>
    </row>
    <row r="532" spans="1:68">
      <c r="A532" s="299">
        <f t="shared" si="401"/>
        <v>0</v>
      </c>
      <c r="B532" s="300">
        <f t="shared" si="402"/>
        <v>38497</v>
      </c>
      <c r="C532" s="301" t="e">
        <f t="shared" si="431"/>
        <v>#N/A</v>
      </c>
      <c r="D532" s="301" t="e">
        <f t="shared" si="403"/>
        <v>#N/A</v>
      </c>
      <c r="E532" s="299">
        <f t="shared" si="404"/>
        <v>511</v>
      </c>
      <c r="F532" s="396">
        <f>Weather!M516</f>
        <v>0</v>
      </c>
      <c r="G532" s="301">
        <f>IF(Weather!C516="","",Weather!C516)</f>
        <v>3.3593656368550193</v>
      </c>
      <c r="H532" s="301">
        <f>IF(Weather!D516="","",Weather!D516)</f>
        <v>3.6860224665711194</v>
      </c>
      <c r="I532" s="502">
        <f>IF(Weather!E516="","",Weather!E516)</f>
        <v>3.6860224665711194</v>
      </c>
      <c r="J532" s="397">
        <f>IF(RnSplint!N195&lt;0,0,RnSplint!N195)</f>
        <v>3.0860047790319598</v>
      </c>
      <c r="K532" s="302">
        <f t="shared" si="432"/>
        <v>0</v>
      </c>
      <c r="L532" s="303">
        <f t="shared" si="433"/>
        <v>38497</v>
      </c>
      <c r="M532" s="346" t="str">
        <f t="shared" si="450"/>
        <v/>
      </c>
      <c r="N532" s="304">
        <f t="shared" si="434"/>
        <v>0</v>
      </c>
      <c r="O532" s="304">
        <f t="shared" si="435"/>
        <v>0</v>
      </c>
      <c r="P532" s="304">
        <f t="shared" si="405"/>
        <v>0</v>
      </c>
      <c r="Q532" s="304">
        <f t="shared" si="406"/>
        <v>0.45400170760758446</v>
      </c>
      <c r="R532" s="304">
        <f t="shared" si="407"/>
        <v>0.45400170760758446</v>
      </c>
      <c r="S532" s="305" t="e">
        <f t="shared" si="436"/>
        <v>#N/A</v>
      </c>
      <c r="T532" s="304">
        <f t="shared" si="408"/>
        <v>0</v>
      </c>
      <c r="U532" s="304">
        <f t="shared" si="446"/>
        <v>0</v>
      </c>
      <c r="V532" s="305" t="e">
        <f t="shared" si="409"/>
        <v>#N/A</v>
      </c>
      <c r="W532" s="305" t="e">
        <f t="shared" si="437"/>
        <v>#N/A</v>
      </c>
      <c r="X532" s="304">
        <f t="shared" si="438"/>
        <v>0.45400170760758446</v>
      </c>
      <c r="Z532" s="304" t="str">
        <f t="shared" si="410"/>
        <v/>
      </c>
      <c r="AA532" s="305" t="e">
        <f t="shared" si="411"/>
        <v>#N/A</v>
      </c>
      <c r="AB532" s="304">
        <f t="shared" si="412"/>
        <v>1.6734604941032085</v>
      </c>
      <c r="AC532" s="304" t="str">
        <f t="shared" si="439"/>
        <v/>
      </c>
      <c r="AD532" s="306">
        <f t="shared" si="413"/>
        <v>0</v>
      </c>
      <c r="AE532" s="307">
        <f t="shared" si="440"/>
        <v>1.6734604941032085</v>
      </c>
      <c r="AF532" s="308" t="e">
        <f t="shared" si="449"/>
        <v>#N/A</v>
      </c>
      <c r="AG532" s="306">
        <f t="shared" si="441"/>
        <v>856.11103854177134</v>
      </c>
      <c r="AH532" s="306">
        <f t="shared" si="414"/>
        <v>0</v>
      </c>
      <c r="AI532" s="306">
        <f t="shared" si="442"/>
        <v>0</v>
      </c>
      <c r="AJ532" s="306">
        <f t="shared" si="443"/>
        <v>0</v>
      </c>
      <c r="AK532" s="306">
        <f t="shared" si="415"/>
        <v>0</v>
      </c>
      <c r="AL532" s="306">
        <f t="shared" si="444"/>
        <v>0</v>
      </c>
      <c r="AM532" s="306">
        <f t="shared" si="416"/>
        <v>0</v>
      </c>
      <c r="AN532" s="306"/>
      <c r="AO532" s="304" t="str">
        <f t="shared" si="417"/>
        <v/>
      </c>
      <c r="AP532" s="304" t="str">
        <f t="shared" si="445"/>
        <v/>
      </c>
      <c r="AQ532" s="305" t="e">
        <f t="shared" si="451"/>
        <v>#N/A</v>
      </c>
      <c r="AR532" s="304" t="str">
        <f t="shared" si="452"/>
        <v/>
      </c>
      <c r="AS532" s="306">
        <f t="shared" si="418"/>
        <v>0</v>
      </c>
      <c r="AT532" s="307" t="e">
        <f t="shared" si="453"/>
        <v>#N/A</v>
      </c>
      <c r="AU532" s="307" t="e">
        <f t="shared" si="454"/>
        <v>#N/A</v>
      </c>
      <c r="AV532" s="304">
        <f t="shared" si="456"/>
        <v>3.6860224665711194</v>
      </c>
      <c r="AW532" s="309">
        <f t="shared" si="419"/>
        <v>32.236717579744507</v>
      </c>
      <c r="AX532" s="306">
        <f>IF(ISERROR(Weather!M516),#N/A,Weather!M516)</f>
        <v>0</v>
      </c>
      <c r="AY532" s="310">
        <f t="shared" si="420"/>
        <v>12</v>
      </c>
      <c r="AZ532" s="309">
        <f t="shared" si="421"/>
        <v>0.45400170760758446</v>
      </c>
      <c r="BA532" s="309">
        <f t="shared" si="422"/>
        <v>428.72280493166807</v>
      </c>
      <c r="BB532" s="311">
        <f>Irrig!H534</f>
        <v>0</v>
      </c>
      <c r="BC532" s="310">
        <f t="shared" si="423"/>
        <v>0</v>
      </c>
      <c r="BD532" s="309">
        <f t="shared" si="424"/>
        <v>0</v>
      </c>
      <c r="BE532" s="309">
        <f t="shared" si="425"/>
        <v>0</v>
      </c>
      <c r="BF532" s="306">
        <f>DailyMet!H516</f>
        <v>21.08</v>
      </c>
      <c r="BG532" s="306">
        <f>DailyMet!I516</f>
        <v>15.6</v>
      </c>
      <c r="BH532" s="306">
        <f t="shared" si="426"/>
        <v>21.08</v>
      </c>
      <c r="BI532" s="306">
        <f t="shared" si="427"/>
        <v>15.6</v>
      </c>
      <c r="BJ532" s="306">
        <f t="shared" si="428"/>
        <v>8.34</v>
      </c>
      <c r="BK532" s="306">
        <f t="shared" si="455"/>
        <v>0</v>
      </c>
      <c r="BL532" s="304">
        <f t="shared" si="429"/>
        <v>0</v>
      </c>
      <c r="BM532" s="304">
        <f t="shared" si="430"/>
        <v>8.34</v>
      </c>
      <c r="BN532" s="304">
        <f t="shared" si="447"/>
        <v>8.34</v>
      </c>
      <c r="BO532" s="306">
        <f t="shared" si="448"/>
        <v>0</v>
      </c>
      <c r="BP532" s="306"/>
    </row>
    <row r="533" spans="1:68">
      <c r="A533" s="299">
        <f t="shared" si="401"/>
        <v>0</v>
      </c>
      <c r="B533" s="300">
        <f t="shared" si="402"/>
        <v>38498</v>
      </c>
      <c r="C533" s="301" t="e">
        <f t="shared" si="431"/>
        <v>#N/A</v>
      </c>
      <c r="D533" s="301" t="e">
        <f t="shared" si="403"/>
        <v>#N/A</v>
      </c>
      <c r="E533" s="299">
        <f t="shared" si="404"/>
        <v>512</v>
      </c>
      <c r="F533" s="396">
        <f>Weather!M517</f>
        <v>9.8000000000000007</v>
      </c>
      <c r="G533" s="301">
        <f>IF(Weather!C517="","",Weather!C517)</f>
        <v>3.4104089255149224</v>
      </c>
      <c r="H533" s="301">
        <f>IF(Weather!D517="","",Weather!D517)</f>
        <v>3.28904064531531</v>
      </c>
      <c r="I533" s="502">
        <f>IF(Weather!E517="","",Weather!E517)</f>
        <v>3.28904064531531</v>
      </c>
      <c r="J533" s="397">
        <f>IF(RnSplint!N196&lt;0,0,RnSplint!N196)</f>
        <v>2.7366991651115331</v>
      </c>
      <c r="K533" s="302">
        <f t="shared" si="432"/>
        <v>0</v>
      </c>
      <c r="L533" s="303">
        <f t="shared" si="433"/>
        <v>38498</v>
      </c>
      <c r="M533" s="346" t="str">
        <f t="shared" si="450"/>
        <v/>
      </c>
      <c r="N533" s="304">
        <f t="shared" si="434"/>
        <v>0</v>
      </c>
      <c r="O533" s="304">
        <f t="shared" si="435"/>
        <v>0</v>
      </c>
      <c r="P533" s="304">
        <f t="shared" si="405"/>
        <v>0</v>
      </c>
      <c r="Q533" s="304">
        <f t="shared" si="406"/>
        <v>1.2</v>
      </c>
      <c r="R533" s="304">
        <f t="shared" si="407"/>
        <v>1.2</v>
      </c>
      <c r="S533" s="305" t="e">
        <f t="shared" si="436"/>
        <v>#N/A</v>
      </c>
      <c r="T533" s="304">
        <f t="shared" si="408"/>
        <v>0</v>
      </c>
      <c r="U533" s="304">
        <f t="shared" si="446"/>
        <v>0</v>
      </c>
      <c r="V533" s="305" t="e">
        <f t="shared" si="409"/>
        <v>#N/A</v>
      </c>
      <c r="W533" s="305" t="e">
        <f t="shared" si="437"/>
        <v>#N/A</v>
      </c>
      <c r="X533" s="304">
        <f t="shared" si="438"/>
        <v>1.2</v>
      </c>
      <c r="Z533" s="304" t="str">
        <f t="shared" si="410"/>
        <v/>
      </c>
      <c r="AA533" s="305" t="e">
        <f t="shared" si="411"/>
        <v>#N/A</v>
      </c>
      <c r="AB533" s="304">
        <f t="shared" si="412"/>
        <v>3.9468487743783718</v>
      </c>
      <c r="AC533" s="304" t="str">
        <f t="shared" si="439"/>
        <v/>
      </c>
      <c r="AD533" s="306">
        <f t="shared" si="413"/>
        <v>0</v>
      </c>
      <c r="AE533" s="307">
        <f t="shared" si="440"/>
        <v>3.9468487743783718</v>
      </c>
      <c r="AF533" s="308" t="e">
        <f t="shared" si="449"/>
        <v>#N/A</v>
      </c>
      <c r="AG533" s="306">
        <f t="shared" si="441"/>
        <v>859.40007918708659</v>
      </c>
      <c r="AH533" s="306">
        <f t="shared" si="414"/>
        <v>0</v>
      </c>
      <c r="AI533" s="306">
        <f t="shared" si="442"/>
        <v>0</v>
      </c>
      <c r="AJ533" s="306">
        <f t="shared" si="443"/>
        <v>0</v>
      </c>
      <c r="AK533" s="306">
        <f t="shared" si="415"/>
        <v>0</v>
      </c>
      <c r="AL533" s="306">
        <f t="shared" si="444"/>
        <v>0</v>
      </c>
      <c r="AM533" s="306">
        <f t="shared" si="416"/>
        <v>0</v>
      </c>
      <c r="AN533" s="306"/>
      <c r="AO533" s="304" t="str">
        <f t="shared" si="417"/>
        <v/>
      </c>
      <c r="AP533" s="304" t="str">
        <f t="shared" si="445"/>
        <v/>
      </c>
      <c r="AQ533" s="305" t="e">
        <f t="shared" si="451"/>
        <v>#N/A</v>
      </c>
      <c r="AR533" s="304" t="str">
        <f t="shared" si="452"/>
        <v/>
      </c>
      <c r="AS533" s="306">
        <f t="shared" si="418"/>
        <v>0</v>
      </c>
      <c r="AT533" s="307" t="e">
        <f t="shared" si="453"/>
        <v>#N/A</v>
      </c>
      <c r="AU533" s="307" t="e">
        <f t="shared" si="454"/>
        <v>#N/A</v>
      </c>
      <c r="AV533" s="304">
        <f t="shared" si="456"/>
        <v>3.28904064531531</v>
      </c>
      <c r="AW533" s="309">
        <f t="shared" si="419"/>
        <v>3.28904064531531</v>
      </c>
      <c r="AX533" s="306">
        <f>IF(ISERROR(Weather!M517),#N/A,Weather!M517)</f>
        <v>9.8000000000000007</v>
      </c>
      <c r="AY533" s="310">
        <f t="shared" si="420"/>
        <v>1</v>
      </c>
      <c r="AZ533" s="309">
        <f t="shared" si="421"/>
        <v>1.2</v>
      </c>
      <c r="BA533" s="309">
        <f t="shared" si="422"/>
        <v>432.01184557698338</v>
      </c>
      <c r="BB533" s="311">
        <f>Irrig!H535</f>
        <v>0</v>
      </c>
      <c r="BC533" s="310">
        <f t="shared" si="423"/>
        <v>0</v>
      </c>
      <c r="BD533" s="309">
        <f t="shared" si="424"/>
        <v>0</v>
      </c>
      <c r="BE533" s="309">
        <f t="shared" si="425"/>
        <v>0</v>
      </c>
      <c r="BF533" s="306">
        <f>DailyMet!H517</f>
        <v>18.7</v>
      </c>
      <c r="BG533" s="306">
        <f>DailyMet!I517</f>
        <v>13.9</v>
      </c>
      <c r="BH533" s="306">
        <f t="shared" si="426"/>
        <v>18.7</v>
      </c>
      <c r="BI533" s="306">
        <f t="shared" si="427"/>
        <v>13.9</v>
      </c>
      <c r="BJ533" s="306">
        <f t="shared" si="428"/>
        <v>6.3000000000000007</v>
      </c>
      <c r="BK533" s="306">
        <f t="shared" si="455"/>
        <v>0</v>
      </c>
      <c r="BL533" s="304">
        <f t="shared" si="429"/>
        <v>0</v>
      </c>
      <c r="BM533" s="304">
        <f t="shared" si="430"/>
        <v>6.3000000000000007</v>
      </c>
      <c r="BN533" s="304">
        <f t="shared" si="447"/>
        <v>6.3000000000000007</v>
      </c>
      <c r="BO533" s="306">
        <f t="shared" si="448"/>
        <v>0</v>
      </c>
      <c r="BP533" s="306"/>
    </row>
    <row r="534" spans="1:68">
      <c r="A534" s="299">
        <f t="shared" ref="A534:A597" si="457">IF(B534&gt;K$12,0,IF(B534&gt;L$11,4,IF(B534&gt;=L$10,3,IF(B534&gt;L$9,2,IF(B534&gt;=K$8,1,0)))))</f>
        <v>0</v>
      </c>
      <c r="B534" s="300">
        <f t="shared" ref="B534:B599" si="458">B533+1</f>
        <v>38499</v>
      </c>
      <c r="C534" s="301" t="e">
        <f t="shared" si="431"/>
        <v>#N/A</v>
      </c>
      <c r="D534" s="301" t="e">
        <f t="shared" ref="D534:D597" si="459">IF(ISNA(C534),#N/A,IF(Q534&lt;C534,Q534,C534))</f>
        <v>#N/A</v>
      </c>
      <c r="E534" s="299">
        <f t="shared" ref="E534:E599" si="460">B534-DATE(K$2-1,12,31)</f>
        <v>513</v>
      </c>
      <c r="F534" s="396">
        <f>Weather!M518</f>
        <v>6.4</v>
      </c>
      <c r="G534" s="301">
        <f>IF(Weather!C518="","",Weather!C518)</f>
        <v>3.4606059695024944</v>
      </c>
      <c r="H534" s="301">
        <f>IF(Weather!D518="","",Weather!D518)</f>
        <v>3.2219838024285434</v>
      </c>
      <c r="I534" s="502">
        <f>IF(Weather!E518="","",Weather!E518)</f>
        <v>3.2219838024285434</v>
      </c>
      <c r="J534" s="397">
        <f>IF(RnSplint!N197&lt;0,0,RnSplint!N197)</f>
        <v>2.4239337496861424</v>
      </c>
      <c r="K534" s="302">
        <f t="shared" si="432"/>
        <v>0</v>
      </c>
      <c r="L534" s="303">
        <f t="shared" si="433"/>
        <v>38499</v>
      </c>
      <c r="M534" s="346" t="str">
        <f t="shared" si="450"/>
        <v/>
      </c>
      <c r="N534" s="304">
        <f t="shared" si="434"/>
        <v>0</v>
      </c>
      <c r="O534" s="304">
        <f t="shared" si="435"/>
        <v>0</v>
      </c>
      <c r="P534" s="304">
        <f t="shared" ref="P534:P598" si="461">IF($N534+$O534&gt;K$6,$K$6,$N534+$O534)</f>
        <v>0</v>
      </c>
      <c r="Q534" s="304">
        <f t="shared" ref="Q534:Q598" si="462">AZ534</f>
        <v>1.0363905739037</v>
      </c>
      <c r="R534" s="304">
        <f t="shared" ref="R534:R597" si="463">IF(Q534&gt;P534,Q534,P534)</f>
        <v>1.0363905739037</v>
      </c>
      <c r="S534" s="305" t="e">
        <f t="shared" si="436"/>
        <v>#N/A</v>
      </c>
      <c r="T534" s="304">
        <f t="shared" ref="T534:T598" si="464">BE534</f>
        <v>0</v>
      </c>
      <c r="U534" s="304">
        <f t="shared" si="446"/>
        <v>0</v>
      </c>
      <c r="V534" s="305" t="e">
        <f t="shared" ref="V534:V597" si="465">IF(N534=0,#N/A,U534)</f>
        <v>#N/A</v>
      </c>
      <c r="W534" s="305" t="e">
        <f t="shared" si="437"/>
        <v>#N/A</v>
      </c>
      <c r="X534" s="304">
        <f t="shared" si="438"/>
        <v>1.0363905739037</v>
      </c>
      <c r="Z534" s="304" t="str">
        <f t="shared" ref="Z534:Z597" si="466">IF(A534=2,X534,"")</f>
        <v/>
      </c>
      <c r="AA534" s="305" t="e">
        <f t="shared" ref="AA534:AA597" si="467">IF(N534=0,#N/A,X534)</f>
        <v>#N/A</v>
      </c>
      <c r="AB534" s="304">
        <f t="shared" ref="AB534:AB597" si="468">X534*AV534</f>
        <v>3.3392336421073439</v>
      </c>
      <c r="AC534" s="304" t="str">
        <f t="shared" si="439"/>
        <v/>
      </c>
      <c r="AD534" s="306">
        <f t="shared" ref="AD534:AD597" si="469">IF(OR(AND(L$3=4,E534&gt;366),AND(L$3=2,E534&gt;366)),0,IF(A534=0,0,AD533+AB534))</f>
        <v>0</v>
      </c>
      <c r="AE534" s="307">
        <f t="shared" si="440"/>
        <v>3.3392336421073439</v>
      </c>
      <c r="AF534" s="308" t="e">
        <f t="shared" si="449"/>
        <v>#N/A</v>
      </c>
      <c r="AG534" s="306">
        <f t="shared" si="441"/>
        <v>862.62206298951514</v>
      </c>
      <c r="AH534" s="306">
        <f t="shared" ref="AH534:AH597" si="470">IF($A534=1,I534,0)</f>
        <v>0</v>
      </c>
      <c r="AI534" s="306">
        <f t="shared" si="442"/>
        <v>0</v>
      </c>
      <c r="AJ534" s="306">
        <f t="shared" si="443"/>
        <v>0</v>
      </c>
      <c r="AK534" s="306">
        <f t="shared" ref="AK534:AK598" si="471">IF($A534=1,AE534,0)</f>
        <v>0</v>
      </c>
      <c r="AL534" s="306">
        <f t="shared" si="444"/>
        <v>0</v>
      </c>
      <c r="AM534" s="306">
        <f t="shared" ref="AM534:AM597" si="472">IF($A534=4,$AE534,0)</f>
        <v>0</v>
      </c>
      <c r="AN534" s="306"/>
      <c r="AO534" s="304" t="str">
        <f t="shared" ref="AO534:AO599" si="473">IF($A534=1,$AC$9,IF($A534=2,$AP533+$AD$9,IF($A534=3,$AC$10,IF($A534=4,$AP533+$AD$11,""))))</f>
        <v/>
      </c>
      <c r="AP534" s="304" t="str">
        <f t="shared" si="445"/>
        <v/>
      </c>
      <c r="AQ534" s="305" t="e">
        <f t="shared" si="451"/>
        <v>#N/A</v>
      </c>
      <c r="AR534" s="304" t="str">
        <f t="shared" si="452"/>
        <v/>
      </c>
      <c r="AS534" s="306">
        <f t="shared" ref="AS534:AS597" si="474">IF(OR(AND(L$3=4,E534&gt;366),AND(L$3=2,E534&gt;366)),0,IF(AR534="",0,AS533+AR534))</f>
        <v>0</v>
      </c>
      <c r="AT534" s="307" t="e">
        <f t="shared" si="453"/>
        <v>#N/A</v>
      </c>
      <c r="AU534" s="307" t="e">
        <f t="shared" si="454"/>
        <v>#N/A</v>
      </c>
      <c r="AV534" s="304">
        <f t="shared" si="456"/>
        <v>3.2219838024285434</v>
      </c>
      <c r="AW534" s="309">
        <f t="shared" ref="AW534:AW597" si="475">IF(AV534="",0,IF(AY534=1,AV534,AW533+AV534))</f>
        <v>6.5110244477438535</v>
      </c>
      <c r="AX534" s="306">
        <f>IF(ISERROR(Weather!M518),#N/A,Weather!M518)</f>
        <v>6.4</v>
      </c>
      <c r="AY534" s="310">
        <f t="shared" ref="AY534:AY597" si="476">IF(AV534="",0,IF(AX534&gt;2*AV534,1,AY533+1))</f>
        <v>2</v>
      </c>
      <c r="AZ534" s="309">
        <f t="shared" ref="AZ534:AZ599" si="477">IF(2.725*$AW534^-0.516&gt;1.2,1.2,2.725*$AW534^-0.516)</f>
        <v>1.0363905739037</v>
      </c>
      <c r="BA534" s="309">
        <f t="shared" ref="BA534:BA598" si="478">IF($AV534="",0,IF(BC534=1,$AV534,BA533+$AV534))</f>
        <v>435.23382937941193</v>
      </c>
      <c r="BB534" s="311">
        <f>Irrig!H536</f>
        <v>0</v>
      </c>
      <c r="BC534" s="310">
        <f t="shared" ref="BC534:BC597" si="479">IF(A534=0,0,IF(BB534="",0,IF(BB534&gt;2*AV534,1,IF(A533=0,2,BC533+1))))</f>
        <v>0</v>
      </c>
      <c r="BD534" s="309">
        <f t="shared" ref="BD534:BD597" si="480">IF($A534=0,0,IF(2.725*$BA534^-0.516&gt;1.2,IF($A533=0,$Q534,1.2),IF($A533=0,$Q534,2.725*$BA534^-0.516)))</f>
        <v>0</v>
      </c>
      <c r="BE534" s="309">
        <f t="shared" ref="BE534:BE597" si="481">(BE$18/100)*BD534</f>
        <v>0</v>
      </c>
      <c r="BF534" s="306">
        <f>DailyMet!H518</f>
        <v>19.57</v>
      </c>
      <c r="BG534" s="306">
        <f>DailyMet!I518</f>
        <v>11.1</v>
      </c>
      <c r="BH534" s="306">
        <f t="shared" ref="BH534:BH598" si="482">IF(BF534&gt;$V$3,$V$3,BF534)</f>
        <v>19.57</v>
      </c>
      <c r="BI534" s="306">
        <f t="shared" ref="BI534:BI598" si="483">IF(BG534&lt;$V$4,$V$4,BG534)</f>
        <v>11.1</v>
      </c>
      <c r="BJ534" s="306">
        <f t="shared" ref="BJ534:BJ597" si="484">(BH534+BI534)/2-V$4</f>
        <v>5.3350000000000009</v>
      </c>
      <c r="BK534" s="306">
        <f t="shared" si="455"/>
        <v>0</v>
      </c>
      <c r="BL534" s="304">
        <f t="shared" ref="BL534:BL597" si="485">IF($BG534&gt;$V$3,($BG534+$BF534)/2-$V$3,IF($BF534&gt;$V$3,($BF534-$V$3)^2/(2*($BF534-$BG534)),0))</f>
        <v>0</v>
      </c>
      <c r="BM534" s="304">
        <f t="shared" ref="BM534:BM597" si="486">IF($BG534&gt;$V$4,($BG534+$BF534)/2-$V$4,IF($BF534&gt;$V$4,($BF534-$V$4)^2/(2*($BF534-$BG534)),0))</f>
        <v>5.3350000000000009</v>
      </c>
      <c r="BN534" s="304">
        <f t="shared" si="447"/>
        <v>5.3350000000000009</v>
      </c>
      <c r="BO534" s="306">
        <f t="shared" si="448"/>
        <v>0</v>
      </c>
      <c r="BP534" s="306"/>
    </row>
    <row r="535" spans="1:68">
      <c r="A535" s="299">
        <f t="shared" si="457"/>
        <v>0</v>
      </c>
      <c r="B535" s="300">
        <f t="shared" si="458"/>
        <v>38500</v>
      </c>
      <c r="C535" s="301" t="e">
        <f t="shared" ref="C535:C598" si="487">VLOOKUP(B535,$L$8:$R$12,7,FALSE)</f>
        <v>#N/A</v>
      </c>
      <c r="D535" s="301" t="e">
        <f t="shared" si="459"/>
        <v>#N/A</v>
      </c>
      <c r="E535" s="299">
        <f t="shared" si="460"/>
        <v>514</v>
      </c>
      <c r="F535" s="396">
        <f>Weather!M519</f>
        <v>0</v>
      </c>
      <c r="G535" s="301">
        <f>IF(Weather!C519="","",Weather!C519)</f>
        <v>3.5099221011426276</v>
      </c>
      <c r="H535" s="301">
        <f>IF(Weather!D519="","",Weather!D519)</f>
        <v>2.8444012802599774</v>
      </c>
      <c r="I535" s="502">
        <f>IF(Weather!E519="","",Weather!E519)</f>
        <v>2.8444012802599774</v>
      </c>
      <c r="J535" s="397">
        <f>IF(RnSplint!N198&lt;0,0,RnSplint!N198)</f>
        <v>2.1484604372199891</v>
      </c>
      <c r="K535" s="302">
        <f t="shared" ref="K535:K598" si="488">IF(AND($B535&gt;=L$8,$B535&lt;=L$9),Z$9,IF(AND($B535&gt;L$9,$B535&lt;=L$10),N534+AA$9,IF(AND($B535&gt;L$10,$B535&lt;=L$11),N534+AA$10,IF(AND($B535&gt;L$11,$B535&lt;=L$12),N534+AA$11,0))))</f>
        <v>0</v>
      </c>
      <c r="L535" s="303">
        <f t="shared" ref="L535:L598" si="489">B535</f>
        <v>38500</v>
      </c>
      <c r="M535" s="346" t="str">
        <f t="shared" si="450"/>
        <v/>
      </c>
      <c r="N535" s="304">
        <f t="shared" ref="N535:N598" si="490">K535</f>
        <v>0</v>
      </c>
      <c r="O535" s="304">
        <f t="shared" ref="O535:O598" si="491">IF($L$3&lt;3,0,IF($R$3=E535,R$2,IF($R$4=E534,0,IF($R$5=E535,R$2,IF($R$6=E534,0,O534)))))</f>
        <v>0</v>
      </c>
      <c r="P535" s="304">
        <f t="shared" si="461"/>
        <v>0</v>
      </c>
      <c r="Q535" s="304">
        <f t="shared" si="462"/>
        <v>0.85960258351451468</v>
      </c>
      <c r="R535" s="304">
        <f t="shared" si="463"/>
        <v>0.85960258351451468</v>
      </c>
      <c r="S535" s="305" t="e">
        <f t="shared" ref="S535:S598" si="492">IF(N535=0,#N/A,R535)</f>
        <v>#N/A</v>
      </c>
      <c r="T535" s="304">
        <f t="shared" si="464"/>
        <v>0</v>
      </c>
      <c r="U535" s="304">
        <f t="shared" si="446"/>
        <v>0</v>
      </c>
      <c r="V535" s="305" t="e">
        <f t="shared" si="465"/>
        <v>#N/A</v>
      </c>
      <c r="W535" s="305" t="e">
        <f t="shared" ref="W535:W598" si="493">IF(OR(P535=0,P535=""),#N/A,P535)</f>
        <v>#N/A</v>
      </c>
      <c r="X535" s="304">
        <f t="shared" ref="X535:X598" si="494">IF(R535&gt;U535,R535,U535)</f>
        <v>0.85960258351451468</v>
      </c>
      <c r="Z535" s="304" t="str">
        <f t="shared" si="466"/>
        <v/>
      </c>
      <c r="AA535" s="305" t="e">
        <f t="shared" si="467"/>
        <v>#N/A</v>
      </c>
      <c r="AB535" s="304">
        <f t="shared" si="468"/>
        <v>2.4450546890634697</v>
      </c>
      <c r="AC535" s="304" t="str">
        <f t="shared" ref="AC535:AC598" si="495">IF($A535=4,$X535,"")</f>
        <v/>
      </c>
      <c r="AD535" s="306">
        <f t="shared" si="469"/>
        <v>0</v>
      </c>
      <c r="AE535" s="307">
        <f t="shared" ref="AE535:AE598" si="496">IF(AB535="",#N/A,AB535)</f>
        <v>2.4450546890634697</v>
      </c>
      <c r="AF535" s="308" t="e">
        <f t="shared" si="449"/>
        <v>#N/A</v>
      </c>
      <c r="AG535" s="306">
        <f t="shared" ref="AG535:AG598" si="497">AG534+$I535</f>
        <v>865.46646426977509</v>
      </c>
      <c r="AH535" s="306">
        <f t="shared" si="470"/>
        <v>0</v>
      </c>
      <c r="AI535" s="306">
        <f t="shared" ref="AI535:AI598" si="498">IF($A535=3,I535,0)</f>
        <v>0</v>
      </c>
      <c r="AJ535" s="306">
        <f t="shared" ref="AJ535:AJ599" si="499">IF($A535=4,$I535,0)</f>
        <v>0</v>
      </c>
      <c r="AK535" s="306">
        <f t="shared" si="471"/>
        <v>0</v>
      </c>
      <c r="AL535" s="306">
        <f t="shared" ref="AL535:AL598" si="500">IF($A535=3,AE535,0)</f>
        <v>0</v>
      </c>
      <c r="AM535" s="306">
        <f t="shared" si="472"/>
        <v>0</v>
      </c>
      <c r="AN535" s="306"/>
      <c r="AO535" s="304" t="str">
        <f t="shared" si="473"/>
        <v/>
      </c>
      <c r="AP535" s="304" t="str">
        <f t="shared" ref="AP535:AP598" si="501">IF(OR($L$3=2,$L$3=4),AN535,AO535)</f>
        <v/>
      </c>
      <c r="AQ535" s="305" t="e">
        <f t="shared" si="451"/>
        <v>#N/A</v>
      </c>
      <c r="AR535" s="304" t="str">
        <f t="shared" si="452"/>
        <v/>
      </c>
      <c r="AS535" s="306">
        <f t="shared" si="474"/>
        <v>0</v>
      </c>
      <c r="AT535" s="307" t="e">
        <f t="shared" si="453"/>
        <v>#N/A</v>
      </c>
      <c r="AU535" s="307" t="e">
        <f t="shared" si="454"/>
        <v>#N/A</v>
      </c>
      <c r="AV535" s="304">
        <f t="shared" si="456"/>
        <v>2.8444012802599774</v>
      </c>
      <c r="AW535" s="309">
        <f t="shared" si="475"/>
        <v>9.35542572800383</v>
      </c>
      <c r="AX535" s="306">
        <f>IF(ISERROR(Weather!M519),#N/A,Weather!M519)</f>
        <v>0</v>
      </c>
      <c r="AY535" s="310">
        <f t="shared" si="476"/>
        <v>3</v>
      </c>
      <c r="AZ535" s="309">
        <f t="shared" si="477"/>
        <v>0.85960258351451468</v>
      </c>
      <c r="BA535" s="309">
        <f t="shared" si="478"/>
        <v>438.07823065967193</v>
      </c>
      <c r="BB535" s="311">
        <f>Irrig!H537</f>
        <v>0</v>
      </c>
      <c r="BC535" s="310">
        <f t="shared" si="479"/>
        <v>0</v>
      </c>
      <c r="BD535" s="309">
        <f t="shared" si="480"/>
        <v>0</v>
      </c>
      <c r="BE535" s="309">
        <f t="shared" si="481"/>
        <v>0</v>
      </c>
      <c r="BF535" s="306">
        <f>DailyMet!H519</f>
        <v>19.75</v>
      </c>
      <c r="BG535" s="306">
        <f>DailyMet!I519</f>
        <v>14.7</v>
      </c>
      <c r="BH535" s="306">
        <f t="shared" si="482"/>
        <v>19.75</v>
      </c>
      <c r="BI535" s="306">
        <f t="shared" si="483"/>
        <v>14.7</v>
      </c>
      <c r="BJ535" s="306">
        <f t="shared" si="484"/>
        <v>7.2250000000000014</v>
      </c>
      <c r="BK535" s="306">
        <f t="shared" si="455"/>
        <v>0</v>
      </c>
      <c r="BL535" s="304">
        <f t="shared" si="485"/>
        <v>0</v>
      </c>
      <c r="BM535" s="304">
        <f t="shared" si="486"/>
        <v>7.2250000000000014</v>
      </c>
      <c r="BN535" s="304">
        <f t="shared" si="447"/>
        <v>7.2250000000000014</v>
      </c>
      <c r="BO535" s="306">
        <f t="shared" si="448"/>
        <v>0</v>
      </c>
      <c r="BP535" s="306"/>
    </row>
    <row r="536" spans="1:68">
      <c r="A536" s="299">
        <f t="shared" si="457"/>
        <v>0</v>
      </c>
      <c r="B536" s="300">
        <f t="shared" si="458"/>
        <v>38501</v>
      </c>
      <c r="C536" s="301" t="e">
        <f t="shared" si="487"/>
        <v>#N/A</v>
      </c>
      <c r="D536" s="301" t="e">
        <f t="shared" si="459"/>
        <v>#N/A</v>
      </c>
      <c r="E536" s="299">
        <f t="shared" si="460"/>
        <v>515</v>
      </c>
      <c r="F536" s="396">
        <f>Weather!M520</f>
        <v>0</v>
      </c>
      <c r="G536" s="301">
        <f>IF(Weather!C520="","",Weather!C520)</f>
        <v>3.5583226527602165</v>
      </c>
      <c r="H536" s="301">
        <f>IF(Weather!D520="","",Weather!D520)</f>
        <v>3.3058542029797064</v>
      </c>
      <c r="I536" s="502">
        <f>IF(Weather!E520="","",Weather!E520)</f>
        <v>3.3058542029797064</v>
      </c>
      <c r="J536" s="397">
        <f>IF(RnSplint!N199&lt;0,0,RnSplint!N199)</f>
        <v>1.9110311321772659</v>
      </c>
      <c r="K536" s="302">
        <f t="shared" si="488"/>
        <v>0</v>
      </c>
      <c r="L536" s="303">
        <f t="shared" si="489"/>
        <v>38501</v>
      </c>
      <c r="M536" s="346" t="str">
        <f t="shared" si="450"/>
        <v/>
      </c>
      <c r="N536" s="304">
        <f t="shared" si="490"/>
        <v>0</v>
      </c>
      <c r="O536" s="304">
        <f t="shared" si="491"/>
        <v>0</v>
      </c>
      <c r="P536" s="304">
        <f t="shared" si="461"/>
        <v>0</v>
      </c>
      <c r="Q536" s="304">
        <f t="shared" si="462"/>
        <v>0.73533977764666714</v>
      </c>
      <c r="R536" s="304">
        <f t="shared" si="463"/>
        <v>0.73533977764666714</v>
      </c>
      <c r="S536" s="305" t="e">
        <f t="shared" si="492"/>
        <v>#N/A</v>
      </c>
      <c r="T536" s="304">
        <f t="shared" si="464"/>
        <v>0</v>
      </c>
      <c r="U536" s="304">
        <f t="shared" ref="U536:U598" si="502">IF(T536&gt;P536,T536,P536)</f>
        <v>0</v>
      </c>
      <c r="V536" s="305" t="e">
        <f t="shared" si="465"/>
        <v>#N/A</v>
      </c>
      <c r="W536" s="305" t="e">
        <f t="shared" si="493"/>
        <v>#N/A</v>
      </c>
      <c r="X536" s="304">
        <f t="shared" si="494"/>
        <v>0.73533977764666714</v>
      </c>
      <c r="Z536" s="304" t="str">
        <f t="shared" si="466"/>
        <v/>
      </c>
      <c r="AA536" s="305" t="e">
        <f t="shared" si="467"/>
        <v>#N/A</v>
      </c>
      <c r="AB536" s="304">
        <f t="shared" si="468"/>
        <v>2.4309260945513973</v>
      </c>
      <c r="AC536" s="304" t="str">
        <f t="shared" si="495"/>
        <v/>
      </c>
      <c r="AD536" s="306">
        <f t="shared" si="469"/>
        <v>0</v>
      </c>
      <c r="AE536" s="307">
        <f t="shared" si="496"/>
        <v>2.4309260945513973</v>
      </c>
      <c r="AF536" s="308" t="e">
        <f t="shared" si="449"/>
        <v>#N/A</v>
      </c>
      <c r="AG536" s="306">
        <f t="shared" si="497"/>
        <v>868.77231847275482</v>
      </c>
      <c r="AH536" s="306">
        <f t="shared" si="470"/>
        <v>0</v>
      </c>
      <c r="AI536" s="306">
        <f t="shared" si="498"/>
        <v>0</v>
      </c>
      <c r="AJ536" s="306">
        <f t="shared" si="499"/>
        <v>0</v>
      </c>
      <c r="AK536" s="306">
        <f t="shared" si="471"/>
        <v>0</v>
      </c>
      <c r="AL536" s="306">
        <f t="shared" si="500"/>
        <v>0</v>
      </c>
      <c r="AM536" s="306">
        <f t="shared" si="472"/>
        <v>0</v>
      </c>
      <c r="AN536" s="306"/>
      <c r="AO536" s="304" t="str">
        <f t="shared" si="473"/>
        <v/>
      </c>
      <c r="AP536" s="304" t="str">
        <f t="shared" si="501"/>
        <v/>
      </c>
      <c r="AQ536" s="305" t="e">
        <f t="shared" si="451"/>
        <v>#N/A</v>
      </c>
      <c r="AR536" s="304" t="str">
        <f t="shared" si="452"/>
        <v/>
      </c>
      <c r="AS536" s="306">
        <f t="shared" si="474"/>
        <v>0</v>
      </c>
      <c r="AT536" s="307" t="e">
        <f t="shared" si="453"/>
        <v>#N/A</v>
      </c>
      <c r="AU536" s="307" t="e">
        <f t="shared" si="454"/>
        <v>#N/A</v>
      </c>
      <c r="AV536" s="304">
        <f t="shared" si="456"/>
        <v>3.3058542029797064</v>
      </c>
      <c r="AW536" s="309">
        <f t="shared" si="475"/>
        <v>12.661279930983536</v>
      </c>
      <c r="AX536" s="306">
        <f>IF(ISERROR(Weather!M520),#N/A,Weather!M520)</f>
        <v>0</v>
      </c>
      <c r="AY536" s="310">
        <f t="shared" si="476"/>
        <v>4</v>
      </c>
      <c r="AZ536" s="309">
        <f t="shared" si="477"/>
        <v>0.73533977764666714</v>
      </c>
      <c r="BA536" s="309">
        <f t="shared" si="478"/>
        <v>441.38408486265166</v>
      </c>
      <c r="BB536" s="311">
        <f>Irrig!H538</f>
        <v>0</v>
      </c>
      <c r="BC536" s="310">
        <f t="shared" si="479"/>
        <v>0</v>
      </c>
      <c r="BD536" s="309">
        <f t="shared" si="480"/>
        <v>0</v>
      </c>
      <c r="BE536" s="309">
        <f t="shared" si="481"/>
        <v>0</v>
      </c>
      <c r="BF536" s="306">
        <f>DailyMet!H520</f>
        <v>21.45</v>
      </c>
      <c r="BG536" s="306">
        <f>DailyMet!I520</f>
        <v>13.5</v>
      </c>
      <c r="BH536" s="306">
        <f t="shared" si="482"/>
        <v>21.45</v>
      </c>
      <c r="BI536" s="306">
        <f t="shared" si="483"/>
        <v>13.5</v>
      </c>
      <c r="BJ536" s="306">
        <f t="shared" si="484"/>
        <v>7.4750000000000014</v>
      </c>
      <c r="BK536" s="306">
        <f t="shared" si="455"/>
        <v>0</v>
      </c>
      <c r="BL536" s="304">
        <f t="shared" si="485"/>
        <v>0</v>
      </c>
      <c r="BM536" s="304">
        <f t="shared" si="486"/>
        <v>7.4750000000000014</v>
      </c>
      <c r="BN536" s="304">
        <f t="shared" ref="BN536:BN598" si="503">BM536-BL536</f>
        <v>7.4750000000000014</v>
      </c>
      <c r="BO536" s="306">
        <f t="shared" ref="BO536:BO599" si="504">IF(AP536="",0,BO535+BN536)</f>
        <v>0</v>
      </c>
      <c r="BP536" s="306"/>
    </row>
    <row r="537" spans="1:68">
      <c r="A537" s="299">
        <f t="shared" si="457"/>
        <v>0</v>
      </c>
      <c r="B537" s="300">
        <f t="shared" si="458"/>
        <v>38502</v>
      </c>
      <c r="C537" s="301" t="e">
        <f t="shared" si="487"/>
        <v>#N/A</v>
      </c>
      <c r="D537" s="301" t="e">
        <f t="shared" si="459"/>
        <v>#N/A</v>
      </c>
      <c r="E537" s="299">
        <f t="shared" si="460"/>
        <v>516</v>
      </c>
      <c r="F537" s="396">
        <f>Weather!M521</f>
        <v>0</v>
      </c>
      <c r="G537" s="301">
        <f>IF(Weather!C521="","",Weather!C521)</f>
        <v>3.6057729566801524</v>
      </c>
      <c r="H537" s="301">
        <f>IF(Weather!D521="","",Weather!D521)</f>
        <v>4.038093828748214</v>
      </c>
      <c r="I537" s="502">
        <f>IF(Weather!E521="","",Weather!E521)</f>
        <v>4.038093828748214</v>
      </c>
      <c r="J537" s="397">
        <f>IF(RnSplint!N200&lt;0,0,RnSplint!N200)</f>
        <v>1.7123977390221734</v>
      </c>
      <c r="K537" s="302">
        <f t="shared" si="488"/>
        <v>0</v>
      </c>
      <c r="L537" s="303">
        <f t="shared" si="489"/>
        <v>38502</v>
      </c>
      <c r="M537" s="346" t="str">
        <f t="shared" si="450"/>
        <v/>
      </c>
      <c r="N537" s="304">
        <f t="shared" si="490"/>
        <v>0</v>
      </c>
      <c r="O537" s="304">
        <f t="shared" si="491"/>
        <v>0</v>
      </c>
      <c r="P537" s="304">
        <f t="shared" si="461"/>
        <v>0</v>
      </c>
      <c r="Q537" s="304">
        <f t="shared" si="462"/>
        <v>0.63746040030674689</v>
      </c>
      <c r="R537" s="304">
        <f t="shared" si="463"/>
        <v>0.63746040030674689</v>
      </c>
      <c r="S537" s="305" t="e">
        <f t="shared" si="492"/>
        <v>#N/A</v>
      </c>
      <c r="T537" s="304">
        <f t="shared" si="464"/>
        <v>0</v>
      </c>
      <c r="U537" s="304">
        <f t="shared" si="502"/>
        <v>0</v>
      </c>
      <c r="V537" s="305" t="e">
        <f t="shared" si="465"/>
        <v>#N/A</v>
      </c>
      <c r="W537" s="305" t="e">
        <f t="shared" si="493"/>
        <v>#N/A</v>
      </c>
      <c r="X537" s="304">
        <f t="shared" si="494"/>
        <v>0.63746040030674689</v>
      </c>
      <c r="Z537" s="304" t="str">
        <f t="shared" si="466"/>
        <v/>
      </c>
      <c r="AA537" s="305" t="e">
        <f t="shared" si="467"/>
        <v>#N/A</v>
      </c>
      <c r="AB537" s="304">
        <f t="shared" si="468"/>
        <v>2.5741249085500408</v>
      </c>
      <c r="AC537" s="304" t="str">
        <f t="shared" si="495"/>
        <v/>
      </c>
      <c r="AD537" s="306">
        <f t="shared" si="469"/>
        <v>0</v>
      </c>
      <c r="AE537" s="307">
        <f t="shared" si="496"/>
        <v>2.5741249085500408</v>
      </c>
      <c r="AF537" s="308" t="e">
        <f t="shared" si="449"/>
        <v>#N/A</v>
      </c>
      <c r="AG537" s="306">
        <f t="shared" si="497"/>
        <v>872.81041230150299</v>
      </c>
      <c r="AH537" s="306">
        <f t="shared" si="470"/>
        <v>0</v>
      </c>
      <c r="AI537" s="306">
        <f t="shared" si="498"/>
        <v>0</v>
      </c>
      <c r="AJ537" s="306">
        <f t="shared" si="499"/>
        <v>0</v>
      </c>
      <c r="AK537" s="306">
        <f t="shared" si="471"/>
        <v>0</v>
      </c>
      <c r="AL537" s="306">
        <f t="shared" si="500"/>
        <v>0</v>
      </c>
      <c r="AM537" s="306">
        <f t="shared" si="472"/>
        <v>0</v>
      </c>
      <c r="AN537" s="306"/>
      <c r="AO537" s="304" t="str">
        <f t="shared" si="473"/>
        <v/>
      </c>
      <c r="AP537" s="304" t="str">
        <f t="shared" si="501"/>
        <v/>
      </c>
      <c r="AQ537" s="305" t="e">
        <f t="shared" si="451"/>
        <v>#N/A</v>
      </c>
      <c r="AR537" s="304" t="str">
        <f t="shared" si="452"/>
        <v/>
      </c>
      <c r="AS537" s="306">
        <f t="shared" si="474"/>
        <v>0</v>
      </c>
      <c r="AT537" s="307" t="e">
        <f t="shared" si="453"/>
        <v>#N/A</v>
      </c>
      <c r="AU537" s="307" t="e">
        <f t="shared" si="454"/>
        <v>#N/A</v>
      </c>
      <c r="AV537" s="304">
        <f t="shared" si="456"/>
        <v>4.038093828748214</v>
      </c>
      <c r="AW537" s="309">
        <f t="shared" si="475"/>
        <v>16.699373759731749</v>
      </c>
      <c r="AX537" s="306">
        <f>IF(ISERROR(Weather!M521),#N/A,Weather!M521)</f>
        <v>0</v>
      </c>
      <c r="AY537" s="310">
        <f t="shared" si="476"/>
        <v>5</v>
      </c>
      <c r="AZ537" s="309">
        <f t="shared" si="477"/>
        <v>0.63746040030674689</v>
      </c>
      <c r="BA537" s="309">
        <f t="shared" si="478"/>
        <v>445.42217869139989</v>
      </c>
      <c r="BB537" s="311">
        <f>Irrig!H539</f>
        <v>0</v>
      </c>
      <c r="BC537" s="310">
        <f t="shared" si="479"/>
        <v>0</v>
      </c>
      <c r="BD537" s="309">
        <f t="shared" si="480"/>
        <v>0</v>
      </c>
      <c r="BE537" s="309">
        <f t="shared" si="481"/>
        <v>0</v>
      </c>
      <c r="BF537" s="306">
        <f>DailyMet!H521</f>
        <v>23.09</v>
      </c>
      <c r="BG537" s="306">
        <f>DailyMet!I521</f>
        <v>15.6</v>
      </c>
      <c r="BH537" s="306">
        <f t="shared" si="482"/>
        <v>23.09</v>
      </c>
      <c r="BI537" s="306">
        <f t="shared" si="483"/>
        <v>15.6</v>
      </c>
      <c r="BJ537" s="306">
        <f t="shared" si="484"/>
        <v>9.3449999999999989</v>
      </c>
      <c r="BK537" s="306">
        <f t="shared" si="455"/>
        <v>0</v>
      </c>
      <c r="BL537" s="304">
        <f t="shared" si="485"/>
        <v>0</v>
      </c>
      <c r="BM537" s="304">
        <f t="shared" si="486"/>
        <v>9.3449999999999989</v>
      </c>
      <c r="BN537" s="304">
        <f t="shared" si="503"/>
        <v>9.3449999999999989</v>
      </c>
      <c r="BO537" s="306">
        <f t="shared" si="504"/>
        <v>0</v>
      </c>
      <c r="BP537" s="306"/>
    </row>
    <row r="538" spans="1:68">
      <c r="A538" s="299">
        <f t="shared" si="457"/>
        <v>0</v>
      </c>
      <c r="B538" s="300">
        <f t="shared" si="458"/>
        <v>38503</v>
      </c>
      <c r="C538" s="301" t="e">
        <f t="shared" si="487"/>
        <v>#N/A</v>
      </c>
      <c r="D538" s="301" t="e">
        <f t="shared" si="459"/>
        <v>#N/A</v>
      </c>
      <c r="E538" s="299">
        <f t="shared" si="460"/>
        <v>517</v>
      </c>
      <c r="F538" s="396">
        <f>Weather!M522</f>
        <v>0</v>
      </c>
      <c r="G538" s="301">
        <f>IF(Weather!C522="","",Weather!C522)</f>
        <v>3.6522383452273299</v>
      </c>
      <c r="H538" s="301">
        <f>IF(Weather!D522="","",Weather!D522)</f>
        <v>3.6071849907178821</v>
      </c>
      <c r="I538" s="502">
        <f>IF(Weather!E522="","",Weather!E522)</f>
        <v>3.6071849907178821</v>
      </c>
      <c r="J538" s="397">
        <f>IF(RnSplint!N201&lt;0,0,RnSplint!N201)</f>
        <v>1.5533121622189077</v>
      </c>
      <c r="K538" s="302">
        <f t="shared" si="488"/>
        <v>0</v>
      </c>
      <c r="L538" s="303">
        <f t="shared" si="489"/>
        <v>38503</v>
      </c>
      <c r="M538" s="346">
        <f t="shared" si="450"/>
        <v>5</v>
      </c>
      <c r="N538" s="304">
        <f t="shared" si="490"/>
        <v>0</v>
      </c>
      <c r="O538" s="304">
        <f t="shared" si="491"/>
        <v>0</v>
      </c>
      <c r="P538" s="304">
        <f t="shared" si="461"/>
        <v>0</v>
      </c>
      <c r="Q538" s="304">
        <f t="shared" si="462"/>
        <v>0.57627019646200028</v>
      </c>
      <c r="R538" s="304">
        <f t="shared" si="463"/>
        <v>0.57627019646200028</v>
      </c>
      <c r="S538" s="305" t="e">
        <f t="shared" si="492"/>
        <v>#N/A</v>
      </c>
      <c r="T538" s="304">
        <f t="shared" si="464"/>
        <v>0</v>
      </c>
      <c r="U538" s="304">
        <f t="shared" si="502"/>
        <v>0</v>
      </c>
      <c r="V538" s="305" t="e">
        <f t="shared" si="465"/>
        <v>#N/A</v>
      </c>
      <c r="W538" s="305" t="e">
        <f t="shared" si="493"/>
        <v>#N/A</v>
      </c>
      <c r="X538" s="304">
        <f t="shared" si="494"/>
        <v>0.57627019646200028</v>
      </c>
      <c r="Z538" s="304" t="str">
        <f t="shared" si="466"/>
        <v/>
      </c>
      <c r="AA538" s="305" t="e">
        <f t="shared" si="467"/>
        <v>#N/A</v>
      </c>
      <c r="AB538" s="304">
        <f t="shared" si="468"/>
        <v>2.0787132032757727</v>
      </c>
      <c r="AC538" s="304" t="str">
        <f t="shared" si="495"/>
        <v/>
      </c>
      <c r="AD538" s="306">
        <f t="shared" si="469"/>
        <v>0</v>
      </c>
      <c r="AE538" s="307">
        <f t="shared" si="496"/>
        <v>2.0787132032757727</v>
      </c>
      <c r="AF538" s="308" t="e">
        <f t="shared" si="449"/>
        <v>#N/A</v>
      </c>
      <c r="AG538" s="306">
        <f t="shared" si="497"/>
        <v>876.41759729222088</v>
      </c>
      <c r="AH538" s="306">
        <f t="shared" si="470"/>
        <v>0</v>
      </c>
      <c r="AI538" s="306">
        <f t="shared" si="498"/>
        <v>0</v>
      </c>
      <c r="AJ538" s="306">
        <f t="shared" si="499"/>
        <v>0</v>
      </c>
      <c r="AK538" s="306">
        <f t="shared" si="471"/>
        <v>0</v>
      </c>
      <c r="AL538" s="306">
        <f t="shared" si="500"/>
        <v>0</v>
      </c>
      <c r="AM538" s="306">
        <f t="shared" si="472"/>
        <v>0</v>
      </c>
      <c r="AN538" s="306"/>
      <c r="AO538" s="304" t="str">
        <f t="shared" si="473"/>
        <v/>
      </c>
      <c r="AP538" s="304" t="str">
        <f t="shared" si="501"/>
        <v/>
      </c>
      <c r="AQ538" s="305" t="e">
        <f t="shared" si="451"/>
        <v>#N/A</v>
      </c>
      <c r="AR538" s="304" t="str">
        <f t="shared" si="452"/>
        <v/>
      </c>
      <c r="AS538" s="306">
        <f t="shared" si="474"/>
        <v>0</v>
      </c>
      <c r="AT538" s="307" t="e">
        <f t="shared" si="453"/>
        <v>#N/A</v>
      </c>
      <c r="AU538" s="307" t="e">
        <f t="shared" si="454"/>
        <v>#N/A</v>
      </c>
      <c r="AV538" s="304">
        <f t="shared" si="456"/>
        <v>3.6071849907178821</v>
      </c>
      <c r="AW538" s="309">
        <f t="shared" si="475"/>
        <v>20.306558750449632</v>
      </c>
      <c r="AX538" s="306">
        <f>IF(ISERROR(Weather!M522),#N/A,Weather!M522)</f>
        <v>0</v>
      </c>
      <c r="AY538" s="310">
        <f t="shared" si="476"/>
        <v>6</v>
      </c>
      <c r="AZ538" s="309">
        <f t="shared" si="477"/>
        <v>0.57627019646200028</v>
      </c>
      <c r="BA538" s="309">
        <f t="shared" si="478"/>
        <v>449.02936368211778</v>
      </c>
      <c r="BB538" s="311">
        <f>Irrig!H540</f>
        <v>0</v>
      </c>
      <c r="BC538" s="310">
        <f t="shared" si="479"/>
        <v>0</v>
      </c>
      <c r="BD538" s="309">
        <f t="shared" si="480"/>
        <v>0</v>
      </c>
      <c r="BE538" s="309">
        <f t="shared" si="481"/>
        <v>0</v>
      </c>
      <c r="BF538" s="306">
        <f>DailyMet!H522</f>
        <v>21.58</v>
      </c>
      <c r="BG538" s="306">
        <f>DailyMet!I522</f>
        <v>15.3</v>
      </c>
      <c r="BH538" s="306">
        <f t="shared" si="482"/>
        <v>21.58</v>
      </c>
      <c r="BI538" s="306">
        <f t="shared" si="483"/>
        <v>15.3</v>
      </c>
      <c r="BJ538" s="306">
        <f t="shared" si="484"/>
        <v>8.4399999999999977</v>
      </c>
      <c r="BK538" s="306">
        <f t="shared" si="455"/>
        <v>0</v>
      </c>
      <c r="BL538" s="304">
        <f t="shared" si="485"/>
        <v>0</v>
      </c>
      <c r="BM538" s="304">
        <f t="shared" si="486"/>
        <v>8.4399999999999977</v>
      </c>
      <c r="BN538" s="304">
        <f t="shared" si="503"/>
        <v>8.4399999999999977</v>
      </c>
      <c r="BO538" s="306">
        <f t="shared" si="504"/>
        <v>0</v>
      </c>
      <c r="BP538" s="306"/>
    </row>
    <row r="539" spans="1:68">
      <c r="A539" s="299">
        <f t="shared" si="457"/>
        <v>0</v>
      </c>
      <c r="B539" s="300">
        <f t="shared" si="458"/>
        <v>38504</v>
      </c>
      <c r="C539" s="301" t="e">
        <f t="shared" si="487"/>
        <v>#N/A</v>
      </c>
      <c r="D539" s="301" t="e">
        <f t="shared" si="459"/>
        <v>#N/A</v>
      </c>
      <c r="E539" s="299">
        <f t="shared" si="460"/>
        <v>518</v>
      </c>
      <c r="F539" s="396">
        <f>Weather!M523</f>
        <v>0</v>
      </c>
      <c r="G539" s="301">
        <f>IF(Weather!C523="","",Weather!C523)</f>
        <v>3.6976841507266416</v>
      </c>
      <c r="H539" s="301">
        <f>IF(Weather!D523="","",Weather!D523)</f>
        <v>3.9641089845261237</v>
      </c>
      <c r="I539" s="502">
        <f>IF(Weather!E523="","",Weather!E523)</f>
        <v>3.9641089845261237</v>
      </c>
      <c r="J539" s="397">
        <f>IF(RnSplint!N202&lt;0,0,RnSplint!N202)</f>
        <v>1.4345263062316658</v>
      </c>
      <c r="K539" s="302">
        <f t="shared" si="488"/>
        <v>0</v>
      </c>
      <c r="L539" s="303">
        <f t="shared" si="489"/>
        <v>38504</v>
      </c>
      <c r="M539" s="346" t="str">
        <f t="shared" si="450"/>
        <v/>
      </c>
      <c r="N539" s="304">
        <f t="shared" si="490"/>
        <v>0</v>
      </c>
      <c r="O539" s="304">
        <f t="shared" si="491"/>
        <v>0</v>
      </c>
      <c r="P539" s="304">
        <f t="shared" si="461"/>
        <v>0</v>
      </c>
      <c r="Q539" s="304">
        <f t="shared" si="462"/>
        <v>0.525610868125853</v>
      </c>
      <c r="R539" s="304">
        <f t="shared" si="463"/>
        <v>0.525610868125853</v>
      </c>
      <c r="S539" s="305" t="e">
        <f t="shared" si="492"/>
        <v>#N/A</v>
      </c>
      <c r="T539" s="304">
        <f t="shared" si="464"/>
        <v>0</v>
      </c>
      <c r="U539" s="304">
        <f t="shared" si="502"/>
        <v>0</v>
      </c>
      <c r="V539" s="305" t="e">
        <f t="shared" si="465"/>
        <v>#N/A</v>
      </c>
      <c r="W539" s="305" t="e">
        <f t="shared" si="493"/>
        <v>#N/A</v>
      </c>
      <c r="X539" s="304">
        <f t="shared" si="494"/>
        <v>0.525610868125853</v>
      </c>
      <c r="Z539" s="304" t="str">
        <f t="shared" si="466"/>
        <v/>
      </c>
      <c r="AA539" s="305" t="e">
        <f t="shared" si="467"/>
        <v>#N/A</v>
      </c>
      <c r="AB539" s="304">
        <f t="shared" si="468"/>
        <v>2.0835787647022697</v>
      </c>
      <c r="AC539" s="304" t="str">
        <f t="shared" si="495"/>
        <v/>
      </c>
      <c r="AD539" s="306">
        <f t="shared" si="469"/>
        <v>0</v>
      </c>
      <c r="AE539" s="307">
        <f t="shared" si="496"/>
        <v>2.0835787647022697</v>
      </c>
      <c r="AF539" s="308" t="e">
        <f t="shared" si="449"/>
        <v>#N/A</v>
      </c>
      <c r="AG539" s="306">
        <f t="shared" si="497"/>
        <v>880.38170627674697</v>
      </c>
      <c r="AH539" s="306">
        <f t="shared" si="470"/>
        <v>0</v>
      </c>
      <c r="AI539" s="306">
        <f t="shared" si="498"/>
        <v>0</v>
      </c>
      <c r="AJ539" s="306">
        <f t="shared" si="499"/>
        <v>0</v>
      </c>
      <c r="AK539" s="306">
        <f t="shared" si="471"/>
        <v>0</v>
      </c>
      <c r="AL539" s="306">
        <f t="shared" si="500"/>
        <v>0</v>
      </c>
      <c r="AM539" s="306">
        <f t="shared" si="472"/>
        <v>0</v>
      </c>
      <c r="AN539" s="306"/>
      <c r="AO539" s="304" t="str">
        <f t="shared" si="473"/>
        <v/>
      </c>
      <c r="AP539" s="304" t="str">
        <f t="shared" si="501"/>
        <v/>
      </c>
      <c r="AQ539" s="305" t="e">
        <f t="shared" si="451"/>
        <v>#N/A</v>
      </c>
      <c r="AR539" s="304" t="str">
        <f t="shared" si="452"/>
        <v/>
      </c>
      <c r="AS539" s="306">
        <f t="shared" si="474"/>
        <v>0</v>
      </c>
      <c r="AT539" s="307" t="e">
        <f t="shared" si="453"/>
        <v>#N/A</v>
      </c>
      <c r="AU539" s="307" t="e">
        <f t="shared" si="454"/>
        <v>#N/A</v>
      </c>
      <c r="AV539" s="304">
        <f t="shared" si="456"/>
        <v>3.9641089845261237</v>
      </c>
      <c r="AW539" s="309">
        <f t="shared" si="475"/>
        <v>24.270667734975756</v>
      </c>
      <c r="AX539" s="306">
        <f>IF(ISERROR(Weather!M523),#N/A,Weather!M523)</f>
        <v>0</v>
      </c>
      <c r="AY539" s="310">
        <f t="shared" si="476"/>
        <v>7</v>
      </c>
      <c r="AZ539" s="309">
        <f t="shared" si="477"/>
        <v>0.525610868125853</v>
      </c>
      <c r="BA539" s="309">
        <f t="shared" si="478"/>
        <v>452.99347266664392</v>
      </c>
      <c r="BB539" s="311">
        <f>Irrig!H541</f>
        <v>0</v>
      </c>
      <c r="BC539" s="310">
        <f t="shared" si="479"/>
        <v>0</v>
      </c>
      <c r="BD539" s="309">
        <f t="shared" si="480"/>
        <v>0</v>
      </c>
      <c r="BE539" s="309">
        <f t="shared" si="481"/>
        <v>0</v>
      </c>
      <c r="BF539" s="306">
        <f>DailyMet!H523</f>
        <v>22.92</v>
      </c>
      <c r="BG539" s="306">
        <f>DailyMet!I523</f>
        <v>17.5</v>
      </c>
      <c r="BH539" s="306">
        <f t="shared" si="482"/>
        <v>22.92</v>
      </c>
      <c r="BI539" s="306">
        <f t="shared" si="483"/>
        <v>17.5</v>
      </c>
      <c r="BJ539" s="306">
        <f t="shared" si="484"/>
        <v>10.210000000000001</v>
      </c>
      <c r="BK539" s="306">
        <f t="shared" si="455"/>
        <v>0</v>
      </c>
      <c r="BL539" s="304">
        <f t="shared" si="485"/>
        <v>0</v>
      </c>
      <c r="BM539" s="304">
        <f t="shared" si="486"/>
        <v>10.210000000000001</v>
      </c>
      <c r="BN539" s="304">
        <f t="shared" si="503"/>
        <v>10.210000000000001</v>
      </c>
      <c r="BO539" s="306">
        <f t="shared" si="504"/>
        <v>0</v>
      </c>
      <c r="BP539" s="306"/>
    </row>
    <row r="540" spans="1:68">
      <c r="A540" s="299">
        <f t="shared" si="457"/>
        <v>0</v>
      </c>
      <c r="B540" s="300">
        <f t="shared" si="458"/>
        <v>38505</v>
      </c>
      <c r="C540" s="301" t="e">
        <f t="shared" si="487"/>
        <v>#N/A</v>
      </c>
      <c r="D540" s="301" t="e">
        <f t="shared" si="459"/>
        <v>#N/A</v>
      </c>
      <c r="E540" s="299">
        <f t="shared" si="460"/>
        <v>519</v>
      </c>
      <c r="F540" s="396">
        <f>Weather!M524</f>
        <v>0</v>
      </c>
      <c r="G540" s="301">
        <f>IF(Weather!C524="","",Weather!C524)</f>
        <v>3.7420757055029803</v>
      </c>
      <c r="H540" s="301">
        <f>IF(Weather!D524="","",Weather!D524)</f>
        <v>4.342203995140836</v>
      </c>
      <c r="I540" s="502">
        <f>IF(Weather!E524="","",Weather!E524)</f>
        <v>4.342203995140836</v>
      </c>
      <c r="J540" s="397">
        <f>IF(RnSplint!N203&lt;0,0,RnSplint!N203)</f>
        <v>1.3567920755246465</v>
      </c>
      <c r="K540" s="302">
        <f t="shared" si="488"/>
        <v>0</v>
      </c>
      <c r="L540" s="303">
        <f t="shared" si="489"/>
        <v>38505</v>
      </c>
      <c r="M540" s="346" t="str">
        <f t="shared" si="450"/>
        <v/>
      </c>
      <c r="N540" s="304">
        <f t="shared" si="490"/>
        <v>0</v>
      </c>
      <c r="O540" s="304">
        <f t="shared" si="491"/>
        <v>0</v>
      </c>
      <c r="P540" s="304">
        <f t="shared" si="461"/>
        <v>0</v>
      </c>
      <c r="Q540" s="304">
        <f t="shared" si="462"/>
        <v>0.48281505031976568</v>
      </c>
      <c r="R540" s="304">
        <f t="shared" si="463"/>
        <v>0.48281505031976568</v>
      </c>
      <c r="S540" s="305" t="e">
        <f t="shared" si="492"/>
        <v>#N/A</v>
      </c>
      <c r="T540" s="304">
        <f t="shared" si="464"/>
        <v>0</v>
      </c>
      <c r="U540" s="304">
        <f t="shared" si="502"/>
        <v>0</v>
      </c>
      <c r="V540" s="305" t="e">
        <f t="shared" si="465"/>
        <v>#N/A</v>
      </c>
      <c r="W540" s="305" t="e">
        <f t="shared" si="493"/>
        <v>#N/A</v>
      </c>
      <c r="X540" s="304">
        <f t="shared" si="494"/>
        <v>0.48281505031976568</v>
      </c>
      <c r="Z540" s="304" t="str">
        <f t="shared" si="466"/>
        <v/>
      </c>
      <c r="AA540" s="305" t="e">
        <f t="shared" si="467"/>
        <v>#N/A</v>
      </c>
      <c r="AB540" s="304">
        <f t="shared" si="468"/>
        <v>2.0964814404126102</v>
      </c>
      <c r="AC540" s="304" t="str">
        <f t="shared" si="495"/>
        <v/>
      </c>
      <c r="AD540" s="306">
        <f t="shared" si="469"/>
        <v>0</v>
      </c>
      <c r="AE540" s="307">
        <f t="shared" si="496"/>
        <v>2.0964814404126102</v>
      </c>
      <c r="AF540" s="308" t="e">
        <f t="shared" si="449"/>
        <v>#N/A</v>
      </c>
      <c r="AG540" s="306">
        <f t="shared" si="497"/>
        <v>884.7239102718878</v>
      </c>
      <c r="AH540" s="306">
        <f t="shared" si="470"/>
        <v>0</v>
      </c>
      <c r="AI540" s="306">
        <f t="shared" si="498"/>
        <v>0</v>
      </c>
      <c r="AJ540" s="306">
        <f t="shared" si="499"/>
        <v>0</v>
      </c>
      <c r="AK540" s="306">
        <f t="shared" si="471"/>
        <v>0</v>
      </c>
      <c r="AL540" s="306">
        <f t="shared" si="500"/>
        <v>0</v>
      </c>
      <c r="AM540" s="306">
        <f t="shared" si="472"/>
        <v>0</v>
      </c>
      <c r="AN540" s="306"/>
      <c r="AO540" s="304" t="str">
        <f t="shared" si="473"/>
        <v/>
      </c>
      <c r="AP540" s="304" t="str">
        <f t="shared" si="501"/>
        <v/>
      </c>
      <c r="AQ540" s="305" t="e">
        <f t="shared" si="451"/>
        <v>#N/A</v>
      </c>
      <c r="AR540" s="304" t="str">
        <f t="shared" si="452"/>
        <v/>
      </c>
      <c r="AS540" s="306">
        <f t="shared" si="474"/>
        <v>0</v>
      </c>
      <c r="AT540" s="307" t="e">
        <f t="shared" si="453"/>
        <v>#N/A</v>
      </c>
      <c r="AU540" s="307" t="e">
        <f t="shared" si="454"/>
        <v>#N/A</v>
      </c>
      <c r="AV540" s="304">
        <f t="shared" si="456"/>
        <v>4.342203995140836</v>
      </c>
      <c r="AW540" s="309">
        <f t="shared" si="475"/>
        <v>28.612871730116591</v>
      </c>
      <c r="AX540" s="306">
        <f>IF(ISERROR(Weather!M524),#N/A,Weather!M524)</f>
        <v>0</v>
      </c>
      <c r="AY540" s="310">
        <f t="shared" si="476"/>
        <v>8</v>
      </c>
      <c r="AZ540" s="309">
        <f t="shared" si="477"/>
        <v>0.48281505031976568</v>
      </c>
      <c r="BA540" s="309">
        <f t="shared" si="478"/>
        <v>457.33567666178476</v>
      </c>
      <c r="BB540" s="311">
        <f>Irrig!H542</f>
        <v>0</v>
      </c>
      <c r="BC540" s="310">
        <f t="shared" si="479"/>
        <v>0</v>
      </c>
      <c r="BD540" s="309">
        <f t="shared" si="480"/>
        <v>0</v>
      </c>
      <c r="BE540" s="309">
        <f t="shared" si="481"/>
        <v>0</v>
      </c>
      <c r="BF540" s="306">
        <f>DailyMet!H524</f>
        <v>22.75</v>
      </c>
      <c r="BG540" s="306">
        <f>DailyMet!I524</f>
        <v>16.600000000000001</v>
      </c>
      <c r="BH540" s="306">
        <f t="shared" si="482"/>
        <v>22.75</v>
      </c>
      <c r="BI540" s="306">
        <f t="shared" si="483"/>
        <v>16.600000000000001</v>
      </c>
      <c r="BJ540" s="306">
        <f t="shared" si="484"/>
        <v>9.6750000000000007</v>
      </c>
      <c r="BK540" s="306">
        <f t="shared" si="455"/>
        <v>0</v>
      </c>
      <c r="BL540" s="304">
        <f t="shared" si="485"/>
        <v>0</v>
      </c>
      <c r="BM540" s="304">
        <f t="shared" si="486"/>
        <v>9.6750000000000007</v>
      </c>
      <c r="BN540" s="304">
        <f t="shared" si="503"/>
        <v>9.6750000000000007</v>
      </c>
      <c r="BO540" s="306">
        <f t="shared" si="504"/>
        <v>0</v>
      </c>
      <c r="BP540" s="306"/>
    </row>
    <row r="541" spans="1:68">
      <c r="A541" s="299">
        <f t="shared" si="457"/>
        <v>0</v>
      </c>
      <c r="B541" s="300">
        <f t="shared" si="458"/>
        <v>38506</v>
      </c>
      <c r="C541" s="301" t="e">
        <f t="shared" si="487"/>
        <v>#N/A</v>
      </c>
      <c r="D541" s="301" t="e">
        <f t="shared" si="459"/>
        <v>#N/A</v>
      </c>
      <c r="E541" s="299">
        <f t="shared" si="460"/>
        <v>520</v>
      </c>
      <c r="F541" s="396">
        <f>Weather!M525</f>
        <v>2.6</v>
      </c>
      <c r="G541" s="301">
        <f>IF(Weather!C525="","",Weather!C525)</f>
        <v>3.7853783418812403</v>
      </c>
      <c r="H541" s="301">
        <f>IF(Weather!D525="","",Weather!D525)</f>
        <v>3.9718550288769805</v>
      </c>
      <c r="I541" s="502">
        <f>IF(Weather!E525="","",Weather!E525)</f>
        <v>3.9718550288769805</v>
      </c>
      <c r="J541" s="397">
        <f>IF(RnSplint!N204&lt;0,0,RnSplint!N204)</f>
        <v>1.3208613745620443</v>
      </c>
      <c r="K541" s="302">
        <f t="shared" si="488"/>
        <v>0</v>
      </c>
      <c r="L541" s="303">
        <f t="shared" si="489"/>
        <v>38506</v>
      </c>
      <c r="M541" s="346" t="str">
        <f t="shared" si="450"/>
        <v/>
      </c>
      <c r="N541" s="304">
        <f t="shared" si="490"/>
        <v>0</v>
      </c>
      <c r="O541" s="304">
        <f t="shared" si="491"/>
        <v>0</v>
      </c>
      <c r="P541" s="304">
        <f t="shared" si="461"/>
        <v>0</v>
      </c>
      <c r="Q541" s="304">
        <f t="shared" si="462"/>
        <v>0.45149322679211867</v>
      </c>
      <c r="R541" s="304">
        <f t="shared" si="463"/>
        <v>0.45149322679211867</v>
      </c>
      <c r="S541" s="305" t="e">
        <f t="shared" si="492"/>
        <v>#N/A</v>
      </c>
      <c r="T541" s="304">
        <f t="shared" si="464"/>
        <v>0</v>
      </c>
      <c r="U541" s="304">
        <f t="shared" si="502"/>
        <v>0</v>
      </c>
      <c r="V541" s="305" t="e">
        <f t="shared" si="465"/>
        <v>#N/A</v>
      </c>
      <c r="W541" s="305" t="e">
        <f t="shared" si="493"/>
        <v>#N/A</v>
      </c>
      <c r="X541" s="304">
        <f t="shared" si="494"/>
        <v>0.45149322679211867</v>
      </c>
      <c r="Z541" s="304" t="str">
        <f t="shared" si="466"/>
        <v/>
      </c>
      <c r="AA541" s="305" t="e">
        <f t="shared" si="467"/>
        <v>#N/A</v>
      </c>
      <c r="AB541" s="304">
        <f t="shared" si="468"/>
        <v>1.7932656433381715</v>
      </c>
      <c r="AC541" s="304" t="str">
        <f t="shared" si="495"/>
        <v/>
      </c>
      <c r="AD541" s="306">
        <f t="shared" si="469"/>
        <v>0</v>
      </c>
      <c r="AE541" s="307">
        <f t="shared" si="496"/>
        <v>1.7932656433381715</v>
      </c>
      <c r="AF541" s="308" t="e">
        <f t="shared" si="449"/>
        <v>#N/A</v>
      </c>
      <c r="AG541" s="306">
        <f t="shared" si="497"/>
        <v>888.69576530076483</v>
      </c>
      <c r="AH541" s="306">
        <f t="shared" si="470"/>
        <v>0</v>
      </c>
      <c r="AI541" s="306">
        <f t="shared" si="498"/>
        <v>0</v>
      </c>
      <c r="AJ541" s="306">
        <f t="shared" si="499"/>
        <v>0</v>
      </c>
      <c r="AK541" s="306">
        <f t="shared" si="471"/>
        <v>0</v>
      </c>
      <c r="AL541" s="306">
        <f t="shared" si="500"/>
        <v>0</v>
      </c>
      <c r="AM541" s="306">
        <f t="shared" si="472"/>
        <v>0</v>
      </c>
      <c r="AN541" s="306"/>
      <c r="AO541" s="304" t="str">
        <f t="shared" si="473"/>
        <v/>
      </c>
      <c r="AP541" s="304" t="str">
        <f t="shared" si="501"/>
        <v/>
      </c>
      <c r="AQ541" s="305" t="e">
        <f t="shared" si="451"/>
        <v>#N/A</v>
      </c>
      <c r="AR541" s="304" t="str">
        <f t="shared" si="452"/>
        <v/>
      </c>
      <c r="AS541" s="306">
        <f t="shared" si="474"/>
        <v>0</v>
      </c>
      <c r="AT541" s="307" t="e">
        <f t="shared" si="453"/>
        <v>#N/A</v>
      </c>
      <c r="AU541" s="307" t="e">
        <f t="shared" si="454"/>
        <v>#N/A</v>
      </c>
      <c r="AV541" s="304">
        <f t="shared" si="456"/>
        <v>3.9718550288769805</v>
      </c>
      <c r="AW541" s="309">
        <f t="shared" si="475"/>
        <v>32.584726758993568</v>
      </c>
      <c r="AX541" s="306">
        <f>IF(ISERROR(Weather!M525),#N/A,Weather!M525)</f>
        <v>2.6</v>
      </c>
      <c r="AY541" s="310">
        <f t="shared" si="476"/>
        <v>9</v>
      </c>
      <c r="AZ541" s="309">
        <f t="shared" si="477"/>
        <v>0.45149322679211867</v>
      </c>
      <c r="BA541" s="309">
        <f t="shared" si="478"/>
        <v>461.30753169066173</v>
      </c>
      <c r="BB541" s="311">
        <f>Irrig!H543</f>
        <v>0</v>
      </c>
      <c r="BC541" s="310">
        <f t="shared" si="479"/>
        <v>0</v>
      </c>
      <c r="BD541" s="309">
        <f t="shared" si="480"/>
        <v>0</v>
      </c>
      <c r="BE541" s="309">
        <f t="shared" si="481"/>
        <v>0</v>
      </c>
      <c r="BF541" s="306">
        <f>DailyMet!H525</f>
        <v>23.91</v>
      </c>
      <c r="BG541" s="306">
        <f>DailyMet!I525</f>
        <v>18.2</v>
      </c>
      <c r="BH541" s="306">
        <f t="shared" si="482"/>
        <v>23.91</v>
      </c>
      <c r="BI541" s="306">
        <f t="shared" si="483"/>
        <v>18.2</v>
      </c>
      <c r="BJ541" s="306">
        <f t="shared" si="484"/>
        <v>11.055</v>
      </c>
      <c r="BK541" s="306">
        <f t="shared" si="455"/>
        <v>0</v>
      </c>
      <c r="BL541" s="304">
        <f t="shared" si="485"/>
        <v>0</v>
      </c>
      <c r="BM541" s="304">
        <f t="shared" si="486"/>
        <v>11.055</v>
      </c>
      <c r="BN541" s="304">
        <f t="shared" si="503"/>
        <v>11.055</v>
      </c>
      <c r="BO541" s="306">
        <f t="shared" si="504"/>
        <v>0</v>
      </c>
      <c r="BP541" s="306"/>
    </row>
    <row r="542" spans="1:68">
      <c r="A542" s="299">
        <f t="shared" si="457"/>
        <v>0</v>
      </c>
      <c r="B542" s="300">
        <f t="shared" si="458"/>
        <v>38507</v>
      </c>
      <c r="C542" s="301" t="e">
        <f t="shared" si="487"/>
        <v>#N/A</v>
      </c>
      <c r="D542" s="301" t="e">
        <f t="shared" si="459"/>
        <v>#N/A</v>
      </c>
      <c r="E542" s="299">
        <f t="shared" si="460"/>
        <v>521</v>
      </c>
      <c r="F542" s="396">
        <f>Weather!M526</f>
        <v>0.8</v>
      </c>
      <c r="G542" s="301">
        <f>IF(Weather!C526="","",Weather!C526)</f>
        <v>3.8275573921863124</v>
      </c>
      <c r="H542" s="301">
        <f>IF(Weather!D526="","",Weather!D526)</f>
        <v>4.7508185916955172</v>
      </c>
      <c r="I542" s="502">
        <f>IF(Weather!E526="","",Weather!E526)</f>
        <v>4.7508185916955172</v>
      </c>
      <c r="J542" s="397">
        <f>IF(RnSplint!N205&lt;0,0,RnSplint!N205)</f>
        <v>1.327486107808058</v>
      </c>
      <c r="K542" s="302">
        <f t="shared" si="488"/>
        <v>0</v>
      </c>
      <c r="L542" s="303">
        <f t="shared" si="489"/>
        <v>38507</v>
      </c>
      <c r="M542" s="346" t="str">
        <f t="shared" si="450"/>
        <v/>
      </c>
      <c r="N542" s="304">
        <f t="shared" si="490"/>
        <v>0</v>
      </c>
      <c r="O542" s="304">
        <f t="shared" si="491"/>
        <v>0</v>
      </c>
      <c r="P542" s="304">
        <f t="shared" si="461"/>
        <v>0</v>
      </c>
      <c r="Q542" s="304">
        <f t="shared" si="462"/>
        <v>0.4208732241833017</v>
      </c>
      <c r="R542" s="304">
        <f t="shared" si="463"/>
        <v>0.4208732241833017</v>
      </c>
      <c r="S542" s="305" t="e">
        <f t="shared" si="492"/>
        <v>#N/A</v>
      </c>
      <c r="T542" s="304">
        <f t="shared" si="464"/>
        <v>0</v>
      </c>
      <c r="U542" s="304">
        <f t="shared" si="502"/>
        <v>0</v>
      </c>
      <c r="V542" s="305" t="e">
        <f t="shared" si="465"/>
        <v>#N/A</v>
      </c>
      <c r="W542" s="305" t="e">
        <f t="shared" si="493"/>
        <v>#N/A</v>
      </c>
      <c r="X542" s="304">
        <f t="shared" si="494"/>
        <v>0.4208732241833017</v>
      </c>
      <c r="Z542" s="304" t="str">
        <f t="shared" si="466"/>
        <v/>
      </c>
      <c r="AA542" s="305" t="e">
        <f t="shared" si="467"/>
        <v>#N/A</v>
      </c>
      <c r="AB542" s="304">
        <f t="shared" si="468"/>
        <v>1.999492338196865</v>
      </c>
      <c r="AC542" s="304" t="str">
        <f t="shared" si="495"/>
        <v/>
      </c>
      <c r="AD542" s="306">
        <f t="shared" si="469"/>
        <v>0</v>
      </c>
      <c r="AE542" s="307">
        <f t="shared" si="496"/>
        <v>1.999492338196865</v>
      </c>
      <c r="AF542" s="308" t="e">
        <f t="shared" si="449"/>
        <v>#N/A</v>
      </c>
      <c r="AG542" s="306">
        <f t="shared" si="497"/>
        <v>893.44658389246035</v>
      </c>
      <c r="AH542" s="306">
        <f t="shared" si="470"/>
        <v>0</v>
      </c>
      <c r="AI542" s="306">
        <f t="shared" si="498"/>
        <v>0</v>
      </c>
      <c r="AJ542" s="306">
        <f t="shared" si="499"/>
        <v>0</v>
      </c>
      <c r="AK542" s="306">
        <f t="shared" si="471"/>
        <v>0</v>
      </c>
      <c r="AL542" s="306">
        <f t="shared" si="500"/>
        <v>0</v>
      </c>
      <c r="AM542" s="306">
        <f t="shared" si="472"/>
        <v>0</v>
      </c>
      <c r="AN542" s="306"/>
      <c r="AO542" s="304" t="str">
        <f t="shared" si="473"/>
        <v/>
      </c>
      <c r="AP542" s="304" t="str">
        <f t="shared" si="501"/>
        <v/>
      </c>
      <c r="AQ542" s="305" t="e">
        <f t="shared" si="451"/>
        <v>#N/A</v>
      </c>
      <c r="AR542" s="304" t="str">
        <f t="shared" si="452"/>
        <v/>
      </c>
      <c r="AS542" s="306">
        <f t="shared" si="474"/>
        <v>0</v>
      </c>
      <c r="AT542" s="307" t="e">
        <f t="shared" si="453"/>
        <v>#N/A</v>
      </c>
      <c r="AU542" s="307" t="e">
        <f t="shared" si="454"/>
        <v>#N/A</v>
      </c>
      <c r="AV542" s="304">
        <f t="shared" si="456"/>
        <v>4.7508185916955172</v>
      </c>
      <c r="AW542" s="309">
        <f t="shared" si="475"/>
        <v>37.335545350689088</v>
      </c>
      <c r="AX542" s="306">
        <f>IF(ISERROR(Weather!M526),#N/A,Weather!M526)</f>
        <v>0.8</v>
      </c>
      <c r="AY542" s="310">
        <f t="shared" si="476"/>
        <v>10</v>
      </c>
      <c r="AZ542" s="309">
        <f t="shared" si="477"/>
        <v>0.4208732241833017</v>
      </c>
      <c r="BA542" s="309">
        <f t="shared" si="478"/>
        <v>466.05835028235725</v>
      </c>
      <c r="BB542" s="311">
        <f>Irrig!H544</f>
        <v>0</v>
      </c>
      <c r="BC542" s="310">
        <f t="shared" si="479"/>
        <v>0</v>
      </c>
      <c r="BD542" s="309">
        <f t="shared" si="480"/>
        <v>0</v>
      </c>
      <c r="BE542" s="309">
        <f t="shared" si="481"/>
        <v>0</v>
      </c>
      <c r="BF542" s="306">
        <f>DailyMet!H526</f>
        <v>18.23</v>
      </c>
      <c r="BG542" s="306">
        <f>DailyMet!I526</f>
        <v>13.5</v>
      </c>
      <c r="BH542" s="306">
        <f t="shared" si="482"/>
        <v>18.23</v>
      </c>
      <c r="BI542" s="306">
        <f t="shared" si="483"/>
        <v>13.5</v>
      </c>
      <c r="BJ542" s="306">
        <f t="shared" si="484"/>
        <v>5.8650000000000002</v>
      </c>
      <c r="BK542" s="306">
        <f t="shared" si="455"/>
        <v>0</v>
      </c>
      <c r="BL542" s="304">
        <f t="shared" si="485"/>
        <v>0</v>
      </c>
      <c r="BM542" s="304">
        <f t="shared" si="486"/>
        <v>5.8650000000000002</v>
      </c>
      <c r="BN542" s="304">
        <f t="shared" si="503"/>
        <v>5.8650000000000002</v>
      </c>
      <c r="BO542" s="306">
        <f t="shared" si="504"/>
        <v>0</v>
      </c>
      <c r="BP542" s="306"/>
    </row>
    <row r="543" spans="1:68">
      <c r="A543" s="299">
        <f t="shared" si="457"/>
        <v>0</v>
      </c>
      <c r="B543" s="300">
        <f t="shared" si="458"/>
        <v>38508</v>
      </c>
      <c r="C543" s="301" t="e">
        <f t="shared" si="487"/>
        <v>#N/A</v>
      </c>
      <c r="D543" s="301" t="e">
        <f t="shared" si="459"/>
        <v>#N/A</v>
      </c>
      <c r="E543" s="299">
        <f t="shared" si="460"/>
        <v>522</v>
      </c>
      <c r="F543" s="396">
        <f>Weather!M527</f>
        <v>0</v>
      </c>
      <c r="G543" s="301">
        <f>IF(Weather!C527="","",Weather!C527)</f>
        <v>3.8685781887430926</v>
      </c>
      <c r="H543" s="301">
        <f>IF(Weather!D527="","",Weather!D527)</f>
        <v>3.9279677078967485</v>
      </c>
      <c r="I543" s="502">
        <f>IF(Weather!E527="","",Weather!E527)</f>
        <v>3.9279677078967485</v>
      </c>
      <c r="J543" s="397">
        <f>IF(RnSplint!N206&lt;0,0,RnSplint!N206)</f>
        <v>1.3774181797268836</v>
      </c>
      <c r="K543" s="302">
        <f t="shared" si="488"/>
        <v>0</v>
      </c>
      <c r="L543" s="303">
        <f t="shared" si="489"/>
        <v>38508</v>
      </c>
      <c r="M543" s="346" t="str">
        <f t="shared" si="450"/>
        <v/>
      </c>
      <c r="N543" s="304">
        <f t="shared" si="490"/>
        <v>0</v>
      </c>
      <c r="O543" s="304">
        <f t="shared" si="491"/>
        <v>0</v>
      </c>
      <c r="P543" s="304">
        <f t="shared" si="461"/>
        <v>0</v>
      </c>
      <c r="Q543" s="304">
        <f t="shared" si="462"/>
        <v>0.39970018337763785</v>
      </c>
      <c r="R543" s="304">
        <f t="shared" si="463"/>
        <v>0.39970018337763785</v>
      </c>
      <c r="S543" s="305" t="e">
        <f t="shared" si="492"/>
        <v>#N/A</v>
      </c>
      <c r="T543" s="304">
        <f t="shared" si="464"/>
        <v>0</v>
      </c>
      <c r="U543" s="304">
        <f t="shared" si="502"/>
        <v>0</v>
      </c>
      <c r="V543" s="305" t="e">
        <f t="shared" si="465"/>
        <v>#N/A</v>
      </c>
      <c r="W543" s="305" t="e">
        <f t="shared" si="493"/>
        <v>#N/A</v>
      </c>
      <c r="X543" s="304">
        <f t="shared" si="494"/>
        <v>0.39970018337763785</v>
      </c>
      <c r="Z543" s="304" t="str">
        <f t="shared" si="466"/>
        <v/>
      </c>
      <c r="AA543" s="305" t="e">
        <f t="shared" si="467"/>
        <v>#N/A</v>
      </c>
      <c r="AB543" s="304">
        <f t="shared" si="468"/>
        <v>1.5700094131477702</v>
      </c>
      <c r="AC543" s="304" t="str">
        <f t="shared" si="495"/>
        <v/>
      </c>
      <c r="AD543" s="306">
        <f t="shared" si="469"/>
        <v>0</v>
      </c>
      <c r="AE543" s="307">
        <f t="shared" si="496"/>
        <v>1.5700094131477702</v>
      </c>
      <c r="AF543" s="308" t="e">
        <f t="shared" si="449"/>
        <v>#N/A</v>
      </c>
      <c r="AG543" s="306">
        <f t="shared" si="497"/>
        <v>897.37455160035711</v>
      </c>
      <c r="AH543" s="306">
        <f t="shared" si="470"/>
        <v>0</v>
      </c>
      <c r="AI543" s="306">
        <f t="shared" si="498"/>
        <v>0</v>
      </c>
      <c r="AJ543" s="306">
        <f t="shared" si="499"/>
        <v>0</v>
      </c>
      <c r="AK543" s="306">
        <f t="shared" si="471"/>
        <v>0</v>
      </c>
      <c r="AL543" s="306">
        <f t="shared" si="500"/>
        <v>0</v>
      </c>
      <c r="AM543" s="306">
        <f t="shared" si="472"/>
        <v>0</v>
      </c>
      <c r="AN543" s="306"/>
      <c r="AO543" s="304" t="str">
        <f t="shared" si="473"/>
        <v/>
      </c>
      <c r="AP543" s="304" t="str">
        <f t="shared" si="501"/>
        <v/>
      </c>
      <c r="AQ543" s="305" t="e">
        <f t="shared" si="451"/>
        <v>#N/A</v>
      </c>
      <c r="AR543" s="304" t="str">
        <f t="shared" si="452"/>
        <v/>
      </c>
      <c r="AS543" s="306">
        <f t="shared" si="474"/>
        <v>0</v>
      </c>
      <c r="AT543" s="307" t="e">
        <f t="shared" si="453"/>
        <v>#N/A</v>
      </c>
      <c r="AU543" s="307" t="e">
        <f t="shared" si="454"/>
        <v>#N/A</v>
      </c>
      <c r="AV543" s="304">
        <f t="shared" si="456"/>
        <v>3.9279677078967485</v>
      </c>
      <c r="AW543" s="309">
        <f t="shared" si="475"/>
        <v>41.263513058585836</v>
      </c>
      <c r="AX543" s="306">
        <f>IF(ISERROR(Weather!M527),#N/A,Weather!M527)</f>
        <v>0</v>
      </c>
      <c r="AY543" s="310">
        <f t="shared" si="476"/>
        <v>11</v>
      </c>
      <c r="AZ543" s="309">
        <f t="shared" si="477"/>
        <v>0.39970018337763785</v>
      </c>
      <c r="BA543" s="309">
        <f t="shared" si="478"/>
        <v>469.98631799025401</v>
      </c>
      <c r="BB543" s="311">
        <f>Irrig!H545</f>
        <v>0</v>
      </c>
      <c r="BC543" s="310">
        <f t="shared" si="479"/>
        <v>0</v>
      </c>
      <c r="BD543" s="309">
        <f t="shared" si="480"/>
        <v>0</v>
      </c>
      <c r="BE543" s="309">
        <f t="shared" si="481"/>
        <v>0</v>
      </c>
      <c r="BF543" s="306">
        <f>DailyMet!H527</f>
        <v>20.53</v>
      </c>
      <c r="BG543" s="306">
        <f>DailyMet!I527</f>
        <v>11.8</v>
      </c>
      <c r="BH543" s="306">
        <f t="shared" si="482"/>
        <v>20.53</v>
      </c>
      <c r="BI543" s="306">
        <f t="shared" si="483"/>
        <v>11.8</v>
      </c>
      <c r="BJ543" s="306">
        <f t="shared" si="484"/>
        <v>6.1649999999999991</v>
      </c>
      <c r="BK543" s="306">
        <f t="shared" si="455"/>
        <v>0</v>
      </c>
      <c r="BL543" s="304">
        <f t="shared" si="485"/>
        <v>0</v>
      </c>
      <c r="BM543" s="304">
        <f t="shared" si="486"/>
        <v>6.1649999999999991</v>
      </c>
      <c r="BN543" s="304">
        <f t="shared" si="503"/>
        <v>6.1649999999999991</v>
      </c>
      <c r="BO543" s="306">
        <f t="shared" si="504"/>
        <v>0</v>
      </c>
      <c r="BP543" s="306"/>
    </row>
    <row r="544" spans="1:68">
      <c r="A544" s="299">
        <f t="shared" si="457"/>
        <v>0</v>
      </c>
      <c r="B544" s="300">
        <f t="shared" si="458"/>
        <v>38509</v>
      </c>
      <c r="C544" s="301" t="e">
        <f t="shared" si="487"/>
        <v>#N/A</v>
      </c>
      <c r="D544" s="301" t="e">
        <f t="shared" si="459"/>
        <v>#N/A</v>
      </c>
      <c r="E544" s="299">
        <f t="shared" si="460"/>
        <v>523</v>
      </c>
      <c r="F544" s="396">
        <f>Weather!M528</f>
        <v>0</v>
      </c>
      <c r="G544" s="301">
        <f>IF(Weather!C528="","",Weather!C528)</f>
        <v>3.9084060638764724</v>
      </c>
      <c r="H544" s="301">
        <f>IF(Weather!D528="","",Weather!D528)</f>
        <v>3.6238138037089076</v>
      </c>
      <c r="I544" s="502">
        <f>IF(Weather!E528="","",Weather!E528)</f>
        <v>3.6238138037089076</v>
      </c>
      <c r="J544" s="397">
        <f>IF(RnSplint!N207&lt;0,0,RnSplint!N207)</f>
        <v>1.4714094947827201</v>
      </c>
      <c r="K544" s="302">
        <f t="shared" si="488"/>
        <v>0</v>
      </c>
      <c r="L544" s="303">
        <f t="shared" si="489"/>
        <v>38509</v>
      </c>
      <c r="M544" s="346" t="str">
        <f t="shared" si="450"/>
        <v/>
      </c>
      <c r="N544" s="304">
        <f t="shared" si="490"/>
        <v>0</v>
      </c>
      <c r="O544" s="304">
        <f t="shared" si="491"/>
        <v>0</v>
      </c>
      <c r="P544" s="304">
        <f t="shared" si="461"/>
        <v>0</v>
      </c>
      <c r="Q544" s="304">
        <f t="shared" si="462"/>
        <v>0.38271074461737903</v>
      </c>
      <c r="R544" s="304">
        <f t="shared" si="463"/>
        <v>0.38271074461737903</v>
      </c>
      <c r="S544" s="305" t="e">
        <f t="shared" si="492"/>
        <v>#N/A</v>
      </c>
      <c r="T544" s="304">
        <f t="shared" si="464"/>
        <v>0</v>
      </c>
      <c r="U544" s="304">
        <f t="shared" si="502"/>
        <v>0</v>
      </c>
      <c r="V544" s="305" t="e">
        <f t="shared" si="465"/>
        <v>#N/A</v>
      </c>
      <c r="W544" s="305" t="e">
        <f t="shared" si="493"/>
        <v>#N/A</v>
      </c>
      <c r="X544" s="304">
        <f t="shared" si="494"/>
        <v>0.38271074461737903</v>
      </c>
      <c r="Z544" s="304" t="str">
        <f t="shared" si="466"/>
        <v/>
      </c>
      <c r="AA544" s="305" t="e">
        <f t="shared" si="467"/>
        <v>#N/A</v>
      </c>
      <c r="AB544" s="304">
        <f t="shared" si="468"/>
        <v>1.3868724791721727</v>
      </c>
      <c r="AC544" s="304" t="str">
        <f t="shared" si="495"/>
        <v/>
      </c>
      <c r="AD544" s="306">
        <f t="shared" si="469"/>
        <v>0</v>
      </c>
      <c r="AE544" s="307">
        <f t="shared" si="496"/>
        <v>1.3868724791721727</v>
      </c>
      <c r="AF544" s="308" t="e">
        <f t="shared" si="449"/>
        <v>#N/A</v>
      </c>
      <c r="AG544" s="306">
        <f t="shared" si="497"/>
        <v>900.99836540406602</v>
      </c>
      <c r="AH544" s="306">
        <f t="shared" si="470"/>
        <v>0</v>
      </c>
      <c r="AI544" s="306">
        <f t="shared" si="498"/>
        <v>0</v>
      </c>
      <c r="AJ544" s="306">
        <f t="shared" si="499"/>
        <v>0</v>
      </c>
      <c r="AK544" s="306">
        <f t="shared" si="471"/>
        <v>0</v>
      </c>
      <c r="AL544" s="306">
        <f t="shared" si="500"/>
        <v>0</v>
      </c>
      <c r="AM544" s="306">
        <f t="shared" si="472"/>
        <v>0</v>
      </c>
      <c r="AN544" s="306"/>
      <c r="AO544" s="304" t="str">
        <f t="shared" si="473"/>
        <v/>
      </c>
      <c r="AP544" s="304" t="str">
        <f t="shared" si="501"/>
        <v/>
      </c>
      <c r="AQ544" s="305" t="e">
        <f t="shared" si="451"/>
        <v>#N/A</v>
      </c>
      <c r="AR544" s="304" t="str">
        <f t="shared" si="452"/>
        <v/>
      </c>
      <c r="AS544" s="306">
        <f t="shared" si="474"/>
        <v>0</v>
      </c>
      <c r="AT544" s="307" t="e">
        <f t="shared" si="453"/>
        <v>#N/A</v>
      </c>
      <c r="AU544" s="307" t="e">
        <f t="shared" si="454"/>
        <v>#N/A</v>
      </c>
      <c r="AV544" s="304">
        <f t="shared" si="456"/>
        <v>3.6238138037089076</v>
      </c>
      <c r="AW544" s="309">
        <f t="shared" si="475"/>
        <v>44.887326862294742</v>
      </c>
      <c r="AX544" s="306">
        <f>IF(ISERROR(Weather!M528),#N/A,Weather!M528)</f>
        <v>0</v>
      </c>
      <c r="AY544" s="310">
        <f t="shared" si="476"/>
        <v>12</v>
      </c>
      <c r="AZ544" s="309">
        <f t="shared" si="477"/>
        <v>0.38271074461737903</v>
      </c>
      <c r="BA544" s="309">
        <f t="shared" si="478"/>
        <v>473.61013179396292</v>
      </c>
      <c r="BB544" s="311">
        <f>Irrig!H546</f>
        <v>0</v>
      </c>
      <c r="BC544" s="310">
        <f t="shared" si="479"/>
        <v>0</v>
      </c>
      <c r="BD544" s="309">
        <f t="shared" si="480"/>
        <v>0</v>
      </c>
      <c r="BE544" s="309">
        <f t="shared" si="481"/>
        <v>0</v>
      </c>
      <c r="BF544" s="306">
        <f>DailyMet!H528</f>
        <v>21.1</v>
      </c>
      <c r="BG544" s="306">
        <f>DailyMet!I528</f>
        <v>12.8</v>
      </c>
      <c r="BH544" s="306">
        <f t="shared" si="482"/>
        <v>21.1</v>
      </c>
      <c r="BI544" s="306">
        <f t="shared" si="483"/>
        <v>12.8</v>
      </c>
      <c r="BJ544" s="306">
        <f t="shared" si="484"/>
        <v>6.9500000000000028</v>
      </c>
      <c r="BK544" s="306">
        <f t="shared" si="455"/>
        <v>0</v>
      </c>
      <c r="BL544" s="304">
        <f t="shared" si="485"/>
        <v>0</v>
      </c>
      <c r="BM544" s="304">
        <f t="shared" si="486"/>
        <v>6.9500000000000028</v>
      </c>
      <c r="BN544" s="304">
        <f t="shared" si="503"/>
        <v>6.9500000000000028</v>
      </c>
      <c r="BO544" s="306">
        <f t="shared" si="504"/>
        <v>0</v>
      </c>
      <c r="BP544" s="306"/>
    </row>
    <row r="545" spans="1:68">
      <c r="A545" s="299">
        <f t="shared" si="457"/>
        <v>0</v>
      </c>
      <c r="B545" s="300">
        <f t="shared" si="458"/>
        <v>38510</v>
      </c>
      <c r="C545" s="301" t="e">
        <f t="shared" si="487"/>
        <v>#N/A</v>
      </c>
      <c r="D545" s="301" t="e">
        <f t="shared" si="459"/>
        <v>#N/A</v>
      </c>
      <c r="E545" s="299">
        <f t="shared" si="460"/>
        <v>524</v>
      </c>
      <c r="F545" s="396">
        <f>Weather!M529</f>
        <v>0</v>
      </c>
      <c r="G545" s="301">
        <f>IF(Weather!C529="","",Weather!C529)</f>
        <v>3.9470063499113448</v>
      </c>
      <c r="H545" s="301">
        <f>IF(Weather!D529="","",Weather!D529)</f>
        <v>4.1290757913512</v>
      </c>
      <c r="I545" s="502">
        <f>IF(Weather!E529="","",Weather!E529)</f>
        <v>4.1290757913512</v>
      </c>
      <c r="J545" s="397">
        <f>IF(RnSplint!N208&lt;0,0,RnSplint!N208)</f>
        <v>1.6102119574397644</v>
      </c>
      <c r="K545" s="302">
        <f t="shared" si="488"/>
        <v>0</v>
      </c>
      <c r="L545" s="303">
        <f t="shared" si="489"/>
        <v>38510</v>
      </c>
      <c r="M545" s="346" t="str">
        <f t="shared" si="450"/>
        <v/>
      </c>
      <c r="N545" s="304">
        <f t="shared" si="490"/>
        <v>0</v>
      </c>
      <c r="O545" s="304">
        <f t="shared" si="491"/>
        <v>0</v>
      </c>
      <c r="P545" s="304">
        <f t="shared" si="461"/>
        <v>0</v>
      </c>
      <c r="Q545" s="304">
        <f t="shared" si="462"/>
        <v>0.36572136007672196</v>
      </c>
      <c r="R545" s="304">
        <f t="shared" si="463"/>
        <v>0.36572136007672196</v>
      </c>
      <c r="S545" s="305" t="e">
        <f t="shared" si="492"/>
        <v>#N/A</v>
      </c>
      <c r="T545" s="304">
        <f t="shared" si="464"/>
        <v>0</v>
      </c>
      <c r="U545" s="304">
        <f t="shared" si="502"/>
        <v>0</v>
      </c>
      <c r="V545" s="305" t="e">
        <f t="shared" si="465"/>
        <v>#N/A</v>
      </c>
      <c r="W545" s="305" t="e">
        <f t="shared" si="493"/>
        <v>#N/A</v>
      </c>
      <c r="X545" s="304">
        <f t="shared" si="494"/>
        <v>0.36572136007672196</v>
      </c>
      <c r="Z545" s="304" t="str">
        <f t="shared" si="466"/>
        <v/>
      </c>
      <c r="AA545" s="305" t="e">
        <f t="shared" si="467"/>
        <v>#N/A</v>
      </c>
      <c r="AB545" s="304">
        <f t="shared" si="468"/>
        <v>1.5100912142728278</v>
      </c>
      <c r="AC545" s="304" t="str">
        <f t="shared" si="495"/>
        <v/>
      </c>
      <c r="AD545" s="306">
        <f t="shared" si="469"/>
        <v>0</v>
      </c>
      <c r="AE545" s="307">
        <f t="shared" si="496"/>
        <v>1.5100912142728278</v>
      </c>
      <c r="AF545" s="308" t="e">
        <f t="shared" si="449"/>
        <v>#N/A</v>
      </c>
      <c r="AG545" s="306">
        <f t="shared" si="497"/>
        <v>905.12744119541719</v>
      </c>
      <c r="AH545" s="306">
        <f t="shared" si="470"/>
        <v>0</v>
      </c>
      <c r="AI545" s="306">
        <f t="shared" si="498"/>
        <v>0</v>
      </c>
      <c r="AJ545" s="306">
        <f t="shared" si="499"/>
        <v>0</v>
      </c>
      <c r="AK545" s="306">
        <f t="shared" si="471"/>
        <v>0</v>
      </c>
      <c r="AL545" s="306">
        <f t="shared" si="500"/>
        <v>0</v>
      </c>
      <c r="AM545" s="306">
        <f t="shared" si="472"/>
        <v>0</v>
      </c>
      <c r="AN545" s="306"/>
      <c r="AO545" s="304" t="str">
        <f t="shared" si="473"/>
        <v/>
      </c>
      <c r="AP545" s="304" t="str">
        <f t="shared" si="501"/>
        <v/>
      </c>
      <c r="AQ545" s="305" t="e">
        <f t="shared" si="451"/>
        <v>#N/A</v>
      </c>
      <c r="AR545" s="304" t="str">
        <f t="shared" si="452"/>
        <v/>
      </c>
      <c r="AS545" s="306">
        <f t="shared" si="474"/>
        <v>0</v>
      </c>
      <c r="AT545" s="307" t="e">
        <f t="shared" si="453"/>
        <v>#N/A</v>
      </c>
      <c r="AU545" s="307" t="e">
        <f t="shared" si="454"/>
        <v>#N/A</v>
      </c>
      <c r="AV545" s="304">
        <f t="shared" si="456"/>
        <v>4.1290757913512</v>
      </c>
      <c r="AW545" s="309">
        <f t="shared" si="475"/>
        <v>49.01640265364594</v>
      </c>
      <c r="AX545" s="306">
        <f>IF(ISERROR(Weather!M529),#N/A,Weather!M529)</f>
        <v>0</v>
      </c>
      <c r="AY545" s="310">
        <f t="shared" si="476"/>
        <v>13</v>
      </c>
      <c r="AZ545" s="309">
        <f t="shared" si="477"/>
        <v>0.36572136007672196</v>
      </c>
      <c r="BA545" s="309">
        <f t="shared" si="478"/>
        <v>477.73920758531415</v>
      </c>
      <c r="BB545" s="311">
        <f>Irrig!H547</f>
        <v>0</v>
      </c>
      <c r="BC545" s="310">
        <f t="shared" si="479"/>
        <v>0</v>
      </c>
      <c r="BD545" s="309">
        <f t="shared" si="480"/>
        <v>0</v>
      </c>
      <c r="BE545" s="309">
        <f t="shared" si="481"/>
        <v>0</v>
      </c>
      <c r="BF545" s="306">
        <f>DailyMet!H529</f>
        <v>22.27</v>
      </c>
      <c r="BG545" s="306">
        <f>DailyMet!I529</f>
        <v>16</v>
      </c>
      <c r="BH545" s="306">
        <f t="shared" si="482"/>
        <v>22.27</v>
      </c>
      <c r="BI545" s="306">
        <f t="shared" si="483"/>
        <v>16</v>
      </c>
      <c r="BJ545" s="306">
        <f t="shared" si="484"/>
        <v>9.134999999999998</v>
      </c>
      <c r="BK545" s="306">
        <f t="shared" si="455"/>
        <v>0</v>
      </c>
      <c r="BL545" s="304">
        <f t="shared" si="485"/>
        <v>0</v>
      </c>
      <c r="BM545" s="304">
        <f t="shared" si="486"/>
        <v>9.134999999999998</v>
      </c>
      <c r="BN545" s="304">
        <f t="shared" si="503"/>
        <v>9.134999999999998</v>
      </c>
      <c r="BO545" s="306">
        <f t="shared" si="504"/>
        <v>0</v>
      </c>
      <c r="BP545" s="306"/>
    </row>
    <row r="546" spans="1:68">
      <c r="A546" s="299">
        <f t="shared" si="457"/>
        <v>0</v>
      </c>
      <c r="B546" s="300">
        <f t="shared" si="458"/>
        <v>38511</v>
      </c>
      <c r="C546" s="301" t="e">
        <f t="shared" si="487"/>
        <v>#N/A</v>
      </c>
      <c r="D546" s="301" t="e">
        <f t="shared" si="459"/>
        <v>#N/A</v>
      </c>
      <c r="E546" s="299">
        <f t="shared" si="460"/>
        <v>525</v>
      </c>
      <c r="F546" s="396">
        <f>Weather!M530</f>
        <v>0</v>
      </c>
      <c r="G546" s="301">
        <f>IF(Weather!C530="","",Weather!C530)</f>
        <v>3.9843443791726036</v>
      </c>
      <c r="H546" s="301">
        <f>IF(Weather!D530="","",Weather!D530)</f>
        <v>4.4462286753676405</v>
      </c>
      <c r="I546" s="502">
        <f>IF(Weather!E530="","",Weather!E530)</f>
        <v>4.4462286753676405</v>
      </c>
      <c r="J546" s="397">
        <f>IF(RnSplint!N209&lt;0,0,RnSplint!N209)</f>
        <v>1.7945774721622114</v>
      </c>
      <c r="K546" s="302">
        <f t="shared" si="488"/>
        <v>0</v>
      </c>
      <c r="L546" s="303">
        <f t="shared" si="489"/>
        <v>38511</v>
      </c>
      <c r="M546" s="346" t="str">
        <f t="shared" si="450"/>
        <v/>
      </c>
      <c r="N546" s="304">
        <f t="shared" si="490"/>
        <v>0</v>
      </c>
      <c r="O546" s="304">
        <f t="shared" si="491"/>
        <v>0</v>
      </c>
      <c r="P546" s="304">
        <f t="shared" si="461"/>
        <v>0</v>
      </c>
      <c r="Q546" s="304">
        <f t="shared" si="462"/>
        <v>0.3496975070457824</v>
      </c>
      <c r="R546" s="304">
        <f t="shared" si="463"/>
        <v>0.3496975070457824</v>
      </c>
      <c r="S546" s="305" t="e">
        <f t="shared" si="492"/>
        <v>#N/A</v>
      </c>
      <c r="T546" s="304">
        <f t="shared" si="464"/>
        <v>0</v>
      </c>
      <c r="U546" s="304">
        <f t="shared" si="502"/>
        <v>0</v>
      </c>
      <c r="V546" s="305" t="e">
        <f t="shared" si="465"/>
        <v>#N/A</v>
      </c>
      <c r="W546" s="305" t="e">
        <f t="shared" si="493"/>
        <v>#N/A</v>
      </c>
      <c r="X546" s="304">
        <f t="shared" si="494"/>
        <v>0.3496975070457824</v>
      </c>
      <c r="Z546" s="304" t="str">
        <f t="shared" si="466"/>
        <v/>
      </c>
      <c r="AA546" s="305" t="e">
        <f t="shared" si="467"/>
        <v>#N/A</v>
      </c>
      <c r="AB546" s="304">
        <f t="shared" si="468"/>
        <v>1.5548350835315352</v>
      </c>
      <c r="AC546" s="304" t="str">
        <f t="shared" si="495"/>
        <v/>
      </c>
      <c r="AD546" s="306">
        <f t="shared" si="469"/>
        <v>0</v>
      </c>
      <c r="AE546" s="307">
        <f t="shared" si="496"/>
        <v>1.5548350835315352</v>
      </c>
      <c r="AF546" s="308" t="e">
        <f t="shared" si="449"/>
        <v>#N/A</v>
      </c>
      <c r="AG546" s="306">
        <f t="shared" si="497"/>
        <v>909.57366987078478</v>
      </c>
      <c r="AH546" s="306">
        <f t="shared" si="470"/>
        <v>0</v>
      </c>
      <c r="AI546" s="306">
        <f t="shared" si="498"/>
        <v>0</v>
      </c>
      <c r="AJ546" s="306">
        <f t="shared" si="499"/>
        <v>0</v>
      </c>
      <c r="AK546" s="306">
        <f t="shared" si="471"/>
        <v>0</v>
      </c>
      <c r="AL546" s="306">
        <f t="shared" si="500"/>
        <v>0</v>
      </c>
      <c r="AM546" s="306">
        <f t="shared" si="472"/>
        <v>0</v>
      </c>
      <c r="AN546" s="306"/>
      <c r="AO546" s="304" t="str">
        <f t="shared" si="473"/>
        <v/>
      </c>
      <c r="AP546" s="304" t="str">
        <f t="shared" si="501"/>
        <v/>
      </c>
      <c r="AQ546" s="305" t="e">
        <f t="shared" si="451"/>
        <v>#N/A</v>
      </c>
      <c r="AR546" s="304" t="str">
        <f t="shared" si="452"/>
        <v/>
      </c>
      <c r="AS546" s="306">
        <f t="shared" si="474"/>
        <v>0</v>
      </c>
      <c r="AT546" s="307" t="e">
        <f t="shared" si="453"/>
        <v>#N/A</v>
      </c>
      <c r="AU546" s="307" t="e">
        <f t="shared" si="454"/>
        <v>#N/A</v>
      </c>
      <c r="AV546" s="304">
        <f t="shared" si="456"/>
        <v>4.4462286753676405</v>
      </c>
      <c r="AW546" s="309">
        <f t="shared" si="475"/>
        <v>53.462631329013583</v>
      </c>
      <c r="AX546" s="306">
        <f>IF(ISERROR(Weather!M530),#N/A,Weather!M530)</f>
        <v>0</v>
      </c>
      <c r="AY546" s="310">
        <f t="shared" si="476"/>
        <v>14</v>
      </c>
      <c r="AZ546" s="309">
        <f t="shared" si="477"/>
        <v>0.3496975070457824</v>
      </c>
      <c r="BA546" s="309">
        <f t="shared" si="478"/>
        <v>482.1854362606818</v>
      </c>
      <c r="BB546" s="311">
        <f>Irrig!H548</f>
        <v>0</v>
      </c>
      <c r="BC546" s="310">
        <f t="shared" si="479"/>
        <v>0</v>
      </c>
      <c r="BD546" s="309">
        <f t="shared" si="480"/>
        <v>0</v>
      </c>
      <c r="BE546" s="309">
        <f t="shared" si="481"/>
        <v>0</v>
      </c>
      <c r="BF546" s="306">
        <f>DailyMet!H530</f>
        <v>21.65</v>
      </c>
      <c r="BG546" s="306">
        <f>DailyMet!I530</f>
        <v>15.4</v>
      </c>
      <c r="BH546" s="306">
        <f t="shared" si="482"/>
        <v>21.65</v>
      </c>
      <c r="BI546" s="306">
        <f t="shared" si="483"/>
        <v>15.4</v>
      </c>
      <c r="BJ546" s="306">
        <f t="shared" si="484"/>
        <v>8.5249999999999986</v>
      </c>
      <c r="BK546" s="306">
        <f t="shared" si="455"/>
        <v>0</v>
      </c>
      <c r="BL546" s="304">
        <f t="shared" si="485"/>
        <v>0</v>
      </c>
      <c r="BM546" s="304">
        <f t="shared" si="486"/>
        <v>8.5249999999999986</v>
      </c>
      <c r="BN546" s="304">
        <f t="shared" si="503"/>
        <v>8.5249999999999986</v>
      </c>
      <c r="BO546" s="306">
        <f t="shared" si="504"/>
        <v>0</v>
      </c>
      <c r="BP546" s="306"/>
    </row>
    <row r="547" spans="1:68">
      <c r="A547" s="299">
        <f t="shared" si="457"/>
        <v>0</v>
      </c>
      <c r="B547" s="300">
        <f t="shared" si="458"/>
        <v>38512</v>
      </c>
      <c r="C547" s="301" t="e">
        <f t="shared" si="487"/>
        <v>#N/A</v>
      </c>
      <c r="D547" s="301" t="e">
        <f t="shared" si="459"/>
        <v>#N/A</v>
      </c>
      <c r="E547" s="299">
        <f t="shared" si="460"/>
        <v>526</v>
      </c>
      <c r="F547" s="396">
        <f>Weather!M531</f>
        <v>0</v>
      </c>
      <c r="G547" s="301">
        <f>IF(Weather!C531="","",Weather!C531)</f>
        <v>4.020385483985141</v>
      </c>
      <c r="H547" s="301">
        <f>IF(Weather!D531="","",Weather!D531)</f>
        <v>4.3562374293007231</v>
      </c>
      <c r="I547" s="502">
        <f>IF(Weather!E531="","",Weather!E531)</f>
        <v>4.3562374293007231</v>
      </c>
      <c r="J547" s="397">
        <f>IF(RnSplint!N210&lt;0,0,RnSplint!N210)</f>
        <v>2.0252579434142599</v>
      </c>
      <c r="K547" s="302">
        <f t="shared" si="488"/>
        <v>0</v>
      </c>
      <c r="L547" s="303">
        <f t="shared" si="489"/>
        <v>38512</v>
      </c>
      <c r="M547" s="346" t="str">
        <f t="shared" si="450"/>
        <v/>
      </c>
      <c r="N547" s="304">
        <f t="shared" si="490"/>
        <v>0</v>
      </c>
      <c r="O547" s="304">
        <f t="shared" si="491"/>
        <v>0</v>
      </c>
      <c r="P547" s="304">
        <f t="shared" si="461"/>
        <v>0</v>
      </c>
      <c r="Q547" s="304">
        <f t="shared" si="462"/>
        <v>0.33584477652684447</v>
      </c>
      <c r="R547" s="304">
        <f t="shared" si="463"/>
        <v>0.33584477652684447</v>
      </c>
      <c r="S547" s="305" t="e">
        <f t="shared" si="492"/>
        <v>#N/A</v>
      </c>
      <c r="T547" s="304">
        <f t="shared" si="464"/>
        <v>0</v>
      </c>
      <c r="U547" s="304">
        <f t="shared" si="502"/>
        <v>0</v>
      </c>
      <c r="V547" s="305" t="e">
        <f t="shared" si="465"/>
        <v>#N/A</v>
      </c>
      <c r="W547" s="305" t="e">
        <f t="shared" si="493"/>
        <v>#N/A</v>
      </c>
      <c r="X547" s="304">
        <f t="shared" si="494"/>
        <v>0.33584477652684447</v>
      </c>
      <c r="Z547" s="304" t="str">
        <f t="shared" si="466"/>
        <v/>
      </c>
      <c r="AA547" s="305" t="e">
        <f t="shared" si="467"/>
        <v>#N/A</v>
      </c>
      <c r="AB547" s="304">
        <f t="shared" si="468"/>
        <v>1.4630195859413768</v>
      </c>
      <c r="AC547" s="304" t="str">
        <f t="shared" si="495"/>
        <v/>
      </c>
      <c r="AD547" s="306">
        <f t="shared" si="469"/>
        <v>0</v>
      </c>
      <c r="AE547" s="307">
        <f t="shared" si="496"/>
        <v>1.4630195859413768</v>
      </c>
      <c r="AF547" s="308" t="e">
        <f t="shared" si="449"/>
        <v>#N/A</v>
      </c>
      <c r="AG547" s="306">
        <f t="shared" si="497"/>
        <v>913.92990730008546</v>
      </c>
      <c r="AH547" s="306">
        <f t="shared" si="470"/>
        <v>0</v>
      </c>
      <c r="AI547" s="306">
        <f t="shared" si="498"/>
        <v>0</v>
      </c>
      <c r="AJ547" s="306">
        <f t="shared" si="499"/>
        <v>0</v>
      </c>
      <c r="AK547" s="306">
        <f t="shared" si="471"/>
        <v>0</v>
      </c>
      <c r="AL547" s="306">
        <f t="shared" si="500"/>
        <v>0</v>
      </c>
      <c r="AM547" s="306">
        <f t="shared" si="472"/>
        <v>0</v>
      </c>
      <c r="AN547" s="306"/>
      <c r="AO547" s="304" t="str">
        <f t="shared" si="473"/>
        <v/>
      </c>
      <c r="AP547" s="304" t="str">
        <f t="shared" si="501"/>
        <v/>
      </c>
      <c r="AQ547" s="305" t="e">
        <f t="shared" si="451"/>
        <v>#N/A</v>
      </c>
      <c r="AR547" s="304" t="str">
        <f t="shared" si="452"/>
        <v/>
      </c>
      <c r="AS547" s="306">
        <f t="shared" si="474"/>
        <v>0</v>
      </c>
      <c r="AT547" s="307" t="e">
        <f t="shared" si="453"/>
        <v>#N/A</v>
      </c>
      <c r="AU547" s="307" t="e">
        <f t="shared" si="454"/>
        <v>#N/A</v>
      </c>
      <c r="AV547" s="304">
        <f t="shared" si="456"/>
        <v>4.3562374293007231</v>
      </c>
      <c r="AW547" s="309">
        <f t="shared" si="475"/>
        <v>57.818868758314309</v>
      </c>
      <c r="AX547" s="306">
        <f>IF(ISERROR(Weather!M531),#N/A,Weather!M531)</f>
        <v>0</v>
      </c>
      <c r="AY547" s="310">
        <f t="shared" si="476"/>
        <v>15</v>
      </c>
      <c r="AZ547" s="309">
        <f t="shared" si="477"/>
        <v>0.33584477652684447</v>
      </c>
      <c r="BA547" s="309">
        <f t="shared" si="478"/>
        <v>486.54167368998253</v>
      </c>
      <c r="BB547" s="311">
        <f>Irrig!H549</f>
        <v>0</v>
      </c>
      <c r="BC547" s="310">
        <f t="shared" si="479"/>
        <v>0</v>
      </c>
      <c r="BD547" s="309">
        <f t="shared" si="480"/>
        <v>0</v>
      </c>
      <c r="BE547" s="309">
        <f t="shared" si="481"/>
        <v>0</v>
      </c>
      <c r="BF547" s="306">
        <f>DailyMet!H531</f>
        <v>22.53</v>
      </c>
      <c r="BG547" s="306">
        <f>DailyMet!I531</f>
        <v>18.100000000000001</v>
      </c>
      <c r="BH547" s="306">
        <f t="shared" si="482"/>
        <v>22.53</v>
      </c>
      <c r="BI547" s="306">
        <f t="shared" si="483"/>
        <v>18.100000000000001</v>
      </c>
      <c r="BJ547" s="306">
        <f t="shared" si="484"/>
        <v>10.315000000000001</v>
      </c>
      <c r="BK547" s="306">
        <f t="shared" si="455"/>
        <v>0</v>
      </c>
      <c r="BL547" s="304">
        <f t="shared" si="485"/>
        <v>0</v>
      </c>
      <c r="BM547" s="304">
        <f t="shared" si="486"/>
        <v>10.315000000000001</v>
      </c>
      <c r="BN547" s="304">
        <f t="shared" si="503"/>
        <v>10.315000000000001</v>
      </c>
      <c r="BO547" s="306">
        <f t="shared" si="504"/>
        <v>0</v>
      </c>
      <c r="BP547" s="306"/>
    </row>
    <row r="548" spans="1:68">
      <c r="A548" s="299">
        <f t="shared" si="457"/>
        <v>0</v>
      </c>
      <c r="B548" s="300">
        <f t="shared" si="458"/>
        <v>38513</v>
      </c>
      <c r="C548" s="301" t="e">
        <f t="shared" si="487"/>
        <v>#N/A</v>
      </c>
      <c r="D548" s="301" t="e">
        <f t="shared" si="459"/>
        <v>#N/A</v>
      </c>
      <c r="E548" s="299">
        <f t="shared" si="460"/>
        <v>527</v>
      </c>
      <c r="F548" s="396">
        <f>Weather!M532</f>
        <v>9</v>
      </c>
      <c r="G548" s="301">
        <f>IF(Weather!C532="","",Weather!C532)</f>
        <v>4.0550949966738505</v>
      </c>
      <c r="H548" s="301">
        <f>IF(Weather!D532="","",Weather!D532)</f>
        <v>4.1459186279255205</v>
      </c>
      <c r="I548" s="502">
        <f>IF(Weather!E532="","",Weather!E532)</f>
        <v>4.1459186279255205</v>
      </c>
      <c r="J548" s="397">
        <f>IF(RnSplint!N211&lt;0,0,RnSplint!N211)</f>
        <v>2.303005275660106</v>
      </c>
      <c r="K548" s="302">
        <f t="shared" si="488"/>
        <v>0</v>
      </c>
      <c r="L548" s="303">
        <f t="shared" si="489"/>
        <v>38513</v>
      </c>
      <c r="M548" s="346" t="str">
        <f t="shared" si="450"/>
        <v/>
      </c>
      <c r="N548" s="304">
        <f t="shared" si="490"/>
        <v>0</v>
      </c>
      <c r="O548" s="304">
        <f t="shared" si="491"/>
        <v>0</v>
      </c>
      <c r="P548" s="304">
        <f t="shared" si="461"/>
        <v>0</v>
      </c>
      <c r="Q548" s="304">
        <f t="shared" si="462"/>
        <v>1.2</v>
      </c>
      <c r="R548" s="304">
        <f t="shared" si="463"/>
        <v>1.2</v>
      </c>
      <c r="S548" s="305" t="e">
        <f t="shared" si="492"/>
        <v>#N/A</v>
      </c>
      <c r="T548" s="304">
        <f t="shared" si="464"/>
        <v>0</v>
      </c>
      <c r="U548" s="304">
        <f t="shared" si="502"/>
        <v>0</v>
      </c>
      <c r="V548" s="305" t="e">
        <f t="shared" si="465"/>
        <v>#N/A</v>
      </c>
      <c r="W548" s="305" t="e">
        <f t="shared" si="493"/>
        <v>#N/A</v>
      </c>
      <c r="X548" s="304">
        <f t="shared" si="494"/>
        <v>1.2</v>
      </c>
      <c r="Z548" s="304" t="str">
        <f t="shared" si="466"/>
        <v/>
      </c>
      <c r="AA548" s="305" t="e">
        <f t="shared" si="467"/>
        <v>#N/A</v>
      </c>
      <c r="AB548" s="304">
        <f t="shared" si="468"/>
        <v>4.975102353510624</v>
      </c>
      <c r="AC548" s="304" t="str">
        <f t="shared" si="495"/>
        <v/>
      </c>
      <c r="AD548" s="306">
        <f t="shared" si="469"/>
        <v>0</v>
      </c>
      <c r="AE548" s="307">
        <f t="shared" si="496"/>
        <v>4.975102353510624</v>
      </c>
      <c r="AF548" s="308" t="e">
        <f t="shared" si="449"/>
        <v>#N/A</v>
      </c>
      <c r="AG548" s="306">
        <f t="shared" si="497"/>
        <v>918.075825928011</v>
      </c>
      <c r="AH548" s="306">
        <f t="shared" si="470"/>
        <v>0</v>
      </c>
      <c r="AI548" s="306">
        <f t="shared" si="498"/>
        <v>0</v>
      </c>
      <c r="AJ548" s="306">
        <f t="shared" si="499"/>
        <v>0</v>
      </c>
      <c r="AK548" s="306">
        <f t="shared" si="471"/>
        <v>0</v>
      </c>
      <c r="AL548" s="306">
        <f t="shared" si="500"/>
        <v>0</v>
      </c>
      <c r="AM548" s="306">
        <f t="shared" si="472"/>
        <v>0</v>
      </c>
      <c r="AN548" s="306"/>
      <c r="AO548" s="304" t="str">
        <f t="shared" si="473"/>
        <v/>
      </c>
      <c r="AP548" s="304" t="str">
        <f t="shared" si="501"/>
        <v/>
      </c>
      <c r="AQ548" s="305" t="e">
        <f t="shared" si="451"/>
        <v>#N/A</v>
      </c>
      <c r="AR548" s="304" t="str">
        <f t="shared" si="452"/>
        <v/>
      </c>
      <c r="AS548" s="306">
        <f t="shared" si="474"/>
        <v>0</v>
      </c>
      <c r="AT548" s="307" t="e">
        <f t="shared" si="453"/>
        <v>#N/A</v>
      </c>
      <c r="AU548" s="307" t="e">
        <f t="shared" si="454"/>
        <v>#N/A</v>
      </c>
      <c r="AV548" s="304">
        <f t="shared" si="456"/>
        <v>4.1459186279255205</v>
      </c>
      <c r="AW548" s="309">
        <f t="shared" si="475"/>
        <v>4.1459186279255205</v>
      </c>
      <c r="AX548" s="306">
        <f>IF(ISERROR(Weather!M532),#N/A,Weather!M532)</f>
        <v>9</v>
      </c>
      <c r="AY548" s="310">
        <f t="shared" si="476"/>
        <v>1</v>
      </c>
      <c r="AZ548" s="309">
        <f t="shared" si="477"/>
        <v>1.2</v>
      </c>
      <c r="BA548" s="309">
        <f t="shared" si="478"/>
        <v>490.68759231790807</v>
      </c>
      <c r="BB548" s="311">
        <f>Irrig!H550</f>
        <v>0</v>
      </c>
      <c r="BC548" s="310">
        <f t="shared" si="479"/>
        <v>0</v>
      </c>
      <c r="BD548" s="309">
        <f t="shared" si="480"/>
        <v>0</v>
      </c>
      <c r="BE548" s="309">
        <f t="shared" si="481"/>
        <v>0</v>
      </c>
      <c r="BF548" s="306">
        <f>DailyMet!H532</f>
        <v>21.51</v>
      </c>
      <c r="BG548" s="306">
        <f>DailyMet!I532</f>
        <v>16.600000000000001</v>
      </c>
      <c r="BH548" s="306">
        <f t="shared" si="482"/>
        <v>21.51</v>
      </c>
      <c r="BI548" s="306">
        <f t="shared" si="483"/>
        <v>16.600000000000001</v>
      </c>
      <c r="BJ548" s="306">
        <f t="shared" si="484"/>
        <v>9.0549999999999997</v>
      </c>
      <c r="BK548" s="306">
        <f t="shared" si="455"/>
        <v>0</v>
      </c>
      <c r="BL548" s="304">
        <f t="shared" si="485"/>
        <v>0</v>
      </c>
      <c r="BM548" s="304">
        <f t="shared" si="486"/>
        <v>9.0549999999999997</v>
      </c>
      <c r="BN548" s="304">
        <f t="shared" si="503"/>
        <v>9.0549999999999997</v>
      </c>
      <c r="BO548" s="306">
        <f t="shared" si="504"/>
        <v>0</v>
      </c>
      <c r="BP548" s="306"/>
    </row>
    <row r="549" spans="1:68">
      <c r="A549" s="299">
        <f t="shared" si="457"/>
        <v>0</v>
      </c>
      <c r="B549" s="300">
        <f t="shared" si="458"/>
        <v>38514</v>
      </c>
      <c r="C549" s="301" t="e">
        <f t="shared" si="487"/>
        <v>#N/A</v>
      </c>
      <c r="D549" s="301" t="e">
        <f t="shared" si="459"/>
        <v>#N/A</v>
      </c>
      <c r="E549" s="299">
        <f t="shared" si="460"/>
        <v>528</v>
      </c>
      <c r="F549" s="396">
        <f>Weather!M533</f>
        <v>0.4</v>
      </c>
      <c r="G549" s="301">
        <f>IF(Weather!C533="","",Weather!C533)</f>
        <v>4.0884382495636267</v>
      </c>
      <c r="H549" s="301">
        <f>IF(Weather!D533="","",Weather!D533)</f>
        <v>4.411672347114922</v>
      </c>
      <c r="I549" s="502">
        <f>IF(Weather!E533="","",Weather!E533)</f>
        <v>4.411672347114922</v>
      </c>
      <c r="J549" s="397">
        <f>IF(RnSplint!N212&lt;0,0,RnSplint!N212)</f>
        <v>2.6285713733639504</v>
      </c>
      <c r="K549" s="302">
        <f t="shared" si="488"/>
        <v>0</v>
      </c>
      <c r="L549" s="303">
        <f t="shared" si="489"/>
        <v>38514</v>
      </c>
      <c r="M549" s="346" t="str">
        <f t="shared" si="450"/>
        <v/>
      </c>
      <c r="N549" s="304">
        <f t="shared" si="490"/>
        <v>0</v>
      </c>
      <c r="O549" s="304">
        <f t="shared" si="491"/>
        <v>0</v>
      </c>
      <c r="P549" s="304">
        <f t="shared" si="461"/>
        <v>0</v>
      </c>
      <c r="Q549" s="304">
        <f t="shared" si="462"/>
        <v>0.90006343695069158</v>
      </c>
      <c r="R549" s="304">
        <f t="shared" si="463"/>
        <v>0.90006343695069158</v>
      </c>
      <c r="S549" s="305" t="e">
        <f t="shared" si="492"/>
        <v>#N/A</v>
      </c>
      <c r="T549" s="304">
        <f t="shared" si="464"/>
        <v>0</v>
      </c>
      <c r="U549" s="304">
        <f t="shared" si="502"/>
        <v>0</v>
      </c>
      <c r="V549" s="305" t="e">
        <f t="shared" si="465"/>
        <v>#N/A</v>
      </c>
      <c r="W549" s="305" t="e">
        <f t="shared" si="493"/>
        <v>#N/A</v>
      </c>
      <c r="X549" s="304">
        <f t="shared" si="494"/>
        <v>0.90006343695069158</v>
      </c>
      <c r="Z549" s="304" t="str">
        <f t="shared" si="466"/>
        <v/>
      </c>
      <c r="AA549" s="305" t="e">
        <f t="shared" si="467"/>
        <v>#N/A</v>
      </c>
      <c r="AB549" s="304">
        <f t="shared" si="468"/>
        <v>3.9707849754445812</v>
      </c>
      <c r="AC549" s="304" t="str">
        <f t="shared" si="495"/>
        <v/>
      </c>
      <c r="AD549" s="306">
        <f t="shared" si="469"/>
        <v>0</v>
      </c>
      <c r="AE549" s="307">
        <f t="shared" si="496"/>
        <v>3.9707849754445812</v>
      </c>
      <c r="AF549" s="308" t="e">
        <f t="shared" si="449"/>
        <v>#N/A</v>
      </c>
      <c r="AG549" s="306">
        <f t="shared" si="497"/>
        <v>922.48749827512597</v>
      </c>
      <c r="AH549" s="306">
        <f t="shared" si="470"/>
        <v>0</v>
      </c>
      <c r="AI549" s="306">
        <f t="shared" si="498"/>
        <v>0</v>
      </c>
      <c r="AJ549" s="306">
        <f t="shared" si="499"/>
        <v>0</v>
      </c>
      <c r="AK549" s="306">
        <f t="shared" si="471"/>
        <v>0</v>
      </c>
      <c r="AL549" s="306">
        <f t="shared" si="500"/>
        <v>0</v>
      </c>
      <c r="AM549" s="306">
        <f t="shared" si="472"/>
        <v>0</v>
      </c>
      <c r="AN549" s="306"/>
      <c r="AO549" s="304" t="str">
        <f t="shared" si="473"/>
        <v/>
      </c>
      <c r="AP549" s="304" t="str">
        <f t="shared" si="501"/>
        <v/>
      </c>
      <c r="AQ549" s="305" t="e">
        <f t="shared" si="451"/>
        <v>#N/A</v>
      </c>
      <c r="AR549" s="304" t="str">
        <f t="shared" si="452"/>
        <v/>
      </c>
      <c r="AS549" s="306">
        <f t="shared" si="474"/>
        <v>0</v>
      </c>
      <c r="AT549" s="307" t="e">
        <f t="shared" si="453"/>
        <v>#N/A</v>
      </c>
      <c r="AU549" s="307" t="e">
        <f t="shared" si="454"/>
        <v>#N/A</v>
      </c>
      <c r="AV549" s="304">
        <f t="shared" si="456"/>
        <v>4.411672347114922</v>
      </c>
      <c r="AW549" s="309">
        <f t="shared" si="475"/>
        <v>8.5575909750404424</v>
      </c>
      <c r="AX549" s="306">
        <f>IF(ISERROR(Weather!M533),#N/A,Weather!M533)</f>
        <v>0.4</v>
      </c>
      <c r="AY549" s="310">
        <f t="shared" si="476"/>
        <v>2</v>
      </c>
      <c r="AZ549" s="309">
        <f t="shared" si="477"/>
        <v>0.90006343695069158</v>
      </c>
      <c r="BA549" s="309">
        <f t="shared" si="478"/>
        <v>495.09926466502299</v>
      </c>
      <c r="BB549" s="311">
        <f>Irrig!H551</f>
        <v>0</v>
      </c>
      <c r="BC549" s="310">
        <f t="shared" si="479"/>
        <v>0</v>
      </c>
      <c r="BD549" s="309">
        <f t="shared" si="480"/>
        <v>0</v>
      </c>
      <c r="BE549" s="309">
        <f t="shared" si="481"/>
        <v>0</v>
      </c>
      <c r="BF549" s="306">
        <f>DailyMet!H533</f>
        <v>21.49</v>
      </c>
      <c r="BG549" s="306">
        <f>DailyMet!I533</f>
        <v>14</v>
      </c>
      <c r="BH549" s="306">
        <f t="shared" si="482"/>
        <v>21.49</v>
      </c>
      <c r="BI549" s="306">
        <f t="shared" si="483"/>
        <v>14</v>
      </c>
      <c r="BJ549" s="306">
        <f t="shared" si="484"/>
        <v>7.7449999999999974</v>
      </c>
      <c r="BK549" s="306">
        <f t="shared" si="455"/>
        <v>0</v>
      </c>
      <c r="BL549" s="304">
        <f t="shared" si="485"/>
        <v>0</v>
      </c>
      <c r="BM549" s="304">
        <f t="shared" si="486"/>
        <v>7.7449999999999974</v>
      </c>
      <c r="BN549" s="304">
        <f t="shared" si="503"/>
        <v>7.7449999999999974</v>
      </c>
      <c r="BO549" s="306">
        <f t="shared" si="504"/>
        <v>0</v>
      </c>
      <c r="BP549" s="306"/>
    </row>
    <row r="550" spans="1:68">
      <c r="A550" s="299">
        <f t="shared" si="457"/>
        <v>0</v>
      </c>
      <c r="B550" s="300">
        <f t="shared" si="458"/>
        <v>38515</v>
      </c>
      <c r="C550" s="301" t="e">
        <f t="shared" si="487"/>
        <v>#N/A</v>
      </c>
      <c r="D550" s="301" t="e">
        <f t="shared" si="459"/>
        <v>#N/A</v>
      </c>
      <c r="E550" s="299">
        <f t="shared" si="460"/>
        <v>529</v>
      </c>
      <c r="F550" s="396">
        <f>Weather!M534</f>
        <v>9</v>
      </c>
      <c r="G550" s="301">
        <f>IF(Weather!C534="","",Weather!C534)</f>
        <v>4.1203805749793609</v>
      </c>
      <c r="H550" s="301">
        <f>IF(Weather!D534="","",Weather!D534)</f>
        <v>4.3849772680391643</v>
      </c>
      <c r="I550" s="502">
        <f>IF(Weather!E534="","",Weather!E534)</f>
        <v>4.3849772680391643</v>
      </c>
      <c r="J550" s="397">
        <f>IF(RnSplint!N213&lt;0,0,RnSplint!N213)</f>
        <v>3.0027081409899847</v>
      </c>
      <c r="K550" s="302">
        <f t="shared" si="488"/>
        <v>0</v>
      </c>
      <c r="L550" s="303">
        <f t="shared" si="489"/>
        <v>38515</v>
      </c>
      <c r="M550" s="346" t="str">
        <f t="shared" si="450"/>
        <v/>
      </c>
      <c r="N550" s="304">
        <f t="shared" si="490"/>
        <v>0</v>
      </c>
      <c r="O550" s="304">
        <f t="shared" si="491"/>
        <v>0</v>
      </c>
      <c r="P550" s="304">
        <f t="shared" si="461"/>
        <v>0</v>
      </c>
      <c r="Q550" s="304">
        <f t="shared" si="462"/>
        <v>1.2</v>
      </c>
      <c r="R550" s="304">
        <f t="shared" si="463"/>
        <v>1.2</v>
      </c>
      <c r="S550" s="305" t="e">
        <f t="shared" si="492"/>
        <v>#N/A</v>
      </c>
      <c r="T550" s="304">
        <f t="shared" si="464"/>
        <v>0</v>
      </c>
      <c r="U550" s="304">
        <f t="shared" si="502"/>
        <v>0</v>
      </c>
      <c r="V550" s="305" t="e">
        <f t="shared" si="465"/>
        <v>#N/A</v>
      </c>
      <c r="W550" s="305" t="e">
        <f t="shared" si="493"/>
        <v>#N/A</v>
      </c>
      <c r="X550" s="304">
        <f t="shared" si="494"/>
        <v>1.2</v>
      </c>
      <c r="Z550" s="304" t="str">
        <f t="shared" si="466"/>
        <v/>
      </c>
      <c r="AA550" s="305" t="e">
        <f t="shared" si="467"/>
        <v>#N/A</v>
      </c>
      <c r="AB550" s="304">
        <f t="shared" si="468"/>
        <v>5.2619727216469974</v>
      </c>
      <c r="AC550" s="304" t="str">
        <f t="shared" si="495"/>
        <v/>
      </c>
      <c r="AD550" s="306">
        <f t="shared" si="469"/>
        <v>0</v>
      </c>
      <c r="AE550" s="307">
        <f t="shared" si="496"/>
        <v>5.2619727216469974</v>
      </c>
      <c r="AF550" s="308" t="e">
        <f t="shared" si="449"/>
        <v>#N/A</v>
      </c>
      <c r="AG550" s="306">
        <f t="shared" si="497"/>
        <v>926.87247554316514</v>
      </c>
      <c r="AH550" s="306">
        <f t="shared" si="470"/>
        <v>0</v>
      </c>
      <c r="AI550" s="306">
        <f t="shared" si="498"/>
        <v>0</v>
      </c>
      <c r="AJ550" s="306">
        <f t="shared" si="499"/>
        <v>0</v>
      </c>
      <c r="AK550" s="306">
        <f t="shared" si="471"/>
        <v>0</v>
      </c>
      <c r="AL550" s="306">
        <f t="shared" si="500"/>
        <v>0</v>
      </c>
      <c r="AM550" s="306">
        <f t="shared" si="472"/>
        <v>0</v>
      </c>
      <c r="AN550" s="306"/>
      <c r="AO550" s="304" t="str">
        <f t="shared" si="473"/>
        <v/>
      </c>
      <c r="AP550" s="304" t="str">
        <f t="shared" si="501"/>
        <v/>
      </c>
      <c r="AQ550" s="305" t="e">
        <f t="shared" si="451"/>
        <v>#N/A</v>
      </c>
      <c r="AR550" s="304" t="str">
        <f t="shared" si="452"/>
        <v/>
      </c>
      <c r="AS550" s="306">
        <f t="shared" si="474"/>
        <v>0</v>
      </c>
      <c r="AT550" s="307" t="e">
        <f t="shared" si="453"/>
        <v>#N/A</v>
      </c>
      <c r="AU550" s="307" t="e">
        <f t="shared" si="454"/>
        <v>#N/A</v>
      </c>
      <c r="AV550" s="304">
        <f t="shared" si="456"/>
        <v>4.3849772680391643</v>
      </c>
      <c r="AW550" s="309">
        <f t="shared" si="475"/>
        <v>4.3849772680391643</v>
      </c>
      <c r="AX550" s="306">
        <f>IF(ISERROR(Weather!M534),#N/A,Weather!M534)</f>
        <v>9</v>
      </c>
      <c r="AY550" s="310">
        <f t="shared" si="476"/>
        <v>1</v>
      </c>
      <c r="AZ550" s="309">
        <f t="shared" si="477"/>
        <v>1.2</v>
      </c>
      <c r="BA550" s="309">
        <f t="shared" si="478"/>
        <v>499.48424193306215</v>
      </c>
      <c r="BB550" s="311">
        <f>Irrig!H552</f>
        <v>0</v>
      </c>
      <c r="BC550" s="310">
        <f t="shared" si="479"/>
        <v>0</v>
      </c>
      <c r="BD550" s="309">
        <f t="shared" si="480"/>
        <v>0</v>
      </c>
      <c r="BE550" s="309">
        <f t="shared" si="481"/>
        <v>0</v>
      </c>
      <c r="BF550" s="306">
        <f>DailyMet!H534</f>
        <v>20.440000000000001</v>
      </c>
      <c r="BG550" s="306">
        <f>DailyMet!I534</f>
        <v>12.3</v>
      </c>
      <c r="BH550" s="306">
        <f t="shared" si="482"/>
        <v>20.440000000000001</v>
      </c>
      <c r="BI550" s="306">
        <f t="shared" si="483"/>
        <v>12.3</v>
      </c>
      <c r="BJ550" s="306">
        <f t="shared" si="484"/>
        <v>6.370000000000001</v>
      </c>
      <c r="BK550" s="306">
        <f t="shared" si="455"/>
        <v>0</v>
      </c>
      <c r="BL550" s="304">
        <f t="shared" si="485"/>
        <v>0</v>
      </c>
      <c r="BM550" s="304">
        <f t="shared" si="486"/>
        <v>6.370000000000001</v>
      </c>
      <c r="BN550" s="304">
        <f t="shared" si="503"/>
        <v>6.370000000000001</v>
      </c>
      <c r="BO550" s="306">
        <f t="shared" si="504"/>
        <v>0</v>
      </c>
      <c r="BP550" s="306"/>
    </row>
    <row r="551" spans="1:68">
      <c r="A551" s="299">
        <f t="shared" si="457"/>
        <v>0</v>
      </c>
      <c r="B551" s="300">
        <f t="shared" si="458"/>
        <v>38516</v>
      </c>
      <c r="C551" s="301" t="e">
        <f t="shared" si="487"/>
        <v>#N/A</v>
      </c>
      <c r="D551" s="301" t="e">
        <f t="shared" si="459"/>
        <v>#N/A</v>
      </c>
      <c r="E551" s="299">
        <f t="shared" si="460"/>
        <v>530</v>
      </c>
      <c r="F551" s="396">
        <f>Weather!M535</f>
        <v>0</v>
      </c>
      <c r="G551" s="301">
        <f>IF(Weather!C535="","",Weather!C535)</f>
        <v>4.1508873052459467</v>
      </c>
      <c r="H551" s="301">
        <f>IF(Weather!D535="","",Weather!D535)</f>
        <v>3.8091930190969734</v>
      </c>
      <c r="I551" s="502">
        <f>IF(Weather!E535="","",Weather!E535)</f>
        <v>3.8091930190969734</v>
      </c>
      <c r="J551" s="397">
        <f>IF(RnSplint!N214&lt;0,0,RnSplint!N214)</f>
        <v>3.42616748300241</v>
      </c>
      <c r="K551" s="302">
        <f t="shared" si="488"/>
        <v>0</v>
      </c>
      <c r="L551" s="303">
        <f t="shared" si="489"/>
        <v>38516</v>
      </c>
      <c r="M551" s="346" t="str">
        <f t="shared" si="450"/>
        <v/>
      </c>
      <c r="N551" s="304">
        <f t="shared" si="490"/>
        <v>0</v>
      </c>
      <c r="O551" s="304">
        <f t="shared" si="491"/>
        <v>0</v>
      </c>
      <c r="P551" s="304">
        <f t="shared" si="461"/>
        <v>0</v>
      </c>
      <c r="Q551" s="304">
        <f t="shared" si="462"/>
        <v>0.92044519380175971</v>
      </c>
      <c r="R551" s="304">
        <f t="shared" si="463"/>
        <v>0.92044519380175971</v>
      </c>
      <c r="S551" s="305" t="e">
        <f t="shared" si="492"/>
        <v>#N/A</v>
      </c>
      <c r="T551" s="304">
        <f t="shared" si="464"/>
        <v>0</v>
      </c>
      <c r="U551" s="304">
        <f t="shared" si="502"/>
        <v>0</v>
      </c>
      <c r="V551" s="305" t="e">
        <f t="shared" si="465"/>
        <v>#N/A</v>
      </c>
      <c r="W551" s="305" t="e">
        <f t="shared" si="493"/>
        <v>#N/A</v>
      </c>
      <c r="X551" s="304">
        <f t="shared" si="494"/>
        <v>0.92044519380175971</v>
      </c>
      <c r="Z551" s="304" t="str">
        <f t="shared" si="466"/>
        <v/>
      </c>
      <c r="AA551" s="305" t="e">
        <f t="shared" si="467"/>
        <v>#N/A</v>
      </c>
      <c r="AB551" s="304">
        <f t="shared" si="468"/>
        <v>3.5061534066910238</v>
      </c>
      <c r="AC551" s="304" t="str">
        <f t="shared" si="495"/>
        <v/>
      </c>
      <c r="AD551" s="306">
        <f t="shared" si="469"/>
        <v>0</v>
      </c>
      <c r="AE551" s="307">
        <f t="shared" si="496"/>
        <v>3.5061534066910238</v>
      </c>
      <c r="AF551" s="308" t="e">
        <f t="shared" si="449"/>
        <v>#N/A</v>
      </c>
      <c r="AG551" s="306">
        <f t="shared" si="497"/>
        <v>930.68166856226208</v>
      </c>
      <c r="AH551" s="306">
        <f t="shared" si="470"/>
        <v>0</v>
      </c>
      <c r="AI551" s="306">
        <f t="shared" si="498"/>
        <v>0</v>
      </c>
      <c r="AJ551" s="306">
        <f t="shared" si="499"/>
        <v>0</v>
      </c>
      <c r="AK551" s="306">
        <f t="shared" si="471"/>
        <v>0</v>
      </c>
      <c r="AL551" s="306">
        <f t="shared" si="500"/>
        <v>0</v>
      </c>
      <c r="AM551" s="306">
        <f t="shared" si="472"/>
        <v>0</v>
      </c>
      <c r="AN551" s="306"/>
      <c r="AO551" s="304" t="str">
        <f t="shared" si="473"/>
        <v/>
      </c>
      <c r="AP551" s="304" t="str">
        <f t="shared" si="501"/>
        <v/>
      </c>
      <c r="AQ551" s="305" t="e">
        <f t="shared" si="451"/>
        <v>#N/A</v>
      </c>
      <c r="AR551" s="304" t="str">
        <f t="shared" si="452"/>
        <v/>
      </c>
      <c r="AS551" s="306">
        <f t="shared" si="474"/>
        <v>0</v>
      </c>
      <c r="AT551" s="307" t="e">
        <f t="shared" si="453"/>
        <v>#N/A</v>
      </c>
      <c r="AU551" s="307" t="e">
        <f t="shared" si="454"/>
        <v>#N/A</v>
      </c>
      <c r="AV551" s="304">
        <f t="shared" si="456"/>
        <v>3.8091930190969734</v>
      </c>
      <c r="AW551" s="309">
        <f t="shared" si="475"/>
        <v>8.1941702871361386</v>
      </c>
      <c r="AX551" s="306">
        <f>IF(ISERROR(Weather!M535),#N/A,Weather!M535)</f>
        <v>0</v>
      </c>
      <c r="AY551" s="310">
        <f t="shared" si="476"/>
        <v>2</v>
      </c>
      <c r="AZ551" s="309">
        <f t="shared" si="477"/>
        <v>0.92044519380175971</v>
      </c>
      <c r="BA551" s="309">
        <f t="shared" si="478"/>
        <v>503.29343495215915</v>
      </c>
      <c r="BB551" s="311">
        <f>Irrig!H553</f>
        <v>0</v>
      </c>
      <c r="BC551" s="310">
        <f t="shared" si="479"/>
        <v>0</v>
      </c>
      <c r="BD551" s="309">
        <f t="shared" si="480"/>
        <v>0</v>
      </c>
      <c r="BE551" s="309">
        <f t="shared" si="481"/>
        <v>0</v>
      </c>
      <c r="BF551" s="306">
        <f>DailyMet!H535</f>
        <v>19.77</v>
      </c>
      <c r="BG551" s="306">
        <f>DailyMet!I535</f>
        <v>12.2</v>
      </c>
      <c r="BH551" s="306">
        <f t="shared" si="482"/>
        <v>19.77</v>
      </c>
      <c r="BI551" s="306">
        <f t="shared" si="483"/>
        <v>12.2</v>
      </c>
      <c r="BJ551" s="306">
        <f t="shared" si="484"/>
        <v>5.9849999999999994</v>
      </c>
      <c r="BK551" s="306">
        <f t="shared" si="455"/>
        <v>0</v>
      </c>
      <c r="BL551" s="304">
        <f t="shared" si="485"/>
        <v>0</v>
      </c>
      <c r="BM551" s="304">
        <f t="shared" si="486"/>
        <v>5.9849999999999994</v>
      </c>
      <c r="BN551" s="304">
        <f t="shared" si="503"/>
        <v>5.9849999999999994</v>
      </c>
      <c r="BO551" s="306">
        <f t="shared" si="504"/>
        <v>0</v>
      </c>
      <c r="BP551" s="306"/>
    </row>
    <row r="552" spans="1:68">
      <c r="A552" s="299">
        <f t="shared" si="457"/>
        <v>0</v>
      </c>
      <c r="B552" s="300">
        <f t="shared" si="458"/>
        <v>38517</v>
      </c>
      <c r="C552" s="301" t="e">
        <f t="shared" si="487"/>
        <v>#N/A</v>
      </c>
      <c r="D552" s="301" t="e">
        <f t="shared" si="459"/>
        <v>#N/A</v>
      </c>
      <c r="E552" s="299">
        <f t="shared" si="460"/>
        <v>531</v>
      </c>
      <c r="F552" s="396">
        <f>Weather!M536</f>
        <v>0</v>
      </c>
      <c r="G552" s="301">
        <f>IF(Weather!C536="","",Weather!C536)</f>
        <v>4.1799237726882774</v>
      </c>
      <c r="H552" s="301">
        <f>IF(Weather!D536="","",Weather!D536)</f>
        <v>4.0988775716802071</v>
      </c>
      <c r="I552" s="502">
        <f>IF(Weather!E536="","",Weather!E536)</f>
        <v>4.0988775716802071</v>
      </c>
      <c r="J552" s="397">
        <f>IF(RnSplint!N215&lt;0,0,RnSplint!N215)</f>
        <v>3.899701303865422</v>
      </c>
      <c r="K552" s="302">
        <f t="shared" si="488"/>
        <v>0</v>
      </c>
      <c r="L552" s="303">
        <f t="shared" si="489"/>
        <v>38517</v>
      </c>
      <c r="M552" s="346" t="str">
        <f t="shared" si="450"/>
        <v/>
      </c>
      <c r="N552" s="304">
        <f t="shared" si="490"/>
        <v>0</v>
      </c>
      <c r="O552" s="304">
        <f t="shared" si="491"/>
        <v>0</v>
      </c>
      <c r="P552" s="304">
        <f t="shared" si="461"/>
        <v>0</v>
      </c>
      <c r="Q552" s="304">
        <f t="shared" si="462"/>
        <v>0.74662438023598732</v>
      </c>
      <c r="R552" s="304">
        <f t="shared" si="463"/>
        <v>0.74662438023598732</v>
      </c>
      <c r="S552" s="305" t="e">
        <f t="shared" si="492"/>
        <v>#N/A</v>
      </c>
      <c r="T552" s="304">
        <f t="shared" si="464"/>
        <v>0</v>
      </c>
      <c r="U552" s="304">
        <f t="shared" si="502"/>
        <v>0</v>
      </c>
      <c r="V552" s="305" t="e">
        <f t="shared" si="465"/>
        <v>#N/A</v>
      </c>
      <c r="W552" s="305" t="e">
        <f t="shared" si="493"/>
        <v>#N/A</v>
      </c>
      <c r="X552" s="304">
        <f t="shared" si="494"/>
        <v>0.74662438023598732</v>
      </c>
      <c r="Z552" s="304" t="str">
        <f t="shared" si="466"/>
        <v/>
      </c>
      <c r="AA552" s="305" t="e">
        <f t="shared" si="467"/>
        <v>#N/A</v>
      </c>
      <c r="AB552" s="304">
        <f t="shared" si="468"/>
        <v>3.0603219266189234</v>
      </c>
      <c r="AC552" s="304" t="str">
        <f t="shared" si="495"/>
        <v/>
      </c>
      <c r="AD552" s="306">
        <f t="shared" si="469"/>
        <v>0</v>
      </c>
      <c r="AE552" s="307">
        <f t="shared" si="496"/>
        <v>3.0603219266189234</v>
      </c>
      <c r="AF552" s="308" t="e">
        <f t="shared" si="449"/>
        <v>#N/A</v>
      </c>
      <c r="AG552" s="306">
        <f t="shared" si="497"/>
        <v>934.78054613394227</v>
      </c>
      <c r="AH552" s="306">
        <f t="shared" si="470"/>
        <v>0</v>
      </c>
      <c r="AI552" s="306">
        <f t="shared" si="498"/>
        <v>0</v>
      </c>
      <c r="AJ552" s="306">
        <f t="shared" si="499"/>
        <v>0</v>
      </c>
      <c r="AK552" s="306">
        <f t="shared" si="471"/>
        <v>0</v>
      </c>
      <c r="AL552" s="306">
        <f t="shared" si="500"/>
        <v>0</v>
      </c>
      <c r="AM552" s="306">
        <f t="shared" si="472"/>
        <v>0</v>
      </c>
      <c r="AN552" s="306"/>
      <c r="AO552" s="304" t="str">
        <f t="shared" si="473"/>
        <v/>
      </c>
      <c r="AP552" s="304" t="str">
        <f t="shared" si="501"/>
        <v/>
      </c>
      <c r="AQ552" s="305" t="e">
        <f t="shared" si="451"/>
        <v>#N/A</v>
      </c>
      <c r="AR552" s="304" t="str">
        <f t="shared" si="452"/>
        <v/>
      </c>
      <c r="AS552" s="306">
        <f t="shared" si="474"/>
        <v>0</v>
      </c>
      <c r="AT552" s="307" t="e">
        <f t="shared" si="453"/>
        <v>#N/A</v>
      </c>
      <c r="AU552" s="307" t="e">
        <f t="shared" si="454"/>
        <v>#N/A</v>
      </c>
      <c r="AV552" s="304">
        <f t="shared" si="456"/>
        <v>4.0988775716802071</v>
      </c>
      <c r="AW552" s="309">
        <f t="shared" si="475"/>
        <v>12.293047858816346</v>
      </c>
      <c r="AX552" s="306">
        <f>IF(ISERROR(Weather!M536),#N/A,Weather!M536)</f>
        <v>0</v>
      </c>
      <c r="AY552" s="310">
        <f t="shared" si="476"/>
        <v>3</v>
      </c>
      <c r="AZ552" s="309">
        <f t="shared" si="477"/>
        <v>0.74662438023598732</v>
      </c>
      <c r="BA552" s="309">
        <f t="shared" si="478"/>
        <v>507.39231252383934</v>
      </c>
      <c r="BB552" s="311">
        <f>Irrig!H554</f>
        <v>0</v>
      </c>
      <c r="BC552" s="310">
        <f t="shared" si="479"/>
        <v>0</v>
      </c>
      <c r="BD552" s="309">
        <f t="shared" si="480"/>
        <v>0</v>
      </c>
      <c r="BE552" s="309">
        <f t="shared" si="481"/>
        <v>0</v>
      </c>
      <c r="BF552" s="306">
        <f>DailyMet!H536</f>
        <v>20.059999999999999</v>
      </c>
      <c r="BG552" s="306">
        <f>DailyMet!I536</f>
        <v>10.9</v>
      </c>
      <c r="BH552" s="306">
        <f t="shared" si="482"/>
        <v>20.059999999999999</v>
      </c>
      <c r="BI552" s="306">
        <f t="shared" si="483"/>
        <v>10.9</v>
      </c>
      <c r="BJ552" s="306">
        <f t="shared" si="484"/>
        <v>5.48</v>
      </c>
      <c r="BK552" s="306">
        <f t="shared" si="455"/>
        <v>0</v>
      </c>
      <c r="BL552" s="304">
        <f t="shared" si="485"/>
        <v>0</v>
      </c>
      <c r="BM552" s="304">
        <f t="shared" si="486"/>
        <v>5.48</v>
      </c>
      <c r="BN552" s="304">
        <f t="shared" si="503"/>
        <v>5.48</v>
      </c>
      <c r="BO552" s="306">
        <f t="shared" si="504"/>
        <v>0</v>
      </c>
      <c r="BP552" s="306"/>
    </row>
    <row r="553" spans="1:68">
      <c r="A553" s="299">
        <f t="shared" si="457"/>
        <v>0</v>
      </c>
      <c r="B553" s="300">
        <f t="shared" si="458"/>
        <v>38518</v>
      </c>
      <c r="C553" s="301" t="e">
        <f t="shared" si="487"/>
        <v>#N/A</v>
      </c>
      <c r="D553" s="301" t="e">
        <f t="shared" si="459"/>
        <v>#N/A</v>
      </c>
      <c r="E553" s="299">
        <f t="shared" si="460"/>
        <v>532</v>
      </c>
      <c r="F553" s="396">
        <f>Weather!M537</f>
        <v>11.8</v>
      </c>
      <c r="G553" s="301">
        <f>IF(Weather!C537="","",Weather!C537)</f>
        <v>4.2074553096312464</v>
      </c>
      <c r="H553" s="301">
        <f>IF(Weather!D537="","",Weather!D537)</f>
        <v>4.1796010570230111</v>
      </c>
      <c r="I553" s="502">
        <f>IF(Weather!E537="","",Weather!E537)</f>
        <v>4.1796010570230111</v>
      </c>
      <c r="J553" s="397">
        <f>IF(RnSplint!N216&lt;0,0,RnSplint!N216)</f>
        <v>4.4240615080432217</v>
      </c>
      <c r="K553" s="302">
        <f t="shared" si="488"/>
        <v>0</v>
      </c>
      <c r="L553" s="303">
        <f t="shared" si="489"/>
        <v>38518</v>
      </c>
      <c r="M553" s="346" t="str">
        <f t="shared" si="450"/>
        <v/>
      </c>
      <c r="N553" s="304">
        <f t="shared" si="490"/>
        <v>0</v>
      </c>
      <c r="O553" s="304">
        <f t="shared" si="491"/>
        <v>0</v>
      </c>
      <c r="P553" s="304">
        <f t="shared" si="461"/>
        <v>0</v>
      </c>
      <c r="Q553" s="304">
        <f t="shared" si="462"/>
        <v>1.2</v>
      </c>
      <c r="R553" s="304">
        <f t="shared" si="463"/>
        <v>1.2</v>
      </c>
      <c r="S553" s="305" t="e">
        <f t="shared" si="492"/>
        <v>#N/A</v>
      </c>
      <c r="T553" s="304">
        <f t="shared" si="464"/>
        <v>0</v>
      </c>
      <c r="U553" s="304">
        <f t="shared" si="502"/>
        <v>0</v>
      </c>
      <c r="V553" s="305" t="e">
        <f t="shared" si="465"/>
        <v>#N/A</v>
      </c>
      <c r="W553" s="305" t="e">
        <f t="shared" si="493"/>
        <v>#N/A</v>
      </c>
      <c r="X553" s="304">
        <f t="shared" si="494"/>
        <v>1.2</v>
      </c>
      <c r="Z553" s="304" t="str">
        <f t="shared" si="466"/>
        <v/>
      </c>
      <c r="AA553" s="305" t="e">
        <f t="shared" si="467"/>
        <v>#N/A</v>
      </c>
      <c r="AB553" s="304">
        <f t="shared" si="468"/>
        <v>5.0155212684276131</v>
      </c>
      <c r="AC553" s="304" t="str">
        <f t="shared" si="495"/>
        <v/>
      </c>
      <c r="AD553" s="306">
        <f t="shared" si="469"/>
        <v>0</v>
      </c>
      <c r="AE553" s="307">
        <f t="shared" si="496"/>
        <v>5.0155212684276131</v>
      </c>
      <c r="AF553" s="308" t="e">
        <f t="shared" si="449"/>
        <v>#N/A</v>
      </c>
      <c r="AG553" s="306">
        <f t="shared" si="497"/>
        <v>938.96014719096524</v>
      </c>
      <c r="AH553" s="306">
        <f t="shared" si="470"/>
        <v>0</v>
      </c>
      <c r="AI553" s="306">
        <f t="shared" si="498"/>
        <v>0</v>
      </c>
      <c r="AJ553" s="306">
        <f t="shared" si="499"/>
        <v>0</v>
      </c>
      <c r="AK553" s="306">
        <f t="shared" si="471"/>
        <v>0</v>
      </c>
      <c r="AL553" s="306">
        <f t="shared" si="500"/>
        <v>0</v>
      </c>
      <c r="AM553" s="306">
        <f t="shared" si="472"/>
        <v>0</v>
      </c>
      <c r="AN553" s="306"/>
      <c r="AO553" s="304" t="str">
        <f t="shared" si="473"/>
        <v/>
      </c>
      <c r="AP553" s="304" t="str">
        <f t="shared" si="501"/>
        <v/>
      </c>
      <c r="AQ553" s="305" t="e">
        <f t="shared" si="451"/>
        <v>#N/A</v>
      </c>
      <c r="AR553" s="304" t="str">
        <f t="shared" si="452"/>
        <v/>
      </c>
      <c r="AS553" s="306">
        <f t="shared" si="474"/>
        <v>0</v>
      </c>
      <c r="AT553" s="307" t="e">
        <f t="shared" si="453"/>
        <v>#N/A</v>
      </c>
      <c r="AU553" s="307" t="e">
        <f t="shared" si="454"/>
        <v>#N/A</v>
      </c>
      <c r="AV553" s="304">
        <f t="shared" si="456"/>
        <v>4.1796010570230111</v>
      </c>
      <c r="AW553" s="309">
        <f t="shared" si="475"/>
        <v>4.1796010570230111</v>
      </c>
      <c r="AX553" s="306">
        <f>IF(ISERROR(Weather!M537),#N/A,Weather!M537)</f>
        <v>11.8</v>
      </c>
      <c r="AY553" s="310">
        <f t="shared" si="476"/>
        <v>1</v>
      </c>
      <c r="AZ553" s="309">
        <f t="shared" si="477"/>
        <v>1.2</v>
      </c>
      <c r="BA553" s="309">
        <f t="shared" si="478"/>
        <v>511.57191358086237</v>
      </c>
      <c r="BB553" s="311">
        <f>Irrig!H555</f>
        <v>0</v>
      </c>
      <c r="BC553" s="310">
        <f t="shared" si="479"/>
        <v>0</v>
      </c>
      <c r="BD553" s="309">
        <f t="shared" si="480"/>
        <v>0</v>
      </c>
      <c r="BE553" s="309">
        <f t="shared" si="481"/>
        <v>0</v>
      </c>
      <c r="BF553" s="306">
        <f>DailyMet!H537</f>
        <v>22.32</v>
      </c>
      <c r="BG553" s="306">
        <f>DailyMet!I537</f>
        <v>13.5</v>
      </c>
      <c r="BH553" s="306">
        <f t="shared" si="482"/>
        <v>22.32</v>
      </c>
      <c r="BI553" s="306">
        <f t="shared" si="483"/>
        <v>13.5</v>
      </c>
      <c r="BJ553" s="306">
        <f t="shared" si="484"/>
        <v>7.91</v>
      </c>
      <c r="BK553" s="306">
        <f t="shared" si="455"/>
        <v>0</v>
      </c>
      <c r="BL553" s="304">
        <f t="shared" si="485"/>
        <v>0</v>
      </c>
      <c r="BM553" s="304">
        <f t="shared" si="486"/>
        <v>7.91</v>
      </c>
      <c r="BN553" s="304">
        <f t="shared" si="503"/>
        <v>7.91</v>
      </c>
      <c r="BO553" s="306">
        <f t="shared" si="504"/>
        <v>0</v>
      </c>
      <c r="BP553" s="306"/>
    </row>
    <row r="554" spans="1:68">
      <c r="A554" s="299">
        <f t="shared" si="457"/>
        <v>0</v>
      </c>
      <c r="B554" s="300">
        <f t="shared" si="458"/>
        <v>38519</v>
      </c>
      <c r="C554" s="301" t="e">
        <f t="shared" si="487"/>
        <v>#N/A</v>
      </c>
      <c r="D554" s="301" t="e">
        <f t="shared" si="459"/>
        <v>#N/A</v>
      </c>
      <c r="E554" s="299">
        <f t="shared" si="460"/>
        <v>533</v>
      </c>
      <c r="F554" s="396">
        <f>Weather!M538</f>
        <v>2.8</v>
      </c>
      <c r="G554" s="301">
        <f>IF(Weather!C538="","",Weather!C538)</f>
        <v>4.2334472483997461</v>
      </c>
      <c r="H554" s="301">
        <f>IF(Weather!D538="","",Weather!D538)</f>
        <v>3.089182056521572</v>
      </c>
      <c r="I554" s="502">
        <f>IF(Weather!E538="","",Weather!E538)</f>
        <v>3.089182056521572</v>
      </c>
      <c r="J554" s="397">
        <f>IF(RnSplint!N217&lt;0,0,RnSplint!N217)</f>
        <v>5</v>
      </c>
      <c r="K554" s="302">
        <f t="shared" si="488"/>
        <v>0</v>
      </c>
      <c r="L554" s="303">
        <f t="shared" si="489"/>
        <v>38519</v>
      </c>
      <c r="M554" s="346" t="str">
        <f t="shared" si="450"/>
        <v/>
      </c>
      <c r="N554" s="304">
        <f t="shared" si="490"/>
        <v>0</v>
      </c>
      <c r="O554" s="304">
        <f t="shared" si="491"/>
        <v>0</v>
      </c>
      <c r="P554" s="304">
        <f t="shared" si="461"/>
        <v>0</v>
      </c>
      <c r="Q554" s="304">
        <f t="shared" si="462"/>
        <v>0.97915684429158056</v>
      </c>
      <c r="R554" s="304">
        <f t="shared" si="463"/>
        <v>0.97915684429158056</v>
      </c>
      <c r="S554" s="305" t="e">
        <f t="shared" si="492"/>
        <v>#N/A</v>
      </c>
      <c r="T554" s="304">
        <f t="shared" si="464"/>
        <v>0</v>
      </c>
      <c r="U554" s="304">
        <f t="shared" si="502"/>
        <v>0</v>
      </c>
      <c r="V554" s="305" t="e">
        <f t="shared" si="465"/>
        <v>#N/A</v>
      </c>
      <c r="W554" s="305" t="e">
        <f t="shared" si="493"/>
        <v>#N/A</v>
      </c>
      <c r="X554" s="304">
        <f t="shared" si="494"/>
        <v>0.97915684429158056</v>
      </c>
      <c r="Z554" s="304" t="str">
        <f t="shared" si="466"/>
        <v/>
      </c>
      <c r="AA554" s="305" t="e">
        <f t="shared" si="467"/>
        <v>#N/A</v>
      </c>
      <c r="AB554" s="304">
        <f t="shared" si="468"/>
        <v>3.0247937539058376</v>
      </c>
      <c r="AC554" s="304" t="str">
        <f t="shared" si="495"/>
        <v/>
      </c>
      <c r="AD554" s="306">
        <f t="shared" si="469"/>
        <v>0</v>
      </c>
      <c r="AE554" s="307">
        <f t="shared" si="496"/>
        <v>3.0247937539058376</v>
      </c>
      <c r="AF554" s="308" t="e">
        <f t="shared" si="449"/>
        <v>#N/A</v>
      </c>
      <c r="AG554" s="306">
        <f t="shared" si="497"/>
        <v>942.04932924748687</v>
      </c>
      <c r="AH554" s="306">
        <f t="shared" si="470"/>
        <v>0</v>
      </c>
      <c r="AI554" s="306">
        <f t="shared" si="498"/>
        <v>0</v>
      </c>
      <c r="AJ554" s="306">
        <f t="shared" si="499"/>
        <v>0</v>
      </c>
      <c r="AK554" s="306">
        <f t="shared" si="471"/>
        <v>0</v>
      </c>
      <c r="AL554" s="306">
        <f t="shared" si="500"/>
        <v>0</v>
      </c>
      <c r="AM554" s="306">
        <f t="shared" si="472"/>
        <v>0</v>
      </c>
      <c r="AN554" s="306"/>
      <c r="AO554" s="304" t="str">
        <f t="shared" si="473"/>
        <v/>
      </c>
      <c r="AP554" s="304" t="str">
        <f t="shared" si="501"/>
        <v/>
      </c>
      <c r="AQ554" s="305" t="e">
        <f t="shared" si="451"/>
        <v>#N/A</v>
      </c>
      <c r="AR554" s="304" t="str">
        <f t="shared" si="452"/>
        <v/>
      </c>
      <c r="AS554" s="306">
        <f t="shared" si="474"/>
        <v>0</v>
      </c>
      <c r="AT554" s="307" t="e">
        <f t="shared" si="453"/>
        <v>#N/A</v>
      </c>
      <c r="AU554" s="307" t="e">
        <f t="shared" si="454"/>
        <v>#N/A</v>
      </c>
      <c r="AV554" s="304">
        <f t="shared" si="456"/>
        <v>3.089182056521572</v>
      </c>
      <c r="AW554" s="309">
        <f t="shared" si="475"/>
        <v>7.2687831135445826</v>
      </c>
      <c r="AX554" s="306">
        <f>IF(ISERROR(Weather!M538),#N/A,Weather!M538)</f>
        <v>2.8</v>
      </c>
      <c r="AY554" s="310">
        <f t="shared" si="476"/>
        <v>2</v>
      </c>
      <c r="AZ554" s="309">
        <f t="shared" si="477"/>
        <v>0.97915684429158056</v>
      </c>
      <c r="BA554" s="309">
        <f t="shared" si="478"/>
        <v>514.66109563738394</v>
      </c>
      <c r="BB554" s="311">
        <f>Irrig!H556</f>
        <v>0</v>
      </c>
      <c r="BC554" s="310">
        <f t="shared" si="479"/>
        <v>0</v>
      </c>
      <c r="BD554" s="309">
        <f t="shared" si="480"/>
        <v>0</v>
      </c>
      <c r="BE554" s="309">
        <f t="shared" si="481"/>
        <v>0</v>
      </c>
      <c r="BF554" s="306">
        <f>DailyMet!H538</f>
        <v>23.68</v>
      </c>
      <c r="BG554" s="306">
        <f>DailyMet!I538</f>
        <v>13.2</v>
      </c>
      <c r="BH554" s="306">
        <f t="shared" si="482"/>
        <v>23.68</v>
      </c>
      <c r="BI554" s="306">
        <f t="shared" si="483"/>
        <v>13.2</v>
      </c>
      <c r="BJ554" s="306">
        <f t="shared" si="484"/>
        <v>8.4399999999999977</v>
      </c>
      <c r="BK554" s="306">
        <f t="shared" si="455"/>
        <v>0</v>
      </c>
      <c r="BL554" s="304">
        <f t="shared" si="485"/>
        <v>0</v>
      </c>
      <c r="BM554" s="304">
        <f t="shared" si="486"/>
        <v>8.4399999999999977</v>
      </c>
      <c r="BN554" s="304">
        <f t="shared" si="503"/>
        <v>8.4399999999999977</v>
      </c>
      <c r="BO554" s="306">
        <f t="shared" si="504"/>
        <v>0</v>
      </c>
      <c r="BP554" s="306"/>
    </row>
    <row r="555" spans="1:68">
      <c r="A555" s="299">
        <f t="shared" si="457"/>
        <v>0</v>
      </c>
      <c r="B555" s="300">
        <f t="shared" si="458"/>
        <v>38520</v>
      </c>
      <c r="C555" s="301" t="e">
        <f t="shared" si="487"/>
        <v>#N/A</v>
      </c>
      <c r="D555" s="301" t="e">
        <f t="shared" si="459"/>
        <v>#N/A</v>
      </c>
      <c r="E555" s="299">
        <f t="shared" si="460"/>
        <v>534</v>
      </c>
      <c r="F555" s="396">
        <f>Weather!M539</f>
        <v>0</v>
      </c>
      <c r="G555" s="301">
        <f>IF(Weather!C539="","",Weather!C539)</f>
        <v>4.2578756188899858</v>
      </c>
      <c r="H555" s="301">
        <f>IF(Weather!D539="","",Weather!D539)</f>
        <v>3.6056847789219049</v>
      </c>
      <c r="I555" s="502">
        <f>IF(Weather!E539="","",Weather!E539)</f>
        <v>3.6056847789219049</v>
      </c>
      <c r="J555" s="397">
        <f>IF(RnSplint!N218&lt;0,0,RnSplint!N218)</f>
        <v>5.6275652951363142</v>
      </c>
      <c r="K555" s="302">
        <f t="shared" si="488"/>
        <v>0</v>
      </c>
      <c r="L555" s="303">
        <f t="shared" si="489"/>
        <v>38520</v>
      </c>
      <c r="M555" s="346" t="str">
        <f t="shared" si="450"/>
        <v/>
      </c>
      <c r="N555" s="304">
        <f t="shared" si="490"/>
        <v>0</v>
      </c>
      <c r="O555" s="304">
        <f t="shared" si="491"/>
        <v>0</v>
      </c>
      <c r="P555" s="304">
        <f t="shared" si="461"/>
        <v>0</v>
      </c>
      <c r="Q555" s="304">
        <f t="shared" si="462"/>
        <v>0.79538971459600127</v>
      </c>
      <c r="R555" s="304">
        <f t="shared" si="463"/>
        <v>0.79538971459600127</v>
      </c>
      <c r="S555" s="305" t="e">
        <f t="shared" si="492"/>
        <v>#N/A</v>
      </c>
      <c r="T555" s="304">
        <f t="shared" si="464"/>
        <v>0</v>
      </c>
      <c r="U555" s="304">
        <f t="shared" si="502"/>
        <v>0</v>
      </c>
      <c r="V555" s="305" t="e">
        <f t="shared" si="465"/>
        <v>#N/A</v>
      </c>
      <c r="W555" s="305" t="e">
        <f t="shared" si="493"/>
        <v>#N/A</v>
      </c>
      <c r="X555" s="304">
        <f t="shared" si="494"/>
        <v>0.79538971459600127</v>
      </c>
      <c r="Z555" s="304" t="str">
        <f t="shared" si="466"/>
        <v/>
      </c>
      <c r="AA555" s="305" t="e">
        <f t="shared" si="467"/>
        <v>#N/A</v>
      </c>
      <c r="AB555" s="304">
        <f t="shared" si="468"/>
        <v>2.8679245872298398</v>
      </c>
      <c r="AC555" s="304" t="str">
        <f t="shared" si="495"/>
        <v/>
      </c>
      <c r="AD555" s="306">
        <f t="shared" si="469"/>
        <v>0</v>
      </c>
      <c r="AE555" s="307">
        <f t="shared" si="496"/>
        <v>2.8679245872298398</v>
      </c>
      <c r="AF555" s="308" t="e">
        <f t="shared" si="449"/>
        <v>#N/A</v>
      </c>
      <c r="AG555" s="306">
        <f t="shared" si="497"/>
        <v>945.65501402640882</v>
      </c>
      <c r="AH555" s="306">
        <f t="shared" si="470"/>
        <v>0</v>
      </c>
      <c r="AI555" s="306">
        <f t="shared" si="498"/>
        <v>0</v>
      </c>
      <c r="AJ555" s="306">
        <f t="shared" si="499"/>
        <v>0</v>
      </c>
      <c r="AK555" s="306">
        <f t="shared" si="471"/>
        <v>0</v>
      </c>
      <c r="AL555" s="306">
        <f t="shared" si="500"/>
        <v>0</v>
      </c>
      <c r="AM555" s="306">
        <f t="shared" si="472"/>
        <v>0</v>
      </c>
      <c r="AN555" s="306"/>
      <c r="AO555" s="304" t="str">
        <f t="shared" si="473"/>
        <v/>
      </c>
      <c r="AP555" s="304" t="str">
        <f t="shared" si="501"/>
        <v/>
      </c>
      <c r="AQ555" s="305" t="e">
        <f t="shared" si="451"/>
        <v>#N/A</v>
      </c>
      <c r="AR555" s="304" t="str">
        <f t="shared" si="452"/>
        <v/>
      </c>
      <c r="AS555" s="306">
        <f t="shared" si="474"/>
        <v>0</v>
      </c>
      <c r="AT555" s="307" t="e">
        <f t="shared" si="453"/>
        <v>#N/A</v>
      </c>
      <c r="AU555" s="307" t="e">
        <f t="shared" si="454"/>
        <v>#N/A</v>
      </c>
      <c r="AV555" s="304">
        <f t="shared" si="456"/>
        <v>3.6056847789219049</v>
      </c>
      <c r="AW555" s="309">
        <f t="shared" si="475"/>
        <v>10.874467892466487</v>
      </c>
      <c r="AX555" s="306">
        <f>IF(ISERROR(Weather!M539),#N/A,Weather!M539)</f>
        <v>0</v>
      </c>
      <c r="AY555" s="310">
        <f t="shared" si="476"/>
        <v>3</v>
      </c>
      <c r="AZ555" s="309">
        <f t="shared" si="477"/>
        <v>0.79538971459600127</v>
      </c>
      <c r="BA555" s="309">
        <f t="shared" si="478"/>
        <v>518.26678041630589</v>
      </c>
      <c r="BB555" s="311">
        <f>Irrig!H557</f>
        <v>0</v>
      </c>
      <c r="BC555" s="310">
        <f t="shared" si="479"/>
        <v>0</v>
      </c>
      <c r="BD555" s="309">
        <f t="shared" si="480"/>
        <v>0</v>
      </c>
      <c r="BE555" s="309">
        <f t="shared" si="481"/>
        <v>0</v>
      </c>
      <c r="BF555" s="306">
        <f>DailyMet!H539</f>
        <v>25.58</v>
      </c>
      <c r="BG555" s="306">
        <f>DailyMet!I539</f>
        <v>14.3</v>
      </c>
      <c r="BH555" s="306">
        <f t="shared" si="482"/>
        <v>25.58</v>
      </c>
      <c r="BI555" s="306">
        <f t="shared" si="483"/>
        <v>14.3</v>
      </c>
      <c r="BJ555" s="306">
        <f t="shared" si="484"/>
        <v>9.9399999999999977</v>
      </c>
      <c r="BK555" s="306">
        <f t="shared" si="455"/>
        <v>0</v>
      </c>
      <c r="BL555" s="304">
        <f t="shared" si="485"/>
        <v>0</v>
      </c>
      <c r="BM555" s="304">
        <f t="shared" si="486"/>
        <v>9.9399999999999977</v>
      </c>
      <c r="BN555" s="304">
        <f t="shared" si="503"/>
        <v>9.9399999999999977</v>
      </c>
      <c r="BO555" s="306">
        <f t="shared" si="504"/>
        <v>0</v>
      </c>
      <c r="BP555" s="306"/>
    </row>
    <row r="556" spans="1:68">
      <c r="A556" s="299">
        <f t="shared" si="457"/>
        <v>0</v>
      </c>
      <c r="B556" s="300">
        <f t="shared" si="458"/>
        <v>38521</v>
      </c>
      <c r="C556" s="301" t="e">
        <f t="shared" si="487"/>
        <v>#N/A</v>
      </c>
      <c r="D556" s="301" t="e">
        <f t="shared" si="459"/>
        <v>#N/A</v>
      </c>
      <c r="E556" s="299">
        <f t="shared" si="460"/>
        <v>535</v>
      </c>
      <c r="F556" s="396">
        <f>Weather!M540</f>
        <v>0</v>
      </c>
      <c r="G556" s="301">
        <f>IF(Weather!C540="","",Weather!C540)</f>
        <v>4.2807592412834339</v>
      </c>
      <c r="H556" s="301">
        <f>IF(Weather!D540="","",Weather!D540)</f>
        <v>3.7174724563255186</v>
      </c>
      <c r="I556" s="502">
        <f>IF(Weather!E540="","",Weather!E540)</f>
        <v>3.7174724563255186</v>
      </c>
      <c r="J556" s="397">
        <f>IF(RnSplint!N219&lt;0,0,RnSplint!N219)</f>
        <v>6.3039923525981507</v>
      </c>
      <c r="K556" s="302">
        <f t="shared" si="488"/>
        <v>0</v>
      </c>
      <c r="L556" s="303">
        <f t="shared" si="489"/>
        <v>38521</v>
      </c>
      <c r="M556" s="346" t="str">
        <f t="shared" si="450"/>
        <v/>
      </c>
      <c r="N556" s="304">
        <f t="shared" si="490"/>
        <v>0</v>
      </c>
      <c r="O556" s="304">
        <f t="shared" si="491"/>
        <v>0</v>
      </c>
      <c r="P556" s="304">
        <f t="shared" si="461"/>
        <v>0</v>
      </c>
      <c r="Q556" s="304">
        <f t="shared" si="462"/>
        <v>0.68341447811751199</v>
      </c>
      <c r="R556" s="304">
        <f t="shared" si="463"/>
        <v>0.68341447811751199</v>
      </c>
      <c r="S556" s="305" t="e">
        <f t="shared" si="492"/>
        <v>#N/A</v>
      </c>
      <c r="T556" s="304">
        <f t="shared" si="464"/>
        <v>0</v>
      </c>
      <c r="U556" s="304">
        <f t="shared" si="502"/>
        <v>0</v>
      </c>
      <c r="V556" s="305" t="e">
        <f t="shared" si="465"/>
        <v>#N/A</v>
      </c>
      <c r="W556" s="305" t="e">
        <f t="shared" si="493"/>
        <v>#N/A</v>
      </c>
      <c r="X556" s="304">
        <f t="shared" si="494"/>
        <v>0.68341447811751199</v>
      </c>
      <c r="Z556" s="304" t="str">
        <f t="shared" si="466"/>
        <v/>
      </c>
      <c r="AA556" s="305" t="e">
        <f t="shared" si="467"/>
        <v>#N/A</v>
      </c>
      <c r="AB556" s="304">
        <f t="shared" si="468"/>
        <v>2.5405744986559298</v>
      </c>
      <c r="AC556" s="304" t="str">
        <f t="shared" si="495"/>
        <v/>
      </c>
      <c r="AD556" s="306">
        <f t="shared" si="469"/>
        <v>0</v>
      </c>
      <c r="AE556" s="307">
        <f t="shared" si="496"/>
        <v>2.5405744986559298</v>
      </c>
      <c r="AF556" s="308" t="e">
        <f t="shared" si="449"/>
        <v>#N/A</v>
      </c>
      <c r="AG556" s="306">
        <f t="shared" si="497"/>
        <v>949.3724864827343</v>
      </c>
      <c r="AH556" s="306">
        <f t="shared" si="470"/>
        <v>0</v>
      </c>
      <c r="AI556" s="306">
        <f t="shared" si="498"/>
        <v>0</v>
      </c>
      <c r="AJ556" s="306">
        <f t="shared" si="499"/>
        <v>0</v>
      </c>
      <c r="AK556" s="306">
        <f t="shared" si="471"/>
        <v>0</v>
      </c>
      <c r="AL556" s="306">
        <f t="shared" si="500"/>
        <v>0</v>
      </c>
      <c r="AM556" s="306">
        <f t="shared" si="472"/>
        <v>0</v>
      </c>
      <c r="AN556" s="306"/>
      <c r="AO556" s="304" t="str">
        <f t="shared" si="473"/>
        <v/>
      </c>
      <c r="AP556" s="304" t="str">
        <f t="shared" si="501"/>
        <v/>
      </c>
      <c r="AQ556" s="305" t="e">
        <f t="shared" si="451"/>
        <v>#N/A</v>
      </c>
      <c r="AR556" s="304" t="str">
        <f t="shared" si="452"/>
        <v/>
      </c>
      <c r="AS556" s="306">
        <f t="shared" si="474"/>
        <v>0</v>
      </c>
      <c r="AT556" s="307" t="e">
        <f t="shared" si="453"/>
        <v>#N/A</v>
      </c>
      <c r="AU556" s="307" t="e">
        <f t="shared" si="454"/>
        <v>#N/A</v>
      </c>
      <c r="AV556" s="304">
        <f t="shared" si="456"/>
        <v>3.7174724563255186</v>
      </c>
      <c r="AW556" s="309">
        <f t="shared" si="475"/>
        <v>14.591940348792006</v>
      </c>
      <c r="AX556" s="306">
        <f>IF(ISERROR(Weather!M540),#N/A,Weather!M540)</f>
        <v>0</v>
      </c>
      <c r="AY556" s="310">
        <f t="shared" si="476"/>
        <v>4</v>
      </c>
      <c r="AZ556" s="309">
        <f t="shared" si="477"/>
        <v>0.68341447811751199</v>
      </c>
      <c r="BA556" s="309">
        <f t="shared" si="478"/>
        <v>521.98425287263137</v>
      </c>
      <c r="BB556" s="311">
        <f>Irrig!H558</f>
        <v>0</v>
      </c>
      <c r="BC556" s="310">
        <f t="shared" si="479"/>
        <v>0</v>
      </c>
      <c r="BD556" s="309">
        <f t="shared" si="480"/>
        <v>0</v>
      </c>
      <c r="BE556" s="309">
        <f t="shared" si="481"/>
        <v>0</v>
      </c>
      <c r="BF556" s="306">
        <f>DailyMet!H540</f>
        <v>26.78</v>
      </c>
      <c r="BG556" s="306">
        <f>DailyMet!I540</f>
        <v>16.399999999999999</v>
      </c>
      <c r="BH556" s="306">
        <f t="shared" si="482"/>
        <v>26.78</v>
      </c>
      <c r="BI556" s="306">
        <f t="shared" si="483"/>
        <v>16.399999999999999</v>
      </c>
      <c r="BJ556" s="306">
        <f t="shared" si="484"/>
        <v>11.59</v>
      </c>
      <c r="BK556" s="306">
        <f t="shared" si="455"/>
        <v>0</v>
      </c>
      <c r="BL556" s="304">
        <f t="shared" si="485"/>
        <v>0</v>
      </c>
      <c r="BM556" s="304">
        <f t="shared" si="486"/>
        <v>11.59</v>
      </c>
      <c r="BN556" s="304">
        <f t="shared" si="503"/>
        <v>11.59</v>
      </c>
      <c r="BO556" s="306">
        <f t="shared" si="504"/>
        <v>0</v>
      </c>
      <c r="BP556" s="306"/>
    </row>
    <row r="557" spans="1:68">
      <c r="A557" s="299">
        <f t="shared" si="457"/>
        <v>0</v>
      </c>
      <c r="B557" s="300">
        <f t="shared" si="458"/>
        <v>38522</v>
      </c>
      <c r="C557" s="301" t="e">
        <f t="shared" si="487"/>
        <v>#N/A</v>
      </c>
      <c r="D557" s="301" t="e">
        <f t="shared" si="459"/>
        <v>#N/A</v>
      </c>
      <c r="E557" s="299">
        <f t="shared" si="460"/>
        <v>536</v>
      </c>
      <c r="F557" s="396">
        <f>Weather!M541</f>
        <v>8.6</v>
      </c>
      <c r="G557" s="301">
        <f>IF(Weather!C541="","",Weather!C541)</f>
        <v>4.3021276333328764</v>
      </c>
      <c r="H557" s="301">
        <f>IF(Weather!D541="","",Weather!D541)</f>
        <v>4.2638464795477748</v>
      </c>
      <c r="I557" s="502">
        <f>IF(Weather!E541="","",Weather!E541)</f>
        <v>4.2638464795477748</v>
      </c>
      <c r="J557" s="397">
        <f>IF(RnSplint!N220&lt;0,0,RnSplint!N220)</f>
        <v>7.0258127424678491</v>
      </c>
      <c r="K557" s="302">
        <f t="shared" si="488"/>
        <v>0</v>
      </c>
      <c r="L557" s="303">
        <f t="shared" si="489"/>
        <v>38522</v>
      </c>
      <c r="M557" s="346" t="str">
        <f t="shared" si="450"/>
        <v/>
      </c>
      <c r="N557" s="304">
        <f t="shared" si="490"/>
        <v>0</v>
      </c>
      <c r="O557" s="304">
        <f t="shared" si="491"/>
        <v>0</v>
      </c>
      <c r="P557" s="304">
        <f t="shared" si="461"/>
        <v>0</v>
      </c>
      <c r="Q557" s="304">
        <f t="shared" si="462"/>
        <v>1.2</v>
      </c>
      <c r="R557" s="304">
        <f t="shared" si="463"/>
        <v>1.2</v>
      </c>
      <c r="S557" s="305" t="e">
        <f t="shared" si="492"/>
        <v>#N/A</v>
      </c>
      <c r="T557" s="304">
        <f t="shared" si="464"/>
        <v>0</v>
      </c>
      <c r="U557" s="304">
        <f t="shared" si="502"/>
        <v>0</v>
      </c>
      <c r="V557" s="305" t="e">
        <f t="shared" si="465"/>
        <v>#N/A</v>
      </c>
      <c r="W557" s="305" t="e">
        <f t="shared" si="493"/>
        <v>#N/A</v>
      </c>
      <c r="X557" s="304">
        <f t="shared" si="494"/>
        <v>1.2</v>
      </c>
      <c r="Z557" s="304" t="str">
        <f t="shared" si="466"/>
        <v/>
      </c>
      <c r="AA557" s="305" t="e">
        <f t="shared" si="467"/>
        <v>#N/A</v>
      </c>
      <c r="AB557" s="304">
        <f t="shared" si="468"/>
        <v>5.1166157754573298</v>
      </c>
      <c r="AC557" s="304" t="str">
        <f t="shared" si="495"/>
        <v/>
      </c>
      <c r="AD557" s="306">
        <f t="shared" si="469"/>
        <v>0</v>
      </c>
      <c r="AE557" s="307">
        <f t="shared" si="496"/>
        <v>5.1166157754573298</v>
      </c>
      <c r="AF557" s="308" t="e">
        <f t="shared" si="449"/>
        <v>#N/A</v>
      </c>
      <c r="AG557" s="306">
        <f t="shared" si="497"/>
        <v>953.63633296228204</v>
      </c>
      <c r="AH557" s="306">
        <f t="shared" si="470"/>
        <v>0</v>
      </c>
      <c r="AI557" s="306">
        <f t="shared" si="498"/>
        <v>0</v>
      </c>
      <c r="AJ557" s="306">
        <f t="shared" si="499"/>
        <v>0</v>
      </c>
      <c r="AK557" s="306">
        <f t="shared" si="471"/>
        <v>0</v>
      </c>
      <c r="AL557" s="306">
        <f t="shared" si="500"/>
        <v>0</v>
      </c>
      <c r="AM557" s="306">
        <f t="shared" si="472"/>
        <v>0</v>
      </c>
      <c r="AN557" s="306"/>
      <c r="AO557" s="304" t="str">
        <f t="shared" si="473"/>
        <v/>
      </c>
      <c r="AP557" s="304" t="str">
        <f t="shared" si="501"/>
        <v/>
      </c>
      <c r="AQ557" s="305" t="e">
        <f t="shared" si="451"/>
        <v>#N/A</v>
      </c>
      <c r="AR557" s="304" t="str">
        <f t="shared" si="452"/>
        <v/>
      </c>
      <c r="AS557" s="306">
        <f t="shared" si="474"/>
        <v>0</v>
      </c>
      <c r="AT557" s="307" t="e">
        <f t="shared" si="453"/>
        <v>#N/A</v>
      </c>
      <c r="AU557" s="307" t="e">
        <f t="shared" si="454"/>
        <v>#N/A</v>
      </c>
      <c r="AV557" s="304">
        <f t="shared" si="456"/>
        <v>4.2638464795477748</v>
      </c>
      <c r="AW557" s="309">
        <f t="shared" si="475"/>
        <v>4.2638464795477748</v>
      </c>
      <c r="AX557" s="306">
        <f>IF(ISERROR(Weather!M541),#N/A,Weather!M541)</f>
        <v>8.6</v>
      </c>
      <c r="AY557" s="310">
        <f t="shared" si="476"/>
        <v>1</v>
      </c>
      <c r="AZ557" s="309">
        <f t="shared" si="477"/>
        <v>1.2</v>
      </c>
      <c r="BA557" s="309">
        <f t="shared" si="478"/>
        <v>526.24809935217911</v>
      </c>
      <c r="BB557" s="311">
        <f>Irrig!H559</f>
        <v>0</v>
      </c>
      <c r="BC557" s="310">
        <f t="shared" si="479"/>
        <v>0</v>
      </c>
      <c r="BD557" s="309">
        <f t="shared" si="480"/>
        <v>0</v>
      </c>
      <c r="BE557" s="309">
        <f t="shared" si="481"/>
        <v>0</v>
      </c>
      <c r="BF557" s="306">
        <f>DailyMet!H541</f>
        <v>28.93</v>
      </c>
      <c r="BG557" s="306">
        <f>DailyMet!I541</f>
        <v>21.8</v>
      </c>
      <c r="BH557" s="306">
        <f t="shared" si="482"/>
        <v>28.93</v>
      </c>
      <c r="BI557" s="306">
        <f t="shared" si="483"/>
        <v>21.8</v>
      </c>
      <c r="BJ557" s="306">
        <f t="shared" si="484"/>
        <v>15.365000000000002</v>
      </c>
      <c r="BK557" s="306">
        <f t="shared" si="455"/>
        <v>0</v>
      </c>
      <c r="BL557" s="304">
        <f t="shared" si="485"/>
        <v>0</v>
      </c>
      <c r="BM557" s="304">
        <f t="shared" si="486"/>
        <v>15.365000000000002</v>
      </c>
      <c r="BN557" s="304">
        <f t="shared" si="503"/>
        <v>15.365000000000002</v>
      </c>
      <c r="BO557" s="306">
        <f t="shared" si="504"/>
        <v>0</v>
      </c>
      <c r="BP557" s="306"/>
    </row>
    <row r="558" spans="1:68">
      <c r="A558" s="299">
        <f t="shared" si="457"/>
        <v>0</v>
      </c>
      <c r="B558" s="300">
        <f t="shared" si="458"/>
        <v>38523</v>
      </c>
      <c r="C558" s="301" t="e">
        <f t="shared" si="487"/>
        <v>#N/A</v>
      </c>
      <c r="D558" s="301" t="e">
        <f t="shared" si="459"/>
        <v>#N/A</v>
      </c>
      <c r="E558" s="299">
        <f t="shared" si="460"/>
        <v>537</v>
      </c>
      <c r="F558" s="396">
        <f>Weather!M542</f>
        <v>1.6</v>
      </c>
      <c r="G558" s="301">
        <f>IF(Weather!C542="","",Weather!C542)</f>
        <v>4.3220103127910967</v>
      </c>
      <c r="H558" s="301">
        <f>IF(Weather!D542="","",Weather!D542)</f>
        <v>4.3448768618195519</v>
      </c>
      <c r="I558" s="502">
        <f>IF(Weather!E542="","",Weather!E542)</f>
        <v>4.3448768618195519</v>
      </c>
      <c r="J558" s="397">
        <f>IF(RnSplint!N221&lt;0,0,RnSplint!N221)</f>
        <v>7.7895580348277536</v>
      </c>
      <c r="K558" s="302">
        <f t="shared" si="488"/>
        <v>0</v>
      </c>
      <c r="L558" s="303">
        <f t="shared" si="489"/>
        <v>38523</v>
      </c>
      <c r="M558" s="346" t="str">
        <f t="shared" si="450"/>
        <v/>
      </c>
      <c r="N558" s="304">
        <f t="shared" si="490"/>
        <v>0</v>
      </c>
      <c r="O558" s="304">
        <f t="shared" si="491"/>
        <v>0</v>
      </c>
      <c r="P558" s="304">
        <f t="shared" si="461"/>
        <v>0</v>
      </c>
      <c r="Q558" s="304">
        <f t="shared" si="462"/>
        <v>0.89730091587779925</v>
      </c>
      <c r="R558" s="304">
        <f t="shared" si="463"/>
        <v>0.89730091587779925</v>
      </c>
      <c r="S558" s="305" t="e">
        <f t="shared" si="492"/>
        <v>#N/A</v>
      </c>
      <c r="T558" s="304">
        <f t="shared" si="464"/>
        <v>0</v>
      </c>
      <c r="U558" s="304">
        <f t="shared" si="502"/>
        <v>0</v>
      </c>
      <c r="V558" s="305" t="e">
        <f t="shared" si="465"/>
        <v>#N/A</v>
      </c>
      <c r="W558" s="305" t="e">
        <f t="shared" si="493"/>
        <v>#N/A</v>
      </c>
      <c r="X558" s="304">
        <f t="shared" si="494"/>
        <v>0.89730091587779925</v>
      </c>
      <c r="Z558" s="304" t="str">
        <f t="shared" si="466"/>
        <v/>
      </c>
      <c r="AA558" s="305" t="e">
        <f t="shared" si="467"/>
        <v>#N/A</v>
      </c>
      <c r="AB558" s="304">
        <f t="shared" si="468"/>
        <v>3.8986619874869421</v>
      </c>
      <c r="AC558" s="304" t="str">
        <f t="shared" si="495"/>
        <v/>
      </c>
      <c r="AD558" s="306">
        <f t="shared" si="469"/>
        <v>0</v>
      </c>
      <c r="AE558" s="307">
        <f t="shared" si="496"/>
        <v>3.8986619874869421</v>
      </c>
      <c r="AF558" s="308" t="e">
        <f t="shared" si="449"/>
        <v>#N/A</v>
      </c>
      <c r="AG558" s="306">
        <f t="shared" si="497"/>
        <v>957.9812098241016</v>
      </c>
      <c r="AH558" s="306">
        <f t="shared" si="470"/>
        <v>0</v>
      </c>
      <c r="AI558" s="306">
        <f t="shared" si="498"/>
        <v>0</v>
      </c>
      <c r="AJ558" s="306">
        <f t="shared" si="499"/>
        <v>0</v>
      </c>
      <c r="AK558" s="306">
        <f t="shared" si="471"/>
        <v>0</v>
      </c>
      <c r="AL558" s="306">
        <f t="shared" si="500"/>
        <v>0</v>
      </c>
      <c r="AM558" s="306">
        <f t="shared" si="472"/>
        <v>0</v>
      </c>
      <c r="AN558" s="306"/>
      <c r="AO558" s="304" t="str">
        <f t="shared" si="473"/>
        <v/>
      </c>
      <c r="AP558" s="304" t="str">
        <f t="shared" si="501"/>
        <v/>
      </c>
      <c r="AQ558" s="305" t="e">
        <f t="shared" si="451"/>
        <v>#N/A</v>
      </c>
      <c r="AR558" s="304" t="str">
        <f t="shared" si="452"/>
        <v/>
      </c>
      <c r="AS558" s="306">
        <f t="shared" si="474"/>
        <v>0</v>
      </c>
      <c r="AT558" s="307" t="e">
        <f t="shared" si="453"/>
        <v>#N/A</v>
      </c>
      <c r="AU558" s="307" t="e">
        <f t="shared" si="454"/>
        <v>#N/A</v>
      </c>
      <c r="AV558" s="304">
        <f t="shared" si="456"/>
        <v>4.3448768618195519</v>
      </c>
      <c r="AW558" s="309">
        <f t="shared" si="475"/>
        <v>8.6087233413673268</v>
      </c>
      <c r="AX558" s="306">
        <f>IF(ISERROR(Weather!M542),#N/A,Weather!M542)</f>
        <v>1.6</v>
      </c>
      <c r="AY558" s="310">
        <f t="shared" si="476"/>
        <v>2</v>
      </c>
      <c r="AZ558" s="309">
        <f t="shared" si="477"/>
        <v>0.89730091587779925</v>
      </c>
      <c r="BA558" s="309">
        <f t="shared" si="478"/>
        <v>530.59297621399867</v>
      </c>
      <c r="BB558" s="311">
        <f>Irrig!H560</f>
        <v>0</v>
      </c>
      <c r="BC558" s="310">
        <f t="shared" si="479"/>
        <v>0</v>
      </c>
      <c r="BD558" s="309">
        <f t="shared" si="480"/>
        <v>0</v>
      </c>
      <c r="BE558" s="309">
        <f t="shared" si="481"/>
        <v>0</v>
      </c>
      <c r="BF558" s="306">
        <f>DailyMet!H542</f>
        <v>27.7</v>
      </c>
      <c r="BG558" s="306">
        <f>DailyMet!I542</f>
        <v>18.899999999999999</v>
      </c>
      <c r="BH558" s="306">
        <f t="shared" si="482"/>
        <v>27.7</v>
      </c>
      <c r="BI558" s="306">
        <f t="shared" si="483"/>
        <v>18.899999999999999</v>
      </c>
      <c r="BJ558" s="306">
        <f t="shared" si="484"/>
        <v>13.299999999999997</v>
      </c>
      <c r="BK558" s="306">
        <f t="shared" si="455"/>
        <v>0</v>
      </c>
      <c r="BL558" s="304">
        <f t="shared" si="485"/>
        <v>0</v>
      </c>
      <c r="BM558" s="304">
        <f t="shared" si="486"/>
        <v>13.299999999999997</v>
      </c>
      <c r="BN558" s="304">
        <f t="shared" si="503"/>
        <v>13.299999999999997</v>
      </c>
      <c r="BO558" s="306">
        <f t="shared" si="504"/>
        <v>0</v>
      </c>
      <c r="BP558" s="306"/>
    </row>
    <row r="559" spans="1:68">
      <c r="A559" s="299">
        <f t="shared" si="457"/>
        <v>0</v>
      </c>
      <c r="B559" s="300">
        <f t="shared" si="458"/>
        <v>38524</v>
      </c>
      <c r="C559" s="301" t="e">
        <f t="shared" si="487"/>
        <v>#N/A</v>
      </c>
      <c r="D559" s="301" t="e">
        <f t="shared" si="459"/>
        <v>#N/A</v>
      </c>
      <c r="E559" s="299">
        <f t="shared" si="460"/>
        <v>538</v>
      </c>
      <c r="F559" s="396">
        <f>Weather!M543</f>
        <v>0</v>
      </c>
      <c r="G559" s="301">
        <f>IF(Weather!C543="","",Weather!C543)</f>
        <v>4.3404367974108817</v>
      </c>
      <c r="H559" s="301">
        <f>IF(Weather!D543="","",Weather!D543)</f>
        <v>4.2189462561948528</v>
      </c>
      <c r="I559" s="502">
        <f>IF(Weather!E543="","",Weather!E543)</f>
        <v>4.2189462561948528</v>
      </c>
      <c r="J559" s="397">
        <f>IF(RnSplint!N222&lt;0,0,RnSplint!N222)</f>
        <v>8.5917597997602027</v>
      </c>
      <c r="K559" s="302">
        <f t="shared" si="488"/>
        <v>0</v>
      </c>
      <c r="L559" s="303">
        <f t="shared" si="489"/>
        <v>38524</v>
      </c>
      <c r="M559" s="346" t="str">
        <f t="shared" si="450"/>
        <v/>
      </c>
      <c r="N559" s="304">
        <f t="shared" si="490"/>
        <v>0</v>
      </c>
      <c r="O559" s="304">
        <f t="shared" si="491"/>
        <v>0</v>
      </c>
      <c r="P559" s="304">
        <f t="shared" si="461"/>
        <v>0</v>
      </c>
      <c r="Q559" s="304">
        <f t="shared" si="462"/>
        <v>0.73040251465378137</v>
      </c>
      <c r="R559" s="304">
        <f t="shared" si="463"/>
        <v>0.73040251465378137</v>
      </c>
      <c r="S559" s="305" t="e">
        <f t="shared" si="492"/>
        <v>#N/A</v>
      </c>
      <c r="T559" s="304">
        <f t="shared" si="464"/>
        <v>0</v>
      </c>
      <c r="U559" s="304">
        <f t="shared" si="502"/>
        <v>0</v>
      </c>
      <c r="V559" s="305" t="e">
        <f t="shared" si="465"/>
        <v>#N/A</v>
      </c>
      <c r="W559" s="305" t="e">
        <f t="shared" si="493"/>
        <v>#N/A</v>
      </c>
      <c r="X559" s="304">
        <f t="shared" si="494"/>
        <v>0.73040251465378137</v>
      </c>
      <c r="Z559" s="304" t="str">
        <f t="shared" si="466"/>
        <v/>
      </c>
      <c r="AA559" s="305" t="e">
        <f t="shared" si="467"/>
        <v>#N/A</v>
      </c>
      <c r="AB559" s="304">
        <f t="shared" si="468"/>
        <v>3.0815289547138769</v>
      </c>
      <c r="AC559" s="304" t="str">
        <f t="shared" si="495"/>
        <v/>
      </c>
      <c r="AD559" s="306">
        <f t="shared" si="469"/>
        <v>0</v>
      </c>
      <c r="AE559" s="307">
        <f t="shared" si="496"/>
        <v>3.0815289547138769</v>
      </c>
      <c r="AF559" s="308" t="e">
        <f t="shared" si="449"/>
        <v>#N/A</v>
      </c>
      <c r="AG559" s="306">
        <f t="shared" si="497"/>
        <v>962.20015608029644</v>
      </c>
      <c r="AH559" s="306">
        <f t="shared" si="470"/>
        <v>0</v>
      </c>
      <c r="AI559" s="306">
        <f t="shared" si="498"/>
        <v>0</v>
      </c>
      <c r="AJ559" s="306">
        <f t="shared" si="499"/>
        <v>0</v>
      </c>
      <c r="AK559" s="306">
        <f t="shared" si="471"/>
        <v>0</v>
      </c>
      <c r="AL559" s="306">
        <f t="shared" si="500"/>
        <v>0</v>
      </c>
      <c r="AM559" s="306">
        <f t="shared" si="472"/>
        <v>0</v>
      </c>
      <c r="AN559" s="306"/>
      <c r="AO559" s="304" t="str">
        <f t="shared" si="473"/>
        <v/>
      </c>
      <c r="AP559" s="304" t="str">
        <f t="shared" si="501"/>
        <v/>
      </c>
      <c r="AQ559" s="305" t="e">
        <f t="shared" si="451"/>
        <v>#N/A</v>
      </c>
      <c r="AR559" s="304" t="str">
        <f t="shared" si="452"/>
        <v/>
      </c>
      <c r="AS559" s="306">
        <f t="shared" si="474"/>
        <v>0</v>
      </c>
      <c r="AT559" s="307" t="e">
        <f t="shared" si="453"/>
        <v>#N/A</v>
      </c>
      <c r="AU559" s="307" t="e">
        <f t="shared" si="454"/>
        <v>#N/A</v>
      </c>
      <c r="AV559" s="304">
        <f t="shared" si="456"/>
        <v>4.2189462561948528</v>
      </c>
      <c r="AW559" s="309">
        <f t="shared" si="475"/>
        <v>12.82766959756218</v>
      </c>
      <c r="AX559" s="306">
        <f>IF(ISERROR(Weather!M543),#N/A,Weather!M543)</f>
        <v>0</v>
      </c>
      <c r="AY559" s="310">
        <f t="shared" si="476"/>
        <v>3</v>
      </c>
      <c r="AZ559" s="309">
        <f t="shared" si="477"/>
        <v>0.73040251465378137</v>
      </c>
      <c r="BA559" s="309">
        <f t="shared" si="478"/>
        <v>534.81192247019351</v>
      </c>
      <c r="BB559" s="311">
        <f>Irrig!H561</f>
        <v>0</v>
      </c>
      <c r="BC559" s="310">
        <f t="shared" si="479"/>
        <v>0</v>
      </c>
      <c r="BD559" s="309">
        <f t="shared" si="480"/>
        <v>0</v>
      </c>
      <c r="BE559" s="309">
        <f t="shared" si="481"/>
        <v>0</v>
      </c>
      <c r="BF559" s="306">
        <f>DailyMet!H543</f>
        <v>27.94</v>
      </c>
      <c r="BG559" s="306">
        <f>DailyMet!I543</f>
        <v>19.600000000000001</v>
      </c>
      <c r="BH559" s="306">
        <f t="shared" si="482"/>
        <v>27.94</v>
      </c>
      <c r="BI559" s="306">
        <f t="shared" si="483"/>
        <v>19.600000000000001</v>
      </c>
      <c r="BJ559" s="306">
        <f t="shared" si="484"/>
        <v>13.770000000000003</v>
      </c>
      <c r="BK559" s="306">
        <f t="shared" si="455"/>
        <v>0</v>
      </c>
      <c r="BL559" s="304">
        <f t="shared" si="485"/>
        <v>0</v>
      </c>
      <c r="BM559" s="304">
        <f t="shared" si="486"/>
        <v>13.770000000000003</v>
      </c>
      <c r="BN559" s="304">
        <f t="shared" si="503"/>
        <v>13.770000000000003</v>
      </c>
      <c r="BO559" s="306">
        <f t="shared" si="504"/>
        <v>0</v>
      </c>
      <c r="BP559" s="306"/>
    </row>
    <row r="560" spans="1:68">
      <c r="A560" s="299">
        <f t="shared" si="457"/>
        <v>0</v>
      </c>
      <c r="B560" s="300">
        <f t="shared" si="458"/>
        <v>38525</v>
      </c>
      <c r="C560" s="301" t="e">
        <f t="shared" si="487"/>
        <v>#N/A</v>
      </c>
      <c r="D560" s="301" t="e">
        <f t="shared" si="459"/>
        <v>#N/A</v>
      </c>
      <c r="E560" s="299">
        <f t="shared" si="460"/>
        <v>539</v>
      </c>
      <c r="F560" s="396">
        <f>Weather!M544</f>
        <v>7</v>
      </c>
      <c r="G560" s="301">
        <f>IF(Weather!C544="","",Weather!C544)</f>
        <v>4.3574366049450157</v>
      </c>
      <c r="H560" s="301">
        <f>IF(Weather!D544="","",Weather!D544)</f>
        <v>4.815483037784154</v>
      </c>
      <c r="I560" s="502">
        <f>IF(Weather!E544="","",Weather!E544)</f>
        <v>4.815483037784154</v>
      </c>
      <c r="J560" s="397">
        <f>IF(RnSplint!N223&lt;0,0,RnSplint!N223)</f>
        <v>9.4289496073475441</v>
      </c>
      <c r="K560" s="302">
        <f t="shared" si="488"/>
        <v>0</v>
      </c>
      <c r="L560" s="303">
        <f t="shared" si="489"/>
        <v>38525</v>
      </c>
      <c r="M560" s="346" t="str">
        <f t="shared" si="450"/>
        <v/>
      </c>
      <c r="N560" s="304">
        <f t="shared" si="490"/>
        <v>0</v>
      </c>
      <c r="O560" s="304">
        <f t="shared" si="491"/>
        <v>0</v>
      </c>
      <c r="P560" s="304">
        <f t="shared" si="461"/>
        <v>0</v>
      </c>
      <c r="Q560" s="304">
        <f t="shared" si="462"/>
        <v>0.61963107790190963</v>
      </c>
      <c r="R560" s="304">
        <f t="shared" si="463"/>
        <v>0.61963107790190963</v>
      </c>
      <c r="S560" s="305" t="e">
        <f t="shared" si="492"/>
        <v>#N/A</v>
      </c>
      <c r="T560" s="304">
        <f t="shared" si="464"/>
        <v>0</v>
      </c>
      <c r="U560" s="304">
        <f t="shared" si="502"/>
        <v>0</v>
      </c>
      <c r="V560" s="305" t="e">
        <f t="shared" si="465"/>
        <v>#N/A</v>
      </c>
      <c r="W560" s="305" t="e">
        <f t="shared" si="493"/>
        <v>#N/A</v>
      </c>
      <c r="X560" s="304">
        <f t="shared" si="494"/>
        <v>0.61963107790190963</v>
      </c>
      <c r="Z560" s="304" t="str">
        <f t="shared" si="466"/>
        <v/>
      </c>
      <c r="AA560" s="305" t="e">
        <f t="shared" si="467"/>
        <v>#N/A</v>
      </c>
      <c r="AB560" s="304">
        <f t="shared" si="468"/>
        <v>2.9838229453205574</v>
      </c>
      <c r="AC560" s="304" t="str">
        <f t="shared" si="495"/>
        <v/>
      </c>
      <c r="AD560" s="306">
        <f t="shared" si="469"/>
        <v>0</v>
      </c>
      <c r="AE560" s="307">
        <f t="shared" si="496"/>
        <v>2.9838229453205574</v>
      </c>
      <c r="AF560" s="308" t="e">
        <f t="shared" si="449"/>
        <v>#N/A</v>
      </c>
      <c r="AG560" s="306">
        <f t="shared" si="497"/>
        <v>967.01563911808057</v>
      </c>
      <c r="AH560" s="306">
        <f t="shared" si="470"/>
        <v>0</v>
      </c>
      <c r="AI560" s="306">
        <f t="shared" si="498"/>
        <v>0</v>
      </c>
      <c r="AJ560" s="306">
        <f t="shared" si="499"/>
        <v>0</v>
      </c>
      <c r="AK560" s="306">
        <f t="shared" si="471"/>
        <v>0</v>
      </c>
      <c r="AL560" s="306">
        <f t="shared" si="500"/>
        <v>0</v>
      </c>
      <c r="AM560" s="306">
        <f t="shared" si="472"/>
        <v>0</v>
      </c>
      <c r="AN560" s="306"/>
      <c r="AO560" s="304" t="str">
        <f t="shared" si="473"/>
        <v/>
      </c>
      <c r="AP560" s="304" t="str">
        <f t="shared" si="501"/>
        <v/>
      </c>
      <c r="AQ560" s="305" t="e">
        <f t="shared" si="451"/>
        <v>#N/A</v>
      </c>
      <c r="AR560" s="304" t="str">
        <f t="shared" si="452"/>
        <v/>
      </c>
      <c r="AS560" s="306">
        <f t="shared" si="474"/>
        <v>0</v>
      </c>
      <c r="AT560" s="307" t="e">
        <f t="shared" si="453"/>
        <v>#N/A</v>
      </c>
      <c r="AU560" s="307" t="e">
        <f t="shared" si="454"/>
        <v>#N/A</v>
      </c>
      <c r="AV560" s="304">
        <f t="shared" si="456"/>
        <v>4.815483037784154</v>
      </c>
      <c r="AW560" s="309">
        <f t="shared" si="475"/>
        <v>17.643152635346333</v>
      </c>
      <c r="AX560" s="306">
        <f>IF(ISERROR(Weather!M544),#N/A,Weather!M544)</f>
        <v>7</v>
      </c>
      <c r="AY560" s="310">
        <f t="shared" si="476"/>
        <v>4</v>
      </c>
      <c r="AZ560" s="309">
        <f t="shared" si="477"/>
        <v>0.61963107790190963</v>
      </c>
      <c r="BA560" s="309">
        <f t="shared" si="478"/>
        <v>539.62740550797764</v>
      </c>
      <c r="BB560" s="311">
        <f>Irrig!H562</f>
        <v>0</v>
      </c>
      <c r="BC560" s="310">
        <f t="shared" si="479"/>
        <v>0</v>
      </c>
      <c r="BD560" s="309">
        <f t="shared" si="480"/>
        <v>0</v>
      </c>
      <c r="BE560" s="309">
        <f t="shared" si="481"/>
        <v>0</v>
      </c>
      <c r="BF560" s="306">
        <f>DailyMet!H544</f>
        <v>27.81</v>
      </c>
      <c r="BG560" s="306">
        <f>DailyMet!I544</f>
        <v>20.399999999999999</v>
      </c>
      <c r="BH560" s="306">
        <f t="shared" si="482"/>
        <v>27.81</v>
      </c>
      <c r="BI560" s="306">
        <f t="shared" si="483"/>
        <v>20.399999999999999</v>
      </c>
      <c r="BJ560" s="306">
        <f t="shared" si="484"/>
        <v>14.104999999999997</v>
      </c>
      <c r="BK560" s="306">
        <f t="shared" si="455"/>
        <v>0</v>
      </c>
      <c r="BL560" s="304">
        <f t="shared" si="485"/>
        <v>0</v>
      </c>
      <c r="BM560" s="304">
        <f t="shared" si="486"/>
        <v>14.104999999999997</v>
      </c>
      <c r="BN560" s="304">
        <f t="shared" si="503"/>
        <v>14.104999999999997</v>
      </c>
      <c r="BO560" s="306">
        <f t="shared" si="504"/>
        <v>0</v>
      </c>
      <c r="BP560" s="306"/>
    </row>
    <row r="561" spans="1:68">
      <c r="A561" s="299">
        <f t="shared" si="457"/>
        <v>0</v>
      </c>
      <c r="B561" s="300">
        <f t="shared" si="458"/>
        <v>38526</v>
      </c>
      <c r="C561" s="301" t="e">
        <f t="shared" si="487"/>
        <v>#N/A</v>
      </c>
      <c r="D561" s="301" t="e">
        <f t="shared" si="459"/>
        <v>#N/A</v>
      </c>
      <c r="E561" s="299">
        <f t="shared" si="460"/>
        <v>540</v>
      </c>
      <c r="F561" s="396">
        <f>Weather!M545</f>
        <v>2.6</v>
      </c>
      <c r="G561" s="301">
        <f>IF(Weather!C545="","",Weather!C545)</f>
        <v>4.3730392531462812</v>
      </c>
      <c r="H561" s="301">
        <f>IF(Weather!D545="","",Weather!D545)</f>
        <v>5.2090818304770883</v>
      </c>
      <c r="I561" s="502">
        <f>IF(Weather!E545="","",Weather!E545)</f>
        <v>5.2090818304770883</v>
      </c>
      <c r="J561" s="397">
        <f>IF(RnSplint!N224&lt;0,0,RnSplint!N224)</f>
        <v>10.297659027672115</v>
      </c>
      <c r="K561" s="302">
        <f t="shared" si="488"/>
        <v>0</v>
      </c>
      <c r="L561" s="303">
        <f t="shared" si="489"/>
        <v>38526</v>
      </c>
      <c r="M561" s="346" t="str">
        <f t="shared" si="450"/>
        <v/>
      </c>
      <c r="N561" s="304">
        <f t="shared" si="490"/>
        <v>0</v>
      </c>
      <c r="O561" s="304">
        <f t="shared" si="491"/>
        <v>0</v>
      </c>
      <c r="P561" s="304">
        <f t="shared" si="461"/>
        <v>0</v>
      </c>
      <c r="Q561" s="304">
        <f t="shared" si="462"/>
        <v>0.54219974902536405</v>
      </c>
      <c r="R561" s="304">
        <f t="shared" si="463"/>
        <v>0.54219974902536405</v>
      </c>
      <c r="S561" s="305" t="e">
        <f t="shared" si="492"/>
        <v>#N/A</v>
      </c>
      <c r="T561" s="304">
        <f t="shared" si="464"/>
        <v>0</v>
      </c>
      <c r="U561" s="304">
        <f t="shared" si="502"/>
        <v>0</v>
      </c>
      <c r="V561" s="305" t="e">
        <f t="shared" si="465"/>
        <v>#N/A</v>
      </c>
      <c r="W561" s="305" t="e">
        <f t="shared" si="493"/>
        <v>#N/A</v>
      </c>
      <c r="X561" s="304">
        <f t="shared" si="494"/>
        <v>0.54219974902536405</v>
      </c>
      <c r="Z561" s="304" t="str">
        <f t="shared" si="466"/>
        <v/>
      </c>
      <c r="AA561" s="305" t="e">
        <f t="shared" si="467"/>
        <v>#N/A</v>
      </c>
      <c r="AB561" s="304">
        <f t="shared" si="468"/>
        <v>2.8243628611372613</v>
      </c>
      <c r="AC561" s="304" t="str">
        <f t="shared" si="495"/>
        <v/>
      </c>
      <c r="AD561" s="306">
        <f t="shared" si="469"/>
        <v>0</v>
      </c>
      <c r="AE561" s="307">
        <f t="shared" si="496"/>
        <v>2.8243628611372613</v>
      </c>
      <c r="AF561" s="308" t="e">
        <f t="shared" si="449"/>
        <v>#N/A</v>
      </c>
      <c r="AG561" s="306">
        <f t="shared" si="497"/>
        <v>972.22472094855766</v>
      </c>
      <c r="AH561" s="306">
        <f t="shared" si="470"/>
        <v>0</v>
      </c>
      <c r="AI561" s="306">
        <f t="shared" si="498"/>
        <v>0</v>
      </c>
      <c r="AJ561" s="306">
        <f t="shared" si="499"/>
        <v>0</v>
      </c>
      <c r="AK561" s="306">
        <f t="shared" si="471"/>
        <v>0</v>
      </c>
      <c r="AL561" s="306">
        <f t="shared" si="500"/>
        <v>0</v>
      </c>
      <c r="AM561" s="306">
        <f t="shared" si="472"/>
        <v>0</v>
      </c>
      <c r="AN561" s="306"/>
      <c r="AO561" s="304" t="str">
        <f t="shared" si="473"/>
        <v/>
      </c>
      <c r="AP561" s="304" t="str">
        <f t="shared" si="501"/>
        <v/>
      </c>
      <c r="AQ561" s="305" t="e">
        <f t="shared" si="451"/>
        <v>#N/A</v>
      </c>
      <c r="AR561" s="304" t="str">
        <f t="shared" si="452"/>
        <v/>
      </c>
      <c r="AS561" s="306">
        <f t="shared" si="474"/>
        <v>0</v>
      </c>
      <c r="AT561" s="307" t="e">
        <f t="shared" si="453"/>
        <v>#N/A</v>
      </c>
      <c r="AU561" s="307" t="e">
        <f t="shared" si="454"/>
        <v>#N/A</v>
      </c>
      <c r="AV561" s="304">
        <f t="shared" si="456"/>
        <v>5.2090818304770883</v>
      </c>
      <c r="AW561" s="309">
        <f t="shared" si="475"/>
        <v>22.852234465823422</v>
      </c>
      <c r="AX561" s="306">
        <f>IF(ISERROR(Weather!M545),#N/A,Weather!M545)</f>
        <v>2.6</v>
      </c>
      <c r="AY561" s="310">
        <f t="shared" si="476"/>
        <v>5</v>
      </c>
      <c r="AZ561" s="309">
        <f t="shared" si="477"/>
        <v>0.54219974902536405</v>
      </c>
      <c r="BA561" s="309">
        <f t="shared" si="478"/>
        <v>544.83648733845473</v>
      </c>
      <c r="BB561" s="311">
        <f>Irrig!H563</f>
        <v>0</v>
      </c>
      <c r="BC561" s="310">
        <f t="shared" si="479"/>
        <v>0</v>
      </c>
      <c r="BD561" s="309">
        <f t="shared" si="480"/>
        <v>0</v>
      </c>
      <c r="BE561" s="309">
        <f t="shared" si="481"/>
        <v>0</v>
      </c>
      <c r="BF561" s="306">
        <f>DailyMet!H545</f>
        <v>25.75</v>
      </c>
      <c r="BG561" s="306">
        <f>DailyMet!I545</f>
        <v>18.8</v>
      </c>
      <c r="BH561" s="306">
        <f t="shared" si="482"/>
        <v>25.75</v>
      </c>
      <c r="BI561" s="306">
        <f t="shared" si="483"/>
        <v>18.8</v>
      </c>
      <c r="BJ561" s="306">
        <f t="shared" si="484"/>
        <v>12.274999999999999</v>
      </c>
      <c r="BK561" s="306">
        <f t="shared" si="455"/>
        <v>0</v>
      </c>
      <c r="BL561" s="304">
        <f t="shared" si="485"/>
        <v>0</v>
      </c>
      <c r="BM561" s="304">
        <f t="shared" si="486"/>
        <v>12.274999999999999</v>
      </c>
      <c r="BN561" s="304">
        <f t="shared" si="503"/>
        <v>12.274999999999999</v>
      </c>
      <c r="BO561" s="306">
        <f t="shared" si="504"/>
        <v>0</v>
      </c>
      <c r="BP561" s="306"/>
    </row>
    <row r="562" spans="1:68">
      <c r="A562" s="299">
        <f t="shared" si="457"/>
        <v>0</v>
      </c>
      <c r="B562" s="300">
        <f t="shared" si="458"/>
        <v>38527</v>
      </c>
      <c r="C562" s="301" t="e">
        <f t="shared" si="487"/>
        <v>#N/A</v>
      </c>
      <c r="D562" s="301" t="e">
        <f t="shared" si="459"/>
        <v>#N/A</v>
      </c>
      <c r="E562" s="299">
        <f t="shared" si="460"/>
        <v>541</v>
      </c>
      <c r="F562" s="396">
        <f>Weather!M546</f>
        <v>0</v>
      </c>
      <c r="G562" s="301">
        <f>IF(Weather!C546="","",Weather!C546)</f>
        <v>4.387274259767465</v>
      </c>
      <c r="H562" s="301">
        <f>IF(Weather!D546="","",Weather!D546)</f>
        <v>4.2242359034504471</v>
      </c>
      <c r="I562" s="502">
        <f>IF(Weather!E546="","",Weather!E546)</f>
        <v>4.2242359034504471</v>
      </c>
      <c r="J562" s="397">
        <f>IF(RnSplint!N225&lt;0,0,RnSplint!N225)</f>
        <v>11.194419630816258</v>
      </c>
      <c r="K562" s="302">
        <f t="shared" si="488"/>
        <v>0</v>
      </c>
      <c r="L562" s="303">
        <f t="shared" si="489"/>
        <v>38527</v>
      </c>
      <c r="M562" s="346" t="str">
        <f t="shared" si="450"/>
        <v/>
      </c>
      <c r="N562" s="304">
        <f t="shared" si="490"/>
        <v>0</v>
      </c>
      <c r="O562" s="304">
        <f t="shared" si="491"/>
        <v>0</v>
      </c>
      <c r="P562" s="304">
        <f t="shared" si="461"/>
        <v>0</v>
      </c>
      <c r="Q562" s="304">
        <f t="shared" si="462"/>
        <v>0.49676273422350986</v>
      </c>
      <c r="R562" s="304">
        <f t="shared" si="463"/>
        <v>0.49676273422350986</v>
      </c>
      <c r="S562" s="305" t="e">
        <f t="shared" si="492"/>
        <v>#N/A</v>
      </c>
      <c r="T562" s="304">
        <f t="shared" si="464"/>
        <v>0</v>
      </c>
      <c r="U562" s="304">
        <f t="shared" si="502"/>
        <v>0</v>
      </c>
      <c r="V562" s="305" t="e">
        <f t="shared" si="465"/>
        <v>#N/A</v>
      </c>
      <c r="W562" s="305" t="e">
        <f t="shared" si="493"/>
        <v>#N/A</v>
      </c>
      <c r="X562" s="304">
        <f t="shared" si="494"/>
        <v>0.49676273422350986</v>
      </c>
      <c r="Z562" s="304" t="str">
        <f t="shared" si="466"/>
        <v/>
      </c>
      <c r="AA562" s="305" t="e">
        <f t="shared" si="467"/>
        <v>#N/A</v>
      </c>
      <c r="AB562" s="304">
        <f t="shared" si="468"/>
        <v>2.0984429774031623</v>
      </c>
      <c r="AC562" s="304" t="str">
        <f t="shared" si="495"/>
        <v/>
      </c>
      <c r="AD562" s="306">
        <f t="shared" si="469"/>
        <v>0</v>
      </c>
      <c r="AE562" s="307">
        <f t="shared" si="496"/>
        <v>2.0984429774031623</v>
      </c>
      <c r="AF562" s="308" t="e">
        <f t="shared" ref="AF562:AF598" si="505">IF(AD562=0,#N/A,AD562)</f>
        <v>#N/A</v>
      </c>
      <c r="AG562" s="306">
        <f t="shared" si="497"/>
        <v>976.44895685200811</v>
      </c>
      <c r="AH562" s="306">
        <f t="shared" si="470"/>
        <v>0</v>
      </c>
      <c r="AI562" s="306">
        <f t="shared" si="498"/>
        <v>0</v>
      </c>
      <c r="AJ562" s="306">
        <f t="shared" si="499"/>
        <v>0</v>
      </c>
      <c r="AK562" s="306">
        <f t="shared" si="471"/>
        <v>0</v>
      </c>
      <c r="AL562" s="306">
        <f t="shared" si="500"/>
        <v>0</v>
      </c>
      <c r="AM562" s="306">
        <f t="shared" si="472"/>
        <v>0</v>
      </c>
      <c r="AN562" s="306"/>
      <c r="AO562" s="304" t="str">
        <f t="shared" si="473"/>
        <v/>
      </c>
      <c r="AP562" s="304" t="str">
        <f t="shared" si="501"/>
        <v/>
      </c>
      <c r="AQ562" s="305" t="e">
        <f t="shared" si="451"/>
        <v>#N/A</v>
      </c>
      <c r="AR562" s="304" t="str">
        <f t="shared" si="452"/>
        <v/>
      </c>
      <c r="AS562" s="306">
        <f t="shared" si="474"/>
        <v>0</v>
      </c>
      <c r="AT562" s="307" t="e">
        <f t="shared" si="453"/>
        <v>#N/A</v>
      </c>
      <c r="AU562" s="307" t="e">
        <f t="shared" si="454"/>
        <v>#N/A</v>
      </c>
      <c r="AV562" s="304">
        <f t="shared" si="456"/>
        <v>4.2242359034504471</v>
      </c>
      <c r="AW562" s="309">
        <f t="shared" si="475"/>
        <v>27.076470369273871</v>
      </c>
      <c r="AX562" s="306">
        <f>IF(ISERROR(Weather!M546),#N/A,Weather!M546)</f>
        <v>0</v>
      </c>
      <c r="AY562" s="310">
        <f t="shared" si="476"/>
        <v>6</v>
      </c>
      <c r="AZ562" s="309">
        <f t="shared" si="477"/>
        <v>0.49676273422350986</v>
      </c>
      <c r="BA562" s="309">
        <f t="shared" si="478"/>
        <v>549.06072324190518</v>
      </c>
      <c r="BB562" s="311">
        <f>Irrig!H564</f>
        <v>0</v>
      </c>
      <c r="BC562" s="310">
        <f t="shared" si="479"/>
        <v>0</v>
      </c>
      <c r="BD562" s="309">
        <f t="shared" si="480"/>
        <v>0</v>
      </c>
      <c r="BE562" s="309">
        <f t="shared" si="481"/>
        <v>0</v>
      </c>
      <c r="BF562" s="306">
        <f>DailyMet!H546</f>
        <v>26.34</v>
      </c>
      <c r="BG562" s="306">
        <f>DailyMet!I546</f>
        <v>17.399999999999999</v>
      </c>
      <c r="BH562" s="306">
        <f t="shared" si="482"/>
        <v>26.34</v>
      </c>
      <c r="BI562" s="306">
        <f t="shared" si="483"/>
        <v>17.399999999999999</v>
      </c>
      <c r="BJ562" s="306">
        <f t="shared" si="484"/>
        <v>11.869999999999997</v>
      </c>
      <c r="BK562" s="306">
        <f t="shared" si="455"/>
        <v>0</v>
      </c>
      <c r="BL562" s="304">
        <f t="shared" si="485"/>
        <v>0</v>
      </c>
      <c r="BM562" s="304">
        <f t="shared" si="486"/>
        <v>11.869999999999997</v>
      </c>
      <c r="BN562" s="304">
        <f t="shared" si="503"/>
        <v>11.869999999999997</v>
      </c>
      <c r="BO562" s="306">
        <f t="shared" si="504"/>
        <v>0</v>
      </c>
      <c r="BP562" s="306"/>
    </row>
    <row r="563" spans="1:68">
      <c r="A563" s="299">
        <f t="shared" si="457"/>
        <v>0</v>
      </c>
      <c r="B563" s="300">
        <f t="shared" si="458"/>
        <v>38528</v>
      </c>
      <c r="C563" s="301" t="e">
        <f t="shared" si="487"/>
        <v>#N/A</v>
      </c>
      <c r="D563" s="301" t="e">
        <f t="shared" si="459"/>
        <v>#N/A</v>
      </c>
      <c r="E563" s="299">
        <f t="shared" si="460"/>
        <v>542</v>
      </c>
      <c r="F563" s="396">
        <f>Weather!M547</f>
        <v>0</v>
      </c>
      <c r="G563" s="301">
        <f>IF(Weather!C547="","",Weather!C547)</f>
        <v>4.4001711425613523</v>
      </c>
      <c r="H563" s="301">
        <f>IF(Weather!D547="","",Weather!D547)</f>
        <v>3.6770090379365259</v>
      </c>
      <c r="I563" s="502">
        <f>IF(Weather!E547="","",Weather!E547)</f>
        <v>3.6770090379365259</v>
      </c>
      <c r="J563" s="397">
        <f>IF(RnSplint!N226&lt;0,0,RnSplint!N226)</f>
        <v>12.115762986862318</v>
      </c>
      <c r="K563" s="302">
        <f t="shared" si="488"/>
        <v>0</v>
      </c>
      <c r="L563" s="303">
        <f t="shared" si="489"/>
        <v>38528</v>
      </c>
      <c r="M563" s="346" t="str">
        <f t="shared" si="450"/>
        <v/>
      </c>
      <c r="N563" s="304">
        <f t="shared" si="490"/>
        <v>0</v>
      </c>
      <c r="O563" s="304">
        <f t="shared" si="491"/>
        <v>0</v>
      </c>
      <c r="P563" s="304">
        <f t="shared" si="461"/>
        <v>0</v>
      </c>
      <c r="Q563" s="304">
        <f t="shared" si="462"/>
        <v>0.46517146856392394</v>
      </c>
      <c r="R563" s="304">
        <f t="shared" si="463"/>
        <v>0.46517146856392394</v>
      </c>
      <c r="S563" s="305" t="e">
        <f t="shared" si="492"/>
        <v>#N/A</v>
      </c>
      <c r="T563" s="304">
        <f t="shared" si="464"/>
        <v>0</v>
      </c>
      <c r="U563" s="304">
        <f t="shared" si="502"/>
        <v>0</v>
      </c>
      <c r="V563" s="305" t="e">
        <f t="shared" si="465"/>
        <v>#N/A</v>
      </c>
      <c r="W563" s="305" t="e">
        <f t="shared" si="493"/>
        <v>#N/A</v>
      </c>
      <c r="X563" s="304">
        <f t="shared" si="494"/>
        <v>0.46517146856392394</v>
      </c>
      <c r="Z563" s="304" t="str">
        <f t="shared" si="466"/>
        <v/>
      </c>
      <c r="AA563" s="305" t="e">
        <f t="shared" si="467"/>
        <v>#N/A</v>
      </c>
      <c r="AB563" s="304">
        <f t="shared" si="468"/>
        <v>1.7104396940997548</v>
      </c>
      <c r="AC563" s="304" t="str">
        <f t="shared" si="495"/>
        <v/>
      </c>
      <c r="AD563" s="306">
        <f t="shared" si="469"/>
        <v>0</v>
      </c>
      <c r="AE563" s="307">
        <f t="shared" si="496"/>
        <v>1.7104396940997548</v>
      </c>
      <c r="AF563" s="308" t="e">
        <f t="shared" si="505"/>
        <v>#N/A</v>
      </c>
      <c r="AG563" s="306">
        <f t="shared" si="497"/>
        <v>980.12596588994461</v>
      </c>
      <c r="AH563" s="306">
        <f t="shared" si="470"/>
        <v>0</v>
      </c>
      <c r="AI563" s="306">
        <f t="shared" si="498"/>
        <v>0</v>
      </c>
      <c r="AJ563" s="306">
        <f t="shared" si="499"/>
        <v>0</v>
      </c>
      <c r="AK563" s="306">
        <f t="shared" si="471"/>
        <v>0</v>
      </c>
      <c r="AL563" s="306">
        <f t="shared" si="500"/>
        <v>0</v>
      </c>
      <c r="AM563" s="306">
        <f t="shared" si="472"/>
        <v>0</v>
      </c>
      <c r="AN563" s="306"/>
      <c r="AO563" s="304" t="str">
        <f t="shared" si="473"/>
        <v/>
      </c>
      <c r="AP563" s="304" t="str">
        <f t="shared" si="501"/>
        <v/>
      </c>
      <c r="AQ563" s="305" t="e">
        <f t="shared" si="451"/>
        <v>#N/A</v>
      </c>
      <c r="AR563" s="304" t="str">
        <f t="shared" si="452"/>
        <v/>
      </c>
      <c r="AS563" s="306">
        <f t="shared" si="474"/>
        <v>0</v>
      </c>
      <c r="AT563" s="307" t="e">
        <f t="shared" si="453"/>
        <v>#N/A</v>
      </c>
      <c r="AU563" s="307" t="e">
        <f t="shared" si="454"/>
        <v>#N/A</v>
      </c>
      <c r="AV563" s="304">
        <f t="shared" si="456"/>
        <v>3.6770090379365259</v>
      </c>
      <c r="AW563" s="309">
        <f t="shared" si="475"/>
        <v>30.753479407210396</v>
      </c>
      <c r="AX563" s="306">
        <f>IF(ISERROR(Weather!M547),#N/A,Weather!M547)</f>
        <v>0</v>
      </c>
      <c r="AY563" s="310">
        <f t="shared" si="476"/>
        <v>7</v>
      </c>
      <c r="AZ563" s="309">
        <f t="shared" si="477"/>
        <v>0.46517146856392394</v>
      </c>
      <c r="BA563" s="309">
        <f t="shared" si="478"/>
        <v>552.73773227984168</v>
      </c>
      <c r="BB563" s="311">
        <f>Irrig!H565</f>
        <v>0</v>
      </c>
      <c r="BC563" s="310">
        <f t="shared" si="479"/>
        <v>0</v>
      </c>
      <c r="BD563" s="309">
        <f t="shared" si="480"/>
        <v>0</v>
      </c>
      <c r="BE563" s="309">
        <f t="shared" si="481"/>
        <v>0</v>
      </c>
      <c r="BF563" s="306">
        <f>DailyMet!H547</f>
        <v>27.05</v>
      </c>
      <c r="BG563" s="306">
        <f>DailyMet!I547</f>
        <v>21.2</v>
      </c>
      <c r="BH563" s="306">
        <f t="shared" si="482"/>
        <v>27.05</v>
      </c>
      <c r="BI563" s="306">
        <f t="shared" si="483"/>
        <v>21.2</v>
      </c>
      <c r="BJ563" s="306">
        <f t="shared" si="484"/>
        <v>14.125</v>
      </c>
      <c r="BK563" s="306">
        <f t="shared" si="455"/>
        <v>0</v>
      </c>
      <c r="BL563" s="304">
        <f t="shared" si="485"/>
        <v>0</v>
      </c>
      <c r="BM563" s="304">
        <f t="shared" si="486"/>
        <v>14.125</v>
      </c>
      <c r="BN563" s="304">
        <f t="shared" si="503"/>
        <v>14.125</v>
      </c>
      <c r="BO563" s="306">
        <f t="shared" si="504"/>
        <v>0</v>
      </c>
      <c r="BP563" s="306"/>
    </row>
    <row r="564" spans="1:68">
      <c r="A564" s="299">
        <f t="shared" si="457"/>
        <v>0</v>
      </c>
      <c r="B564" s="300">
        <f t="shared" si="458"/>
        <v>38529</v>
      </c>
      <c r="C564" s="301" t="e">
        <f t="shared" si="487"/>
        <v>#N/A</v>
      </c>
      <c r="D564" s="301" t="e">
        <f t="shared" si="459"/>
        <v>#N/A</v>
      </c>
      <c r="E564" s="299">
        <f t="shared" si="460"/>
        <v>543</v>
      </c>
      <c r="F564" s="396">
        <f>Weather!M548</f>
        <v>0</v>
      </c>
      <c r="G564" s="301">
        <f>IF(Weather!C548="","",Weather!C548)</f>
        <v>4.4117594192807275</v>
      </c>
      <c r="H564" s="301">
        <f>IF(Weather!D548="","",Weather!D548)</f>
        <v>4.9307354305868794</v>
      </c>
      <c r="I564" s="502">
        <f>IF(Weather!E548="","",Weather!E548)</f>
        <v>4.9307354305868794</v>
      </c>
      <c r="J564" s="397">
        <f>IF(RnSplint!N227&lt;0,0,RnSplint!N227)</f>
        <v>13.058220665892636</v>
      </c>
      <c r="K564" s="302">
        <f t="shared" si="488"/>
        <v>0</v>
      </c>
      <c r="L564" s="303">
        <f t="shared" si="489"/>
        <v>38529</v>
      </c>
      <c r="M564" s="346" t="str">
        <f t="shared" si="450"/>
        <v/>
      </c>
      <c r="N564" s="304">
        <f t="shared" si="490"/>
        <v>0</v>
      </c>
      <c r="O564" s="304">
        <f t="shared" si="491"/>
        <v>0</v>
      </c>
      <c r="P564" s="304">
        <f t="shared" si="461"/>
        <v>0</v>
      </c>
      <c r="Q564" s="304">
        <f t="shared" si="462"/>
        <v>0.43081301558780427</v>
      </c>
      <c r="R564" s="304">
        <f t="shared" si="463"/>
        <v>0.43081301558780427</v>
      </c>
      <c r="S564" s="305" t="e">
        <f t="shared" si="492"/>
        <v>#N/A</v>
      </c>
      <c r="T564" s="304">
        <f t="shared" si="464"/>
        <v>0</v>
      </c>
      <c r="U564" s="304">
        <f t="shared" si="502"/>
        <v>0</v>
      </c>
      <c r="V564" s="305" t="e">
        <f t="shared" si="465"/>
        <v>#N/A</v>
      </c>
      <c r="W564" s="305" t="e">
        <f t="shared" si="493"/>
        <v>#N/A</v>
      </c>
      <c r="X564" s="304">
        <f t="shared" si="494"/>
        <v>0.43081301558780427</v>
      </c>
      <c r="Z564" s="304" t="str">
        <f t="shared" si="466"/>
        <v/>
      </c>
      <c r="AA564" s="305" t="e">
        <f t="shared" si="467"/>
        <v>#N/A</v>
      </c>
      <c r="AB564" s="304">
        <f t="shared" si="468"/>
        <v>2.1242249999167639</v>
      </c>
      <c r="AC564" s="304" t="str">
        <f t="shared" si="495"/>
        <v/>
      </c>
      <c r="AD564" s="306">
        <f t="shared" si="469"/>
        <v>0</v>
      </c>
      <c r="AE564" s="307">
        <f t="shared" si="496"/>
        <v>2.1242249999167639</v>
      </c>
      <c r="AF564" s="308" t="e">
        <f t="shared" si="505"/>
        <v>#N/A</v>
      </c>
      <c r="AG564" s="306">
        <f t="shared" si="497"/>
        <v>985.05670132053149</v>
      </c>
      <c r="AH564" s="306">
        <f t="shared" si="470"/>
        <v>0</v>
      </c>
      <c r="AI564" s="306">
        <f t="shared" si="498"/>
        <v>0</v>
      </c>
      <c r="AJ564" s="306">
        <f t="shared" si="499"/>
        <v>0</v>
      </c>
      <c r="AK564" s="306">
        <f t="shared" si="471"/>
        <v>0</v>
      </c>
      <c r="AL564" s="306">
        <f t="shared" si="500"/>
        <v>0</v>
      </c>
      <c r="AM564" s="306">
        <f t="shared" si="472"/>
        <v>0</v>
      </c>
      <c r="AN564" s="306"/>
      <c r="AO564" s="304" t="str">
        <f t="shared" si="473"/>
        <v/>
      </c>
      <c r="AP564" s="304" t="str">
        <f t="shared" si="501"/>
        <v/>
      </c>
      <c r="AQ564" s="305" t="e">
        <f t="shared" si="451"/>
        <v>#N/A</v>
      </c>
      <c r="AR564" s="304" t="str">
        <f t="shared" si="452"/>
        <v/>
      </c>
      <c r="AS564" s="306">
        <f t="shared" si="474"/>
        <v>0</v>
      </c>
      <c r="AT564" s="307" t="e">
        <f t="shared" si="453"/>
        <v>#N/A</v>
      </c>
      <c r="AU564" s="307" t="e">
        <f t="shared" si="454"/>
        <v>#N/A</v>
      </c>
      <c r="AV564" s="304">
        <f t="shared" si="456"/>
        <v>4.9307354305868794</v>
      </c>
      <c r="AW564" s="309">
        <f t="shared" si="475"/>
        <v>35.684214837797278</v>
      </c>
      <c r="AX564" s="306">
        <f>IF(ISERROR(Weather!M548),#N/A,Weather!M548)</f>
        <v>0</v>
      </c>
      <c r="AY564" s="310">
        <f t="shared" si="476"/>
        <v>8</v>
      </c>
      <c r="AZ564" s="309">
        <f t="shared" si="477"/>
        <v>0.43081301558780427</v>
      </c>
      <c r="BA564" s="309">
        <f t="shared" si="478"/>
        <v>557.66846771042856</v>
      </c>
      <c r="BB564" s="311">
        <f>Irrig!H566</f>
        <v>0</v>
      </c>
      <c r="BC564" s="310">
        <f t="shared" si="479"/>
        <v>0</v>
      </c>
      <c r="BD564" s="309">
        <f t="shared" si="480"/>
        <v>0</v>
      </c>
      <c r="BE564" s="309">
        <f t="shared" si="481"/>
        <v>0</v>
      </c>
      <c r="BF564" s="306">
        <f>DailyMet!H548</f>
        <v>25.31</v>
      </c>
      <c r="BG564" s="306">
        <f>DailyMet!I548</f>
        <v>20.5</v>
      </c>
      <c r="BH564" s="306">
        <f t="shared" si="482"/>
        <v>25.31</v>
      </c>
      <c r="BI564" s="306">
        <f t="shared" si="483"/>
        <v>20.5</v>
      </c>
      <c r="BJ564" s="306">
        <f t="shared" si="484"/>
        <v>12.905000000000001</v>
      </c>
      <c r="BK564" s="306">
        <f t="shared" si="455"/>
        <v>0</v>
      </c>
      <c r="BL564" s="304">
        <f t="shared" si="485"/>
        <v>0</v>
      </c>
      <c r="BM564" s="304">
        <f t="shared" si="486"/>
        <v>12.905000000000001</v>
      </c>
      <c r="BN564" s="304">
        <f t="shared" si="503"/>
        <v>12.905000000000001</v>
      </c>
      <c r="BO564" s="306">
        <f t="shared" si="504"/>
        <v>0</v>
      </c>
      <c r="BP564" s="306"/>
    </row>
    <row r="565" spans="1:68">
      <c r="A565" s="299">
        <f t="shared" si="457"/>
        <v>0</v>
      </c>
      <c r="B565" s="300">
        <f t="shared" si="458"/>
        <v>38530</v>
      </c>
      <c r="C565" s="301" t="e">
        <f t="shared" si="487"/>
        <v>#N/A</v>
      </c>
      <c r="D565" s="301" t="e">
        <f t="shared" si="459"/>
        <v>#N/A</v>
      </c>
      <c r="E565" s="299">
        <f t="shared" si="460"/>
        <v>544</v>
      </c>
      <c r="F565" s="396">
        <f>Weather!M549</f>
        <v>18.600000000000001</v>
      </c>
      <c r="G565" s="301">
        <f>IF(Weather!C549="","",Weather!C549)</f>
        <v>4.4220686076783746</v>
      </c>
      <c r="H565" s="301">
        <f>IF(Weather!D549="","",Weather!D549)</f>
        <v>4.4419396786312708</v>
      </c>
      <c r="I565" s="502">
        <f>IF(Weather!E549="","",Weather!E549)</f>
        <v>4.4419396786312708</v>
      </c>
      <c r="J565" s="397">
        <f>IF(RnSplint!N228&lt;0,0,RnSplint!N228)</f>
        <v>14.018324237989555</v>
      </c>
      <c r="K565" s="302">
        <f t="shared" si="488"/>
        <v>0</v>
      </c>
      <c r="L565" s="303">
        <f t="shared" si="489"/>
        <v>38530</v>
      </c>
      <c r="M565" s="346" t="str">
        <f t="shared" ref="M565:M598" si="506">IF(MONTH(L566)&gt;MONTH(L565),MONTH(L565),"")</f>
        <v/>
      </c>
      <c r="N565" s="304">
        <f t="shared" si="490"/>
        <v>0</v>
      </c>
      <c r="O565" s="304">
        <f t="shared" si="491"/>
        <v>0</v>
      </c>
      <c r="P565" s="304">
        <f t="shared" si="461"/>
        <v>0</v>
      </c>
      <c r="Q565" s="304">
        <f t="shared" si="462"/>
        <v>1.2</v>
      </c>
      <c r="R565" s="304">
        <f t="shared" si="463"/>
        <v>1.2</v>
      </c>
      <c r="S565" s="305" t="e">
        <f t="shared" si="492"/>
        <v>#N/A</v>
      </c>
      <c r="T565" s="304">
        <f t="shared" si="464"/>
        <v>0</v>
      </c>
      <c r="U565" s="304">
        <f t="shared" si="502"/>
        <v>0</v>
      </c>
      <c r="V565" s="305" t="e">
        <f t="shared" si="465"/>
        <v>#N/A</v>
      </c>
      <c r="W565" s="305" t="e">
        <f t="shared" si="493"/>
        <v>#N/A</v>
      </c>
      <c r="X565" s="304">
        <f t="shared" si="494"/>
        <v>1.2</v>
      </c>
      <c r="Z565" s="304" t="str">
        <f t="shared" si="466"/>
        <v/>
      </c>
      <c r="AA565" s="305" t="e">
        <f t="shared" si="467"/>
        <v>#N/A</v>
      </c>
      <c r="AB565" s="304">
        <f t="shared" si="468"/>
        <v>5.3303276143575244</v>
      </c>
      <c r="AC565" s="304" t="str">
        <f t="shared" si="495"/>
        <v/>
      </c>
      <c r="AD565" s="306">
        <f t="shared" si="469"/>
        <v>0</v>
      </c>
      <c r="AE565" s="307">
        <f t="shared" si="496"/>
        <v>5.3303276143575244</v>
      </c>
      <c r="AF565" s="308" t="e">
        <f t="shared" si="505"/>
        <v>#N/A</v>
      </c>
      <c r="AG565" s="306">
        <f t="shared" si="497"/>
        <v>989.49864099916272</v>
      </c>
      <c r="AH565" s="306">
        <f t="shared" si="470"/>
        <v>0</v>
      </c>
      <c r="AI565" s="306">
        <f t="shared" si="498"/>
        <v>0</v>
      </c>
      <c r="AJ565" s="306">
        <f t="shared" si="499"/>
        <v>0</v>
      </c>
      <c r="AK565" s="306">
        <f t="shared" si="471"/>
        <v>0</v>
      </c>
      <c r="AL565" s="306">
        <f t="shared" si="500"/>
        <v>0</v>
      </c>
      <c r="AM565" s="306">
        <f t="shared" si="472"/>
        <v>0</v>
      </c>
      <c r="AN565" s="306"/>
      <c r="AO565" s="304" t="str">
        <f t="shared" si="473"/>
        <v/>
      </c>
      <c r="AP565" s="304" t="str">
        <f t="shared" si="501"/>
        <v/>
      </c>
      <c r="AQ565" s="305" t="e">
        <f t="shared" ref="AQ565:AQ599" si="507">IF(AP565="",#N/A,AP565)</f>
        <v>#N/A</v>
      </c>
      <c r="AR565" s="304" t="str">
        <f t="shared" ref="AR565:AR598" si="508">IF(AP565="","",AP565*AV565)</f>
        <v/>
      </c>
      <c r="AS565" s="306">
        <f t="shared" si="474"/>
        <v>0</v>
      </c>
      <c r="AT565" s="307" t="e">
        <f t="shared" ref="AT565:AT598" si="509">IF(AR565="",#N/A,AR565)</f>
        <v>#N/A</v>
      </c>
      <c r="AU565" s="307" t="e">
        <f t="shared" ref="AU565:AU598" si="510">IF(AS565=0,#N/A,AS565)</f>
        <v>#N/A</v>
      </c>
      <c r="AV565" s="304">
        <f t="shared" si="456"/>
        <v>4.4419396786312708</v>
      </c>
      <c r="AW565" s="309">
        <f t="shared" si="475"/>
        <v>4.4419396786312708</v>
      </c>
      <c r="AX565" s="306">
        <f>IF(ISERROR(Weather!M549),#N/A,Weather!M549)</f>
        <v>18.600000000000001</v>
      </c>
      <c r="AY565" s="310">
        <f t="shared" si="476"/>
        <v>1</v>
      </c>
      <c r="AZ565" s="309">
        <f t="shared" si="477"/>
        <v>1.2</v>
      </c>
      <c r="BA565" s="309">
        <f t="shared" si="478"/>
        <v>562.11040738905979</v>
      </c>
      <c r="BB565" s="311">
        <f>Irrig!H567</f>
        <v>0</v>
      </c>
      <c r="BC565" s="310">
        <f t="shared" si="479"/>
        <v>0</v>
      </c>
      <c r="BD565" s="309">
        <f t="shared" si="480"/>
        <v>0</v>
      </c>
      <c r="BE565" s="309">
        <f t="shared" si="481"/>
        <v>0</v>
      </c>
      <c r="BF565" s="306">
        <f>DailyMet!H549</f>
        <v>25.77</v>
      </c>
      <c r="BG565" s="306">
        <f>DailyMet!I549</f>
        <v>17.399999999999999</v>
      </c>
      <c r="BH565" s="306">
        <f t="shared" si="482"/>
        <v>25.77</v>
      </c>
      <c r="BI565" s="306">
        <f t="shared" si="483"/>
        <v>17.399999999999999</v>
      </c>
      <c r="BJ565" s="306">
        <f t="shared" si="484"/>
        <v>11.585000000000001</v>
      </c>
      <c r="BK565" s="306">
        <f t="shared" si="455"/>
        <v>0</v>
      </c>
      <c r="BL565" s="304">
        <f t="shared" si="485"/>
        <v>0</v>
      </c>
      <c r="BM565" s="304">
        <f t="shared" si="486"/>
        <v>11.585000000000001</v>
      </c>
      <c r="BN565" s="304">
        <f t="shared" si="503"/>
        <v>11.585000000000001</v>
      </c>
      <c r="BO565" s="306">
        <f t="shared" si="504"/>
        <v>0</v>
      </c>
      <c r="BP565" s="306"/>
    </row>
    <row r="566" spans="1:68">
      <c r="A566" s="299">
        <f t="shared" si="457"/>
        <v>0</v>
      </c>
      <c r="B566" s="300">
        <f t="shared" si="458"/>
        <v>38531</v>
      </c>
      <c r="C566" s="301" t="e">
        <f t="shared" si="487"/>
        <v>#N/A</v>
      </c>
      <c r="D566" s="301" t="e">
        <f t="shared" si="459"/>
        <v>#N/A</v>
      </c>
      <c r="E566" s="299">
        <f t="shared" si="460"/>
        <v>545</v>
      </c>
      <c r="F566" s="396">
        <f>Weather!M550</f>
        <v>0.2</v>
      </c>
      <c r="G566" s="301">
        <f>IF(Weather!C550="","",Weather!C550)</f>
        <v>4.431128225507079</v>
      </c>
      <c r="H566" s="301">
        <f>IF(Weather!D550="","",Weather!D550)</f>
        <v>3.9969408725133637</v>
      </c>
      <c r="I566" s="502">
        <f>IF(Weather!E550="","",Weather!E550)</f>
        <v>3.9969408725133637</v>
      </c>
      <c r="J566" s="397">
        <f>IF(RnSplint!N229&lt;0,0,RnSplint!N229)</f>
        <v>14.992605273235418</v>
      </c>
      <c r="K566" s="302">
        <f t="shared" si="488"/>
        <v>0</v>
      </c>
      <c r="L566" s="303">
        <f t="shared" si="489"/>
        <v>38531</v>
      </c>
      <c r="M566" s="346" t="str">
        <f t="shared" si="506"/>
        <v/>
      </c>
      <c r="N566" s="304">
        <f t="shared" si="490"/>
        <v>0</v>
      </c>
      <c r="O566" s="304">
        <f t="shared" si="491"/>
        <v>0</v>
      </c>
      <c r="P566" s="304">
        <f t="shared" si="461"/>
        <v>0</v>
      </c>
      <c r="Q566" s="304">
        <f t="shared" si="462"/>
        <v>0.90657456308850248</v>
      </c>
      <c r="R566" s="304">
        <f t="shared" si="463"/>
        <v>0.90657456308850248</v>
      </c>
      <c r="S566" s="305" t="e">
        <f t="shared" si="492"/>
        <v>#N/A</v>
      </c>
      <c r="T566" s="304">
        <f t="shared" si="464"/>
        <v>0</v>
      </c>
      <c r="U566" s="304">
        <f t="shared" si="502"/>
        <v>0</v>
      </c>
      <c r="V566" s="305" t="e">
        <f t="shared" si="465"/>
        <v>#N/A</v>
      </c>
      <c r="W566" s="305" t="e">
        <f t="shared" si="493"/>
        <v>#N/A</v>
      </c>
      <c r="X566" s="304">
        <f t="shared" si="494"/>
        <v>0.90657456308850248</v>
      </c>
      <c r="Z566" s="304" t="str">
        <f t="shared" si="466"/>
        <v/>
      </c>
      <c r="AA566" s="305" t="e">
        <f t="shared" si="467"/>
        <v>#N/A</v>
      </c>
      <c r="AB566" s="304">
        <f t="shared" si="468"/>
        <v>3.6235249251893804</v>
      </c>
      <c r="AC566" s="304" t="str">
        <f t="shared" si="495"/>
        <v/>
      </c>
      <c r="AD566" s="306">
        <f t="shared" si="469"/>
        <v>0</v>
      </c>
      <c r="AE566" s="307">
        <f t="shared" si="496"/>
        <v>3.6235249251893804</v>
      </c>
      <c r="AF566" s="308" t="e">
        <f t="shared" si="505"/>
        <v>#N/A</v>
      </c>
      <c r="AG566" s="306">
        <f t="shared" si="497"/>
        <v>993.49558187167611</v>
      </c>
      <c r="AH566" s="306">
        <f t="shared" si="470"/>
        <v>0</v>
      </c>
      <c r="AI566" s="306">
        <f t="shared" si="498"/>
        <v>0</v>
      </c>
      <c r="AJ566" s="306">
        <f t="shared" si="499"/>
        <v>0</v>
      </c>
      <c r="AK566" s="306">
        <f t="shared" si="471"/>
        <v>0</v>
      </c>
      <c r="AL566" s="306">
        <f t="shared" si="500"/>
        <v>0</v>
      </c>
      <c r="AM566" s="306">
        <f t="shared" si="472"/>
        <v>0</v>
      </c>
      <c r="AN566" s="306"/>
      <c r="AO566" s="304" t="str">
        <f t="shared" si="473"/>
        <v/>
      </c>
      <c r="AP566" s="304" t="str">
        <f t="shared" si="501"/>
        <v/>
      </c>
      <c r="AQ566" s="305" t="e">
        <f t="shared" si="507"/>
        <v>#N/A</v>
      </c>
      <c r="AR566" s="304" t="str">
        <f t="shared" si="508"/>
        <v/>
      </c>
      <c r="AS566" s="306">
        <f t="shared" si="474"/>
        <v>0</v>
      </c>
      <c r="AT566" s="307" t="e">
        <f t="shared" si="509"/>
        <v>#N/A</v>
      </c>
      <c r="AU566" s="307" t="e">
        <f t="shared" si="510"/>
        <v>#N/A</v>
      </c>
      <c r="AV566" s="304">
        <f t="shared" si="456"/>
        <v>3.9969408725133637</v>
      </c>
      <c r="AW566" s="309">
        <f t="shared" si="475"/>
        <v>8.438880551144635</v>
      </c>
      <c r="AX566" s="306">
        <f>IF(ISERROR(Weather!M550),#N/A,Weather!M550)</f>
        <v>0.2</v>
      </c>
      <c r="AY566" s="310">
        <f t="shared" si="476"/>
        <v>2</v>
      </c>
      <c r="AZ566" s="309">
        <f t="shared" si="477"/>
        <v>0.90657456308850248</v>
      </c>
      <c r="BA566" s="309">
        <f t="shared" si="478"/>
        <v>566.10734826157318</v>
      </c>
      <c r="BB566" s="311">
        <f>Irrig!H568</f>
        <v>0</v>
      </c>
      <c r="BC566" s="310">
        <f t="shared" si="479"/>
        <v>0</v>
      </c>
      <c r="BD566" s="309">
        <f t="shared" si="480"/>
        <v>0</v>
      </c>
      <c r="BE566" s="309">
        <f t="shared" si="481"/>
        <v>0</v>
      </c>
      <c r="BF566" s="306">
        <f>DailyMet!H550</f>
        <v>26.47</v>
      </c>
      <c r="BG566" s="306">
        <f>DailyMet!I550</f>
        <v>17.3</v>
      </c>
      <c r="BH566" s="306">
        <f t="shared" si="482"/>
        <v>26.47</v>
      </c>
      <c r="BI566" s="306">
        <f t="shared" si="483"/>
        <v>17.3</v>
      </c>
      <c r="BJ566" s="306">
        <f t="shared" si="484"/>
        <v>11.884999999999998</v>
      </c>
      <c r="BK566" s="306">
        <f t="shared" si="455"/>
        <v>0</v>
      </c>
      <c r="BL566" s="304">
        <f t="shared" si="485"/>
        <v>0</v>
      </c>
      <c r="BM566" s="304">
        <f t="shared" si="486"/>
        <v>11.884999999999998</v>
      </c>
      <c r="BN566" s="304">
        <f t="shared" si="503"/>
        <v>11.884999999999998</v>
      </c>
      <c r="BO566" s="306">
        <f t="shared" si="504"/>
        <v>0</v>
      </c>
      <c r="BP566" s="306"/>
    </row>
    <row r="567" spans="1:68">
      <c r="A567" s="299">
        <f t="shared" si="457"/>
        <v>0</v>
      </c>
      <c r="B567" s="300">
        <f t="shared" si="458"/>
        <v>38532</v>
      </c>
      <c r="C567" s="301" t="e">
        <f t="shared" si="487"/>
        <v>#N/A</v>
      </c>
      <c r="D567" s="301" t="e">
        <f t="shared" si="459"/>
        <v>#N/A</v>
      </c>
      <c r="E567" s="299">
        <f t="shared" si="460"/>
        <v>546</v>
      </c>
      <c r="F567" s="396">
        <f>Weather!M551</f>
        <v>0</v>
      </c>
      <c r="G567" s="301">
        <f>IF(Weather!C551="","",Weather!C551)</f>
        <v>4.4389677905196265</v>
      </c>
      <c r="H567" s="301">
        <f>IF(Weather!D551="","",Weather!D551)</f>
        <v>3.6508180022650345</v>
      </c>
      <c r="I567" s="502">
        <f>IF(Weather!E551="","",Weather!E551)</f>
        <v>3.6508180022650345</v>
      </c>
      <c r="J567" s="397">
        <f>IF(RnSplint!N230&lt;0,0,RnSplint!N230)</f>
        <v>15.97759534171256</v>
      </c>
      <c r="K567" s="302">
        <f t="shared" si="488"/>
        <v>0</v>
      </c>
      <c r="L567" s="303">
        <f t="shared" si="489"/>
        <v>38532</v>
      </c>
      <c r="M567" s="346" t="str">
        <f t="shared" si="506"/>
        <v/>
      </c>
      <c r="N567" s="304">
        <f t="shared" si="490"/>
        <v>0</v>
      </c>
      <c r="O567" s="304">
        <f t="shared" si="491"/>
        <v>0</v>
      </c>
      <c r="P567" s="304">
        <f t="shared" si="461"/>
        <v>0</v>
      </c>
      <c r="Q567" s="304">
        <f t="shared" si="462"/>
        <v>0.75307828159721246</v>
      </c>
      <c r="R567" s="304">
        <f t="shared" si="463"/>
        <v>0.75307828159721246</v>
      </c>
      <c r="S567" s="305" t="e">
        <f t="shared" si="492"/>
        <v>#N/A</v>
      </c>
      <c r="T567" s="304">
        <f t="shared" si="464"/>
        <v>0</v>
      </c>
      <c r="U567" s="304">
        <f t="shared" si="502"/>
        <v>0</v>
      </c>
      <c r="V567" s="305" t="e">
        <f t="shared" si="465"/>
        <v>#N/A</v>
      </c>
      <c r="W567" s="305" t="e">
        <f t="shared" si="493"/>
        <v>#N/A</v>
      </c>
      <c r="X567" s="304">
        <f t="shared" si="494"/>
        <v>0.75307828159721246</v>
      </c>
      <c r="Z567" s="304" t="str">
        <f t="shared" si="466"/>
        <v/>
      </c>
      <c r="AA567" s="305" t="e">
        <f t="shared" si="467"/>
        <v>#N/A</v>
      </c>
      <c r="AB567" s="304">
        <f t="shared" si="468"/>
        <v>2.7493517475699205</v>
      </c>
      <c r="AC567" s="304" t="str">
        <f t="shared" si="495"/>
        <v/>
      </c>
      <c r="AD567" s="306">
        <f t="shared" si="469"/>
        <v>0</v>
      </c>
      <c r="AE567" s="307">
        <f t="shared" si="496"/>
        <v>2.7493517475699205</v>
      </c>
      <c r="AF567" s="308" t="e">
        <f t="shared" si="505"/>
        <v>#N/A</v>
      </c>
      <c r="AG567" s="306">
        <f t="shared" si="497"/>
        <v>997.14639987394116</v>
      </c>
      <c r="AH567" s="306">
        <f t="shared" si="470"/>
        <v>0</v>
      </c>
      <c r="AI567" s="306">
        <f t="shared" si="498"/>
        <v>0</v>
      </c>
      <c r="AJ567" s="306">
        <f t="shared" si="499"/>
        <v>0</v>
      </c>
      <c r="AK567" s="306">
        <f t="shared" si="471"/>
        <v>0</v>
      </c>
      <c r="AL567" s="306">
        <f t="shared" si="500"/>
        <v>0</v>
      </c>
      <c r="AM567" s="306">
        <f t="shared" si="472"/>
        <v>0</v>
      </c>
      <c r="AN567" s="306"/>
      <c r="AO567" s="304" t="str">
        <f t="shared" si="473"/>
        <v/>
      </c>
      <c r="AP567" s="304" t="str">
        <f t="shared" si="501"/>
        <v/>
      </c>
      <c r="AQ567" s="305" t="e">
        <f t="shared" si="507"/>
        <v>#N/A</v>
      </c>
      <c r="AR567" s="304" t="str">
        <f t="shared" si="508"/>
        <v/>
      </c>
      <c r="AS567" s="306">
        <f t="shared" si="474"/>
        <v>0</v>
      </c>
      <c r="AT567" s="307" t="e">
        <f t="shared" si="509"/>
        <v>#N/A</v>
      </c>
      <c r="AU567" s="307" t="e">
        <f t="shared" si="510"/>
        <v>#N/A</v>
      </c>
      <c r="AV567" s="304">
        <f t="shared" si="456"/>
        <v>3.6508180022650345</v>
      </c>
      <c r="AW567" s="309">
        <f t="shared" si="475"/>
        <v>12.089698553409669</v>
      </c>
      <c r="AX567" s="306">
        <f>IF(ISERROR(Weather!M551),#N/A,Weather!M551)</f>
        <v>0</v>
      </c>
      <c r="AY567" s="310">
        <f t="shared" si="476"/>
        <v>3</v>
      </c>
      <c r="AZ567" s="309">
        <f t="shared" si="477"/>
        <v>0.75307828159721246</v>
      </c>
      <c r="BA567" s="309">
        <f t="shared" si="478"/>
        <v>569.75816626383823</v>
      </c>
      <c r="BB567" s="311">
        <f>Irrig!H569</f>
        <v>0</v>
      </c>
      <c r="BC567" s="310">
        <f t="shared" si="479"/>
        <v>0</v>
      </c>
      <c r="BD567" s="309">
        <f t="shared" si="480"/>
        <v>0</v>
      </c>
      <c r="BE567" s="309">
        <f t="shared" si="481"/>
        <v>0</v>
      </c>
      <c r="BF567" s="306">
        <f>DailyMet!H551</f>
        <v>28.28</v>
      </c>
      <c r="BG567" s="306">
        <f>DailyMet!I551</f>
        <v>19.2</v>
      </c>
      <c r="BH567" s="306">
        <f t="shared" si="482"/>
        <v>28.28</v>
      </c>
      <c r="BI567" s="306">
        <f t="shared" si="483"/>
        <v>19.2</v>
      </c>
      <c r="BJ567" s="306">
        <f t="shared" si="484"/>
        <v>13.740000000000002</v>
      </c>
      <c r="BK567" s="306">
        <f t="shared" si="455"/>
        <v>0</v>
      </c>
      <c r="BL567" s="304">
        <f t="shared" si="485"/>
        <v>0</v>
      </c>
      <c r="BM567" s="304">
        <f t="shared" si="486"/>
        <v>13.740000000000002</v>
      </c>
      <c r="BN567" s="304">
        <f t="shared" si="503"/>
        <v>13.740000000000002</v>
      </c>
      <c r="BO567" s="306">
        <f t="shared" si="504"/>
        <v>0</v>
      </c>
      <c r="BP567" s="306"/>
    </row>
    <row r="568" spans="1:68">
      <c r="A568" s="299">
        <f t="shared" si="457"/>
        <v>0</v>
      </c>
      <c r="B568" s="300">
        <f t="shared" si="458"/>
        <v>38533</v>
      </c>
      <c r="C568" s="301" t="e">
        <f t="shared" si="487"/>
        <v>#N/A</v>
      </c>
      <c r="D568" s="301" t="e">
        <f t="shared" si="459"/>
        <v>#N/A</v>
      </c>
      <c r="E568" s="299">
        <f t="shared" si="460"/>
        <v>547</v>
      </c>
      <c r="F568" s="396">
        <f>Weather!M552</f>
        <v>0</v>
      </c>
      <c r="G568" s="301">
        <f>IF(Weather!C552="","",Weather!C552)</f>
        <v>4.4456168204688007</v>
      </c>
      <c r="H568" s="301">
        <f>IF(Weather!D552="","",Weather!D552)</f>
        <v>5.0784150259928538</v>
      </c>
      <c r="I568" s="502">
        <f>IF(Weather!E552="","",Weather!E552)</f>
        <v>5.0784150259928538</v>
      </c>
      <c r="J568" s="397">
        <f>IF(RnSplint!N231&lt;0,0,RnSplint!N231)</f>
        <v>16.969826013503333</v>
      </c>
      <c r="K568" s="302">
        <f t="shared" si="488"/>
        <v>0</v>
      </c>
      <c r="L568" s="303">
        <f t="shared" si="489"/>
        <v>38533</v>
      </c>
      <c r="M568" s="346">
        <f t="shared" si="506"/>
        <v>6</v>
      </c>
      <c r="N568" s="304">
        <f t="shared" si="490"/>
        <v>0</v>
      </c>
      <c r="O568" s="304">
        <f t="shared" si="491"/>
        <v>0</v>
      </c>
      <c r="P568" s="304">
        <f t="shared" si="461"/>
        <v>0</v>
      </c>
      <c r="Q568" s="304">
        <f t="shared" si="462"/>
        <v>0.62841950525780454</v>
      </c>
      <c r="R568" s="304">
        <f t="shared" si="463"/>
        <v>0.62841950525780454</v>
      </c>
      <c r="S568" s="305" t="e">
        <f t="shared" si="492"/>
        <v>#N/A</v>
      </c>
      <c r="T568" s="304">
        <f t="shared" si="464"/>
        <v>0</v>
      </c>
      <c r="U568" s="304">
        <f t="shared" si="502"/>
        <v>0</v>
      </c>
      <c r="V568" s="305" t="e">
        <f t="shared" si="465"/>
        <v>#N/A</v>
      </c>
      <c r="W568" s="305" t="e">
        <f t="shared" si="493"/>
        <v>#N/A</v>
      </c>
      <c r="X568" s="304">
        <f t="shared" si="494"/>
        <v>0.62841950525780454</v>
      </c>
      <c r="Z568" s="304" t="str">
        <f t="shared" si="466"/>
        <v/>
      </c>
      <c r="AA568" s="305" t="e">
        <f t="shared" si="467"/>
        <v>#N/A</v>
      </c>
      <c r="AB568" s="304">
        <f t="shared" si="468"/>
        <v>3.1913750581282296</v>
      </c>
      <c r="AC568" s="304" t="str">
        <f t="shared" si="495"/>
        <v/>
      </c>
      <c r="AD568" s="306">
        <f t="shared" si="469"/>
        <v>0</v>
      </c>
      <c r="AE568" s="307">
        <f t="shared" si="496"/>
        <v>3.1913750581282296</v>
      </c>
      <c r="AF568" s="308" t="e">
        <f t="shared" si="505"/>
        <v>#N/A</v>
      </c>
      <c r="AG568" s="306">
        <f t="shared" si="497"/>
        <v>1002.224814899934</v>
      </c>
      <c r="AH568" s="306">
        <f t="shared" si="470"/>
        <v>0</v>
      </c>
      <c r="AI568" s="306">
        <f t="shared" si="498"/>
        <v>0</v>
      </c>
      <c r="AJ568" s="306">
        <f t="shared" si="499"/>
        <v>0</v>
      </c>
      <c r="AK568" s="306">
        <f t="shared" si="471"/>
        <v>0</v>
      </c>
      <c r="AL568" s="306">
        <f t="shared" si="500"/>
        <v>0</v>
      </c>
      <c r="AM568" s="306">
        <f t="shared" si="472"/>
        <v>0</v>
      </c>
      <c r="AN568" s="306"/>
      <c r="AO568" s="304" t="str">
        <f t="shared" si="473"/>
        <v/>
      </c>
      <c r="AP568" s="304" t="str">
        <f t="shared" si="501"/>
        <v/>
      </c>
      <c r="AQ568" s="305" t="e">
        <f t="shared" si="507"/>
        <v>#N/A</v>
      </c>
      <c r="AR568" s="304" t="str">
        <f t="shared" si="508"/>
        <v/>
      </c>
      <c r="AS568" s="306">
        <f t="shared" si="474"/>
        <v>0</v>
      </c>
      <c r="AT568" s="307" t="e">
        <f t="shared" si="509"/>
        <v>#N/A</v>
      </c>
      <c r="AU568" s="307" t="e">
        <f t="shared" si="510"/>
        <v>#N/A</v>
      </c>
      <c r="AV568" s="304">
        <f t="shared" si="456"/>
        <v>5.0784150259928538</v>
      </c>
      <c r="AW568" s="309">
        <f t="shared" si="475"/>
        <v>17.168113579402522</v>
      </c>
      <c r="AX568" s="306">
        <f>IF(ISERROR(Weather!M552),#N/A,Weather!M552)</f>
        <v>0</v>
      </c>
      <c r="AY568" s="310">
        <f t="shared" si="476"/>
        <v>4</v>
      </c>
      <c r="AZ568" s="309">
        <f t="shared" si="477"/>
        <v>0.62841950525780454</v>
      </c>
      <c r="BA568" s="309">
        <f t="shared" si="478"/>
        <v>574.83658128983109</v>
      </c>
      <c r="BB568" s="311">
        <f>Irrig!H570</f>
        <v>0</v>
      </c>
      <c r="BC568" s="310">
        <f t="shared" si="479"/>
        <v>0</v>
      </c>
      <c r="BD568" s="309">
        <f t="shared" si="480"/>
        <v>0</v>
      </c>
      <c r="BE568" s="309">
        <f t="shared" si="481"/>
        <v>0</v>
      </c>
      <c r="BF568" s="306">
        <f>DailyMet!H552</f>
        <v>28.6</v>
      </c>
      <c r="BG568" s="306">
        <f>DailyMet!I552</f>
        <v>20.8</v>
      </c>
      <c r="BH568" s="306">
        <f t="shared" si="482"/>
        <v>28.6</v>
      </c>
      <c r="BI568" s="306">
        <f t="shared" si="483"/>
        <v>20.8</v>
      </c>
      <c r="BJ568" s="306">
        <f t="shared" si="484"/>
        <v>14.700000000000003</v>
      </c>
      <c r="BK568" s="306">
        <f t="shared" si="455"/>
        <v>0</v>
      </c>
      <c r="BL568" s="304">
        <f t="shared" si="485"/>
        <v>0</v>
      </c>
      <c r="BM568" s="304">
        <f t="shared" si="486"/>
        <v>14.700000000000003</v>
      </c>
      <c r="BN568" s="304">
        <f t="shared" si="503"/>
        <v>14.700000000000003</v>
      </c>
      <c r="BO568" s="306">
        <f t="shared" si="504"/>
        <v>0</v>
      </c>
      <c r="BP568" s="306"/>
    </row>
    <row r="569" spans="1:68">
      <c r="A569" s="299">
        <f t="shared" si="457"/>
        <v>0</v>
      </c>
      <c r="B569" s="300">
        <f t="shared" si="458"/>
        <v>38534</v>
      </c>
      <c r="C569" s="301" t="e">
        <f t="shared" si="487"/>
        <v>#N/A</v>
      </c>
      <c r="D569" s="301" t="e">
        <f t="shared" si="459"/>
        <v>#N/A</v>
      </c>
      <c r="E569" s="299">
        <f t="shared" si="460"/>
        <v>548</v>
      </c>
      <c r="F569" s="396">
        <f>Weather!M553</f>
        <v>0</v>
      </c>
      <c r="G569" s="301">
        <f>IF(Weather!C553="","",Weather!C553)</f>
        <v>4.4511048331073866</v>
      </c>
      <c r="H569" s="301">
        <f>IF(Weather!D553="","",Weather!D553)</f>
        <v>5.1603088288052135</v>
      </c>
      <c r="I569" s="502">
        <f>IF(Weather!E553="","",Weather!E553)</f>
        <v>5.1603088288052135</v>
      </c>
      <c r="J569" s="397">
        <f>IF(RnSplint!N232&lt;0,0,RnSplint!N232)</f>
        <v>17.96582885869007</v>
      </c>
      <c r="K569" s="302">
        <f t="shared" si="488"/>
        <v>0</v>
      </c>
      <c r="L569" s="303">
        <f t="shared" si="489"/>
        <v>38534</v>
      </c>
      <c r="M569" s="346" t="str">
        <f t="shared" si="506"/>
        <v/>
      </c>
      <c r="N569" s="304">
        <f t="shared" si="490"/>
        <v>0</v>
      </c>
      <c r="O569" s="304">
        <f t="shared" si="491"/>
        <v>0</v>
      </c>
      <c r="P569" s="304">
        <f t="shared" si="461"/>
        <v>0</v>
      </c>
      <c r="Q569" s="304">
        <f t="shared" si="462"/>
        <v>0.54872627744192404</v>
      </c>
      <c r="R569" s="304">
        <f t="shared" si="463"/>
        <v>0.54872627744192404</v>
      </c>
      <c r="S569" s="305" t="e">
        <f t="shared" si="492"/>
        <v>#N/A</v>
      </c>
      <c r="T569" s="304">
        <f t="shared" si="464"/>
        <v>0</v>
      </c>
      <c r="U569" s="304">
        <f t="shared" si="502"/>
        <v>0</v>
      </c>
      <c r="V569" s="305" t="e">
        <f t="shared" si="465"/>
        <v>#N/A</v>
      </c>
      <c r="W569" s="305" t="e">
        <f t="shared" si="493"/>
        <v>#N/A</v>
      </c>
      <c r="X569" s="304">
        <f t="shared" si="494"/>
        <v>0.54872627744192404</v>
      </c>
      <c r="Z569" s="304" t="str">
        <f t="shared" si="466"/>
        <v/>
      </c>
      <c r="AA569" s="305" t="e">
        <f t="shared" si="467"/>
        <v>#N/A</v>
      </c>
      <c r="AB569" s="304">
        <f t="shared" si="468"/>
        <v>2.8315970540809796</v>
      </c>
      <c r="AC569" s="304" t="str">
        <f t="shared" si="495"/>
        <v/>
      </c>
      <c r="AD569" s="306">
        <f t="shared" si="469"/>
        <v>0</v>
      </c>
      <c r="AE569" s="307">
        <f t="shared" si="496"/>
        <v>2.8315970540809796</v>
      </c>
      <c r="AF569" s="308" t="e">
        <f t="shared" si="505"/>
        <v>#N/A</v>
      </c>
      <c r="AG569" s="306">
        <f t="shared" si="497"/>
        <v>1007.3851237287392</v>
      </c>
      <c r="AH569" s="306">
        <f t="shared" si="470"/>
        <v>0</v>
      </c>
      <c r="AI569" s="306">
        <f t="shared" si="498"/>
        <v>0</v>
      </c>
      <c r="AJ569" s="306">
        <f t="shared" si="499"/>
        <v>0</v>
      </c>
      <c r="AK569" s="306">
        <f t="shared" si="471"/>
        <v>0</v>
      </c>
      <c r="AL569" s="306">
        <f t="shared" si="500"/>
        <v>0</v>
      </c>
      <c r="AM569" s="306">
        <f t="shared" si="472"/>
        <v>0</v>
      </c>
      <c r="AN569" s="306"/>
      <c r="AO569" s="304" t="str">
        <f t="shared" si="473"/>
        <v/>
      </c>
      <c r="AP569" s="304" t="str">
        <f t="shared" si="501"/>
        <v/>
      </c>
      <c r="AQ569" s="305" t="e">
        <f t="shared" si="507"/>
        <v>#N/A</v>
      </c>
      <c r="AR569" s="304" t="str">
        <f t="shared" si="508"/>
        <v/>
      </c>
      <c r="AS569" s="306">
        <f t="shared" si="474"/>
        <v>0</v>
      </c>
      <c r="AT569" s="307" t="e">
        <f t="shared" si="509"/>
        <v>#N/A</v>
      </c>
      <c r="AU569" s="307" t="e">
        <f t="shared" si="510"/>
        <v>#N/A</v>
      </c>
      <c r="AV569" s="304">
        <f t="shared" si="456"/>
        <v>5.1603088288052135</v>
      </c>
      <c r="AW569" s="309">
        <f t="shared" si="475"/>
        <v>22.328422408207736</v>
      </c>
      <c r="AX569" s="306">
        <f>IF(ISERROR(Weather!M553),#N/A,Weather!M553)</f>
        <v>0</v>
      </c>
      <c r="AY569" s="310">
        <f t="shared" si="476"/>
        <v>5</v>
      </c>
      <c r="AZ569" s="309">
        <f t="shared" si="477"/>
        <v>0.54872627744192404</v>
      </c>
      <c r="BA569" s="309">
        <f t="shared" si="478"/>
        <v>579.99689011863632</v>
      </c>
      <c r="BB569" s="311">
        <f>Irrig!H571</f>
        <v>0</v>
      </c>
      <c r="BC569" s="310">
        <f t="shared" si="479"/>
        <v>0</v>
      </c>
      <c r="BD569" s="309">
        <f t="shared" si="480"/>
        <v>0</v>
      </c>
      <c r="BE569" s="309">
        <f t="shared" si="481"/>
        <v>0</v>
      </c>
      <c r="BF569" s="306">
        <f>DailyMet!H553</f>
        <v>29.88</v>
      </c>
      <c r="BG569" s="306">
        <f>DailyMet!I553</f>
        <v>20.399999999999999</v>
      </c>
      <c r="BH569" s="306">
        <f t="shared" si="482"/>
        <v>29.88</v>
      </c>
      <c r="BI569" s="306">
        <f t="shared" si="483"/>
        <v>20.399999999999999</v>
      </c>
      <c r="BJ569" s="306">
        <f t="shared" si="484"/>
        <v>15.14</v>
      </c>
      <c r="BK569" s="306">
        <f t="shared" si="455"/>
        <v>0</v>
      </c>
      <c r="BL569" s="304">
        <f t="shared" si="485"/>
        <v>0</v>
      </c>
      <c r="BM569" s="304">
        <f t="shared" si="486"/>
        <v>15.14</v>
      </c>
      <c r="BN569" s="304">
        <f t="shared" si="503"/>
        <v>15.14</v>
      </c>
      <c r="BO569" s="306">
        <f t="shared" si="504"/>
        <v>0</v>
      </c>
      <c r="BP569" s="306"/>
    </row>
    <row r="570" spans="1:68">
      <c r="A570" s="299">
        <f t="shared" si="457"/>
        <v>0</v>
      </c>
      <c r="B570" s="300">
        <f t="shared" si="458"/>
        <v>38535</v>
      </c>
      <c r="C570" s="301" t="e">
        <f t="shared" si="487"/>
        <v>#N/A</v>
      </c>
      <c r="D570" s="301" t="e">
        <f t="shared" si="459"/>
        <v>#N/A</v>
      </c>
      <c r="E570" s="299">
        <f t="shared" si="460"/>
        <v>549</v>
      </c>
      <c r="F570" s="396">
        <f>Weather!M554</f>
        <v>0</v>
      </c>
      <c r="G570" s="301">
        <f>IF(Weather!C554="","",Weather!C554)</f>
        <v>4.4554613461881694</v>
      </c>
      <c r="H570" s="301">
        <f>IF(Weather!D554="","",Weather!D554)</f>
        <v>5.3632519936455187</v>
      </c>
      <c r="I570" s="502">
        <f>IF(Weather!E554="","",Weather!E554)</f>
        <v>5.3632519936455187</v>
      </c>
      <c r="J570" s="397">
        <f>IF(RnSplint!N233&lt;0,0,RnSplint!N233)</f>
        <v>18.962135447355116</v>
      </c>
      <c r="K570" s="302">
        <f t="shared" si="488"/>
        <v>0</v>
      </c>
      <c r="L570" s="303">
        <f t="shared" si="489"/>
        <v>38535</v>
      </c>
      <c r="M570" s="346" t="str">
        <f t="shared" si="506"/>
        <v/>
      </c>
      <c r="N570" s="304">
        <f t="shared" si="490"/>
        <v>0</v>
      </c>
      <c r="O570" s="304">
        <f t="shared" si="491"/>
        <v>0</v>
      </c>
      <c r="P570" s="304">
        <f t="shared" si="461"/>
        <v>0</v>
      </c>
      <c r="Q570" s="304">
        <f t="shared" si="462"/>
        <v>0.49103710527610306</v>
      </c>
      <c r="R570" s="304">
        <f t="shared" si="463"/>
        <v>0.49103710527610306</v>
      </c>
      <c r="S570" s="305" t="e">
        <f t="shared" si="492"/>
        <v>#N/A</v>
      </c>
      <c r="T570" s="304">
        <f t="shared" si="464"/>
        <v>0</v>
      </c>
      <c r="U570" s="304">
        <f t="shared" si="502"/>
        <v>0</v>
      </c>
      <c r="V570" s="305" t="e">
        <f t="shared" si="465"/>
        <v>#N/A</v>
      </c>
      <c r="W570" s="305" t="e">
        <f t="shared" si="493"/>
        <v>#N/A</v>
      </c>
      <c r="X570" s="304">
        <f t="shared" si="494"/>
        <v>0.49103710527610306</v>
      </c>
      <c r="Z570" s="304" t="str">
        <f t="shared" si="466"/>
        <v/>
      </c>
      <c r="AA570" s="305" t="e">
        <f t="shared" si="467"/>
        <v>#N/A</v>
      </c>
      <c r="AB570" s="304">
        <f t="shared" si="468"/>
        <v>2.6335557338259843</v>
      </c>
      <c r="AC570" s="304" t="str">
        <f t="shared" si="495"/>
        <v/>
      </c>
      <c r="AD570" s="306">
        <f t="shared" si="469"/>
        <v>0</v>
      </c>
      <c r="AE570" s="307">
        <f t="shared" si="496"/>
        <v>2.6335557338259843</v>
      </c>
      <c r="AF570" s="308" t="e">
        <f t="shared" si="505"/>
        <v>#N/A</v>
      </c>
      <c r="AG570" s="306">
        <f t="shared" si="497"/>
        <v>1012.7483757223847</v>
      </c>
      <c r="AH570" s="306">
        <f t="shared" si="470"/>
        <v>0</v>
      </c>
      <c r="AI570" s="306">
        <f t="shared" si="498"/>
        <v>0</v>
      </c>
      <c r="AJ570" s="306">
        <f t="shared" si="499"/>
        <v>0</v>
      </c>
      <c r="AK570" s="306">
        <f t="shared" si="471"/>
        <v>0</v>
      </c>
      <c r="AL570" s="306">
        <f t="shared" si="500"/>
        <v>0</v>
      </c>
      <c r="AM570" s="306">
        <f t="shared" si="472"/>
        <v>0</v>
      </c>
      <c r="AN570" s="306"/>
      <c r="AO570" s="304" t="str">
        <f t="shared" si="473"/>
        <v/>
      </c>
      <c r="AP570" s="304" t="str">
        <f t="shared" si="501"/>
        <v/>
      </c>
      <c r="AQ570" s="305" t="e">
        <f t="shared" si="507"/>
        <v>#N/A</v>
      </c>
      <c r="AR570" s="304" t="str">
        <f t="shared" si="508"/>
        <v/>
      </c>
      <c r="AS570" s="306">
        <f t="shared" si="474"/>
        <v>0</v>
      </c>
      <c r="AT570" s="307" t="e">
        <f t="shared" si="509"/>
        <v>#N/A</v>
      </c>
      <c r="AU570" s="307" t="e">
        <f t="shared" si="510"/>
        <v>#N/A</v>
      </c>
      <c r="AV570" s="304">
        <f t="shared" si="456"/>
        <v>5.3632519936455187</v>
      </c>
      <c r="AW570" s="309">
        <f t="shared" si="475"/>
        <v>27.691674401853255</v>
      </c>
      <c r="AX570" s="306">
        <f>IF(ISERROR(Weather!M554),#N/A,Weather!M554)</f>
        <v>0</v>
      </c>
      <c r="AY570" s="310">
        <f t="shared" si="476"/>
        <v>6</v>
      </c>
      <c r="AZ570" s="309">
        <f t="shared" si="477"/>
        <v>0.49103710527610306</v>
      </c>
      <c r="BA570" s="309">
        <f t="shared" si="478"/>
        <v>585.36014211228178</v>
      </c>
      <c r="BB570" s="311">
        <f>Irrig!H572</f>
        <v>0</v>
      </c>
      <c r="BC570" s="310">
        <f t="shared" si="479"/>
        <v>0</v>
      </c>
      <c r="BD570" s="309">
        <f t="shared" si="480"/>
        <v>0</v>
      </c>
      <c r="BE570" s="309">
        <f t="shared" si="481"/>
        <v>0</v>
      </c>
      <c r="BF570" s="306">
        <f>DailyMet!H554</f>
        <v>29.93</v>
      </c>
      <c r="BG570" s="306">
        <f>DailyMet!I554</f>
        <v>23.5</v>
      </c>
      <c r="BH570" s="306">
        <f t="shared" si="482"/>
        <v>29.93</v>
      </c>
      <c r="BI570" s="306">
        <f t="shared" si="483"/>
        <v>23.5</v>
      </c>
      <c r="BJ570" s="306">
        <f t="shared" si="484"/>
        <v>16.715</v>
      </c>
      <c r="BK570" s="306">
        <f t="shared" si="455"/>
        <v>0</v>
      </c>
      <c r="BL570" s="304">
        <f t="shared" si="485"/>
        <v>0</v>
      </c>
      <c r="BM570" s="304">
        <f t="shared" si="486"/>
        <v>16.715</v>
      </c>
      <c r="BN570" s="304">
        <f t="shared" si="503"/>
        <v>16.715</v>
      </c>
      <c r="BO570" s="306">
        <f t="shared" si="504"/>
        <v>0</v>
      </c>
      <c r="BP570" s="306"/>
    </row>
    <row r="571" spans="1:68">
      <c r="A571" s="299">
        <f t="shared" si="457"/>
        <v>0</v>
      </c>
      <c r="B571" s="300">
        <f t="shared" si="458"/>
        <v>38536</v>
      </c>
      <c r="C571" s="301" t="e">
        <f t="shared" si="487"/>
        <v>#N/A</v>
      </c>
      <c r="D571" s="301" t="e">
        <f t="shared" si="459"/>
        <v>#N/A</v>
      </c>
      <c r="E571" s="299">
        <f t="shared" si="460"/>
        <v>550</v>
      </c>
      <c r="F571" s="396">
        <f>Weather!M555</f>
        <v>7.8</v>
      </c>
      <c r="G571" s="301">
        <f>IF(Weather!C555="","",Weather!C555)</f>
        <v>4.4587158774639333</v>
      </c>
      <c r="H571" s="301">
        <f>IF(Weather!D555="","",Weather!D555)</f>
        <v>5.5388845439925944</v>
      </c>
      <c r="I571" s="502">
        <f>IF(Weather!E555="","",Weather!E555)</f>
        <v>5.5388845439925944</v>
      </c>
      <c r="J571" s="397">
        <f>IF(RnSplint!N234&lt;0,0,RnSplint!N234)</f>
        <v>19.955277349580822</v>
      </c>
      <c r="K571" s="302">
        <f t="shared" si="488"/>
        <v>0</v>
      </c>
      <c r="L571" s="303">
        <f t="shared" si="489"/>
        <v>38536</v>
      </c>
      <c r="M571" s="346" t="str">
        <f t="shared" si="506"/>
        <v/>
      </c>
      <c r="N571" s="304">
        <f t="shared" si="490"/>
        <v>0</v>
      </c>
      <c r="O571" s="304">
        <f t="shared" si="491"/>
        <v>0</v>
      </c>
      <c r="P571" s="304">
        <f t="shared" si="461"/>
        <v>0</v>
      </c>
      <c r="Q571" s="304">
        <f t="shared" si="462"/>
        <v>0.44694396878456827</v>
      </c>
      <c r="R571" s="304">
        <f t="shared" si="463"/>
        <v>0.44694396878456827</v>
      </c>
      <c r="S571" s="305" t="e">
        <f t="shared" si="492"/>
        <v>#N/A</v>
      </c>
      <c r="T571" s="304">
        <f t="shared" si="464"/>
        <v>0</v>
      </c>
      <c r="U571" s="304">
        <f t="shared" si="502"/>
        <v>0</v>
      </c>
      <c r="V571" s="305" t="e">
        <f t="shared" si="465"/>
        <v>#N/A</v>
      </c>
      <c r="W571" s="305" t="e">
        <f t="shared" si="493"/>
        <v>#N/A</v>
      </c>
      <c r="X571" s="304">
        <f t="shared" si="494"/>
        <v>0.44694396878456827</v>
      </c>
      <c r="Z571" s="304" t="str">
        <f t="shared" si="466"/>
        <v/>
      </c>
      <c r="AA571" s="305" t="e">
        <f t="shared" si="467"/>
        <v>#N/A</v>
      </c>
      <c r="AB571" s="304">
        <f t="shared" si="468"/>
        <v>2.4755710407315537</v>
      </c>
      <c r="AC571" s="304" t="str">
        <f t="shared" si="495"/>
        <v/>
      </c>
      <c r="AD571" s="306">
        <f t="shared" si="469"/>
        <v>0</v>
      </c>
      <c r="AE571" s="307">
        <f t="shared" si="496"/>
        <v>2.4755710407315537</v>
      </c>
      <c r="AF571" s="308" t="e">
        <f t="shared" si="505"/>
        <v>#N/A</v>
      </c>
      <c r="AG571" s="306">
        <f t="shared" si="497"/>
        <v>1018.2872602663773</v>
      </c>
      <c r="AH571" s="306">
        <f t="shared" si="470"/>
        <v>0</v>
      </c>
      <c r="AI571" s="306">
        <f t="shared" si="498"/>
        <v>0</v>
      </c>
      <c r="AJ571" s="306">
        <f t="shared" si="499"/>
        <v>0</v>
      </c>
      <c r="AK571" s="306">
        <f t="shared" si="471"/>
        <v>0</v>
      </c>
      <c r="AL571" s="306">
        <f t="shared" si="500"/>
        <v>0</v>
      </c>
      <c r="AM571" s="306">
        <f t="shared" si="472"/>
        <v>0</v>
      </c>
      <c r="AN571" s="306"/>
      <c r="AO571" s="304" t="str">
        <f t="shared" si="473"/>
        <v/>
      </c>
      <c r="AP571" s="304" t="str">
        <f t="shared" si="501"/>
        <v/>
      </c>
      <c r="AQ571" s="305" t="e">
        <f t="shared" si="507"/>
        <v>#N/A</v>
      </c>
      <c r="AR571" s="304" t="str">
        <f t="shared" si="508"/>
        <v/>
      </c>
      <c r="AS571" s="306">
        <f t="shared" si="474"/>
        <v>0</v>
      </c>
      <c r="AT571" s="307" t="e">
        <f t="shared" si="509"/>
        <v>#N/A</v>
      </c>
      <c r="AU571" s="307" t="e">
        <f t="shared" si="510"/>
        <v>#N/A</v>
      </c>
      <c r="AV571" s="304">
        <f t="shared" si="456"/>
        <v>5.5388845439925944</v>
      </c>
      <c r="AW571" s="309">
        <f t="shared" si="475"/>
        <v>33.23055894584585</v>
      </c>
      <c r="AX571" s="306">
        <f>IF(ISERROR(Weather!M555),#N/A,Weather!M555)</f>
        <v>7.8</v>
      </c>
      <c r="AY571" s="310">
        <f t="shared" si="476"/>
        <v>7</v>
      </c>
      <c r="AZ571" s="309">
        <f t="shared" si="477"/>
        <v>0.44694396878456827</v>
      </c>
      <c r="BA571" s="309">
        <f t="shared" si="478"/>
        <v>590.89902665627437</v>
      </c>
      <c r="BB571" s="311">
        <f>Irrig!H573</f>
        <v>0</v>
      </c>
      <c r="BC571" s="310">
        <f t="shared" si="479"/>
        <v>0</v>
      </c>
      <c r="BD571" s="309">
        <f t="shared" si="480"/>
        <v>0</v>
      </c>
      <c r="BE571" s="309">
        <f t="shared" si="481"/>
        <v>0</v>
      </c>
      <c r="BF571" s="306">
        <f>DailyMet!H555</f>
        <v>26.42</v>
      </c>
      <c r="BG571" s="306">
        <f>DailyMet!I555</f>
        <v>21</v>
      </c>
      <c r="BH571" s="306">
        <f t="shared" si="482"/>
        <v>26.42</v>
      </c>
      <c r="BI571" s="306">
        <f t="shared" si="483"/>
        <v>21</v>
      </c>
      <c r="BJ571" s="306">
        <f t="shared" si="484"/>
        <v>13.71</v>
      </c>
      <c r="BK571" s="306">
        <f t="shared" si="455"/>
        <v>0</v>
      </c>
      <c r="BL571" s="304">
        <f t="shared" si="485"/>
        <v>0</v>
      </c>
      <c r="BM571" s="304">
        <f t="shared" si="486"/>
        <v>13.71</v>
      </c>
      <c r="BN571" s="304">
        <f t="shared" si="503"/>
        <v>13.71</v>
      </c>
      <c r="BO571" s="306">
        <f t="shared" si="504"/>
        <v>0</v>
      </c>
      <c r="BP571" s="306"/>
    </row>
    <row r="572" spans="1:68">
      <c r="A572" s="299">
        <f t="shared" si="457"/>
        <v>0</v>
      </c>
      <c r="B572" s="300">
        <f t="shared" si="458"/>
        <v>38537</v>
      </c>
      <c r="C572" s="301" t="e">
        <f t="shared" si="487"/>
        <v>#N/A</v>
      </c>
      <c r="D572" s="301" t="e">
        <f t="shared" si="459"/>
        <v>#N/A</v>
      </c>
      <c r="E572" s="299">
        <f t="shared" si="460"/>
        <v>551</v>
      </c>
      <c r="F572" s="396">
        <f>Weather!M556</f>
        <v>0.6</v>
      </c>
      <c r="G572" s="301">
        <f>IF(Weather!C556="","",Weather!C556)</f>
        <v>4.4608979446874644</v>
      </c>
      <c r="H572" s="301">
        <f>IF(Weather!D556="","",Weather!D556)</f>
        <v>5.0489004426417008</v>
      </c>
      <c r="I572" s="502">
        <f>IF(Weather!E556="","",Weather!E556)</f>
        <v>5.0489004426417008</v>
      </c>
      <c r="J572" s="397">
        <f>IF(RnSplint!N235&lt;0,0,RnSplint!N235)</f>
        <v>20.941786135449515</v>
      </c>
      <c r="K572" s="302">
        <f t="shared" si="488"/>
        <v>0</v>
      </c>
      <c r="L572" s="303">
        <f t="shared" si="489"/>
        <v>38537</v>
      </c>
      <c r="M572" s="346" t="str">
        <f t="shared" si="506"/>
        <v/>
      </c>
      <c r="N572" s="304">
        <f t="shared" si="490"/>
        <v>0</v>
      </c>
      <c r="O572" s="304">
        <f t="shared" si="491"/>
        <v>0</v>
      </c>
      <c r="P572" s="304">
        <f t="shared" si="461"/>
        <v>0</v>
      </c>
      <c r="Q572" s="304">
        <f t="shared" si="462"/>
        <v>0.41548577175167362</v>
      </c>
      <c r="R572" s="304">
        <f t="shared" si="463"/>
        <v>0.41548577175167362</v>
      </c>
      <c r="S572" s="305" t="e">
        <f t="shared" si="492"/>
        <v>#N/A</v>
      </c>
      <c r="T572" s="304">
        <f t="shared" si="464"/>
        <v>0</v>
      </c>
      <c r="U572" s="304">
        <f t="shared" si="502"/>
        <v>0</v>
      </c>
      <c r="V572" s="305" t="e">
        <f t="shared" si="465"/>
        <v>#N/A</v>
      </c>
      <c r="W572" s="305" t="e">
        <f t="shared" si="493"/>
        <v>#N/A</v>
      </c>
      <c r="X572" s="304">
        <f t="shared" si="494"/>
        <v>0.41548577175167362</v>
      </c>
      <c r="Z572" s="304" t="str">
        <f t="shared" si="466"/>
        <v/>
      </c>
      <c r="AA572" s="305" t="e">
        <f t="shared" si="467"/>
        <v>#N/A</v>
      </c>
      <c r="AB572" s="304">
        <f t="shared" si="468"/>
        <v>2.0977462969083538</v>
      </c>
      <c r="AC572" s="304" t="str">
        <f t="shared" si="495"/>
        <v/>
      </c>
      <c r="AD572" s="306">
        <f t="shared" si="469"/>
        <v>0</v>
      </c>
      <c r="AE572" s="307">
        <f t="shared" si="496"/>
        <v>2.0977462969083538</v>
      </c>
      <c r="AF572" s="308" t="e">
        <f t="shared" si="505"/>
        <v>#N/A</v>
      </c>
      <c r="AG572" s="306">
        <f t="shared" si="497"/>
        <v>1023.3361607090191</v>
      </c>
      <c r="AH572" s="306">
        <f t="shared" si="470"/>
        <v>0</v>
      </c>
      <c r="AI572" s="306">
        <f t="shared" si="498"/>
        <v>0</v>
      </c>
      <c r="AJ572" s="306">
        <f t="shared" si="499"/>
        <v>0</v>
      </c>
      <c r="AK572" s="306">
        <f t="shared" si="471"/>
        <v>0</v>
      </c>
      <c r="AL572" s="306">
        <f t="shared" si="500"/>
        <v>0</v>
      </c>
      <c r="AM572" s="306">
        <f t="shared" si="472"/>
        <v>0</v>
      </c>
      <c r="AN572" s="306"/>
      <c r="AO572" s="304" t="str">
        <f t="shared" si="473"/>
        <v/>
      </c>
      <c r="AP572" s="304" t="str">
        <f t="shared" si="501"/>
        <v/>
      </c>
      <c r="AQ572" s="305" t="e">
        <f t="shared" si="507"/>
        <v>#N/A</v>
      </c>
      <c r="AR572" s="304" t="str">
        <f t="shared" si="508"/>
        <v/>
      </c>
      <c r="AS572" s="306">
        <f t="shared" si="474"/>
        <v>0</v>
      </c>
      <c r="AT572" s="307" t="e">
        <f t="shared" si="509"/>
        <v>#N/A</v>
      </c>
      <c r="AU572" s="307" t="e">
        <f t="shared" si="510"/>
        <v>#N/A</v>
      </c>
      <c r="AV572" s="304">
        <f t="shared" si="456"/>
        <v>5.0489004426417008</v>
      </c>
      <c r="AW572" s="309">
        <f t="shared" si="475"/>
        <v>38.279459388487552</v>
      </c>
      <c r="AX572" s="306">
        <f>IF(ISERROR(Weather!M556),#N/A,Weather!M556)</f>
        <v>0.6</v>
      </c>
      <c r="AY572" s="310">
        <f t="shared" si="476"/>
        <v>8</v>
      </c>
      <c r="AZ572" s="309">
        <f t="shared" si="477"/>
        <v>0.41548577175167362</v>
      </c>
      <c r="BA572" s="309">
        <f t="shared" si="478"/>
        <v>595.94792709891613</v>
      </c>
      <c r="BB572" s="311">
        <f>Irrig!H574</f>
        <v>0</v>
      </c>
      <c r="BC572" s="310">
        <f t="shared" si="479"/>
        <v>0</v>
      </c>
      <c r="BD572" s="309">
        <f t="shared" si="480"/>
        <v>0</v>
      </c>
      <c r="BE572" s="309">
        <f t="shared" si="481"/>
        <v>0</v>
      </c>
      <c r="BF572" s="306">
        <f>DailyMet!H556</f>
        <v>27.32</v>
      </c>
      <c r="BG572" s="306">
        <f>DailyMet!I556</f>
        <v>20.399999999999999</v>
      </c>
      <c r="BH572" s="306">
        <f t="shared" si="482"/>
        <v>27.32</v>
      </c>
      <c r="BI572" s="306">
        <f t="shared" si="483"/>
        <v>20.399999999999999</v>
      </c>
      <c r="BJ572" s="306">
        <f t="shared" si="484"/>
        <v>13.86</v>
      </c>
      <c r="BK572" s="306">
        <f t="shared" si="455"/>
        <v>0</v>
      </c>
      <c r="BL572" s="304">
        <f t="shared" si="485"/>
        <v>0</v>
      </c>
      <c r="BM572" s="304">
        <f t="shared" si="486"/>
        <v>13.86</v>
      </c>
      <c r="BN572" s="304">
        <f t="shared" si="503"/>
        <v>13.86</v>
      </c>
      <c r="BO572" s="306">
        <f t="shared" si="504"/>
        <v>0</v>
      </c>
      <c r="BP572" s="306"/>
    </row>
    <row r="573" spans="1:68">
      <c r="A573" s="299">
        <f t="shared" si="457"/>
        <v>0</v>
      </c>
      <c r="B573" s="300">
        <f t="shared" si="458"/>
        <v>38538</v>
      </c>
      <c r="C573" s="301" t="e">
        <f t="shared" si="487"/>
        <v>#N/A</v>
      </c>
      <c r="D573" s="301" t="e">
        <f t="shared" si="459"/>
        <v>#N/A</v>
      </c>
      <c r="E573" s="299">
        <f t="shared" si="460"/>
        <v>552</v>
      </c>
      <c r="F573" s="396">
        <f>Weather!M557</f>
        <v>1.6</v>
      </c>
      <c r="G573" s="301">
        <f>IF(Weather!C557="","",Weather!C557)</f>
        <v>4.462037065611546</v>
      </c>
      <c r="H573" s="301">
        <f>IF(Weather!D557="","",Weather!D557)</f>
        <v>5.1819685613911384</v>
      </c>
      <c r="I573" s="502">
        <f>IF(Weather!E557="","",Weather!E557)</f>
        <v>5.1819685613911384</v>
      </c>
      <c r="J573" s="397">
        <f>IF(RnSplint!N236&lt;0,0,RnSplint!N236)</f>
        <v>21.91819337504355</v>
      </c>
      <c r="K573" s="302">
        <f t="shared" si="488"/>
        <v>0</v>
      </c>
      <c r="L573" s="303">
        <f t="shared" si="489"/>
        <v>38538</v>
      </c>
      <c r="M573" s="346" t="str">
        <f t="shared" si="506"/>
        <v/>
      </c>
      <c r="N573" s="304">
        <f t="shared" si="490"/>
        <v>0</v>
      </c>
      <c r="O573" s="304">
        <f t="shared" si="491"/>
        <v>0</v>
      </c>
      <c r="P573" s="304">
        <f t="shared" si="461"/>
        <v>0</v>
      </c>
      <c r="Q573" s="304">
        <f t="shared" si="462"/>
        <v>0.38913907940923942</v>
      </c>
      <c r="R573" s="304">
        <f t="shared" si="463"/>
        <v>0.38913907940923942</v>
      </c>
      <c r="S573" s="305" t="e">
        <f t="shared" si="492"/>
        <v>#N/A</v>
      </c>
      <c r="T573" s="304">
        <f t="shared" si="464"/>
        <v>0</v>
      </c>
      <c r="U573" s="304">
        <f t="shared" si="502"/>
        <v>0</v>
      </c>
      <c r="V573" s="305" t="e">
        <f t="shared" si="465"/>
        <v>#N/A</v>
      </c>
      <c r="W573" s="305" t="e">
        <f t="shared" si="493"/>
        <v>#N/A</v>
      </c>
      <c r="X573" s="304">
        <f t="shared" si="494"/>
        <v>0.38913907940923942</v>
      </c>
      <c r="Z573" s="304" t="str">
        <f t="shared" si="466"/>
        <v/>
      </c>
      <c r="AA573" s="305" t="e">
        <f t="shared" si="467"/>
        <v>#N/A</v>
      </c>
      <c r="AB573" s="304">
        <f t="shared" si="468"/>
        <v>2.0165064755073683</v>
      </c>
      <c r="AC573" s="304" t="str">
        <f t="shared" si="495"/>
        <v/>
      </c>
      <c r="AD573" s="306">
        <f t="shared" si="469"/>
        <v>0</v>
      </c>
      <c r="AE573" s="307">
        <f t="shared" si="496"/>
        <v>2.0165064755073683</v>
      </c>
      <c r="AF573" s="308" t="e">
        <f t="shared" si="505"/>
        <v>#N/A</v>
      </c>
      <c r="AG573" s="306">
        <f t="shared" si="497"/>
        <v>1028.5181292704101</v>
      </c>
      <c r="AH573" s="306">
        <f t="shared" si="470"/>
        <v>0</v>
      </c>
      <c r="AI573" s="306">
        <f t="shared" si="498"/>
        <v>0</v>
      </c>
      <c r="AJ573" s="306">
        <f t="shared" si="499"/>
        <v>0</v>
      </c>
      <c r="AK573" s="306">
        <f t="shared" si="471"/>
        <v>0</v>
      </c>
      <c r="AL573" s="306">
        <f t="shared" si="500"/>
        <v>0</v>
      </c>
      <c r="AM573" s="306">
        <f t="shared" si="472"/>
        <v>0</v>
      </c>
      <c r="AN573" s="306"/>
      <c r="AO573" s="304" t="str">
        <f t="shared" si="473"/>
        <v/>
      </c>
      <c r="AP573" s="304" t="str">
        <f t="shared" si="501"/>
        <v/>
      </c>
      <c r="AQ573" s="305" t="e">
        <f t="shared" si="507"/>
        <v>#N/A</v>
      </c>
      <c r="AR573" s="304" t="str">
        <f t="shared" si="508"/>
        <v/>
      </c>
      <c r="AS573" s="306">
        <f t="shared" si="474"/>
        <v>0</v>
      </c>
      <c r="AT573" s="307" t="e">
        <f t="shared" si="509"/>
        <v>#N/A</v>
      </c>
      <c r="AU573" s="307" t="e">
        <f t="shared" si="510"/>
        <v>#N/A</v>
      </c>
      <c r="AV573" s="304">
        <f t="shared" si="456"/>
        <v>5.1819685613911384</v>
      </c>
      <c r="AW573" s="309">
        <f t="shared" si="475"/>
        <v>43.46142794987869</v>
      </c>
      <c r="AX573" s="306">
        <f>IF(ISERROR(Weather!M557),#N/A,Weather!M557)</f>
        <v>1.6</v>
      </c>
      <c r="AY573" s="310">
        <f t="shared" si="476"/>
        <v>9</v>
      </c>
      <c r="AZ573" s="309">
        <f t="shared" si="477"/>
        <v>0.38913907940923942</v>
      </c>
      <c r="BA573" s="309">
        <f t="shared" si="478"/>
        <v>601.12989566030728</v>
      </c>
      <c r="BB573" s="311">
        <f>Irrig!H575</f>
        <v>0</v>
      </c>
      <c r="BC573" s="310">
        <f t="shared" si="479"/>
        <v>0</v>
      </c>
      <c r="BD573" s="309">
        <f t="shared" si="480"/>
        <v>0</v>
      </c>
      <c r="BE573" s="309">
        <f t="shared" si="481"/>
        <v>0</v>
      </c>
      <c r="BF573" s="306">
        <f>DailyMet!H557</f>
        <v>26.28</v>
      </c>
      <c r="BG573" s="306">
        <f>DailyMet!I557</f>
        <v>19.399999999999999</v>
      </c>
      <c r="BH573" s="306">
        <f t="shared" si="482"/>
        <v>26.28</v>
      </c>
      <c r="BI573" s="306">
        <f t="shared" si="483"/>
        <v>19.399999999999999</v>
      </c>
      <c r="BJ573" s="306">
        <f t="shared" si="484"/>
        <v>12.84</v>
      </c>
      <c r="BK573" s="306">
        <f t="shared" si="455"/>
        <v>0</v>
      </c>
      <c r="BL573" s="304">
        <f t="shared" si="485"/>
        <v>0</v>
      </c>
      <c r="BM573" s="304">
        <f t="shared" si="486"/>
        <v>12.84</v>
      </c>
      <c r="BN573" s="304">
        <f t="shared" si="503"/>
        <v>12.84</v>
      </c>
      <c r="BO573" s="306">
        <f t="shared" si="504"/>
        <v>0</v>
      </c>
      <c r="BP573" s="306"/>
    </row>
    <row r="574" spans="1:68">
      <c r="A574" s="299">
        <f t="shared" si="457"/>
        <v>0</v>
      </c>
      <c r="B574" s="300">
        <f t="shared" si="458"/>
        <v>38539</v>
      </c>
      <c r="C574" s="301" t="e">
        <f t="shared" si="487"/>
        <v>#N/A</v>
      </c>
      <c r="D574" s="301" t="e">
        <f t="shared" si="459"/>
        <v>#N/A</v>
      </c>
      <c r="E574" s="299">
        <f t="shared" si="460"/>
        <v>553</v>
      </c>
      <c r="F574" s="396">
        <f>Weather!M558</f>
        <v>3</v>
      </c>
      <c r="G574" s="301">
        <f>IF(Weather!C558="","",Weather!C558)</f>
        <v>4.4621627579889642</v>
      </c>
      <c r="H574" s="301">
        <f>IF(Weather!D558="","",Weather!D558)</f>
        <v>3.4769314126585869</v>
      </c>
      <c r="I574" s="502">
        <f>IF(Weather!E558="","",Weather!E558)</f>
        <v>3.4769314126585869</v>
      </c>
      <c r="J574" s="397">
        <f>IF(RnSplint!N237&lt;0,0,RnSplint!N237)</f>
        <v>22.881030638445264</v>
      </c>
      <c r="K574" s="302">
        <f t="shared" si="488"/>
        <v>0</v>
      </c>
      <c r="L574" s="303">
        <f t="shared" si="489"/>
        <v>38539</v>
      </c>
      <c r="M574" s="346" t="str">
        <f t="shared" si="506"/>
        <v/>
      </c>
      <c r="N574" s="304">
        <f t="shared" si="490"/>
        <v>0</v>
      </c>
      <c r="O574" s="304">
        <f t="shared" si="491"/>
        <v>0</v>
      </c>
      <c r="P574" s="304">
        <f t="shared" si="461"/>
        <v>0</v>
      </c>
      <c r="Q574" s="304">
        <f t="shared" si="462"/>
        <v>0.37398837882928826</v>
      </c>
      <c r="R574" s="304">
        <f t="shared" si="463"/>
        <v>0.37398837882928826</v>
      </c>
      <c r="S574" s="305" t="e">
        <f t="shared" si="492"/>
        <v>#N/A</v>
      </c>
      <c r="T574" s="304">
        <f t="shared" si="464"/>
        <v>0</v>
      </c>
      <c r="U574" s="304">
        <f t="shared" si="502"/>
        <v>0</v>
      </c>
      <c r="V574" s="305" t="e">
        <f t="shared" si="465"/>
        <v>#N/A</v>
      </c>
      <c r="W574" s="305" t="e">
        <f t="shared" si="493"/>
        <v>#N/A</v>
      </c>
      <c r="X574" s="304">
        <f t="shared" si="494"/>
        <v>0.37398837882928826</v>
      </c>
      <c r="Z574" s="304" t="str">
        <f t="shared" si="466"/>
        <v/>
      </c>
      <c r="AA574" s="305" t="e">
        <f t="shared" si="467"/>
        <v>#N/A</v>
      </c>
      <c r="AB574" s="304">
        <f t="shared" si="468"/>
        <v>1.300331942320812</v>
      </c>
      <c r="AC574" s="304" t="str">
        <f t="shared" si="495"/>
        <v/>
      </c>
      <c r="AD574" s="306">
        <f t="shared" si="469"/>
        <v>0</v>
      </c>
      <c r="AE574" s="307">
        <f t="shared" si="496"/>
        <v>1.300331942320812</v>
      </c>
      <c r="AF574" s="308" t="e">
        <f t="shared" si="505"/>
        <v>#N/A</v>
      </c>
      <c r="AG574" s="306">
        <f t="shared" si="497"/>
        <v>1031.9950606830687</v>
      </c>
      <c r="AH574" s="306">
        <f t="shared" si="470"/>
        <v>0</v>
      </c>
      <c r="AI574" s="306">
        <f t="shared" si="498"/>
        <v>0</v>
      </c>
      <c r="AJ574" s="306">
        <f t="shared" si="499"/>
        <v>0</v>
      </c>
      <c r="AK574" s="306">
        <f t="shared" si="471"/>
        <v>0</v>
      </c>
      <c r="AL574" s="306">
        <f t="shared" si="500"/>
        <v>0</v>
      </c>
      <c r="AM574" s="306">
        <f t="shared" si="472"/>
        <v>0</v>
      </c>
      <c r="AN574" s="306"/>
      <c r="AO574" s="304" t="str">
        <f t="shared" si="473"/>
        <v/>
      </c>
      <c r="AP574" s="304" t="str">
        <f t="shared" si="501"/>
        <v/>
      </c>
      <c r="AQ574" s="305" t="e">
        <f t="shared" si="507"/>
        <v>#N/A</v>
      </c>
      <c r="AR574" s="304" t="str">
        <f t="shared" si="508"/>
        <v/>
      </c>
      <c r="AS574" s="306">
        <f t="shared" si="474"/>
        <v>0</v>
      </c>
      <c r="AT574" s="307" t="e">
        <f t="shared" si="509"/>
        <v>#N/A</v>
      </c>
      <c r="AU574" s="307" t="e">
        <f t="shared" si="510"/>
        <v>#N/A</v>
      </c>
      <c r="AV574" s="304">
        <f t="shared" si="456"/>
        <v>3.4769314126585869</v>
      </c>
      <c r="AW574" s="309">
        <f t="shared" si="475"/>
        <v>46.938359362537277</v>
      </c>
      <c r="AX574" s="306">
        <f>IF(ISERROR(Weather!M558),#N/A,Weather!M558)</f>
        <v>3</v>
      </c>
      <c r="AY574" s="310">
        <f t="shared" si="476"/>
        <v>10</v>
      </c>
      <c r="AZ574" s="309">
        <f t="shared" si="477"/>
        <v>0.37398837882928826</v>
      </c>
      <c r="BA574" s="309">
        <f t="shared" si="478"/>
        <v>604.60682707296587</v>
      </c>
      <c r="BB574" s="311">
        <f>Irrig!H576</f>
        <v>0</v>
      </c>
      <c r="BC574" s="310">
        <f t="shared" si="479"/>
        <v>0</v>
      </c>
      <c r="BD574" s="309">
        <f t="shared" si="480"/>
        <v>0</v>
      </c>
      <c r="BE574" s="309">
        <f t="shared" si="481"/>
        <v>0</v>
      </c>
      <c r="BF574" s="306">
        <f>DailyMet!H558</f>
        <v>23.36</v>
      </c>
      <c r="BG574" s="306">
        <f>DailyMet!I558</f>
        <v>18.3</v>
      </c>
      <c r="BH574" s="306">
        <f t="shared" si="482"/>
        <v>23.36</v>
      </c>
      <c r="BI574" s="306">
        <f t="shared" si="483"/>
        <v>18.3</v>
      </c>
      <c r="BJ574" s="306">
        <f t="shared" si="484"/>
        <v>10.829999999999998</v>
      </c>
      <c r="BK574" s="306">
        <f t="shared" si="455"/>
        <v>0</v>
      </c>
      <c r="BL574" s="304">
        <f t="shared" si="485"/>
        <v>0</v>
      </c>
      <c r="BM574" s="304">
        <f t="shared" si="486"/>
        <v>10.829999999999998</v>
      </c>
      <c r="BN574" s="304">
        <f t="shared" si="503"/>
        <v>10.829999999999998</v>
      </c>
      <c r="BO574" s="306">
        <f t="shared" si="504"/>
        <v>0</v>
      </c>
      <c r="BP574" s="306"/>
    </row>
    <row r="575" spans="1:68">
      <c r="A575" s="299">
        <f t="shared" si="457"/>
        <v>0</v>
      </c>
      <c r="B575" s="300">
        <f t="shared" si="458"/>
        <v>38540</v>
      </c>
      <c r="C575" s="301" t="e">
        <f t="shared" si="487"/>
        <v>#N/A</v>
      </c>
      <c r="D575" s="301" t="e">
        <f t="shared" si="459"/>
        <v>#N/A</v>
      </c>
      <c r="E575" s="299">
        <f t="shared" si="460"/>
        <v>554</v>
      </c>
      <c r="F575" s="396">
        <f>Weather!M559</f>
        <v>2.6</v>
      </c>
      <c r="G575" s="301">
        <f>IF(Weather!C559="","",Weather!C559)</f>
        <v>4.4613045395725024</v>
      </c>
      <c r="H575" s="301">
        <f>IF(Weather!D559="","",Weather!D559)</f>
        <v>3.3390863812371721</v>
      </c>
      <c r="I575" s="502">
        <f>IF(Weather!E559="","",Weather!E559)</f>
        <v>3.3390863812371721</v>
      </c>
      <c r="J575" s="397">
        <f>IF(RnSplint!N238&lt;0,0,RnSplint!N238)</f>
        <v>23.826829495736998</v>
      </c>
      <c r="K575" s="302">
        <f t="shared" si="488"/>
        <v>0</v>
      </c>
      <c r="L575" s="303">
        <f t="shared" si="489"/>
        <v>38540</v>
      </c>
      <c r="M575" s="346" t="str">
        <f t="shared" si="506"/>
        <v/>
      </c>
      <c r="N575" s="304">
        <f t="shared" si="490"/>
        <v>0</v>
      </c>
      <c r="O575" s="304">
        <f t="shared" si="491"/>
        <v>0</v>
      </c>
      <c r="P575" s="304">
        <f t="shared" si="461"/>
        <v>0</v>
      </c>
      <c r="Q575" s="304">
        <f t="shared" si="462"/>
        <v>0.36095904779732668</v>
      </c>
      <c r="R575" s="304">
        <f t="shared" si="463"/>
        <v>0.36095904779732668</v>
      </c>
      <c r="S575" s="305" t="e">
        <f t="shared" si="492"/>
        <v>#N/A</v>
      </c>
      <c r="T575" s="304">
        <f t="shared" si="464"/>
        <v>0</v>
      </c>
      <c r="U575" s="304">
        <f t="shared" si="502"/>
        <v>0</v>
      </c>
      <c r="V575" s="305" t="e">
        <f t="shared" si="465"/>
        <v>#N/A</v>
      </c>
      <c r="W575" s="305" t="e">
        <f t="shared" si="493"/>
        <v>#N/A</v>
      </c>
      <c r="X575" s="304">
        <f t="shared" si="494"/>
        <v>0.36095904779732668</v>
      </c>
      <c r="Z575" s="304" t="str">
        <f t="shared" si="466"/>
        <v/>
      </c>
      <c r="AA575" s="305" t="e">
        <f t="shared" si="467"/>
        <v>#N/A</v>
      </c>
      <c r="AB575" s="304">
        <f t="shared" si="468"/>
        <v>1.205273440684391</v>
      </c>
      <c r="AC575" s="304" t="str">
        <f t="shared" si="495"/>
        <v/>
      </c>
      <c r="AD575" s="306">
        <f t="shared" si="469"/>
        <v>0</v>
      </c>
      <c r="AE575" s="307">
        <f t="shared" si="496"/>
        <v>1.205273440684391</v>
      </c>
      <c r="AF575" s="308" t="e">
        <f t="shared" si="505"/>
        <v>#N/A</v>
      </c>
      <c r="AG575" s="306">
        <f t="shared" si="497"/>
        <v>1035.3341470643059</v>
      </c>
      <c r="AH575" s="306">
        <f t="shared" si="470"/>
        <v>0</v>
      </c>
      <c r="AI575" s="306">
        <f t="shared" si="498"/>
        <v>0</v>
      </c>
      <c r="AJ575" s="306">
        <f t="shared" si="499"/>
        <v>0</v>
      </c>
      <c r="AK575" s="306">
        <f t="shared" si="471"/>
        <v>0</v>
      </c>
      <c r="AL575" s="306">
        <f t="shared" si="500"/>
        <v>0</v>
      </c>
      <c r="AM575" s="306">
        <f t="shared" si="472"/>
        <v>0</v>
      </c>
      <c r="AN575" s="306"/>
      <c r="AO575" s="304" t="str">
        <f t="shared" si="473"/>
        <v/>
      </c>
      <c r="AP575" s="304" t="str">
        <f t="shared" si="501"/>
        <v/>
      </c>
      <c r="AQ575" s="305" t="e">
        <f t="shared" si="507"/>
        <v>#N/A</v>
      </c>
      <c r="AR575" s="304" t="str">
        <f t="shared" si="508"/>
        <v/>
      </c>
      <c r="AS575" s="306">
        <f t="shared" si="474"/>
        <v>0</v>
      </c>
      <c r="AT575" s="307" t="e">
        <f t="shared" si="509"/>
        <v>#N/A</v>
      </c>
      <c r="AU575" s="307" t="e">
        <f t="shared" si="510"/>
        <v>#N/A</v>
      </c>
      <c r="AV575" s="304">
        <f t="shared" si="456"/>
        <v>3.3390863812371721</v>
      </c>
      <c r="AW575" s="309">
        <f t="shared" si="475"/>
        <v>50.27744574377445</v>
      </c>
      <c r="AX575" s="306">
        <f>IF(ISERROR(Weather!M559),#N/A,Weather!M559)</f>
        <v>2.6</v>
      </c>
      <c r="AY575" s="310">
        <f t="shared" si="476"/>
        <v>11</v>
      </c>
      <c r="AZ575" s="309">
        <f t="shared" si="477"/>
        <v>0.36095904779732668</v>
      </c>
      <c r="BA575" s="309">
        <f t="shared" si="478"/>
        <v>607.94591345420304</v>
      </c>
      <c r="BB575" s="311">
        <f>Irrig!H577</f>
        <v>0</v>
      </c>
      <c r="BC575" s="310">
        <f t="shared" si="479"/>
        <v>0</v>
      </c>
      <c r="BD575" s="309">
        <f t="shared" si="480"/>
        <v>0</v>
      </c>
      <c r="BE575" s="309">
        <f t="shared" si="481"/>
        <v>0</v>
      </c>
      <c r="BF575" s="306">
        <f>DailyMet!H559</f>
        <v>25.13</v>
      </c>
      <c r="BG575" s="306">
        <f>DailyMet!I559</f>
        <v>18.5</v>
      </c>
      <c r="BH575" s="306">
        <f t="shared" si="482"/>
        <v>25.13</v>
      </c>
      <c r="BI575" s="306">
        <f t="shared" si="483"/>
        <v>18.5</v>
      </c>
      <c r="BJ575" s="306">
        <f t="shared" si="484"/>
        <v>11.814999999999998</v>
      </c>
      <c r="BK575" s="306">
        <f t="shared" si="455"/>
        <v>0</v>
      </c>
      <c r="BL575" s="304">
        <f t="shared" si="485"/>
        <v>0</v>
      </c>
      <c r="BM575" s="304">
        <f t="shared" si="486"/>
        <v>11.814999999999998</v>
      </c>
      <c r="BN575" s="304">
        <f t="shared" si="503"/>
        <v>11.814999999999998</v>
      </c>
      <c r="BO575" s="306">
        <f t="shared" si="504"/>
        <v>0</v>
      </c>
      <c r="BP575" s="306"/>
    </row>
    <row r="576" spans="1:68">
      <c r="A576" s="299">
        <f t="shared" si="457"/>
        <v>0</v>
      </c>
      <c r="B576" s="300">
        <f t="shared" si="458"/>
        <v>38541</v>
      </c>
      <c r="C576" s="301" t="e">
        <f t="shared" si="487"/>
        <v>#N/A</v>
      </c>
      <c r="D576" s="301" t="e">
        <f t="shared" si="459"/>
        <v>#N/A</v>
      </c>
      <c r="E576" s="299">
        <f t="shared" si="460"/>
        <v>555</v>
      </c>
      <c r="F576" s="396">
        <f>Weather!M560</f>
        <v>0.8</v>
      </c>
      <c r="G576" s="301">
        <f>IF(Weather!C560="","",Weather!C560)</f>
        <v>4.4594919281149474</v>
      </c>
      <c r="H576" s="301">
        <f>IF(Weather!D560="","",Weather!D560)</f>
        <v>4.4509781454770909</v>
      </c>
      <c r="I576" s="502">
        <f>IF(Weather!E560="","",Weather!E560)</f>
        <v>4.4509781454770909</v>
      </c>
      <c r="J576" s="397">
        <f>IF(RnSplint!N239&lt;0,0,RnSplint!N239)</f>
        <v>24.752121517001093</v>
      </c>
      <c r="K576" s="302">
        <f t="shared" si="488"/>
        <v>0</v>
      </c>
      <c r="L576" s="303">
        <f t="shared" si="489"/>
        <v>38541</v>
      </c>
      <c r="M576" s="346" t="str">
        <f t="shared" si="506"/>
        <v/>
      </c>
      <c r="N576" s="304">
        <f t="shared" si="490"/>
        <v>0</v>
      </c>
      <c r="O576" s="304">
        <f t="shared" si="491"/>
        <v>0</v>
      </c>
      <c r="P576" s="304">
        <f t="shared" si="461"/>
        <v>0</v>
      </c>
      <c r="Q576" s="304">
        <f t="shared" si="462"/>
        <v>0.34550045923041806</v>
      </c>
      <c r="R576" s="304">
        <f t="shared" si="463"/>
        <v>0.34550045923041806</v>
      </c>
      <c r="S576" s="305" t="e">
        <f t="shared" si="492"/>
        <v>#N/A</v>
      </c>
      <c r="T576" s="304">
        <f t="shared" si="464"/>
        <v>0</v>
      </c>
      <c r="U576" s="304">
        <f t="shared" si="502"/>
        <v>0</v>
      </c>
      <c r="V576" s="305" t="e">
        <f t="shared" si="465"/>
        <v>#N/A</v>
      </c>
      <c r="W576" s="305" t="e">
        <f t="shared" si="493"/>
        <v>#N/A</v>
      </c>
      <c r="X576" s="304">
        <f t="shared" si="494"/>
        <v>0.34550045923041806</v>
      </c>
      <c r="Z576" s="304" t="str">
        <f t="shared" si="466"/>
        <v/>
      </c>
      <c r="AA576" s="305" t="e">
        <f t="shared" si="467"/>
        <v>#N/A</v>
      </c>
      <c r="AB576" s="304">
        <f t="shared" si="468"/>
        <v>1.5378149932868894</v>
      </c>
      <c r="AC576" s="304" t="str">
        <f t="shared" si="495"/>
        <v/>
      </c>
      <c r="AD576" s="306">
        <f t="shared" si="469"/>
        <v>0</v>
      </c>
      <c r="AE576" s="307">
        <f t="shared" si="496"/>
        <v>1.5378149932868894</v>
      </c>
      <c r="AF576" s="308" t="e">
        <f t="shared" si="505"/>
        <v>#N/A</v>
      </c>
      <c r="AG576" s="306">
        <f t="shared" si="497"/>
        <v>1039.785125209783</v>
      </c>
      <c r="AH576" s="306">
        <f t="shared" si="470"/>
        <v>0</v>
      </c>
      <c r="AI576" s="306">
        <f t="shared" si="498"/>
        <v>0</v>
      </c>
      <c r="AJ576" s="306">
        <f t="shared" si="499"/>
        <v>0</v>
      </c>
      <c r="AK576" s="306">
        <f t="shared" si="471"/>
        <v>0</v>
      </c>
      <c r="AL576" s="306">
        <f t="shared" si="500"/>
        <v>0</v>
      </c>
      <c r="AM576" s="306">
        <f t="shared" si="472"/>
        <v>0</v>
      </c>
      <c r="AN576" s="306"/>
      <c r="AO576" s="304" t="str">
        <f t="shared" si="473"/>
        <v/>
      </c>
      <c r="AP576" s="304" t="str">
        <f t="shared" si="501"/>
        <v/>
      </c>
      <c r="AQ576" s="305" t="e">
        <f t="shared" si="507"/>
        <v>#N/A</v>
      </c>
      <c r="AR576" s="304" t="str">
        <f t="shared" si="508"/>
        <v/>
      </c>
      <c r="AS576" s="306">
        <f t="shared" si="474"/>
        <v>0</v>
      </c>
      <c r="AT576" s="307" t="e">
        <f t="shared" si="509"/>
        <v>#N/A</v>
      </c>
      <c r="AU576" s="307" t="e">
        <f t="shared" si="510"/>
        <v>#N/A</v>
      </c>
      <c r="AV576" s="304">
        <f t="shared" si="456"/>
        <v>4.4509781454770909</v>
      </c>
      <c r="AW576" s="309">
        <f t="shared" si="475"/>
        <v>54.728423889251545</v>
      </c>
      <c r="AX576" s="306">
        <f>IF(ISERROR(Weather!M560),#N/A,Weather!M560)</f>
        <v>0.8</v>
      </c>
      <c r="AY576" s="310">
        <f t="shared" si="476"/>
        <v>12</v>
      </c>
      <c r="AZ576" s="309">
        <f t="shared" si="477"/>
        <v>0.34550045923041806</v>
      </c>
      <c r="BA576" s="309">
        <f t="shared" si="478"/>
        <v>612.39689159968009</v>
      </c>
      <c r="BB576" s="311">
        <f>Irrig!H578</f>
        <v>0</v>
      </c>
      <c r="BC576" s="310">
        <f t="shared" si="479"/>
        <v>0</v>
      </c>
      <c r="BD576" s="309">
        <f t="shared" si="480"/>
        <v>0</v>
      </c>
      <c r="BE576" s="309">
        <f t="shared" si="481"/>
        <v>0</v>
      </c>
      <c r="BF576" s="306">
        <f>DailyMet!H560</f>
        <v>26.97</v>
      </c>
      <c r="BG576" s="306">
        <f>DailyMet!I560</f>
        <v>17.5</v>
      </c>
      <c r="BH576" s="306">
        <f t="shared" si="482"/>
        <v>26.97</v>
      </c>
      <c r="BI576" s="306">
        <f t="shared" si="483"/>
        <v>17.5</v>
      </c>
      <c r="BJ576" s="306">
        <f t="shared" si="484"/>
        <v>12.234999999999999</v>
      </c>
      <c r="BK576" s="306">
        <f t="shared" si="455"/>
        <v>0</v>
      </c>
      <c r="BL576" s="304">
        <f t="shared" si="485"/>
        <v>0</v>
      </c>
      <c r="BM576" s="304">
        <f t="shared" si="486"/>
        <v>12.234999999999999</v>
      </c>
      <c r="BN576" s="304">
        <f t="shared" si="503"/>
        <v>12.234999999999999</v>
      </c>
      <c r="BO576" s="306">
        <f t="shared" si="504"/>
        <v>0</v>
      </c>
      <c r="BP576" s="306"/>
    </row>
    <row r="577" spans="1:68">
      <c r="A577" s="299">
        <f t="shared" si="457"/>
        <v>0</v>
      </c>
      <c r="B577" s="300">
        <f t="shared" si="458"/>
        <v>38542</v>
      </c>
      <c r="C577" s="301" t="e">
        <f t="shared" si="487"/>
        <v>#N/A</v>
      </c>
      <c r="D577" s="301" t="e">
        <f t="shared" si="459"/>
        <v>#N/A</v>
      </c>
      <c r="E577" s="299">
        <f t="shared" si="460"/>
        <v>556</v>
      </c>
      <c r="F577" s="396">
        <f>Weather!M561</f>
        <v>6.4</v>
      </c>
      <c r="G577" s="301">
        <f>IF(Weather!C561="","",Weather!C561)</f>
        <v>4.4567544413690818</v>
      </c>
      <c r="H577" s="301">
        <f>IF(Weather!D561="","",Weather!D561)</f>
        <v>4.4175903643995147</v>
      </c>
      <c r="I577" s="502">
        <f>IF(Weather!E561="","",Weather!E561)</f>
        <v>4.4175903643995147</v>
      </c>
      <c r="J577" s="397">
        <f>IF(RnSplint!N240&lt;0,0,RnSplint!N240)</f>
        <v>25.653438272319899</v>
      </c>
      <c r="K577" s="302">
        <f t="shared" si="488"/>
        <v>0</v>
      </c>
      <c r="L577" s="303">
        <f t="shared" si="489"/>
        <v>38542</v>
      </c>
      <c r="M577" s="346" t="str">
        <f t="shared" si="506"/>
        <v/>
      </c>
      <c r="N577" s="304">
        <f t="shared" si="490"/>
        <v>0</v>
      </c>
      <c r="O577" s="304">
        <f t="shared" si="491"/>
        <v>0</v>
      </c>
      <c r="P577" s="304">
        <f t="shared" si="461"/>
        <v>0</v>
      </c>
      <c r="Q577" s="304">
        <f t="shared" si="462"/>
        <v>0.33193493062142454</v>
      </c>
      <c r="R577" s="304">
        <f t="shared" si="463"/>
        <v>0.33193493062142454</v>
      </c>
      <c r="S577" s="305" t="e">
        <f t="shared" si="492"/>
        <v>#N/A</v>
      </c>
      <c r="T577" s="304">
        <f t="shared" si="464"/>
        <v>0</v>
      </c>
      <c r="U577" s="304">
        <f t="shared" si="502"/>
        <v>0</v>
      </c>
      <c r="V577" s="305" t="e">
        <f t="shared" si="465"/>
        <v>#N/A</v>
      </c>
      <c r="W577" s="305" t="e">
        <f t="shared" si="493"/>
        <v>#N/A</v>
      </c>
      <c r="X577" s="304">
        <f t="shared" si="494"/>
        <v>0.33193493062142454</v>
      </c>
      <c r="Z577" s="304" t="str">
        <f t="shared" si="466"/>
        <v/>
      </c>
      <c r="AA577" s="305" t="e">
        <f t="shared" si="467"/>
        <v>#N/A</v>
      </c>
      <c r="AB577" s="304">
        <f t="shared" si="468"/>
        <v>1.4663525511208264</v>
      </c>
      <c r="AC577" s="304" t="str">
        <f t="shared" si="495"/>
        <v/>
      </c>
      <c r="AD577" s="306">
        <f t="shared" si="469"/>
        <v>0</v>
      </c>
      <c r="AE577" s="307">
        <f t="shared" si="496"/>
        <v>1.4663525511208264</v>
      </c>
      <c r="AF577" s="308" t="e">
        <f t="shared" si="505"/>
        <v>#N/A</v>
      </c>
      <c r="AG577" s="306">
        <f t="shared" si="497"/>
        <v>1044.2027155741825</v>
      </c>
      <c r="AH577" s="306">
        <f t="shared" si="470"/>
        <v>0</v>
      </c>
      <c r="AI577" s="306">
        <f t="shared" si="498"/>
        <v>0</v>
      </c>
      <c r="AJ577" s="306">
        <f t="shared" si="499"/>
        <v>0</v>
      </c>
      <c r="AK577" s="306">
        <f t="shared" si="471"/>
        <v>0</v>
      </c>
      <c r="AL577" s="306">
        <f t="shared" si="500"/>
        <v>0</v>
      </c>
      <c r="AM577" s="306">
        <f t="shared" si="472"/>
        <v>0</v>
      </c>
      <c r="AN577" s="306"/>
      <c r="AO577" s="304" t="str">
        <f t="shared" si="473"/>
        <v/>
      </c>
      <c r="AP577" s="304" t="str">
        <f t="shared" si="501"/>
        <v/>
      </c>
      <c r="AQ577" s="305" t="e">
        <f t="shared" si="507"/>
        <v>#N/A</v>
      </c>
      <c r="AR577" s="304" t="str">
        <f t="shared" si="508"/>
        <v/>
      </c>
      <c r="AS577" s="306">
        <f t="shared" si="474"/>
        <v>0</v>
      </c>
      <c r="AT577" s="307" t="e">
        <f t="shared" si="509"/>
        <v>#N/A</v>
      </c>
      <c r="AU577" s="307" t="e">
        <f t="shared" si="510"/>
        <v>#N/A</v>
      </c>
      <c r="AV577" s="304">
        <f t="shared" si="456"/>
        <v>4.4175903643995147</v>
      </c>
      <c r="AW577" s="309">
        <f t="shared" si="475"/>
        <v>59.14601425365106</v>
      </c>
      <c r="AX577" s="306">
        <f>IF(ISERROR(Weather!M561),#N/A,Weather!M561)</f>
        <v>6.4</v>
      </c>
      <c r="AY577" s="310">
        <f t="shared" si="476"/>
        <v>13</v>
      </c>
      <c r="AZ577" s="309">
        <f t="shared" si="477"/>
        <v>0.33193493062142454</v>
      </c>
      <c r="BA577" s="309">
        <f t="shared" si="478"/>
        <v>616.81448196407962</v>
      </c>
      <c r="BB577" s="311">
        <f>Irrig!H579</f>
        <v>0</v>
      </c>
      <c r="BC577" s="310">
        <f t="shared" si="479"/>
        <v>0</v>
      </c>
      <c r="BD577" s="309">
        <f t="shared" si="480"/>
        <v>0</v>
      </c>
      <c r="BE577" s="309">
        <f t="shared" si="481"/>
        <v>0</v>
      </c>
      <c r="BF577" s="306">
        <f>DailyMet!H561</f>
        <v>27.05</v>
      </c>
      <c r="BG577" s="306">
        <f>DailyMet!I561</f>
        <v>20.100000000000001</v>
      </c>
      <c r="BH577" s="306">
        <f t="shared" si="482"/>
        <v>27.05</v>
      </c>
      <c r="BI577" s="306">
        <f t="shared" si="483"/>
        <v>20.100000000000001</v>
      </c>
      <c r="BJ577" s="306">
        <f t="shared" si="484"/>
        <v>13.575000000000003</v>
      </c>
      <c r="BK577" s="306">
        <f t="shared" si="455"/>
        <v>0</v>
      </c>
      <c r="BL577" s="304">
        <f t="shared" si="485"/>
        <v>0</v>
      </c>
      <c r="BM577" s="304">
        <f t="shared" si="486"/>
        <v>13.575000000000003</v>
      </c>
      <c r="BN577" s="304">
        <f t="shared" si="503"/>
        <v>13.575000000000003</v>
      </c>
      <c r="BO577" s="306">
        <f t="shared" si="504"/>
        <v>0</v>
      </c>
      <c r="BP577" s="306"/>
    </row>
    <row r="578" spans="1:68">
      <c r="A578" s="299">
        <f t="shared" si="457"/>
        <v>0</v>
      </c>
      <c r="B578" s="300">
        <f t="shared" si="458"/>
        <v>38543</v>
      </c>
      <c r="C578" s="301" t="e">
        <f t="shared" si="487"/>
        <v>#N/A</v>
      </c>
      <c r="D578" s="301" t="e">
        <f t="shared" si="459"/>
        <v>#N/A</v>
      </c>
      <c r="E578" s="299">
        <f t="shared" si="460"/>
        <v>557</v>
      </c>
      <c r="F578" s="396">
        <f>Weather!M562</f>
        <v>0.8</v>
      </c>
      <c r="G578" s="301">
        <f>IF(Weather!C562="","",Weather!C562)</f>
        <v>4.4531215970876934</v>
      </c>
      <c r="H578" s="301">
        <f>IF(Weather!D562="","",Weather!D562)</f>
        <v>4.7621015055229519</v>
      </c>
      <c r="I578" s="502">
        <f>IF(Weather!E562="","",Weather!E562)</f>
        <v>4.7621015055229519</v>
      </c>
      <c r="J578" s="397">
        <f>IF(RnSplint!N241&lt;0,0,RnSplint!N241)</f>
        <v>26.527311331775746</v>
      </c>
      <c r="K578" s="302">
        <f t="shared" si="488"/>
        <v>0</v>
      </c>
      <c r="L578" s="303">
        <f t="shared" si="489"/>
        <v>38543</v>
      </c>
      <c r="M578" s="346" t="str">
        <f t="shared" si="506"/>
        <v/>
      </c>
      <c r="N578" s="304">
        <f t="shared" si="490"/>
        <v>0</v>
      </c>
      <c r="O578" s="304">
        <f t="shared" si="491"/>
        <v>0</v>
      </c>
      <c r="P578" s="304">
        <f t="shared" si="461"/>
        <v>0</v>
      </c>
      <c r="Q578" s="304">
        <f t="shared" si="462"/>
        <v>0.31893310706575306</v>
      </c>
      <c r="R578" s="304">
        <f t="shared" si="463"/>
        <v>0.31893310706575306</v>
      </c>
      <c r="S578" s="305" t="e">
        <f t="shared" si="492"/>
        <v>#N/A</v>
      </c>
      <c r="T578" s="304">
        <f t="shared" si="464"/>
        <v>0</v>
      </c>
      <c r="U578" s="304">
        <f t="shared" si="502"/>
        <v>0</v>
      </c>
      <c r="V578" s="305" t="e">
        <f t="shared" si="465"/>
        <v>#N/A</v>
      </c>
      <c r="W578" s="305" t="e">
        <f t="shared" si="493"/>
        <v>#N/A</v>
      </c>
      <c r="X578" s="304">
        <f t="shared" si="494"/>
        <v>0.31893310706575306</v>
      </c>
      <c r="Z578" s="304" t="str">
        <f t="shared" si="466"/>
        <v/>
      </c>
      <c r="AA578" s="305" t="e">
        <f t="shared" si="467"/>
        <v>#N/A</v>
      </c>
      <c r="AB578" s="304">
        <f t="shared" si="468"/>
        <v>1.5187918293189355</v>
      </c>
      <c r="AC578" s="304" t="str">
        <f t="shared" si="495"/>
        <v/>
      </c>
      <c r="AD578" s="306">
        <f t="shared" si="469"/>
        <v>0</v>
      </c>
      <c r="AE578" s="307">
        <f t="shared" si="496"/>
        <v>1.5187918293189355</v>
      </c>
      <c r="AF578" s="308" t="e">
        <f t="shared" si="505"/>
        <v>#N/A</v>
      </c>
      <c r="AG578" s="306">
        <f t="shared" si="497"/>
        <v>1048.9648170797054</v>
      </c>
      <c r="AH578" s="306">
        <f t="shared" si="470"/>
        <v>0</v>
      </c>
      <c r="AI578" s="306">
        <f t="shared" si="498"/>
        <v>0</v>
      </c>
      <c r="AJ578" s="306">
        <f t="shared" si="499"/>
        <v>0</v>
      </c>
      <c r="AK578" s="306">
        <f t="shared" si="471"/>
        <v>0</v>
      </c>
      <c r="AL578" s="306">
        <f t="shared" si="500"/>
        <v>0</v>
      </c>
      <c r="AM578" s="306">
        <f t="shared" si="472"/>
        <v>0</v>
      </c>
      <c r="AN578" s="306"/>
      <c r="AO578" s="304" t="str">
        <f t="shared" si="473"/>
        <v/>
      </c>
      <c r="AP578" s="304" t="str">
        <f t="shared" si="501"/>
        <v/>
      </c>
      <c r="AQ578" s="305" t="e">
        <f t="shared" si="507"/>
        <v>#N/A</v>
      </c>
      <c r="AR578" s="304" t="str">
        <f t="shared" si="508"/>
        <v/>
      </c>
      <c r="AS578" s="306">
        <f t="shared" si="474"/>
        <v>0</v>
      </c>
      <c r="AT578" s="307" t="e">
        <f t="shared" si="509"/>
        <v>#N/A</v>
      </c>
      <c r="AU578" s="307" t="e">
        <f t="shared" si="510"/>
        <v>#N/A</v>
      </c>
      <c r="AV578" s="304">
        <f t="shared" si="456"/>
        <v>4.7621015055229519</v>
      </c>
      <c r="AW578" s="309">
        <f t="shared" si="475"/>
        <v>63.908115759174009</v>
      </c>
      <c r="AX578" s="306">
        <f>IF(ISERROR(Weather!M562),#N/A,Weather!M562)</f>
        <v>0.8</v>
      </c>
      <c r="AY578" s="310">
        <f t="shared" si="476"/>
        <v>14</v>
      </c>
      <c r="AZ578" s="309">
        <f t="shared" si="477"/>
        <v>0.31893310706575306</v>
      </c>
      <c r="BA578" s="309">
        <f t="shared" si="478"/>
        <v>621.57658346960261</v>
      </c>
      <c r="BB578" s="311">
        <f>Irrig!H580</f>
        <v>0</v>
      </c>
      <c r="BC578" s="310">
        <f t="shared" si="479"/>
        <v>0</v>
      </c>
      <c r="BD578" s="309">
        <f t="shared" si="480"/>
        <v>0</v>
      </c>
      <c r="BE578" s="309">
        <f t="shared" si="481"/>
        <v>0</v>
      </c>
      <c r="BF578" s="306">
        <f>DailyMet!H562</f>
        <v>27.27</v>
      </c>
      <c r="BG578" s="306">
        <f>DailyMet!I562</f>
        <v>18</v>
      </c>
      <c r="BH578" s="306">
        <f t="shared" si="482"/>
        <v>27.27</v>
      </c>
      <c r="BI578" s="306">
        <f t="shared" si="483"/>
        <v>18</v>
      </c>
      <c r="BJ578" s="306">
        <f t="shared" si="484"/>
        <v>12.634999999999998</v>
      </c>
      <c r="BK578" s="306">
        <f t="shared" si="455"/>
        <v>0</v>
      </c>
      <c r="BL578" s="304">
        <f t="shared" si="485"/>
        <v>0</v>
      </c>
      <c r="BM578" s="304">
        <f t="shared" si="486"/>
        <v>12.634999999999998</v>
      </c>
      <c r="BN578" s="304">
        <f t="shared" si="503"/>
        <v>12.634999999999998</v>
      </c>
      <c r="BO578" s="306">
        <f t="shared" si="504"/>
        <v>0</v>
      </c>
      <c r="BP578" s="306"/>
    </row>
    <row r="579" spans="1:68">
      <c r="A579" s="299">
        <f t="shared" si="457"/>
        <v>0</v>
      </c>
      <c r="B579" s="300">
        <f t="shared" si="458"/>
        <v>38544</v>
      </c>
      <c r="C579" s="301" t="e">
        <f t="shared" si="487"/>
        <v>#N/A</v>
      </c>
      <c r="D579" s="301" t="e">
        <f t="shared" si="459"/>
        <v>#N/A</v>
      </c>
      <c r="E579" s="299">
        <f t="shared" si="460"/>
        <v>558</v>
      </c>
      <c r="F579" s="396">
        <f>Weather!M563</f>
        <v>2.4</v>
      </c>
      <c r="G579" s="301">
        <f>IF(Weather!C563="","",Weather!C563)</f>
        <v>4.4486229130235637</v>
      </c>
      <c r="H579" s="301">
        <f>IF(Weather!D563="","",Weather!D563)</f>
        <v>4.8331833809099534</v>
      </c>
      <c r="I579" s="502">
        <f>IF(Weather!E563="","",Weather!E563)</f>
        <v>4.8331833809099534</v>
      </c>
      <c r="J579" s="397">
        <f>IF(RnSplint!N242&lt;0,0,RnSplint!N242)</f>
        <v>27.370272265450986</v>
      </c>
      <c r="K579" s="302">
        <f t="shared" si="488"/>
        <v>0</v>
      </c>
      <c r="L579" s="303">
        <f t="shared" si="489"/>
        <v>38544</v>
      </c>
      <c r="M579" s="346" t="str">
        <f t="shared" si="506"/>
        <v/>
      </c>
      <c r="N579" s="304">
        <f t="shared" si="490"/>
        <v>0</v>
      </c>
      <c r="O579" s="304">
        <f t="shared" si="491"/>
        <v>0</v>
      </c>
      <c r="P579" s="304">
        <f t="shared" si="461"/>
        <v>0</v>
      </c>
      <c r="Q579" s="304">
        <f t="shared" si="462"/>
        <v>0.30715822911044166</v>
      </c>
      <c r="R579" s="304">
        <f t="shared" si="463"/>
        <v>0.30715822911044166</v>
      </c>
      <c r="S579" s="305" t="e">
        <f t="shared" si="492"/>
        <v>#N/A</v>
      </c>
      <c r="T579" s="304">
        <f t="shared" si="464"/>
        <v>0</v>
      </c>
      <c r="U579" s="304">
        <f t="shared" si="502"/>
        <v>0</v>
      </c>
      <c r="V579" s="305" t="e">
        <f t="shared" si="465"/>
        <v>#N/A</v>
      </c>
      <c r="W579" s="305" t="e">
        <f t="shared" si="493"/>
        <v>#N/A</v>
      </c>
      <c r="X579" s="304">
        <f t="shared" si="494"/>
        <v>0.30715822911044166</v>
      </c>
      <c r="Z579" s="304" t="str">
        <f t="shared" si="466"/>
        <v/>
      </c>
      <c r="AA579" s="305" t="e">
        <f t="shared" si="467"/>
        <v>#N/A</v>
      </c>
      <c r="AB579" s="304">
        <f t="shared" si="468"/>
        <v>1.4845520482463186</v>
      </c>
      <c r="AC579" s="304" t="str">
        <f t="shared" si="495"/>
        <v/>
      </c>
      <c r="AD579" s="306">
        <f t="shared" si="469"/>
        <v>0</v>
      </c>
      <c r="AE579" s="307">
        <f t="shared" si="496"/>
        <v>1.4845520482463186</v>
      </c>
      <c r="AF579" s="308" t="e">
        <f t="shared" si="505"/>
        <v>#N/A</v>
      </c>
      <c r="AG579" s="306">
        <f t="shared" si="497"/>
        <v>1053.7980004606154</v>
      </c>
      <c r="AH579" s="306">
        <f t="shared" si="470"/>
        <v>0</v>
      </c>
      <c r="AI579" s="306">
        <f t="shared" si="498"/>
        <v>0</v>
      </c>
      <c r="AJ579" s="306">
        <f t="shared" si="499"/>
        <v>0</v>
      </c>
      <c r="AK579" s="306">
        <f t="shared" si="471"/>
        <v>0</v>
      </c>
      <c r="AL579" s="306">
        <f t="shared" si="500"/>
        <v>0</v>
      </c>
      <c r="AM579" s="306">
        <f t="shared" si="472"/>
        <v>0</v>
      </c>
      <c r="AN579" s="306"/>
      <c r="AO579" s="304" t="str">
        <f t="shared" si="473"/>
        <v/>
      </c>
      <c r="AP579" s="304" t="str">
        <f t="shared" si="501"/>
        <v/>
      </c>
      <c r="AQ579" s="305" t="e">
        <f t="shared" si="507"/>
        <v>#N/A</v>
      </c>
      <c r="AR579" s="304" t="str">
        <f t="shared" si="508"/>
        <v/>
      </c>
      <c r="AS579" s="306">
        <f t="shared" si="474"/>
        <v>0</v>
      </c>
      <c r="AT579" s="307" t="e">
        <f t="shared" si="509"/>
        <v>#N/A</v>
      </c>
      <c r="AU579" s="307" t="e">
        <f t="shared" si="510"/>
        <v>#N/A</v>
      </c>
      <c r="AV579" s="304">
        <f t="shared" si="456"/>
        <v>4.8331833809099534</v>
      </c>
      <c r="AW579" s="309">
        <f t="shared" si="475"/>
        <v>68.741299140083967</v>
      </c>
      <c r="AX579" s="306">
        <f>IF(ISERROR(Weather!M563),#N/A,Weather!M563)</f>
        <v>2.4</v>
      </c>
      <c r="AY579" s="310">
        <f t="shared" si="476"/>
        <v>15</v>
      </c>
      <c r="AZ579" s="309">
        <f t="shared" si="477"/>
        <v>0.30715822911044166</v>
      </c>
      <c r="BA579" s="309">
        <f t="shared" si="478"/>
        <v>626.4097668505126</v>
      </c>
      <c r="BB579" s="311">
        <f>Irrig!H581</f>
        <v>0</v>
      </c>
      <c r="BC579" s="310">
        <f t="shared" si="479"/>
        <v>0</v>
      </c>
      <c r="BD579" s="309">
        <f t="shared" si="480"/>
        <v>0</v>
      </c>
      <c r="BE579" s="309">
        <f t="shared" si="481"/>
        <v>0</v>
      </c>
      <c r="BF579" s="306">
        <f>DailyMet!H563</f>
        <v>27.33</v>
      </c>
      <c r="BG579" s="306">
        <f>DailyMet!I563</f>
        <v>20.7</v>
      </c>
      <c r="BH579" s="306">
        <f t="shared" si="482"/>
        <v>27.33</v>
      </c>
      <c r="BI579" s="306">
        <f t="shared" si="483"/>
        <v>20.7</v>
      </c>
      <c r="BJ579" s="306">
        <f t="shared" si="484"/>
        <v>14.015000000000001</v>
      </c>
      <c r="BK579" s="306">
        <f t="shared" si="455"/>
        <v>0</v>
      </c>
      <c r="BL579" s="304">
        <f t="shared" si="485"/>
        <v>0</v>
      </c>
      <c r="BM579" s="304">
        <f t="shared" si="486"/>
        <v>14.015000000000001</v>
      </c>
      <c r="BN579" s="304">
        <f t="shared" si="503"/>
        <v>14.015000000000001</v>
      </c>
      <c r="BO579" s="306">
        <f t="shared" si="504"/>
        <v>0</v>
      </c>
      <c r="BP579" s="306"/>
    </row>
    <row r="580" spans="1:68">
      <c r="A580" s="299">
        <f t="shared" si="457"/>
        <v>0</v>
      </c>
      <c r="B580" s="300">
        <f t="shared" si="458"/>
        <v>38545</v>
      </c>
      <c r="C580" s="301" t="e">
        <f t="shared" si="487"/>
        <v>#N/A</v>
      </c>
      <c r="D580" s="301" t="e">
        <f t="shared" si="459"/>
        <v>#N/A</v>
      </c>
      <c r="E580" s="299">
        <f t="shared" si="460"/>
        <v>559</v>
      </c>
      <c r="F580" s="396">
        <f>Weather!M564</f>
        <v>0.8</v>
      </c>
      <c r="G580" s="301">
        <f>IF(Weather!C564="","",Weather!C564)</f>
        <v>4.4432879069294788</v>
      </c>
      <c r="H580" s="301">
        <f>IF(Weather!D564="","",Weather!D564)</f>
        <v>5.1474550835259034</v>
      </c>
      <c r="I580" s="502">
        <f>IF(Weather!E564="","",Weather!E564)</f>
        <v>5.1474550835259034</v>
      </c>
      <c r="J580" s="397">
        <f>IF(RnSplint!N243&lt;0,0,RnSplint!N243)</f>
        <v>28.178852643427959</v>
      </c>
      <c r="K580" s="302">
        <f t="shared" si="488"/>
        <v>0</v>
      </c>
      <c r="L580" s="303">
        <f t="shared" si="489"/>
        <v>38545</v>
      </c>
      <c r="M580" s="346" t="str">
        <f t="shared" si="506"/>
        <v/>
      </c>
      <c r="N580" s="304">
        <f t="shared" si="490"/>
        <v>0</v>
      </c>
      <c r="O580" s="304">
        <f t="shared" si="491"/>
        <v>0</v>
      </c>
      <c r="P580" s="304">
        <f t="shared" si="461"/>
        <v>0</v>
      </c>
      <c r="Q580" s="304">
        <f t="shared" si="462"/>
        <v>0.29592392656795791</v>
      </c>
      <c r="R580" s="304">
        <f t="shared" si="463"/>
        <v>0.29592392656795791</v>
      </c>
      <c r="S580" s="305" t="e">
        <f t="shared" si="492"/>
        <v>#N/A</v>
      </c>
      <c r="T580" s="304">
        <f t="shared" si="464"/>
        <v>0</v>
      </c>
      <c r="U580" s="304">
        <f t="shared" si="502"/>
        <v>0</v>
      </c>
      <c r="V580" s="305" t="e">
        <f t="shared" si="465"/>
        <v>#N/A</v>
      </c>
      <c r="W580" s="305" t="e">
        <f t="shared" si="493"/>
        <v>#N/A</v>
      </c>
      <c r="X580" s="304">
        <f t="shared" si="494"/>
        <v>0.29592392656795791</v>
      </c>
      <c r="Z580" s="304" t="str">
        <f t="shared" si="466"/>
        <v/>
      </c>
      <c r="AA580" s="305" t="e">
        <f t="shared" si="467"/>
        <v>#N/A</v>
      </c>
      <c r="AB580" s="304">
        <f t="shared" si="468"/>
        <v>1.5232551201491811</v>
      </c>
      <c r="AC580" s="304" t="str">
        <f t="shared" si="495"/>
        <v/>
      </c>
      <c r="AD580" s="306">
        <f t="shared" si="469"/>
        <v>0</v>
      </c>
      <c r="AE580" s="307">
        <f t="shared" si="496"/>
        <v>1.5232551201491811</v>
      </c>
      <c r="AF580" s="308" t="e">
        <f t="shared" si="505"/>
        <v>#N/A</v>
      </c>
      <c r="AG580" s="306">
        <f t="shared" si="497"/>
        <v>1058.9454555441414</v>
      </c>
      <c r="AH580" s="306">
        <f t="shared" si="470"/>
        <v>0</v>
      </c>
      <c r="AI580" s="306">
        <f t="shared" si="498"/>
        <v>0</v>
      </c>
      <c r="AJ580" s="306">
        <f t="shared" si="499"/>
        <v>0</v>
      </c>
      <c r="AK580" s="306">
        <f t="shared" si="471"/>
        <v>0</v>
      </c>
      <c r="AL580" s="306">
        <f t="shared" si="500"/>
        <v>0</v>
      </c>
      <c r="AM580" s="306">
        <f t="shared" si="472"/>
        <v>0</v>
      </c>
      <c r="AN580" s="306"/>
      <c r="AO580" s="304" t="str">
        <f t="shared" si="473"/>
        <v/>
      </c>
      <c r="AP580" s="304" t="str">
        <f t="shared" si="501"/>
        <v/>
      </c>
      <c r="AQ580" s="305" t="e">
        <f t="shared" si="507"/>
        <v>#N/A</v>
      </c>
      <c r="AR580" s="304" t="str">
        <f t="shared" si="508"/>
        <v/>
      </c>
      <c r="AS580" s="306">
        <f t="shared" si="474"/>
        <v>0</v>
      </c>
      <c r="AT580" s="307" t="e">
        <f t="shared" si="509"/>
        <v>#N/A</v>
      </c>
      <c r="AU580" s="307" t="e">
        <f t="shared" si="510"/>
        <v>#N/A</v>
      </c>
      <c r="AV580" s="304">
        <f t="shared" si="456"/>
        <v>5.1474550835259034</v>
      </c>
      <c r="AW580" s="309">
        <f t="shared" si="475"/>
        <v>73.888754223609865</v>
      </c>
      <c r="AX580" s="306">
        <f>IF(ISERROR(Weather!M564),#N/A,Weather!M564)</f>
        <v>0.8</v>
      </c>
      <c r="AY580" s="310">
        <f t="shared" si="476"/>
        <v>16</v>
      </c>
      <c r="AZ580" s="309">
        <f t="shared" si="477"/>
        <v>0.29592392656795791</v>
      </c>
      <c r="BA580" s="309">
        <f t="shared" si="478"/>
        <v>631.55722193403847</v>
      </c>
      <c r="BB580" s="311">
        <f>Irrig!H582</f>
        <v>0</v>
      </c>
      <c r="BC580" s="310">
        <f t="shared" si="479"/>
        <v>0</v>
      </c>
      <c r="BD580" s="309">
        <f t="shared" si="480"/>
        <v>0</v>
      </c>
      <c r="BE580" s="309">
        <f t="shared" si="481"/>
        <v>0</v>
      </c>
      <c r="BF580" s="306">
        <f>DailyMet!H564</f>
        <v>26.48</v>
      </c>
      <c r="BG580" s="306">
        <f>DailyMet!I564</f>
        <v>18.8</v>
      </c>
      <c r="BH580" s="306">
        <f t="shared" si="482"/>
        <v>26.48</v>
      </c>
      <c r="BI580" s="306">
        <f t="shared" si="483"/>
        <v>18.8</v>
      </c>
      <c r="BJ580" s="306">
        <f t="shared" si="484"/>
        <v>12.64</v>
      </c>
      <c r="BK580" s="306">
        <f t="shared" si="455"/>
        <v>0</v>
      </c>
      <c r="BL580" s="304">
        <f t="shared" si="485"/>
        <v>0</v>
      </c>
      <c r="BM580" s="304">
        <f t="shared" si="486"/>
        <v>12.64</v>
      </c>
      <c r="BN580" s="304">
        <f t="shared" si="503"/>
        <v>12.64</v>
      </c>
      <c r="BO580" s="306">
        <f t="shared" si="504"/>
        <v>0</v>
      </c>
      <c r="BP580" s="306"/>
    </row>
    <row r="581" spans="1:68">
      <c r="A581" s="299">
        <f t="shared" si="457"/>
        <v>0</v>
      </c>
      <c r="B581" s="300">
        <f t="shared" si="458"/>
        <v>38546</v>
      </c>
      <c r="C581" s="301" t="e">
        <f t="shared" si="487"/>
        <v>#N/A</v>
      </c>
      <c r="D581" s="301" t="e">
        <f t="shared" si="459"/>
        <v>#N/A</v>
      </c>
      <c r="E581" s="299">
        <f t="shared" si="460"/>
        <v>560</v>
      </c>
      <c r="F581" s="396">
        <f>Weather!M565</f>
        <v>0</v>
      </c>
      <c r="G581" s="301">
        <f>IF(Weather!C565="","",Weather!C565)</f>
        <v>4.4371460965582248</v>
      </c>
      <c r="H581" s="301">
        <f>IF(Weather!D565="","",Weather!D565)</f>
        <v>4.4444365747997825</v>
      </c>
      <c r="I581" s="502">
        <f>IF(Weather!E565="","",Weather!E565)</f>
        <v>4.4444365747997825</v>
      </c>
      <c r="J581" s="397">
        <f>IF(RnSplint!N244&lt;0,0,RnSplint!N244)</f>
        <v>28.949584035789002</v>
      </c>
      <c r="K581" s="302">
        <f t="shared" si="488"/>
        <v>0</v>
      </c>
      <c r="L581" s="303">
        <f t="shared" si="489"/>
        <v>38546</v>
      </c>
      <c r="M581" s="346" t="str">
        <f t="shared" si="506"/>
        <v/>
      </c>
      <c r="N581" s="304">
        <f t="shared" si="490"/>
        <v>0</v>
      </c>
      <c r="O581" s="304">
        <f t="shared" si="491"/>
        <v>0</v>
      </c>
      <c r="P581" s="304">
        <f t="shared" si="461"/>
        <v>0</v>
      </c>
      <c r="Q581" s="304">
        <f t="shared" si="462"/>
        <v>0.28713786367598454</v>
      </c>
      <c r="R581" s="304">
        <f t="shared" si="463"/>
        <v>0.28713786367598454</v>
      </c>
      <c r="S581" s="305" t="e">
        <f t="shared" si="492"/>
        <v>#N/A</v>
      </c>
      <c r="T581" s="304">
        <f t="shared" si="464"/>
        <v>0</v>
      </c>
      <c r="U581" s="304">
        <f t="shared" si="502"/>
        <v>0</v>
      </c>
      <c r="V581" s="305" t="e">
        <f t="shared" si="465"/>
        <v>#N/A</v>
      </c>
      <c r="W581" s="305" t="e">
        <f t="shared" si="493"/>
        <v>#N/A</v>
      </c>
      <c r="X581" s="304">
        <f t="shared" si="494"/>
        <v>0.28713786367598454</v>
      </c>
      <c r="Z581" s="304" t="str">
        <f t="shared" si="466"/>
        <v/>
      </c>
      <c r="AA581" s="305" t="e">
        <f t="shared" si="467"/>
        <v>#N/A</v>
      </c>
      <c r="AB581" s="304">
        <f t="shared" si="468"/>
        <v>1.2761660233314196</v>
      </c>
      <c r="AC581" s="304" t="str">
        <f t="shared" si="495"/>
        <v/>
      </c>
      <c r="AD581" s="306">
        <f t="shared" si="469"/>
        <v>0</v>
      </c>
      <c r="AE581" s="307">
        <f t="shared" si="496"/>
        <v>1.2761660233314196</v>
      </c>
      <c r="AF581" s="308" t="e">
        <f t="shared" si="505"/>
        <v>#N/A</v>
      </c>
      <c r="AG581" s="306">
        <f t="shared" si="497"/>
        <v>1063.3898921189411</v>
      </c>
      <c r="AH581" s="306">
        <f t="shared" si="470"/>
        <v>0</v>
      </c>
      <c r="AI581" s="306">
        <f t="shared" si="498"/>
        <v>0</v>
      </c>
      <c r="AJ581" s="306">
        <f t="shared" si="499"/>
        <v>0</v>
      </c>
      <c r="AK581" s="306">
        <f t="shared" si="471"/>
        <v>0</v>
      </c>
      <c r="AL581" s="306">
        <f t="shared" si="500"/>
        <v>0</v>
      </c>
      <c r="AM581" s="306">
        <f t="shared" si="472"/>
        <v>0</v>
      </c>
      <c r="AN581" s="306"/>
      <c r="AO581" s="304" t="str">
        <f t="shared" si="473"/>
        <v/>
      </c>
      <c r="AP581" s="304" t="str">
        <f t="shared" si="501"/>
        <v/>
      </c>
      <c r="AQ581" s="305" t="e">
        <f t="shared" si="507"/>
        <v>#N/A</v>
      </c>
      <c r="AR581" s="304" t="str">
        <f t="shared" si="508"/>
        <v/>
      </c>
      <c r="AS581" s="306">
        <f t="shared" si="474"/>
        <v>0</v>
      </c>
      <c r="AT581" s="307" t="e">
        <f t="shared" si="509"/>
        <v>#N/A</v>
      </c>
      <c r="AU581" s="307" t="e">
        <f t="shared" si="510"/>
        <v>#N/A</v>
      </c>
      <c r="AV581" s="304">
        <f t="shared" si="456"/>
        <v>4.4444365747997825</v>
      </c>
      <c r="AW581" s="309">
        <f t="shared" si="475"/>
        <v>78.333190798409646</v>
      </c>
      <c r="AX581" s="306">
        <f>IF(ISERROR(Weather!M565),#N/A,Weather!M565)</f>
        <v>0</v>
      </c>
      <c r="AY581" s="310">
        <f t="shared" si="476"/>
        <v>17</v>
      </c>
      <c r="AZ581" s="309">
        <f t="shared" si="477"/>
        <v>0.28713786367598454</v>
      </c>
      <c r="BA581" s="309">
        <f t="shared" si="478"/>
        <v>636.0016585088382</v>
      </c>
      <c r="BB581" s="311">
        <f>Irrig!H583</f>
        <v>0</v>
      </c>
      <c r="BC581" s="310">
        <f t="shared" si="479"/>
        <v>0</v>
      </c>
      <c r="BD581" s="309">
        <f t="shared" si="480"/>
        <v>0</v>
      </c>
      <c r="BE581" s="309">
        <f t="shared" si="481"/>
        <v>0</v>
      </c>
      <c r="BF581" s="306">
        <f>DailyMet!H565</f>
        <v>24.96</v>
      </c>
      <c r="BG581" s="306">
        <f>DailyMet!I565</f>
        <v>18.2</v>
      </c>
      <c r="BH581" s="306">
        <f t="shared" si="482"/>
        <v>24.96</v>
      </c>
      <c r="BI581" s="306">
        <f t="shared" si="483"/>
        <v>18.2</v>
      </c>
      <c r="BJ581" s="306">
        <f t="shared" si="484"/>
        <v>11.579999999999998</v>
      </c>
      <c r="BK581" s="306">
        <f t="shared" si="455"/>
        <v>0</v>
      </c>
      <c r="BL581" s="304">
        <f t="shared" si="485"/>
        <v>0</v>
      </c>
      <c r="BM581" s="304">
        <f t="shared" si="486"/>
        <v>11.579999999999998</v>
      </c>
      <c r="BN581" s="304">
        <f t="shared" si="503"/>
        <v>11.579999999999998</v>
      </c>
      <c r="BO581" s="306">
        <f t="shared" si="504"/>
        <v>0</v>
      </c>
      <c r="BP581" s="306"/>
    </row>
    <row r="582" spans="1:68">
      <c r="A582" s="299">
        <f t="shared" si="457"/>
        <v>0</v>
      </c>
      <c r="B582" s="300">
        <f t="shared" si="458"/>
        <v>38547</v>
      </c>
      <c r="C582" s="301" t="e">
        <f t="shared" si="487"/>
        <v>#N/A</v>
      </c>
      <c r="D582" s="301" t="e">
        <f t="shared" si="459"/>
        <v>#N/A</v>
      </c>
      <c r="E582" s="299">
        <f t="shared" si="460"/>
        <v>561</v>
      </c>
      <c r="F582" s="396">
        <f>Weather!M566</f>
        <v>0</v>
      </c>
      <c r="G582" s="301">
        <f>IF(Weather!C566="","",Weather!C566)</f>
        <v>4.4302269996625849</v>
      </c>
      <c r="H582" s="301">
        <f>IF(Weather!D566="","",Weather!D566)</f>
        <v>4.154374970844211</v>
      </c>
      <c r="I582" s="502">
        <f>IF(Weather!E566="","",Weather!E566)</f>
        <v>4.154374970844211</v>
      </c>
      <c r="J582" s="397">
        <f>IF(RnSplint!N245&lt;0,0,RnSplint!N245)</f>
        <v>29.678998012616461</v>
      </c>
      <c r="K582" s="302">
        <f t="shared" si="488"/>
        <v>0</v>
      </c>
      <c r="L582" s="303">
        <f t="shared" si="489"/>
        <v>38547</v>
      </c>
      <c r="M582" s="346" t="str">
        <f t="shared" si="506"/>
        <v/>
      </c>
      <c r="N582" s="304">
        <f t="shared" si="490"/>
        <v>0</v>
      </c>
      <c r="O582" s="304">
        <f t="shared" si="491"/>
        <v>0</v>
      </c>
      <c r="P582" s="304">
        <f t="shared" si="461"/>
        <v>0</v>
      </c>
      <c r="Q582" s="304">
        <f t="shared" si="462"/>
        <v>0.27958254055871562</v>
      </c>
      <c r="R582" s="304">
        <f t="shared" si="463"/>
        <v>0.27958254055871562</v>
      </c>
      <c r="S582" s="305" t="e">
        <f t="shared" si="492"/>
        <v>#N/A</v>
      </c>
      <c r="T582" s="304">
        <f t="shared" si="464"/>
        <v>0</v>
      </c>
      <c r="U582" s="304">
        <f t="shared" si="502"/>
        <v>0</v>
      </c>
      <c r="V582" s="305" t="e">
        <f t="shared" si="465"/>
        <v>#N/A</v>
      </c>
      <c r="W582" s="305" t="e">
        <f t="shared" si="493"/>
        <v>#N/A</v>
      </c>
      <c r="X582" s="304">
        <f t="shared" si="494"/>
        <v>0.27958254055871562</v>
      </c>
      <c r="Z582" s="304" t="str">
        <f t="shared" si="466"/>
        <v/>
      </c>
      <c r="AA582" s="305" t="e">
        <f t="shared" si="467"/>
        <v>#N/A</v>
      </c>
      <c r="AB582" s="304">
        <f t="shared" si="468"/>
        <v>1.1614907087821646</v>
      </c>
      <c r="AC582" s="304" t="str">
        <f t="shared" si="495"/>
        <v/>
      </c>
      <c r="AD582" s="306">
        <f t="shared" si="469"/>
        <v>0</v>
      </c>
      <c r="AE582" s="307">
        <f t="shared" si="496"/>
        <v>1.1614907087821646</v>
      </c>
      <c r="AF582" s="308" t="e">
        <f t="shared" si="505"/>
        <v>#N/A</v>
      </c>
      <c r="AG582" s="306">
        <f t="shared" si="497"/>
        <v>1067.5442670897853</v>
      </c>
      <c r="AH582" s="306">
        <f t="shared" si="470"/>
        <v>0</v>
      </c>
      <c r="AI582" s="306">
        <f t="shared" si="498"/>
        <v>0</v>
      </c>
      <c r="AJ582" s="306">
        <f t="shared" si="499"/>
        <v>0</v>
      </c>
      <c r="AK582" s="306">
        <f t="shared" si="471"/>
        <v>0</v>
      </c>
      <c r="AL582" s="306">
        <f t="shared" si="500"/>
        <v>0</v>
      </c>
      <c r="AM582" s="306">
        <f t="shared" si="472"/>
        <v>0</v>
      </c>
      <c r="AN582" s="306"/>
      <c r="AO582" s="304" t="str">
        <f t="shared" si="473"/>
        <v/>
      </c>
      <c r="AP582" s="304" t="str">
        <f t="shared" si="501"/>
        <v/>
      </c>
      <c r="AQ582" s="305" t="e">
        <f t="shared" si="507"/>
        <v>#N/A</v>
      </c>
      <c r="AR582" s="304" t="str">
        <f t="shared" si="508"/>
        <v/>
      </c>
      <c r="AS582" s="306">
        <f t="shared" si="474"/>
        <v>0</v>
      </c>
      <c r="AT582" s="307" t="e">
        <f t="shared" si="509"/>
        <v>#N/A</v>
      </c>
      <c r="AU582" s="307" t="e">
        <f t="shared" si="510"/>
        <v>#N/A</v>
      </c>
      <c r="AV582" s="304">
        <f t="shared" si="456"/>
        <v>4.154374970844211</v>
      </c>
      <c r="AW582" s="309">
        <f t="shared" si="475"/>
        <v>82.487565769253862</v>
      </c>
      <c r="AX582" s="306">
        <f>IF(ISERROR(Weather!M566),#N/A,Weather!M566)</f>
        <v>0</v>
      </c>
      <c r="AY582" s="310">
        <f t="shared" si="476"/>
        <v>18</v>
      </c>
      <c r="AZ582" s="309">
        <f t="shared" si="477"/>
        <v>0.27958254055871562</v>
      </c>
      <c r="BA582" s="309">
        <f t="shared" si="478"/>
        <v>640.15603347968238</v>
      </c>
      <c r="BB582" s="311">
        <f>Irrig!H584</f>
        <v>0</v>
      </c>
      <c r="BC582" s="310">
        <f t="shared" si="479"/>
        <v>0</v>
      </c>
      <c r="BD582" s="309">
        <f t="shared" si="480"/>
        <v>0</v>
      </c>
      <c r="BE582" s="309">
        <f t="shared" si="481"/>
        <v>0</v>
      </c>
      <c r="BF582" s="306">
        <f>DailyMet!H566</f>
        <v>26.34</v>
      </c>
      <c r="BG582" s="306">
        <f>DailyMet!I566</f>
        <v>18.600000000000001</v>
      </c>
      <c r="BH582" s="306">
        <f t="shared" si="482"/>
        <v>26.34</v>
      </c>
      <c r="BI582" s="306">
        <f t="shared" si="483"/>
        <v>18.600000000000001</v>
      </c>
      <c r="BJ582" s="306">
        <f t="shared" si="484"/>
        <v>12.469999999999999</v>
      </c>
      <c r="BK582" s="306">
        <f t="shared" si="455"/>
        <v>0</v>
      </c>
      <c r="BL582" s="304">
        <f t="shared" si="485"/>
        <v>0</v>
      </c>
      <c r="BM582" s="304">
        <f t="shared" si="486"/>
        <v>12.469999999999999</v>
      </c>
      <c r="BN582" s="304">
        <f t="shared" si="503"/>
        <v>12.469999999999999</v>
      </c>
      <c r="BO582" s="306">
        <f t="shared" si="504"/>
        <v>0</v>
      </c>
      <c r="BP582" s="306"/>
    </row>
    <row r="583" spans="1:68">
      <c r="A583" s="299">
        <f t="shared" si="457"/>
        <v>0</v>
      </c>
      <c r="B583" s="300">
        <f t="shared" si="458"/>
        <v>38548</v>
      </c>
      <c r="C583" s="301" t="e">
        <f t="shared" si="487"/>
        <v>#N/A</v>
      </c>
      <c r="D583" s="301" t="e">
        <f t="shared" si="459"/>
        <v>#N/A</v>
      </c>
      <c r="E583" s="299">
        <f t="shared" si="460"/>
        <v>562</v>
      </c>
      <c r="F583" s="396">
        <f>Weather!M567</f>
        <v>2.6</v>
      </c>
      <c r="G583" s="301">
        <f>IF(Weather!C567="","",Weather!C567)</f>
        <v>4.4225601339953453</v>
      </c>
      <c r="H583" s="301">
        <f>IF(Weather!D567="","",Weather!D567)</f>
        <v>4.3856695518355373</v>
      </c>
      <c r="I583" s="502">
        <f>IF(Weather!E567="","",Weather!E567)</f>
        <v>4.3856695518355373</v>
      </c>
      <c r="J583" s="397">
        <f>IF(RnSplint!N246&lt;0,0,RnSplint!N246)</f>
        <v>30.363626143992683</v>
      </c>
      <c r="K583" s="302">
        <f t="shared" si="488"/>
        <v>0</v>
      </c>
      <c r="L583" s="303">
        <f t="shared" si="489"/>
        <v>38548</v>
      </c>
      <c r="M583" s="346" t="str">
        <f t="shared" si="506"/>
        <v/>
      </c>
      <c r="N583" s="304">
        <f t="shared" si="490"/>
        <v>0</v>
      </c>
      <c r="O583" s="304">
        <f t="shared" si="491"/>
        <v>0</v>
      </c>
      <c r="P583" s="304">
        <f t="shared" si="461"/>
        <v>0</v>
      </c>
      <c r="Q583" s="304">
        <f t="shared" si="462"/>
        <v>0.27220828088896087</v>
      </c>
      <c r="R583" s="304">
        <f t="shared" si="463"/>
        <v>0.27220828088896087</v>
      </c>
      <c r="S583" s="305" t="e">
        <f t="shared" si="492"/>
        <v>#N/A</v>
      </c>
      <c r="T583" s="304">
        <f t="shared" si="464"/>
        <v>0</v>
      </c>
      <c r="U583" s="304">
        <f t="shared" si="502"/>
        <v>0</v>
      </c>
      <c r="V583" s="305" t="e">
        <f t="shared" si="465"/>
        <v>#N/A</v>
      </c>
      <c r="W583" s="305" t="e">
        <f t="shared" si="493"/>
        <v>#N/A</v>
      </c>
      <c r="X583" s="304">
        <f t="shared" si="494"/>
        <v>0.27220828088896087</v>
      </c>
      <c r="Z583" s="304" t="str">
        <f t="shared" si="466"/>
        <v/>
      </c>
      <c r="AA583" s="305" t="e">
        <f t="shared" si="467"/>
        <v>#N/A</v>
      </c>
      <c r="AB583" s="304">
        <f t="shared" si="468"/>
        <v>1.193815569252211</v>
      </c>
      <c r="AC583" s="304" t="str">
        <f t="shared" si="495"/>
        <v/>
      </c>
      <c r="AD583" s="306">
        <f t="shared" si="469"/>
        <v>0</v>
      </c>
      <c r="AE583" s="307">
        <f t="shared" si="496"/>
        <v>1.193815569252211</v>
      </c>
      <c r="AF583" s="308" t="e">
        <f t="shared" si="505"/>
        <v>#N/A</v>
      </c>
      <c r="AG583" s="306">
        <f t="shared" si="497"/>
        <v>1071.9299366416208</v>
      </c>
      <c r="AH583" s="306">
        <f t="shared" si="470"/>
        <v>0</v>
      </c>
      <c r="AI583" s="306">
        <f t="shared" si="498"/>
        <v>0</v>
      </c>
      <c r="AJ583" s="306">
        <f t="shared" si="499"/>
        <v>0</v>
      </c>
      <c r="AK583" s="306">
        <f t="shared" si="471"/>
        <v>0</v>
      </c>
      <c r="AL583" s="306">
        <f t="shared" si="500"/>
        <v>0</v>
      </c>
      <c r="AM583" s="306">
        <f t="shared" si="472"/>
        <v>0</v>
      </c>
      <c r="AN583" s="306"/>
      <c r="AO583" s="304" t="str">
        <f t="shared" si="473"/>
        <v/>
      </c>
      <c r="AP583" s="304" t="str">
        <f t="shared" si="501"/>
        <v/>
      </c>
      <c r="AQ583" s="305" t="e">
        <f t="shared" si="507"/>
        <v>#N/A</v>
      </c>
      <c r="AR583" s="304" t="str">
        <f t="shared" si="508"/>
        <v/>
      </c>
      <c r="AS583" s="306">
        <f t="shared" si="474"/>
        <v>0</v>
      </c>
      <c r="AT583" s="307" t="e">
        <f t="shared" si="509"/>
        <v>#N/A</v>
      </c>
      <c r="AU583" s="307" t="e">
        <f t="shared" si="510"/>
        <v>#N/A</v>
      </c>
      <c r="AV583" s="304">
        <f t="shared" si="456"/>
        <v>4.3856695518355373</v>
      </c>
      <c r="AW583" s="309">
        <f t="shared" si="475"/>
        <v>86.873235321089396</v>
      </c>
      <c r="AX583" s="306">
        <f>IF(ISERROR(Weather!M567),#N/A,Weather!M567)</f>
        <v>2.6</v>
      </c>
      <c r="AY583" s="310">
        <f t="shared" si="476"/>
        <v>19</v>
      </c>
      <c r="AZ583" s="309">
        <f t="shared" si="477"/>
        <v>0.27220828088896087</v>
      </c>
      <c r="BA583" s="309">
        <f t="shared" si="478"/>
        <v>644.54170303151795</v>
      </c>
      <c r="BB583" s="311">
        <f>Irrig!H585</f>
        <v>0</v>
      </c>
      <c r="BC583" s="310">
        <f t="shared" si="479"/>
        <v>0</v>
      </c>
      <c r="BD583" s="309">
        <f t="shared" si="480"/>
        <v>0</v>
      </c>
      <c r="BE583" s="309">
        <f t="shared" si="481"/>
        <v>0</v>
      </c>
      <c r="BF583" s="306">
        <f>DailyMet!H567</f>
        <v>25.08</v>
      </c>
      <c r="BG583" s="306">
        <f>DailyMet!I567</f>
        <v>18.2</v>
      </c>
      <c r="BH583" s="306">
        <f t="shared" si="482"/>
        <v>25.08</v>
      </c>
      <c r="BI583" s="306">
        <f t="shared" si="483"/>
        <v>18.2</v>
      </c>
      <c r="BJ583" s="306">
        <f t="shared" si="484"/>
        <v>11.64</v>
      </c>
      <c r="BK583" s="306">
        <f t="shared" si="455"/>
        <v>0</v>
      </c>
      <c r="BL583" s="304">
        <f t="shared" si="485"/>
        <v>0</v>
      </c>
      <c r="BM583" s="304">
        <f t="shared" si="486"/>
        <v>11.64</v>
      </c>
      <c r="BN583" s="304">
        <f t="shared" si="503"/>
        <v>11.64</v>
      </c>
      <c r="BO583" s="306">
        <f t="shared" si="504"/>
        <v>0</v>
      </c>
      <c r="BP583" s="306"/>
    </row>
    <row r="584" spans="1:68">
      <c r="A584" s="299">
        <f t="shared" si="457"/>
        <v>0</v>
      </c>
      <c r="B584" s="300">
        <f t="shared" si="458"/>
        <v>38549</v>
      </c>
      <c r="C584" s="301" t="e">
        <f t="shared" si="487"/>
        <v>#N/A</v>
      </c>
      <c r="D584" s="301" t="e">
        <f t="shared" si="459"/>
        <v>#N/A</v>
      </c>
      <c r="E584" s="299">
        <f t="shared" si="460"/>
        <v>563</v>
      </c>
      <c r="F584" s="396">
        <f>Weather!M568</f>
        <v>0</v>
      </c>
      <c r="G584" s="301">
        <f>IF(Weather!C568="","",Weather!C568)</f>
        <v>4.4141750173092893</v>
      </c>
      <c r="H584" s="301">
        <f>IF(Weather!D568="","",Weather!D568)</f>
        <v>4.3782405218811054</v>
      </c>
      <c r="I584" s="502">
        <f>IF(Weather!E568="","",Weather!E568)</f>
        <v>4.3782405218811054</v>
      </c>
      <c r="J584" s="397">
        <f>IF(RnSplint!N247&lt;0,0,RnSplint!N247)</f>
        <v>31</v>
      </c>
      <c r="K584" s="302">
        <f t="shared" si="488"/>
        <v>0</v>
      </c>
      <c r="L584" s="303">
        <f t="shared" si="489"/>
        <v>38549</v>
      </c>
      <c r="M584" s="346" t="str">
        <f t="shared" si="506"/>
        <v/>
      </c>
      <c r="N584" s="304">
        <f t="shared" si="490"/>
        <v>0</v>
      </c>
      <c r="O584" s="304">
        <f t="shared" si="491"/>
        <v>0</v>
      </c>
      <c r="P584" s="304">
        <f t="shared" si="461"/>
        <v>0</v>
      </c>
      <c r="Q584" s="304">
        <f t="shared" si="462"/>
        <v>0.26538887879657175</v>
      </c>
      <c r="R584" s="304">
        <f t="shared" si="463"/>
        <v>0.26538887879657175</v>
      </c>
      <c r="S584" s="305" t="e">
        <f t="shared" si="492"/>
        <v>#N/A</v>
      </c>
      <c r="T584" s="304">
        <f t="shared" si="464"/>
        <v>0</v>
      </c>
      <c r="U584" s="304">
        <f t="shared" si="502"/>
        <v>0</v>
      </c>
      <c r="V584" s="305" t="e">
        <f t="shared" si="465"/>
        <v>#N/A</v>
      </c>
      <c r="W584" s="305" t="e">
        <f t="shared" si="493"/>
        <v>#N/A</v>
      </c>
      <c r="X584" s="304">
        <f t="shared" si="494"/>
        <v>0.26538887879657175</v>
      </c>
      <c r="Z584" s="304" t="str">
        <f t="shared" si="466"/>
        <v/>
      </c>
      <c r="AA584" s="305" t="e">
        <f t="shared" si="467"/>
        <v>#N/A</v>
      </c>
      <c r="AB584" s="304">
        <f t="shared" si="468"/>
        <v>1.1619363432037437</v>
      </c>
      <c r="AC584" s="304" t="str">
        <f t="shared" si="495"/>
        <v/>
      </c>
      <c r="AD584" s="306">
        <f t="shared" si="469"/>
        <v>0</v>
      </c>
      <c r="AE584" s="307">
        <f t="shared" si="496"/>
        <v>1.1619363432037437</v>
      </c>
      <c r="AF584" s="308" t="e">
        <f t="shared" si="505"/>
        <v>#N/A</v>
      </c>
      <c r="AG584" s="306">
        <f t="shared" si="497"/>
        <v>1076.3081771635018</v>
      </c>
      <c r="AH584" s="306">
        <f t="shared" si="470"/>
        <v>0</v>
      </c>
      <c r="AI584" s="306">
        <f t="shared" si="498"/>
        <v>0</v>
      </c>
      <c r="AJ584" s="306">
        <f t="shared" si="499"/>
        <v>0</v>
      </c>
      <c r="AK584" s="306">
        <f t="shared" si="471"/>
        <v>0</v>
      </c>
      <c r="AL584" s="306">
        <f t="shared" si="500"/>
        <v>0</v>
      </c>
      <c r="AM584" s="306">
        <f t="shared" si="472"/>
        <v>0</v>
      </c>
      <c r="AN584" s="306"/>
      <c r="AO584" s="304" t="str">
        <f t="shared" si="473"/>
        <v/>
      </c>
      <c r="AP584" s="304" t="str">
        <f t="shared" si="501"/>
        <v/>
      </c>
      <c r="AQ584" s="305" t="e">
        <f t="shared" si="507"/>
        <v>#N/A</v>
      </c>
      <c r="AR584" s="304" t="str">
        <f t="shared" si="508"/>
        <v/>
      </c>
      <c r="AS584" s="306">
        <f t="shared" si="474"/>
        <v>0</v>
      </c>
      <c r="AT584" s="307" t="e">
        <f t="shared" si="509"/>
        <v>#N/A</v>
      </c>
      <c r="AU584" s="307" t="e">
        <f t="shared" si="510"/>
        <v>#N/A</v>
      </c>
      <c r="AV584" s="304">
        <f t="shared" si="456"/>
        <v>4.3782405218811054</v>
      </c>
      <c r="AW584" s="309">
        <f t="shared" si="475"/>
        <v>91.251475842970507</v>
      </c>
      <c r="AX584" s="306">
        <f>IF(ISERROR(Weather!M568),#N/A,Weather!M568)</f>
        <v>0</v>
      </c>
      <c r="AY584" s="310">
        <f t="shared" si="476"/>
        <v>20</v>
      </c>
      <c r="AZ584" s="309">
        <f t="shared" si="477"/>
        <v>0.26538887879657175</v>
      </c>
      <c r="BA584" s="309">
        <f t="shared" si="478"/>
        <v>648.91994355339909</v>
      </c>
      <c r="BB584" s="311">
        <f>Irrig!H586</f>
        <v>0</v>
      </c>
      <c r="BC584" s="310">
        <f t="shared" si="479"/>
        <v>0</v>
      </c>
      <c r="BD584" s="309">
        <f t="shared" si="480"/>
        <v>0</v>
      </c>
      <c r="BE584" s="309">
        <f t="shared" si="481"/>
        <v>0</v>
      </c>
      <c r="BF584" s="306">
        <f>DailyMet!H568</f>
        <v>23.95</v>
      </c>
      <c r="BG584" s="306">
        <f>DailyMet!I568</f>
        <v>17.5</v>
      </c>
      <c r="BH584" s="306">
        <f t="shared" si="482"/>
        <v>23.95</v>
      </c>
      <c r="BI584" s="306">
        <f t="shared" si="483"/>
        <v>17.5</v>
      </c>
      <c r="BJ584" s="306">
        <f t="shared" si="484"/>
        <v>10.725000000000001</v>
      </c>
      <c r="BK584" s="306">
        <f t="shared" ref="BK584:BK599" si="511">IF(AP584="",0,BK583+BJ584)</f>
        <v>0</v>
      </c>
      <c r="BL584" s="304">
        <f t="shared" si="485"/>
        <v>0</v>
      </c>
      <c r="BM584" s="304">
        <f t="shared" si="486"/>
        <v>10.725000000000001</v>
      </c>
      <c r="BN584" s="304">
        <f t="shared" si="503"/>
        <v>10.725000000000001</v>
      </c>
      <c r="BO584" s="306">
        <f t="shared" si="504"/>
        <v>0</v>
      </c>
      <c r="BP584" s="306"/>
    </row>
    <row r="585" spans="1:68">
      <c r="A585" s="299">
        <f t="shared" si="457"/>
        <v>0</v>
      </c>
      <c r="B585" s="300">
        <f t="shared" si="458"/>
        <v>38550</v>
      </c>
      <c r="C585" s="301" t="e">
        <f t="shared" si="487"/>
        <v>#N/A</v>
      </c>
      <c r="D585" s="301" t="e">
        <f t="shared" si="459"/>
        <v>#N/A</v>
      </c>
      <c r="E585" s="299">
        <f t="shared" si="460"/>
        <v>564</v>
      </c>
      <c r="F585" s="396">
        <f>Weather!M569</f>
        <v>0</v>
      </c>
      <c r="G585" s="301">
        <f>IF(Weather!C569="","",Weather!C569)</f>
        <v>4.4050910994943893</v>
      </c>
      <c r="H585" s="301">
        <f>IF(Weather!D569="","",Weather!D569)</f>
        <v>4.6146636278569044</v>
      </c>
      <c r="I585" s="502">
        <f>IF(Weather!E569="","",Weather!E569)</f>
        <v>4.6146636278569044</v>
      </c>
      <c r="J585" s="397">
        <f>IF(RnSplint!N248&lt;0,0,RnSplint!N248)</f>
        <v>31.58542756925916</v>
      </c>
      <c r="K585" s="302">
        <f t="shared" si="488"/>
        <v>0</v>
      </c>
      <c r="L585" s="303">
        <f t="shared" si="489"/>
        <v>38550</v>
      </c>
      <c r="M585" s="346" t="str">
        <f t="shared" si="506"/>
        <v/>
      </c>
      <c r="N585" s="304">
        <f t="shared" si="490"/>
        <v>0</v>
      </c>
      <c r="O585" s="304">
        <f t="shared" si="491"/>
        <v>0</v>
      </c>
      <c r="P585" s="304">
        <f t="shared" si="461"/>
        <v>0</v>
      </c>
      <c r="Q585" s="304">
        <f t="shared" si="462"/>
        <v>0.25871835633400186</v>
      </c>
      <c r="R585" s="304">
        <f t="shared" si="463"/>
        <v>0.25871835633400186</v>
      </c>
      <c r="S585" s="305" t="e">
        <f t="shared" si="492"/>
        <v>#N/A</v>
      </c>
      <c r="T585" s="304">
        <f t="shared" si="464"/>
        <v>0</v>
      </c>
      <c r="U585" s="304">
        <f t="shared" si="502"/>
        <v>0</v>
      </c>
      <c r="V585" s="305" t="e">
        <f t="shared" si="465"/>
        <v>#N/A</v>
      </c>
      <c r="W585" s="305" t="e">
        <f t="shared" si="493"/>
        <v>#N/A</v>
      </c>
      <c r="X585" s="304">
        <f t="shared" si="494"/>
        <v>0.25871835633400186</v>
      </c>
      <c r="Z585" s="304" t="str">
        <f t="shared" si="466"/>
        <v/>
      </c>
      <c r="AA585" s="305" t="e">
        <f t="shared" si="467"/>
        <v>#N/A</v>
      </c>
      <c r="AB585" s="304">
        <f t="shared" si="468"/>
        <v>1.1938981888334403</v>
      </c>
      <c r="AC585" s="304" t="str">
        <f t="shared" si="495"/>
        <v/>
      </c>
      <c r="AD585" s="306">
        <f t="shared" si="469"/>
        <v>0</v>
      </c>
      <c r="AE585" s="307">
        <f t="shared" si="496"/>
        <v>1.1938981888334403</v>
      </c>
      <c r="AF585" s="308" t="e">
        <f t="shared" si="505"/>
        <v>#N/A</v>
      </c>
      <c r="AG585" s="306">
        <f t="shared" si="497"/>
        <v>1080.9228407913588</v>
      </c>
      <c r="AH585" s="306">
        <f t="shared" si="470"/>
        <v>0</v>
      </c>
      <c r="AI585" s="306">
        <f t="shared" si="498"/>
        <v>0</v>
      </c>
      <c r="AJ585" s="306">
        <f t="shared" si="499"/>
        <v>0</v>
      </c>
      <c r="AK585" s="306">
        <f t="shared" si="471"/>
        <v>0</v>
      </c>
      <c r="AL585" s="306">
        <f t="shared" si="500"/>
        <v>0</v>
      </c>
      <c r="AM585" s="306">
        <f t="shared" si="472"/>
        <v>0</v>
      </c>
      <c r="AN585" s="306"/>
      <c r="AO585" s="304" t="str">
        <f t="shared" si="473"/>
        <v/>
      </c>
      <c r="AP585" s="304" t="str">
        <f t="shared" si="501"/>
        <v/>
      </c>
      <c r="AQ585" s="305" t="e">
        <f t="shared" si="507"/>
        <v>#N/A</v>
      </c>
      <c r="AR585" s="304" t="str">
        <f t="shared" si="508"/>
        <v/>
      </c>
      <c r="AS585" s="306">
        <f t="shared" si="474"/>
        <v>0</v>
      </c>
      <c r="AT585" s="307" t="e">
        <f t="shared" si="509"/>
        <v>#N/A</v>
      </c>
      <c r="AU585" s="307" t="e">
        <f t="shared" si="510"/>
        <v>#N/A</v>
      </c>
      <c r="AV585" s="304">
        <f t="shared" si="456"/>
        <v>4.6146636278569044</v>
      </c>
      <c r="AW585" s="309">
        <f t="shared" si="475"/>
        <v>95.866139470827406</v>
      </c>
      <c r="AX585" s="306">
        <f>IF(ISERROR(Weather!M569),#N/A,Weather!M569)</f>
        <v>0</v>
      </c>
      <c r="AY585" s="310">
        <f t="shared" si="476"/>
        <v>21</v>
      </c>
      <c r="AZ585" s="309">
        <f t="shared" si="477"/>
        <v>0.25871835633400186</v>
      </c>
      <c r="BA585" s="309">
        <f t="shared" si="478"/>
        <v>653.53460718125598</v>
      </c>
      <c r="BB585" s="311">
        <f>Irrig!H587</f>
        <v>0</v>
      </c>
      <c r="BC585" s="310">
        <f t="shared" si="479"/>
        <v>0</v>
      </c>
      <c r="BD585" s="309">
        <f t="shared" si="480"/>
        <v>0</v>
      </c>
      <c r="BE585" s="309">
        <f t="shared" si="481"/>
        <v>0</v>
      </c>
      <c r="BF585" s="306">
        <f>DailyMet!H569</f>
        <v>24.09</v>
      </c>
      <c r="BG585" s="306">
        <f>DailyMet!I569</f>
        <v>14.5</v>
      </c>
      <c r="BH585" s="306">
        <f t="shared" si="482"/>
        <v>24.09</v>
      </c>
      <c r="BI585" s="306">
        <f t="shared" si="483"/>
        <v>14.5</v>
      </c>
      <c r="BJ585" s="306">
        <f t="shared" si="484"/>
        <v>9.2950000000000017</v>
      </c>
      <c r="BK585" s="306">
        <f t="shared" si="511"/>
        <v>0</v>
      </c>
      <c r="BL585" s="304">
        <f t="shared" si="485"/>
        <v>0</v>
      </c>
      <c r="BM585" s="304">
        <f t="shared" si="486"/>
        <v>9.2950000000000017</v>
      </c>
      <c r="BN585" s="304">
        <f t="shared" si="503"/>
        <v>9.2950000000000017</v>
      </c>
      <c r="BO585" s="306">
        <f t="shared" si="504"/>
        <v>0</v>
      </c>
      <c r="BP585" s="306"/>
    </row>
    <row r="586" spans="1:68">
      <c r="A586" s="299">
        <f t="shared" si="457"/>
        <v>0</v>
      </c>
      <c r="B586" s="300">
        <f t="shared" si="458"/>
        <v>38551</v>
      </c>
      <c r="C586" s="301" t="e">
        <f t="shared" si="487"/>
        <v>#N/A</v>
      </c>
      <c r="D586" s="301" t="e">
        <f t="shared" si="459"/>
        <v>#N/A</v>
      </c>
      <c r="E586" s="299">
        <f t="shared" si="460"/>
        <v>565</v>
      </c>
      <c r="F586" s="396">
        <f>Weather!M570</f>
        <v>0</v>
      </c>
      <c r="G586" s="301">
        <f>IF(Weather!C570="","",Weather!C570)</f>
        <v>4.3952875589893639</v>
      </c>
      <c r="H586" s="301">
        <f>IF(Weather!D570="","",Weather!D570)</f>
        <v>4.4565907017106809</v>
      </c>
      <c r="I586" s="502">
        <f>IF(Weather!E570="","",Weather!E570)</f>
        <v>4.4565907017106809</v>
      </c>
      <c r="J586" s="397">
        <f>IF(RnSplint!N249&lt;0,0,RnSplint!N249)</f>
        <v>32.120322514544512</v>
      </c>
      <c r="K586" s="302">
        <f t="shared" si="488"/>
        <v>0</v>
      </c>
      <c r="L586" s="303">
        <f t="shared" si="489"/>
        <v>38551</v>
      </c>
      <c r="M586" s="346" t="str">
        <f t="shared" si="506"/>
        <v/>
      </c>
      <c r="N586" s="304">
        <f t="shared" si="490"/>
        <v>0</v>
      </c>
      <c r="O586" s="304">
        <f t="shared" si="491"/>
        <v>0</v>
      </c>
      <c r="P586" s="304">
        <f t="shared" si="461"/>
        <v>0</v>
      </c>
      <c r="Q586" s="304">
        <f t="shared" si="462"/>
        <v>0.25272281237697408</v>
      </c>
      <c r="R586" s="304">
        <f t="shared" si="463"/>
        <v>0.25272281237697408</v>
      </c>
      <c r="S586" s="305" t="e">
        <f t="shared" si="492"/>
        <v>#N/A</v>
      </c>
      <c r="T586" s="304">
        <f t="shared" si="464"/>
        <v>0</v>
      </c>
      <c r="U586" s="304">
        <f t="shared" si="502"/>
        <v>0</v>
      </c>
      <c r="V586" s="305" t="e">
        <f t="shared" si="465"/>
        <v>#N/A</v>
      </c>
      <c r="W586" s="305" t="e">
        <f t="shared" si="493"/>
        <v>#N/A</v>
      </c>
      <c r="X586" s="304">
        <f t="shared" si="494"/>
        <v>0.25272281237697408</v>
      </c>
      <c r="Z586" s="304" t="str">
        <f t="shared" si="466"/>
        <v/>
      </c>
      <c r="AA586" s="305" t="e">
        <f t="shared" si="467"/>
        <v>#N/A</v>
      </c>
      <c r="AB586" s="304">
        <f t="shared" si="468"/>
        <v>1.1262821357493957</v>
      </c>
      <c r="AC586" s="304" t="str">
        <f t="shared" si="495"/>
        <v/>
      </c>
      <c r="AD586" s="306">
        <f t="shared" si="469"/>
        <v>0</v>
      </c>
      <c r="AE586" s="307">
        <f t="shared" si="496"/>
        <v>1.1262821357493957</v>
      </c>
      <c r="AF586" s="308" t="e">
        <f t="shared" si="505"/>
        <v>#N/A</v>
      </c>
      <c r="AG586" s="306">
        <f t="shared" si="497"/>
        <v>1085.3794314930694</v>
      </c>
      <c r="AH586" s="306">
        <f t="shared" si="470"/>
        <v>0</v>
      </c>
      <c r="AI586" s="306">
        <f t="shared" si="498"/>
        <v>0</v>
      </c>
      <c r="AJ586" s="306">
        <f t="shared" si="499"/>
        <v>0</v>
      </c>
      <c r="AK586" s="306">
        <f t="shared" si="471"/>
        <v>0</v>
      </c>
      <c r="AL586" s="306">
        <f t="shared" si="500"/>
        <v>0</v>
      </c>
      <c r="AM586" s="306">
        <f t="shared" si="472"/>
        <v>0</v>
      </c>
      <c r="AN586" s="306"/>
      <c r="AO586" s="304" t="str">
        <f t="shared" si="473"/>
        <v/>
      </c>
      <c r="AP586" s="304" t="str">
        <f t="shared" si="501"/>
        <v/>
      </c>
      <c r="AQ586" s="305" t="e">
        <f t="shared" si="507"/>
        <v>#N/A</v>
      </c>
      <c r="AR586" s="304" t="str">
        <f t="shared" si="508"/>
        <v/>
      </c>
      <c r="AS586" s="306">
        <f t="shared" si="474"/>
        <v>0</v>
      </c>
      <c r="AT586" s="307" t="e">
        <f t="shared" si="509"/>
        <v>#N/A</v>
      </c>
      <c r="AU586" s="307" t="e">
        <f t="shared" si="510"/>
        <v>#N/A</v>
      </c>
      <c r="AV586" s="304">
        <f t="shared" si="456"/>
        <v>4.4565907017106809</v>
      </c>
      <c r="AW586" s="309">
        <f t="shared" si="475"/>
        <v>100.32273017253809</v>
      </c>
      <c r="AX586" s="306">
        <f>IF(ISERROR(Weather!M570),#N/A,Weather!M570)</f>
        <v>0</v>
      </c>
      <c r="AY586" s="310">
        <f t="shared" si="476"/>
        <v>22</v>
      </c>
      <c r="AZ586" s="309">
        <f t="shared" si="477"/>
        <v>0.25272281237697408</v>
      </c>
      <c r="BA586" s="309">
        <f t="shared" si="478"/>
        <v>657.99119788296662</v>
      </c>
      <c r="BB586" s="311">
        <f>Irrig!H588</f>
        <v>0</v>
      </c>
      <c r="BC586" s="310">
        <f t="shared" si="479"/>
        <v>0</v>
      </c>
      <c r="BD586" s="309">
        <f t="shared" si="480"/>
        <v>0</v>
      </c>
      <c r="BE586" s="309">
        <f t="shared" si="481"/>
        <v>0</v>
      </c>
      <c r="BF586" s="306">
        <f>DailyMet!H570</f>
        <v>25.56</v>
      </c>
      <c r="BG586" s="306">
        <f>DailyMet!I570</f>
        <v>15.5</v>
      </c>
      <c r="BH586" s="306">
        <f t="shared" si="482"/>
        <v>25.56</v>
      </c>
      <c r="BI586" s="306">
        <f t="shared" si="483"/>
        <v>15.5</v>
      </c>
      <c r="BJ586" s="306">
        <f t="shared" si="484"/>
        <v>10.530000000000001</v>
      </c>
      <c r="BK586" s="306">
        <f t="shared" si="511"/>
        <v>0</v>
      </c>
      <c r="BL586" s="304">
        <f t="shared" si="485"/>
        <v>0</v>
      </c>
      <c r="BM586" s="304">
        <f t="shared" si="486"/>
        <v>10.530000000000001</v>
      </c>
      <c r="BN586" s="304">
        <f t="shared" si="503"/>
        <v>10.530000000000001</v>
      </c>
      <c r="BO586" s="306">
        <f t="shared" si="504"/>
        <v>0</v>
      </c>
      <c r="BP586" s="306"/>
    </row>
    <row r="587" spans="1:68">
      <c r="A587" s="299">
        <f t="shared" si="457"/>
        <v>0</v>
      </c>
      <c r="B587" s="300">
        <f t="shared" si="458"/>
        <v>38552</v>
      </c>
      <c r="C587" s="301" t="e">
        <f t="shared" si="487"/>
        <v>#N/A</v>
      </c>
      <c r="D587" s="301" t="e">
        <f t="shared" si="459"/>
        <v>#N/A</v>
      </c>
      <c r="E587" s="299">
        <f t="shared" si="460"/>
        <v>566</v>
      </c>
      <c r="F587" s="396">
        <f>Weather!M571</f>
        <v>0</v>
      </c>
      <c r="G587" s="301">
        <f>IF(Weather!C571="","",Weather!C571)</f>
        <v>4.3847335063701181</v>
      </c>
      <c r="H587" s="301">
        <f>IF(Weather!D571="","",Weather!D571)</f>
        <v>4.3856661721297474</v>
      </c>
      <c r="I587" s="502">
        <f>IF(Weather!E571="","",Weather!E571)</f>
        <v>4.3856661721297474</v>
      </c>
      <c r="J587" s="397">
        <f>IF(RnSplint!N250&lt;0,0,RnSplint!N250)</f>
        <v>32.605874917168791</v>
      </c>
      <c r="K587" s="302">
        <f t="shared" si="488"/>
        <v>0</v>
      </c>
      <c r="L587" s="303">
        <f t="shared" si="489"/>
        <v>38552</v>
      </c>
      <c r="M587" s="346" t="str">
        <f t="shared" si="506"/>
        <v/>
      </c>
      <c r="N587" s="304">
        <f t="shared" si="490"/>
        <v>0</v>
      </c>
      <c r="O587" s="304">
        <f t="shared" si="491"/>
        <v>0</v>
      </c>
      <c r="P587" s="304">
        <f t="shared" si="461"/>
        <v>0</v>
      </c>
      <c r="Q587" s="304">
        <f t="shared" si="462"/>
        <v>0.24720431567571427</v>
      </c>
      <c r="R587" s="304">
        <f t="shared" si="463"/>
        <v>0.24720431567571427</v>
      </c>
      <c r="S587" s="305" t="e">
        <f t="shared" si="492"/>
        <v>#N/A</v>
      </c>
      <c r="T587" s="304">
        <f t="shared" si="464"/>
        <v>0</v>
      </c>
      <c r="U587" s="304">
        <f t="shared" si="502"/>
        <v>0</v>
      </c>
      <c r="V587" s="305" t="e">
        <f t="shared" si="465"/>
        <v>#N/A</v>
      </c>
      <c r="W587" s="305" t="e">
        <f t="shared" si="493"/>
        <v>#N/A</v>
      </c>
      <c r="X587" s="304">
        <f t="shared" si="494"/>
        <v>0.24720431567571427</v>
      </c>
      <c r="Z587" s="304" t="str">
        <f t="shared" si="466"/>
        <v/>
      </c>
      <c r="AA587" s="305" t="e">
        <f t="shared" si="467"/>
        <v>#N/A</v>
      </c>
      <c r="AB587" s="304">
        <f t="shared" si="468"/>
        <v>1.0841556048634635</v>
      </c>
      <c r="AC587" s="304" t="str">
        <f t="shared" si="495"/>
        <v/>
      </c>
      <c r="AD587" s="306">
        <f t="shared" si="469"/>
        <v>0</v>
      </c>
      <c r="AE587" s="307">
        <f t="shared" si="496"/>
        <v>1.0841556048634635</v>
      </c>
      <c r="AF587" s="308" t="e">
        <f t="shared" si="505"/>
        <v>#N/A</v>
      </c>
      <c r="AG587" s="306">
        <f t="shared" si="497"/>
        <v>1089.7650976651992</v>
      </c>
      <c r="AH587" s="306">
        <f t="shared" si="470"/>
        <v>0</v>
      </c>
      <c r="AI587" s="306">
        <f t="shared" si="498"/>
        <v>0</v>
      </c>
      <c r="AJ587" s="306">
        <f t="shared" si="499"/>
        <v>0</v>
      </c>
      <c r="AK587" s="306">
        <f t="shared" si="471"/>
        <v>0</v>
      </c>
      <c r="AL587" s="306">
        <f t="shared" si="500"/>
        <v>0</v>
      </c>
      <c r="AM587" s="306">
        <f t="shared" si="472"/>
        <v>0</v>
      </c>
      <c r="AN587" s="306"/>
      <c r="AO587" s="304" t="str">
        <f t="shared" si="473"/>
        <v/>
      </c>
      <c r="AP587" s="304" t="str">
        <f t="shared" si="501"/>
        <v/>
      </c>
      <c r="AQ587" s="305" t="e">
        <f t="shared" si="507"/>
        <v>#N/A</v>
      </c>
      <c r="AR587" s="304" t="str">
        <f t="shared" si="508"/>
        <v/>
      </c>
      <c r="AS587" s="306">
        <f t="shared" si="474"/>
        <v>0</v>
      </c>
      <c r="AT587" s="307" t="e">
        <f t="shared" si="509"/>
        <v>#N/A</v>
      </c>
      <c r="AU587" s="307" t="e">
        <f t="shared" si="510"/>
        <v>#N/A</v>
      </c>
      <c r="AV587" s="304">
        <f t="shared" si="456"/>
        <v>4.3856661721297474</v>
      </c>
      <c r="AW587" s="309">
        <f t="shared" si="475"/>
        <v>104.70839634466783</v>
      </c>
      <c r="AX587" s="306">
        <f>IF(ISERROR(Weather!M571),#N/A,Weather!M571)</f>
        <v>0</v>
      </c>
      <c r="AY587" s="310">
        <f t="shared" si="476"/>
        <v>23</v>
      </c>
      <c r="AZ587" s="309">
        <f t="shared" si="477"/>
        <v>0.24720431567571427</v>
      </c>
      <c r="BA587" s="309">
        <f t="shared" si="478"/>
        <v>662.37686405509635</v>
      </c>
      <c r="BB587" s="311">
        <f>Irrig!H589</f>
        <v>0</v>
      </c>
      <c r="BC587" s="310">
        <f t="shared" si="479"/>
        <v>0</v>
      </c>
      <c r="BD587" s="309">
        <f t="shared" si="480"/>
        <v>0</v>
      </c>
      <c r="BE587" s="309">
        <f t="shared" si="481"/>
        <v>0</v>
      </c>
      <c r="BF587" s="306">
        <f>DailyMet!H571</f>
        <v>27.1</v>
      </c>
      <c r="BG587" s="306">
        <f>DailyMet!I571</f>
        <v>16.899999999999999</v>
      </c>
      <c r="BH587" s="306">
        <f t="shared" si="482"/>
        <v>27.1</v>
      </c>
      <c r="BI587" s="306">
        <f t="shared" si="483"/>
        <v>16.899999999999999</v>
      </c>
      <c r="BJ587" s="306">
        <f t="shared" si="484"/>
        <v>12</v>
      </c>
      <c r="BK587" s="306">
        <f t="shared" si="511"/>
        <v>0</v>
      </c>
      <c r="BL587" s="304">
        <f t="shared" si="485"/>
        <v>0</v>
      </c>
      <c r="BM587" s="304">
        <f t="shared" si="486"/>
        <v>12</v>
      </c>
      <c r="BN587" s="304">
        <f t="shared" si="503"/>
        <v>12</v>
      </c>
      <c r="BO587" s="306">
        <f t="shared" si="504"/>
        <v>0</v>
      </c>
      <c r="BP587" s="306"/>
    </row>
    <row r="588" spans="1:68">
      <c r="A588" s="299">
        <f t="shared" si="457"/>
        <v>0</v>
      </c>
      <c r="B588" s="300">
        <f t="shared" si="458"/>
        <v>38553</v>
      </c>
      <c r="C588" s="301" t="e">
        <f t="shared" si="487"/>
        <v>#N/A</v>
      </c>
      <c r="D588" s="301" t="e">
        <f t="shared" si="459"/>
        <v>#N/A</v>
      </c>
      <c r="E588" s="299">
        <f t="shared" si="460"/>
        <v>567</v>
      </c>
      <c r="F588" s="396">
        <f>Weather!M572</f>
        <v>0</v>
      </c>
      <c r="G588" s="301">
        <f>IF(Weather!C572="","",Weather!C572)</f>
        <v>4.3733980522125577</v>
      </c>
      <c r="H588" s="301">
        <f>IF(Weather!D572="","",Weather!D572)</f>
        <v>4.5585086386905456</v>
      </c>
      <c r="I588" s="502">
        <f>IF(Weather!E572="","",Weather!E572)</f>
        <v>4.5585086386905456</v>
      </c>
      <c r="J588" s="397">
        <f>IF(RnSplint!N251&lt;0,0,RnSplint!N251)</f>
        <v>33.043274858444754</v>
      </c>
      <c r="K588" s="302">
        <f t="shared" si="488"/>
        <v>0</v>
      </c>
      <c r="L588" s="303">
        <f t="shared" si="489"/>
        <v>38553</v>
      </c>
      <c r="M588" s="346" t="str">
        <f t="shared" si="506"/>
        <v/>
      </c>
      <c r="N588" s="304">
        <f t="shared" si="490"/>
        <v>0</v>
      </c>
      <c r="O588" s="304">
        <f t="shared" si="491"/>
        <v>0</v>
      </c>
      <c r="P588" s="304">
        <f t="shared" si="461"/>
        <v>0</v>
      </c>
      <c r="Q588" s="304">
        <f t="shared" si="462"/>
        <v>0.24182787936505448</v>
      </c>
      <c r="R588" s="304">
        <f t="shared" si="463"/>
        <v>0.24182787936505448</v>
      </c>
      <c r="S588" s="305" t="e">
        <f t="shared" si="492"/>
        <v>#N/A</v>
      </c>
      <c r="T588" s="304">
        <f t="shared" si="464"/>
        <v>0</v>
      </c>
      <c r="U588" s="304">
        <f t="shared" si="502"/>
        <v>0</v>
      </c>
      <c r="V588" s="305" t="e">
        <f t="shared" si="465"/>
        <v>#N/A</v>
      </c>
      <c r="W588" s="305" t="e">
        <f t="shared" si="493"/>
        <v>#N/A</v>
      </c>
      <c r="X588" s="304">
        <f t="shared" si="494"/>
        <v>0.24182787936505448</v>
      </c>
      <c r="Z588" s="304" t="str">
        <f t="shared" si="466"/>
        <v/>
      </c>
      <c r="AA588" s="305" t="e">
        <f t="shared" si="467"/>
        <v>#N/A</v>
      </c>
      <c r="AB588" s="304">
        <f t="shared" si="468"/>
        <v>1.102374477161816</v>
      </c>
      <c r="AC588" s="304" t="str">
        <f t="shared" si="495"/>
        <v/>
      </c>
      <c r="AD588" s="306">
        <f t="shared" si="469"/>
        <v>0</v>
      </c>
      <c r="AE588" s="307">
        <f t="shared" si="496"/>
        <v>1.102374477161816</v>
      </c>
      <c r="AF588" s="308" t="e">
        <f t="shared" si="505"/>
        <v>#N/A</v>
      </c>
      <c r="AG588" s="306">
        <f t="shared" si="497"/>
        <v>1094.3236063038896</v>
      </c>
      <c r="AH588" s="306">
        <f t="shared" si="470"/>
        <v>0</v>
      </c>
      <c r="AI588" s="306">
        <f t="shared" si="498"/>
        <v>0</v>
      </c>
      <c r="AJ588" s="306">
        <f t="shared" si="499"/>
        <v>0</v>
      </c>
      <c r="AK588" s="306">
        <f t="shared" si="471"/>
        <v>0</v>
      </c>
      <c r="AL588" s="306">
        <f t="shared" si="500"/>
        <v>0</v>
      </c>
      <c r="AM588" s="306">
        <f t="shared" si="472"/>
        <v>0</v>
      </c>
      <c r="AN588" s="306"/>
      <c r="AO588" s="304" t="str">
        <f t="shared" si="473"/>
        <v/>
      </c>
      <c r="AP588" s="304" t="str">
        <f t="shared" si="501"/>
        <v/>
      </c>
      <c r="AQ588" s="305" t="e">
        <f t="shared" si="507"/>
        <v>#N/A</v>
      </c>
      <c r="AR588" s="304" t="str">
        <f t="shared" si="508"/>
        <v/>
      </c>
      <c r="AS588" s="306">
        <f t="shared" si="474"/>
        <v>0</v>
      </c>
      <c r="AT588" s="307" t="e">
        <f t="shared" si="509"/>
        <v>#N/A</v>
      </c>
      <c r="AU588" s="307" t="e">
        <f t="shared" si="510"/>
        <v>#N/A</v>
      </c>
      <c r="AV588" s="304">
        <f t="shared" si="456"/>
        <v>4.5585086386905456</v>
      </c>
      <c r="AW588" s="309">
        <f t="shared" si="475"/>
        <v>109.26690498335837</v>
      </c>
      <c r="AX588" s="306">
        <f>IF(ISERROR(Weather!M572),#N/A,Weather!M572)</f>
        <v>0</v>
      </c>
      <c r="AY588" s="310">
        <f t="shared" si="476"/>
        <v>24</v>
      </c>
      <c r="AZ588" s="309">
        <f t="shared" si="477"/>
        <v>0.24182787936505448</v>
      </c>
      <c r="BA588" s="309">
        <f t="shared" si="478"/>
        <v>666.93537269378692</v>
      </c>
      <c r="BB588" s="311">
        <f>Irrig!H590</f>
        <v>0</v>
      </c>
      <c r="BC588" s="310">
        <f t="shared" si="479"/>
        <v>0</v>
      </c>
      <c r="BD588" s="309">
        <f t="shared" si="480"/>
        <v>0</v>
      </c>
      <c r="BE588" s="309">
        <f t="shared" si="481"/>
        <v>0</v>
      </c>
      <c r="BF588" s="306">
        <f>DailyMet!H572</f>
        <v>27.61</v>
      </c>
      <c r="BG588" s="306">
        <f>DailyMet!I572</f>
        <v>19.3</v>
      </c>
      <c r="BH588" s="306">
        <f t="shared" si="482"/>
        <v>27.61</v>
      </c>
      <c r="BI588" s="306">
        <f t="shared" si="483"/>
        <v>19.3</v>
      </c>
      <c r="BJ588" s="306">
        <f t="shared" si="484"/>
        <v>13.454999999999998</v>
      </c>
      <c r="BK588" s="306">
        <f t="shared" si="511"/>
        <v>0</v>
      </c>
      <c r="BL588" s="304">
        <f t="shared" si="485"/>
        <v>0</v>
      </c>
      <c r="BM588" s="304">
        <f t="shared" si="486"/>
        <v>13.454999999999998</v>
      </c>
      <c r="BN588" s="304">
        <f t="shared" si="503"/>
        <v>13.454999999999998</v>
      </c>
      <c r="BO588" s="306">
        <f t="shared" si="504"/>
        <v>0</v>
      </c>
      <c r="BP588" s="306"/>
    </row>
    <row r="589" spans="1:68">
      <c r="A589" s="299">
        <f t="shared" si="457"/>
        <v>0</v>
      </c>
      <c r="B589" s="300">
        <f t="shared" si="458"/>
        <v>38554</v>
      </c>
      <c r="C589" s="301" t="e">
        <f t="shared" si="487"/>
        <v>#N/A</v>
      </c>
      <c r="D589" s="301" t="e">
        <f t="shared" si="459"/>
        <v>#N/A</v>
      </c>
      <c r="E589" s="299">
        <f t="shared" si="460"/>
        <v>568</v>
      </c>
      <c r="F589" s="396">
        <f>Weather!M573</f>
        <v>0</v>
      </c>
      <c r="G589" s="301">
        <f>IF(Weather!C573="","",Weather!C573)</f>
        <v>4.361250307092587</v>
      </c>
      <c r="H589" s="301">
        <f>IF(Weather!D573="","",Weather!D573)</f>
        <v>5.0131309788816969</v>
      </c>
      <c r="I589" s="502">
        <f>IF(Weather!E573="","",Weather!E573)</f>
        <v>5.0131309788816969</v>
      </c>
      <c r="J589" s="397">
        <f>IF(RnSplint!N252&lt;0,0,RnSplint!N252)</f>
        <v>33.433712419685129</v>
      </c>
      <c r="K589" s="302">
        <f t="shared" si="488"/>
        <v>0</v>
      </c>
      <c r="L589" s="303">
        <f t="shared" si="489"/>
        <v>38554</v>
      </c>
      <c r="M589" s="346" t="str">
        <f t="shared" si="506"/>
        <v/>
      </c>
      <c r="N589" s="304">
        <f t="shared" si="490"/>
        <v>0</v>
      </c>
      <c r="O589" s="304">
        <f t="shared" si="491"/>
        <v>0</v>
      </c>
      <c r="P589" s="304">
        <f t="shared" si="461"/>
        <v>0</v>
      </c>
      <c r="Q589" s="304">
        <f t="shared" si="462"/>
        <v>0.23629459980512685</v>
      </c>
      <c r="R589" s="304">
        <f t="shared" si="463"/>
        <v>0.23629459980512685</v>
      </c>
      <c r="S589" s="305" t="e">
        <f t="shared" si="492"/>
        <v>#N/A</v>
      </c>
      <c r="T589" s="304">
        <f t="shared" si="464"/>
        <v>0</v>
      </c>
      <c r="U589" s="304">
        <f t="shared" si="502"/>
        <v>0</v>
      </c>
      <c r="V589" s="305" t="e">
        <f t="shared" si="465"/>
        <v>#N/A</v>
      </c>
      <c r="W589" s="305" t="e">
        <f t="shared" si="493"/>
        <v>#N/A</v>
      </c>
      <c r="X589" s="304">
        <f t="shared" si="494"/>
        <v>0.23629459980512685</v>
      </c>
      <c r="Z589" s="304" t="str">
        <f t="shared" si="466"/>
        <v/>
      </c>
      <c r="AA589" s="305" t="e">
        <f t="shared" si="467"/>
        <v>#N/A</v>
      </c>
      <c r="AB589" s="304">
        <f t="shared" si="468"/>
        <v>1.1845757784255344</v>
      </c>
      <c r="AC589" s="304" t="str">
        <f t="shared" si="495"/>
        <v/>
      </c>
      <c r="AD589" s="306">
        <f t="shared" si="469"/>
        <v>0</v>
      </c>
      <c r="AE589" s="307">
        <f t="shared" si="496"/>
        <v>1.1845757784255344</v>
      </c>
      <c r="AF589" s="308" t="e">
        <f t="shared" si="505"/>
        <v>#N/A</v>
      </c>
      <c r="AG589" s="306">
        <f t="shared" si="497"/>
        <v>1099.3367372827713</v>
      </c>
      <c r="AH589" s="306">
        <f t="shared" si="470"/>
        <v>0</v>
      </c>
      <c r="AI589" s="306">
        <f t="shared" si="498"/>
        <v>0</v>
      </c>
      <c r="AJ589" s="306">
        <f t="shared" si="499"/>
        <v>0</v>
      </c>
      <c r="AK589" s="306">
        <f t="shared" si="471"/>
        <v>0</v>
      </c>
      <c r="AL589" s="306">
        <f t="shared" si="500"/>
        <v>0</v>
      </c>
      <c r="AM589" s="306">
        <f t="shared" si="472"/>
        <v>0</v>
      </c>
      <c r="AN589" s="306"/>
      <c r="AO589" s="304" t="str">
        <f t="shared" si="473"/>
        <v/>
      </c>
      <c r="AP589" s="304" t="str">
        <f t="shared" si="501"/>
        <v/>
      </c>
      <c r="AQ589" s="305" t="e">
        <f t="shared" si="507"/>
        <v>#N/A</v>
      </c>
      <c r="AR589" s="304" t="str">
        <f t="shared" si="508"/>
        <v/>
      </c>
      <c r="AS589" s="306">
        <f t="shared" si="474"/>
        <v>0</v>
      </c>
      <c r="AT589" s="307" t="e">
        <f t="shared" si="509"/>
        <v>#N/A</v>
      </c>
      <c r="AU589" s="307" t="e">
        <f t="shared" si="510"/>
        <v>#N/A</v>
      </c>
      <c r="AV589" s="304">
        <f t="shared" si="456"/>
        <v>5.0131309788816969</v>
      </c>
      <c r="AW589" s="309">
        <f t="shared" si="475"/>
        <v>114.28003596224006</v>
      </c>
      <c r="AX589" s="306">
        <f>IF(ISERROR(Weather!M573),#N/A,Weather!M573)</f>
        <v>0</v>
      </c>
      <c r="AY589" s="310">
        <f t="shared" si="476"/>
        <v>25</v>
      </c>
      <c r="AZ589" s="309">
        <f t="shared" si="477"/>
        <v>0.23629459980512685</v>
      </c>
      <c r="BA589" s="309">
        <f t="shared" si="478"/>
        <v>671.94850367266861</v>
      </c>
      <c r="BB589" s="311">
        <f>Irrig!H591</f>
        <v>0</v>
      </c>
      <c r="BC589" s="310">
        <f t="shared" si="479"/>
        <v>0</v>
      </c>
      <c r="BD589" s="309">
        <f t="shared" si="480"/>
        <v>0</v>
      </c>
      <c r="BE589" s="309">
        <f t="shared" si="481"/>
        <v>0</v>
      </c>
      <c r="BF589" s="306">
        <f>DailyMet!H573</f>
        <v>24.07</v>
      </c>
      <c r="BG589" s="306">
        <f>DailyMet!I573</f>
        <v>18.399999999999999</v>
      </c>
      <c r="BH589" s="306">
        <f t="shared" si="482"/>
        <v>24.07</v>
      </c>
      <c r="BI589" s="306">
        <f t="shared" si="483"/>
        <v>18.399999999999999</v>
      </c>
      <c r="BJ589" s="306">
        <f t="shared" si="484"/>
        <v>11.234999999999999</v>
      </c>
      <c r="BK589" s="306">
        <f t="shared" si="511"/>
        <v>0</v>
      </c>
      <c r="BL589" s="304">
        <f t="shared" si="485"/>
        <v>0</v>
      </c>
      <c r="BM589" s="304">
        <f t="shared" si="486"/>
        <v>11.234999999999999</v>
      </c>
      <c r="BN589" s="304">
        <f t="shared" si="503"/>
        <v>11.234999999999999</v>
      </c>
      <c r="BO589" s="306">
        <f t="shared" si="504"/>
        <v>0</v>
      </c>
      <c r="BP589" s="306"/>
    </row>
    <row r="590" spans="1:68">
      <c r="A590" s="299">
        <f t="shared" si="457"/>
        <v>0</v>
      </c>
      <c r="B590" s="300">
        <f t="shared" si="458"/>
        <v>38555</v>
      </c>
      <c r="C590" s="301" t="e">
        <f t="shared" si="487"/>
        <v>#N/A</v>
      </c>
      <c r="D590" s="301" t="e">
        <f t="shared" si="459"/>
        <v>#N/A</v>
      </c>
      <c r="E590" s="299">
        <f t="shared" si="460"/>
        <v>569</v>
      </c>
      <c r="F590" s="396">
        <f>Weather!M574</f>
        <v>0.2</v>
      </c>
      <c r="G590" s="301">
        <f>IF(Weather!C574="","",Weather!C574)</f>
        <v>4.3482593815861117</v>
      </c>
      <c r="H590" s="301">
        <f>IF(Weather!D574="","",Weather!D574)</f>
        <v>4.3086235392401058</v>
      </c>
      <c r="I590" s="502">
        <f>IF(Weather!E574="","",Weather!E574)</f>
        <v>4.3086235392401058</v>
      </c>
      <c r="J590" s="397">
        <f>IF(RnSplint!N253&lt;0,0,RnSplint!N253)</f>
        <v>33.778377682202681</v>
      </c>
      <c r="K590" s="302">
        <f t="shared" si="488"/>
        <v>0</v>
      </c>
      <c r="L590" s="303">
        <f t="shared" si="489"/>
        <v>38555</v>
      </c>
      <c r="M590" s="346" t="str">
        <f t="shared" si="506"/>
        <v/>
      </c>
      <c r="N590" s="304">
        <f t="shared" si="490"/>
        <v>0</v>
      </c>
      <c r="O590" s="304">
        <f t="shared" si="491"/>
        <v>0</v>
      </c>
      <c r="P590" s="304">
        <f t="shared" si="461"/>
        <v>0</v>
      </c>
      <c r="Q590" s="304">
        <f t="shared" si="462"/>
        <v>0.2318249827238541</v>
      </c>
      <c r="R590" s="304">
        <f t="shared" si="463"/>
        <v>0.2318249827238541</v>
      </c>
      <c r="S590" s="305" t="e">
        <f t="shared" si="492"/>
        <v>#N/A</v>
      </c>
      <c r="T590" s="304">
        <f t="shared" si="464"/>
        <v>0</v>
      </c>
      <c r="U590" s="304">
        <f t="shared" si="502"/>
        <v>0</v>
      </c>
      <c r="V590" s="305" t="e">
        <f t="shared" si="465"/>
        <v>#N/A</v>
      </c>
      <c r="W590" s="305" t="e">
        <f t="shared" si="493"/>
        <v>#N/A</v>
      </c>
      <c r="X590" s="304">
        <f t="shared" si="494"/>
        <v>0.2318249827238541</v>
      </c>
      <c r="Z590" s="304" t="str">
        <f t="shared" si="466"/>
        <v/>
      </c>
      <c r="AA590" s="305" t="e">
        <f t="shared" si="467"/>
        <v>#N/A</v>
      </c>
      <c r="AB590" s="304">
        <f t="shared" si="468"/>
        <v>0.9988465775479286</v>
      </c>
      <c r="AC590" s="304" t="str">
        <f t="shared" si="495"/>
        <v/>
      </c>
      <c r="AD590" s="306">
        <f t="shared" si="469"/>
        <v>0</v>
      </c>
      <c r="AE590" s="307">
        <f t="shared" si="496"/>
        <v>0.9988465775479286</v>
      </c>
      <c r="AF590" s="308" t="e">
        <f t="shared" si="505"/>
        <v>#N/A</v>
      </c>
      <c r="AG590" s="306">
        <f t="shared" si="497"/>
        <v>1103.6453608220115</v>
      </c>
      <c r="AH590" s="306">
        <f t="shared" si="470"/>
        <v>0</v>
      </c>
      <c r="AI590" s="306">
        <f t="shared" si="498"/>
        <v>0</v>
      </c>
      <c r="AJ590" s="306">
        <f t="shared" si="499"/>
        <v>0</v>
      </c>
      <c r="AK590" s="306">
        <f t="shared" si="471"/>
        <v>0</v>
      </c>
      <c r="AL590" s="306">
        <f t="shared" si="500"/>
        <v>0</v>
      </c>
      <c r="AM590" s="306">
        <f t="shared" si="472"/>
        <v>0</v>
      </c>
      <c r="AN590" s="306"/>
      <c r="AO590" s="304" t="str">
        <f t="shared" si="473"/>
        <v/>
      </c>
      <c r="AP590" s="304" t="str">
        <f t="shared" si="501"/>
        <v/>
      </c>
      <c r="AQ590" s="305" t="e">
        <f t="shared" si="507"/>
        <v>#N/A</v>
      </c>
      <c r="AR590" s="304" t="str">
        <f t="shared" si="508"/>
        <v/>
      </c>
      <c r="AS590" s="306">
        <f t="shared" si="474"/>
        <v>0</v>
      </c>
      <c r="AT590" s="307" t="e">
        <f t="shared" si="509"/>
        <v>#N/A</v>
      </c>
      <c r="AU590" s="307" t="e">
        <f t="shared" si="510"/>
        <v>#N/A</v>
      </c>
      <c r="AV590" s="304">
        <f t="shared" ref="AV590:AV599" si="512">IF(I590&lt;0,0,I590)</f>
        <v>4.3086235392401058</v>
      </c>
      <c r="AW590" s="309">
        <f t="shared" si="475"/>
        <v>118.58865950148017</v>
      </c>
      <c r="AX590" s="306">
        <f>IF(ISERROR(Weather!M574),#N/A,Weather!M574)</f>
        <v>0.2</v>
      </c>
      <c r="AY590" s="310">
        <f t="shared" si="476"/>
        <v>26</v>
      </c>
      <c r="AZ590" s="309">
        <f t="shared" si="477"/>
        <v>0.2318249827238541</v>
      </c>
      <c r="BA590" s="309">
        <f t="shared" si="478"/>
        <v>676.25712721190871</v>
      </c>
      <c r="BB590" s="311">
        <f>Irrig!H592</f>
        <v>0</v>
      </c>
      <c r="BC590" s="310">
        <f t="shared" si="479"/>
        <v>0</v>
      </c>
      <c r="BD590" s="309">
        <f t="shared" si="480"/>
        <v>0</v>
      </c>
      <c r="BE590" s="309">
        <f t="shared" si="481"/>
        <v>0</v>
      </c>
      <c r="BF590" s="306">
        <f>DailyMet!H574</f>
        <v>21.76</v>
      </c>
      <c r="BG590" s="306">
        <f>DailyMet!I574</f>
        <v>15.3</v>
      </c>
      <c r="BH590" s="306">
        <f t="shared" si="482"/>
        <v>21.76</v>
      </c>
      <c r="BI590" s="306">
        <f t="shared" si="483"/>
        <v>15.3</v>
      </c>
      <c r="BJ590" s="306">
        <f t="shared" si="484"/>
        <v>8.5300000000000011</v>
      </c>
      <c r="BK590" s="306">
        <f t="shared" si="511"/>
        <v>0</v>
      </c>
      <c r="BL590" s="304">
        <f t="shared" si="485"/>
        <v>0</v>
      </c>
      <c r="BM590" s="304">
        <f t="shared" si="486"/>
        <v>8.5300000000000011</v>
      </c>
      <c r="BN590" s="304">
        <f t="shared" si="503"/>
        <v>8.5300000000000011</v>
      </c>
      <c r="BO590" s="306">
        <f t="shared" si="504"/>
        <v>0</v>
      </c>
      <c r="BP590" s="306"/>
    </row>
    <row r="591" spans="1:68">
      <c r="A591" s="299">
        <f t="shared" si="457"/>
        <v>0</v>
      </c>
      <c r="B591" s="300">
        <f t="shared" si="458"/>
        <v>38556</v>
      </c>
      <c r="C591" s="301" t="e">
        <f t="shared" si="487"/>
        <v>#N/A</v>
      </c>
      <c r="D591" s="301" t="e">
        <f t="shared" si="459"/>
        <v>#N/A</v>
      </c>
      <c r="E591" s="299">
        <f t="shared" si="460"/>
        <v>570</v>
      </c>
      <c r="F591" s="396">
        <f>Weather!M575</f>
        <v>0</v>
      </c>
      <c r="G591" s="301">
        <f>IF(Weather!C575="","",Weather!C575)</f>
        <v>4.3343943862690368</v>
      </c>
      <c r="H591" s="301">
        <f>IF(Weather!D575="","",Weather!D575)</f>
        <v>3.9753833592271319</v>
      </c>
      <c r="I591" s="502">
        <f>IF(Weather!E575="","",Weather!E575)</f>
        <v>3.9753833592271319</v>
      </c>
      <c r="J591" s="397">
        <f>IF(RnSplint!N254&lt;0,0,RnSplint!N254)</f>
        <v>34.078460727310144</v>
      </c>
      <c r="K591" s="302">
        <f t="shared" si="488"/>
        <v>0</v>
      </c>
      <c r="L591" s="303">
        <f t="shared" si="489"/>
        <v>38556</v>
      </c>
      <c r="M591" s="346" t="str">
        <f t="shared" si="506"/>
        <v/>
      </c>
      <c r="N591" s="304">
        <f t="shared" si="490"/>
        <v>0</v>
      </c>
      <c r="O591" s="304">
        <f t="shared" si="491"/>
        <v>0</v>
      </c>
      <c r="P591" s="304">
        <f t="shared" si="461"/>
        <v>0</v>
      </c>
      <c r="Q591" s="304">
        <f t="shared" si="462"/>
        <v>0.2279140813850859</v>
      </c>
      <c r="R591" s="304">
        <f t="shared" si="463"/>
        <v>0.2279140813850859</v>
      </c>
      <c r="S591" s="305" t="e">
        <f t="shared" si="492"/>
        <v>#N/A</v>
      </c>
      <c r="T591" s="304">
        <f t="shared" si="464"/>
        <v>0</v>
      </c>
      <c r="U591" s="304">
        <f t="shared" si="502"/>
        <v>0</v>
      </c>
      <c r="V591" s="305" t="e">
        <f t="shared" si="465"/>
        <v>#N/A</v>
      </c>
      <c r="W591" s="305" t="e">
        <f t="shared" si="493"/>
        <v>#N/A</v>
      </c>
      <c r="X591" s="304">
        <f t="shared" si="494"/>
        <v>0.2279140813850859</v>
      </c>
      <c r="Z591" s="304" t="str">
        <f t="shared" si="466"/>
        <v/>
      </c>
      <c r="AA591" s="305" t="e">
        <f t="shared" si="467"/>
        <v>#N/A</v>
      </c>
      <c r="AB591" s="304">
        <f t="shared" si="468"/>
        <v>0.90604584647180875</v>
      </c>
      <c r="AC591" s="304" t="str">
        <f t="shared" si="495"/>
        <v/>
      </c>
      <c r="AD591" s="306">
        <f t="shared" si="469"/>
        <v>0</v>
      </c>
      <c r="AE591" s="307">
        <f t="shared" si="496"/>
        <v>0.90604584647180875</v>
      </c>
      <c r="AF591" s="308" t="e">
        <f t="shared" si="505"/>
        <v>#N/A</v>
      </c>
      <c r="AG591" s="306">
        <f t="shared" si="497"/>
        <v>1107.6207441812387</v>
      </c>
      <c r="AH591" s="306">
        <f t="shared" si="470"/>
        <v>0</v>
      </c>
      <c r="AI591" s="306">
        <f t="shared" si="498"/>
        <v>0</v>
      </c>
      <c r="AJ591" s="306">
        <f t="shared" si="499"/>
        <v>0</v>
      </c>
      <c r="AK591" s="306">
        <f t="shared" si="471"/>
        <v>0</v>
      </c>
      <c r="AL591" s="306">
        <f t="shared" si="500"/>
        <v>0</v>
      </c>
      <c r="AM591" s="306">
        <f t="shared" si="472"/>
        <v>0</v>
      </c>
      <c r="AN591" s="306"/>
      <c r="AO591" s="304" t="str">
        <f t="shared" si="473"/>
        <v/>
      </c>
      <c r="AP591" s="304" t="str">
        <f t="shared" si="501"/>
        <v/>
      </c>
      <c r="AQ591" s="305" t="e">
        <f t="shared" si="507"/>
        <v>#N/A</v>
      </c>
      <c r="AR591" s="304" t="str">
        <f t="shared" si="508"/>
        <v/>
      </c>
      <c r="AS591" s="306">
        <f t="shared" si="474"/>
        <v>0</v>
      </c>
      <c r="AT591" s="307" t="e">
        <f t="shared" si="509"/>
        <v>#N/A</v>
      </c>
      <c r="AU591" s="307" t="e">
        <f t="shared" si="510"/>
        <v>#N/A</v>
      </c>
      <c r="AV591" s="304">
        <f t="shared" si="512"/>
        <v>3.9753833592271319</v>
      </c>
      <c r="AW591" s="309">
        <f t="shared" si="475"/>
        <v>122.5640428607073</v>
      </c>
      <c r="AX591" s="306">
        <f>IF(ISERROR(Weather!M575),#N/A,Weather!M575)</f>
        <v>0</v>
      </c>
      <c r="AY591" s="310">
        <f t="shared" si="476"/>
        <v>27</v>
      </c>
      <c r="AZ591" s="309">
        <f t="shared" si="477"/>
        <v>0.2279140813850859</v>
      </c>
      <c r="BA591" s="309">
        <f t="shared" si="478"/>
        <v>680.23251057113589</v>
      </c>
      <c r="BB591" s="311">
        <f>Irrig!H593</f>
        <v>0</v>
      </c>
      <c r="BC591" s="310">
        <f t="shared" si="479"/>
        <v>0</v>
      </c>
      <c r="BD591" s="309">
        <f t="shared" si="480"/>
        <v>0</v>
      </c>
      <c r="BE591" s="309">
        <f t="shared" si="481"/>
        <v>0</v>
      </c>
      <c r="BF591" s="306">
        <f>DailyMet!H575</f>
        <v>21.95</v>
      </c>
      <c r="BG591" s="306">
        <f>DailyMet!I575</f>
        <v>16.7</v>
      </c>
      <c r="BH591" s="306">
        <f t="shared" si="482"/>
        <v>21.95</v>
      </c>
      <c r="BI591" s="306">
        <f t="shared" si="483"/>
        <v>16.7</v>
      </c>
      <c r="BJ591" s="306">
        <f t="shared" si="484"/>
        <v>9.3249999999999993</v>
      </c>
      <c r="BK591" s="306">
        <f t="shared" si="511"/>
        <v>0</v>
      </c>
      <c r="BL591" s="304">
        <f t="shared" si="485"/>
        <v>0</v>
      </c>
      <c r="BM591" s="304">
        <f t="shared" si="486"/>
        <v>9.3249999999999993</v>
      </c>
      <c r="BN591" s="304">
        <f t="shared" si="503"/>
        <v>9.3249999999999993</v>
      </c>
      <c r="BO591" s="306">
        <f t="shared" si="504"/>
        <v>0</v>
      </c>
      <c r="BP591" s="306"/>
    </row>
    <row r="592" spans="1:68">
      <c r="A592" s="299">
        <f t="shared" si="457"/>
        <v>0</v>
      </c>
      <c r="B592" s="300">
        <f t="shared" si="458"/>
        <v>38557</v>
      </c>
      <c r="C592" s="301" t="e">
        <f t="shared" si="487"/>
        <v>#N/A</v>
      </c>
      <c r="D592" s="301" t="e">
        <f t="shared" si="459"/>
        <v>#N/A</v>
      </c>
      <c r="E592" s="299">
        <f t="shared" si="460"/>
        <v>571</v>
      </c>
      <c r="F592" s="396">
        <f>Weather!M576</f>
        <v>0</v>
      </c>
      <c r="G592" s="301">
        <f>IF(Weather!C576="","",Weather!C576)</f>
        <v>4.3196244317172692</v>
      </c>
      <c r="H592" s="301">
        <f>IF(Weather!D576="","",Weather!D576)</f>
        <v>4.0457230402672915</v>
      </c>
      <c r="I592" s="502">
        <f>IF(Weather!E576="","",Weather!E576)</f>
        <v>4.0457230402672915</v>
      </c>
      <c r="J592" s="397">
        <f>IF(RnSplint!N255&lt;0,0,RnSplint!N255)</f>
        <v>34.335151636320262</v>
      </c>
      <c r="K592" s="302">
        <f t="shared" si="488"/>
        <v>0</v>
      </c>
      <c r="L592" s="303">
        <f t="shared" si="489"/>
        <v>38557</v>
      </c>
      <c r="M592" s="346" t="str">
        <f t="shared" si="506"/>
        <v/>
      </c>
      <c r="N592" s="304">
        <f t="shared" si="490"/>
        <v>0</v>
      </c>
      <c r="O592" s="304">
        <f t="shared" si="491"/>
        <v>0</v>
      </c>
      <c r="P592" s="304">
        <f t="shared" si="461"/>
        <v>0</v>
      </c>
      <c r="Q592" s="304">
        <f t="shared" si="462"/>
        <v>0.2241266131568469</v>
      </c>
      <c r="R592" s="304">
        <f t="shared" si="463"/>
        <v>0.2241266131568469</v>
      </c>
      <c r="S592" s="305" t="e">
        <f t="shared" si="492"/>
        <v>#N/A</v>
      </c>
      <c r="T592" s="304">
        <f t="shared" si="464"/>
        <v>0</v>
      </c>
      <c r="U592" s="304">
        <f t="shared" si="502"/>
        <v>0</v>
      </c>
      <c r="V592" s="305" t="e">
        <f t="shared" si="465"/>
        <v>#N/A</v>
      </c>
      <c r="W592" s="305" t="e">
        <f t="shared" si="493"/>
        <v>#N/A</v>
      </c>
      <c r="X592" s="304">
        <f t="shared" si="494"/>
        <v>0.2241266131568469</v>
      </c>
      <c r="Z592" s="304" t="str">
        <f t="shared" si="466"/>
        <v/>
      </c>
      <c r="AA592" s="305" t="e">
        <f t="shared" si="467"/>
        <v>#N/A</v>
      </c>
      <c r="AB592" s="304">
        <f t="shared" si="468"/>
        <v>0.90675420278572971</v>
      </c>
      <c r="AC592" s="304" t="str">
        <f t="shared" si="495"/>
        <v/>
      </c>
      <c r="AD592" s="306">
        <f t="shared" si="469"/>
        <v>0</v>
      </c>
      <c r="AE592" s="307">
        <f t="shared" si="496"/>
        <v>0.90675420278572971</v>
      </c>
      <c r="AF592" s="308" t="e">
        <f t="shared" si="505"/>
        <v>#N/A</v>
      </c>
      <c r="AG592" s="306">
        <f t="shared" si="497"/>
        <v>1111.6664672215061</v>
      </c>
      <c r="AH592" s="306">
        <f t="shared" si="470"/>
        <v>0</v>
      </c>
      <c r="AI592" s="306">
        <f t="shared" si="498"/>
        <v>0</v>
      </c>
      <c r="AJ592" s="306">
        <f t="shared" si="499"/>
        <v>0</v>
      </c>
      <c r="AK592" s="306">
        <f t="shared" si="471"/>
        <v>0</v>
      </c>
      <c r="AL592" s="306">
        <f t="shared" si="500"/>
        <v>0</v>
      </c>
      <c r="AM592" s="306">
        <f t="shared" si="472"/>
        <v>0</v>
      </c>
      <c r="AN592" s="306"/>
      <c r="AO592" s="304" t="str">
        <f t="shared" si="473"/>
        <v/>
      </c>
      <c r="AP592" s="304" t="str">
        <f t="shared" si="501"/>
        <v/>
      </c>
      <c r="AQ592" s="305" t="e">
        <f t="shared" si="507"/>
        <v>#N/A</v>
      </c>
      <c r="AR592" s="304" t="str">
        <f t="shared" si="508"/>
        <v/>
      </c>
      <c r="AS592" s="306">
        <f t="shared" si="474"/>
        <v>0</v>
      </c>
      <c r="AT592" s="307" t="e">
        <f t="shared" si="509"/>
        <v>#N/A</v>
      </c>
      <c r="AU592" s="307" t="e">
        <f t="shared" si="510"/>
        <v>#N/A</v>
      </c>
      <c r="AV592" s="304">
        <f t="shared" si="512"/>
        <v>4.0457230402672915</v>
      </c>
      <c r="AW592" s="309">
        <f t="shared" si="475"/>
        <v>126.60976590097459</v>
      </c>
      <c r="AX592" s="306">
        <f>IF(ISERROR(Weather!M576),#N/A,Weather!M576)</f>
        <v>0</v>
      </c>
      <c r="AY592" s="310">
        <f t="shared" si="476"/>
        <v>28</v>
      </c>
      <c r="AZ592" s="309">
        <f t="shared" si="477"/>
        <v>0.2241266131568469</v>
      </c>
      <c r="BA592" s="309">
        <f t="shared" si="478"/>
        <v>684.27823361140315</v>
      </c>
      <c r="BB592" s="311">
        <f>Irrig!H594</f>
        <v>0</v>
      </c>
      <c r="BC592" s="310">
        <f t="shared" si="479"/>
        <v>0</v>
      </c>
      <c r="BD592" s="309">
        <f t="shared" si="480"/>
        <v>0</v>
      </c>
      <c r="BE592" s="309">
        <f t="shared" si="481"/>
        <v>0</v>
      </c>
      <c r="BF592" s="306">
        <f>DailyMet!H576</f>
        <v>23.57</v>
      </c>
      <c r="BG592" s="306">
        <f>DailyMet!I576</f>
        <v>16.100000000000001</v>
      </c>
      <c r="BH592" s="306">
        <f t="shared" si="482"/>
        <v>23.57</v>
      </c>
      <c r="BI592" s="306">
        <f t="shared" si="483"/>
        <v>16.100000000000001</v>
      </c>
      <c r="BJ592" s="306">
        <f t="shared" si="484"/>
        <v>9.8350000000000009</v>
      </c>
      <c r="BK592" s="306">
        <f t="shared" si="511"/>
        <v>0</v>
      </c>
      <c r="BL592" s="304">
        <f t="shared" si="485"/>
        <v>0</v>
      </c>
      <c r="BM592" s="304">
        <f t="shared" si="486"/>
        <v>9.8350000000000009</v>
      </c>
      <c r="BN592" s="304">
        <f t="shared" si="503"/>
        <v>9.8350000000000009</v>
      </c>
      <c r="BO592" s="306">
        <f t="shared" si="504"/>
        <v>0</v>
      </c>
      <c r="BP592" s="306"/>
    </row>
    <row r="593" spans="1:68">
      <c r="A593" s="299">
        <f t="shared" si="457"/>
        <v>0</v>
      </c>
      <c r="B593" s="300">
        <f t="shared" si="458"/>
        <v>38558</v>
      </c>
      <c r="C593" s="301" t="e">
        <f t="shared" si="487"/>
        <v>#N/A</v>
      </c>
      <c r="D593" s="301" t="e">
        <f t="shared" si="459"/>
        <v>#N/A</v>
      </c>
      <c r="E593" s="299">
        <f t="shared" si="460"/>
        <v>572</v>
      </c>
      <c r="F593" s="396">
        <f>Weather!M577</f>
        <v>0</v>
      </c>
      <c r="G593" s="301">
        <f>IF(Weather!C577="","",Weather!C577)</f>
        <v>4.3039186285067119</v>
      </c>
      <c r="H593" s="301">
        <f>IF(Weather!D577="","",Weather!D577)</f>
        <v>4.087687667829055</v>
      </c>
      <c r="I593" s="502">
        <f>IF(Weather!E577="","",Weather!E577)</f>
        <v>4.087687667829055</v>
      </c>
      <c r="J593" s="397">
        <f>IF(RnSplint!N256&lt;0,0,RnSplint!N256)</f>
        <v>34.549640490545784</v>
      </c>
      <c r="K593" s="302">
        <f t="shared" si="488"/>
        <v>0</v>
      </c>
      <c r="L593" s="303">
        <f t="shared" si="489"/>
        <v>38558</v>
      </c>
      <c r="M593" s="346" t="str">
        <f t="shared" si="506"/>
        <v/>
      </c>
      <c r="N593" s="304">
        <f t="shared" si="490"/>
        <v>0</v>
      </c>
      <c r="O593" s="304">
        <f t="shared" si="491"/>
        <v>0</v>
      </c>
      <c r="P593" s="304">
        <f t="shared" si="461"/>
        <v>0</v>
      </c>
      <c r="Q593" s="304">
        <f t="shared" si="462"/>
        <v>0.22048176128175873</v>
      </c>
      <c r="R593" s="304">
        <f t="shared" si="463"/>
        <v>0.22048176128175873</v>
      </c>
      <c r="S593" s="305" t="e">
        <f t="shared" si="492"/>
        <v>#N/A</v>
      </c>
      <c r="T593" s="304">
        <f t="shared" si="464"/>
        <v>0</v>
      </c>
      <c r="U593" s="304">
        <f t="shared" si="502"/>
        <v>0</v>
      </c>
      <c r="V593" s="305" t="e">
        <f t="shared" si="465"/>
        <v>#N/A</v>
      </c>
      <c r="W593" s="305" t="e">
        <f t="shared" si="493"/>
        <v>#N/A</v>
      </c>
      <c r="X593" s="304">
        <f t="shared" si="494"/>
        <v>0.22048176128175873</v>
      </c>
      <c r="Z593" s="304" t="str">
        <f t="shared" si="466"/>
        <v/>
      </c>
      <c r="AA593" s="305" t="e">
        <f t="shared" si="467"/>
        <v>#N/A</v>
      </c>
      <c r="AB593" s="304">
        <f t="shared" si="468"/>
        <v>0.90126057657267478</v>
      </c>
      <c r="AC593" s="304" t="str">
        <f t="shared" si="495"/>
        <v/>
      </c>
      <c r="AD593" s="306">
        <f t="shared" si="469"/>
        <v>0</v>
      </c>
      <c r="AE593" s="307">
        <f t="shared" si="496"/>
        <v>0.90126057657267478</v>
      </c>
      <c r="AF593" s="308" t="e">
        <f t="shared" si="505"/>
        <v>#N/A</v>
      </c>
      <c r="AG593" s="306">
        <f t="shared" si="497"/>
        <v>1115.754154889335</v>
      </c>
      <c r="AH593" s="306">
        <f t="shared" si="470"/>
        <v>0</v>
      </c>
      <c r="AI593" s="306">
        <f t="shared" si="498"/>
        <v>0</v>
      </c>
      <c r="AJ593" s="306">
        <f t="shared" si="499"/>
        <v>0</v>
      </c>
      <c r="AK593" s="306">
        <f t="shared" si="471"/>
        <v>0</v>
      </c>
      <c r="AL593" s="306">
        <f t="shared" si="500"/>
        <v>0</v>
      </c>
      <c r="AM593" s="306">
        <f t="shared" si="472"/>
        <v>0</v>
      </c>
      <c r="AN593" s="306"/>
      <c r="AO593" s="304" t="str">
        <f t="shared" si="473"/>
        <v/>
      </c>
      <c r="AP593" s="304" t="str">
        <f t="shared" si="501"/>
        <v/>
      </c>
      <c r="AQ593" s="305" t="e">
        <f t="shared" si="507"/>
        <v>#N/A</v>
      </c>
      <c r="AR593" s="304" t="str">
        <f t="shared" si="508"/>
        <v/>
      </c>
      <c r="AS593" s="306">
        <f t="shared" si="474"/>
        <v>0</v>
      </c>
      <c r="AT593" s="307" t="e">
        <f t="shared" si="509"/>
        <v>#N/A</v>
      </c>
      <c r="AU593" s="307" t="e">
        <f t="shared" si="510"/>
        <v>#N/A</v>
      </c>
      <c r="AV593" s="304">
        <f t="shared" si="512"/>
        <v>4.087687667829055</v>
      </c>
      <c r="AW593" s="309">
        <f t="shared" si="475"/>
        <v>130.69745356880364</v>
      </c>
      <c r="AX593" s="306">
        <f>IF(ISERROR(Weather!M577),#N/A,Weather!M577)</f>
        <v>0</v>
      </c>
      <c r="AY593" s="310">
        <f t="shared" si="476"/>
        <v>29</v>
      </c>
      <c r="AZ593" s="309">
        <f t="shared" si="477"/>
        <v>0.22048176128175873</v>
      </c>
      <c r="BA593" s="309">
        <f t="shared" si="478"/>
        <v>688.36592127923223</v>
      </c>
      <c r="BB593" s="311">
        <f>Irrig!H595</f>
        <v>0</v>
      </c>
      <c r="BC593" s="310">
        <f t="shared" si="479"/>
        <v>0</v>
      </c>
      <c r="BD593" s="309">
        <f t="shared" si="480"/>
        <v>0</v>
      </c>
      <c r="BE593" s="309">
        <f t="shared" si="481"/>
        <v>0</v>
      </c>
      <c r="BF593" s="306">
        <f>DailyMet!H577</f>
        <v>25.6</v>
      </c>
      <c r="BG593" s="306">
        <f>DailyMet!I577</f>
        <v>17.7</v>
      </c>
      <c r="BH593" s="306">
        <f t="shared" si="482"/>
        <v>25.6</v>
      </c>
      <c r="BI593" s="306">
        <f t="shared" si="483"/>
        <v>17.7</v>
      </c>
      <c r="BJ593" s="306">
        <f t="shared" si="484"/>
        <v>11.649999999999999</v>
      </c>
      <c r="BK593" s="306">
        <f t="shared" si="511"/>
        <v>0</v>
      </c>
      <c r="BL593" s="304">
        <f t="shared" si="485"/>
        <v>0</v>
      </c>
      <c r="BM593" s="304">
        <f t="shared" si="486"/>
        <v>11.649999999999999</v>
      </c>
      <c r="BN593" s="304">
        <f t="shared" si="503"/>
        <v>11.649999999999999</v>
      </c>
      <c r="BO593" s="306">
        <f t="shared" si="504"/>
        <v>0</v>
      </c>
      <c r="BP593" s="306"/>
    </row>
    <row r="594" spans="1:68">
      <c r="A594" s="299">
        <f t="shared" si="457"/>
        <v>0</v>
      </c>
      <c r="B594" s="300">
        <f t="shared" si="458"/>
        <v>38559</v>
      </c>
      <c r="C594" s="301" t="e">
        <f t="shared" si="487"/>
        <v>#N/A</v>
      </c>
      <c r="D594" s="301" t="e">
        <f t="shared" si="459"/>
        <v>#N/A</v>
      </c>
      <c r="E594" s="299">
        <f t="shared" si="460"/>
        <v>573</v>
      </c>
      <c r="F594" s="396">
        <f>Weather!M578</f>
        <v>0</v>
      </c>
      <c r="G594" s="301">
        <f>IF(Weather!C578="","",Weather!C578)</f>
        <v>4.2872460872132701</v>
      </c>
      <c r="H594" s="301">
        <f>IF(Weather!D578="","",Weather!D578)</f>
        <v>3.7454392842547892</v>
      </c>
      <c r="I594" s="502">
        <f>IF(Weather!E578="","",Weather!E578)</f>
        <v>3.7454392842547892</v>
      </c>
      <c r="J594" s="397">
        <f>IF(RnSplint!N257&lt;0,0,RnSplint!N257)</f>
        <v>34.723117371299452</v>
      </c>
      <c r="K594" s="302">
        <f t="shared" si="488"/>
        <v>0</v>
      </c>
      <c r="L594" s="303">
        <f t="shared" si="489"/>
        <v>38559</v>
      </c>
      <c r="M594" s="346" t="str">
        <f t="shared" si="506"/>
        <v/>
      </c>
      <c r="N594" s="304">
        <f t="shared" si="490"/>
        <v>0</v>
      </c>
      <c r="O594" s="304">
        <f t="shared" si="491"/>
        <v>0</v>
      </c>
      <c r="P594" s="304">
        <f t="shared" si="461"/>
        <v>0</v>
      </c>
      <c r="Q594" s="304">
        <f t="shared" si="462"/>
        <v>0.21729061877378808</v>
      </c>
      <c r="R594" s="304">
        <f t="shared" si="463"/>
        <v>0.21729061877378808</v>
      </c>
      <c r="S594" s="305" t="e">
        <f t="shared" si="492"/>
        <v>#N/A</v>
      </c>
      <c r="T594" s="304">
        <f t="shared" si="464"/>
        <v>0</v>
      </c>
      <c r="U594" s="304">
        <f t="shared" si="502"/>
        <v>0</v>
      </c>
      <c r="V594" s="305" t="e">
        <f t="shared" si="465"/>
        <v>#N/A</v>
      </c>
      <c r="W594" s="305" t="e">
        <f t="shared" si="493"/>
        <v>#N/A</v>
      </c>
      <c r="X594" s="304">
        <f t="shared" si="494"/>
        <v>0.21729061877378808</v>
      </c>
      <c r="Z594" s="304" t="str">
        <f t="shared" si="466"/>
        <v/>
      </c>
      <c r="AA594" s="305" t="e">
        <f t="shared" si="467"/>
        <v>#N/A</v>
      </c>
      <c r="AB594" s="304">
        <f t="shared" si="468"/>
        <v>0.81384881965537714</v>
      </c>
      <c r="AC594" s="304" t="str">
        <f t="shared" si="495"/>
        <v/>
      </c>
      <c r="AD594" s="306">
        <f t="shared" si="469"/>
        <v>0</v>
      </c>
      <c r="AE594" s="307">
        <f t="shared" si="496"/>
        <v>0.81384881965537714</v>
      </c>
      <c r="AF594" s="308" t="e">
        <f t="shared" si="505"/>
        <v>#N/A</v>
      </c>
      <c r="AG594" s="306">
        <f t="shared" si="497"/>
        <v>1119.4995941735899</v>
      </c>
      <c r="AH594" s="306">
        <f t="shared" si="470"/>
        <v>0</v>
      </c>
      <c r="AI594" s="306">
        <f t="shared" si="498"/>
        <v>0</v>
      </c>
      <c r="AJ594" s="306">
        <f t="shared" si="499"/>
        <v>0</v>
      </c>
      <c r="AK594" s="306">
        <f t="shared" si="471"/>
        <v>0</v>
      </c>
      <c r="AL594" s="306">
        <f t="shared" si="500"/>
        <v>0</v>
      </c>
      <c r="AM594" s="306">
        <f t="shared" si="472"/>
        <v>0</v>
      </c>
      <c r="AN594" s="306"/>
      <c r="AO594" s="304" t="str">
        <f t="shared" si="473"/>
        <v/>
      </c>
      <c r="AP594" s="304" t="str">
        <f t="shared" si="501"/>
        <v/>
      </c>
      <c r="AQ594" s="305" t="e">
        <f t="shared" si="507"/>
        <v>#N/A</v>
      </c>
      <c r="AR594" s="304" t="str">
        <f t="shared" si="508"/>
        <v/>
      </c>
      <c r="AS594" s="306">
        <f t="shared" si="474"/>
        <v>0</v>
      </c>
      <c r="AT594" s="307" t="e">
        <f t="shared" si="509"/>
        <v>#N/A</v>
      </c>
      <c r="AU594" s="307" t="e">
        <f t="shared" si="510"/>
        <v>#N/A</v>
      </c>
      <c r="AV594" s="304">
        <f t="shared" si="512"/>
        <v>3.7454392842547892</v>
      </c>
      <c r="AW594" s="309">
        <f t="shared" si="475"/>
        <v>134.44289285305842</v>
      </c>
      <c r="AX594" s="306">
        <f>IF(ISERROR(Weather!M578),#N/A,Weather!M578)</f>
        <v>0</v>
      </c>
      <c r="AY594" s="310">
        <f t="shared" si="476"/>
        <v>30</v>
      </c>
      <c r="AZ594" s="309">
        <f t="shared" si="477"/>
        <v>0.21729061877378808</v>
      </c>
      <c r="BA594" s="309">
        <f t="shared" si="478"/>
        <v>692.11136056348698</v>
      </c>
      <c r="BB594" s="311">
        <f>Irrig!H596</f>
        <v>0</v>
      </c>
      <c r="BC594" s="310">
        <f t="shared" si="479"/>
        <v>0</v>
      </c>
      <c r="BD594" s="309">
        <f t="shared" si="480"/>
        <v>0</v>
      </c>
      <c r="BE594" s="309">
        <f t="shared" si="481"/>
        <v>0</v>
      </c>
      <c r="BF594" s="306">
        <f>DailyMet!H578</f>
        <v>26.46</v>
      </c>
      <c r="BG594" s="306">
        <f>DailyMet!I578</f>
        <v>18</v>
      </c>
      <c r="BH594" s="306">
        <f t="shared" si="482"/>
        <v>26.46</v>
      </c>
      <c r="BI594" s="306">
        <f t="shared" si="483"/>
        <v>18</v>
      </c>
      <c r="BJ594" s="306">
        <f t="shared" si="484"/>
        <v>12.23</v>
      </c>
      <c r="BK594" s="306">
        <f t="shared" si="511"/>
        <v>0</v>
      </c>
      <c r="BL594" s="304">
        <f t="shared" si="485"/>
        <v>0</v>
      </c>
      <c r="BM594" s="304">
        <f t="shared" si="486"/>
        <v>12.23</v>
      </c>
      <c r="BN594" s="304">
        <f t="shared" si="503"/>
        <v>12.23</v>
      </c>
      <c r="BO594" s="306">
        <f t="shared" si="504"/>
        <v>0</v>
      </c>
      <c r="BP594" s="306"/>
    </row>
    <row r="595" spans="1:68">
      <c r="A595" s="299">
        <f t="shared" si="457"/>
        <v>0</v>
      </c>
      <c r="B595" s="300">
        <f t="shared" si="458"/>
        <v>38560</v>
      </c>
      <c r="C595" s="301" t="e">
        <f t="shared" si="487"/>
        <v>#N/A</v>
      </c>
      <c r="D595" s="301" t="e">
        <f t="shared" si="459"/>
        <v>#N/A</v>
      </c>
      <c r="E595" s="299">
        <f t="shared" si="460"/>
        <v>574</v>
      </c>
      <c r="F595" s="396">
        <f>Weather!M579</f>
        <v>0</v>
      </c>
      <c r="G595" s="301">
        <f>IF(Weather!C579="","",Weather!C579)</f>
        <v>4.2695759184128503</v>
      </c>
      <c r="H595" s="301">
        <f>IF(Weather!D579="","",Weather!D579)</f>
        <v>4.4864865244293437</v>
      </c>
      <c r="I595" s="502">
        <f>IF(Weather!E579="","",Weather!E579)</f>
        <v>4.4864865244293437</v>
      </c>
      <c r="J595" s="397">
        <f>IF(RnSplint!N258&lt;0,0,RnSplint!N258)</f>
        <v>34.856772359894009</v>
      </c>
      <c r="K595" s="302">
        <f t="shared" si="488"/>
        <v>0</v>
      </c>
      <c r="L595" s="303">
        <f t="shared" si="489"/>
        <v>38560</v>
      </c>
      <c r="M595" s="346" t="str">
        <f t="shared" si="506"/>
        <v/>
      </c>
      <c r="N595" s="304">
        <f t="shared" si="490"/>
        <v>0</v>
      </c>
      <c r="O595" s="304">
        <f t="shared" si="491"/>
        <v>0</v>
      </c>
      <c r="P595" s="304">
        <f t="shared" si="461"/>
        <v>0</v>
      </c>
      <c r="Q595" s="304">
        <f t="shared" si="462"/>
        <v>0.21364107434665169</v>
      </c>
      <c r="R595" s="304">
        <f t="shared" si="463"/>
        <v>0.21364107434665169</v>
      </c>
      <c r="S595" s="305" t="e">
        <f t="shared" si="492"/>
        <v>#N/A</v>
      </c>
      <c r="T595" s="304">
        <f t="shared" si="464"/>
        <v>0</v>
      </c>
      <c r="U595" s="304">
        <f t="shared" si="502"/>
        <v>0</v>
      </c>
      <c r="V595" s="305" t="e">
        <f t="shared" si="465"/>
        <v>#N/A</v>
      </c>
      <c r="W595" s="305" t="e">
        <f t="shared" si="493"/>
        <v>#N/A</v>
      </c>
      <c r="X595" s="304">
        <f t="shared" si="494"/>
        <v>0.21364107434665169</v>
      </c>
      <c r="Z595" s="304" t="str">
        <f t="shared" si="466"/>
        <v/>
      </c>
      <c r="AA595" s="305" t="e">
        <f t="shared" si="467"/>
        <v>#N/A</v>
      </c>
      <c r="AB595" s="304">
        <f t="shared" si="468"/>
        <v>0.95849780112086036</v>
      </c>
      <c r="AC595" s="304" t="str">
        <f t="shared" si="495"/>
        <v/>
      </c>
      <c r="AD595" s="306">
        <f t="shared" si="469"/>
        <v>0</v>
      </c>
      <c r="AE595" s="307">
        <f t="shared" si="496"/>
        <v>0.95849780112086036</v>
      </c>
      <c r="AF595" s="308" t="e">
        <f t="shared" si="505"/>
        <v>#N/A</v>
      </c>
      <c r="AG595" s="306">
        <f t="shared" si="497"/>
        <v>1123.9860806980194</v>
      </c>
      <c r="AH595" s="306">
        <f t="shared" si="470"/>
        <v>0</v>
      </c>
      <c r="AI595" s="306">
        <f t="shared" si="498"/>
        <v>0</v>
      </c>
      <c r="AJ595" s="306">
        <f t="shared" si="499"/>
        <v>0</v>
      </c>
      <c r="AK595" s="306">
        <f t="shared" si="471"/>
        <v>0</v>
      </c>
      <c r="AL595" s="306">
        <f t="shared" si="500"/>
        <v>0</v>
      </c>
      <c r="AM595" s="306">
        <f t="shared" si="472"/>
        <v>0</v>
      </c>
      <c r="AN595" s="306"/>
      <c r="AO595" s="304" t="str">
        <f t="shared" si="473"/>
        <v/>
      </c>
      <c r="AP595" s="304" t="str">
        <f t="shared" si="501"/>
        <v/>
      </c>
      <c r="AQ595" s="305" t="e">
        <f t="shared" si="507"/>
        <v>#N/A</v>
      </c>
      <c r="AR595" s="304" t="str">
        <f t="shared" si="508"/>
        <v/>
      </c>
      <c r="AS595" s="306">
        <f t="shared" si="474"/>
        <v>0</v>
      </c>
      <c r="AT595" s="307" t="e">
        <f t="shared" si="509"/>
        <v>#N/A</v>
      </c>
      <c r="AU595" s="307" t="e">
        <f t="shared" si="510"/>
        <v>#N/A</v>
      </c>
      <c r="AV595" s="304">
        <f t="shared" si="512"/>
        <v>4.4864865244293437</v>
      </c>
      <c r="AW595" s="309">
        <f t="shared" si="475"/>
        <v>138.92937937748778</v>
      </c>
      <c r="AX595" s="306">
        <f>IF(ISERROR(Weather!M579),#N/A,Weather!M579)</f>
        <v>0</v>
      </c>
      <c r="AY595" s="310">
        <f t="shared" si="476"/>
        <v>31</v>
      </c>
      <c r="AZ595" s="309">
        <f t="shared" si="477"/>
        <v>0.21364107434665169</v>
      </c>
      <c r="BA595" s="309">
        <f t="shared" si="478"/>
        <v>696.59784708791631</v>
      </c>
      <c r="BB595" s="311">
        <f>Irrig!H597</f>
        <v>0</v>
      </c>
      <c r="BC595" s="310">
        <f t="shared" si="479"/>
        <v>0</v>
      </c>
      <c r="BD595" s="309">
        <f t="shared" si="480"/>
        <v>0</v>
      </c>
      <c r="BE595" s="309">
        <f t="shared" si="481"/>
        <v>0</v>
      </c>
      <c r="BF595" s="306">
        <f>DailyMet!H579</f>
        <v>28.68</v>
      </c>
      <c r="BG595" s="306">
        <f>DailyMet!I579</f>
        <v>18.899999999999999</v>
      </c>
      <c r="BH595" s="306">
        <f t="shared" si="482"/>
        <v>28.68</v>
      </c>
      <c r="BI595" s="306">
        <f t="shared" si="483"/>
        <v>18.899999999999999</v>
      </c>
      <c r="BJ595" s="306">
        <f t="shared" si="484"/>
        <v>13.79</v>
      </c>
      <c r="BK595" s="306">
        <f t="shared" si="511"/>
        <v>0</v>
      </c>
      <c r="BL595" s="304">
        <f t="shared" si="485"/>
        <v>0</v>
      </c>
      <c r="BM595" s="304">
        <f t="shared" si="486"/>
        <v>13.79</v>
      </c>
      <c r="BN595" s="304">
        <f t="shared" si="503"/>
        <v>13.79</v>
      </c>
      <c r="BO595" s="306">
        <f t="shared" si="504"/>
        <v>0</v>
      </c>
      <c r="BP595" s="306"/>
    </row>
    <row r="596" spans="1:68">
      <c r="A596" s="299">
        <f t="shared" si="457"/>
        <v>0</v>
      </c>
      <c r="B596" s="300">
        <f t="shared" si="458"/>
        <v>38561</v>
      </c>
      <c r="C596" s="301" t="e">
        <f t="shared" si="487"/>
        <v>#N/A</v>
      </c>
      <c r="D596" s="301" t="e">
        <f t="shared" si="459"/>
        <v>#N/A</v>
      </c>
      <c r="E596" s="299">
        <f t="shared" si="460"/>
        <v>575</v>
      </c>
      <c r="F596" s="396">
        <f>Weather!M580</f>
        <v>0</v>
      </c>
      <c r="G596" s="301">
        <f>IF(Weather!C580="","",Weather!C580)</f>
        <v>4.2508772326813578</v>
      </c>
      <c r="H596" s="301">
        <f>IF(Weather!D580="","",Weather!D580)</f>
        <v>3.6827022385919621</v>
      </c>
      <c r="I596" s="502">
        <f>IF(Weather!E580="","",Weather!E580)</f>
        <v>3.6827022385919621</v>
      </c>
      <c r="J596" s="397">
        <f>IF(RnSplint!N259&lt;0,0,RnSplint!N259)</f>
        <v>34.951795537642205</v>
      </c>
      <c r="K596" s="302">
        <f t="shared" si="488"/>
        <v>0</v>
      </c>
      <c r="L596" s="303">
        <f t="shared" si="489"/>
        <v>38561</v>
      </c>
      <c r="M596" s="346" t="str">
        <f t="shared" si="506"/>
        <v/>
      </c>
      <c r="N596" s="304">
        <f t="shared" si="490"/>
        <v>0</v>
      </c>
      <c r="O596" s="304">
        <f t="shared" si="491"/>
        <v>0</v>
      </c>
      <c r="P596" s="304">
        <f t="shared" si="461"/>
        <v>0</v>
      </c>
      <c r="Q596" s="304">
        <f t="shared" si="462"/>
        <v>0.21077633369018059</v>
      </c>
      <c r="R596" s="304">
        <f t="shared" si="463"/>
        <v>0.21077633369018059</v>
      </c>
      <c r="S596" s="305" t="e">
        <f t="shared" si="492"/>
        <v>#N/A</v>
      </c>
      <c r="T596" s="304">
        <f t="shared" si="464"/>
        <v>0</v>
      </c>
      <c r="U596" s="304">
        <f t="shared" si="502"/>
        <v>0</v>
      </c>
      <c r="V596" s="305" t="e">
        <f t="shared" si="465"/>
        <v>#N/A</v>
      </c>
      <c r="W596" s="305" t="e">
        <f t="shared" si="493"/>
        <v>#N/A</v>
      </c>
      <c r="X596" s="304">
        <f t="shared" si="494"/>
        <v>0.21077633369018059</v>
      </c>
      <c r="Z596" s="304" t="str">
        <f t="shared" si="466"/>
        <v/>
      </c>
      <c r="AA596" s="305" t="e">
        <f t="shared" si="467"/>
        <v>#N/A</v>
      </c>
      <c r="AB596" s="304">
        <f t="shared" si="468"/>
        <v>0.77622647592303451</v>
      </c>
      <c r="AC596" s="304" t="str">
        <f t="shared" si="495"/>
        <v/>
      </c>
      <c r="AD596" s="306">
        <f t="shared" si="469"/>
        <v>0</v>
      </c>
      <c r="AE596" s="307">
        <f t="shared" si="496"/>
        <v>0.77622647592303451</v>
      </c>
      <c r="AF596" s="308" t="e">
        <f t="shared" si="505"/>
        <v>#N/A</v>
      </c>
      <c r="AG596" s="306">
        <f t="shared" si="497"/>
        <v>1127.6687829366113</v>
      </c>
      <c r="AH596" s="306">
        <f t="shared" si="470"/>
        <v>0</v>
      </c>
      <c r="AI596" s="306">
        <f t="shared" si="498"/>
        <v>0</v>
      </c>
      <c r="AJ596" s="306">
        <f t="shared" si="499"/>
        <v>0</v>
      </c>
      <c r="AK596" s="306">
        <f t="shared" si="471"/>
        <v>0</v>
      </c>
      <c r="AL596" s="306">
        <f t="shared" si="500"/>
        <v>0</v>
      </c>
      <c r="AM596" s="306">
        <f t="shared" si="472"/>
        <v>0</v>
      </c>
      <c r="AN596" s="306"/>
      <c r="AO596" s="304" t="str">
        <f t="shared" si="473"/>
        <v/>
      </c>
      <c r="AP596" s="304" t="str">
        <f t="shared" si="501"/>
        <v/>
      </c>
      <c r="AQ596" s="305" t="e">
        <f t="shared" si="507"/>
        <v>#N/A</v>
      </c>
      <c r="AR596" s="304" t="str">
        <f t="shared" si="508"/>
        <v/>
      </c>
      <c r="AS596" s="306">
        <f t="shared" si="474"/>
        <v>0</v>
      </c>
      <c r="AT596" s="307" t="e">
        <f t="shared" si="509"/>
        <v>#N/A</v>
      </c>
      <c r="AU596" s="307" t="e">
        <f t="shared" si="510"/>
        <v>#N/A</v>
      </c>
      <c r="AV596" s="304">
        <f t="shared" si="512"/>
        <v>3.6827022385919621</v>
      </c>
      <c r="AW596" s="309">
        <f t="shared" si="475"/>
        <v>142.61208161607973</v>
      </c>
      <c r="AX596" s="306">
        <f>IF(ISERROR(Weather!M580),#N/A,Weather!M580)</f>
        <v>0</v>
      </c>
      <c r="AY596" s="310">
        <f t="shared" si="476"/>
        <v>32</v>
      </c>
      <c r="AZ596" s="309">
        <f t="shared" si="477"/>
        <v>0.21077633369018059</v>
      </c>
      <c r="BA596" s="309">
        <f t="shared" si="478"/>
        <v>700.28054932650832</v>
      </c>
      <c r="BB596" s="311">
        <f>Irrig!H598</f>
        <v>0</v>
      </c>
      <c r="BC596" s="310">
        <f t="shared" si="479"/>
        <v>0</v>
      </c>
      <c r="BD596" s="309">
        <f t="shared" si="480"/>
        <v>0</v>
      </c>
      <c r="BE596" s="309">
        <f t="shared" si="481"/>
        <v>0</v>
      </c>
      <c r="BF596" s="306">
        <f>DailyMet!H580</f>
        <v>28.79</v>
      </c>
      <c r="BG596" s="306">
        <f>DailyMet!I580</f>
        <v>21.1</v>
      </c>
      <c r="BH596" s="306">
        <f t="shared" si="482"/>
        <v>28.79</v>
      </c>
      <c r="BI596" s="306">
        <f t="shared" si="483"/>
        <v>21.1</v>
      </c>
      <c r="BJ596" s="306">
        <f t="shared" si="484"/>
        <v>14.945</v>
      </c>
      <c r="BK596" s="306">
        <f t="shared" si="511"/>
        <v>0</v>
      </c>
      <c r="BL596" s="304">
        <f t="shared" si="485"/>
        <v>0</v>
      </c>
      <c r="BM596" s="304">
        <f t="shared" si="486"/>
        <v>14.945</v>
      </c>
      <c r="BN596" s="304">
        <f t="shared" si="503"/>
        <v>14.945</v>
      </c>
      <c r="BO596" s="306">
        <f t="shared" si="504"/>
        <v>0</v>
      </c>
      <c r="BP596" s="306"/>
    </row>
    <row r="597" spans="1:68">
      <c r="A597" s="299">
        <f t="shared" si="457"/>
        <v>0</v>
      </c>
      <c r="B597" s="300">
        <f t="shared" si="458"/>
        <v>38562</v>
      </c>
      <c r="C597" s="301" t="e">
        <f t="shared" si="487"/>
        <v>#N/A</v>
      </c>
      <c r="D597" s="301" t="e">
        <f t="shared" si="459"/>
        <v>#N/A</v>
      </c>
      <c r="E597" s="299">
        <f t="shared" si="460"/>
        <v>576</v>
      </c>
      <c r="F597" s="396">
        <f>Weather!M581</f>
        <v>0.4</v>
      </c>
      <c r="G597" s="301">
        <f>IF(Weather!C581="","",Weather!C581)</f>
        <v>4.2311191405946973</v>
      </c>
      <c r="H597" s="301">
        <f>IF(Weather!D581="","",Weather!D581)</f>
        <v>4.5469371783869423</v>
      </c>
      <c r="I597" s="502">
        <f>IF(Weather!E581="","",Weather!E581)</f>
        <v>4.5469371783869423</v>
      </c>
      <c r="J597" s="397">
        <f>IF(RnSplint!N260&lt;0,0,RnSplint!N260)</f>
        <v>35.00937698585679</v>
      </c>
      <c r="K597" s="302">
        <f t="shared" si="488"/>
        <v>0</v>
      </c>
      <c r="L597" s="303">
        <f t="shared" si="489"/>
        <v>38562</v>
      </c>
      <c r="M597" s="346" t="str">
        <f t="shared" si="506"/>
        <v/>
      </c>
      <c r="N597" s="304">
        <f t="shared" si="490"/>
        <v>0</v>
      </c>
      <c r="O597" s="304">
        <f t="shared" si="491"/>
        <v>0</v>
      </c>
      <c r="P597" s="304">
        <f t="shared" si="461"/>
        <v>0</v>
      </c>
      <c r="Q597" s="304">
        <f t="shared" si="462"/>
        <v>0.20739031667821395</v>
      </c>
      <c r="R597" s="304">
        <f t="shared" si="463"/>
        <v>0.20739031667821395</v>
      </c>
      <c r="S597" s="305" t="e">
        <f t="shared" si="492"/>
        <v>#N/A</v>
      </c>
      <c r="T597" s="304">
        <f t="shared" si="464"/>
        <v>0</v>
      </c>
      <c r="U597" s="304">
        <f t="shared" si="502"/>
        <v>0</v>
      </c>
      <c r="V597" s="305" t="e">
        <f t="shared" si="465"/>
        <v>#N/A</v>
      </c>
      <c r="W597" s="305" t="e">
        <f t="shared" si="493"/>
        <v>#N/A</v>
      </c>
      <c r="X597" s="304">
        <f t="shared" si="494"/>
        <v>0.20739031667821395</v>
      </c>
      <c r="Z597" s="304" t="str">
        <f t="shared" si="466"/>
        <v/>
      </c>
      <c r="AA597" s="305" t="e">
        <f t="shared" si="467"/>
        <v>#N/A</v>
      </c>
      <c r="AB597" s="304">
        <f t="shared" si="468"/>
        <v>0.94299074134161254</v>
      </c>
      <c r="AC597" s="304" t="str">
        <f t="shared" si="495"/>
        <v/>
      </c>
      <c r="AD597" s="306">
        <f t="shared" si="469"/>
        <v>0</v>
      </c>
      <c r="AE597" s="307">
        <f t="shared" si="496"/>
        <v>0.94299074134161254</v>
      </c>
      <c r="AF597" s="308" t="e">
        <f t="shared" si="505"/>
        <v>#N/A</v>
      </c>
      <c r="AG597" s="306">
        <f t="shared" si="497"/>
        <v>1132.2157201149982</v>
      </c>
      <c r="AH597" s="306">
        <f t="shared" si="470"/>
        <v>0</v>
      </c>
      <c r="AI597" s="306">
        <f t="shared" si="498"/>
        <v>0</v>
      </c>
      <c r="AJ597" s="306">
        <f t="shared" si="499"/>
        <v>0</v>
      </c>
      <c r="AK597" s="306">
        <f t="shared" si="471"/>
        <v>0</v>
      </c>
      <c r="AL597" s="306">
        <f t="shared" si="500"/>
        <v>0</v>
      </c>
      <c r="AM597" s="306">
        <f t="shared" si="472"/>
        <v>0</v>
      </c>
      <c r="AN597" s="306"/>
      <c r="AO597" s="304" t="str">
        <f t="shared" si="473"/>
        <v/>
      </c>
      <c r="AP597" s="304" t="str">
        <f t="shared" si="501"/>
        <v/>
      </c>
      <c r="AQ597" s="305" t="e">
        <f t="shared" si="507"/>
        <v>#N/A</v>
      </c>
      <c r="AR597" s="304" t="str">
        <f t="shared" si="508"/>
        <v/>
      </c>
      <c r="AS597" s="306">
        <f t="shared" si="474"/>
        <v>0</v>
      </c>
      <c r="AT597" s="307" t="e">
        <f t="shared" si="509"/>
        <v>#N/A</v>
      </c>
      <c r="AU597" s="307" t="e">
        <f t="shared" si="510"/>
        <v>#N/A</v>
      </c>
      <c r="AV597" s="304">
        <f t="shared" si="512"/>
        <v>4.5469371783869423</v>
      </c>
      <c r="AW597" s="309">
        <f t="shared" si="475"/>
        <v>147.15901879446668</v>
      </c>
      <c r="AX597" s="306">
        <f>IF(ISERROR(Weather!M581),#N/A,Weather!M581)</f>
        <v>0.4</v>
      </c>
      <c r="AY597" s="310">
        <f t="shared" si="476"/>
        <v>33</v>
      </c>
      <c r="AZ597" s="309">
        <f t="shared" si="477"/>
        <v>0.20739031667821395</v>
      </c>
      <c r="BA597" s="309">
        <f t="shared" si="478"/>
        <v>704.82748650489532</v>
      </c>
      <c r="BB597" s="311">
        <f>Irrig!H599</f>
        <v>0</v>
      </c>
      <c r="BC597" s="310">
        <f t="shared" si="479"/>
        <v>0</v>
      </c>
      <c r="BD597" s="309">
        <f t="shared" si="480"/>
        <v>0</v>
      </c>
      <c r="BE597" s="309">
        <f t="shared" si="481"/>
        <v>0</v>
      </c>
      <c r="BF597" s="306">
        <f>DailyMet!H581</f>
        <v>27.51</v>
      </c>
      <c r="BG597" s="306">
        <f>DailyMet!I581</f>
        <v>19.3</v>
      </c>
      <c r="BH597" s="306">
        <f t="shared" si="482"/>
        <v>27.51</v>
      </c>
      <c r="BI597" s="306">
        <f t="shared" si="483"/>
        <v>19.3</v>
      </c>
      <c r="BJ597" s="306">
        <f t="shared" si="484"/>
        <v>13.405000000000001</v>
      </c>
      <c r="BK597" s="306">
        <f t="shared" si="511"/>
        <v>0</v>
      </c>
      <c r="BL597" s="304">
        <f t="shared" si="485"/>
        <v>0</v>
      </c>
      <c r="BM597" s="304">
        <f t="shared" si="486"/>
        <v>13.405000000000001</v>
      </c>
      <c r="BN597" s="304">
        <f t="shared" si="503"/>
        <v>13.405000000000001</v>
      </c>
      <c r="BO597" s="306">
        <f t="shared" si="504"/>
        <v>0</v>
      </c>
      <c r="BP597" s="306"/>
    </row>
    <row r="598" spans="1:68">
      <c r="A598" s="299">
        <f>IF(B598&gt;K$12,0,IF(B598&gt;L$11,4,IF(B598&gt;=L$10,3,IF(B598&gt;L$9,2,IF(B598&gt;=K$8,1,0)))))</f>
        <v>0</v>
      </c>
      <c r="B598" s="300">
        <f t="shared" si="458"/>
        <v>38563</v>
      </c>
      <c r="C598" s="301" t="e">
        <f t="shared" si="487"/>
        <v>#N/A</v>
      </c>
      <c r="D598" s="301" t="e">
        <f>IF(ISNA(C598),#N/A,IF(Q598&lt;C598,Q598,C598))</f>
        <v>#N/A</v>
      </c>
      <c r="E598" s="299">
        <f t="shared" si="460"/>
        <v>577</v>
      </c>
      <c r="F598" s="396">
        <f>Weather!M582</f>
        <v>0</v>
      </c>
      <c r="G598" s="301">
        <f>IF(Weather!C582="","",Weather!C582)</f>
        <v>4.210270752728773</v>
      </c>
      <c r="H598" s="301">
        <f>IF(Weather!D582="","",Weather!D582)</f>
        <v>4.4553960861591095</v>
      </c>
      <c r="I598" s="502">
        <f>IF(Weather!E582="","",Weather!E582)</f>
        <v>4.4553960861591095</v>
      </c>
      <c r="J598" s="397">
        <f>IF(RnSplint!N261&lt;0,0,RnSplint!N261)</f>
        <v>35.030706785850498</v>
      </c>
      <c r="K598" s="302">
        <f t="shared" si="488"/>
        <v>0</v>
      </c>
      <c r="L598" s="303">
        <f t="shared" si="489"/>
        <v>38563</v>
      </c>
      <c r="M598" s="346" t="str">
        <f t="shared" si="506"/>
        <v/>
      </c>
      <c r="N598" s="304">
        <f t="shared" si="490"/>
        <v>0</v>
      </c>
      <c r="O598" s="304">
        <f t="shared" si="491"/>
        <v>0</v>
      </c>
      <c r="P598" s="304">
        <f t="shared" si="461"/>
        <v>0</v>
      </c>
      <c r="Q598" s="304">
        <f t="shared" si="462"/>
        <v>0.20422288713680095</v>
      </c>
      <c r="R598" s="304">
        <f>IF(Q598&gt;P598,Q598,P598)</f>
        <v>0.20422288713680095</v>
      </c>
      <c r="S598" s="305" t="e">
        <f t="shared" si="492"/>
        <v>#N/A</v>
      </c>
      <c r="T598" s="304">
        <f t="shared" si="464"/>
        <v>0</v>
      </c>
      <c r="U598" s="304">
        <f t="shared" si="502"/>
        <v>0</v>
      </c>
      <c r="V598" s="305" t="e">
        <f>IF(N598=0,#N/A,U598)</f>
        <v>#N/A</v>
      </c>
      <c r="W598" s="305" t="e">
        <f t="shared" si="493"/>
        <v>#N/A</v>
      </c>
      <c r="X598" s="304">
        <f t="shared" si="494"/>
        <v>0.20422288713680095</v>
      </c>
      <c r="Z598" s="304" t="str">
        <f>IF(A598=2,X598,"")</f>
        <v/>
      </c>
      <c r="AA598" s="305" t="e">
        <f>IF(N598=0,#N/A,X598)</f>
        <v>#N/A</v>
      </c>
      <c r="AB598" s="304">
        <f>X598*AV598</f>
        <v>0.90989385205341655</v>
      </c>
      <c r="AC598" s="304" t="str">
        <f t="shared" si="495"/>
        <v/>
      </c>
      <c r="AD598" s="306">
        <f>IF(OR(AND(L$3=4,E598&gt;366),AND(L$3=2,E598&gt;366)),0,IF(A598=0,0,AD597+AB598))</f>
        <v>0</v>
      </c>
      <c r="AE598" s="307">
        <f t="shared" si="496"/>
        <v>0.90989385205341655</v>
      </c>
      <c r="AF598" s="308" t="e">
        <f t="shared" si="505"/>
        <v>#N/A</v>
      </c>
      <c r="AG598" s="306">
        <f t="shared" si="497"/>
        <v>1136.6711162011572</v>
      </c>
      <c r="AH598" s="306">
        <f>IF($A598=1,I598,0)</f>
        <v>0</v>
      </c>
      <c r="AI598" s="306">
        <f t="shared" si="498"/>
        <v>0</v>
      </c>
      <c r="AJ598" s="306">
        <f t="shared" si="499"/>
        <v>0</v>
      </c>
      <c r="AK598" s="306">
        <f t="shared" si="471"/>
        <v>0</v>
      </c>
      <c r="AL598" s="306">
        <f t="shared" si="500"/>
        <v>0</v>
      </c>
      <c r="AM598" s="306">
        <f>IF($A598=4,$AE598,0)</f>
        <v>0</v>
      </c>
      <c r="AN598" s="306"/>
      <c r="AO598" s="304" t="str">
        <f t="shared" si="473"/>
        <v/>
      </c>
      <c r="AP598" s="304" t="str">
        <f t="shared" si="501"/>
        <v/>
      </c>
      <c r="AQ598" s="305" t="e">
        <f t="shared" si="507"/>
        <v>#N/A</v>
      </c>
      <c r="AR598" s="304" t="str">
        <f t="shared" si="508"/>
        <v/>
      </c>
      <c r="AS598" s="306">
        <f>IF(OR(AND(L$3=4,E598&gt;366),AND(L$3=2,E598&gt;366)),0,IF(AR598="",0,AS597+AR598))</f>
        <v>0</v>
      </c>
      <c r="AT598" s="307" t="e">
        <f t="shared" si="509"/>
        <v>#N/A</v>
      </c>
      <c r="AU598" s="307" t="e">
        <f t="shared" si="510"/>
        <v>#N/A</v>
      </c>
      <c r="AV598" s="304">
        <f t="shared" si="512"/>
        <v>4.4553960861591095</v>
      </c>
      <c r="AW598" s="309">
        <f>IF(AV598="",0,IF(AY598=1,AV598,AW597+AV598))</f>
        <v>151.61441488062579</v>
      </c>
      <c r="AX598" s="306">
        <f>IF(ISERROR(Weather!M582),#N/A,Weather!M582)</f>
        <v>0</v>
      </c>
      <c r="AY598" s="310">
        <f>IF(AV598="",0,IF(AX598&gt;2*AV598,1,AY597+1))</f>
        <v>34</v>
      </c>
      <c r="AZ598" s="309">
        <f t="shared" si="477"/>
        <v>0.20422288713680095</v>
      </c>
      <c r="BA598" s="309">
        <f t="shared" si="478"/>
        <v>709.28288259105443</v>
      </c>
      <c r="BB598" s="311">
        <f>Irrig!H600</f>
        <v>0</v>
      </c>
      <c r="BC598" s="310">
        <f>IF(A598=0,0,IF(BB598="",0,IF(BB598&gt;2*AV598,1,IF(A597=0,2,BC597+1))))</f>
        <v>0</v>
      </c>
      <c r="BD598" s="309">
        <f>IF($A598=0,0,IF(2.725*$BA598^-0.516&gt;1.2,IF($A597=0,$Q598,1.2),IF($A597=0,$Q598,2.725*$BA598^-0.516)))</f>
        <v>0</v>
      </c>
      <c r="BE598" s="309">
        <f>(BE$18/100)*BD598</f>
        <v>0</v>
      </c>
      <c r="BF598" s="306">
        <f>DailyMet!H582</f>
        <v>26.56</v>
      </c>
      <c r="BG598" s="306">
        <f>DailyMet!I582</f>
        <v>16.7</v>
      </c>
      <c r="BH598" s="306">
        <f t="shared" si="482"/>
        <v>26.56</v>
      </c>
      <c r="BI598" s="306">
        <f t="shared" si="483"/>
        <v>16.7</v>
      </c>
      <c r="BJ598" s="306">
        <f>(BH598+BI598)/2-V$4</f>
        <v>11.629999999999999</v>
      </c>
      <c r="BK598" s="306">
        <f t="shared" si="511"/>
        <v>0</v>
      </c>
      <c r="BL598" s="304">
        <f>IF($BG598&gt;$V$3,($BG598+$BF598)/2-$V$3,IF($BF598&gt;$V$3,($BF598-$V$3)^2/(2*($BF598-$BG598)),0))</f>
        <v>0</v>
      </c>
      <c r="BM598" s="304">
        <f>IF($BG598&gt;$V$4,($BG598+$BF598)/2-$V$4,IF($BF598&gt;$V$4,($BF598-$V$4)^2/(2*($BF598-$BG598)),0))</f>
        <v>11.629999999999999</v>
      </c>
      <c r="BN598" s="304">
        <f t="shared" si="503"/>
        <v>11.629999999999999</v>
      </c>
      <c r="BO598" s="306">
        <f t="shared" si="504"/>
        <v>0</v>
      </c>
      <c r="BP598" s="306"/>
    </row>
    <row r="599" spans="1:68">
      <c r="A599" s="299">
        <f>IF(B599&gt;K$12,0,IF(B599&gt;L$11,4,IF(B599&gt;=L$10,3,IF(B599&gt;L$9,2,IF(B599&gt;=K$8,1,0)))))</f>
        <v>0</v>
      </c>
      <c r="B599" s="300">
        <f t="shared" si="458"/>
        <v>38564</v>
      </c>
      <c r="C599" s="301" t="e">
        <f>VLOOKUP(B599,$L$8:$R$12,7,FALSE)</f>
        <v>#N/A</v>
      </c>
      <c r="D599" s="301" t="e">
        <f>IF(ISNA(C599),#N/A,IF(Q599&lt;C599,Q599,C599))</f>
        <v>#N/A</v>
      </c>
      <c r="E599" s="299">
        <f t="shared" si="460"/>
        <v>578</v>
      </c>
      <c r="F599" s="396">
        <f>Weather!M583</f>
        <v>16.399999999999999</v>
      </c>
      <c r="G599" s="301">
        <f>IF(Weather!C583="","",Weather!C583)</f>
        <v>4.1883011796594918</v>
      </c>
      <c r="H599" s="301">
        <f>IF(Weather!D583="","",Weather!D583)</f>
        <v>3.8584668114409286</v>
      </c>
      <c r="I599" s="502">
        <f>IF(Weather!E583="","",Weather!E583)</f>
        <v>3.8584668114409286</v>
      </c>
      <c r="J599" s="397">
        <f>IF(RnSplint!N262&lt;0,0,RnSplint!N262)</f>
        <v>35.01697501893608</v>
      </c>
      <c r="K599" s="302">
        <f>IF(AND($B599&gt;=L$8,$B599&lt;=L$9),Z$9,IF(AND($B599&gt;L$9,$B599&lt;=L$10),N598+AA$9,IF(AND($B599&gt;L$10,$B599&lt;=L$11),N598+AA$10,IF(AND($B599&gt;L$11,$B599&lt;=L$12),N598+AA$11,0))))</f>
        <v>0</v>
      </c>
      <c r="L599" s="303">
        <f>B599</f>
        <v>38564</v>
      </c>
      <c r="M599" s="346">
        <v>7</v>
      </c>
      <c r="N599" s="304">
        <f>K599</f>
        <v>0</v>
      </c>
      <c r="O599" s="304">
        <f>IF($L$3&lt;3,0,IF($R$3=E599,R$2,IF($R$4=E598,0,IF($R$5=E599,R$2,IF($R$6=E598,0,O598)))))</f>
        <v>0</v>
      </c>
      <c r="P599" s="304">
        <f>IF($N599+$O599&gt;K$6,$K$6,$N599+$O599)</f>
        <v>0</v>
      </c>
      <c r="Q599" s="304">
        <f>AZ599</f>
        <v>1.2</v>
      </c>
      <c r="R599" s="304">
        <f>IF(Q599&gt;P599,Q599,P599)</f>
        <v>1.2</v>
      </c>
      <c r="S599" s="305" t="e">
        <f>IF(N599=0,#N/A,R599)</f>
        <v>#N/A</v>
      </c>
      <c r="T599" s="304">
        <f>BE599</f>
        <v>0</v>
      </c>
      <c r="U599" s="304">
        <f>IF(T599&gt;P599,T599,P599)</f>
        <v>0</v>
      </c>
      <c r="V599" s="305" t="e">
        <f>IF(N599=0,#N/A,U599)</f>
        <v>#N/A</v>
      </c>
      <c r="W599" s="305" t="e">
        <f>IF(OR(P599=0,P599=""),#N/A,P599)</f>
        <v>#N/A</v>
      </c>
      <c r="X599" s="304">
        <f>IF(R599&gt;U599,R599,U599)</f>
        <v>1.2</v>
      </c>
      <c r="Z599" s="304" t="str">
        <f>IF(A599=2,X599,"")</f>
        <v/>
      </c>
      <c r="AA599" s="305" t="e">
        <f>IF(N599=0,#N/A,X599)</f>
        <v>#N/A</v>
      </c>
      <c r="AB599" s="304">
        <f>X599*AV599</f>
        <v>4.6301601737291138</v>
      </c>
      <c r="AC599" s="304" t="str">
        <f>IF($A599=4,$X599,"")</f>
        <v/>
      </c>
      <c r="AD599" s="306">
        <f>IF(OR(AND(L$3=4,E599&gt;366),AND(L$3=2,E599&gt;366)),0,IF(A599=0,0,AD598+AB599))</f>
        <v>0</v>
      </c>
      <c r="AE599" s="307">
        <f>IF(AB599="",#N/A,AB599)</f>
        <v>4.6301601737291138</v>
      </c>
      <c r="AF599" s="308" t="e">
        <f>IF(AD599=0,#N/A,AD599)</f>
        <v>#N/A</v>
      </c>
      <c r="AG599" s="306">
        <f>AG598+$I599</f>
        <v>1140.5295830125981</v>
      </c>
      <c r="AH599" s="306">
        <f>IF($A599=1,I599,0)</f>
        <v>0</v>
      </c>
      <c r="AI599" s="306">
        <f>IF($A599=3,I599,0)</f>
        <v>0</v>
      </c>
      <c r="AJ599" s="306">
        <f t="shared" si="499"/>
        <v>0</v>
      </c>
      <c r="AK599" s="306">
        <f>IF($A599=1,AE599,0)</f>
        <v>0</v>
      </c>
      <c r="AL599" s="306">
        <f>IF($A599=3,AE599,0)</f>
        <v>0</v>
      </c>
      <c r="AM599" s="306">
        <f>IF($A599=4,$AE599,0)</f>
        <v>0</v>
      </c>
      <c r="AN599" s="306"/>
      <c r="AO599" s="304" t="str">
        <f t="shared" si="473"/>
        <v/>
      </c>
      <c r="AP599" s="304" t="str">
        <f>IF(OR($L$3=2,$L$3=4),AN599,AO599)</f>
        <v/>
      </c>
      <c r="AQ599" s="305" t="e">
        <f t="shared" si="507"/>
        <v>#N/A</v>
      </c>
      <c r="AR599" s="304" t="str">
        <f>IF(AP599="","",AP599*AV599)</f>
        <v/>
      </c>
      <c r="AS599" s="306">
        <f>IF(OR(AND(L$3=4,E599&gt;366),AND(L$3=2,E599&gt;366)),0,IF(AR599="",0,AS598+AR599))</f>
        <v>0</v>
      </c>
      <c r="AT599" s="307" t="e">
        <f>IF(AR599="",#N/A,AR599)</f>
        <v>#N/A</v>
      </c>
      <c r="AU599" s="307" t="e">
        <f>IF(AS599=0,#N/A,AS599)</f>
        <v>#N/A</v>
      </c>
      <c r="AV599" s="304">
        <f t="shared" si="512"/>
        <v>3.8584668114409286</v>
      </c>
      <c r="AW599" s="309">
        <f>IF(AV599="",0,IF(AY599=1,AV599,AW598+AV599))</f>
        <v>3.8584668114409286</v>
      </c>
      <c r="AX599" s="306">
        <f>IF(ISERROR(Weather!M583),#N/A,Weather!M583)</f>
        <v>16.399999999999999</v>
      </c>
      <c r="AY599" s="310">
        <f>IF(AV599="",0,IF(AX599&gt;2*AV599,1,AY598+1))</f>
        <v>1</v>
      </c>
      <c r="AZ599" s="309">
        <f t="shared" si="477"/>
        <v>1.2</v>
      </c>
      <c r="BA599" s="309">
        <f>IF($AV599="",0,IF(BC599=1,$AV599,BA598+$AV599))</f>
        <v>713.14134940249539</v>
      </c>
      <c r="BB599" s="311">
        <f>Irrig!H601</f>
        <v>0</v>
      </c>
      <c r="BC599" s="310">
        <f>IF(A599=0,0,IF(BB599="",0,IF(BB599&gt;2*AV599,1,IF(A598=0,2,BC598+1))))</f>
        <v>0</v>
      </c>
      <c r="BD599" s="309">
        <f>IF($A599=0,0,IF(2.725*$BA599^-0.516&gt;1.2,IF($A598=0,$Q599,1.2),IF($A598=0,$Q599,2.725*$BA599^-0.516)))</f>
        <v>0</v>
      </c>
      <c r="BE599" s="309">
        <f>(BE$18/100)*BD599</f>
        <v>0</v>
      </c>
      <c r="BF599" s="306">
        <f>DailyMet!H583</f>
        <v>0</v>
      </c>
      <c r="BG599" s="306">
        <f>DailyMet!I583</f>
        <v>0</v>
      </c>
      <c r="BH599" s="306">
        <f t="shared" ref="BH599" si="513">IF(BF599&gt;$V$3,$V$3,BF599)</f>
        <v>0</v>
      </c>
      <c r="BI599" s="306">
        <f t="shared" ref="BI599" si="514">IF(BG599&lt;$V$4,$V$4,BG599)</f>
        <v>10</v>
      </c>
      <c r="BJ599" s="306">
        <f>(BH599+BI599)/2-V$4</f>
        <v>-5</v>
      </c>
      <c r="BK599" s="306">
        <f t="shared" si="511"/>
        <v>0</v>
      </c>
      <c r="BL599" s="304">
        <f>IF($BG599&gt;$V$3,($BG599+$BF599)/2-$V$3,IF($BF599&gt;$V$3,($BF599-$V$3)^2/(2*($BF599-$BG599)),0))</f>
        <v>0</v>
      </c>
      <c r="BM599" s="304">
        <f>IF($BG599&gt;$V$4,($BG599+$BF599)/2-$V$4,IF($BF599&gt;$V$4,($BF599-$V$4)^2/(2*($BF599-$BG599)),0))</f>
        <v>0</v>
      </c>
      <c r="BN599" s="304">
        <f t="shared" ref="BN599" si="515">BM599-BL599</f>
        <v>0</v>
      </c>
      <c r="BO599" s="306">
        <f t="shared" si="504"/>
        <v>0</v>
      </c>
      <c r="BP599" s="344"/>
    </row>
  </sheetData>
  <mergeCells count="9">
    <mergeCell ref="O13:P15"/>
    <mergeCell ref="C12:D13"/>
    <mergeCell ref="J4:K4"/>
    <mergeCell ref="C6:D7"/>
    <mergeCell ref="C8:D9"/>
    <mergeCell ref="C10:D11"/>
    <mergeCell ref="C14:D15"/>
    <mergeCell ref="E8:G12"/>
    <mergeCell ref="E13:G15"/>
  </mergeCells>
  <phoneticPr fontId="0" type="noConversion"/>
  <pageMargins left="0.75" right="0.75" top="1" bottom="1" header="0.5" footer="0.5"/>
  <pageSetup orientation="portrait" verticalDpi="1200" r:id="rId1"/>
  <headerFooter alignWithMargins="0"/>
  <legacyDrawing r:id="rId2"/>
</worksheet>
</file>

<file path=xl/worksheets/sheet22.xml><?xml version="1.0" encoding="utf-8"?>
<worksheet xmlns="http://schemas.openxmlformats.org/spreadsheetml/2006/main" xmlns:r="http://schemas.openxmlformats.org/officeDocument/2006/relationships">
  <sheetPr>
    <tabColor theme="1"/>
  </sheetPr>
  <dimension ref="A1:AQ606"/>
  <sheetViews>
    <sheetView topLeftCell="A23" workbookViewId="0">
      <pane xSplit="1" ySplit="5" topLeftCell="B172" activePane="bottomRight" state="frozen"/>
      <selection activeCell="C382" sqref="C382"/>
      <selection pane="topRight" activeCell="C382" sqref="C382"/>
      <selection pane="bottomLeft" activeCell="C382" sqref="C382"/>
      <selection pane="bottomRight" activeCell="L159" sqref="L159"/>
    </sheetView>
  </sheetViews>
  <sheetFormatPr defaultColWidth="9.140625" defaultRowHeight="12.75"/>
  <cols>
    <col min="1" max="1" width="14.85546875" style="141" customWidth="1"/>
    <col min="2" max="2" width="5.85546875" style="141" bestFit="1" customWidth="1"/>
    <col min="3" max="8" width="9.140625" style="141" customWidth="1"/>
    <col min="9" max="10" width="9.7109375" style="141" bestFit="1" customWidth="1"/>
    <col min="11" max="11" width="9.140625" style="141" customWidth="1"/>
    <col min="12" max="12" width="9.7109375" style="141" bestFit="1" customWidth="1"/>
    <col min="13" max="13" width="5.85546875" style="141" bestFit="1" customWidth="1"/>
    <col min="14" max="14" width="5" style="141" customWidth="1"/>
    <col min="15" max="16384" width="9.140625" style="141"/>
  </cols>
  <sheetData>
    <row r="1" spans="1:9">
      <c r="A1" s="138"/>
      <c r="B1" s="138"/>
      <c r="C1" s="138"/>
      <c r="D1" s="138"/>
      <c r="E1" s="138"/>
      <c r="F1" s="138"/>
      <c r="G1" s="138"/>
      <c r="H1" s="138"/>
      <c r="I1" s="138"/>
    </row>
    <row r="2" spans="1:9">
      <c r="A2" s="138"/>
      <c r="B2" s="138"/>
      <c r="C2" s="138"/>
      <c r="D2" s="138"/>
      <c r="E2" s="138"/>
      <c r="F2" s="138"/>
      <c r="G2" s="138"/>
      <c r="H2" s="138"/>
      <c r="I2" s="138"/>
    </row>
    <row r="3" spans="1:9">
      <c r="A3" s="138"/>
      <c r="B3" s="138"/>
      <c r="C3" s="138"/>
      <c r="D3" s="138"/>
      <c r="E3" s="138"/>
      <c r="F3" s="138"/>
      <c r="G3" s="138"/>
      <c r="H3" s="138"/>
      <c r="I3" s="138"/>
    </row>
    <row r="4" spans="1:9">
      <c r="A4" s="138"/>
      <c r="B4" s="138"/>
      <c r="C4" s="138"/>
      <c r="D4" s="138"/>
      <c r="E4" s="138"/>
      <c r="F4" s="138"/>
      <c r="G4" s="138"/>
      <c r="H4" s="138"/>
      <c r="I4" s="138"/>
    </row>
    <row r="5" spans="1:9">
      <c r="A5" s="138"/>
      <c r="B5" s="138"/>
      <c r="C5" s="138"/>
      <c r="D5" s="138"/>
      <c r="E5" s="138"/>
      <c r="F5" s="138"/>
      <c r="G5" s="138"/>
      <c r="H5" s="138"/>
      <c r="I5" s="138"/>
    </row>
    <row r="6" spans="1:9">
      <c r="A6" s="138"/>
      <c r="B6" s="138"/>
      <c r="C6" s="138"/>
      <c r="D6" s="138"/>
      <c r="E6" s="138"/>
      <c r="F6" s="138"/>
      <c r="G6" s="138"/>
      <c r="H6" s="138"/>
      <c r="I6" s="138"/>
    </row>
    <row r="7" spans="1:9">
      <c r="A7" s="138"/>
      <c r="B7" s="138"/>
      <c r="C7" s="138"/>
      <c r="D7" s="138"/>
      <c r="E7" s="138"/>
      <c r="F7" s="138"/>
      <c r="G7" s="138"/>
      <c r="H7" s="138"/>
      <c r="I7" s="138"/>
    </row>
    <row r="8" spans="1:9">
      <c r="A8" s="138"/>
      <c r="B8" s="138"/>
      <c r="C8" s="138"/>
      <c r="D8" s="138"/>
      <c r="E8" s="138"/>
      <c r="F8" s="138"/>
      <c r="G8" s="138"/>
      <c r="H8" s="138"/>
      <c r="I8" s="138"/>
    </row>
    <row r="9" spans="1:9">
      <c r="A9" s="138"/>
      <c r="B9" s="138"/>
      <c r="C9" s="138"/>
      <c r="D9" s="138"/>
      <c r="E9" s="138"/>
      <c r="F9" s="138"/>
      <c r="G9" s="138"/>
      <c r="H9" s="138"/>
      <c r="I9" s="138"/>
    </row>
    <row r="10" spans="1:9">
      <c r="A10" s="138"/>
      <c r="B10" s="138"/>
      <c r="C10" s="138"/>
      <c r="D10" s="138"/>
      <c r="E10" s="138"/>
      <c r="F10" s="138"/>
      <c r="G10" s="138"/>
      <c r="H10" s="138"/>
      <c r="I10" s="138"/>
    </row>
    <row r="11" spans="1:9">
      <c r="A11" s="138"/>
      <c r="B11" s="138"/>
      <c r="C11" s="138"/>
      <c r="D11" s="138"/>
      <c r="E11" s="138"/>
      <c r="F11" s="138"/>
      <c r="G11" s="138"/>
      <c r="H11" s="138"/>
      <c r="I11" s="138"/>
    </row>
    <row r="12" spans="1:9">
      <c r="A12" s="138"/>
      <c r="B12" s="138"/>
      <c r="C12" s="138"/>
      <c r="D12" s="138"/>
      <c r="E12" s="138"/>
      <c r="F12" s="138"/>
      <c r="G12" s="138"/>
      <c r="H12" s="138"/>
      <c r="I12" s="138"/>
    </row>
    <row r="13" spans="1:9">
      <c r="A13" s="138"/>
      <c r="B13" s="138"/>
      <c r="C13" s="138"/>
      <c r="D13" s="138"/>
      <c r="E13" s="138"/>
      <c r="F13" s="138"/>
      <c r="G13" s="138"/>
      <c r="H13" s="138"/>
      <c r="I13" s="138"/>
    </row>
    <row r="14" spans="1:9">
      <c r="A14" s="398"/>
      <c r="B14" s="398"/>
      <c r="C14" s="398"/>
      <c r="D14" s="138"/>
      <c r="E14" s="138"/>
      <c r="F14" s="138"/>
      <c r="G14" s="138"/>
      <c r="H14" s="138"/>
      <c r="I14" s="138"/>
    </row>
    <row r="15" spans="1:9">
      <c r="A15" s="398"/>
      <c r="B15" s="398"/>
      <c r="C15" s="398"/>
      <c r="D15" s="138"/>
      <c r="E15" s="138"/>
      <c r="F15" s="138"/>
      <c r="G15" s="138"/>
      <c r="H15" s="138"/>
      <c r="I15" s="138"/>
    </row>
    <row r="16" spans="1:9">
      <c r="A16" s="399"/>
      <c r="B16" s="399"/>
      <c r="C16" s="399"/>
      <c r="D16" s="138"/>
      <c r="E16" s="138"/>
      <c r="F16" s="138"/>
      <c r="G16" s="138"/>
      <c r="H16" s="138"/>
      <c r="I16" s="138"/>
    </row>
    <row r="17" spans="1:43">
      <c r="A17" s="399"/>
      <c r="B17" s="399"/>
      <c r="C17" s="399"/>
      <c r="D17" s="138"/>
      <c r="E17" s="138"/>
      <c r="F17" s="138"/>
      <c r="G17" s="138"/>
      <c r="H17" s="138"/>
      <c r="I17" s="138"/>
    </row>
    <row r="18" spans="1:43">
      <c r="A18" s="137"/>
      <c r="B18" s="137"/>
      <c r="C18" s="137"/>
      <c r="D18" s="137"/>
      <c r="E18" s="137"/>
      <c r="F18" s="137"/>
      <c r="G18" s="137"/>
      <c r="H18" s="137"/>
      <c r="I18" s="137"/>
    </row>
    <row r="19" spans="1:43">
      <c r="A19" s="400"/>
      <c r="B19" s="400"/>
      <c r="C19" s="400"/>
      <c r="D19" s="137"/>
      <c r="E19" s="137"/>
      <c r="F19" s="137"/>
      <c r="G19" s="137"/>
      <c r="H19" s="137"/>
      <c r="I19" s="137"/>
    </row>
    <row r="20" spans="1:43">
      <c r="A20" s="400"/>
      <c r="B20" s="400"/>
      <c r="C20" s="400"/>
      <c r="D20" s="137"/>
      <c r="E20" s="137"/>
      <c r="F20" s="137"/>
      <c r="G20" s="137"/>
      <c r="H20" s="137"/>
      <c r="I20" s="137"/>
    </row>
    <row r="21" spans="1:43">
      <c r="A21" s="400"/>
      <c r="B21" s="400"/>
      <c r="C21" s="400"/>
      <c r="D21" s="137"/>
      <c r="E21" s="137"/>
      <c r="F21" s="137"/>
      <c r="G21" s="137"/>
      <c r="H21" s="137"/>
      <c r="I21" s="137"/>
    </row>
    <row r="22" spans="1:43">
      <c r="A22" s="400"/>
      <c r="B22" s="400"/>
      <c r="C22" s="400"/>
      <c r="D22" s="137"/>
      <c r="E22" s="137"/>
      <c r="F22" s="137"/>
      <c r="G22" s="137"/>
      <c r="H22" s="137"/>
      <c r="I22" s="137"/>
    </row>
    <row r="23" spans="1:43">
      <c r="A23" s="401"/>
      <c r="B23" s="401"/>
      <c r="C23" s="401"/>
      <c r="D23" s="402"/>
      <c r="E23" s="402"/>
      <c r="F23" s="402"/>
      <c r="G23" s="402"/>
      <c r="H23" s="402"/>
      <c r="I23" s="402"/>
      <c r="J23" s="402"/>
      <c r="K23" s="137"/>
      <c r="L23" s="403"/>
      <c r="M23" s="403"/>
      <c r="N23" s="403"/>
      <c r="O23" s="403"/>
      <c r="P23" s="403"/>
      <c r="Q23" s="403"/>
      <c r="R23" s="403"/>
      <c r="S23" s="403"/>
      <c r="T23" s="403"/>
      <c r="U23" s="403"/>
      <c r="V23" s="403"/>
      <c r="W23" s="137"/>
      <c r="X23" s="137"/>
      <c r="Y23" s="137"/>
      <c r="Z23" s="137"/>
      <c r="AA23" s="137"/>
      <c r="AB23" s="137"/>
      <c r="AC23" s="137"/>
      <c r="AD23" s="137"/>
      <c r="AE23" s="137"/>
      <c r="AF23" s="137"/>
      <c r="AG23" s="137"/>
      <c r="AH23" s="137"/>
      <c r="AI23" s="137"/>
      <c r="AJ23" s="137"/>
      <c r="AK23" s="137"/>
      <c r="AL23" s="137"/>
      <c r="AM23" s="137"/>
      <c r="AN23" s="137"/>
      <c r="AO23" s="137"/>
      <c r="AP23" s="137"/>
      <c r="AQ23" s="137"/>
    </row>
    <row r="24" spans="1:43">
      <c r="A24" s="401"/>
      <c r="B24" s="401"/>
      <c r="C24" s="401"/>
      <c r="D24" s="402"/>
      <c r="E24" s="402"/>
      <c r="F24" s="402"/>
      <c r="G24" s="402"/>
      <c r="H24" s="402"/>
      <c r="I24" s="402"/>
      <c r="J24" s="402"/>
      <c r="K24" s="137"/>
      <c r="L24" s="403"/>
      <c r="M24" s="403"/>
      <c r="N24" s="403"/>
      <c r="O24" s="403"/>
      <c r="P24" s="403"/>
      <c r="Q24" s="403"/>
      <c r="R24" s="403"/>
      <c r="S24" s="403"/>
      <c r="T24" s="403"/>
      <c r="U24" s="403"/>
      <c r="V24" s="403"/>
      <c r="W24" s="137"/>
      <c r="X24" s="137"/>
      <c r="Y24" s="137"/>
      <c r="Z24" s="137"/>
      <c r="AA24" s="137"/>
      <c r="AB24" s="137"/>
      <c r="AC24" s="137"/>
      <c r="AD24" s="137"/>
      <c r="AE24" s="137"/>
      <c r="AF24" s="137"/>
      <c r="AG24" s="137"/>
      <c r="AH24" s="137"/>
      <c r="AI24" s="137"/>
      <c r="AJ24" s="137"/>
      <c r="AK24" s="137"/>
      <c r="AL24" s="137"/>
      <c r="AM24" s="137"/>
      <c r="AN24" s="137"/>
      <c r="AO24" s="137"/>
      <c r="AP24" s="137"/>
      <c r="AQ24" s="137"/>
    </row>
    <row r="25" spans="1:43">
      <c r="A25" s="401"/>
      <c r="B25" s="401"/>
      <c r="C25" s="401"/>
      <c r="D25" s="402"/>
      <c r="E25" s="402"/>
      <c r="F25" s="402"/>
      <c r="G25" s="402"/>
      <c r="H25" s="402"/>
      <c r="I25" s="402"/>
      <c r="J25" s="402"/>
      <c r="K25" s="137"/>
      <c r="L25" s="404" t="s">
        <v>468</v>
      </c>
      <c r="M25" s="404"/>
      <c r="N25" s="404"/>
      <c r="O25" s="404" t="s">
        <v>228</v>
      </c>
      <c r="P25" s="404" t="s">
        <v>228</v>
      </c>
      <c r="Q25" s="404" t="s">
        <v>228</v>
      </c>
      <c r="R25" s="404" t="s">
        <v>123</v>
      </c>
      <c r="S25" s="404" t="s">
        <v>228</v>
      </c>
      <c r="T25" s="404"/>
      <c r="U25" s="404"/>
      <c r="V25" s="404"/>
      <c r="W25" s="137"/>
      <c r="X25" s="137"/>
      <c r="Y25" s="137"/>
      <c r="Z25" s="137"/>
      <c r="AA25" s="137"/>
      <c r="AB25" s="137"/>
      <c r="AC25" s="137"/>
      <c r="AD25" s="137"/>
      <c r="AE25" s="137"/>
      <c r="AF25" s="137"/>
      <c r="AG25" s="137"/>
      <c r="AH25" s="137"/>
      <c r="AI25" s="137"/>
      <c r="AJ25" s="137"/>
      <c r="AK25" s="137"/>
      <c r="AL25" s="137"/>
      <c r="AM25" s="137"/>
      <c r="AN25" s="137"/>
      <c r="AO25" s="137"/>
      <c r="AP25" s="137"/>
      <c r="AQ25" s="137"/>
    </row>
    <row r="26" spans="1:43">
      <c r="A26" s="401"/>
      <c r="B26" s="400" t="s">
        <v>468</v>
      </c>
      <c r="C26" s="400" t="s">
        <v>152</v>
      </c>
      <c r="D26" s="152"/>
      <c r="E26" s="405" t="s">
        <v>298</v>
      </c>
      <c r="F26" s="405" t="s">
        <v>286</v>
      </c>
      <c r="G26" s="405" t="s">
        <v>298</v>
      </c>
      <c r="H26" s="405" t="s">
        <v>286</v>
      </c>
      <c r="I26" s="405" t="s">
        <v>298</v>
      </c>
      <c r="J26" s="405" t="s">
        <v>304</v>
      </c>
      <c r="K26" s="137"/>
      <c r="L26" s="404" t="s">
        <v>469</v>
      </c>
      <c r="M26" s="404" t="s">
        <v>468</v>
      </c>
      <c r="N26" s="404"/>
      <c r="O26" s="404"/>
      <c r="P26" s="404" t="s">
        <v>298</v>
      </c>
      <c r="Q26" s="404" t="s">
        <v>286</v>
      </c>
      <c r="R26" s="404" t="s">
        <v>298</v>
      </c>
      <c r="S26" s="404" t="s">
        <v>286</v>
      </c>
      <c r="T26" s="404" t="s">
        <v>298</v>
      </c>
      <c r="U26" s="404" t="s">
        <v>304</v>
      </c>
      <c r="V26" s="404" t="s">
        <v>470</v>
      </c>
      <c r="W26" s="137"/>
      <c r="X26" s="137"/>
      <c r="Y26" s="137"/>
      <c r="Z26" s="137"/>
      <c r="AA26" s="137"/>
      <c r="AB26" s="137"/>
      <c r="AC26" s="137"/>
      <c r="AD26" s="137"/>
      <c r="AE26" s="137"/>
      <c r="AF26" s="137"/>
      <c r="AG26" s="137"/>
      <c r="AH26" s="137"/>
      <c r="AI26" s="137"/>
      <c r="AJ26" s="137"/>
      <c r="AK26" s="137"/>
      <c r="AL26" s="137"/>
      <c r="AM26" s="137"/>
      <c r="AN26" s="137"/>
      <c r="AO26" s="137"/>
      <c r="AP26" s="137"/>
      <c r="AQ26" s="137"/>
    </row>
    <row r="27" spans="1:43">
      <c r="A27" s="406" t="s">
        <v>471</v>
      </c>
      <c r="B27" s="406" t="s">
        <v>472</v>
      </c>
      <c r="C27" s="406" t="s">
        <v>65</v>
      </c>
      <c r="D27" s="400" t="s">
        <v>232</v>
      </c>
      <c r="E27" s="400" t="s">
        <v>285</v>
      </c>
      <c r="F27" s="400" t="s">
        <v>285</v>
      </c>
      <c r="G27" s="400" t="s">
        <v>201</v>
      </c>
      <c r="H27" s="400" t="s">
        <v>201</v>
      </c>
      <c r="I27" s="400" t="s">
        <v>202</v>
      </c>
      <c r="J27" s="400" t="s">
        <v>202</v>
      </c>
      <c r="K27" s="137"/>
      <c r="L27" s="404" t="s">
        <v>198</v>
      </c>
      <c r="M27" s="404" t="s">
        <v>472</v>
      </c>
      <c r="N27" s="404" t="s">
        <v>65</v>
      </c>
      <c r="O27" s="404" t="s">
        <v>232</v>
      </c>
      <c r="P27" s="404" t="s">
        <v>285</v>
      </c>
      <c r="Q27" s="404" t="s">
        <v>285</v>
      </c>
      <c r="R27" s="404" t="s">
        <v>201</v>
      </c>
      <c r="S27" s="404" t="s">
        <v>201</v>
      </c>
      <c r="T27" s="404" t="s">
        <v>202</v>
      </c>
      <c r="U27" s="404" t="s">
        <v>202</v>
      </c>
      <c r="V27" s="404" t="s">
        <v>473</v>
      </c>
      <c r="W27" s="137"/>
      <c r="X27" s="137"/>
      <c r="Y27" s="137"/>
      <c r="Z27" s="137"/>
      <c r="AA27" s="137"/>
      <c r="AB27" s="137"/>
      <c r="AC27" s="137"/>
      <c r="AD27" s="137"/>
      <c r="AE27" s="137"/>
      <c r="AF27" s="137"/>
      <c r="AG27" s="137"/>
      <c r="AH27" s="137"/>
      <c r="AI27" s="137"/>
      <c r="AJ27" s="137"/>
      <c r="AK27" s="137"/>
      <c r="AL27" s="137"/>
      <c r="AM27" s="137"/>
      <c r="AN27" s="137"/>
      <c r="AO27" s="137"/>
      <c r="AP27" s="137"/>
      <c r="AQ27" s="137"/>
    </row>
    <row r="28" spans="1:43">
      <c r="A28" s="407">
        <f>A29-1</f>
        <v>37986</v>
      </c>
      <c r="B28" s="403"/>
      <c r="C28" s="403"/>
      <c r="D28" s="408"/>
      <c r="E28" s="408"/>
      <c r="F28" s="408"/>
      <c r="G28" s="408"/>
      <c r="H28" s="408"/>
      <c r="I28" s="408">
        <v>0</v>
      </c>
      <c r="J28" s="408">
        <v>0</v>
      </c>
      <c r="K28" s="137"/>
      <c r="L28" s="409"/>
      <c r="M28" s="409" t="s">
        <v>151</v>
      </c>
      <c r="N28" s="409" t="s">
        <v>474</v>
      </c>
      <c r="O28" s="409"/>
      <c r="P28" s="409"/>
      <c r="Q28" s="409"/>
      <c r="R28" s="409" t="s">
        <v>474</v>
      </c>
      <c r="S28" s="409" t="s">
        <v>474</v>
      </c>
      <c r="T28" s="409" t="s">
        <v>152</v>
      </c>
      <c r="U28" s="409" t="s">
        <v>152</v>
      </c>
      <c r="V28" s="404" t="s">
        <v>152</v>
      </c>
      <c r="W28" s="137"/>
      <c r="X28" s="137"/>
      <c r="Y28" s="137"/>
      <c r="Z28" s="137"/>
      <c r="AA28" s="137"/>
      <c r="AB28" s="137"/>
      <c r="AC28" s="137"/>
      <c r="AD28" s="137"/>
      <c r="AE28" s="137"/>
      <c r="AF28" s="137"/>
      <c r="AG28" s="137"/>
      <c r="AH28" s="137"/>
      <c r="AI28" s="137"/>
      <c r="AJ28" s="137"/>
      <c r="AK28" s="137"/>
      <c r="AL28" s="137"/>
      <c r="AM28" s="137"/>
      <c r="AN28" s="137"/>
      <c r="AO28" s="137"/>
      <c r="AP28" s="137"/>
      <c r="AQ28" s="137"/>
    </row>
    <row r="29" spans="1:43">
      <c r="A29" s="407">
        <f>Input!B22</f>
        <v>37987</v>
      </c>
      <c r="B29" s="410">
        <f t="shared" ref="B29:B35" si="0">IF(MOD(A28-A$28,7)=0,B28+1,B28)</f>
        <v>1</v>
      </c>
      <c r="C29" s="411">
        <f>IF(Input!I22&lt;=0,"",Input!I22)</f>
        <v>0.24825455305211253</v>
      </c>
      <c r="D29" s="412" t="str">
        <f>IF(G29="","",Input!Q22)</f>
        <v/>
      </c>
      <c r="E29" s="412" t="str">
        <f>IF(ISERROR(Input!AA22),"",Input!AA22)</f>
        <v/>
      </c>
      <c r="F29" s="412" t="str">
        <f>IF(E29="","",Input!AQ22)</f>
        <v/>
      </c>
      <c r="G29" s="413" t="str">
        <f>IF(E29="","",E29*C29)</f>
        <v/>
      </c>
      <c r="H29" s="413" t="str">
        <f>IF(F29="","",F29*C29)</f>
        <v/>
      </c>
      <c r="I29" s="414">
        <f>IF(G29="",0,IF(I28="",G29,I28+G29))</f>
        <v>0</v>
      </c>
      <c r="J29" s="414">
        <f>IF(H29="",0,IF(J28="",H29,J28+H29))</f>
        <v>0</v>
      </c>
      <c r="K29" s="137"/>
      <c r="L29" s="415">
        <f>A35</f>
        <v>37993</v>
      </c>
      <c r="M29" s="416">
        <v>1</v>
      </c>
      <c r="N29" s="417">
        <f t="array" ref="N29">IF(COUNT(IF($M29=$B$29:$B$606,C$29:C$606,""))=0,"",SUM(IF($M29=$B$29:$B$606,C$29:C$606,""))/COUNT(IF($M29=$B$29:$B$606,C$29:C$606,"")))</f>
        <v>0.32953894794162908</v>
      </c>
      <c r="O29" s="417" t="str">
        <f t="array" ref="O29">IF(COUNT(IF($M29=$B$29:$B$606,D$29:D$606,""))=0,"",SUM(IF($M29=$B$29:$B$606,D$29:D$606,""))/COUNT(IF($M29=$B$29:$B$606,D$29:D$606,"")))</f>
        <v/>
      </c>
      <c r="P29" s="417" t="str">
        <f t="array" ref="P29">IF(COUNT(IF($M29=$B$29:$B$606,E$29:E$606,""))=0,"",SUM(IF($M29=$B$29:$B$606,E$29:E$606,""))/COUNT(IF($M29=$B$29:$B$606,E$29:E$606,"")))</f>
        <v/>
      </c>
      <c r="Q29" s="417" t="str">
        <f t="array" ref="Q29">IF(COUNT(IF($M29=$B$29:$B$606,F$29:F$606,""))=0,"",SUM(IF($M29=$B$29:$B$606,F$29:F$606,""))/COUNT(IF($M29=$B$29:$B$606,F$29:F$606,"")))</f>
        <v/>
      </c>
      <c r="R29" s="417" t="str">
        <f t="array" ref="R29">IF(COUNT(IF($M29=$B$29:$B$606,G$29:G$606,""))=0,"",SUM(IF($M29=$B$29:$B$606,G$29:G$606,""))/COUNT(IF($M29=$B$29:$B$606,G$29:G$606,"")))</f>
        <v/>
      </c>
      <c r="S29" s="417" t="str">
        <f t="array" ref="S29">IF(COUNT(IF($M29=$B$29:$B$606,H$29:H$606,""))=0,"",SUM(IF($M29=$B$29:$B$606,H$29:H$606,""))/COUNT(IF($M29=$B$29:$B$606,H$29:H$606,"")))</f>
        <v/>
      </c>
      <c r="T29" s="417">
        <f t="array" ref="T29">IF(COUNT(IF($M29=$B$29:$B$606,I$29:I$606,""))=0,"",MAX(IF($M29=$B$29:$B$606,I$29:I$606,"")))</f>
        <v>0</v>
      </c>
      <c r="U29" s="417">
        <f t="array" ref="U29">IF(COUNT(IF($M29=$B$29:$B$606,J$29:J$606,""))=0,"",MAX(IF($M29=$B$29:$B$606,J$29:J$606,"")))</f>
        <v>0</v>
      </c>
      <c r="V29" s="416">
        <f t="array" ref="V29">COUNT(IF(M29=$B$29:$B$606,$E$29:$E$606,""))</f>
        <v>0</v>
      </c>
      <c r="W29" s="137"/>
      <c r="X29" s="137"/>
      <c r="Y29" s="137"/>
      <c r="Z29" s="137"/>
      <c r="AA29" s="137"/>
      <c r="AB29" s="137"/>
      <c r="AC29" s="137"/>
      <c r="AD29" s="137"/>
      <c r="AE29" s="137"/>
      <c r="AF29" s="137"/>
      <c r="AG29" s="137"/>
      <c r="AH29" s="137"/>
      <c r="AI29" s="137"/>
      <c r="AJ29" s="137"/>
      <c r="AK29" s="137"/>
      <c r="AL29" s="137"/>
      <c r="AM29" s="137"/>
      <c r="AN29" s="137"/>
      <c r="AO29" s="137"/>
      <c r="AP29" s="137"/>
      <c r="AQ29" s="137"/>
    </row>
    <row r="30" spans="1:43">
      <c r="A30" s="407">
        <f>Input!B23</f>
        <v>37988</v>
      </c>
      <c r="B30" s="410">
        <f t="shared" si="0"/>
        <v>1</v>
      </c>
      <c r="C30" s="411">
        <f>IF(Input!I23&lt;=0,"",Input!I23)</f>
        <v>0.26135759193647401</v>
      </c>
      <c r="D30" s="412" t="str">
        <f>IF(G30="","",Input!Q23)</f>
        <v/>
      </c>
      <c r="E30" s="412" t="str">
        <f>IF(ISERROR(Input!AA23),"",Input!AA23)</f>
        <v/>
      </c>
      <c r="F30" s="412" t="str">
        <f>IF(E30="","",Input!AQ23)</f>
        <v/>
      </c>
      <c r="G30" s="413" t="str">
        <f t="shared" ref="G30:G93" si="1">IF(E30="","",E30*C30)</f>
        <v/>
      </c>
      <c r="H30" s="413" t="str">
        <f t="shared" ref="H30:H93" si="2">IF(F30="","",F30*C30)</f>
        <v/>
      </c>
      <c r="I30" s="414">
        <f t="shared" ref="I30:J93" si="3">IF(G30="",0,IF(I29="",G30,I29+G30))</f>
        <v>0</v>
      </c>
      <c r="J30" s="414">
        <f t="shared" si="3"/>
        <v>0</v>
      </c>
      <c r="K30" s="137"/>
      <c r="L30" s="415">
        <f>L29+7</f>
        <v>38000</v>
      </c>
      <c r="M30" s="416">
        <f>M29+1</f>
        <v>2</v>
      </c>
      <c r="N30" s="417">
        <f t="array" ref="N30">IF(COUNT(IF($M30=$B$29:$B$606,C$29:C$606,""))=0,"",SUM(IF($M30=$B$29:$B$606,C$29:C$606,""))/COUNT(IF($M30=$B$29:$B$606,C$29:C$606,"")))</f>
        <v>0.2335232279594715</v>
      </c>
      <c r="O30" s="417" t="str">
        <f t="array" ref="O30">IF(COUNT(IF($M30=$B$29:$B$606,D$29:D$606,""))=0,"",SUM(IF($M30=$B$29:$B$606,D$29:D$606,""))/COUNT(IF($M30=$B$29:$B$606,D$29:D$606,"")))</f>
        <v/>
      </c>
      <c r="P30" s="417" t="str">
        <f t="array" ref="P30">IF(COUNT(IF($M30=$B$29:$B$606,E$29:E$606,""))=0,"",SUM(IF($M30=$B$29:$B$606,E$29:E$606,""))/COUNT(IF($M30=$B$29:$B$606,E$29:E$606,"")))</f>
        <v/>
      </c>
      <c r="Q30" s="417" t="str">
        <f t="array" ref="Q30">IF(COUNT(IF($M30=$B$29:$B$606,F$29:F$606,""))=0,"",SUM(IF($M30=$B$29:$B$606,F$29:F$606,""))/COUNT(IF($M30=$B$29:$B$606,F$29:F$606,"")))</f>
        <v/>
      </c>
      <c r="R30" s="417" t="str">
        <f t="array" ref="R30">IF(COUNT(IF($M30=$B$29:$B$606,G$29:G$606,""))=0,"",SUM(IF($M30=$B$29:$B$606,G$29:G$606,""))/COUNT(IF($M30=$B$29:$B$606,G$29:G$606,"")))</f>
        <v/>
      </c>
      <c r="S30" s="417" t="str">
        <f t="array" ref="S30">IF(COUNT(IF($M30=$B$29:$B$606,H$29:H$606,""))=0,"",SUM(IF($M30=$B$29:$B$606,H$29:H$606,""))/COUNT(IF($M30=$B$29:$B$606,H$29:H$606,"")))</f>
        <v/>
      </c>
      <c r="T30" s="417">
        <f t="array" ref="T30">IF(COUNT(IF($M30=$B$29:$B$606,I$29:I$606,""))=0,"",MAX(IF($M30=$B$29:$B$606,I$29:I$606,"")))</f>
        <v>0</v>
      </c>
      <c r="U30" s="417">
        <f t="array" ref="U30">IF(COUNT(IF($M30=$B$29:$B$606,J$29:J$606,""))=0,"",MAX(IF($M30=$B$29:$B$606,J$29:J$606,"")))</f>
        <v>0</v>
      </c>
      <c r="V30" s="416">
        <f t="array" ref="V30">COUNT(IF(M30=$B$29:$B$606,$E$29:$E$606,""))</f>
        <v>0</v>
      </c>
      <c r="W30" s="137"/>
      <c r="X30" s="137"/>
      <c r="Y30" s="137"/>
      <c r="Z30" s="137"/>
      <c r="AA30" s="137"/>
      <c r="AB30" s="137"/>
      <c r="AC30" s="137"/>
      <c r="AD30" s="137"/>
      <c r="AE30" s="137"/>
      <c r="AF30" s="137"/>
      <c r="AG30" s="137"/>
      <c r="AH30" s="137"/>
      <c r="AI30" s="137"/>
      <c r="AJ30" s="137"/>
      <c r="AK30" s="137"/>
      <c r="AL30" s="137"/>
      <c r="AM30" s="137"/>
      <c r="AN30" s="137"/>
      <c r="AO30" s="137"/>
      <c r="AP30" s="137"/>
      <c r="AQ30" s="137"/>
    </row>
    <row r="31" spans="1:43">
      <c r="A31" s="407">
        <f>Input!B24</f>
        <v>37989</v>
      </c>
      <c r="B31" s="410">
        <f t="shared" si="0"/>
        <v>1</v>
      </c>
      <c r="C31" s="411">
        <f>IF(Input!I24&lt;=0,"",Input!I24)</f>
        <v>0.24892768940826782</v>
      </c>
      <c r="D31" s="412" t="str">
        <f>IF(G31="","",Input!Q24)</f>
        <v/>
      </c>
      <c r="E31" s="412" t="str">
        <f>IF(ISERROR(Input!AA24),"",Input!AA24)</f>
        <v/>
      </c>
      <c r="F31" s="412" t="str">
        <f>IF(E31="","",Input!AQ24)</f>
        <v/>
      </c>
      <c r="G31" s="413" t="str">
        <f t="shared" si="1"/>
        <v/>
      </c>
      <c r="H31" s="413" t="str">
        <f t="shared" si="2"/>
        <v/>
      </c>
      <c r="I31" s="414">
        <f t="shared" si="3"/>
        <v>0</v>
      </c>
      <c r="J31" s="414">
        <f t="shared" si="3"/>
        <v>0</v>
      </c>
      <c r="K31" s="137"/>
      <c r="L31" s="415">
        <f t="shared" ref="L31:L78" si="4">L30+7</f>
        <v>38007</v>
      </c>
      <c r="M31" s="416">
        <f t="shared" ref="M31:M94" si="5">M30+1</f>
        <v>3</v>
      </c>
      <c r="N31" s="417">
        <f t="array" ref="N31">IF(COUNT(IF($M31=$B$29:$B$606,C$29:C$606,""))=0,"",SUM(IF($M31=$B$29:$B$606,C$29:C$606,""))/COUNT(IF($M31=$B$29:$B$606,C$29:C$606,"")))</f>
        <v>0.23838584076240185</v>
      </c>
      <c r="O31" s="417" t="str">
        <f t="array" ref="O31">IF(COUNT(IF($M31=$B$29:$B$606,D$29:D$606,""))=0,"",SUM(IF($M31=$B$29:$B$606,D$29:D$606,""))/COUNT(IF($M31=$B$29:$B$606,D$29:D$606,"")))</f>
        <v/>
      </c>
      <c r="P31" s="417" t="str">
        <f t="array" ref="P31">IF(COUNT(IF($M31=$B$29:$B$606,E$29:E$606,""))=0,"",SUM(IF($M31=$B$29:$B$606,E$29:E$606,""))/COUNT(IF($M31=$B$29:$B$606,E$29:E$606,"")))</f>
        <v/>
      </c>
      <c r="Q31" s="417" t="str">
        <f t="array" ref="Q31">IF(COUNT(IF($M31=$B$29:$B$606,F$29:F$606,""))=0,"",SUM(IF($M31=$B$29:$B$606,F$29:F$606,""))/COUNT(IF($M31=$B$29:$B$606,F$29:F$606,"")))</f>
        <v/>
      </c>
      <c r="R31" s="417" t="str">
        <f t="array" ref="R31">IF(COUNT(IF($M31=$B$29:$B$606,G$29:G$606,""))=0,"",SUM(IF($M31=$B$29:$B$606,G$29:G$606,""))/COUNT(IF($M31=$B$29:$B$606,G$29:G$606,"")))</f>
        <v/>
      </c>
      <c r="S31" s="417" t="str">
        <f t="array" ref="S31">IF(COUNT(IF($M31=$B$29:$B$606,H$29:H$606,""))=0,"",SUM(IF($M31=$B$29:$B$606,H$29:H$606,""))/COUNT(IF($M31=$B$29:$B$606,H$29:H$606,"")))</f>
        <v/>
      </c>
      <c r="T31" s="417">
        <f t="array" ref="T31">IF(COUNT(IF($M31=$B$29:$B$606,I$29:I$606,""))=0,"",MAX(IF($M31=$B$29:$B$606,I$29:I$606,"")))</f>
        <v>0</v>
      </c>
      <c r="U31" s="417">
        <f t="array" ref="U31">IF(COUNT(IF($M31=$B$29:$B$606,J$29:J$606,""))=0,"",MAX(IF($M31=$B$29:$B$606,J$29:J$606,"")))</f>
        <v>0</v>
      </c>
      <c r="V31" s="416">
        <f t="array" ref="V31">COUNT(IF(M31=$B$29:$B$606,$E$29:$E$606,""))</f>
        <v>0</v>
      </c>
      <c r="W31" s="137"/>
      <c r="X31" s="137"/>
      <c r="Y31" s="137"/>
      <c r="Z31" s="137"/>
      <c r="AA31" s="137"/>
      <c r="AB31" s="137"/>
      <c r="AC31" s="137"/>
      <c r="AD31" s="137"/>
      <c r="AE31" s="137"/>
      <c r="AF31" s="137"/>
      <c r="AG31" s="137"/>
      <c r="AH31" s="137"/>
      <c r="AI31" s="137"/>
      <c r="AJ31" s="137"/>
      <c r="AK31" s="137"/>
      <c r="AL31" s="137"/>
      <c r="AM31" s="137"/>
      <c r="AN31" s="137"/>
      <c r="AO31" s="137"/>
      <c r="AP31" s="137"/>
      <c r="AQ31" s="137"/>
    </row>
    <row r="32" spans="1:43">
      <c r="A32" s="407">
        <f>Input!B25</f>
        <v>37990</v>
      </c>
      <c r="B32" s="410">
        <f t="shared" si="0"/>
        <v>1</v>
      </c>
      <c r="C32" s="411">
        <f>IF(Input!I25&lt;=0,"",Input!I25)</f>
        <v>0.15123086696486165</v>
      </c>
      <c r="D32" s="412" t="str">
        <f>IF(G32="","",Input!Q25)</f>
        <v/>
      </c>
      <c r="E32" s="412" t="str">
        <f>IF(ISERROR(Input!AA25),"",Input!AA25)</f>
        <v/>
      </c>
      <c r="F32" s="412" t="str">
        <f>IF(E32="","",Input!AQ25)</f>
        <v/>
      </c>
      <c r="G32" s="413" t="str">
        <f t="shared" si="1"/>
        <v/>
      </c>
      <c r="H32" s="413" t="str">
        <f t="shared" si="2"/>
        <v/>
      </c>
      <c r="I32" s="414">
        <f t="shared" si="3"/>
        <v>0</v>
      </c>
      <c r="J32" s="414">
        <f t="shared" si="3"/>
        <v>0</v>
      </c>
      <c r="K32" s="137"/>
      <c r="L32" s="415">
        <f t="shared" si="4"/>
        <v>38014</v>
      </c>
      <c r="M32" s="416">
        <f t="shared" si="5"/>
        <v>4</v>
      </c>
      <c r="N32" s="417">
        <f t="array" ref="N32">IF(COUNT(IF($M32=$B$29:$B$606,C$29:C$606,""))=0,"",SUM(IF($M32=$B$29:$B$606,C$29:C$606,""))/COUNT(IF($M32=$B$29:$B$606,C$29:C$606,"")))</f>
        <v>0.2769268726741726</v>
      </c>
      <c r="O32" s="417" t="str">
        <f t="array" ref="O32">IF(COUNT(IF($M32=$B$29:$B$606,D$29:D$606,""))=0,"",SUM(IF($M32=$B$29:$B$606,D$29:D$606,""))/COUNT(IF($M32=$B$29:$B$606,D$29:D$606,"")))</f>
        <v/>
      </c>
      <c r="P32" s="417" t="str">
        <f t="array" ref="P32">IF(COUNT(IF($M32=$B$29:$B$606,E$29:E$606,""))=0,"",SUM(IF($M32=$B$29:$B$606,E$29:E$606,""))/COUNT(IF($M32=$B$29:$B$606,E$29:E$606,"")))</f>
        <v/>
      </c>
      <c r="Q32" s="417" t="str">
        <f t="array" ref="Q32">IF(COUNT(IF($M32=$B$29:$B$606,F$29:F$606,""))=0,"",SUM(IF($M32=$B$29:$B$606,F$29:F$606,""))/COUNT(IF($M32=$B$29:$B$606,F$29:F$606,"")))</f>
        <v/>
      </c>
      <c r="R32" s="417" t="str">
        <f t="array" ref="R32">IF(COUNT(IF($M32=$B$29:$B$606,G$29:G$606,""))=0,"",SUM(IF($M32=$B$29:$B$606,G$29:G$606,""))/COUNT(IF($M32=$B$29:$B$606,G$29:G$606,"")))</f>
        <v/>
      </c>
      <c r="S32" s="417" t="str">
        <f t="array" ref="S32">IF(COUNT(IF($M32=$B$29:$B$606,H$29:H$606,""))=0,"",SUM(IF($M32=$B$29:$B$606,H$29:H$606,""))/COUNT(IF($M32=$B$29:$B$606,H$29:H$606,"")))</f>
        <v/>
      </c>
      <c r="T32" s="417">
        <f t="array" ref="T32">IF(COUNT(IF($M32=$B$29:$B$606,I$29:I$606,""))=0,"",MAX(IF($M32=$B$29:$B$606,I$29:I$606,"")))</f>
        <v>0</v>
      </c>
      <c r="U32" s="417">
        <f t="array" ref="U32">IF(COUNT(IF($M32=$B$29:$B$606,J$29:J$606,""))=0,"",MAX(IF($M32=$B$29:$B$606,J$29:J$606,"")))</f>
        <v>0</v>
      </c>
      <c r="V32" s="416">
        <f t="array" ref="V32">COUNT(IF(M32=$B$29:$B$606,$E$29:$E$606,""))</f>
        <v>0</v>
      </c>
      <c r="W32" s="137"/>
      <c r="X32" s="137"/>
      <c r="Y32" s="137"/>
      <c r="Z32" s="137"/>
      <c r="AA32" s="137"/>
      <c r="AB32" s="137"/>
      <c r="AC32" s="137"/>
      <c r="AD32" s="137"/>
      <c r="AE32" s="137"/>
      <c r="AF32" s="137"/>
      <c r="AG32" s="137"/>
      <c r="AH32" s="137"/>
      <c r="AI32" s="137"/>
      <c r="AJ32" s="137"/>
      <c r="AK32" s="137"/>
      <c r="AL32" s="137"/>
      <c r="AM32" s="137"/>
      <c r="AN32" s="137"/>
      <c r="AO32" s="137"/>
      <c r="AP32" s="137"/>
      <c r="AQ32" s="137"/>
    </row>
    <row r="33" spans="1:43">
      <c r="A33" s="407">
        <f>Input!B26</f>
        <v>37991</v>
      </c>
      <c r="B33" s="410">
        <f t="shared" si="0"/>
        <v>1</v>
      </c>
      <c r="C33" s="411">
        <f>IF(Input!I26&lt;=0,"",Input!I26)</f>
        <v>0.30270884965245604</v>
      </c>
      <c r="D33" s="412" t="str">
        <f>IF(G33="","",Input!Q26)</f>
        <v/>
      </c>
      <c r="E33" s="412" t="str">
        <f>IF(ISERROR(Input!AA26),"",Input!AA26)</f>
        <v/>
      </c>
      <c r="F33" s="412" t="str">
        <f>IF(E33="","",Input!AQ26)</f>
        <v/>
      </c>
      <c r="G33" s="413" t="str">
        <f t="shared" si="1"/>
        <v/>
      </c>
      <c r="H33" s="413" t="str">
        <f t="shared" si="2"/>
        <v/>
      </c>
      <c r="I33" s="414">
        <f t="shared" si="3"/>
        <v>0</v>
      </c>
      <c r="J33" s="414">
        <f t="shared" si="3"/>
        <v>0</v>
      </c>
      <c r="K33" s="137"/>
      <c r="L33" s="415">
        <f t="shared" si="4"/>
        <v>38021</v>
      </c>
      <c r="M33" s="416">
        <f t="shared" si="5"/>
        <v>5</v>
      </c>
      <c r="N33" s="417">
        <f t="array" ref="N33">IF(COUNT(IF($M33=$B$29:$B$606,C$29:C$606,""))=0,"",SUM(IF($M33=$B$29:$B$606,C$29:C$606,""))/COUNT(IF($M33=$B$29:$B$606,C$29:C$606,"")))</f>
        <v>0.47919868579135422</v>
      </c>
      <c r="O33" s="417" t="str">
        <f t="array" ref="O33">IF(COUNT(IF($M33=$B$29:$B$606,D$29:D$606,""))=0,"",SUM(IF($M33=$B$29:$B$606,D$29:D$606,""))/COUNT(IF($M33=$B$29:$B$606,D$29:D$606,"")))</f>
        <v/>
      </c>
      <c r="P33" s="417" t="str">
        <f t="array" ref="P33">IF(COUNT(IF($M33=$B$29:$B$606,E$29:E$606,""))=0,"",SUM(IF($M33=$B$29:$B$606,E$29:E$606,""))/COUNT(IF($M33=$B$29:$B$606,E$29:E$606,"")))</f>
        <v/>
      </c>
      <c r="Q33" s="417" t="str">
        <f t="array" ref="Q33">IF(COUNT(IF($M33=$B$29:$B$606,F$29:F$606,""))=0,"",SUM(IF($M33=$B$29:$B$606,F$29:F$606,""))/COUNT(IF($M33=$B$29:$B$606,F$29:F$606,"")))</f>
        <v/>
      </c>
      <c r="R33" s="417" t="str">
        <f t="array" ref="R33">IF(COUNT(IF($M33=$B$29:$B$606,G$29:G$606,""))=0,"",SUM(IF($M33=$B$29:$B$606,G$29:G$606,""))/COUNT(IF($M33=$B$29:$B$606,G$29:G$606,"")))</f>
        <v/>
      </c>
      <c r="S33" s="417" t="str">
        <f t="array" ref="S33">IF(COUNT(IF($M33=$B$29:$B$606,H$29:H$606,""))=0,"",SUM(IF($M33=$B$29:$B$606,H$29:H$606,""))/COUNT(IF($M33=$B$29:$B$606,H$29:H$606,"")))</f>
        <v/>
      </c>
      <c r="T33" s="417">
        <f t="array" ref="T33">IF(COUNT(IF($M33=$B$29:$B$606,I$29:I$606,""))=0,"",MAX(IF($M33=$B$29:$B$606,I$29:I$606,"")))</f>
        <v>0</v>
      </c>
      <c r="U33" s="417">
        <f t="array" ref="U33">IF(COUNT(IF($M33=$B$29:$B$606,J$29:J$606,""))=0,"",MAX(IF($M33=$B$29:$B$606,J$29:J$606,"")))</f>
        <v>0</v>
      </c>
      <c r="V33" s="416">
        <f t="array" ref="V33">COUNT(IF(M33=$B$29:$B$606,$E$29:$E$606,""))</f>
        <v>0</v>
      </c>
      <c r="W33" s="137"/>
      <c r="X33" s="137"/>
      <c r="Y33" s="137"/>
      <c r="Z33" s="137"/>
      <c r="AA33" s="137"/>
      <c r="AB33" s="137"/>
      <c r="AC33" s="137"/>
      <c r="AD33" s="137"/>
      <c r="AE33" s="137"/>
      <c r="AF33" s="137"/>
      <c r="AG33" s="137"/>
      <c r="AH33" s="137"/>
      <c r="AI33" s="137"/>
      <c r="AJ33" s="137"/>
      <c r="AK33" s="137"/>
      <c r="AL33" s="137"/>
      <c r="AM33" s="137"/>
      <c r="AN33" s="137"/>
      <c r="AO33" s="137"/>
      <c r="AP33" s="137"/>
      <c r="AQ33" s="137"/>
    </row>
    <row r="34" spans="1:43">
      <c r="A34" s="407">
        <f>Input!B27</f>
        <v>37992</v>
      </c>
      <c r="B34" s="410">
        <f t="shared" si="0"/>
        <v>1</v>
      </c>
      <c r="C34" s="411">
        <f>IF(Input!I27&lt;=0,"",Input!I27)</f>
        <v>0.34935131767173</v>
      </c>
      <c r="D34" s="412" t="str">
        <f>IF(G34="","",Input!Q27)</f>
        <v/>
      </c>
      <c r="E34" s="412" t="str">
        <f>IF(ISERROR(Input!AA27),"",Input!AA27)</f>
        <v/>
      </c>
      <c r="F34" s="412" t="str">
        <f>IF(E34="","",Input!AQ27)</f>
        <v/>
      </c>
      <c r="G34" s="413" t="str">
        <f t="shared" si="1"/>
        <v/>
      </c>
      <c r="H34" s="413" t="str">
        <f t="shared" si="2"/>
        <v/>
      </c>
      <c r="I34" s="414">
        <f t="shared" si="3"/>
        <v>0</v>
      </c>
      <c r="J34" s="414">
        <f t="shared" si="3"/>
        <v>0</v>
      </c>
      <c r="K34" s="137"/>
      <c r="L34" s="415">
        <f t="shared" si="4"/>
        <v>38028</v>
      </c>
      <c r="M34" s="416">
        <f t="shared" si="5"/>
        <v>6</v>
      </c>
      <c r="N34" s="417">
        <f t="array" ref="N34">IF(COUNT(IF($M34=$B$29:$B$606,C$29:C$606,""))=0,"",SUM(IF($M34=$B$29:$B$606,C$29:C$606,""))/COUNT(IF($M34=$B$29:$B$606,C$29:C$606,"")))</f>
        <v>0.37601788696857291</v>
      </c>
      <c r="O34" s="417" t="str">
        <f t="array" ref="O34">IF(COUNT(IF($M34=$B$29:$B$606,D$29:D$606,""))=0,"",SUM(IF($M34=$B$29:$B$606,D$29:D$606,""))/COUNT(IF($M34=$B$29:$B$606,D$29:D$606,"")))</f>
        <v/>
      </c>
      <c r="P34" s="417" t="str">
        <f t="array" ref="P34">IF(COUNT(IF($M34=$B$29:$B$606,E$29:E$606,""))=0,"",SUM(IF($M34=$B$29:$B$606,E$29:E$606,""))/COUNT(IF($M34=$B$29:$B$606,E$29:E$606,"")))</f>
        <v/>
      </c>
      <c r="Q34" s="417" t="str">
        <f t="array" ref="Q34">IF(COUNT(IF($M34=$B$29:$B$606,F$29:F$606,""))=0,"",SUM(IF($M34=$B$29:$B$606,F$29:F$606,""))/COUNT(IF($M34=$B$29:$B$606,F$29:F$606,"")))</f>
        <v/>
      </c>
      <c r="R34" s="417" t="str">
        <f t="array" ref="R34">IF(COUNT(IF($M34=$B$29:$B$606,G$29:G$606,""))=0,"",SUM(IF($M34=$B$29:$B$606,G$29:G$606,""))/COUNT(IF($M34=$B$29:$B$606,G$29:G$606,"")))</f>
        <v/>
      </c>
      <c r="S34" s="417" t="str">
        <f t="array" ref="S34">IF(COUNT(IF($M34=$B$29:$B$606,H$29:H$606,""))=0,"",SUM(IF($M34=$B$29:$B$606,H$29:H$606,""))/COUNT(IF($M34=$B$29:$B$606,H$29:H$606,"")))</f>
        <v/>
      </c>
      <c r="T34" s="417">
        <f t="array" ref="T34">IF(COUNT(IF($M34=$B$29:$B$606,I$29:I$606,""))=0,"",MAX(IF($M34=$B$29:$B$606,I$29:I$606,"")))</f>
        <v>0</v>
      </c>
      <c r="U34" s="417">
        <f t="array" ref="U34">IF(COUNT(IF($M34=$B$29:$B$606,J$29:J$606,""))=0,"",MAX(IF($M34=$B$29:$B$606,J$29:J$606,"")))</f>
        <v>0</v>
      </c>
      <c r="V34" s="416">
        <f t="array" ref="V34">COUNT(IF(M34=$B$29:$B$606,$E$29:$E$606,""))</f>
        <v>0</v>
      </c>
      <c r="W34" s="137"/>
      <c r="X34" s="137"/>
      <c r="Y34" s="137"/>
      <c r="Z34" s="137"/>
      <c r="AA34" s="137"/>
      <c r="AB34" s="137"/>
      <c r="AC34" s="137"/>
      <c r="AD34" s="137"/>
      <c r="AE34" s="137"/>
      <c r="AF34" s="137"/>
      <c r="AG34" s="137"/>
      <c r="AH34" s="137"/>
      <c r="AI34" s="137"/>
      <c r="AJ34" s="137"/>
      <c r="AK34" s="137"/>
      <c r="AL34" s="137"/>
      <c r="AM34" s="137"/>
      <c r="AN34" s="137"/>
      <c r="AO34" s="137"/>
      <c r="AP34" s="137"/>
      <c r="AQ34" s="137"/>
    </row>
    <row r="35" spans="1:43">
      <c r="A35" s="407">
        <f>Input!B28</f>
        <v>37993</v>
      </c>
      <c r="B35" s="410">
        <f t="shared" si="0"/>
        <v>1</v>
      </c>
      <c r="C35" s="411">
        <f>IF(Input!I28&lt;=0,"",Input!I28)</f>
        <v>0.74494176690550129</v>
      </c>
      <c r="D35" s="412" t="str">
        <f>IF(G35="","",Input!Q28)</f>
        <v/>
      </c>
      <c r="E35" s="412" t="str">
        <f>IF(ISERROR(Input!AA28),"",Input!AA28)</f>
        <v/>
      </c>
      <c r="F35" s="412" t="str">
        <f>IF(E35="","",Input!AQ28)</f>
        <v/>
      </c>
      <c r="G35" s="413" t="str">
        <f t="shared" si="1"/>
        <v/>
      </c>
      <c r="H35" s="413" t="str">
        <f t="shared" si="2"/>
        <v/>
      </c>
      <c r="I35" s="414">
        <f t="shared" si="3"/>
        <v>0</v>
      </c>
      <c r="J35" s="414">
        <f t="shared" si="3"/>
        <v>0</v>
      </c>
      <c r="K35" s="137"/>
      <c r="L35" s="415">
        <f t="shared" si="4"/>
        <v>38035</v>
      </c>
      <c r="M35" s="416">
        <f t="shared" si="5"/>
        <v>7</v>
      </c>
      <c r="N35" s="417">
        <f t="array" ref="N35">IF(COUNT(IF($M35=$B$29:$B$606,C$29:C$606,""))=0,"",SUM(IF($M35=$B$29:$B$606,C$29:C$606,""))/COUNT(IF($M35=$B$29:$B$606,C$29:C$606,"")))</f>
        <v>0.32116837071810794</v>
      </c>
      <c r="O35" s="417" t="str">
        <f t="array" ref="O35">IF(COUNT(IF($M35=$B$29:$B$606,D$29:D$606,""))=0,"",SUM(IF($M35=$B$29:$B$606,D$29:D$606,""))/COUNT(IF($M35=$B$29:$B$606,D$29:D$606,"")))</f>
        <v/>
      </c>
      <c r="P35" s="417" t="str">
        <f t="array" ref="P35">IF(COUNT(IF($M35=$B$29:$B$606,E$29:E$606,""))=0,"",SUM(IF($M35=$B$29:$B$606,E$29:E$606,""))/COUNT(IF($M35=$B$29:$B$606,E$29:E$606,"")))</f>
        <v/>
      </c>
      <c r="Q35" s="417" t="str">
        <f t="array" ref="Q35">IF(COUNT(IF($M35=$B$29:$B$606,F$29:F$606,""))=0,"",SUM(IF($M35=$B$29:$B$606,F$29:F$606,""))/COUNT(IF($M35=$B$29:$B$606,F$29:F$606,"")))</f>
        <v/>
      </c>
      <c r="R35" s="417" t="str">
        <f t="array" ref="R35">IF(COUNT(IF($M35=$B$29:$B$606,G$29:G$606,""))=0,"",SUM(IF($M35=$B$29:$B$606,G$29:G$606,""))/COUNT(IF($M35=$B$29:$B$606,G$29:G$606,"")))</f>
        <v/>
      </c>
      <c r="S35" s="417" t="str">
        <f t="array" ref="S35">IF(COUNT(IF($M35=$B$29:$B$606,H$29:H$606,""))=0,"",SUM(IF($M35=$B$29:$B$606,H$29:H$606,""))/COUNT(IF($M35=$B$29:$B$606,H$29:H$606,"")))</f>
        <v/>
      </c>
      <c r="T35" s="417">
        <f t="array" ref="T35">IF(COUNT(IF($M35=$B$29:$B$606,I$29:I$606,""))=0,"",MAX(IF($M35=$B$29:$B$606,I$29:I$606,"")))</f>
        <v>0</v>
      </c>
      <c r="U35" s="417">
        <f t="array" ref="U35">IF(COUNT(IF($M35=$B$29:$B$606,J$29:J$606,""))=0,"",MAX(IF($M35=$B$29:$B$606,J$29:J$606,"")))</f>
        <v>0</v>
      </c>
      <c r="V35" s="416">
        <f t="array" ref="V35">COUNT(IF(M35=$B$29:$B$606,$E$29:$E$606,""))</f>
        <v>0</v>
      </c>
      <c r="W35" s="137"/>
      <c r="X35" s="137"/>
      <c r="Y35" s="137"/>
      <c r="Z35" s="137"/>
      <c r="AA35" s="137"/>
      <c r="AB35" s="137"/>
      <c r="AC35" s="137"/>
      <c r="AD35" s="137"/>
      <c r="AE35" s="137"/>
      <c r="AF35" s="137"/>
      <c r="AG35" s="137"/>
      <c r="AH35" s="137"/>
      <c r="AI35" s="137"/>
      <c r="AJ35" s="137"/>
      <c r="AK35" s="137"/>
      <c r="AL35" s="137"/>
      <c r="AM35" s="137"/>
      <c r="AN35" s="137"/>
      <c r="AO35" s="137"/>
      <c r="AP35" s="137"/>
      <c r="AQ35" s="137"/>
    </row>
    <row r="36" spans="1:43">
      <c r="A36" s="407">
        <f>Input!B29</f>
        <v>37994</v>
      </c>
      <c r="B36" s="410">
        <f>IF(MOD(A35-A$28,7)=0,B35+1,B35)</f>
        <v>2</v>
      </c>
      <c r="C36" s="411">
        <f>IF(Input!I29&lt;=0,"",Input!I29)</f>
        <v>0.26305806961331835</v>
      </c>
      <c r="D36" s="412" t="str">
        <f>IF(G36="","",Input!Q29)</f>
        <v/>
      </c>
      <c r="E36" s="412" t="str">
        <f>IF(ISERROR(Input!AA29),"",Input!AA29)</f>
        <v/>
      </c>
      <c r="F36" s="412" t="str">
        <f>IF(E36="","",Input!AQ29)</f>
        <v/>
      </c>
      <c r="G36" s="413" t="str">
        <f t="shared" si="1"/>
        <v/>
      </c>
      <c r="H36" s="413" t="str">
        <f t="shared" si="2"/>
        <v/>
      </c>
      <c r="I36" s="414">
        <f t="shared" si="3"/>
        <v>0</v>
      </c>
      <c r="J36" s="414">
        <f t="shared" si="3"/>
        <v>0</v>
      </c>
      <c r="K36" s="137"/>
      <c r="L36" s="415">
        <f t="shared" si="4"/>
        <v>38042</v>
      </c>
      <c r="M36" s="416">
        <f t="shared" si="5"/>
        <v>8</v>
      </c>
      <c r="N36" s="417">
        <f t="array" ref="N36">IF(COUNT(IF($M36=$B$29:$B$606,C$29:C$606,""))=0,"",SUM(IF($M36=$B$29:$B$606,C$29:C$606,""))/COUNT(IF($M36=$B$29:$B$606,C$29:C$606,"")))</f>
        <v>0.51732735105393324</v>
      </c>
      <c r="O36" s="417" t="str">
        <f t="array" ref="O36">IF(COUNT(IF($M36=$B$29:$B$606,D$29:D$606,""))=0,"",SUM(IF($M36=$B$29:$B$606,D$29:D$606,""))/COUNT(IF($M36=$B$29:$B$606,D$29:D$606,"")))</f>
        <v/>
      </c>
      <c r="P36" s="417" t="str">
        <f t="array" ref="P36">IF(COUNT(IF($M36=$B$29:$B$606,E$29:E$606,""))=0,"",SUM(IF($M36=$B$29:$B$606,E$29:E$606,""))/COUNT(IF($M36=$B$29:$B$606,E$29:E$606,"")))</f>
        <v/>
      </c>
      <c r="Q36" s="417" t="str">
        <f t="array" ref="Q36">IF(COUNT(IF($M36=$B$29:$B$606,F$29:F$606,""))=0,"",SUM(IF($M36=$B$29:$B$606,F$29:F$606,""))/COUNT(IF($M36=$B$29:$B$606,F$29:F$606,"")))</f>
        <v/>
      </c>
      <c r="R36" s="417" t="str">
        <f t="array" ref="R36">IF(COUNT(IF($M36=$B$29:$B$606,G$29:G$606,""))=0,"",SUM(IF($M36=$B$29:$B$606,G$29:G$606,""))/COUNT(IF($M36=$B$29:$B$606,G$29:G$606,"")))</f>
        <v/>
      </c>
      <c r="S36" s="417" t="str">
        <f t="array" ref="S36">IF(COUNT(IF($M36=$B$29:$B$606,H$29:H$606,""))=0,"",SUM(IF($M36=$B$29:$B$606,H$29:H$606,""))/COUNT(IF($M36=$B$29:$B$606,H$29:H$606,"")))</f>
        <v/>
      </c>
      <c r="T36" s="417">
        <f t="array" ref="T36">IF(COUNT(IF($M36=$B$29:$B$606,I$29:I$606,""))=0,"",MAX(IF($M36=$B$29:$B$606,I$29:I$606,"")))</f>
        <v>0</v>
      </c>
      <c r="U36" s="417">
        <f t="array" ref="U36">IF(COUNT(IF($M36=$B$29:$B$606,J$29:J$606,""))=0,"",MAX(IF($M36=$B$29:$B$606,J$29:J$606,"")))</f>
        <v>0</v>
      </c>
      <c r="V36" s="416">
        <f t="array" ref="V36">COUNT(IF(M36=$B$29:$B$606,$E$29:$E$606,""))</f>
        <v>0</v>
      </c>
      <c r="W36" s="137"/>
      <c r="X36" s="137"/>
      <c r="Y36" s="137"/>
      <c r="Z36" s="137"/>
      <c r="AA36" s="137"/>
      <c r="AB36" s="137"/>
      <c r="AC36" s="137"/>
      <c r="AD36" s="137"/>
      <c r="AE36" s="137"/>
      <c r="AF36" s="137"/>
      <c r="AG36" s="137"/>
      <c r="AH36" s="137"/>
      <c r="AI36" s="137"/>
      <c r="AJ36" s="137"/>
      <c r="AK36" s="137"/>
      <c r="AL36" s="137"/>
      <c r="AM36" s="137"/>
      <c r="AN36" s="137"/>
      <c r="AO36" s="137"/>
      <c r="AP36" s="137"/>
      <c r="AQ36" s="137"/>
    </row>
    <row r="37" spans="1:43">
      <c r="A37" s="407">
        <f>Input!B30</f>
        <v>37995</v>
      </c>
      <c r="B37" s="410">
        <f t="shared" ref="B37:B100" si="6">IF(MOD(A36-A$28,7)=0,B36+1,B36)</f>
        <v>2</v>
      </c>
      <c r="C37" s="411">
        <f>IF(Input!I30&lt;=0,"",Input!I30)</f>
        <v>0.33856750769321325</v>
      </c>
      <c r="D37" s="412" t="str">
        <f>IF(G37="","",Input!Q30)</f>
        <v/>
      </c>
      <c r="E37" s="412" t="str">
        <f>IF(ISERROR(Input!AA30),"",Input!AA30)</f>
        <v/>
      </c>
      <c r="F37" s="412" t="str">
        <f>IF(E37="","",Input!AQ30)</f>
        <v/>
      </c>
      <c r="G37" s="413" t="str">
        <f t="shared" si="1"/>
        <v/>
      </c>
      <c r="H37" s="413" t="str">
        <f t="shared" si="2"/>
        <v/>
      </c>
      <c r="I37" s="414">
        <f t="shared" si="3"/>
        <v>0</v>
      </c>
      <c r="J37" s="414">
        <f t="shared" si="3"/>
        <v>0</v>
      </c>
      <c r="K37" s="137"/>
      <c r="L37" s="415">
        <f t="shared" si="4"/>
        <v>38049</v>
      </c>
      <c r="M37" s="416">
        <f t="shared" si="5"/>
        <v>9</v>
      </c>
      <c r="N37" s="417">
        <f t="array" ref="N37">IF(COUNT(IF($M37=$B$29:$B$606,C$29:C$606,""))=0,"",SUM(IF($M37=$B$29:$B$606,C$29:C$606,""))/COUNT(IF($M37=$B$29:$B$606,C$29:C$606,"")))</f>
        <v>0.91062982554549698</v>
      </c>
      <c r="O37" s="417" t="str">
        <f t="array" ref="O37">IF(COUNT(IF($M37=$B$29:$B$606,D$29:D$606,""))=0,"",SUM(IF($M37=$B$29:$B$606,D$29:D$606,""))/COUNT(IF($M37=$B$29:$B$606,D$29:D$606,"")))</f>
        <v/>
      </c>
      <c r="P37" s="417" t="str">
        <f t="array" ref="P37">IF(COUNT(IF($M37=$B$29:$B$606,E$29:E$606,""))=0,"",SUM(IF($M37=$B$29:$B$606,E$29:E$606,""))/COUNT(IF($M37=$B$29:$B$606,E$29:E$606,"")))</f>
        <v/>
      </c>
      <c r="Q37" s="417" t="str">
        <f t="array" ref="Q37">IF(COUNT(IF($M37=$B$29:$B$606,F$29:F$606,""))=0,"",SUM(IF($M37=$B$29:$B$606,F$29:F$606,""))/COUNT(IF($M37=$B$29:$B$606,F$29:F$606,"")))</f>
        <v/>
      </c>
      <c r="R37" s="417" t="str">
        <f t="array" ref="R37">IF(COUNT(IF($M37=$B$29:$B$606,G$29:G$606,""))=0,"",SUM(IF($M37=$B$29:$B$606,G$29:G$606,""))/COUNT(IF($M37=$B$29:$B$606,G$29:G$606,"")))</f>
        <v/>
      </c>
      <c r="S37" s="417" t="str">
        <f t="array" ref="S37">IF(COUNT(IF($M37=$B$29:$B$606,H$29:H$606,""))=0,"",SUM(IF($M37=$B$29:$B$606,H$29:H$606,""))/COUNT(IF($M37=$B$29:$B$606,H$29:H$606,"")))</f>
        <v/>
      </c>
      <c r="T37" s="417">
        <f t="array" ref="T37">IF(COUNT(IF($M37=$B$29:$B$606,I$29:I$606,""))=0,"",MAX(IF($M37=$B$29:$B$606,I$29:I$606,"")))</f>
        <v>0</v>
      </c>
      <c r="U37" s="417">
        <f t="array" ref="U37">IF(COUNT(IF($M37=$B$29:$B$606,J$29:J$606,""))=0,"",MAX(IF($M37=$B$29:$B$606,J$29:J$606,"")))</f>
        <v>0</v>
      </c>
      <c r="V37" s="416">
        <f t="array" ref="V37">COUNT(IF(M37=$B$29:$B$606,$E$29:$E$606,""))</f>
        <v>0</v>
      </c>
      <c r="W37" s="137"/>
      <c r="X37" s="137"/>
      <c r="Y37" s="137"/>
      <c r="Z37" s="137"/>
      <c r="AA37" s="137"/>
      <c r="AB37" s="137"/>
      <c r="AC37" s="137"/>
      <c r="AD37" s="137"/>
      <c r="AE37" s="137"/>
      <c r="AF37" s="137"/>
      <c r="AG37" s="137"/>
      <c r="AH37" s="137"/>
      <c r="AI37" s="137"/>
      <c r="AJ37" s="137"/>
      <c r="AK37" s="137"/>
      <c r="AL37" s="137"/>
      <c r="AM37" s="137"/>
      <c r="AN37" s="137"/>
      <c r="AO37" s="137"/>
      <c r="AP37" s="137"/>
      <c r="AQ37" s="137"/>
    </row>
    <row r="38" spans="1:43">
      <c r="A38" s="407">
        <f>Input!B31</f>
        <v>37996</v>
      </c>
      <c r="B38" s="410">
        <f t="shared" si="6"/>
        <v>2</v>
      </c>
      <c r="C38" s="411">
        <f>IF(Input!I31&lt;=0,"",Input!I31)</f>
        <v>0.26807099555554398</v>
      </c>
      <c r="D38" s="412" t="str">
        <f>IF(G38="","",Input!Q31)</f>
        <v/>
      </c>
      <c r="E38" s="412" t="str">
        <f>IF(ISERROR(Input!AA31),"",Input!AA31)</f>
        <v/>
      </c>
      <c r="F38" s="412" t="str">
        <f>IF(E38="","",Input!AQ31)</f>
        <v/>
      </c>
      <c r="G38" s="413" t="str">
        <f t="shared" si="1"/>
        <v/>
      </c>
      <c r="H38" s="413" t="str">
        <f t="shared" si="2"/>
        <v/>
      </c>
      <c r="I38" s="414">
        <f t="shared" si="3"/>
        <v>0</v>
      </c>
      <c r="J38" s="414">
        <f t="shared" si="3"/>
        <v>0</v>
      </c>
      <c r="K38" s="137"/>
      <c r="L38" s="415">
        <f t="shared" si="4"/>
        <v>38056</v>
      </c>
      <c r="M38" s="416">
        <f t="shared" si="5"/>
        <v>10</v>
      </c>
      <c r="N38" s="417">
        <f t="array" ref="N38">IF(COUNT(IF($M38=$B$29:$B$606,C$29:C$606,""))=0,"",SUM(IF($M38=$B$29:$B$606,C$29:C$606,""))/COUNT(IF($M38=$B$29:$B$606,C$29:C$606,"")))</f>
        <v>1.2190365367154343</v>
      </c>
      <c r="O38" s="417" t="str">
        <f t="array" ref="O38">IF(COUNT(IF($M38=$B$29:$B$606,D$29:D$606,""))=0,"",SUM(IF($M38=$B$29:$B$606,D$29:D$606,""))/COUNT(IF($M38=$B$29:$B$606,D$29:D$606,"")))</f>
        <v/>
      </c>
      <c r="P38" s="417" t="str">
        <f t="array" ref="P38">IF(COUNT(IF($M38=$B$29:$B$606,E$29:E$606,""))=0,"",SUM(IF($M38=$B$29:$B$606,E$29:E$606,""))/COUNT(IF($M38=$B$29:$B$606,E$29:E$606,"")))</f>
        <v/>
      </c>
      <c r="Q38" s="417" t="str">
        <f t="array" ref="Q38">IF(COUNT(IF($M38=$B$29:$B$606,F$29:F$606,""))=0,"",SUM(IF($M38=$B$29:$B$606,F$29:F$606,""))/COUNT(IF($M38=$B$29:$B$606,F$29:F$606,"")))</f>
        <v/>
      </c>
      <c r="R38" s="417" t="str">
        <f t="array" ref="R38">IF(COUNT(IF($M38=$B$29:$B$606,G$29:G$606,""))=0,"",SUM(IF($M38=$B$29:$B$606,G$29:G$606,""))/COUNT(IF($M38=$B$29:$B$606,G$29:G$606,"")))</f>
        <v/>
      </c>
      <c r="S38" s="417" t="str">
        <f t="array" ref="S38">IF(COUNT(IF($M38=$B$29:$B$606,H$29:H$606,""))=0,"",SUM(IF($M38=$B$29:$B$606,H$29:H$606,""))/COUNT(IF($M38=$B$29:$B$606,H$29:H$606,"")))</f>
        <v/>
      </c>
      <c r="T38" s="417">
        <f t="array" ref="T38">IF(COUNT(IF($M38=$B$29:$B$606,I$29:I$606,""))=0,"",MAX(IF($M38=$B$29:$B$606,I$29:I$606,"")))</f>
        <v>0</v>
      </c>
      <c r="U38" s="417">
        <f t="array" ref="U38">IF(COUNT(IF($M38=$B$29:$B$606,J$29:J$606,""))=0,"",MAX(IF($M38=$B$29:$B$606,J$29:J$606,"")))</f>
        <v>0</v>
      </c>
      <c r="V38" s="416">
        <f t="array" ref="V38">COUNT(IF(M38=$B$29:$B$606,$E$29:$E$606,""))</f>
        <v>0</v>
      </c>
      <c r="W38" s="137"/>
      <c r="X38" s="137"/>
      <c r="Y38" s="137"/>
      <c r="Z38" s="137"/>
      <c r="AA38" s="137"/>
      <c r="AB38" s="137"/>
      <c r="AC38" s="137"/>
      <c r="AD38" s="137"/>
      <c r="AE38" s="137"/>
      <c r="AF38" s="137"/>
      <c r="AG38" s="137"/>
      <c r="AH38" s="137"/>
      <c r="AI38" s="137"/>
      <c r="AJ38" s="137"/>
      <c r="AK38" s="137"/>
      <c r="AL38" s="137"/>
      <c r="AM38" s="137"/>
      <c r="AN38" s="137"/>
      <c r="AO38" s="137"/>
      <c r="AP38" s="137"/>
      <c r="AQ38" s="137"/>
    </row>
    <row r="39" spans="1:43">
      <c r="A39" s="407">
        <f>Input!B32</f>
        <v>37997</v>
      </c>
      <c r="B39" s="410">
        <f t="shared" si="6"/>
        <v>2</v>
      </c>
      <c r="C39" s="411">
        <f>IF(Input!I32&lt;=0,"",Input!I32)</f>
        <v>0.16986159983607474</v>
      </c>
      <c r="D39" s="412" t="str">
        <f>IF(G39="","",Input!Q32)</f>
        <v/>
      </c>
      <c r="E39" s="412" t="str">
        <f>IF(ISERROR(Input!AA32),"",Input!AA32)</f>
        <v/>
      </c>
      <c r="F39" s="412" t="str">
        <f>IF(E39="","",Input!AQ32)</f>
        <v/>
      </c>
      <c r="G39" s="413" t="str">
        <f t="shared" si="1"/>
        <v/>
      </c>
      <c r="H39" s="413" t="str">
        <f t="shared" si="2"/>
        <v/>
      </c>
      <c r="I39" s="414">
        <f t="shared" si="3"/>
        <v>0</v>
      </c>
      <c r="J39" s="414">
        <f t="shared" si="3"/>
        <v>0</v>
      </c>
      <c r="K39" s="137"/>
      <c r="L39" s="415">
        <f t="shared" si="4"/>
        <v>38063</v>
      </c>
      <c r="M39" s="416">
        <f t="shared" si="5"/>
        <v>11</v>
      </c>
      <c r="N39" s="417">
        <f t="array" ref="N39">IF(COUNT(IF($M39=$B$29:$B$606,C$29:C$606,""))=0,"",SUM(IF($M39=$B$29:$B$606,C$29:C$606,""))/COUNT(IF($M39=$B$29:$B$606,C$29:C$606,"")))</f>
        <v>1.3882139668733031</v>
      </c>
      <c r="O39" s="417" t="str">
        <f t="array" ref="O39">IF(COUNT(IF($M39=$B$29:$B$606,D$29:D$606,""))=0,"",SUM(IF($M39=$B$29:$B$606,D$29:D$606,""))/COUNT(IF($M39=$B$29:$B$606,D$29:D$606,"")))</f>
        <v/>
      </c>
      <c r="P39" s="417" t="str">
        <f t="array" ref="P39">IF(COUNT(IF($M39=$B$29:$B$606,E$29:E$606,""))=0,"",SUM(IF($M39=$B$29:$B$606,E$29:E$606,""))/COUNT(IF($M39=$B$29:$B$606,E$29:E$606,"")))</f>
        <v/>
      </c>
      <c r="Q39" s="417" t="str">
        <f t="array" ref="Q39">IF(COUNT(IF($M39=$B$29:$B$606,F$29:F$606,""))=0,"",SUM(IF($M39=$B$29:$B$606,F$29:F$606,""))/COUNT(IF($M39=$B$29:$B$606,F$29:F$606,"")))</f>
        <v/>
      </c>
      <c r="R39" s="417" t="str">
        <f t="array" ref="R39">IF(COUNT(IF($M39=$B$29:$B$606,G$29:G$606,""))=0,"",SUM(IF($M39=$B$29:$B$606,G$29:G$606,""))/COUNT(IF($M39=$B$29:$B$606,G$29:G$606,"")))</f>
        <v/>
      </c>
      <c r="S39" s="417" t="str">
        <f t="array" ref="S39">IF(COUNT(IF($M39=$B$29:$B$606,H$29:H$606,""))=0,"",SUM(IF($M39=$B$29:$B$606,H$29:H$606,""))/COUNT(IF($M39=$B$29:$B$606,H$29:H$606,"")))</f>
        <v/>
      </c>
      <c r="T39" s="417">
        <f t="array" ref="T39">IF(COUNT(IF($M39=$B$29:$B$606,I$29:I$606,""))=0,"",MAX(IF($M39=$B$29:$B$606,I$29:I$606,"")))</f>
        <v>0</v>
      </c>
      <c r="U39" s="417">
        <f t="array" ref="U39">IF(COUNT(IF($M39=$B$29:$B$606,J$29:J$606,""))=0,"",MAX(IF($M39=$B$29:$B$606,J$29:J$606,"")))</f>
        <v>0</v>
      </c>
      <c r="V39" s="416">
        <f t="array" ref="V39">COUNT(IF(M39=$B$29:$B$606,$E$29:$E$606,""))</f>
        <v>0</v>
      </c>
      <c r="W39" s="137"/>
      <c r="X39" s="137"/>
      <c r="Y39" s="137"/>
      <c r="Z39" s="137"/>
      <c r="AA39" s="137"/>
      <c r="AB39" s="137"/>
      <c r="AC39" s="137"/>
      <c r="AD39" s="137"/>
      <c r="AE39" s="137"/>
      <c r="AF39" s="137"/>
      <c r="AG39" s="137"/>
      <c r="AH39" s="137"/>
      <c r="AI39" s="137"/>
      <c r="AJ39" s="137"/>
      <c r="AK39" s="137"/>
      <c r="AL39" s="137"/>
      <c r="AM39" s="137"/>
      <c r="AN39" s="137"/>
      <c r="AO39" s="137"/>
      <c r="AP39" s="137"/>
      <c r="AQ39" s="137"/>
    </row>
    <row r="40" spans="1:43">
      <c r="A40" s="407">
        <f>Input!B33</f>
        <v>37998</v>
      </c>
      <c r="B40" s="410">
        <f t="shared" si="6"/>
        <v>2</v>
      </c>
      <c r="C40" s="411">
        <f>IF(Input!I33&lt;=0,"",Input!I33)</f>
        <v>0.23636606815417283</v>
      </c>
      <c r="D40" s="412" t="str">
        <f>IF(G40="","",Input!Q33)</f>
        <v/>
      </c>
      <c r="E40" s="412" t="str">
        <f>IF(ISERROR(Input!AA33),"",Input!AA33)</f>
        <v/>
      </c>
      <c r="F40" s="412" t="str">
        <f>IF(E40="","",Input!AQ33)</f>
        <v/>
      </c>
      <c r="G40" s="413" t="str">
        <f t="shared" si="1"/>
        <v/>
      </c>
      <c r="H40" s="413" t="str">
        <f t="shared" si="2"/>
        <v/>
      </c>
      <c r="I40" s="414">
        <f t="shared" si="3"/>
        <v>0</v>
      </c>
      <c r="J40" s="414">
        <f t="shared" si="3"/>
        <v>0</v>
      </c>
      <c r="K40" s="137"/>
      <c r="L40" s="415">
        <f t="shared" si="4"/>
        <v>38070</v>
      </c>
      <c r="M40" s="416">
        <f t="shared" si="5"/>
        <v>12</v>
      </c>
      <c r="N40" s="417">
        <f t="array" ref="N40">IF(COUNT(IF($M40=$B$29:$B$606,C$29:C$606,""))=0,"",SUM(IF($M40=$B$29:$B$606,C$29:C$606,""))/COUNT(IF($M40=$B$29:$B$606,C$29:C$606,"")))</f>
        <v>1.2195229552576161</v>
      </c>
      <c r="O40" s="417" t="str">
        <f t="array" ref="O40">IF(COUNT(IF($M40=$B$29:$B$606,D$29:D$606,""))=0,"",SUM(IF($M40=$B$29:$B$606,D$29:D$606,""))/COUNT(IF($M40=$B$29:$B$606,D$29:D$606,"")))</f>
        <v/>
      </c>
      <c r="P40" s="417" t="str">
        <f t="array" ref="P40">IF(COUNT(IF($M40=$B$29:$B$606,E$29:E$606,""))=0,"",SUM(IF($M40=$B$29:$B$606,E$29:E$606,""))/COUNT(IF($M40=$B$29:$B$606,E$29:E$606,"")))</f>
        <v/>
      </c>
      <c r="Q40" s="417" t="str">
        <f t="array" ref="Q40">IF(COUNT(IF($M40=$B$29:$B$606,F$29:F$606,""))=0,"",SUM(IF($M40=$B$29:$B$606,F$29:F$606,""))/COUNT(IF($M40=$B$29:$B$606,F$29:F$606,"")))</f>
        <v/>
      </c>
      <c r="R40" s="417" t="str">
        <f t="array" ref="R40">IF(COUNT(IF($M40=$B$29:$B$606,G$29:G$606,""))=0,"",SUM(IF($M40=$B$29:$B$606,G$29:G$606,""))/COUNT(IF($M40=$B$29:$B$606,G$29:G$606,"")))</f>
        <v/>
      </c>
      <c r="S40" s="417" t="str">
        <f t="array" ref="S40">IF(COUNT(IF($M40=$B$29:$B$606,H$29:H$606,""))=0,"",SUM(IF($M40=$B$29:$B$606,H$29:H$606,""))/COUNT(IF($M40=$B$29:$B$606,H$29:H$606,"")))</f>
        <v/>
      </c>
      <c r="T40" s="417">
        <f t="array" ref="T40">IF(COUNT(IF($M40=$B$29:$B$606,I$29:I$606,""))=0,"",MAX(IF($M40=$B$29:$B$606,I$29:I$606,"")))</f>
        <v>0</v>
      </c>
      <c r="U40" s="417">
        <f t="array" ref="U40">IF(COUNT(IF($M40=$B$29:$B$606,J$29:J$606,""))=0,"",MAX(IF($M40=$B$29:$B$606,J$29:J$606,"")))</f>
        <v>0</v>
      </c>
      <c r="V40" s="416">
        <f t="array" ref="V40">COUNT(IF(M40=$B$29:$B$606,$E$29:$E$606,""))</f>
        <v>0</v>
      </c>
      <c r="W40" s="137"/>
      <c r="X40" s="137"/>
      <c r="Y40" s="137"/>
      <c r="Z40" s="137"/>
      <c r="AA40" s="137"/>
      <c r="AB40" s="137"/>
      <c r="AC40" s="137"/>
      <c r="AD40" s="137"/>
      <c r="AE40" s="137"/>
      <c r="AF40" s="137"/>
      <c r="AG40" s="137"/>
      <c r="AH40" s="137"/>
      <c r="AI40" s="137"/>
      <c r="AJ40" s="137"/>
      <c r="AK40" s="137"/>
      <c r="AL40" s="137"/>
      <c r="AM40" s="137"/>
      <c r="AN40" s="137"/>
      <c r="AO40" s="137"/>
      <c r="AP40" s="137"/>
      <c r="AQ40" s="137"/>
    </row>
    <row r="41" spans="1:43">
      <c r="A41" s="407">
        <f>Input!B34</f>
        <v>37999</v>
      </c>
      <c r="B41" s="410">
        <f t="shared" si="6"/>
        <v>2</v>
      </c>
      <c r="C41" s="411">
        <f>IF(Input!I34&lt;=0,"",Input!I34)</f>
        <v>0.19150336319124778</v>
      </c>
      <c r="D41" s="412" t="str">
        <f>IF(G41="","",Input!Q34)</f>
        <v/>
      </c>
      <c r="E41" s="412" t="str">
        <f>IF(ISERROR(Input!AA34),"",Input!AA34)</f>
        <v/>
      </c>
      <c r="F41" s="412" t="str">
        <f>IF(E41="","",Input!AQ34)</f>
        <v/>
      </c>
      <c r="G41" s="413" t="str">
        <f t="shared" si="1"/>
        <v/>
      </c>
      <c r="H41" s="413" t="str">
        <f t="shared" si="2"/>
        <v/>
      </c>
      <c r="I41" s="414">
        <f t="shared" si="3"/>
        <v>0</v>
      </c>
      <c r="J41" s="414">
        <f t="shared" si="3"/>
        <v>0</v>
      </c>
      <c r="K41" s="137"/>
      <c r="L41" s="415">
        <f t="shared" si="4"/>
        <v>38077</v>
      </c>
      <c r="M41" s="416">
        <f t="shared" si="5"/>
        <v>13</v>
      </c>
      <c r="N41" s="417">
        <f t="array" ref="N41">IF(COUNT(IF($M41=$B$29:$B$606,C$29:C$606,""))=0,"",SUM(IF($M41=$B$29:$B$606,C$29:C$606,""))/COUNT(IF($M41=$B$29:$B$606,C$29:C$606,"")))</f>
        <v>1.6501905606635876</v>
      </c>
      <c r="O41" s="417" t="str">
        <f t="array" ref="O41">IF(COUNT(IF($M41=$B$29:$B$606,D$29:D$606,""))=0,"",SUM(IF($M41=$B$29:$B$606,D$29:D$606,""))/COUNT(IF($M41=$B$29:$B$606,D$29:D$606,"")))</f>
        <v/>
      </c>
      <c r="P41" s="417" t="str">
        <f t="array" ref="P41">IF(COUNT(IF($M41=$B$29:$B$606,E$29:E$606,""))=0,"",SUM(IF($M41=$B$29:$B$606,E$29:E$606,""))/COUNT(IF($M41=$B$29:$B$606,E$29:E$606,"")))</f>
        <v/>
      </c>
      <c r="Q41" s="417" t="str">
        <f t="array" ref="Q41">IF(COUNT(IF($M41=$B$29:$B$606,F$29:F$606,""))=0,"",SUM(IF($M41=$B$29:$B$606,F$29:F$606,""))/COUNT(IF($M41=$B$29:$B$606,F$29:F$606,"")))</f>
        <v/>
      </c>
      <c r="R41" s="417" t="str">
        <f t="array" ref="R41">IF(COUNT(IF($M41=$B$29:$B$606,G$29:G$606,""))=0,"",SUM(IF($M41=$B$29:$B$606,G$29:G$606,""))/COUNT(IF($M41=$B$29:$B$606,G$29:G$606,"")))</f>
        <v/>
      </c>
      <c r="S41" s="417" t="str">
        <f t="array" ref="S41">IF(COUNT(IF($M41=$B$29:$B$606,H$29:H$606,""))=0,"",SUM(IF($M41=$B$29:$B$606,H$29:H$606,""))/COUNT(IF($M41=$B$29:$B$606,H$29:H$606,"")))</f>
        <v/>
      </c>
      <c r="T41" s="417">
        <f t="array" ref="T41">IF(COUNT(IF($M41=$B$29:$B$606,I$29:I$606,""))=0,"",MAX(IF($M41=$B$29:$B$606,I$29:I$606,"")))</f>
        <v>0</v>
      </c>
      <c r="U41" s="417">
        <f t="array" ref="U41">IF(COUNT(IF($M41=$B$29:$B$606,J$29:J$606,""))=0,"",MAX(IF($M41=$B$29:$B$606,J$29:J$606,"")))</f>
        <v>0</v>
      </c>
      <c r="V41" s="416">
        <f t="array" ref="V41">COUNT(IF(M41=$B$29:$B$606,$E$29:$E$606,""))</f>
        <v>0</v>
      </c>
      <c r="W41" s="137"/>
      <c r="X41" s="137"/>
      <c r="Y41" s="137"/>
      <c r="Z41" s="137"/>
      <c r="AA41" s="137"/>
      <c r="AB41" s="137"/>
      <c r="AC41" s="137"/>
      <c r="AD41" s="137"/>
      <c r="AE41" s="137"/>
      <c r="AF41" s="137"/>
      <c r="AG41" s="137"/>
      <c r="AH41" s="137"/>
      <c r="AI41" s="137"/>
      <c r="AJ41" s="137"/>
      <c r="AK41" s="137"/>
      <c r="AL41" s="137"/>
      <c r="AM41" s="137"/>
      <c r="AN41" s="137"/>
      <c r="AO41" s="137"/>
      <c r="AP41" s="137"/>
      <c r="AQ41" s="137"/>
    </row>
    <row r="42" spans="1:43">
      <c r="A42" s="407">
        <f>Input!B35</f>
        <v>38000</v>
      </c>
      <c r="B42" s="410">
        <f t="shared" si="6"/>
        <v>2</v>
      </c>
      <c r="C42" s="411">
        <f>IF(Input!I35&lt;=0,"",Input!I35)</f>
        <v>0.16723499167272959</v>
      </c>
      <c r="D42" s="412" t="str">
        <f>IF(G42="","",Input!Q35)</f>
        <v/>
      </c>
      <c r="E42" s="412" t="str">
        <f>IF(ISERROR(Input!AA35),"",Input!AA35)</f>
        <v/>
      </c>
      <c r="F42" s="412" t="str">
        <f>IF(E42="","",Input!AQ35)</f>
        <v/>
      </c>
      <c r="G42" s="413" t="str">
        <f t="shared" si="1"/>
        <v/>
      </c>
      <c r="H42" s="413" t="str">
        <f t="shared" si="2"/>
        <v/>
      </c>
      <c r="I42" s="414">
        <f t="shared" si="3"/>
        <v>0</v>
      </c>
      <c r="J42" s="414">
        <f t="shared" si="3"/>
        <v>0</v>
      </c>
      <c r="K42" s="137"/>
      <c r="L42" s="415">
        <f t="shared" si="4"/>
        <v>38084</v>
      </c>
      <c r="M42" s="416">
        <f t="shared" si="5"/>
        <v>14</v>
      </c>
      <c r="N42" s="417">
        <f t="array" ref="N42">IF(COUNT(IF($M42=$B$29:$B$606,C$29:C$606,""))=0,"",SUM(IF($M42=$B$29:$B$606,C$29:C$606,""))/COUNT(IF($M42=$B$29:$B$606,C$29:C$606,"")))</f>
        <v>1.6684388399231747</v>
      </c>
      <c r="O42" s="417" t="str">
        <f t="array" ref="O42">IF(COUNT(IF($M42=$B$29:$B$606,D$29:D$606,""))=0,"",SUM(IF($M42=$B$29:$B$606,D$29:D$606,""))/COUNT(IF($M42=$B$29:$B$606,D$29:D$606,"")))</f>
        <v/>
      </c>
      <c r="P42" s="417" t="str">
        <f t="array" ref="P42">IF(COUNT(IF($M42=$B$29:$B$606,E$29:E$606,""))=0,"",SUM(IF($M42=$B$29:$B$606,E$29:E$606,""))/COUNT(IF($M42=$B$29:$B$606,E$29:E$606,"")))</f>
        <v/>
      </c>
      <c r="Q42" s="417" t="str">
        <f t="array" ref="Q42">IF(COUNT(IF($M42=$B$29:$B$606,F$29:F$606,""))=0,"",SUM(IF($M42=$B$29:$B$606,F$29:F$606,""))/COUNT(IF($M42=$B$29:$B$606,F$29:F$606,"")))</f>
        <v/>
      </c>
      <c r="R42" s="417" t="str">
        <f t="array" ref="R42">IF(COUNT(IF($M42=$B$29:$B$606,G$29:G$606,""))=0,"",SUM(IF($M42=$B$29:$B$606,G$29:G$606,""))/COUNT(IF($M42=$B$29:$B$606,G$29:G$606,"")))</f>
        <v/>
      </c>
      <c r="S42" s="417" t="str">
        <f t="array" ref="S42">IF(COUNT(IF($M42=$B$29:$B$606,H$29:H$606,""))=0,"",SUM(IF($M42=$B$29:$B$606,H$29:H$606,""))/COUNT(IF($M42=$B$29:$B$606,H$29:H$606,"")))</f>
        <v/>
      </c>
      <c r="T42" s="417">
        <f t="array" ref="T42">IF(COUNT(IF($M42=$B$29:$B$606,I$29:I$606,""))=0,"",MAX(IF($M42=$B$29:$B$606,I$29:I$606,"")))</f>
        <v>0</v>
      </c>
      <c r="U42" s="417">
        <f t="array" ref="U42">IF(COUNT(IF($M42=$B$29:$B$606,J$29:J$606,""))=0,"",MAX(IF($M42=$B$29:$B$606,J$29:J$606,"")))</f>
        <v>0</v>
      </c>
      <c r="V42" s="416">
        <f t="array" ref="V42">COUNT(IF(M42=$B$29:$B$606,$E$29:$E$606,""))</f>
        <v>0</v>
      </c>
      <c r="W42" s="137"/>
      <c r="X42" s="137"/>
      <c r="Y42" s="137"/>
      <c r="Z42" s="137"/>
      <c r="AA42" s="137"/>
      <c r="AB42" s="137"/>
      <c r="AC42" s="137"/>
      <c r="AD42" s="137"/>
      <c r="AE42" s="137"/>
      <c r="AF42" s="137"/>
      <c r="AG42" s="137"/>
      <c r="AH42" s="137"/>
      <c r="AI42" s="137"/>
      <c r="AJ42" s="137"/>
      <c r="AK42" s="137"/>
      <c r="AL42" s="137"/>
      <c r="AM42" s="137"/>
      <c r="AN42" s="137"/>
      <c r="AO42" s="137"/>
      <c r="AP42" s="137"/>
      <c r="AQ42" s="137"/>
    </row>
    <row r="43" spans="1:43">
      <c r="A43" s="407">
        <f>Input!B36</f>
        <v>38001</v>
      </c>
      <c r="B43" s="410">
        <f t="shared" si="6"/>
        <v>3</v>
      </c>
      <c r="C43" s="411">
        <f>IF(Input!I36&lt;=0,"",Input!I36)</f>
        <v>0.18422309026983519</v>
      </c>
      <c r="D43" s="412" t="str">
        <f>IF(G43="","",Input!Q36)</f>
        <v/>
      </c>
      <c r="E43" s="412" t="str">
        <f>IF(ISERROR(Input!AA36),"",Input!AA36)</f>
        <v/>
      </c>
      <c r="F43" s="412" t="str">
        <f>IF(E43="","",Input!AQ36)</f>
        <v/>
      </c>
      <c r="G43" s="413" t="str">
        <f t="shared" si="1"/>
        <v/>
      </c>
      <c r="H43" s="413" t="str">
        <f t="shared" si="2"/>
        <v/>
      </c>
      <c r="I43" s="414">
        <f t="shared" si="3"/>
        <v>0</v>
      </c>
      <c r="J43" s="414">
        <f t="shared" si="3"/>
        <v>0</v>
      </c>
      <c r="K43" s="137"/>
      <c r="L43" s="415">
        <f t="shared" si="4"/>
        <v>38091</v>
      </c>
      <c r="M43" s="416">
        <f t="shared" si="5"/>
        <v>15</v>
      </c>
      <c r="N43" s="417">
        <f t="array" ref="N43">IF(COUNT(IF($M43=$B$29:$B$606,C$29:C$606,""))=0,"",SUM(IF($M43=$B$29:$B$606,C$29:C$606,""))/COUNT(IF($M43=$B$29:$B$606,C$29:C$606,"")))</f>
        <v>1.4241033951809439</v>
      </c>
      <c r="O43" s="417" t="str">
        <f t="array" ref="O43">IF(COUNT(IF($M43=$B$29:$B$606,D$29:D$606,""))=0,"",SUM(IF($M43=$B$29:$B$606,D$29:D$606,""))/COUNT(IF($M43=$B$29:$B$606,D$29:D$606,"")))</f>
        <v/>
      </c>
      <c r="P43" s="417" t="str">
        <f t="array" ref="P43">IF(COUNT(IF($M43=$B$29:$B$606,E$29:E$606,""))=0,"",SUM(IF($M43=$B$29:$B$606,E$29:E$606,""))/COUNT(IF($M43=$B$29:$B$606,E$29:E$606,"")))</f>
        <v/>
      </c>
      <c r="Q43" s="417" t="str">
        <f t="array" ref="Q43">IF(COUNT(IF($M43=$B$29:$B$606,F$29:F$606,""))=0,"",SUM(IF($M43=$B$29:$B$606,F$29:F$606,""))/COUNT(IF($M43=$B$29:$B$606,F$29:F$606,"")))</f>
        <v/>
      </c>
      <c r="R43" s="417" t="str">
        <f t="array" ref="R43">IF(COUNT(IF($M43=$B$29:$B$606,G$29:G$606,""))=0,"",SUM(IF($M43=$B$29:$B$606,G$29:G$606,""))/COUNT(IF($M43=$B$29:$B$606,G$29:G$606,"")))</f>
        <v/>
      </c>
      <c r="S43" s="417" t="str">
        <f t="array" ref="S43">IF(COUNT(IF($M43=$B$29:$B$606,H$29:H$606,""))=0,"",SUM(IF($M43=$B$29:$B$606,H$29:H$606,""))/COUNT(IF($M43=$B$29:$B$606,H$29:H$606,"")))</f>
        <v/>
      </c>
      <c r="T43" s="417">
        <f t="array" ref="T43">IF(COUNT(IF($M43=$B$29:$B$606,I$29:I$606,""))=0,"",MAX(IF($M43=$B$29:$B$606,I$29:I$606,"")))</f>
        <v>0</v>
      </c>
      <c r="U43" s="417">
        <f t="array" ref="U43">IF(COUNT(IF($M43=$B$29:$B$606,J$29:J$606,""))=0,"",MAX(IF($M43=$B$29:$B$606,J$29:J$606,"")))</f>
        <v>0</v>
      </c>
      <c r="V43" s="416">
        <f t="array" ref="V43">COUNT(IF(M43=$B$29:$B$606,$E$29:$E$606,""))</f>
        <v>0</v>
      </c>
      <c r="W43" s="137"/>
      <c r="X43" s="137"/>
      <c r="Y43" s="137"/>
      <c r="Z43" s="137"/>
      <c r="AA43" s="137"/>
      <c r="AB43" s="137"/>
      <c r="AC43" s="137"/>
      <c r="AD43" s="137"/>
      <c r="AE43" s="137"/>
      <c r="AF43" s="137"/>
      <c r="AG43" s="137"/>
      <c r="AH43" s="137"/>
      <c r="AI43" s="137"/>
      <c r="AJ43" s="137"/>
      <c r="AK43" s="137"/>
      <c r="AL43" s="137"/>
      <c r="AM43" s="137"/>
      <c r="AN43" s="137"/>
      <c r="AO43" s="137"/>
      <c r="AP43" s="137"/>
      <c r="AQ43" s="137"/>
    </row>
    <row r="44" spans="1:43">
      <c r="A44" s="407">
        <f>Input!B37</f>
        <v>38002</v>
      </c>
      <c r="B44" s="410">
        <f t="shared" si="6"/>
        <v>3</v>
      </c>
      <c r="C44" s="411">
        <f>IF(Input!I37&lt;=0,"",Input!I37)</f>
        <v>0.27350161522473587</v>
      </c>
      <c r="D44" s="412" t="str">
        <f>IF(G44="","",Input!Q37)</f>
        <v/>
      </c>
      <c r="E44" s="412" t="str">
        <f>IF(ISERROR(Input!AA37),"",Input!AA37)</f>
        <v/>
      </c>
      <c r="F44" s="412" t="str">
        <f>IF(E44="","",Input!AQ37)</f>
        <v/>
      </c>
      <c r="G44" s="413" t="str">
        <f t="shared" si="1"/>
        <v/>
      </c>
      <c r="H44" s="413" t="str">
        <f t="shared" si="2"/>
        <v/>
      </c>
      <c r="I44" s="414">
        <f t="shared" si="3"/>
        <v>0</v>
      </c>
      <c r="J44" s="414">
        <f t="shared" si="3"/>
        <v>0</v>
      </c>
      <c r="K44" s="137"/>
      <c r="L44" s="415">
        <f t="shared" si="4"/>
        <v>38098</v>
      </c>
      <c r="M44" s="416">
        <f t="shared" si="5"/>
        <v>16</v>
      </c>
      <c r="N44" s="417">
        <f t="array" ref="N44">IF(COUNT(IF($M44=$B$29:$B$606,C$29:C$606,""))=0,"",SUM(IF($M44=$B$29:$B$606,C$29:C$606,""))/COUNT(IF($M44=$B$29:$B$606,C$29:C$606,"")))</f>
        <v>1.9367075326344974</v>
      </c>
      <c r="O44" s="417">
        <f t="array" ref="O44">IF(COUNT(IF($M44=$B$29:$B$606,D$29:D$606,""))=0,"",SUM(IF($M44=$B$29:$B$606,D$29:D$606,""))/COUNT(IF($M44=$B$29:$B$606,D$29:D$606,"")))</f>
        <v>1.0613852130459331</v>
      </c>
      <c r="P44" s="417">
        <f t="array" ref="P44">IF(COUNT(IF($M44=$B$29:$B$606,E$29:E$606,""))=0,"",SUM(IF($M44=$B$29:$B$606,E$29:E$606,""))/COUNT(IF($M44=$B$29:$B$606,E$29:E$606,"")))</f>
        <v>1.0613852130459331</v>
      </c>
      <c r="Q44" s="417">
        <f t="array" ref="Q44">IF(COUNT(IF($M44=$B$29:$B$606,F$29:F$606,""))=0,"",SUM(IF($M44=$B$29:$B$606,F$29:F$606,""))/COUNT(IF($M44=$B$29:$B$606,F$29:F$606,"")))</f>
        <v>0.81029621401614649</v>
      </c>
      <c r="R44" s="417">
        <f t="array" ref="R44">IF(COUNT(IF($M44=$B$29:$B$606,G$29:G$606,""))=0,"",SUM(IF($M44=$B$29:$B$606,G$29:G$606,""))/COUNT(IF($M44=$B$29:$B$606,G$29:G$606,"")))</f>
        <v>1.9891868749302506</v>
      </c>
      <c r="S44" s="417">
        <f t="array" ref="S44">IF(COUNT(IF($M44=$B$29:$B$606,H$29:H$606,""))=0,"",SUM(IF($M44=$B$29:$B$606,H$29:H$606,""))/COUNT(IF($M44=$B$29:$B$606,H$29:H$606,"")))</f>
        <v>1.5693067813502861</v>
      </c>
      <c r="T44" s="417">
        <f t="array" ref="T44">IF(COUNT(IF($M44=$B$29:$B$606,I$29:I$606,""))=0,"",MAX(IF($M44=$B$29:$B$606,I$29:I$606,"")))</f>
        <v>13.924308124511754</v>
      </c>
      <c r="U44" s="417">
        <f t="array" ref="U44">IF(COUNT(IF($M44=$B$29:$B$606,J$29:J$606,""))=0,"",MAX(IF($M44=$B$29:$B$606,J$29:J$606,"")))</f>
        <v>10.985147469452002</v>
      </c>
      <c r="V44" s="416">
        <f t="array" ref="V44">COUNT(IF(M44=$B$29:$B$606,$E$29:$E$606,""))</f>
        <v>7</v>
      </c>
      <c r="W44" s="137"/>
      <c r="X44" s="137"/>
      <c r="Y44" s="137"/>
      <c r="Z44" s="137"/>
      <c r="AA44" s="137"/>
      <c r="AB44" s="137"/>
      <c r="AC44" s="137"/>
      <c r="AD44" s="137"/>
      <c r="AE44" s="137"/>
      <c r="AF44" s="137"/>
      <c r="AG44" s="137"/>
      <c r="AH44" s="137"/>
      <c r="AI44" s="137"/>
      <c r="AJ44" s="137"/>
      <c r="AK44" s="137"/>
      <c r="AL44" s="137"/>
      <c r="AM44" s="137"/>
      <c r="AN44" s="137"/>
      <c r="AO44" s="137"/>
      <c r="AP44" s="137"/>
      <c r="AQ44" s="137"/>
    </row>
    <row r="45" spans="1:43">
      <c r="A45" s="407">
        <f>Input!B38</f>
        <v>38003</v>
      </c>
      <c r="B45" s="410">
        <f t="shared" si="6"/>
        <v>3</v>
      </c>
      <c r="C45" s="411">
        <f>IF(Input!I38&lt;=0,"",Input!I38)</f>
        <v>0.20161528149186347</v>
      </c>
      <c r="D45" s="412" t="str">
        <f>IF(G45="","",Input!Q38)</f>
        <v/>
      </c>
      <c r="E45" s="412" t="str">
        <f>IF(ISERROR(Input!AA38),"",Input!AA38)</f>
        <v/>
      </c>
      <c r="F45" s="412" t="str">
        <f>IF(E45="","",Input!AQ38)</f>
        <v/>
      </c>
      <c r="G45" s="413" t="str">
        <f t="shared" si="1"/>
        <v/>
      </c>
      <c r="H45" s="413" t="str">
        <f t="shared" si="2"/>
        <v/>
      </c>
      <c r="I45" s="414">
        <f t="shared" si="3"/>
        <v>0</v>
      </c>
      <c r="J45" s="414">
        <f t="shared" si="3"/>
        <v>0</v>
      </c>
      <c r="K45" s="137"/>
      <c r="L45" s="415">
        <f t="shared" si="4"/>
        <v>38105</v>
      </c>
      <c r="M45" s="416">
        <f t="shared" si="5"/>
        <v>17</v>
      </c>
      <c r="N45" s="417">
        <f t="array" ref="N45">IF(COUNT(IF($M45=$B$29:$B$606,C$29:C$606,""))=0,"",SUM(IF($M45=$B$29:$B$606,C$29:C$606,""))/COUNT(IF($M45=$B$29:$B$606,C$29:C$606,"")))</f>
        <v>1.0815925331795271</v>
      </c>
      <c r="O45" s="417">
        <f t="array" ref="O45">IF(COUNT(IF($M45=$B$29:$B$606,D$29:D$606,""))=0,"",SUM(IF($M45=$B$29:$B$606,D$29:D$606,""))/COUNT(IF($M45=$B$29:$B$606,D$29:D$606,"")))</f>
        <v>0.61437725897774853</v>
      </c>
      <c r="P45" s="417">
        <f t="array" ref="P45">IF(COUNT(IF($M45=$B$29:$B$606,E$29:E$606,""))=0,"",SUM(IF($M45=$B$29:$B$606,E$29:E$606,""))/COUNT(IF($M45=$B$29:$B$606,E$29:E$606,"")))</f>
        <v>0.61437725897774853</v>
      </c>
      <c r="Q45" s="417">
        <f t="array" ref="Q45">IF(COUNT(IF($M45=$B$29:$B$606,F$29:F$606,""))=0,"",SUM(IF($M45=$B$29:$B$606,F$29:F$606,""))/COUNT(IF($M45=$B$29:$B$606,F$29:F$606,"")))</f>
        <v>0.81029621401614649</v>
      </c>
      <c r="R45" s="417">
        <f t="array" ref="R45">IF(COUNT(IF($M45=$B$29:$B$606,G$29:G$606,""))=0,"",SUM(IF($M45=$B$29:$B$606,G$29:G$606,""))/COUNT(IF($M45=$B$29:$B$606,G$29:G$606,"")))</f>
        <v>0.69323872447687351</v>
      </c>
      <c r="S45" s="417">
        <f t="array" ref="S45">IF(COUNT(IF($M45=$B$29:$B$606,H$29:H$606,""))=0,"",SUM(IF($M45=$B$29:$B$606,H$29:H$606,""))/COUNT(IF($M45=$B$29:$B$606,H$29:H$606,"")))</f>
        <v>0.87641033474350394</v>
      </c>
      <c r="T45" s="417">
        <f t="array" ref="T45">IF(COUNT(IF($M45=$B$29:$B$606,I$29:I$606,""))=0,"",MAX(IF($M45=$B$29:$B$606,I$29:I$606,"")))</f>
        <v>18.776979195849869</v>
      </c>
      <c r="U45" s="417">
        <f t="array" ref="U45">IF(COUNT(IF($M45=$B$29:$B$606,J$29:J$606,""))=0,"",MAX(IF($M45=$B$29:$B$606,J$29:J$606,"")))</f>
        <v>17.120019812656533</v>
      </c>
      <c r="V45" s="416">
        <f t="array" ref="V45">COUNT(IF(M45=$B$29:$B$606,$E$29:$E$606,""))</f>
        <v>7</v>
      </c>
      <c r="W45" s="137"/>
      <c r="X45" s="137"/>
      <c r="Y45" s="137"/>
      <c r="Z45" s="137"/>
      <c r="AA45" s="137"/>
      <c r="AB45" s="137"/>
      <c r="AC45" s="137"/>
      <c r="AD45" s="137"/>
      <c r="AE45" s="137"/>
      <c r="AF45" s="137"/>
      <c r="AG45" s="137"/>
      <c r="AH45" s="137"/>
      <c r="AI45" s="137"/>
      <c r="AJ45" s="137"/>
      <c r="AK45" s="137"/>
      <c r="AL45" s="137"/>
      <c r="AM45" s="137"/>
      <c r="AN45" s="137"/>
      <c r="AO45" s="137"/>
      <c r="AP45" s="137"/>
      <c r="AQ45" s="137"/>
    </row>
    <row r="46" spans="1:43">
      <c r="A46" s="407">
        <f>Input!B39</f>
        <v>38004</v>
      </c>
      <c r="B46" s="410">
        <f t="shared" si="6"/>
        <v>3</v>
      </c>
      <c r="C46" s="411">
        <f>IF(Input!I39&lt;=0,"",Input!I39)</f>
        <v>0.2290955615783985</v>
      </c>
      <c r="D46" s="412" t="str">
        <f>IF(G46="","",Input!Q39)</f>
        <v/>
      </c>
      <c r="E46" s="412" t="str">
        <f>IF(ISERROR(Input!AA39),"",Input!AA39)</f>
        <v/>
      </c>
      <c r="F46" s="412" t="str">
        <f>IF(E46="","",Input!AQ39)</f>
        <v/>
      </c>
      <c r="G46" s="413" t="str">
        <f t="shared" si="1"/>
        <v/>
      </c>
      <c r="H46" s="413" t="str">
        <f t="shared" si="2"/>
        <v/>
      </c>
      <c r="I46" s="414">
        <f t="shared" si="3"/>
        <v>0</v>
      </c>
      <c r="J46" s="414">
        <f t="shared" si="3"/>
        <v>0</v>
      </c>
      <c r="K46" s="137"/>
      <c r="L46" s="415">
        <f t="shared" si="4"/>
        <v>38112</v>
      </c>
      <c r="M46" s="416">
        <f t="shared" si="5"/>
        <v>18</v>
      </c>
      <c r="N46" s="417">
        <f t="array" ref="N46">IF(COUNT(IF($M46=$B$29:$B$606,C$29:C$606,""))=0,"",SUM(IF($M46=$B$29:$B$606,C$29:C$606,""))/COUNT(IF($M46=$B$29:$B$606,C$29:C$606,"")))</f>
        <v>1.6284701124061718</v>
      </c>
      <c r="O46" s="417">
        <f t="array" ref="O46">IF(COUNT(IF($M46=$B$29:$B$606,D$29:D$606,""))=0,"",SUM(IF($M46=$B$29:$B$606,D$29:D$606,""))/COUNT(IF($M46=$B$29:$B$606,D$29:D$606,"")))</f>
        <v>1.0825567418989779</v>
      </c>
      <c r="P46" s="417">
        <f t="array" ref="P46">IF(COUNT(IF($M46=$B$29:$B$606,E$29:E$606,""))=0,"",SUM(IF($M46=$B$29:$B$606,E$29:E$606,""))/COUNT(IF($M46=$B$29:$B$606,E$29:E$606,"")))</f>
        <v>1.0825567418989779</v>
      </c>
      <c r="Q46" s="417">
        <f t="array" ref="Q46">IF(COUNT(IF($M46=$B$29:$B$606,F$29:F$606,""))=0,"",SUM(IF($M46=$B$29:$B$606,F$29:F$606,""))/COUNT(IF($M46=$B$29:$B$606,F$29:F$606,"")))</f>
        <v>0.81029621401614649</v>
      </c>
      <c r="R46" s="417">
        <f t="array" ref="R46">IF(COUNT(IF($M46=$B$29:$B$606,G$29:G$606,""))=0,"",SUM(IF($M46=$B$29:$B$606,G$29:G$606,""))/COUNT(IF($M46=$B$29:$B$606,G$29:G$606,"")))</f>
        <v>1.6396583656134729</v>
      </c>
      <c r="S46" s="417">
        <f t="array" ref="S46">IF(COUNT(IF($M46=$B$29:$B$606,H$29:H$606,""))=0,"",SUM(IF($M46=$B$29:$B$606,H$29:H$606,""))/COUNT(IF($M46=$B$29:$B$606,H$29:H$606,"")))</f>
        <v>1.3195431667211694</v>
      </c>
      <c r="T46" s="417">
        <f t="array" ref="T46">IF(COUNT(IF($M46=$B$29:$B$606,I$29:I$606,""))=0,"",MAX(IF($M46=$B$29:$B$606,I$29:I$606,"")))</f>
        <v>30.254587755144183</v>
      </c>
      <c r="U46" s="417">
        <f t="array" ref="U46">IF(COUNT(IF($M46=$B$29:$B$606,J$29:J$606,""))=0,"",MAX(IF($M46=$B$29:$B$606,J$29:J$606,"")))</f>
        <v>26.356821979704723</v>
      </c>
      <c r="V46" s="416">
        <f t="array" ref="V46">COUNT(IF(M46=$B$29:$B$606,$E$29:$E$606,""))</f>
        <v>7</v>
      </c>
      <c r="W46" s="137"/>
      <c r="X46" s="137"/>
      <c r="Y46" s="137"/>
      <c r="Z46" s="137"/>
      <c r="AA46" s="137"/>
      <c r="AB46" s="137"/>
      <c r="AC46" s="137"/>
      <c r="AD46" s="137"/>
      <c r="AE46" s="137"/>
      <c r="AF46" s="137"/>
      <c r="AG46" s="137"/>
      <c r="AH46" s="137"/>
      <c r="AI46" s="137"/>
      <c r="AJ46" s="137"/>
      <c r="AK46" s="137"/>
      <c r="AL46" s="137"/>
      <c r="AM46" s="137"/>
      <c r="AN46" s="137"/>
      <c r="AO46" s="137"/>
      <c r="AP46" s="137"/>
      <c r="AQ46" s="137"/>
    </row>
    <row r="47" spans="1:43">
      <c r="A47" s="407">
        <f>Input!B40</f>
        <v>38005</v>
      </c>
      <c r="B47" s="410">
        <f t="shared" si="6"/>
        <v>3</v>
      </c>
      <c r="C47" s="411">
        <f>IF(Input!I40&lt;=0,"",Input!I40)</f>
        <v>0.22358121107988677</v>
      </c>
      <c r="D47" s="412" t="str">
        <f>IF(G47="","",Input!Q40)</f>
        <v/>
      </c>
      <c r="E47" s="412" t="str">
        <f>IF(ISERROR(Input!AA40),"",Input!AA40)</f>
        <v/>
      </c>
      <c r="F47" s="412" t="str">
        <f>IF(E47="","",Input!AQ40)</f>
        <v/>
      </c>
      <c r="G47" s="413" t="str">
        <f t="shared" si="1"/>
        <v/>
      </c>
      <c r="H47" s="413" t="str">
        <f t="shared" si="2"/>
        <v/>
      </c>
      <c r="I47" s="414">
        <f t="shared" si="3"/>
        <v>0</v>
      </c>
      <c r="J47" s="414">
        <f t="shared" si="3"/>
        <v>0</v>
      </c>
      <c r="K47" s="137"/>
      <c r="L47" s="415">
        <f t="shared" si="4"/>
        <v>38119</v>
      </c>
      <c r="M47" s="416">
        <f t="shared" si="5"/>
        <v>19</v>
      </c>
      <c r="N47" s="417">
        <f t="array" ref="N47">IF(COUNT(IF($M47=$B$29:$B$606,C$29:C$606,""))=0,"",SUM(IF($M47=$B$29:$B$606,C$29:C$606,""))/COUNT(IF($M47=$B$29:$B$606,C$29:C$606,"")))</f>
        <v>3.0433047506969282</v>
      </c>
      <c r="O47" s="417">
        <f t="array" ref="O47">IF(COUNT(IF($M47=$B$29:$B$606,D$29:D$606,""))=0,"",SUM(IF($M47=$B$29:$B$606,D$29:D$606,""))/COUNT(IF($M47=$B$29:$B$606,D$29:D$606,"")))</f>
        <v>0.56751455119848704</v>
      </c>
      <c r="P47" s="417">
        <f t="array" ref="P47">IF(COUNT(IF($M47=$B$29:$B$606,E$29:E$606,""))=0,"",SUM(IF($M47=$B$29:$B$606,E$29:E$606,""))/COUNT(IF($M47=$B$29:$B$606,E$29:E$606,"")))</f>
        <v>0.56751455119848704</v>
      </c>
      <c r="Q47" s="417">
        <f t="array" ref="Q47">IF(COUNT(IF($M47=$B$29:$B$606,F$29:F$606,""))=0,"",SUM(IF($M47=$B$29:$B$606,F$29:F$606,""))/COUNT(IF($M47=$B$29:$B$606,F$29:F$606,"")))</f>
        <v>0.81029621401614649</v>
      </c>
      <c r="R47" s="417">
        <f t="array" ref="R47">IF(COUNT(IF($M47=$B$29:$B$606,G$29:G$606,""))=0,"",SUM(IF($M47=$B$29:$B$606,G$29:G$606,""))/COUNT(IF($M47=$B$29:$B$606,G$29:G$606,"")))</f>
        <v>1.6817200236458867</v>
      </c>
      <c r="S47" s="417">
        <f t="array" ref="S47">IF(COUNT(IF($M47=$B$29:$B$606,H$29:H$606,""))=0,"",SUM(IF($M47=$B$29:$B$606,H$29:H$606,""))/COUNT(IF($M47=$B$29:$B$606,H$29:H$606,"")))</f>
        <v>2.4659783175870738</v>
      </c>
      <c r="T47" s="417">
        <f t="array" ref="T47">IF(COUNT(IF($M47=$B$29:$B$606,I$29:I$606,""))=0,"",MAX(IF($M47=$B$29:$B$606,I$29:I$606,"")))</f>
        <v>42.026627920665383</v>
      </c>
      <c r="U47" s="417">
        <f t="array" ref="U47">IF(COUNT(IF($M47=$B$29:$B$606,J$29:J$606,""))=0,"",MAX(IF($M47=$B$29:$B$606,J$29:J$606,"")))</f>
        <v>43.618670202814243</v>
      </c>
      <c r="V47" s="416">
        <f t="array" ref="V47">COUNT(IF(M47=$B$29:$B$606,$E$29:$E$606,""))</f>
        <v>7</v>
      </c>
      <c r="W47" s="137"/>
      <c r="X47" s="137"/>
      <c r="Y47" s="137"/>
      <c r="Z47" s="137"/>
      <c r="AA47" s="137"/>
      <c r="AB47" s="137"/>
      <c r="AC47" s="137"/>
      <c r="AD47" s="137"/>
      <c r="AE47" s="137"/>
      <c r="AF47" s="137"/>
      <c r="AG47" s="137"/>
      <c r="AH47" s="137"/>
      <c r="AI47" s="137"/>
      <c r="AJ47" s="137"/>
      <c r="AK47" s="137"/>
      <c r="AL47" s="137"/>
      <c r="AM47" s="137"/>
      <c r="AN47" s="137"/>
      <c r="AO47" s="137"/>
      <c r="AP47" s="137"/>
      <c r="AQ47" s="137"/>
    </row>
    <row r="48" spans="1:43">
      <c r="A48" s="407">
        <f>Input!B41</f>
        <v>38006</v>
      </c>
      <c r="B48" s="410">
        <f t="shared" si="6"/>
        <v>3</v>
      </c>
      <c r="C48" s="411">
        <f>IF(Input!I41&lt;=0,"",Input!I41)</f>
        <v>0.26804063791324378</v>
      </c>
      <c r="D48" s="412" t="str">
        <f>IF(G48="","",Input!Q41)</f>
        <v/>
      </c>
      <c r="E48" s="412" t="str">
        <f>IF(ISERROR(Input!AA41),"",Input!AA41)</f>
        <v/>
      </c>
      <c r="F48" s="412" t="str">
        <f>IF(E48="","",Input!AQ41)</f>
        <v/>
      </c>
      <c r="G48" s="413" t="str">
        <f t="shared" si="1"/>
        <v/>
      </c>
      <c r="H48" s="413" t="str">
        <f t="shared" si="2"/>
        <v/>
      </c>
      <c r="I48" s="414">
        <f t="shared" si="3"/>
        <v>0</v>
      </c>
      <c r="J48" s="414">
        <f t="shared" si="3"/>
        <v>0</v>
      </c>
      <c r="K48" s="137"/>
      <c r="L48" s="415">
        <f t="shared" si="4"/>
        <v>38126</v>
      </c>
      <c r="M48" s="416">
        <f t="shared" si="5"/>
        <v>20</v>
      </c>
      <c r="N48" s="417">
        <f t="array" ref="N48">IF(COUNT(IF($M48=$B$29:$B$606,C$29:C$606,""))=0,"",SUM(IF($M48=$B$29:$B$606,C$29:C$606,""))/COUNT(IF($M48=$B$29:$B$606,C$29:C$606,"")))</f>
        <v>2.6037386898113906</v>
      </c>
      <c r="O48" s="417">
        <f t="array" ref="O48">IF(COUNT(IF($M48=$B$29:$B$606,D$29:D$606,""))=0,"",SUM(IF($M48=$B$29:$B$606,D$29:D$606,""))/COUNT(IF($M48=$B$29:$B$606,D$29:D$606,"")))</f>
        <v>0.86936377123346342</v>
      </c>
      <c r="P48" s="417">
        <f t="array" ref="P48">IF(COUNT(IF($M48=$B$29:$B$606,E$29:E$606,""))=0,"",SUM(IF($M48=$B$29:$B$606,E$29:E$606,""))/COUNT(IF($M48=$B$29:$B$606,E$29:E$606,"")))</f>
        <v>0.86936377123346342</v>
      </c>
      <c r="Q48" s="417">
        <f t="array" ref="Q48">IF(COUNT(IF($M48=$B$29:$B$606,F$29:F$606,""))=0,"",SUM(IF($M48=$B$29:$B$606,F$29:F$606,""))/COUNT(IF($M48=$B$29:$B$606,F$29:F$606,"")))</f>
        <v>0.81112893241418715</v>
      </c>
      <c r="R48" s="417">
        <f t="array" ref="R48">IF(COUNT(IF($M48=$B$29:$B$606,G$29:G$606,""))=0,"",SUM(IF($M48=$B$29:$B$606,G$29:G$606,""))/COUNT(IF($M48=$B$29:$B$606,G$29:G$606,"")))</f>
        <v>2.2720188204435572</v>
      </c>
      <c r="S48" s="417">
        <f t="array" ref="S48">IF(COUNT(IF($M48=$B$29:$B$606,H$29:H$606,""))=0,"",SUM(IF($M48=$B$29:$B$606,H$29:H$606,""))/COUNT(IF($M48=$B$29:$B$606,H$29:H$606,"")))</f>
        <v>2.1116911116594181</v>
      </c>
      <c r="T48" s="417">
        <f t="array" ref="T48">IF(COUNT(IF($M48=$B$29:$B$606,I$29:I$606,""))=0,"",MAX(IF($M48=$B$29:$B$606,I$29:I$606,"")))</f>
        <v>57.930759663770282</v>
      </c>
      <c r="U48" s="417">
        <f t="array" ref="U48">IF(COUNT(IF($M48=$B$29:$B$606,J$29:J$606,""))=0,"",MAX(IF($M48=$B$29:$B$606,J$29:J$606,"")))</f>
        <v>58.400507984430178</v>
      </c>
      <c r="V48" s="416">
        <f t="array" ref="V48">COUNT(IF(M48=$B$29:$B$606,$E$29:$E$606,""))</f>
        <v>7</v>
      </c>
      <c r="W48" s="137"/>
      <c r="X48" s="137"/>
      <c r="Y48" s="137"/>
      <c r="Z48" s="137"/>
      <c r="AA48" s="137"/>
      <c r="AB48" s="137"/>
      <c r="AC48" s="137"/>
      <c r="AD48" s="137"/>
      <c r="AE48" s="137"/>
      <c r="AF48" s="137"/>
      <c r="AG48" s="137"/>
      <c r="AH48" s="137"/>
      <c r="AI48" s="137"/>
      <c r="AJ48" s="137"/>
      <c r="AK48" s="137"/>
      <c r="AL48" s="137"/>
      <c r="AM48" s="137"/>
      <c r="AN48" s="137"/>
      <c r="AO48" s="137"/>
      <c r="AP48" s="137"/>
      <c r="AQ48" s="137"/>
    </row>
    <row r="49" spans="1:43">
      <c r="A49" s="407">
        <f>Input!B42</f>
        <v>38007</v>
      </c>
      <c r="B49" s="410">
        <f t="shared" si="6"/>
        <v>3</v>
      </c>
      <c r="C49" s="411">
        <f>IF(Input!I42&lt;=0,"",Input!I42)</f>
        <v>0.28864348777884957</v>
      </c>
      <c r="D49" s="412" t="str">
        <f>IF(G49="","",Input!Q42)</f>
        <v/>
      </c>
      <c r="E49" s="412" t="str">
        <f>IF(ISERROR(Input!AA42),"",Input!AA42)</f>
        <v/>
      </c>
      <c r="F49" s="412" t="str">
        <f>IF(E49="","",Input!AQ42)</f>
        <v/>
      </c>
      <c r="G49" s="413" t="str">
        <f t="shared" si="1"/>
        <v/>
      </c>
      <c r="H49" s="413" t="str">
        <f t="shared" si="2"/>
        <v/>
      </c>
      <c r="I49" s="414">
        <f t="shared" si="3"/>
        <v>0</v>
      </c>
      <c r="J49" s="414">
        <f t="shared" si="3"/>
        <v>0</v>
      </c>
      <c r="K49" s="137"/>
      <c r="L49" s="415">
        <f t="shared" si="4"/>
        <v>38133</v>
      </c>
      <c r="M49" s="416">
        <f t="shared" si="5"/>
        <v>21</v>
      </c>
      <c r="N49" s="417">
        <f t="array" ref="N49">IF(COUNT(IF($M49=$B$29:$B$606,C$29:C$606,""))=0,"",SUM(IF($M49=$B$29:$B$606,C$29:C$606,""))/COUNT(IF($M49=$B$29:$B$606,C$29:C$606,"")))</f>
        <v>2.9316530284012323</v>
      </c>
      <c r="O49" s="417">
        <f t="array" ref="O49">IF(COUNT(IF($M49=$B$29:$B$606,D$29:D$606,""))=0,"",SUM(IF($M49=$B$29:$B$606,D$29:D$606,""))/COUNT(IF($M49=$B$29:$B$606,D$29:D$606,"")))</f>
        <v>0.48688189175433466</v>
      </c>
      <c r="P49" s="417">
        <f t="array" ref="P49">IF(COUNT(IF($M49=$B$29:$B$606,E$29:E$606,""))=0,"",SUM(IF($M49=$B$29:$B$606,E$29:E$606,""))/COUNT(IF($M49=$B$29:$B$606,E$29:E$606,"")))</f>
        <v>0.48688189175433466</v>
      </c>
      <c r="Q49" s="417">
        <f t="array" ref="Q49">IF(COUNT(IF($M49=$B$29:$B$606,F$29:F$606,""))=0,"",SUM(IF($M49=$B$29:$B$606,F$29:F$606,""))/COUNT(IF($M49=$B$29:$B$606,F$29:F$606,"")))</f>
        <v>0.83944135794756769</v>
      </c>
      <c r="R49" s="417">
        <f t="array" ref="R49">IF(COUNT(IF($M49=$B$29:$B$606,G$29:G$606,""))=0,"",SUM(IF($M49=$B$29:$B$606,G$29:G$606,""))/COUNT(IF($M49=$B$29:$B$606,G$29:G$606,"")))</f>
        <v>1.404474128980624</v>
      </c>
      <c r="S49" s="417">
        <f t="array" ref="S49">IF(COUNT(IF($M49=$B$29:$B$606,H$29:H$606,""))=0,"",SUM(IF($M49=$B$29:$B$606,H$29:H$606,""))/COUNT(IF($M49=$B$29:$B$606,H$29:H$606,"")))</f>
        <v>2.4656512592907829</v>
      </c>
      <c r="T49" s="417">
        <f t="array" ref="T49">IF(COUNT(IF($M49=$B$29:$B$606,I$29:I$606,""))=0,"",MAX(IF($M49=$B$29:$B$606,I$29:I$606,"")))</f>
        <v>67.762078566634656</v>
      </c>
      <c r="U49" s="417">
        <f t="array" ref="U49">IF(COUNT(IF($M49=$B$29:$B$606,J$29:J$606,""))=0,"",MAX(IF($M49=$B$29:$B$606,J$29:J$606,"")))</f>
        <v>75.660066799465667</v>
      </c>
      <c r="V49" s="416">
        <f t="array" ref="V49">COUNT(IF(M49=$B$29:$B$606,$E$29:$E$606,""))</f>
        <v>7</v>
      </c>
      <c r="W49" s="137"/>
      <c r="X49" s="137"/>
      <c r="Y49" s="137"/>
      <c r="Z49" s="137"/>
      <c r="AA49" s="137"/>
      <c r="AB49" s="137"/>
      <c r="AC49" s="137"/>
      <c r="AD49" s="137"/>
      <c r="AE49" s="137"/>
      <c r="AF49" s="137"/>
      <c r="AG49" s="137"/>
      <c r="AH49" s="137"/>
      <c r="AI49" s="137"/>
      <c r="AJ49" s="137"/>
      <c r="AK49" s="137"/>
      <c r="AL49" s="137"/>
      <c r="AM49" s="137"/>
      <c r="AN49" s="137"/>
      <c r="AO49" s="137"/>
      <c r="AP49" s="137"/>
      <c r="AQ49" s="137"/>
    </row>
    <row r="50" spans="1:43">
      <c r="A50" s="407">
        <f>Input!B43</f>
        <v>38008</v>
      </c>
      <c r="B50" s="410">
        <f t="shared" si="6"/>
        <v>4</v>
      </c>
      <c r="C50" s="411">
        <f>IF(Input!I43&lt;=0,"",Input!I43)</f>
        <v>0.24714464880057616</v>
      </c>
      <c r="D50" s="412" t="str">
        <f>IF(G50="","",Input!Q43)</f>
        <v/>
      </c>
      <c r="E50" s="412" t="str">
        <f>IF(ISERROR(Input!AA43),"",Input!AA43)</f>
        <v/>
      </c>
      <c r="F50" s="412" t="str">
        <f>IF(E50="","",Input!AQ43)</f>
        <v/>
      </c>
      <c r="G50" s="413" t="str">
        <f t="shared" si="1"/>
        <v/>
      </c>
      <c r="H50" s="413" t="str">
        <f t="shared" si="2"/>
        <v/>
      </c>
      <c r="I50" s="414">
        <f t="shared" si="3"/>
        <v>0</v>
      </c>
      <c r="J50" s="414">
        <f t="shared" si="3"/>
        <v>0</v>
      </c>
      <c r="K50" s="137"/>
      <c r="L50" s="415">
        <f t="shared" si="4"/>
        <v>38140</v>
      </c>
      <c r="M50" s="416">
        <f t="shared" si="5"/>
        <v>22</v>
      </c>
      <c r="N50" s="417">
        <f t="array" ref="N50">IF(COUNT(IF($M50=$B$29:$B$606,C$29:C$606,""))=0,"",SUM(IF($M50=$B$29:$B$606,C$29:C$606,""))/COUNT(IF($M50=$B$29:$B$606,C$29:C$606,"")))</f>
        <v>3.7248146158928175</v>
      </c>
      <c r="O50" s="417">
        <f t="array" ref="O50">IF(COUNT(IF($M50=$B$29:$B$606,D$29:D$606,""))=0,"",SUM(IF($M50=$B$29:$B$606,D$29:D$606,""))/COUNT(IF($M50=$B$29:$B$606,D$29:D$606,"")))</f>
        <v>0.35473733545257069</v>
      </c>
      <c r="P50" s="417">
        <f t="array" ref="P50">IF(COUNT(IF($M50=$B$29:$B$606,E$29:E$606,""))=0,"",SUM(IF($M50=$B$29:$B$606,E$29:E$606,""))/COUNT(IF($M50=$B$29:$B$606,E$29:E$606,"")))</f>
        <v>0.44513208582585617</v>
      </c>
      <c r="Q50" s="417">
        <f t="array" ref="Q50">IF(COUNT(IF($M50=$B$29:$B$606,F$29:F$606,""))=0,"",SUM(IF($M50=$B$29:$B$606,F$29:F$606,""))/COUNT(IF($M50=$B$29:$B$606,F$29:F$606,"")))</f>
        <v>0.88024455945155733</v>
      </c>
      <c r="R50" s="417">
        <f t="array" ref="R50">IF(COUNT(IF($M50=$B$29:$B$606,G$29:G$606,""))=0,"",SUM(IF($M50=$B$29:$B$606,G$29:G$606,""))/COUNT(IF($M50=$B$29:$B$606,G$29:G$606,"")))</f>
        <v>1.6715891417719893</v>
      </c>
      <c r="S50" s="417">
        <f t="array" ref="S50">IF(COUNT(IF($M50=$B$29:$B$606,H$29:H$606,""))=0,"",SUM(IF($M50=$B$29:$B$606,H$29:H$606,""))/COUNT(IF($M50=$B$29:$B$606,H$29:H$606,"")))</f>
        <v>3.2832287215800506</v>
      </c>
      <c r="T50" s="417">
        <f t="array" ref="T50">IF(COUNT(IF($M50=$B$29:$B$606,I$29:I$606,""))=0,"",MAX(IF($M50=$B$29:$B$606,I$29:I$606,"")))</f>
        <v>79.463202559038606</v>
      </c>
      <c r="U50" s="417">
        <f t="array" ref="U50">IF(COUNT(IF($M50=$B$29:$B$606,J$29:J$606,""))=0,"",MAX(IF($M50=$B$29:$B$606,J$29:J$606,"")))</f>
        <v>98.642667850526024</v>
      </c>
      <c r="V50" s="416">
        <f t="array" ref="V50">COUNT(IF(M50=$B$29:$B$606,$E$29:$E$606,""))</f>
        <v>7</v>
      </c>
      <c r="W50" s="137"/>
      <c r="X50" s="137"/>
      <c r="Y50" s="137"/>
      <c r="Z50" s="137"/>
      <c r="AA50" s="137"/>
      <c r="AB50" s="137"/>
      <c r="AC50" s="137"/>
      <c r="AD50" s="137"/>
      <c r="AE50" s="137"/>
      <c r="AF50" s="137"/>
      <c r="AG50" s="137"/>
      <c r="AH50" s="137"/>
      <c r="AI50" s="137"/>
      <c r="AJ50" s="137"/>
      <c r="AK50" s="137"/>
      <c r="AL50" s="137"/>
      <c r="AM50" s="137"/>
      <c r="AN50" s="137"/>
      <c r="AO50" s="137"/>
      <c r="AP50" s="137"/>
      <c r="AQ50" s="137"/>
    </row>
    <row r="51" spans="1:43">
      <c r="A51" s="407">
        <f>Input!B44</f>
        <v>38009</v>
      </c>
      <c r="B51" s="410">
        <f t="shared" si="6"/>
        <v>4</v>
      </c>
      <c r="C51" s="411">
        <f>IF(Input!I44&lt;=0,"",Input!I44)</f>
        <v>0.26637772951772098</v>
      </c>
      <c r="D51" s="412" t="str">
        <f>IF(G51="","",Input!Q44)</f>
        <v/>
      </c>
      <c r="E51" s="412" t="str">
        <f>IF(ISERROR(Input!AA44),"",Input!AA44)</f>
        <v/>
      </c>
      <c r="F51" s="412" t="str">
        <f>IF(E51="","",Input!AQ44)</f>
        <v/>
      </c>
      <c r="G51" s="413" t="str">
        <f t="shared" si="1"/>
        <v/>
      </c>
      <c r="H51" s="413" t="str">
        <f t="shared" si="2"/>
        <v/>
      </c>
      <c r="I51" s="414">
        <f t="shared" si="3"/>
        <v>0</v>
      </c>
      <c r="J51" s="414">
        <f t="shared" si="3"/>
        <v>0</v>
      </c>
      <c r="K51" s="137"/>
      <c r="L51" s="415">
        <f t="shared" si="4"/>
        <v>38147</v>
      </c>
      <c r="M51" s="416">
        <f t="shared" si="5"/>
        <v>23</v>
      </c>
      <c r="N51" s="417">
        <f t="array" ref="N51">IF(COUNT(IF($M51=$B$29:$B$606,C$29:C$606,""))=0,"",SUM(IF($M51=$B$29:$B$606,C$29:C$606,""))/COUNT(IF($M51=$B$29:$B$606,C$29:C$606,"")))</f>
        <v>4.1971515181780372</v>
      </c>
      <c r="O51" s="417">
        <f t="array" ref="O51">IF(COUNT(IF($M51=$B$29:$B$606,D$29:D$606,""))=0,"",SUM(IF($M51=$B$29:$B$606,D$29:D$606,""))/COUNT(IF($M51=$B$29:$B$606,D$29:D$606,"")))</f>
        <v>0.28222899391709139</v>
      </c>
      <c r="P51" s="417">
        <f t="array" ref="P51">IF(COUNT(IF($M51=$B$29:$B$606,E$29:E$606,""))=0,"",SUM(IF($M51=$B$29:$B$606,E$29:E$606,""))/COUNT(IF($M51=$B$29:$B$606,E$29:E$606,"")))</f>
        <v>0.58452380952380956</v>
      </c>
      <c r="Q51" s="417">
        <f t="array" ref="Q51">IF(COUNT(IF($M51=$B$29:$B$606,F$29:F$606,""))=0,"",SUM(IF($M51=$B$29:$B$606,F$29:F$606,""))/COUNT(IF($M51=$B$29:$B$606,F$29:F$606,"")))</f>
        <v>0.92104776095554663</v>
      </c>
      <c r="R51" s="417">
        <f t="array" ref="R51">IF(COUNT(IF($M51=$B$29:$B$606,G$29:G$606,""))=0,"",SUM(IF($M51=$B$29:$B$606,G$29:G$606,""))/COUNT(IF($M51=$B$29:$B$606,G$29:G$606,"")))</f>
        <v>2.4529425328523091</v>
      </c>
      <c r="S51" s="417">
        <f t="array" ref="S51">IF(COUNT(IF($M51=$B$29:$B$606,H$29:H$606,""))=0,"",SUM(IF($M51=$B$29:$B$606,H$29:H$606,""))/COUNT(IF($M51=$B$29:$B$606,H$29:H$606,"")))</f>
        <v>3.8656639703697642</v>
      </c>
      <c r="T51" s="417">
        <f t="array" ref="T51">IF(COUNT(IF($M51=$B$29:$B$606,I$29:I$606,""))=0,"",MAX(IF($M51=$B$29:$B$606,I$29:I$606,"")))</f>
        <v>96.633800289004768</v>
      </c>
      <c r="U51" s="417">
        <f t="array" ref="U51">IF(COUNT(IF($M51=$B$29:$B$606,J$29:J$606,""))=0,"",MAX(IF($M51=$B$29:$B$606,J$29:J$606,"")))</f>
        <v>125.70231564311437</v>
      </c>
      <c r="V51" s="416">
        <f t="array" ref="V51">COUNT(IF(M51=$B$29:$B$606,$E$29:$E$606,""))</f>
        <v>7</v>
      </c>
      <c r="W51" s="137"/>
      <c r="X51" s="137"/>
      <c r="Y51" s="137"/>
      <c r="Z51" s="137"/>
      <c r="AA51" s="137"/>
      <c r="AB51" s="137"/>
      <c r="AC51" s="137"/>
      <c r="AD51" s="137"/>
      <c r="AE51" s="137"/>
      <c r="AF51" s="137"/>
      <c r="AG51" s="137"/>
      <c r="AH51" s="137"/>
      <c r="AI51" s="137"/>
      <c r="AJ51" s="137"/>
      <c r="AK51" s="137"/>
      <c r="AL51" s="137"/>
      <c r="AM51" s="137"/>
      <c r="AN51" s="137"/>
      <c r="AO51" s="137"/>
      <c r="AP51" s="137"/>
      <c r="AQ51" s="137"/>
    </row>
    <row r="52" spans="1:43">
      <c r="A52" s="407">
        <f>Input!B45</f>
        <v>38010</v>
      </c>
      <c r="B52" s="410">
        <f t="shared" si="6"/>
        <v>4</v>
      </c>
      <c r="C52" s="411">
        <f>IF(Input!I45&lt;=0,"",Input!I45)</f>
        <v>0.29309055308982468</v>
      </c>
      <c r="D52" s="412" t="str">
        <f>IF(G52="","",Input!Q45)</f>
        <v/>
      </c>
      <c r="E52" s="412" t="str">
        <f>IF(ISERROR(Input!AA45),"",Input!AA45)</f>
        <v/>
      </c>
      <c r="F52" s="412" t="str">
        <f>IF(E52="","",Input!AQ45)</f>
        <v/>
      </c>
      <c r="G52" s="413" t="str">
        <f t="shared" si="1"/>
        <v/>
      </c>
      <c r="H52" s="413" t="str">
        <f t="shared" si="2"/>
        <v/>
      </c>
      <c r="I52" s="414">
        <f t="shared" si="3"/>
        <v>0</v>
      </c>
      <c r="J52" s="414">
        <f t="shared" si="3"/>
        <v>0</v>
      </c>
      <c r="K52" s="137"/>
      <c r="L52" s="415">
        <f t="shared" si="4"/>
        <v>38154</v>
      </c>
      <c r="M52" s="416">
        <f t="shared" si="5"/>
        <v>24</v>
      </c>
      <c r="N52" s="417">
        <f t="array" ref="N52">IF(COUNT(IF($M52=$B$29:$B$606,C$29:C$606,""))=0,"",SUM(IF($M52=$B$29:$B$606,C$29:C$606,""))/COUNT(IF($M52=$B$29:$B$606,C$29:C$606,"")))</f>
        <v>3.9398840140568221</v>
      </c>
      <c r="O52" s="417">
        <f t="array" ref="O52">IF(COUNT(IF($M52=$B$29:$B$606,D$29:D$606,""))=0,"",SUM(IF($M52=$B$29:$B$606,D$29:D$606,""))/COUNT(IF($M52=$B$29:$B$606,D$29:D$606,"")))</f>
        <v>0.24075750635802309</v>
      </c>
      <c r="P52" s="417">
        <f t="array" ref="P52">IF(COUNT(IF($M52=$B$29:$B$606,E$29:E$606,""))=0,"",SUM(IF($M52=$B$29:$B$606,E$29:E$606,""))/COUNT(IF($M52=$B$29:$B$606,E$29:E$606,"")))</f>
        <v>0.72619047619047639</v>
      </c>
      <c r="Q52" s="417">
        <f t="array" ref="Q52">IF(COUNT(IF($M52=$B$29:$B$606,F$29:F$606,""))=0,"",SUM(IF($M52=$B$29:$B$606,F$29:F$606,""))/COUNT(IF($M52=$B$29:$B$606,F$29:F$606,"")))</f>
        <v>0.96185096245953616</v>
      </c>
      <c r="R52" s="417">
        <f t="array" ref="R52">IF(COUNT(IF($M52=$B$29:$B$606,G$29:G$606,""))=0,"",SUM(IF($M52=$B$29:$B$606,G$29:G$606,""))/COUNT(IF($M52=$B$29:$B$606,G$29:G$606,"")))</f>
        <v>2.8476937539962486</v>
      </c>
      <c r="S52" s="417">
        <f t="array" ref="S52">IF(COUNT(IF($M52=$B$29:$B$606,H$29:H$606,""))=0,"",SUM(IF($M52=$B$29:$B$606,H$29:H$606,""))/COUNT(IF($M52=$B$29:$B$606,H$29:H$606,"")))</f>
        <v>3.7857181294321323</v>
      </c>
      <c r="T52" s="417">
        <f t="array" ref="T52">IF(COUNT(IF($M52=$B$29:$B$606,I$29:I$606,""))=0,"",MAX(IF($M52=$B$29:$B$606,I$29:I$606,"")))</f>
        <v>116.5676565669785</v>
      </c>
      <c r="U52" s="417">
        <f t="array" ref="U52">IF(COUNT(IF($M52=$B$29:$B$606,J$29:J$606,""))=0,"",MAX(IF($M52=$B$29:$B$606,J$29:J$606,"")))</f>
        <v>152.20234254913933</v>
      </c>
      <c r="V52" s="416">
        <f t="array" ref="V52">COUNT(IF(M52=$B$29:$B$606,$E$29:$E$606,""))</f>
        <v>7</v>
      </c>
      <c r="W52" s="137"/>
      <c r="X52" s="137"/>
      <c r="Y52" s="137"/>
      <c r="Z52" s="137"/>
      <c r="AA52" s="137"/>
      <c r="AB52" s="137"/>
      <c r="AC52" s="137"/>
      <c r="AD52" s="137"/>
      <c r="AE52" s="137"/>
      <c r="AF52" s="137"/>
      <c r="AG52" s="137"/>
      <c r="AH52" s="137"/>
      <c r="AI52" s="137"/>
      <c r="AJ52" s="137"/>
      <c r="AK52" s="137"/>
      <c r="AL52" s="137"/>
      <c r="AM52" s="137"/>
      <c r="AN52" s="137"/>
      <c r="AO52" s="137"/>
      <c r="AP52" s="137"/>
      <c r="AQ52" s="137"/>
    </row>
    <row r="53" spans="1:43">
      <c r="A53" s="407">
        <f>Input!B46</f>
        <v>38011</v>
      </c>
      <c r="B53" s="410">
        <f t="shared" si="6"/>
        <v>4</v>
      </c>
      <c r="C53" s="411">
        <f>IF(Input!I46&lt;=0,"",Input!I46)</f>
        <v>0.31307647208209932</v>
      </c>
      <c r="D53" s="412" t="str">
        <f>IF(G53="","",Input!Q46)</f>
        <v/>
      </c>
      <c r="E53" s="412" t="str">
        <f>IF(ISERROR(Input!AA46),"",Input!AA46)</f>
        <v/>
      </c>
      <c r="F53" s="412" t="str">
        <f>IF(E53="","",Input!AQ46)</f>
        <v/>
      </c>
      <c r="G53" s="413" t="str">
        <f t="shared" si="1"/>
        <v/>
      </c>
      <c r="H53" s="413" t="str">
        <f t="shared" si="2"/>
        <v/>
      </c>
      <c r="I53" s="414">
        <f t="shared" si="3"/>
        <v>0</v>
      </c>
      <c r="J53" s="414">
        <f t="shared" si="3"/>
        <v>0</v>
      </c>
      <c r="K53" s="137"/>
      <c r="L53" s="415">
        <f t="shared" si="4"/>
        <v>38161</v>
      </c>
      <c r="M53" s="416">
        <f t="shared" si="5"/>
        <v>25</v>
      </c>
      <c r="N53" s="417">
        <f t="array" ref="N53">IF(COUNT(IF($M53=$B$29:$B$606,C$29:C$606,""))=0,"",SUM(IF($M53=$B$29:$B$606,C$29:C$606,""))/COUNT(IF($M53=$B$29:$B$606,C$29:C$606,"")))</f>
        <v>4.3991346893713414</v>
      </c>
      <c r="O53" s="417">
        <f t="array" ref="O53">IF(COUNT(IF($M53=$B$29:$B$606,D$29:D$606,""))=0,"",SUM(IF($M53=$B$29:$B$606,D$29:D$606,""))/COUNT(IF($M53=$B$29:$B$606,D$29:D$606,"")))</f>
        <v>0.2140862806097974</v>
      </c>
      <c r="P53" s="417">
        <f t="array" ref="P53">IF(COUNT(IF($M53=$B$29:$B$606,E$29:E$606,""))=0,"",SUM(IF($M53=$B$29:$B$606,E$29:E$606,""))/COUNT(IF($M53=$B$29:$B$606,E$29:E$606,"")))</f>
        <v>0.91241496598639493</v>
      </c>
      <c r="Q53" s="417">
        <f t="array" ref="Q53">IF(COUNT(IF($M53=$B$29:$B$606,F$29:F$606,""))=0,"",SUM(IF($M53=$B$29:$B$606,F$29:F$606,""))/COUNT(IF($M53=$B$29:$B$606,F$29:F$606,"")))</f>
        <v>1.0026541639635256</v>
      </c>
      <c r="R53" s="417">
        <f t="array" ref="R53">IF(COUNT(IF($M53=$B$29:$B$606,G$29:G$606,""))=0,"",SUM(IF($M53=$B$29:$B$606,G$29:G$606,""))/COUNT(IF($M53=$B$29:$B$606,G$29:G$606,"")))</f>
        <v>4.0436095439605069</v>
      </c>
      <c r="S53" s="417">
        <f t="array" ref="S53">IF(COUNT(IF($M53=$B$29:$B$606,H$29:H$606,""))=0,"",SUM(IF($M53=$B$29:$B$606,H$29:H$606,""))/COUNT(IF($M53=$B$29:$B$606,H$29:H$606,"")))</f>
        <v>4.4140428000275449</v>
      </c>
      <c r="T53" s="417">
        <f t="array" ref="T53">IF(COUNT(IF($M53=$B$29:$B$606,I$29:I$606,""))=0,"",MAX(IF($M53=$B$29:$B$606,I$29:I$606,"")))</f>
        <v>144.87292337470205</v>
      </c>
      <c r="U53" s="417">
        <f t="array" ref="U53">IF(COUNT(IF($M53=$B$29:$B$606,J$29:J$606,""))=0,"",MAX(IF($M53=$B$29:$B$606,J$29:J$606,"")))</f>
        <v>183.10064214933215</v>
      </c>
      <c r="V53" s="416">
        <f t="array" ref="V53">COUNT(IF(M53=$B$29:$B$606,$E$29:$E$606,""))</f>
        <v>7</v>
      </c>
      <c r="W53" s="137"/>
      <c r="X53" s="137"/>
      <c r="Y53" s="137"/>
      <c r="Z53" s="137"/>
      <c r="AA53" s="137"/>
      <c r="AB53" s="137"/>
      <c r="AC53" s="137"/>
      <c r="AD53" s="137"/>
      <c r="AE53" s="137"/>
      <c r="AF53" s="137"/>
      <c r="AG53" s="137"/>
      <c r="AH53" s="137"/>
      <c r="AI53" s="137"/>
      <c r="AJ53" s="137"/>
      <c r="AK53" s="137"/>
      <c r="AL53" s="137"/>
      <c r="AM53" s="137"/>
      <c r="AN53" s="137"/>
      <c r="AO53" s="137"/>
      <c r="AP53" s="137"/>
      <c r="AQ53" s="137"/>
    </row>
    <row r="54" spans="1:43">
      <c r="A54" s="407">
        <f>Input!B47</f>
        <v>38012</v>
      </c>
      <c r="B54" s="410">
        <f t="shared" si="6"/>
        <v>4</v>
      </c>
      <c r="C54" s="411">
        <f>IF(Input!I47&lt;=0,"",Input!I47)</f>
        <v>0.23124500724166852</v>
      </c>
      <c r="D54" s="412" t="str">
        <f>IF(G54="","",Input!Q47)</f>
        <v/>
      </c>
      <c r="E54" s="412" t="str">
        <f>IF(ISERROR(Input!AA47),"",Input!AA47)</f>
        <v/>
      </c>
      <c r="F54" s="412" t="str">
        <f>IF(E54="","",Input!AQ47)</f>
        <v/>
      </c>
      <c r="G54" s="413" t="str">
        <f t="shared" si="1"/>
        <v/>
      </c>
      <c r="H54" s="413" t="str">
        <f t="shared" si="2"/>
        <v/>
      </c>
      <c r="I54" s="414">
        <f t="shared" si="3"/>
        <v>0</v>
      </c>
      <c r="J54" s="414">
        <f t="shared" si="3"/>
        <v>0</v>
      </c>
      <c r="K54" s="137"/>
      <c r="L54" s="415">
        <f t="shared" si="4"/>
        <v>38168</v>
      </c>
      <c r="M54" s="416">
        <f t="shared" si="5"/>
        <v>26</v>
      </c>
      <c r="N54" s="417">
        <f t="array" ref="N54">IF(COUNT(IF($M54=$B$29:$B$606,C$29:C$606,""))=0,"",SUM(IF($M54=$B$29:$B$606,C$29:C$606,""))/COUNT(IF($M54=$B$29:$B$606,C$29:C$606,"")))</f>
        <v>4.4194524109615916</v>
      </c>
      <c r="O54" s="417">
        <f t="array" ref="O54">IF(COUNT(IF($M54=$B$29:$B$606,D$29:D$606,""))=0,"",SUM(IF($M54=$B$29:$B$606,D$29:D$606,""))/COUNT(IF($M54=$B$29:$B$606,D$29:D$606,"")))</f>
        <v>0.19289890217663089</v>
      </c>
      <c r="P54" s="417">
        <f t="array" ref="P54">IF(COUNT(IF($M54=$B$29:$B$606,E$29:E$606,""))=0,"",SUM(IF($M54=$B$29:$B$606,E$29:E$606,""))/COUNT(IF($M54=$B$29:$B$606,E$29:E$606,"")))</f>
        <v>1.0066326530612253</v>
      </c>
      <c r="Q54" s="417">
        <f t="array" ref="Q54">IF(COUNT(IF($M54=$B$29:$B$606,F$29:F$606,""))=0,"",SUM(IF($M54=$B$29:$B$606,F$29:F$606,""))/COUNT(IF($M54=$B$29:$B$606,F$29:F$606,"")))</f>
        <v>1.0426246470694738</v>
      </c>
      <c r="R54" s="417">
        <f t="array" ref="R54">IF(COUNT(IF($M54=$B$29:$B$606,G$29:G$606,""))=0,"",SUM(IF($M54=$B$29:$B$606,G$29:G$606,""))/COUNT(IF($M54=$B$29:$B$606,G$29:G$606,"")))</f>
        <v>4.4580552021187456</v>
      </c>
      <c r="S54" s="417">
        <f t="array" ref="S54">IF(COUNT(IF($M54=$B$29:$B$606,H$29:H$606,""))=0,"",SUM(IF($M54=$B$29:$B$606,H$29:H$606,""))/COUNT(IF($M54=$B$29:$B$606,H$29:H$606,"")))</f>
        <v>4.6105057679839385</v>
      </c>
      <c r="T54" s="417">
        <f t="array" ref="T54">IF(COUNT(IF($M54=$B$29:$B$606,I$29:I$606,""))=0,"",MAX(IF($M54=$B$29:$B$606,I$29:I$606,"")))</f>
        <v>176.07930978953331</v>
      </c>
      <c r="U54" s="417">
        <f t="array" ref="U54">IF(COUNT(IF($M54=$B$29:$B$606,J$29:J$606,""))=0,"",MAX(IF($M54=$B$29:$B$606,J$29:J$606,"")))</f>
        <v>215.37418252521974</v>
      </c>
      <c r="V54" s="416">
        <f t="array" ref="V54">COUNT(IF(M54=$B$29:$B$606,$E$29:$E$606,""))</f>
        <v>7</v>
      </c>
      <c r="W54" s="137"/>
      <c r="X54" s="137"/>
      <c r="Y54" s="137"/>
      <c r="Z54" s="137"/>
      <c r="AA54" s="137"/>
      <c r="AB54" s="137"/>
      <c r="AC54" s="137"/>
      <c r="AD54" s="137"/>
      <c r="AE54" s="137"/>
      <c r="AF54" s="137"/>
      <c r="AG54" s="137"/>
      <c r="AH54" s="137"/>
      <c r="AI54" s="137"/>
      <c r="AJ54" s="137"/>
      <c r="AK54" s="137"/>
      <c r="AL54" s="137"/>
      <c r="AM54" s="137"/>
      <c r="AN54" s="137"/>
      <c r="AO54" s="137"/>
      <c r="AP54" s="137"/>
      <c r="AQ54" s="137"/>
    </row>
    <row r="55" spans="1:43">
      <c r="A55" s="407">
        <f>Input!B48</f>
        <v>38013</v>
      </c>
      <c r="B55" s="410">
        <f t="shared" si="6"/>
        <v>4</v>
      </c>
      <c r="C55" s="411">
        <f>IF(Input!I48&lt;=0,"",Input!I48)</f>
        <v>0.2718053562480085</v>
      </c>
      <c r="D55" s="412" t="str">
        <f>IF(G55="","",Input!Q48)</f>
        <v/>
      </c>
      <c r="E55" s="412" t="str">
        <f>IF(ISERROR(Input!AA48),"",Input!AA48)</f>
        <v/>
      </c>
      <c r="F55" s="412" t="str">
        <f>IF(E55="","",Input!AQ48)</f>
        <v/>
      </c>
      <c r="G55" s="413" t="str">
        <f t="shared" si="1"/>
        <v/>
      </c>
      <c r="H55" s="413" t="str">
        <f t="shared" si="2"/>
        <v/>
      </c>
      <c r="I55" s="414">
        <f t="shared" si="3"/>
        <v>0</v>
      </c>
      <c r="J55" s="414">
        <f t="shared" si="3"/>
        <v>0</v>
      </c>
      <c r="K55" s="137"/>
      <c r="L55" s="415">
        <f t="shared" si="4"/>
        <v>38175</v>
      </c>
      <c r="M55" s="416">
        <f t="shared" si="5"/>
        <v>27</v>
      </c>
      <c r="N55" s="417">
        <f t="array" ref="N55">IF(COUNT(IF($M55=$B$29:$B$606,C$29:C$606,""))=0,"",SUM(IF($M55=$B$29:$B$606,C$29:C$606,""))/COUNT(IF($M55=$B$29:$B$606,C$29:C$606,"")))</f>
        <v>4.6285716401491142</v>
      </c>
      <c r="O55" s="417">
        <f t="array" ref="O55">IF(COUNT(IF($M55=$B$29:$B$606,D$29:D$606,""))=0,"",SUM(IF($M55=$B$29:$B$606,D$29:D$606,""))/COUNT(IF($M55=$B$29:$B$606,D$29:D$606,"")))</f>
        <v>0.43319771780387012</v>
      </c>
      <c r="P55" s="417">
        <f t="array" ref="P55">IF(COUNT(IF($M55=$B$29:$B$606,E$29:E$606,""))=0,"",SUM(IF($M55=$B$29:$B$606,E$29:E$606,""))/COUNT(IF($M55=$B$29:$B$606,E$29:E$606,"")))</f>
        <v>1.0714285714285721</v>
      </c>
      <c r="Q55" s="417">
        <f t="array" ref="Q55">IF(COUNT(IF($M55=$B$29:$B$606,F$29:F$606,""))=0,"",SUM(IF($M55=$B$29:$B$606,F$29:F$606,""))/COUNT(IF($M55=$B$29:$B$606,F$29:F$606,"")))</f>
        <v>1.0551154230400821</v>
      </c>
      <c r="R55" s="417">
        <f t="array" ref="R55">IF(COUNT(IF($M55=$B$29:$B$606,G$29:G$606,""))=0,"",SUM(IF($M55=$B$29:$B$606,G$29:G$606,""))/COUNT(IF($M55=$B$29:$B$606,G$29:G$606,"")))</f>
        <v>4.9315520731830844</v>
      </c>
      <c r="S55" s="417">
        <f t="array" ref="S55">IF(COUNT(IF($M55=$B$29:$B$606,H$29:H$606,""))=0,"",SUM(IF($M55=$B$29:$B$606,H$29:H$606,""))/COUNT(IF($M55=$B$29:$B$606,H$29:H$606,"")))</f>
        <v>4.8836773241672589</v>
      </c>
      <c r="T55" s="417">
        <f t="array" ref="T55">IF(COUNT(IF($M55=$B$29:$B$606,I$29:I$606,""))=0,"",MAX(IF($M55=$B$29:$B$606,I$29:I$606,"")))</f>
        <v>210.60017430181489</v>
      </c>
      <c r="U55" s="417">
        <f t="array" ref="U55">IF(COUNT(IF($M55=$B$29:$B$606,J$29:J$606,""))=0,"",MAX(IF($M55=$B$29:$B$606,J$29:J$606,"")))</f>
        <v>249.55992379439053</v>
      </c>
      <c r="V55" s="416">
        <f t="array" ref="V55">COUNT(IF(M55=$B$29:$B$606,$E$29:$E$606,""))</f>
        <v>7</v>
      </c>
      <c r="W55" s="137"/>
      <c r="X55" s="137"/>
      <c r="Y55" s="137"/>
      <c r="Z55" s="137"/>
      <c r="AA55" s="137"/>
      <c r="AB55" s="137"/>
      <c r="AC55" s="137"/>
      <c r="AD55" s="137"/>
      <c r="AE55" s="137"/>
      <c r="AF55" s="137"/>
      <c r="AG55" s="137"/>
      <c r="AH55" s="137"/>
      <c r="AI55" s="137"/>
      <c r="AJ55" s="137"/>
      <c r="AK55" s="137"/>
      <c r="AL55" s="137"/>
      <c r="AM55" s="137"/>
      <c r="AN55" s="137"/>
      <c r="AO55" s="137"/>
      <c r="AP55" s="137"/>
      <c r="AQ55" s="137"/>
    </row>
    <row r="56" spans="1:43">
      <c r="A56" s="407">
        <f>Input!B49</f>
        <v>38014</v>
      </c>
      <c r="B56" s="410">
        <f t="shared" si="6"/>
        <v>4</v>
      </c>
      <c r="C56" s="411">
        <f>IF(Input!I49&lt;=0,"",Input!I49)</f>
        <v>0.3157483417393101</v>
      </c>
      <c r="D56" s="412" t="str">
        <f>IF(G56="","",Input!Q49)</f>
        <v/>
      </c>
      <c r="E56" s="412" t="str">
        <f>IF(ISERROR(Input!AA49),"",Input!AA49)</f>
        <v/>
      </c>
      <c r="F56" s="412" t="str">
        <f>IF(E56="","",Input!AQ49)</f>
        <v/>
      </c>
      <c r="G56" s="413" t="str">
        <f t="shared" si="1"/>
        <v/>
      </c>
      <c r="H56" s="413" t="str">
        <f t="shared" si="2"/>
        <v/>
      </c>
      <c r="I56" s="414">
        <f t="shared" si="3"/>
        <v>0</v>
      </c>
      <c r="J56" s="414">
        <f t="shared" si="3"/>
        <v>0</v>
      </c>
      <c r="K56" s="137"/>
      <c r="L56" s="415">
        <f t="shared" si="4"/>
        <v>38182</v>
      </c>
      <c r="M56" s="416">
        <f t="shared" si="5"/>
        <v>28</v>
      </c>
      <c r="N56" s="417">
        <f t="array" ref="N56">IF(COUNT(IF($M56=$B$29:$B$606,C$29:C$606,""))=0,"",SUM(IF($M56=$B$29:$B$606,C$29:C$606,""))/COUNT(IF($M56=$B$29:$B$606,C$29:C$606,"")))</f>
        <v>4.5921159188339784</v>
      </c>
      <c r="O56" s="417">
        <f t="array" ref="O56">IF(COUNT(IF($M56=$B$29:$B$606,D$29:D$606,""))=0,"",SUM(IF($M56=$B$29:$B$606,D$29:D$606,""))/COUNT(IF($M56=$B$29:$B$606,D$29:D$606,"")))</f>
        <v>0.53334187284878276</v>
      </c>
      <c r="P56" s="417">
        <f t="array" ref="P56">IF(COUNT(IF($M56=$B$29:$B$606,E$29:E$606,""))=0,"",SUM(IF($M56=$B$29:$B$606,E$29:E$606,""))/COUNT(IF($M56=$B$29:$B$606,E$29:E$606,"")))</f>
        <v>1.0500000000000007</v>
      </c>
      <c r="Q56" s="417">
        <f t="array" ref="Q56">IF(COUNT(IF($M56=$B$29:$B$606,F$29:F$606,""))=0,"",SUM(IF($M56=$B$29:$B$606,F$29:F$606,""))/COUNT(IF($M56=$B$29:$B$606,F$29:F$606,"")))</f>
        <v>1.0551154230400821</v>
      </c>
      <c r="R56" s="417">
        <f t="array" ref="R56">IF(COUNT(IF($M56=$B$29:$B$606,G$29:G$606,""))=0,"",SUM(IF($M56=$B$29:$B$606,G$29:G$606,""))/COUNT(IF($M56=$B$29:$B$606,G$29:G$606,"")))</f>
        <v>4.8217217147756815</v>
      </c>
      <c r="S56" s="417">
        <f t="array" ref="S56">IF(COUNT(IF($M56=$B$29:$B$606,H$29:H$606,""))=0,"",SUM(IF($M56=$B$29:$B$606,H$29:H$606,""))/COUNT(IF($M56=$B$29:$B$606,H$29:H$606,"")))</f>
        <v>4.84521233034961</v>
      </c>
      <c r="T56" s="417">
        <f t="array" ref="T56">IF(COUNT(IF($M56=$B$29:$B$606,I$29:I$606,""))=0,"",MAX(IF($M56=$B$29:$B$606,I$29:I$606,"")))</f>
        <v>244.35222630524467</v>
      </c>
      <c r="U56" s="417">
        <f t="array" ref="U56">IF(COUNT(IF($M56=$B$29:$B$606,J$29:J$606,""))=0,"",MAX(IF($M56=$B$29:$B$606,J$29:J$606,"")))</f>
        <v>283.4764101068377</v>
      </c>
      <c r="V56" s="416">
        <f t="array" ref="V56">COUNT(IF(M56=$B$29:$B$606,$E$29:$E$606,""))</f>
        <v>7</v>
      </c>
      <c r="W56" s="137"/>
      <c r="X56" s="137"/>
      <c r="Y56" s="137"/>
      <c r="Z56" s="137"/>
      <c r="AA56" s="137"/>
      <c r="AB56" s="137"/>
      <c r="AC56" s="137"/>
      <c r="AD56" s="137"/>
      <c r="AE56" s="137"/>
      <c r="AF56" s="137"/>
      <c r="AG56" s="137"/>
      <c r="AH56" s="137"/>
      <c r="AI56" s="137"/>
      <c r="AJ56" s="137"/>
      <c r="AK56" s="137"/>
      <c r="AL56" s="137"/>
      <c r="AM56" s="137"/>
      <c r="AN56" s="137"/>
      <c r="AO56" s="137"/>
      <c r="AP56" s="137"/>
      <c r="AQ56" s="137"/>
    </row>
    <row r="57" spans="1:43">
      <c r="A57" s="407">
        <f>Input!B50</f>
        <v>38015</v>
      </c>
      <c r="B57" s="410">
        <f t="shared" si="6"/>
        <v>5</v>
      </c>
      <c r="C57" s="411">
        <f>IF(Input!I50&lt;=0,"",Input!I50)</f>
        <v>0.7281902108347631</v>
      </c>
      <c r="D57" s="412" t="str">
        <f>IF(G57="","",Input!Q50)</f>
        <v/>
      </c>
      <c r="E57" s="412" t="str">
        <f>IF(ISERROR(Input!AA50),"",Input!AA50)</f>
        <v/>
      </c>
      <c r="F57" s="412" t="str">
        <f>IF(E57="","",Input!AQ50)</f>
        <v/>
      </c>
      <c r="G57" s="413" t="str">
        <f t="shared" si="1"/>
        <v/>
      </c>
      <c r="H57" s="413" t="str">
        <f t="shared" si="2"/>
        <v/>
      </c>
      <c r="I57" s="414">
        <f t="shared" si="3"/>
        <v>0</v>
      </c>
      <c r="J57" s="414">
        <f t="shared" si="3"/>
        <v>0</v>
      </c>
      <c r="K57" s="137"/>
      <c r="L57" s="415">
        <f t="shared" si="4"/>
        <v>38189</v>
      </c>
      <c r="M57" s="416">
        <f t="shared" si="5"/>
        <v>29</v>
      </c>
      <c r="N57" s="417">
        <f t="array" ref="N57">IF(COUNT(IF($M57=$B$29:$B$606,C$29:C$606,""))=0,"",SUM(IF($M57=$B$29:$B$606,C$29:C$606,""))/COUNT(IF($M57=$B$29:$B$606,C$29:C$606,"")))</f>
        <v>4.5307748829129695</v>
      </c>
      <c r="O57" s="417">
        <f t="array" ref="O57">IF(COUNT(IF($M57=$B$29:$B$606,D$29:D$606,""))=0,"",SUM(IF($M57=$B$29:$B$606,D$29:D$606,""))/COUNT(IF($M57=$B$29:$B$606,D$29:D$606,"")))</f>
        <v>0.33877873972300909</v>
      </c>
      <c r="P57" s="417">
        <f t="array" ref="P57">IF(COUNT(IF($M57=$B$29:$B$606,E$29:E$606,""))=0,"",SUM(IF($M57=$B$29:$B$606,E$29:E$606,""))/COUNT(IF($M57=$B$29:$B$606,E$29:E$606,"")))</f>
        <v>1.0500000000000007</v>
      </c>
      <c r="Q57" s="417">
        <f t="array" ref="Q57">IF(COUNT(IF($M57=$B$29:$B$606,F$29:F$606,""))=0,"",SUM(IF($M57=$B$29:$B$606,F$29:F$606,""))/COUNT(IF($M57=$B$29:$B$606,F$29:F$606,"")))</f>
        <v>1.0551154230400821</v>
      </c>
      <c r="R57" s="417">
        <f t="array" ref="R57">IF(COUNT(IF($M57=$B$29:$B$606,G$29:G$606,""))=0,"",SUM(IF($M57=$B$29:$B$606,G$29:G$606,""))/COUNT(IF($M57=$B$29:$B$606,G$29:G$606,"")))</f>
        <v>4.7573136270586218</v>
      </c>
      <c r="S57" s="417">
        <f t="array" ref="S57">IF(COUNT(IF($M57=$B$29:$B$606,H$29:H$606,""))=0,"",SUM(IF($M57=$B$29:$B$606,H$29:H$606,""))/COUNT(IF($M57=$B$29:$B$606,H$29:H$606,"")))</f>
        <v>4.7804904572840963</v>
      </c>
      <c r="T57" s="417">
        <f t="array" ref="T57">IF(COUNT(IF($M57=$B$29:$B$606,I$29:I$606,""))=0,"",MAX(IF($M57=$B$29:$B$606,I$29:I$606,"")))</f>
        <v>277.65342169465504</v>
      </c>
      <c r="U57" s="417">
        <f t="array" ref="U57">IF(COUNT(IF($M57=$B$29:$B$606,J$29:J$606,""))=0,"",MAX(IF($M57=$B$29:$B$606,J$29:J$606,"")))</f>
        <v>316.93984330782638</v>
      </c>
      <c r="V57" s="416">
        <f t="array" ref="V57">COUNT(IF(M57=$B$29:$B$606,$E$29:$E$606,""))</f>
        <v>7</v>
      </c>
      <c r="W57" s="137"/>
      <c r="X57" s="137"/>
      <c r="Y57" s="137"/>
      <c r="Z57" s="137"/>
      <c r="AA57" s="137"/>
      <c r="AB57" s="137"/>
      <c r="AC57" s="137"/>
      <c r="AD57" s="137"/>
      <c r="AE57" s="137"/>
      <c r="AF57" s="137"/>
      <c r="AG57" s="137"/>
      <c r="AH57" s="137"/>
      <c r="AI57" s="137"/>
      <c r="AJ57" s="137"/>
      <c r="AK57" s="137"/>
      <c r="AL57" s="137"/>
      <c r="AM57" s="137"/>
      <c r="AN57" s="137"/>
      <c r="AO57" s="137"/>
      <c r="AP57" s="137"/>
      <c r="AQ57" s="137"/>
    </row>
    <row r="58" spans="1:43">
      <c r="A58" s="407">
        <f>Input!B51</f>
        <v>38016</v>
      </c>
      <c r="B58" s="410">
        <f t="shared" si="6"/>
        <v>5</v>
      </c>
      <c r="C58" s="411">
        <f>IF(Input!I51&lt;=0,"",Input!I51)</f>
        <v>0.52118754722097038</v>
      </c>
      <c r="D58" s="412" t="str">
        <f>IF(G58="","",Input!Q51)</f>
        <v/>
      </c>
      <c r="E58" s="412" t="str">
        <f>IF(ISERROR(Input!AA51),"",Input!AA51)</f>
        <v/>
      </c>
      <c r="F58" s="412" t="str">
        <f>IF(E58="","",Input!AQ51)</f>
        <v/>
      </c>
      <c r="G58" s="413" t="str">
        <f t="shared" si="1"/>
        <v/>
      </c>
      <c r="H58" s="413" t="str">
        <f t="shared" si="2"/>
        <v/>
      </c>
      <c r="I58" s="414">
        <f t="shared" si="3"/>
        <v>0</v>
      </c>
      <c r="J58" s="414">
        <f t="shared" si="3"/>
        <v>0</v>
      </c>
      <c r="K58" s="137"/>
      <c r="L58" s="415">
        <f t="shared" si="4"/>
        <v>38196</v>
      </c>
      <c r="M58" s="416">
        <f t="shared" si="5"/>
        <v>30</v>
      </c>
      <c r="N58" s="417">
        <f t="array" ref="N58">IF(COUNT(IF($M58=$B$29:$B$606,C$29:C$606,""))=0,"",SUM(IF($M58=$B$29:$B$606,C$29:C$606,""))/COUNT(IF($M58=$B$29:$B$606,C$29:C$606,"")))</f>
        <v>4.0814798989980741</v>
      </c>
      <c r="O58" s="417">
        <f t="array" ref="O58">IF(COUNT(IF($M58=$B$29:$B$606,D$29:D$606,""))=0,"",SUM(IF($M58=$B$29:$B$606,D$29:D$606,""))/COUNT(IF($M58=$B$29:$B$606,D$29:D$606,"")))</f>
        <v>0.27167740649124222</v>
      </c>
      <c r="P58" s="417">
        <f t="array" ref="P58">IF(COUNT(IF($M58=$B$29:$B$606,E$29:E$606,""))=0,"",SUM(IF($M58=$B$29:$B$606,E$29:E$606,""))/COUNT(IF($M58=$B$29:$B$606,E$29:E$606,"")))</f>
        <v>1.0714285714285721</v>
      </c>
      <c r="Q58" s="417">
        <f t="array" ref="Q58">IF(COUNT(IF($M58=$B$29:$B$606,F$29:F$606,""))=0,"",SUM(IF($M58=$B$29:$B$606,F$29:F$606,""))/COUNT(IF($M58=$B$29:$B$606,F$29:F$606,"")))</f>
        <v>1.0551154230400821</v>
      </c>
      <c r="R58" s="417">
        <f t="array" ref="R58">IF(COUNT(IF($M58=$B$29:$B$606,G$29:G$606,""))=0,"",SUM(IF($M58=$B$29:$B$606,G$29:G$606,""))/COUNT(IF($M58=$B$29:$B$606,G$29:G$606,"")))</f>
        <v>4.3731472011157448</v>
      </c>
      <c r="S58" s="417">
        <f t="array" ref="S58">IF(COUNT(IF($M58=$B$29:$B$606,H$29:H$606,""))=0,"",SUM(IF($M58=$B$29:$B$606,H$29:H$606,""))/COUNT(IF($M58=$B$29:$B$606,H$29:H$606,"")))</f>
        <v>4.3064323902609436</v>
      </c>
      <c r="T58" s="417">
        <f t="array" ref="T58">IF(COUNT(IF($M58=$B$29:$B$606,I$29:I$606,""))=0,"",MAX(IF($M58=$B$29:$B$606,I$29:I$606,"")))</f>
        <v>308.26545210246525</v>
      </c>
      <c r="U58" s="417">
        <f t="array" ref="U58">IF(COUNT(IF($M58=$B$29:$B$606,J$29:J$606,""))=0,"",MAX(IF($M58=$B$29:$B$606,J$29:J$606,"")))</f>
        <v>347.08487003965303</v>
      </c>
      <c r="V58" s="416">
        <f t="array" ref="V58">COUNT(IF(M58=$B$29:$B$606,$E$29:$E$606,""))</f>
        <v>7</v>
      </c>
      <c r="W58" s="137"/>
      <c r="X58" s="137"/>
      <c r="Y58" s="137"/>
      <c r="Z58" s="137"/>
      <c r="AA58" s="137"/>
      <c r="AB58" s="137"/>
      <c r="AC58" s="137"/>
      <c r="AD58" s="137"/>
      <c r="AE58" s="137"/>
      <c r="AF58" s="137"/>
      <c r="AG58" s="137"/>
      <c r="AH58" s="137"/>
      <c r="AI58" s="137"/>
      <c r="AJ58" s="137"/>
      <c r="AK58" s="137"/>
      <c r="AL58" s="137"/>
      <c r="AM58" s="137"/>
      <c r="AN58" s="137"/>
      <c r="AO58" s="137"/>
      <c r="AP58" s="137"/>
      <c r="AQ58" s="137"/>
    </row>
    <row r="59" spans="1:43">
      <c r="A59" s="407">
        <f>Input!B52</f>
        <v>38017</v>
      </c>
      <c r="B59" s="410">
        <f t="shared" si="6"/>
        <v>5</v>
      </c>
      <c r="C59" s="411">
        <f>IF(Input!I52&lt;=0,"",Input!I52)</f>
        <v>0.4462916169068708</v>
      </c>
      <c r="D59" s="412" t="str">
        <f>IF(G59="","",Input!Q52)</f>
        <v/>
      </c>
      <c r="E59" s="412" t="str">
        <f>IF(ISERROR(Input!AA52),"",Input!AA52)</f>
        <v/>
      </c>
      <c r="F59" s="412" t="str">
        <f>IF(E59="","",Input!AQ52)</f>
        <v/>
      </c>
      <c r="G59" s="413" t="str">
        <f t="shared" si="1"/>
        <v/>
      </c>
      <c r="H59" s="413" t="str">
        <f t="shared" si="2"/>
        <v/>
      </c>
      <c r="I59" s="414">
        <f t="shared" si="3"/>
        <v>0</v>
      </c>
      <c r="J59" s="414">
        <f t="shared" si="3"/>
        <v>0</v>
      </c>
      <c r="K59" s="137"/>
      <c r="L59" s="415">
        <f t="shared" si="4"/>
        <v>38203</v>
      </c>
      <c r="M59" s="416">
        <f t="shared" si="5"/>
        <v>31</v>
      </c>
      <c r="N59" s="417">
        <f t="array" ref="N59">IF(COUNT(IF($M59=$B$29:$B$606,C$29:C$606,""))=0,"",SUM(IF($M59=$B$29:$B$606,C$29:C$606,""))/COUNT(IF($M59=$B$29:$B$606,C$29:C$606,"")))</f>
        <v>4.0415768827901584</v>
      </c>
      <c r="O59" s="417">
        <f t="array" ref="O59">IF(COUNT(IF($M59=$B$29:$B$606,D$29:D$606,""))=0,"",SUM(IF($M59=$B$29:$B$606,D$29:D$606,""))/COUNT(IF($M59=$B$29:$B$606,D$29:D$606,"")))</f>
        <v>0.23450491622124567</v>
      </c>
      <c r="P59" s="417">
        <f t="array" ref="P59">IF(COUNT(IF($M59=$B$29:$B$606,E$29:E$606,""))=0,"",SUM(IF($M59=$B$29:$B$606,E$29:E$606,""))/COUNT(IF($M59=$B$29:$B$606,E$29:E$606,"")))</f>
        <v>1.0500000000000007</v>
      </c>
      <c r="Q59" s="417">
        <f t="array" ref="Q59">IF(COUNT(IF($M59=$B$29:$B$606,F$29:F$606,""))=0,"",SUM(IF($M59=$B$29:$B$606,F$29:F$606,""))/COUNT(IF($M59=$B$29:$B$606,F$29:F$606,"")))</f>
        <v>1.0551154230400821</v>
      </c>
      <c r="R59" s="417">
        <f t="array" ref="R59">IF(COUNT(IF($M59=$B$29:$B$606,G$29:G$606,""))=0,"",SUM(IF($M59=$B$29:$B$606,G$29:G$606,""))/COUNT(IF($M59=$B$29:$B$606,G$29:G$606,"")))</f>
        <v>4.2436557269296689</v>
      </c>
      <c r="S59" s="417">
        <f t="array" ref="S59">IF(COUNT(IF($M59=$B$29:$B$606,H$29:H$606,""))=0,"",SUM(IF($M59=$B$29:$B$606,H$29:H$606,""))/COUNT(IF($M59=$B$29:$B$606,H$29:H$606,"")))</f>
        <v>4.2643301024341538</v>
      </c>
      <c r="T59" s="417">
        <f t="array" ref="T59">IF(COUNT(IF($M59=$B$29:$B$606,I$29:I$606,""))=0,"",MAX(IF($M59=$B$29:$B$606,I$29:I$606,"")))</f>
        <v>337.97104219097298</v>
      </c>
      <c r="U59" s="417">
        <f t="array" ref="U59">IF(COUNT(IF($M59=$B$29:$B$606,J$29:J$606,""))=0,"",MAX(IF($M59=$B$29:$B$606,J$29:J$606,"")))</f>
        <v>376.93518075669215</v>
      </c>
      <c r="V59" s="416">
        <f t="array" ref="V59">COUNT(IF(M59=$B$29:$B$606,$E$29:$E$606,""))</f>
        <v>7</v>
      </c>
      <c r="W59" s="137"/>
      <c r="X59" s="137"/>
      <c r="Y59" s="137"/>
      <c r="Z59" s="137"/>
      <c r="AA59" s="137"/>
      <c r="AB59" s="137"/>
      <c r="AC59" s="137"/>
      <c r="AD59" s="137"/>
      <c r="AE59" s="137"/>
      <c r="AF59" s="137"/>
      <c r="AG59" s="137"/>
      <c r="AH59" s="137"/>
      <c r="AI59" s="137"/>
      <c r="AJ59" s="137"/>
      <c r="AK59" s="137"/>
      <c r="AL59" s="137"/>
      <c r="AM59" s="137"/>
      <c r="AN59" s="137"/>
      <c r="AO59" s="137"/>
      <c r="AP59" s="137"/>
      <c r="AQ59" s="137"/>
    </row>
    <row r="60" spans="1:43">
      <c r="A60" s="407">
        <f>Input!B53</f>
        <v>38018</v>
      </c>
      <c r="B60" s="410">
        <f t="shared" si="6"/>
        <v>5</v>
      </c>
      <c r="C60" s="411">
        <f>IF(Input!I53&lt;=0,"",Input!I53)</f>
        <v>0.34063662232689529</v>
      </c>
      <c r="D60" s="412" t="str">
        <f>IF(G60="","",Input!Q53)</f>
        <v/>
      </c>
      <c r="E60" s="412" t="str">
        <f>IF(ISERROR(Input!AA53),"",Input!AA53)</f>
        <v/>
      </c>
      <c r="F60" s="412" t="str">
        <f>IF(E60="","",Input!AQ53)</f>
        <v/>
      </c>
      <c r="G60" s="413" t="str">
        <f t="shared" si="1"/>
        <v/>
      </c>
      <c r="H60" s="413" t="str">
        <f t="shared" si="2"/>
        <v/>
      </c>
      <c r="I60" s="414">
        <f t="shared" si="3"/>
        <v>0</v>
      </c>
      <c r="J60" s="414">
        <f t="shared" si="3"/>
        <v>0</v>
      </c>
      <c r="K60" s="137"/>
      <c r="L60" s="415">
        <f t="shared" si="4"/>
        <v>38210</v>
      </c>
      <c r="M60" s="416">
        <f t="shared" si="5"/>
        <v>32</v>
      </c>
      <c r="N60" s="417">
        <f t="array" ref="N60">IF(COUNT(IF($M60=$B$29:$B$606,C$29:C$606,""))=0,"",SUM(IF($M60=$B$29:$B$606,C$29:C$606,""))/COUNT(IF($M60=$B$29:$B$606,C$29:C$606,"")))</f>
        <v>4.0303422164915874</v>
      </c>
      <c r="O60" s="417">
        <f t="array" ref="O60">IF(COUNT(IF($M60=$B$29:$B$606,D$29:D$606,""))=0,"",SUM(IF($M60=$B$29:$B$606,D$29:D$606,""))/COUNT(IF($M60=$B$29:$B$606,D$29:D$606,"")))</f>
        <v>0.20911484283303935</v>
      </c>
      <c r="P60" s="417">
        <f t="array" ref="P60">IF(COUNT(IF($M60=$B$29:$B$606,E$29:E$606,""))=0,"",SUM(IF($M60=$B$29:$B$606,E$29:E$606,""))/COUNT(IF($M60=$B$29:$B$606,E$29:E$606,"")))</f>
        <v>1.0500000000000007</v>
      </c>
      <c r="Q60" s="417">
        <f t="array" ref="Q60">IF(COUNT(IF($M60=$B$29:$B$606,F$29:F$606,""))=0,"",SUM(IF($M60=$B$29:$B$606,F$29:F$606,""))/COUNT(IF($M60=$B$29:$B$606,F$29:F$606,"")))</f>
        <v>1.0551154230400821</v>
      </c>
      <c r="R60" s="417">
        <f t="array" ref="R60">IF(COUNT(IF($M60=$B$29:$B$606,G$29:G$606,""))=0,"",SUM(IF($M60=$B$29:$B$606,G$29:G$606,""))/COUNT(IF($M60=$B$29:$B$606,G$29:G$606,"")))</f>
        <v>4.2318593273161698</v>
      </c>
      <c r="S60" s="417">
        <f t="array" ref="S60">IF(COUNT(IF($M60=$B$29:$B$606,H$29:H$606,""))=0,"",SUM(IF($M60=$B$29:$B$606,H$29:H$606,""))/COUNT(IF($M60=$B$29:$B$606,H$29:H$606,"")))</f>
        <v>4.2524762327498244</v>
      </c>
      <c r="T60" s="417">
        <f t="array" ref="T60">IF(COUNT(IF($M60=$B$29:$B$606,I$29:I$606,""))=0,"",MAX(IF($M60=$B$29:$B$606,I$29:I$606,"")))</f>
        <v>367.59405748218609</v>
      </c>
      <c r="U60" s="417">
        <f t="array" ref="U60">IF(COUNT(IF($M60=$B$29:$B$606,J$29:J$606,""))=0,"",MAX(IF($M60=$B$29:$B$606,J$29:J$606,"")))</f>
        <v>406.7025143859409</v>
      </c>
      <c r="V60" s="416">
        <f t="array" ref="V60">COUNT(IF(M60=$B$29:$B$606,$E$29:$E$606,""))</f>
        <v>7</v>
      </c>
      <c r="W60" s="137"/>
      <c r="X60" s="137"/>
      <c r="Y60" s="137"/>
      <c r="Z60" s="137"/>
      <c r="AA60" s="137"/>
      <c r="AB60" s="137"/>
      <c r="AC60" s="137"/>
      <c r="AD60" s="137"/>
      <c r="AE60" s="137"/>
      <c r="AF60" s="137"/>
      <c r="AG60" s="137"/>
      <c r="AH60" s="137"/>
      <c r="AI60" s="137"/>
      <c r="AJ60" s="137"/>
      <c r="AK60" s="137"/>
      <c r="AL60" s="137"/>
      <c r="AM60" s="137"/>
      <c r="AN60" s="137"/>
      <c r="AO60" s="137"/>
      <c r="AP60" s="137"/>
      <c r="AQ60" s="137"/>
    </row>
    <row r="61" spans="1:43">
      <c r="A61" s="407">
        <f>Input!B54</f>
        <v>38019</v>
      </c>
      <c r="B61" s="410">
        <f t="shared" si="6"/>
        <v>5</v>
      </c>
      <c r="C61" s="411">
        <f>IF(Input!I54&lt;=0,"",Input!I54)</f>
        <v>0.58582927143330044</v>
      </c>
      <c r="D61" s="412" t="str">
        <f>IF(G61="","",Input!Q54)</f>
        <v/>
      </c>
      <c r="E61" s="412" t="str">
        <f>IF(ISERROR(Input!AA54),"",Input!AA54)</f>
        <v/>
      </c>
      <c r="F61" s="412" t="str">
        <f>IF(E61="","",Input!AQ54)</f>
        <v/>
      </c>
      <c r="G61" s="413" t="str">
        <f t="shared" si="1"/>
        <v/>
      </c>
      <c r="H61" s="413" t="str">
        <f t="shared" si="2"/>
        <v/>
      </c>
      <c r="I61" s="414">
        <f t="shared" si="3"/>
        <v>0</v>
      </c>
      <c r="J61" s="414">
        <f t="shared" si="3"/>
        <v>0</v>
      </c>
      <c r="K61" s="137"/>
      <c r="L61" s="415">
        <f t="shared" si="4"/>
        <v>38217</v>
      </c>
      <c r="M61" s="416">
        <f t="shared" si="5"/>
        <v>33</v>
      </c>
      <c r="N61" s="417">
        <f t="array" ref="N61">IF(COUNT(IF($M61=$B$29:$B$606,C$29:C$606,""))=0,"",SUM(IF($M61=$B$29:$B$606,C$29:C$606,""))/COUNT(IF($M61=$B$29:$B$606,C$29:C$606,"")))</f>
        <v>3.1612424051377546</v>
      </c>
      <c r="O61" s="417">
        <f t="array" ref="O61">IF(COUNT(IF($M61=$B$29:$B$606,D$29:D$606,""))=0,"",SUM(IF($M61=$B$29:$B$606,D$29:D$606,""))/COUNT(IF($M61=$B$29:$B$606,D$29:D$606,"")))</f>
        <v>0.19281586918812713</v>
      </c>
      <c r="P61" s="417">
        <f t="array" ref="P61">IF(COUNT(IF($M61=$B$29:$B$606,E$29:E$606,""))=0,"",SUM(IF($M61=$B$29:$B$606,E$29:E$606,""))/COUNT(IF($M61=$B$29:$B$606,E$29:E$606,"")))</f>
        <v>1.0500000000000007</v>
      </c>
      <c r="Q61" s="417">
        <f t="array" ref="Q61">IF(COUNT(IF($M61=$B$29:$B$606,F$29:F$606,""))=0,"",SUM(IF($M61=$B$29:$B$606,F$29:F$606,""))/COUNT(IF($M61=$B$29:$B$606,F$29:F$606,"")))</f>
        <v>1.0551154230400821</v>
      </c>
      <c r="R61" s="417">
        <f t="array" ref="R61">IF(COUNT(IF($M61=$B$29:$B$606,G$29:G$606,""))=0,"",SUM(IF($M61=$B$29:$B$606,G$29:G$606,""))/COUNT(IF($M61=$B$29:$B$606,G$29:G$606,"")))</f>
        <v>3.3193045253946449</v>
      </c>
      <c r="S61" s="417">
        <f t="array" ref="S61">IF(COUNT(IF($M61=$B$29:$B$606,H$29:H$606,""))=0,"",SUM(IF($M61=$B$29:$B$606,H$29:H$606,""))/COUNT(IF($M61=$B$29:$B$606,H$29:H$606,"")))</f>
        <v>3.3354756176291684</v>
      </c>
      <c r="T61" s="417">
        <f t="array" ref="T61">IF(COUNT(IF($M61=$B$29:$B$606,I$29:I$606,""))=0,"",MAX(IF($M61=$B$29:$B$606,I$29:I$606,"")))</f>
        <v>390.82918915994856</v>
      </c>
      <c r="U61" s="417">
        <f t="array" ref="U61">IF(COUNT(IF($M61=$B$29:$B$606,J$29:J$606,""))=0,"",MAX(IF($M61=$B$29:$B$606,J$29:J$606,"")))</f>
        <v>430.05084370934503</v>
      </c>
      <c r="V61" s="416">
        <f t="array" ref="V61">COUNT(IF(M61=$B$29:$B$606,$E$29:$E$606,""))</f>
        <v>7</v>
      </c>
      <c r="W61" s="137"/>
      <c r="X61" s="137"/>
      <c r="Y61" s="137"/>
      <c r="Z61" s="137"/>
      <c r="AA61" s="137"/>
      <c r="AB61" s="137"/>
      <c r="AC61" s="137"/>
      <c r="AD61" s="137"/>
      <c r="AE61" s="137"/>
      <c r="AF61" s="137"/>
      <c r="AG61" s="137"/>
      <c r="AH61" s="137"/>
      <c r="AI61" s="137"/>
      <c r="AJ61" s="137"/>
      <c r="AK61" s="137"/>
      <c r="AL61" s="137"/>
      <c r="AM61" s="137"/>
      <c r="AN61" s="137"/>
      <c r="AO61" s="137"/>
      <c r="AP61" s="137"/>
      <c r="AQ61" s="137"/>
    </row>
    <row r="62" spans="1:43">
      <c r="A62" s="407">
        <f>Input!B55</f>
        <v>38020</v>
      </c>
      <c r="B62" s="410">
        <f t="shared" si="6"/>
        <v>5</v>
      </c>
      <c r="C62" s="411">
        <f>IF(Input!I55&lt;=0,"",Input!I55)</f>
        <v>0.43557071163111061</v>
      </c>
      <c r="D62" s="412" t="str">
        <f>IF(G62="","",Input!Q55)</f>
        <v/>
      </c>
      <c r="E62" s="412" t="str">
        <f>IF(ISERROR(Input!AA55),"",Input!AA55)</f>
        <v/>
      </c>
      <c r="F62" s="412" t="str">
        <f>IF(E62="","",Input!AQ55)</f>
        <v/>
      </c>
      <c r="G62" s="413" t="str">
        <f t="shared" si="1"/>
        <v/>
      </c>
      <c r="H62" s="413" t="str">
        <f t="shared" si="2"/>
        <v/>
      </c>
      <c r="I62" s="414">
        <f t="shared" si="3"/>
        <v>0</v>
      </c>
      <c r="J62" s="414">
        <f t="shared" si="3"/>
        <v>0</v>
      </c>
      <c r="K62" s="137"/>
      <c r="L62" s="415">
        <f t="shared" si="4"/>
        <v>38224</v>
      </c>
      <c r="M62" s="416">
        <f t="shared" si="5"/>
        <v>34</v>
      </c>
      <c r="N62" s="417">
        <f t="array" ref="N62">IF(COUNT(IF($M62=$B$29:$B$606,C$29:C$606,""))=0,"",SUM(IF($M62=$B$29:$B$606,C$29:C$606,""))/COUNT(IF($M62=$B$29:$B$606,C$29:C$606,"")))</f>
        <v>3.9041587806736682</v>
      </c>
      <c r="O62" s="417">
        <f t="array" ref="O62">IF(COUNT(IF($M62=$B$29:$B$606,D$29:D$606,""))=0,"",SUM(IF($M62=$B$29:$B$606,D$29:D$606,""))/COUNT(IF($M62=$B$29:$B$606,D$29:D$606,"")))</f>
        <v>0.17951919828899784</v>
      </c>
      <c r="P62" s="417">
        <f t="array" ref="P62">IF(COUNT(IF($M62=$B$29:$B$606,E$29:E$606,""))=0,"",SUM(IF($M62=$B$29:$B$606,E$29:E$606,""))/COUNT(IF($M62=$B$29:$B$606,E$29:E$606,"")))</f>
        <v>1.0178571428571437</v>
      </c>
      <c r="Q62" s="417">
        <f t="array" ref="Q62">IF(COUNT(IF($M62=$B$29:$B$606,F$29:F$606,""))=0,"",SUM(IF($M62=$B$29:$B$606,F$29:F$606,""))/COUNT(IF($M62=$B$29:$B$606,F$29:F$606,"")))</f>
        <v>1.0329436130276395</v>
      </c>
      <c r="R62" s="417">
        <f t="array" ref="R62">IF(COUNT(IF($M62=$B$29:$B$606,G$29:G$606,""))=0,"",SUM(IF($M62=$B$29:$B$606,G$29:G$606,""))/COUNT(IF($M62=$B$29:$B$606,G$29:G$606,"")))</f>
        <v>3.9782735934597642</v>
      </c>
      <c r="S62" s="417">
        <f t="array" ref="S62">IF(COUNT(IF($M62=$B$29:$B$606,H$29:H$606,""))=0,"",SUM(IF($M62=$B$29:$B$606,H$29:H$606,""))/COUNT(IF($M62=$B$29:$B$606,H$29:H$606,"")))</f>
        <v>4.0358093589402806</v>
      </c>
      <c r="T62" s="417">
        <f t="array" ref="T62">IF(COUNT(IF($M62=$B$29:$B$606,I$29:I$606,""))=0,"",MAX(IF($M62=$B$29:$B$606,I$29:I$606,"")))</f>
        <v>418.67710431416691</v>
      </c>
      <c r="U62" s="417">
        <f t="array" ref="U62">IF(COUNT(IF($M62=$B$29:$B$606,J$29:J$606,""))=0,"",MAX(IF($M62=$B$29:$B$606,J$29:J$606,"")))</f>
        <v>458.30150922192701</v>
      </c>
      <c r="V62" s="416">
        <f t="array" ref="V62">COUNT(IF(M62=$B$29:$B$606,$E$29:$E$606,""))</f>
        <v>7</v>
      </c>
      <c r="W62" s="137"/>
      <c r="X62" s="137"/>
      <c r="Y62" s="137"/>
      <c r="Z62" s="137"/>
      <c r="AA62" s="137"/>
      <c r="AB62" s="137"/>
      <c r="AC62" s="137"/>
      <c r="AD62" s="137"/>
      <c r="AE62" s="137"/>
      <c r="AF62" s="137"/>
      <c r="AG62" s="137"/>
      <c r="AH62" s="137"/>
      <c r="AI62" s="137"/>
      <c r="AJ62" s="137"/>
      <c r="AK62" s="137"/>
      <c r="AL62" s="137"/>
      <c r="AM62" s="137"/>
      <c r="AN62" s="137"/>
      <c r="AO62" s="137"/>
      <c r="AP62" s="137"/>
      <c r="AQ62" s="137"/>
    </row>
    <row r="63" spans="1:43">
      <c r="A63" s="407">
        <f>Input!B56</f>
        <v>38021</v>
      </c>
      <c r="B63" s="410">
        <f t="shared" si="6"/>
        <v>5</v>
      </c>
      <c r="C63" s="411">
        <f>IF(Input!I56&lt;=0,"",Input!I56)</f>
        <v>0.29668482018556935</v>
      </c>
      <c r="D63" s="412" t="str">
        <f>IF(G63="","",Input!Q56)</f>
        <v/>
      </c>
      <c r="E63" s="412" t="str">
        <f>IF(ISERROR(Input!AA56),"",Input!AA56)</f>
        <v/>
      </c>
      <c r="F63" s="412" t="str">
        <f>IF(E63="","",Input!AQ56)</f>
        <v/>
      </c>
      <c r="G63" s="413" t="str">
        <f t="shared" si="1"/>
        <v/>
      </c>
      <c r="H63" s="413" t="str">
        <f t="shared" si="2"/>
        <v/>
      </c>
      <c r="I63" s="414">
        <f t="shared" si="3"/>
        <v>0</v>
      </c>
      <c r="J63" s="414">
        <f t="shared" si="3"/>
        <v>0</v>
      </c>
      <c r="K63" s="137"/>
      <c r="L63" s="415">
        <f t="shared" si="4"/>
        <v>38231</v>
      </c>
      <c r="M63" s="416">
        <f t="shared" si="5"/>
        <v>35</v>
      </c>
      <c r="N63" s="417">
        <f t="array" ref="N63">IF(COUNT(IF($M63=$B$29:$B$606,C$29:C$606,""))=0,"",SUM(IF($M63=$B$29:$B$606,C$29:C$606,""))/COUNT(IF($M63=$B$29:$B$606,C$29:C$606,"")))</f>
        <v>3.1410985750512692</v>
      </c>
      <c r="O63" s="417">
        <f t="array" ref="O63">IF(COUNT(IF($M63=$B$29:$B$606,D$29:D$606,""))=0,"",SUM(IF($M63=$B$29:$B$606,D$29:D$606,""))/COUNT(IF($M63=$B$29:$B$606,D$29:D$606,"")))</f>
        <v>0.31686678752532099</v>
      </c>
      <c r="P63" s="417">
        <f t="array" ref="P63">IF(COUNT(IF($M63=$B$29:$B$606,E$29:E$606,""))=0,"",SUM(IF($M63=$B$29:$B$606,E$29:E$606,""))/COUNT(IF($M63=$B$29:$B$606,E$29:E$606,"")))</f>
        <v>0.98418367346938862</v>
      </c>
      <c r="Q63" s="417">
        <f t="array" ref="Q63">IF(COUNT(IF($M63=$B$29:$B$606,F$29:F$606,""))=0,"",SUM(IF($M63=$B$29:$B$606,F$29:F$606,""))/COUNT(IF($M63=$B$29:$B$606,F$29:F$606,"")))</f>
        <v>0.98120938966527338</v>
      </c>
      <c r="R63" s="417">
        <f t="array" ref="R63">IF(COUNT(IF($M63=$B$29:$B$606,G$29:G$606,""))=0,"",SUM(IF($M63=$B$29:$B$606,G$29:G$606,""))/COUNT(IF($M63=$B$29:$B$606,G$29:G$606,"")))</f>
        <v>3.065819818326367</v>
      </c>
      <c r="S63" s="417">
        <f t="array" ref="S63">IF(COUNT(IF($M63=$B$29:$B$606,H$29:H$606,""))=0,"",SUM(IF($M63=$B$29:$B$606,H$29:H$606,""))/COUNT(IF($M63=$B$29:$B$606,H$29:H$606,"")))</f>
        <v>3.0824664449124799</v>
      </c>
      <c r="T63" s="417">
        <f t="array" ref="T63">IF(COUNT(IF($M63=$B$29:$B$606,I$29:I$606,""))=0,"",MAX(IF($M63=$B$29:$B$606,I$29:I$606,"")))</f>
        <v>440.13784304245155</v>
      </c>
      <c r="U63" s="417">
        <f t="array" ref="U63">IF(COUNT(IF($M63=$B$29:$B$606,J$29:J$606,""))=0,"",MAX(IF($M63=$B$29:$B$606,J$29:J$606,"")))</f>
        <v>479.87877433631434</v>
      </c>
      <c r="V63" s="416">
        <f t="array" ref="V63">COUNT(IF(M63=$B$29:$B$606,$E$29:$E$606,""))</f>
        <v>7</v>
      </c>
      <c r="W63" s="137"/>
      <c r="X63" s="137"/>
      <c r="Y63" s="137"/>
      <c r="Z63" s="137"/>
      <c r="AA63" s="137"/>
      <c r="AB63" s="137"/>
      <c r="AC63" s="137"/>
      <c r="AD63" s="137"/>
      <c r="AE63" s="137"/>
      <c r="AF63" s="137"/>
      <c r="AG63" s="137"/>
      <c r="AH63" s="137"/>
      <c r="AI63" s="137"/>
      <c r="AJ63" s="137"/>
      <c r="AK63" s="137"/>
      <c r="AL63" s="137"/>
      <c r="AM63" s="137"/>
      <c r="AN63" s="137"/>
      <c r="AO63" s="137"/>
      <c r="AP63" s="137"/>
      <c r="AQ63" s="137"/>
    </row>
    <row r="64" spans="1:43">
      <c r="A64" s="407">
        <f>Input!B57</f>
        <v>38022</v>
      </c>
      <c r="B64" s="410">
        <f t="shared" si="6"/>
        <v>6</v>
      </c>
      <c r="C64" s="411">
        <f>IF(Input!I57&lt;=0,"",Input!I57)</f>
        <v>0.29163966521745566</v>
      </c>
      <c r="D64" s="412" t="str">
        <f>IF(G64="","",Input!Q57)</f>
        <v/>
      </c>
      <c r="E64" s="412" t="str">
        <f>IF(ISERROR(Input!AA57),"",Input!AA57)</f>
        <v/>
      </c>
      <c r="F64" s="412" t="str">
        <f>IF(E64="","",Input!AQ57)</f>
        <v/>
      </c>
      <c r="G64" s="413" t="str">
        <f t="shared" si="1"/>
        <v/>
      </c>
      <c r="H64" s="413" t="str">
        <f t="shared" si="2"/>
        <v/>
      </c>
      <c r="I64" s="414">
        <f t="shared" si="3"/>
        <v>0</v>
      </c>
      <c r="J64" s="414">
        <f t="shared" si="3"/>
        <v>0</v>
      </c>
      <c r="K64" s="137"/>
      <c r="L64" s="415">
        <f t="shared" si="4"/>
        <v>38238</v>
      </c>
      <c r="M64" s="416">
        <f t="shared" si="5"/>
        <v>36</v>
      </c>
      <c r="N64" s="417">
        <f t="array" ref="N64">IF(COUNT(IF($M64=$B$29:$B$606,C$29:C$606,""))=0,"",SUM(IF($M64=$B$29:$B$606,C$29:C$606,""))/COUNT(IF($M64=$B$29:$B$606,C$29:C$606,"")))</f>
        <v>2.6481151215118501</v>
      </c>
      <c r="O64" s="417">
        <f t="array" ref="O64">IF(COUNT(IF($M64=$B$29:$B$606,D$29:D$606,""))=0,"",SUM(IF($M64=$B$29:$B$606,D$29:D$606,""))/COUNT(IF($M64=$B$29:$B$606,D$29:D$606,"")))</f>
        <v>1.0263944490397081</v>
      </c>
      <c r="P64" s="417">
        <f t="array" ref="P64">IF(COUNT(IF($M64=$B$29:$B$606,E$29:E$606,""))=0,"",SUM(IF($M64=$B$29:$B$606,E$29:E$606,""))/COUNT(IF($M64=$B$29:$B$606,E$29:E$606,"")))</f>
        <v>1.0450941597177916</v>
      </c>
      <c r="Q64" s="417">
        <f t="array" ref="Q64">IF(COUNT(IF($M64=$B$29:$B$606,F$29:F$606,""))=0,"",SUM(IF($M64=$B$29:$B$606,F$29:F$606,""))/COUNT(IF($M64=$B$29:$B$606,F$29:F$606,"")))</f>
        <v>0.92947516630290727</v>
      </c>
      <c r="R64" s="417">
        <f t="array" ref="R64">IF(COUNT(IF($M64=$B$29:$B$606,G$29:G$606,""))=0,"",SUM(IF($M64=$B$29:$B$606,G$29:G$606,""))/COUNT(IF($M64=$B$29:$B$606,G$29:G$606,"")))</f>
        <v>2.7846481693539347</v>
      </c>
      <c r="S64" s="417">
        <f t="array" ref="S64">IF(COUNT(IF($M64=$B$29:$B$606,H$29:H$606,""))=0,"",SUM(IF($M64=$B$29:$B$606,H$29:H$606,""))/COUNT(IF($M64=$B$29:$B$606,H$29:H$606,"")))</f>
        <v>2.4624436230273514</v>
      </c>
      <c r="T64" s="417">
        <f t="array" ref="T64">IF(COUNT(IF($M64=$B$29:$B$606,I$29:I$606,""))=0,"",MAX(IF($M64=$B$29:$B$606,I$29:I$606,"")))</f>
        <v>459.63038022792915</v>
      </c>
      <c r="U64" s="417">
        <f t="array" ref="U64">IF(COUNT(IF($M64=$B$29:$B$606,J$29:J$606,""))=0,"",MAX(IF($M64=$B$29:$B$606,J$29:J$606,"")))</f>
        <v>497.11587969750576</v>
      </c>
      <c r="V64" s="416">
        <f t="array" ref="V64">COUNT(IF(M64=$B$29:$B$606,$E$29:$E$606,""))</f>
        <v>7</v>
      </c>
      <c r="W64" s="137"/>
      <c r="X64" s="137"/>
      <c r="Y64" s="137"/>
      <c r="Z64" s="137"/>
      <c r="AA64" s="137"/>
      <c r="AB64" s="137"/>
      <c r="AC64" s="137"/>
      <c r="AD64" s="137"/>
      <c r="AE64" s="137"/>
      <c r="AF64" s="137"/>
      <c r="AG64" s="137"/>
      <c r="AH64" s="137"/>
      <c r="AI64" s="137"/>
      <c r="AJ64" s="137"/>
      <c r="AK64" s="137"/>
      <c r="AL64" s="137"/>
      <c r="AM64" s="137"/>
      <c r="AN64" s="137"/>
      <c r="AO64" s="137"/>
      <c r="AP64" s="137"/>
      <c r="AQ64" s="137"/>
    </row>
    <row r="65" spans="1:43">
      <c r="A65" s="407">
        <f>Input!B58</f>
        <v>38023</v>
      </c>
      <c r="B65" s="410">
        <f t="shared" si="6"/>
        <v>6</v>
      </c>
      <c r="C65" s="411">
        <f>IF(Input!I58&lt;=0,"",Input!I58)</f>
        <v>0.28112812573389639</v>
      </c>
      <c r="D65" s="412" t="str">
        <f>IF(G65="","",Input!Q58)</f>
        <v/>
      </c>
      <c r="E65" s="412" t="str">
        <f>IF(ISERROR(Input!AA58),"",Input!AA58)</f>
        <v/>
      </c>
      <c r="F65" s="412" t="str">
        <f>IF(E65="","",Input!AQ58)</f>
        <v/>
      </c>
      <c r="G65" s="413" t="str">
        <f t="shared" si="1"/>
        <v/>
      </c>
      <c r="H65" s="413" t="str">
        <f t="shared" si="2"/>
        <v/>
      </c>
      <c r="I65" s="414">
        <f t="shared" si="3"/>
        <v>0</v>
      </c>
      <c r="J65" s="414">
        <f t="shared" si="3"/>
        <v>0</v>
      </c>
      <c r="K65" s="137"/>
      <c r="L65" s="415">
        <f t="shared" si="4"/>
        <v>38245</v>
      </c>
      <c r="M65" s="416">
        <f t="shared" si="5"/>
        <v>37</v>
      </c>
      <c r="N65" s="417">
        <f t="array" ref="N65">IF(COUNT(IF($M65=$B$29:$B$606,C$29:C$606,""))=0,"",SUM(IF($M65=$B$29:$B$606,C$29:C$606,""))/COUNT(IF($M65=$B$29:$B$606,C$29:C$606,"")))</f>
        <v>2.1362383321474554</v>
      </c>
      <c r="O65" s="417">
        <f t="array" ref="O65">IF(COUNT(IF($M65=$B$29:$B$606,D$29:D$606,""))=0,"",SUM(IF($M65=$B$29:$B$606,D$29:D$606,""))/COUNT(IF($M65=$B$29:$B$606,D$29:D$606,"")))</f>
        <v>0.92238106373800421</v>
      </c>
      <c r="P65" s="417">
        <f t="array" ref="P65">IF(COUNT(IF($M65=$B$29:$B$606,E$29:E$606,""))=0,"",SUM(IF($M65=$B$29:$B$606,E$29:E$606,""))/COUNT(IF($M65=$B$29:$B$606,E$29:E$606,"")))</f>
        <v>1.0119389496601061</v>
      </c>
      <c r="Q65" s="417">
        <f t="array" ref="Q65">IF(COUNT(IF($M65=$B$29:$B$606,F$29:F$606,""))=0,"",SUM(IF($M65=$B$29:$B$606,F$29:F$606,""))/COUNT(IF($M65=$B$29:$B$606,F$29:F$606,"")))</f>
        <v>0.87774094294054117</v>
      </c>
      <c r="R65" s="417">
        <f t="array" ref="R65">IF(COUNT(IF($M65=$B$29:$B$606,G$29:G$606,""))=0,"",SUM(IF($M65=$B$29:$B$606,G$29:G$606,""))/COUNT(IF($M65=$B$29:$B$606,G$29:G$606,"")))</f>
        <v>2.055626150709577</v>
      </c>
      <c r="S65" s="417">
        <f t="array" ref="S65">IF(COUNT(IF($M65=$B$29:$B$606,H$29:H$606,""))=0,"",SUM(IF($M65=$B$29:$B$606,H$29:H$606,""))/COUNT(IF($M65=$B$29:$B$606,H$29:H$606,"")))</f>
        <v>1.8833323877350454</v>
      </c>
      <c r="T65" s="417">
        <f t="array" ref="T65">IF(COUNT(IF($M65=$B$29:$B$606,I$29:I$606,""))=0,"",MAX(IF($M65=$B$29:$B$606,I$29:I$606,"")))</f>
        <v>474.01976328289618</v>
      </c>
      <c r="U65" s="417">
        <f t="array" ref="U65">IF(COUNT(IF($M65=$B$29:$B$606,J$29:J$606,""))=0,"",MAX(IF($M65=$B$29:$B$606,J$29:J$606,"")))</f>
        <v>510.29920641165114</v>
      </c>
      <c r="V65" s="416">
        <f t="array" ref="V65">COUNT(IF(M65=$B$29:$B$606,$E$29:$E$606,""))</f>
        <v>7</v>
      </c>
      <c r="W65" s="137"/>
      <c r="X65" s="137"/>
      <c r="Y65" s="137"/>
      <c r="Z65" s="137"/>
      <c r="AA65" s="137"/>
      <c r="AB65" s="137"/>
      <c r="AC65" s="137"/>
      <c r="AD65" s="137"/>
      <c r="AE65" s="137"/>
      <c r="AF65" s="137"/>
      <c r="AG65" s="137"/>
      <c r="AH65" s="137"/>
      <c r="AI65" s="137"/>
      <c r="AJ65" s="137"/>
      <c r="AK65" s="137"/>
      <c r="AL65" s="137"/>
      <c r="AM65" s="137"/>
      <c r="AN65" s="137"/>
      <c r="AO65" s="137"/>
      <c r="AP65" s="137"/>
      <c r="AQ65" s="137"/>
    </row>
    <row r="66" spans="1:43">
      <c r="A66" s="407">
        <f>Input!B59</f>
        <v>38024</v>
      </c>
      <c r="B66" s="410">
        <f t="shared" si="6"/>
        <v>6</v>
      </c>
      <c r="C66" s="411">
        <f>IF(Input!I59&lt;=0,"",Input!I59)</f>
        <v>0.37718204673649641</v>
      </c>
      <c r="D66" s="412" t="str">
        <f>IF(G66="","",Input!Q59)</f>
        <v/>
      </c>
      <c r="E66" s="412" t="str">
        <f>IF(ISERROR(Input!AA59),"",Input!AA59)</f>
        <v/>
      </c>
      <c r="F66" s="412" t="str">
        <f>IF(E66="","",Input!AQ59)</f>
        <v/>
      </c>
      <c r="G66" s="413" t="str">
        <f t="shared" si="1"/>
        <v/>
      </c>
      <c r="H66" s="413" t="str">
        <f t="shared" si="2"/>
        <v/>
      </c>
      <c r="I66" s="414">
        <f t="shared" si="3"/>
        <v>0</v>
      </c>
      <c r="J66" s="414">
        <f t="shared" si="3"/>
        <v>0</v>
      </c>
      <c r="K66" s="137"/>
      <c r="L66" s="415">
        <f t="shared" si="4"/>
        <v>38252</v>
      </c>
      <c r="M66" s="416">
        <f t="shared" si="5"/>
        <v>38</v>
      </c>
      <c r="N66" s="417">
        <f t="array" ref="N66">IF(COUNT(IF($M66=$B$29:$B$606,C$29:C$606,""))=0,"",SUM(IF($M66=$B$29:$B$606,C$29:C$606,""))/COUNT(IF($M66=$B$29:$B$606,C$29:C$606,"")))</f>
        <v>1.7776328040439957</v>
      </c>
      <c r="O66" s="417">
        <f t="array" ref="O66">IF(COUNT(IF($M66=$B$29:$B$606,D$29:D$606,""))=0,"",SUM(IF($M66=$B$29:$B$606,D$29:D$606,""))/COUNT(IF($M66=$B$29:$B$606,D$29:D$606,"")))</f>
        <v>0.72991620363562271</v>
      </c>
      <c r="P66" s="417">
        <f t="array" ref="P66">IF(COUNT(IF($M66=$B$29:$B$606,E$29:E$606,""))=0,"",SUM(IF($M66=$B$29:$B$606,E$29:E$606,""))/COUNT(IF($M66=$B$29:$B$606,E$29:E$606,"")))</f>
        <v>0.76183116344204005</v>
      </c>
      <c r="Q66" s="417">
        <f t="array" ref="Q66">IF(COUNT(IF($M66=$B$29:$B$606,F$29:F$606,""))=0,"",SUM(IF($M66=$B$29:$B$606,F$29:F$606,""))/COUNT(IF($M66=$B$29:$B$606,F$29:F$606,"")))</f>
        <v>0.82600671957817506</v>
      </c>
      <c r="R66" s="417">
        <f t="array" ref="R66">IF(COUNT(IF($M66=$B$29:$B$606,G$29:G$606,""))=0,"",SUM(IF($M66=$B$29:$B$606,G$29:G$606,""))/COUNT(IF($M66=$B$29:$B$606,G$29:G$606,"")))</f>
        <v>1.351731658992795</v>
      </c>
      <c r="S66" s="417">
        <f t="array" ref="S66">IF(COUNT(IF($M66=$B$29:$B$606,H$29:H$606,""))=0,"",SUM(IF($M66=$B$29:$B$606,H$29:H$606,""))/COUNT(IF($M66=$B$29:$B$606,H$29:H$606,"")))</f>
        <v>1.4688750055672852</v>
      </c>
      <c r="T66" s="417">
        <f t="array" ref="T66">IF(COUNT(IF($M66=$B$29:$B$606,I$29:I$606,""))=0,"",MAX(IF($M66=$B$29:$B$606,I$29:I$606,"")))</f>
        <v>483.48188489584578</v>
      </c>
      <c r="U66" s="417">
        <f t="array" ref="U66">IF(COUNT(IF($M66=$B$29:$B$606,J$29:J$606,""))=0,"",MAX(IF($M66=$B$29:$B$606,J$29:J$606,"")))</f>
        <v>520.58133145062232</v>
      </c>
      <c r="V66" s="416">
        <f t="array" ref="V66">COUNT(IF(M66=$B$29:$B$606,$E$29:$E$606,""))</f>
        <v>7</v>
      </c>
      <c r="W66" s="137"/>
      <c r="X66" s="137"/>
      <c r="Y66" s="137"/>
      <c r="Z66" s="137"/>
      <c r="AA66" s="137"/>
      <c r="AB66" s="137"/>
      <c r="AC66" s="137"/>
      <c r="AD66" s="137"/>
      <c r="AE66" s="137"/>
      <c r="AF66" s="137"/>
      <c r="AG66" s="137"/>
      <c r="AH66" s="137"/>
      <c r="AI66" s="137"/>
      <c r="AJ66" s="137"/>
      <c r="AK66" s="137"/>
      <c r="AL66" s="137"/>
      <c r="AM66" s="137"/>
      <c r="AN66" s="137"/>
      <c r="AO66" s="137"/>
      <c r="AP66" s="137"/>
      <c r="AQ66" s="137"/>
    </row>
    <row r="67" spans="1:43">
      <c r="A67" s="407">
        <f>Input!B60</f>
        <v>38025</v>
      </c>
      <c r="B67" s="410">
        <f t="shared" si="6"/>
        <v>6</v>
      </c>
      <c r="C67" s="411">
        <f>IF(Input!I60&lt;=0,"",Input!I60)</f>
        <v>0.40184909694054805</v>
      </c>
      <c r="D67" s="412" t="str">
        <f>IF(G67="","",Input!Q60)</f>
        <v/>
      </c>
      <c r="E67" s="412" t="str">
        <f>IF(ISERROR(Input!AA60),"",Input!AA60)</f>
        <v/>
      </c>
      <c r="F67" s="412" t="str">
        <f>IF(E67="","",Input!AQ60)</f>
        <v/>
      </c>
      <c r="G67" s="413" t="str">
        <f t="shared" si="1"/>
        <v/>
      </c>
      <c r="H67" s="413" t="str">
        <f t="shared" si="2"/>
        <v/>
      </c>
      <c r="I67" s="414">
        <f t="shared" si="3"/>
        <v>0</v>
      </c>
      <c r="J67" s="414">
        <f t="shared" si="3"/>
        <v>0</v>
      </c>
      <c r="K67" s="137"/>
      <c r="L67" s="415">
        <f t="shared" si="4"/>
        <v>38259</v>
      </c>
      <c r="M67" s="416">
        <f t="shared" si="5"/>
        <v>39</v>
      </c>
      <c r="N67" s="417">
        <f t="array" ref="N67">IF(COUNT(IF($M67=$B$29:$B$606,C$29:C$606,""))=0,"",SUM(IF($M67=$B$29:$B$606,C$29:C$606,""))/COUNT(IF($M67=$B$29:$B$606,C$29:C$606,"")))</f>
        <v>1.6411841720419322</v>
      </c>
      <c r="O67" s="417">
        <f t="array" ref="O67">IF(COUNT(IF($M67=$B$29:$B$606,D$29:D$606,""))=0,"",SUM(IF($M67=$B$29:$B$606,D$29:D$606,""))/COUNT(IF($M67=$B$29:$B$606,D$29:D$606,"")))</f>
        <v>0.51968445812345043</v>
      </c>
      <c r="P67" s="417">
        <f t="array" ref="P67">IF(COUNT(IF($M67=$B$29:$B$606,E$29:E$606,""))=0,"",SUM(IF($M67=$B$29:$B$606,E$29:E$606,""))/COUNT(IF($M67=$B$29:$B$606,E$29:E$606,"")))</f>
        <v>0.64285714285714501</v>
      </c>
      <c r="Q67" s="417">
        <f t="array" ref="Q67">IF(COUNT(IF($M67=$B$29:$B$606,F$29:F$606,""))=0,"",SUM(IF($M67=$B$29:$B$606,F$29:F$606,""))/COUNT(IF($M67=$B$29:$B$606,F$29:F$606,"")))</f>
        <v>0.77427249621580896</v>
      </c>
      <c r="R67" s="417">
        <f t="array" ref="R67">IF(COUNT(IF($M67=$B$29:$B$606,G$29:G$606,""))=0,"",SUM(IF($M67=$B$29:$B$606,G$29:G$606,""))/COUNT(IF($M67=$B$29:$B$606,G$29:G$606,"")))</f>
        <v>1.051875823937181</v>
      </c>
      <c r="S67" s="417">
        <f t="array" ref="S67">IF(COUNT(IF($M67=$B$29:$B$606,H$29:H$606,""))=0,"",SUM(IF($M67=$B$29:$B$606,H$29:H$606,""))/COUNT(IF($M67=$B$29:$B$606,H$29:H$606,"")))</f>
        <v>1.2685363434784669</v>
      </c>
      <c r="T67" s="417">
        <f t="array" ref="T67">IF(COUNT(IF($M67=$B$29:$B$606,I$29:I$606,""))=0,"",MAX(IF($M67=$B$29:$B$606,I$29:I$606,"")))</f>
        <v>490.84501566340606</v>
      </c>
      <c r="U67" s="417">
        <f t="array" ref="U67">IF(COUNT(IF($M67=$B$29:$B$606,J$29:J$606,""))=0,"",MAX(IF($M67=$B$29:$B$606,J$29:J$606,"")))</f>
        <v>529.46108585497154</v>
      </c>
      <c r="V67" s="416">
        <f t="array" ref="V67">COUNT(IF(M67=$B$29:$B$606,$E$29:$E$606,""))</f>
        <v>7</v>
      </c>
      <c r="W67" s="137"/>
      <c r="X67" s="137"/>
      <c r="Y67" s="137"/>
      <c r="Z67" s="137"/>
      <c r="AA67" s="137"/>
      <c r="AB67" s="137"/>
      <c r="AC67" s="137"/>
      <c r="AD67" s="137"/>
      <c r="AE67" s="137"/>
      <c r="AF67" s="137"/>
      <c r="AG67" s="137"/>
      <c r="AH67" s="137"/>
      <c r="AI67" s="137"/>
      <c r="AJ67" s="137"/>
      <c r="AK67" s="137"/>
      <c r="AL67" s="137"/>
      <c r="AM67" s="137"/>
      <c r="AN67" s="137"/>
      <c r="AO67" s="137"/>
      <c r="AP67" s="137"/>
      <c r="AQ67" s="137"/>
    </row>
    <row r="68" spans="1:43">
      <c r="A68" s="407">
        <f>Input!B61</f>
        <v>38026</v>
      </c>
      <c r="B68" s="410">
        <f t="shared" si="6"/>
        <v>6</v>
      </c>
      <c r="C68" s="411">
        <f>IF(Input!I61&lt;=0,"",Input!I61)</f>
        <v>0.35697698080417573</v>
      </c>
      <c r="D68" s="412" t="str">
        <f>IF(G68="","",Input!Q61)</f>
        <v/>
      </c>
      <c r="E68" s="412" t="str">
        <f>IF(ISERROR(Input!AA61),"",Input!AA61)</f>
        <v/>
      </c>
      <c r="F68" s="412" t="str">
        <f>IF(E68="","",Input!AQ61)</f>
        <v/>
      </c>
      <c r="G68" s="413" t="str">
        <f t="shared" si="1"/>
        <v/>
      </c>
      <c r="H68" s="413" t="str">
        <f t="shared" si="2"/>
        <v/>
      </c>
      <c r="I68" s="414">
        <f t="shared" si="3"/>
        <v>0</v>
      </c>
      <c r="J68" s="414">
        <f t="shared" si="3"/>
        <v>0</v>
      </c>
      <c r="K68" s="137"/>
      <c r="L68" s="415">
        <f t="shared" si="4"/>
        <v>38266</v>
      </c>
      <c r="M68" s="416">
        <f t="shared" si="5"/>
        <v>40</v>
      </c>
      <c r="N68" s="417">
        <f t="array" ref="N68">IF(COUNT(IF($M68=$B$29:$B$606,C$29:C$606,""))=0,"",SUM(IF($M68=$B$29:$B$606,C$29:C$606,""))/COUNT(IF($M68=$B$29:$B$606,C$29:C$606,"")))</f>
        <v>1.3159428399078756</v>
      </c>
      <c r="O68" s="417">
        <f t="array" ref="O68">IF(COUNT(IF($M68=$B$29:$B$606,D$29:D$606,""))=0,"",SUM(IF($M68=$B$29:$B$606,D$29:D$606,""))/COUNT(IF($M68=$B$29:$B$606,D$29:D$606,"")))</f>
        <v>0.46206968344766386</v>
      </c>
      <c r="P68" s="417">
        <f t="array" ref="P68">IF(COUNT(IF($M68=$B$29:$B$606,E$29:E$606,""))=0,"",SUM(IF($M68=$B$29:$B$606,E$29:E$606,""))/COUNT(IF($M68=$B$29:$B$606,E$29:E$606,"")))</f>
        <v>0.60000000000000231</v>
      </c>
      <c r="Q68" s="417">
        <f t="array" ref="Q68">IF(COUNT(IF($M68=$B$29:$B$606,F$29:F$606,""))=0,"",SUM(IF($M68=$B$29:$B$606,F$29:F$606,""))/COUNT(IF($M68=$B$29:$B$606,F$29:F$606,"")))</f>
        <v>0.74471008286588547</v>
      </c>
      <c r="R68" s="417">
        <f t="array" ref="R68">IF(COUNT(IF($M68=$B$29:$B$606,G$29:G$606,""))=0,"",SUM(IF($M68=$B$29:$B$606,G$29:G$606,""))/COUNT(IF($M68=$B$29:$B$606,G$29:G$606,"")))</f>
        <v>0.45864790422924573</v>
      </c>
      <c r="S68" s="417">
        <f t="array" ref="S68">IF(COUNT(IF($M68=$B$29:$B$606,H$29:H$606,""))=0,"",SUM(IF($M68=$B$29:$B$606,H$29:H$606,""))/COUNT(IF($M68=$B$29:$B$606,H$29:H$606,"")))</f>
        <v>0.56926619794137501</v>
      </c>
      <c r="T68" s="417">
        <f t="array" ref="T68">IF(COUNT(IF($M68=$B$29:$B$606,I$29:I$606,""))=0,"",MAX(IF($M68=$B$29:$B$606,I$29:I$606,"")))</f>
        <v>491.30366356763528</v>
      </c>
      <c r="U68" s="417">
        <f t="array" ref="U68">IF(COUNT(IF($M68=$B$29:$B$606,J$29:J$606,""))=0,"",MAX(IF($M68=$B$29:$B$606,J$29:J$606,"")))</f>
        <v>530.03035205291292</v>
      </c>
      <c r="V68" s="416">
        <f t="array" ref="V68">COUNT(IF(M68=$B$29:$B$606,$E$29:$E$606,""))</f>
        <v>1</v>
      </c>
      <c r="W68" s="137"/>
      <c r="X68" s="137"/>
      <c r="Y68" s="137"/>
      <c r="Z68" s="137"/>
      <c r="AA68" s="137"/>
      <c r="AB68" s="137"/>
      <c r="AC68" s="137"/>
      <c r="AD68" s="137"/>
      <c r="AE68" s="137"/>
      <c r="AF68" s="137"/>
      <c r="AG68" s="137"/>
      <c r="AH68" s="137"/>
      <c r="AI68" s="137"/>
      <c r="AJ68" s="137"/>
      <c r="AK68" s="137"/>
      <c r="AL68" s="137"/>
      <c r="AM68" s="137"/>
      <c r="AN68" s="137"/>
      <c r="AO68" s="137"/>
      <c r="AP68" s="137"/>
      <c r="AQ68" s="137"/>
    </row>
    <row r="69" spans="1:43">
      <c r="A69" s="407">
        <f>Input!B62</f>
        <v>38027</v>
      </c>
      <c r="B69" s="410">
        <f t="shared" si="6"/>
        <v>6</v>
      </c>
      <c r="C69" s="411">
        <f>IF(Input!I62&lt;=0,"",Input!I62)</f>
        <v>0.40150119165400022</v>
      </c>
      <c r="D69" s="412" t="str">
        <f>IF(G69="","",Input!Q62)</f>
        <v/>
      </c>
      <c r="E69" s="412" t="str">
        <f>IF(ISERROR(Input!AA62),"",Input!AA62)</f>
        <v/>
      </c>
      <c r="F69" s="412" t="str">
        <f>IF(E69="","",Input!AQ62)</f>
        <v/>
      </c>
      <c r="G69" s="413" t="str">
        <f t="shared" si="1"/>
        <v/>
      </c>
      <c r="H69" s="413" t="str">
        <f t="shared" si="2"/>
        <v/>
      </c>
      <c r="I69" s="414">
        <f t="shared" si="3"/>
        <v>0</v>
      </c>
      <c r="J69" s="414">
        <f t="shared" si="3"/>
        <v>0</v>
      </c>
      <c r="K69" s="137"/>
      <c r="L69" s="415">
        <f t="shared" si="4"/>
        <v>38273</v>
      </c>
      <c r="M69" s="416">
        <f t="shared" si="5"/>
        <v>41</v>
      </c>
      <c r="N69" s="417">
        <f t="array" ref="N69">IF(COUNT(IF($M69=$B$29:$B$606,C$29:C$606,""))=0,"",SUM(IF($M69=$B$29:$B$606,C$29:C$606,""))/COUNT(IF($M69=$B$29:$B$606,C$29:C$606,"")))</f>
        <v>1.3644894005509494</v>
      </c>
      <c r="O69" s="417" t="str">
        <f t="array" ref="O69">IF(COUNT(IF($M69=$B$29:$B$606,D$29:D$606,""))=0,"",SUM(IF($M69=$B$29:$B$606,D$29:D$606,""))/COUNT(IF($M69=$B$29:$B$606,D$29:D$606,"")))</f>
        <v/>
      </c>
      <c r="P69" s="417" t="str">
        <f t="array" ref="P69">IF(COUNT(IF($M69=$B$29:$B$606,E$29:E$606,""))=0,"",SUM(IF($M69=$B$29:$B$606,E$29:E$606,""))/COUNT(IF($M69=$B$29:$B$606,E$29:E$606,"")))</f>
        <v/>
      </c>
      <c r="Q69" s="417" t="str">
        <f t="array" ref="Q69">IF(COUNT(IF($M69=$B$29:$B$606,F$29:F$606,""))=0,"",SUM(IF($M69=$B$29:$B$606,F$29:F$606,""))/COUNT(IF($M69=$B$29:$B$606,F$29:F$606,"")))</f>
        <v/>
      </c>
      <c r="R69" s="417" t="str">
        <f t="array" ref="R69">IF(COUNT(IF($M69=$B$29:$B$606,G$29:G$606,""))=0,"",SUM(IF($M69=$B$29:$B$606,G$29:G$606,""))/COUNT(IF($M69=$B$29:$B$606,G$29:G$606,"")))</f>
        <v/>
      </c>
      <c r="S69" s="417" t="str">
        <f t="array" ref="S69">IF(COUNT(IF($M69=$B$29:$B$606,H$29:H$606,""))=0,"",SUM(IF($M69=$B$29:$B$606,H$29:H$606,""))/COUNT(IF($M69=$B$29:$B$606,H$29:H$606,"")))</f>
        <v/>
      </c>
      <c r="T69" s="417">
        <f t="array" ref="T69">IF(COUNT(IF($M69=$B$29:$B$606,I$29:I$606,""))=0,"",MAX(IF($M69=$B$29:$B$606,I$29:I$606,"")))</f>
        <v>0</v>
      </c>
      <c r="U69" s="417">
        <f t="array" ref="U69">IF(COUNT(IF($M69=$B$29:$B$606,J$29:J$606,""))=0,"",MAX(IF($M69=$B$29:$B$606,J$29:J$606,"")))</f>
        <v>0</v>
      </c>
      <c r="V69" s="416">
        <f t="array" ref="V69">COUNT(IF(M69=$B$29:$B$606,$E$29:$E$606,""))</f>
        <v>0</v>
      </c>
      <c r="W69" s="137"/>
      <c r="X69" s="137"/>
      <c r="Y69" s="137"/>
      <c r="Z69" s="137"/>
      <c r="AA69" s="137"/>
      <c r="AB69" s="137"/>
      <c r="AC69" s="137"/>
      <c r="AD69" s="137"/>
      <c r="AE69" s="137"/>
      <c r="AF69" s="137"/>
      <c r="AG69" s="137"/>
      <c r="AH69" s="137"/>
      <c r="AI69" s="137"/>
      <c r="AJ69" s="137"/>
      <c r="AK69" s="137"/>
      <c r="AL69" s="137"/>
      <c r="AM69" s="137"/>
      <c r="AN69" s="137"/>
      <c r="AO69" s="137"/>
      <c r="AP69" s="137"/>
      <c r="AQ69" s="137"/>
    </row>
    <row r="70" spans="1:43">
      <c r="A70" s="407">
        <f>Input!B63</f>
        <v>38028</v>
      </c>
      <c r="B70" s="410">
        <f t="shared" si="6"/>
        <v>6</v>
      </c>
      <c r="C70" s="411">
        <f>IF(Input!I63&lt;=0,"",Input!I63)</f>
        <v>0.52184810169343809</v>
      </c>
      <c r="D70" s="412" t="str">
        <f>IF(G70="","",Input!Q63)</f>
        <v/>
      </c>
      <c r="E70" s="412" t="str">
        <f>IF(ISERROR(Input!AA63),"",Input!AA63)</f>
        <v/>
      </c>
      <c r="F70" s="412" t="str">
        <f>IF(E70="","",Input!AQ63)</f>
        <v/>
      </c>
      <c r="G70" s="413" t="str">
        <f t="shared" si="1"/>
        <v/>
      </c>
      <c r="H70" s="413" t="str">
        <f t="shared" si="2"/>
        <v/>
      </c>
      <c r="I70" s="414">
        <f t="shared" si="3"/>
        <v>0</v>
      </c>
      <c r="J70" s="414">
        <f t="shared" si="3"/>
        <v>0</v>
      </c>
      <c r="K70" s="137"/>
      <c r="L70" s="415">
        <f t="shared" si="4"/>
        <v>38280</v>
      </c>
      <c r="M70" s="416">
        <f t="shared" si="5"/>
        <v>42</v>
      </c>
      <c r="N70" s="417">
        <f t="array" ref="N70">IF(COUNT(IF($M70=$B$29:$B$606,C$29:C$606,""))=0,"",SUM(IF($M70=$B$29:$B$606,C$29:C$606,""))/COUNT(IF($M70=$B$29:$B$606,C$29:C$606,"")))</f>
        <v>0.83266480510092222</v>
      </c>
      <c r="O70" s="417" t="str">
        <f t="array" ref="O70">IF(COUNT(IF($M70=$B$29:$B$606,D$29:D$606,""))=0,"",SUM(IF($M70=$B$29:$B$606,D$29:D$606,""))/COUNT(IF($M70=$B$29:$B$606,D$29:D$606,"")))</f>
        <v/>
      </c>
      <c r="P70" s="417" t="str">
        <f t="array" ref="P70">IF(COUNT(IF($M70=$B$29:$B$606,E$29:E$606,""))=0,"",SUM(IF($M70=$B$29:$B$606,E$29:E$606,""))/COUNT(IF($M70=$B$29:$B$606,E$29:E$606,"")))</f>
        <v/>
      </c>
      <c r="Q70" s="417" t="str">
        <f t="array" ref="Q70">IF(COUNT(IF($M70=$B$29:$B$606,F$29:F$606,""))=0,"",SUM(IF($M70=$B$29:$B$606,F$29:F$606,""))/COUNT(IF($M70=$B$29:$B$606,F$29:F$606,"")))</f>
        <v/>
      </c>
      <c r="R70" s="417" t="str">
        <f t="array" ref="R70">IF(COUNT(IF($M70=$B$29:$B$606,G$29:G$606,""))=0,"",SUM(IF($M70=$B$29:$B$606,G$29:G$606,""))/COUNT(IF($M70=$B$29:$B$606,G$29:G$606,"")))</f>
        <v/>
      </c>
      <c r="S70" s="417" t="str">
        <f t="array" ref="S70">IF(COUNT(IF($M70=$B$29:$B$606,H$29:H$606,""))=0,"",SUM(IF($M70=$B$29:$B$606,H$29:H$606,""))/COUNT(IF($M70=$B$29:$B$606,H$29:H$606,"")))</f>
        <v/>
      </c>
      <c r="T70" s="417">
        <f t="array" ref="T70">IF(COUNT(IF($M70=$B$29:$B$606,I$29:I$606,""))=0,"",MAX(IF($M70=$B$29:$B$606,I$29:I$606,"")))</f>
        <v>0</v>
      </c>
      <c r="U70" s="417">
        <f t="array" ref="U70">IF(COUNT(IF($M70=$B$29:$B$606,J$29:J$606,""))=0,"",MAX(IF($M70=$B$29:$B$606,J$29:J$606,"")))</f>
        <v>0</v>
      </c>
      <c r="V70" s="416">
        <f t="array" ref="V70">COUNT(IF(M70=$B$29:$B$606,$E$29:$E$606,""))</f>
        <v>0</v>
      </c>
      <c r="W70" s="137"/>
      <c r="X70" s="137"/>
      <c r="Y70" s="137"/>
      <c r="Z70" s="137"/>
      <c r="AA70" s="137"/>
      <c r="AB70" s="137"/>
      <c r="AC70" s="137"/>
      <c r="AD70" s="137"/>
      <c r="AE70" s="137"/>
      <c r="AF70" s="137"/>
      <c r="AG70" s="137"/>
      <c r="AH70" s="137"/>
      <c r="AI70" s="137"/>
      <c r="AJ70" s="137"/>
      <c r="AK70" s="137"/>
      <c r="AL70" s="137"/>
      <c r="AM70" s="137"/>
      <c r="AN70" s="137"/>
      <c r="AO70" s="137"/>
      <c r="AP70" s="137"/>
      <c r="AQ70" s="137"/>
    </row>
    <row r="71" spans="1:43">
      <c r="A71" s="407">
        <f>Input!B64</f>
        <v>38029</v>
      </c>
      <c r="B71" s="410">
        <f t="shared" si="6"/>
        <v>7</v>
      </c>
      <c r="C71" s="411">
        <f>IF(Input!I64&lt;=0,"",Input!I64)</f>
        <v>0.36790181555226631</v>
      </c>
      <c r="D71" s="412" t="str">
        <f>IF(G71="","",Input!Q64)</f>
        <v/>
      </c>
      <c r="E71" s="412" t="str">
        <f>IF(ISERROR(Input!AA64),"",Input!AA64)</f>
        <v/>
      </c>
      <c r="F71" s="412" t="str">
        <f>IF(E71="","",Input!AQ64)</f>
        <v/>
      </c>
      <c r="G71" s="413" t="str">
        <f t="shared" si="1"/>
        <v/>
      </c>
      <c r="H71" s="413" t="str">
        <f t="shared" si="2"/>
        <v/>
      </c>
      <c r="I71" s="414">
        <f t="shared" si="3"/>
        <v>0</v>
      </c>
      <c r="J71" s="414">
        <f t="shared" si="3"/>
        <v>0</v>
      </c>
      <c r="K71" s="137"/>
      <c r="L71" s="415">
        <f t="shared" si="4"/>
        <v>38287</v>
      </c>
      <c r="M71" s="416">
        <f t="shared" si="5"/>
        <v>43</v>
      </c>
      <c r="N71" s="417">
        <f t="array" ref="N71">IF(COUNT(IF($M71=$B$29:$B$606,C$29:C$606,""))=0,"",SUM(IF($M71=$B$29:$B$606,C$29:C$606,""))/COUNT(IF($M71=$B$29:$B$606,C$29:C$606,"")))</f>
        <v>0.64855129067016193</v>
      </c>
      <c r="O71" s="417" t="str">
        <f t="array" ref="O71">IF(COUNT(IF($M71=$B$29:$B$606,D$29:D$606,""))=0,"",SUM(IF($M71=$B$29:$B$606,D$29:D$606,""))/COUNT(IF($M71=$B$29:$B$606,D$29:D$606,"")))</f>
        <v/>
      </c>
      <c r="P71" s="417" t="str">
        <f t="array" ref="P71">IF(COUNT(IF($M71=$B$29:$B$606,E$29:E$606,""))=0,"",SUM(IF($M71=$B$29:$B$606,E$29:E$606,""))/COUNT(IF($M71=$B$29:$B$606,E$29:E$606,"")))</f>
        <v/>
      </c>
      <c r="Q71" s="417" t="str">
        <f t="array" ref="Q71">IF(COUNT(IF($M71=$B$29:$B$606,F$29:F$606,""))=0,"",SUM(IF($M71=$B$29:$B$606,F$29:F$606,""))/COUNT(IF($M71=$B$29:$B$606,F$29:F$606,"")))</f>
        <v/>
      </c>
      <c r="R71" s="417" t="str">
        <f t="array" ref="R71">IF(COUNT(IF($M71=$B$29:$B$606,G$29:G$606,""))=0,"",SUM(IF($M71=$B$29:$B$606,G$29:G$606,""))/COUNT(IF($M71=$B$29:$B$606,G$29:G$606,"")))</f>
        <v/>
      </c>
      <c r="S71" s="417" t="str">
        <f t="array" ref="S71">IF(COUNT(IF($M71=$B$29:$B$606,H$29:H$606,""))=0,"",SUM(IF($M71=$B$29:$B$606,H$29:H$606,""))/COUNT(IF($M71=$B$29:$B$606,H$29:H$606,"")))</f>
        <v/>
      </c>
      <c r="T71" s="417">
        <f t="array" ref="T71">IF(COUNT(IF($M71=$B$29:$B$606,I$29:I$606,""))=0,"",MAX(IF($M71=$B$29:$B$606,I$29:I$606,"")))</f>
        <v>0</v>
      </c>
      <c r="U71" s="417">
        <f t="array" ref="U71">IF(COUNT(IF($M71=$B$29:$B$606,J$29:J$606,""))=0,"",MAX(IF($M71=$B$29:$B$606,J$29:J$606,"")))</f>
        <v>0</v>
      </c>
      <c r="V71" s="416">
        <f t="array" ref="V71">COUNT(IF(M71=$B$29:$B$606,$E$29:$E$606,""))</f>
        <v>0</v>
      </c>
      <c r="W71" s="137"/>
      <c r="X71" s="137"/>
      <c r="Y71" s="137"/>
      <c r="Z71" s="137"/>
      <c r="AA71" s="137"/>
      <c r="AB71" s="137"/>
      <c r="AC71" s="137"/>
      <c r="AD71" s="137"/>
      <c r="AE71" s="137"/>
      <c r="AF71" s="137"/>
      <c r="AG71" s="137"/>
      <c r="AH71" s="137"/>
      <c r="AI71" s="137"/>
      <c r="AJ71" s="137"/>
      <c r="AK71" s="137"/>
      <c r="AL71" s="137"/>
      <c r="AM71" s="137"/>
      <c r="AN71" s="137"/>
      <c r="AO71" s="137"/>
      <c r="AP71" s="137"/>
      <c r="AQ71" s="137"/>
    </row>
    <row r="72" spans="1:43">
      <c r="A72" s="407">
        <f>Input!B65</f>
        <v>38030</v>
      </c>
      <c r="B72" s="410">
        <f t="shared" si="6"/>
        <v>7</v>
      </c>
      <c r="C72" s="411">
        <f>IF(Input!I65&lt;=0,"",Input!I65)</f>
        <v>0.41322020685184946</v>
      </c>
      <c r="D72" s="412" t="str">
        <f>IF(G72="","",Input!Q65)</f>
        <v/>
      </c>
      <c r="E72" s="412" t="str">
        <f>IF(ISERROR(Input!AA65),"",Input!AA65)</f>
        <v/>
      </c>
      <c r="F72" s="412" t="str">
        <f>IF(E72="","",Input!AQ65)</f>
        <v/>
      </c>
      <c r="G72" s="413" t="str">
        <f t="shared" si="1"/>
        <v/>
      </c>
      <c r="H72" s="413" t="str">
        <f t="shared" si="2"/>
        <v/>
      </c>
      <c r="I72" s="414">
        <f t="shared" si="3"/>
        <v>0</v>
      </c>
      <c r="J72" s="414">
        <f t="shared" si="3"/>
        <v>0</v>
      </c>
      <c r="K72" s="137"/>
      <c r="L72" s="415">
        <f t="shared" si="4"/>
        <v>38294</v>
      </c>
      <c r="M72" s="416">
        <f t="shared" si="5"/>
        <v>44</v>
      </c>
      <c r="N72" s="417">
        <f t="array" ref="N72">IF(COUNT(IF($M72=$B$29:$B$606,C$29:C$606,""))=0,"",SUM(IF($M72=$B$29:$B$606,C$29:C$606,""))/COUNT(IF($M72=$B$29:$B$606,C$29:C$606,"")))</f>
        <v>0.67833331111382356</v>
      </c>
      <c r="O72" s="417" t="str">
        <f t="array" ref="O72">IF(COUNT(IF($M72=$B$29:$B$606,D$29:D$606,""))=0,"",SUM(IF($M72=$B$29:$B$606,D$29:D$606,""))/COUNT(IF($M72=$B$29:$B$606,D$29:D$606,"")))</f>
        <v/>
      </c>
      <c r="P72" s="417" t="str">
        <f t="array" ref="P72">IF(COUNT(IF($M72=$B$29:$B$606,E$29:E$606,""))=0,"",SUM(IF($M72=$B$29:$B$606,E$29:E$606,""))/COUNT(IF($M72=$B$29:$B$606,E$29:E$606,"")))</f>
        <v/>
      </c>
      <c r="Q72" s="417" t="str">
        <f t="array" ref="Q72">IF(COUNT(IF($M72=$B$29:$B$606,F$29:F$606,""))=0,"",SUM(IF($M72=$B$29:$B$606,F$29:F$606,""))/COUNT(IF($M72=$B$29:$B$606,F$29:F$606,"")))</f>
        <v/>
      </c>
      <c r="R72" s="417" t="str">
        <f t="array" ref="R72">IF(COUNT(IF($M72=$B$29:$B$606,G$29:G$606,""))=0,"",SUM(IF($M72=$B$29:$B$606,G$29:G$606,""))/COUNT(IF($M72=$B$29:$B$606,G$29:G$606,"")))</f>
        <v/>
      </c>
      <c r="S72" s="417" t="str">
        <f t="array" ref="S72">IF(COUNT(IF($M72=$B$29:$B$606,H$29:H$606,""))=0,"",SUM(IF($M72=$B$29:$B$606,H$29:H$606,""))/COUNT(IF($M72=$B$29:$B$606,H$29:H$606,"")))</f>
        <v/>
      </c>
      <c r="T72" s="417">
        <f t="array" ref="T72">IF(COUNT(IF($M72=$B$29:$B$606,I$29:I$606,""))=0,"",MAX(IF($M72=$B$29:$B$606,I$29:I$606,"")))</f>
        <v>0</v>
      </c>
      <c r="U72" s="417">
        <f t="array" ref="U72">IF(COUNT(IF($M72=$B$29:$B$606,J$29:J$606,""))=0,"",MAX(IF($M72=$B$29:$B$606,J$29:J$606,"")))</f>
        <v>0</v>
      </c>
      <c r="V72" s="416">
        <f t="array" ref="V72">COUNT(IF(M72=$B$29:$B$606,$E$29:$E$606,""))</f>
        <v>0</v>
      </c>
      <c r="W72" s="137"/>
      <c r="X72" s="137"/>
      <c r="Y72" s="137"/>
      <c r="Z72" s="137"/>
      <c r="AA72" s="137"/>
      <c r="AB72" s="137"/>
      <c r="AC72" s="137"/>
      <c r="AD72" s="137"/>
      <c r="AE72" s="137"/>
      <c r="AF72" s="137"/>
      <c r="AG72" s="137"/>
      <c r="AH72" s="137"/>
      <c r="AI72" s="137"/>
      <c r="AJ72" s="137"/>
      <c r="AK72" s="137"/>
      <c r="AL72" s="137"/>
      <c r="AM72" s="137"/>
      <c r="AN72" s="137"/>
      <c r="AO72" s="137"/>
      <c r="AP72" s="137"/>
      <c r="AQ72" s="137"/>
    </row>
    <row r="73" spans="1:43">
      <c r="A73" s="407">
        <f>Input!B66</f>
        <v>38031</v>
      </c>
      <c r="B73" s="410">
        <f t="shared" si="6"/>
        <v>7</v>
      </c>
      <c r="C73" s="411">
        <f>IF(Input!I66&lt;=0,"",Input!I66)</f>
        <v>0.39576125991328082</v>
      </c>
      <c r="D73" s="412" t="str">
        <f>IF(G73="","",Input!Q66)</f>
        <v/>
      </c>
      <c r="E73" s="412" t="str">
        <f>IF(ISERROR(Input!AA66),"",Input!AA66)</f>
        <v/>
      </c>
      <c r="F73" s="412" t="str">
        <f>IF(E73="","",Input!AQ66)</f>
        <v/>
      </c>
      <c r="G73" s="413" t="str">
        <f t="shared" si="1"/>
        <v/>
      </c>
      <c r="H73" s="413" t="str">
        <f t="shared" si="2"/>
        <v/>
      </c>
      <c r="I73" s="414">
        <f t="shared" si="3"/>
        <v>0</v>
      </c>
      <c r="J73" s="414">
        <f t="shared" si="3"/>
        <v>0</v>
      </c>
      <c r="K73" s="137"/>
      <c r="L73" s="415">
        <f t="shared" si="4"/>
        <v>38301</v>
      </c>
      <c r="M73" s="416">
        <f t="shared" si="5"/>
        <v>45</v>
      </c>
      <c r="N73" s="417">
        <f t="array" ref="N73">IF(COUNT(IF($M73=$B$29:$B$606,C$29:C$606,""))=0,"",SUM(IF($M73=$B$29:$B$606,C$29:C$606,""))/COUNT(IF($M73=$B$29:$B$606,C$29:C$606,"")))</f>
        <v>0.53212742712859451</v>
      </c>
      <c r="O73" s="417" t="str">
        <f t="array" ref="O73">IF(COUNT(IF($M73=$B$29:$B$606,D$29:D$606,""))=0,"",SUM(IF($M73=$B$29:$B$606,D$29:D$606,""))/COUNT(IF($M73=$B$29:$B$606,D$29:D$606,"")))</f>
        <v/>
      </c>
      <c r="P73" s="417" t="str">
        <f t="array" ref="P73">IF(COUNT(IF($M73=$B$29:$B$606,E$29:E$606,""))=0,"",SUM(IF($M73=$B$29:$B$606,E$29:E$606,""))/COUNT(IF($M73=$B$29:$B$606,E$29:E$606,"")))</f>
        <v/>
      </c>
      <c r="Q73" s="417" t="str">
        <f t="array" ref="Q73">IF(COUNT(IF($M73=$B$29:$B$606,F$29:F$606,""))=0,"",SUM(IF($M73=$B$29:$B$606,F$29:F$606,""))/COUNT(IF($M73=$B$29:$B$606,F$29:F$606,"")))</f>
        <v/>
      </c>
      <c r="R73" s="417" t="str">
        <f t="array" ref="R73">IF(COUNT(IF($M73=$B$29:$B$606,G$29:G$606,""))=0,"",SUM(IF($M73=$B$29:$B$606,G$29:G$606,""))/COUNT(IF($M73=$B$29:$B$606,G$29:G$606,"")))</f>
        <v/>
      </c>
      <c r="S73" s="417" t="str">
        <f t="array" ref="S73">IF(COUNT(IF($M73=$B$29:$B$606,H$29:H$606,""))=0,"",SUM(IF($M73=$B$29:$B$606,H$29:H$606,""))/COUNT(IF($M73=$B$29:$B$606,H$29:H$606,"")))</f>
        <v/>
      </c>
      <c r="T73" s="417">
        <f t="array" ref="T73">IF(COUNT(IF($M73=$B$29:$B$606,I$29:I$606,""))=0,"",MAX(IF($M73=$B$29:$B$606,I$29:I$606,"")))</f>
        <v>0</v>
      </c>
      <c r="U73" s="417">
        <f t="array" ref="U73">IF(COUNT(IF($M73=$B$29:$B$606,J$29:J$606,""))=0,"",MAX(IF($M73=$B$29:$B$606,J$29:J$606,"")))</f>
        <v>0</v>
      </c>
      <c r="V73" s="416">
        <f t="array" ref="V73">COUNT(IF(M73=$B$29:$B$606,$E$29:$E$606,""))</f>
        <v>0</v>
      </c>
      <c r="W73" s="137"/>
      <c r="X73" s="137"/>
      <c r="Y73" s="137"/>
      <c r="Z73" s="137"/>
      <c r="AA73" s="137"/>
      <c r="AB73" s="137"/>
      <c r="AC73" s="137"/>
      <c r="AD73" s="137"/>
      <c r="AE73" s="137"/>
      <c r="AF73" s="137"/>
      <c r="AG73" s="137"/>
      <c r="AH73" s="137"/>
      <c r="AI73" s="137"/>
      <c r="AJ73" s="137"/>
      <c r="AK73" s="137"/>
      <c r="AL73" s="137"/>
      <c r="AM73" s="137"/>
      <c r="AN73" s="137"/>
      <c r="AO73" s="137"/>
      <c r="AP73" s="137"/>
      <c r="AQ73" s="137"/>
    </row>
    <row r="74" spans="1:43">
      <c r="A74" s="407">
        <f>Input!B67</f>
        <v>38032</v>
      </c>
      <c r="B74" s="410">
        <f t="shared" si="6"/>
        <v>7</v>
      </c>
      <c r="C74" s="411">
        <f>IF(Input!I67&lt;=0,"",Input!I67)</f>
        <v>0.2110792416261621</v>
      </c>
      <c r="D74" s="412" t="str">
        <f>IF(G74="","",Input!Q67)</f>
        <v/>
      </c>
      <c r="E74" s="412" t="str">
        <f>IF(ISERROR(Input!AA67),"",Input!AA67)</f>
        <v/>
      </c>
      <c r="F74" s="412" t="str">
        <f>IF(E74="","",Input!AQ67)</f>
        <v/>
      </c>
      <c r="G74" s="413" t="str">
        <f t="shared" si="1"/>
        <v/>
      </c>
      <c r="H74" s="413" t="str">
        <f t="shared" si="2"/>
        <v/>
      </c>
      <c r="I74" s="414">
        <f t="shared" si="3"/>
        <v>0</v>
      </c>
      <c r="J74" s="414">
        <f t="shared" si="3"/>
        <v>0</v>
      </c>
      <c r="K74" s="137"/>
      <c r="L74" s="415">
        <f t="shared" si="4"/>
        <v>38308</v>
      </c>
      <c r="M74" s="416">
        <f t="shared" si="5"/>
        <v>46</v>
      </c>
      <c r="N74" s="417">
        <f t="array" ref="N74">IF(COUNT(IF($M74=$B$29:$B$606,C$29:C$606,""))=0,"",SUM(IF($M74=$B$29:$B$606,C$29:C$606,""))/COUNT(IF($M74=$B$29:$B$606,C$29:C$606,"")))</f>
        <v>0.3836331601892583</v>
      </c>
      <c r="O74" s="417" t="str">
        <f t="array" ref="O74">IF(COUNT(IF($M74=$B$29:$B$606,D$29:D$606,""))=0,"",SUM(IF($M74=$B$29:$B$606,D$29:D$606,""))/COUNT(IF($M74=$B$29:$B$606,D$29:D$606,"")))</f>
        <v/>
      </c>
      <c r="P74" s="417" t="str">
        <f t="array" ref="P74">IF(COUNT(IF($M74=$B$29:$B$606,E$29:E$606,""))=0,"",SUM(IF($M74=$B$29:$B$606,E$29:E$606,""))/COUNT(IF($M74=$B$29:$B$606,E$29:E$606,"")))</f>
        <v/>
      </c>
      <c r="Q74" s="417" t="str">
        <f t="array" ref="Q74">IF(COUNT(IF($M74=$B$29:$B$606,F$29:F$606,""))=0,"",SUM(IF($M74=$B$29:$B$606,F$29:F$606,""))/COUNT(IF($M74=$B$29:$B$606,F$29:F$606,"")))</f>
        <v/>
      </c>
      <c r="R74" s="417" t="str">
        <f t="array" ref="R74">IF(COUNT(IF($M74=$B$29:$B$606,G$29:G$606,""))=0,"",SUM(IF($M74=$B$29:$B$606,G$29:G$606,""))/COUNT(IF($M74=$B$29:$B$606,G$29:G$606,"")))</f>
        <v/>
      </c>
      <c r="S74" s="417" t="str">
        <f t="array" ref="S74">IF(COUNT(IF($M74=$B$29:$B$606,H$29:H$606,""))=0,"",SUM(IF($M74=$B$29:$B$606,H$29:H$606,""))/COUNT(IF($M74=$B$29:$B$606,H$29:H$606,"")))</f>
        <v/>
      </c>
      <c r="T74" s="417">
        <f t="array" ref="T74">IF(COUNT(IF($M74=$B$29:$B$606,I$29:I$606,""))=0,"",MAX(IF($M74=$B$29:$B$606,I$29:I$606,"")))</f>
        <v>0</v>
      </c>
      <c r="U74" s="417">
        <f t="array" ref="U74">IF(COUNT(IF($M74=$B$29:$B$606,J$29:J$606,""))=0,"",MAX(IF($M74=$B$29:$B$606,J$29:J$606,"")))</f>
        <v>0</v>
      </c>
      <c r="V74" s="416">
        <f t="array" ref="V74">COUNT(IF(M74=$B$29:$B$606,$E$29:$E$606,""))</f>
        <v>0</v>
      </c>
      <c r="W74" s="137"/>
      <c r="X74" s="137"/>
      <c r="Y74" s="137"/>
      <c r="Z74" s="137"/>
      <c r="AA74" s="137"/>
      <c r="AB74" s="137"/>
      <c r="AC74" s="137"/>
      <c r="AD74" s="137"/>
      <c r="AE74" s="137"/>
      <c r="AF74" s="137"/>
      <c r="AG74" s="137"/>
      <c r="AH74" s="137"/>
      <c r="AI74" s="137"/>
      <c r="AJ74" s="137"/>
      <c r="AK74" s="137"/>
      <c r="AL74" s="137"/>
      <c r="AM74" s="137"/>
      <c r="AN74" s="137"/>
      <c r="AO74" s="137"/>
      <c r="AP74" s="137"/>
      <c r="AQ74" s="137"/>
    </row>
    <row r="75" spans="1:43">
      <c r="A75" s="407">
        <f>Input!B68</f>
        <v>38033</v>
      </c>
      <c r="B75" s="410">
        <f t="shared" si="6"/>
        <v>7</v>
      </c>
      <c r="C75" s="411">
        <f>IF(Input!I68&lt;=0,"",Input!I68)</f>
        <v>0.16164582054947796</v>
      </c>
      <c r="D75" s="412" t="str">
        <f>IF(G75="","",Input!Q68)</f>
        <v/>
      </c>
      <c r="E75" s="412" t="str">
        <f>IF(ISERROR(Input!AA68),"",Input!AA68)</f>
        <v/>
      </c>
      <c r="F75" s="412" t="str">
        <f>IF(E75="","",Input!AQ68)</f>
        <v/>
      </c>
      <c r="G75" s="413" t="str">
        <f t="shared" si="1"/>
        <v/>
      </c>
      <c r="H75" s="413" t="str">
        <f t="shared" si="2"/>
        <v/>
      </c>
      <c r="I75" s="414">
        <f t="shared" si="3"/>
        <v>0</v>
      </c>
      <c r="J75" s="414">
        <f t="shared" si="3"/>
        <v>0</v>
      </c>
      <c r="K75" s="137"/>
      <c r="L75" s="415">
        <f t="shared" si="4"/>
        <v>38315</v>
      </c>
      <c r="M75" s="416">
        <f t="shared" si="5"/>
        <v>47</v>
      </c>
      <c r="N75" s="417">
        <f t="array" ref="N75">IF(COUNT(IF($M75=$B$29:$B$606,C$29:C$606,""))=0,"",SUM(IF($M75=$B$29:$B$606,C$29:C$606,""))/COUNT(IF($M75=$B$29:$B$606,C$29:C$606,"")))</f>
        <v>0.33394958755873</v>
      </c>
      <c r="O75" s="417" t="str">
        <f t="array" ref="O75">IF(COUNT(IF($M75=$B$29:$B$606,D$29:D$606,""))=0,"",SUM(IF($M75=$B$29:$B$606,D$29:D$606,""))/COUNT(IF($M75=$B$29:$B$606,D$29:D$606,"")))</f>
        <v/>
      </c>
      <c r="P75" s="417" t="str">
        <f t="array" ref="P75">IF(COUNT(IF($M75=$B$29:$B$606,E$29:E$606,""))=0,"",SUM(IF($M75=$B$29:$B$606,E$29:E$606,""))/COUNT(IF($M75=$B$29:$B$606,E$29:E$606,"")))</f>
        <v/>
      </c>
      <c r="Q75" s="417" t="str">
        <f t="array" ref="Q75">IF(COUNT(IF($M75=$B$29:$B$606,F$29:F$606,""))=0,"",SUM(IF($M75=$B$29:$B$606,F$29:F$606,""))/COUNT(IF($M75=$B$29:$B$606,F$29:F$606,"")))</f>
        <v/>
      </c>
      <c r="R75" s="417" t="str">
        <f t="array" ref="R75">IF(COUNT(IF($M75=$B$29:$B$606,G$29:G$606,""))=0,"",SUM(IF($M75=$B$29:$B$606,G$29:G$606,""))/COUNT(IF($M75=$B$29:$B$606,G$29:G$606,"")))</f>
        <v/>
      </c>
      <c r="S75" s="417" t="str">
        <f t="array" ref="S75">IF(COUNT(IF($M75=$B$29:$B$606,H$29:H$606,""))=0,"",SUM(IF($M75=$B$29:$B$606,H$29:H$606,""))/COUNT(IF($M75=$B$29:$B$606,H$29:H$606,"")))</f>
        <v/>
      </c>
      <c r="T75" s="417">
        <f t="array" ref="T75">IF(COUNT(IF($M75=$B$29:$B$606,I$29:I$606,""))=0,"",MAX(IF($M75=$B$29:$B$606,I$29:I$606,"")))</f>
        <v>0</v>
      </c>
      <c r="U75" s="417">
        <f t="array" ref="U75">IF(COUNT(IF($M75=$B$29:$B$606,J$29:J$606,""))=0,"",MAX(IF($M75=$B$29:$B$606,J$29:J$606,"")))</f>
        <v>0</v>
      </c>
      <c r="V75" s="416">
        <f t="array" ref="V75">COUNT(IF(M75=$B$29:$B$606,$E$29:$E$606,""))</f>
        <v>0</v>
      </c>
      <c r="W75" s="137"/>
      <c r="X75" s="137"/>
      <c r="Y75" s="137"/>
      <c r="Z75" s="137"/>
      <c r="AA75" s="137"/>
      <c r="AB75" s="137"/>
      <c r="AC75" s="137"/>
      <c r="AD75" s="137"/>
      <c r="AE75" s="137"/>
      <c r="AF75" s="137"/>
      <c r="AG75" s="137"/>
      <c r="AH75" s="137"/>
      <c r="AI75" s="137"/>
      <c r="AJ75" s="137"/>
      <c r="AK75" s="137"/>
      <c r="AL75" s="137"/>
      <c r="AM75" s="137"/>
      <c r="AN75" s="137"/>
      <c r="AO75" s="137"/>
      <c r="AP75" s="137"/>
      <c r="AQ75" s="137"/>
    </row>
    <row r="76" spans="1:43">
      <c r="A76" s="407">
        <f>Input!B69</f>
        <v>38034</v>
      </c>
      <c r="B76" s="410">
        <f t="shared" si="6"/>
        <v>7</v>
      </c>
      <c r="C76" s="411">
        <f>IF(Input!I69&lt;=0,"",Input!I69)</f>
        <v>0.42844195262703466</v>
      </c>
      <c r="D76" s="412" t="str">
        <f>IF(G76="","",Input!Q69)</f>
        <v/>
      </c>
      <c r="E76" s="412" t="str">
        <f>IF(ISERROR(Input!AA69),"",Input!AA69)</f>
        <v/>
      </c>
      <c r="F76" s="412" t="str">
        <f>IF(E76="","",Input!AQ69)</f>
        <v/>
      </c>
      <c r="G76" s="413" t="str">
        <f t="shared" si="1"/>
        <v/>
      </c>
      <c r="H76" s="413" t="str">
        <f t="shared" si="2"/>
        <v/>
      </c>
      <c r="I76" s="414">
        <f t="shared" si="3"/>
        <v>0</v>
      </c>
      <c r="J76" s="414">
        <f t="shared" si="3"/>
        <v>0</v>
      </c>
      <c r="K76" s="137"/>
      <c r="L76" s="415">
        <f t="shared" si="4"/>
        <v>38322</v>
      </c>
      <c r="M76" s="416">
        <f t="shared" si="5"/>
        <v>48</v>
      </c>
      <c r="N76" s="417">
        <f t="array" ref="N76">IF(COUNT(IF($M76=$B$29:$B$606,C$29:C$606,""))=0,"",SUM(IF($M76=$B$29:$B$606,C$29:C$606,""))/COUNT(IF($M76=$B$29:$B$606,C$29:C$606,"")))</f>
        <v>0.34914906396827278</v>
      </c>
      <c r="O76" s="417" t="str">
        <f t="array" ref="O76">IF(COUNT(IF($M76=$B$29:$B$606,D$29:D$606,""))=0,"",SUM(IF($M76=$B$29:$B$606,D$29:D$606,""))/COUNT(IF($M76=$B$29:$B$606,D$29:D$606,"")))</f>
        <v/>
      </c>
      <c r="P76" s="417" t="str">
        <f t="array" ref="P76">IF(COUNT(IF($M76=$B$29:$B$606,E$29:E$606,""))=0,"",SUM(IF($M76=$B$29:$B$606,E$29:E$606,""))/COUNT(IF($M76=$B$29:$B$606,E$29:E$606,"")))</f>
        <v/>
      </c>
      <c r="Q76" s="417" t="str">
        <f t="array" ref="Q76">IF(COUNT(IF($M76=$B$29:$B$606,F$29:F$606,""))=0,"",SUM(IF($M76=$B$29:$B$606,F$29:F$606,""))/COUNT(IF($M76=$B$29:$B$606,F$29:F$606,"")))</f>
        <v/>
      </c>
      <c r="R76" s="417" t="str">
        <f t="array" ref="R76">IF(COUNT(IF($M76=$B$29:$B$606,G$29:G$606,""))=0,"",SUM(IF($M76=$B$29:$B$606,G$29:G$606,""))/COUNT(IF($M76=$B$29:$B$606,G$29:G$606,"")))</f>
        <v/>
      </c>
      <c r="S76" s="417" t="str">
        <f t="array" ref="S76">IF(COUNT(IF($M76=$B$29:$B$606,H$29:H$606,""))=0,"",SUM(IF($M76=$B$29:$B$606,H$29:H$606,""))/COUNT(IF($M76=$B$29:$B$606,H$29:H$606,"")))</f>
        <v/>
      </c>
      <c r="T76" s="417">
        <f t="array" ref="T76">IF(COUNT(IF($M76=$B$29:$B$606,I$29:I$606,""))=0,"",MAX(IF($M76=$B$29:$B$606,I$29:I$606,"")))</f>
        <v>0</v>
      </c>
      <c r="U76" s="417">
        <f t="array" ref="U76">IF(COUNT(IF($M76=$B$29:$B$606,J$29:J$606,""))=0,"",MAX(IF($M76=$B$29:$B$606,J$29:J$606,"")))</f>
        <v>0</v>
      </c>
      <c r="V76" s="416">
        <f t="array" ref="V76">COUNT(IF(M76=$B$29:$B$606,$E$29:$E$606,""))</f>
        <v>0</v>
      </c>
      <c r="W76" s="137"/>
      <c r="X76" s="137"/>
      <c r="Y76" s="137"/>
      <c r="Z76" s="137"/>
      <c r="AA76" s="137"/>
      <c r="AB76" s="137"/>
      <c r="AC76" s="137"/>
      <c r="AD76" s="137"/>
      <c r="AE76" s="137"/>
      <c r="AF76" s="137"/>
      <c r="AG76" s="137"/>
      <c r="AH76" s="137"/>
      <c r="AI76" s="137"/>
      <c r="AJ76" s="137"/>
      <c r="AK76" s="137"/>
      <c r="AL76" s="137"/>
      <c r="AM76" s="137"/>
      <c r="AN76" s="137"/>
      <c r="AO76" s="137"/>
      <c r="AP76" s="137"/>
      <c r="AQ76" s="137"/>
    </row>
    <row r="77" spans="1:43">
      <c r="A77" s="407">
        <f>Input!B70</f>
        <v>38035</v>
      </c>
      <c r="B77" s="410">
        <f t="shared" si="6"/>
        <v>7</v>
      </c>
      <c r="C77" s="411">
        <f>IF(Input!I70&lt;=0,"",Input!I70)</f>
        <v>0.27012829790668447</v>
      </c>
      <c r="D77" s="412" t="str">
        <f>IF(G77="","",Input!Q70)</f>
        <v/>
      </c>
      <c r="E77" s="412" t="str">
        <f>IF(ISERROR(Input!AA70),"",Input!AA70)</f>
        <v/>
      </c>
      <c r="F77" s="412" t="str">
        <f>IF(E77="","",Input!AQ70)</f>
        <v/>
      </c>
      <c r="G77" s="413" t="str">
        <f t="shared" si="1"/>
        <v/>
      </c>
      <c r="H77" s="413" t="str">
        <f t="shared" si="2"/>
        <v/>
      </c>
      <c r="I77" s="414">
        <f t="shared" si="3"/>
        <v>0</v>
      </c>
      <c r="J77" s="414">
        <f t="shared" si="3"/>
        <v>0</v>
      </c>
      <c r="K77" s="137"/>
      <c r="L77" s="415">
        <f t="shared" si="4"/>
        <v>38329</v>
      </c>
      <c r="M77" s="416">
        <f t="shared" si="5"/>
        <v>49</v>
      </c>
      <c r="N77" s="417">
        <f t="array" ref="N77">IF(COUNT(IF($M77=$B$29:$B$606,C$29:C$606,""))=0,"",SUM(IF($M77=$B$29:$B$606,C$29:C$606,""))/COUNT(IF($M77=$B$29:$B$606,C$29:C$606,"")))</f>
        <v>0.22717102883217932</v>
      </c>
      <c r="O77" s="417" t="str">
        <f t="array" ref="O77">IF(COUNT(IF($M77=$B$29:$B$606,D$29:D$606,""))=0,"",SUM(IF($M77=$B$29:$B$606,D$29:D$606,""))/COUNT(IF($M77=$B$29:$B$606,D$29:D$606,"")))</f>
        <v/>
      </c>
      <c r="P77" s="417" t="str">
        <f t="array" ref="P77">IF(COUNT(IF($M77=$B$29:$B$606,E$29:E$606,""))=0,"",SUM(IF($M77=$B$29:$B$606,E$29:E$606,""))/COUNT(IF($M77=$B$29:$B$606,E$29:E$606,"")))</f>
        <v/>
      </c>
      <c r="Q77" s="417" t="str">
        <f t="array" ref="Q77">IF(COUNT(IF($M77=$B$29:$B$606,F$29:F$606,""))=0,"",SUM(IF($M77=$B$29:$B$606,F$29:F$606,""))/COUNT(IF($M77=$B$29:$B$606,F$29:F$606,"")))</f>
        <v/>
      </c>
      <c r="R77" s="417" t="str">
        <f t="array" ref="R77">IF(COUNT(IF($M77=$B$29:$B$606,G$29:G$606,""))=0,"",SUM(IF($M77=$B$29:$B$606,G$29:G$606,""))/COUNT(IF($M77=$B$29:$B$606,G$29:G$606,"")))</f>
        <v/>
      </c>
      <c r="S77" s="417" t="str">
        <f t="array" ref="S77">IF(COUNT(IF($M77=$B$29:$B$606,H$29:H$606,""))=0,"",SUM(IF($M77=$B$29:$B$606,H$29:H$606,""))/COUNT(IF($M77=$B$29:$B$606,H$29:H$606,"")))</f>
        <v/>
      </c>
      <c r="T77" s="417">
        <f t="array" ref="T77">IF(COUNT(IF($M77=$B$29:$B$606,I$29:I$606,""))=0,"",MAX(IF($M77=$B$29:$B$606,I$29:I$606,"")))</f>
        <v>0</v>
      </c>
      <c r="U77" s="417">
        <f t="array" ref="U77">IF(COUNT(IF($M77=$B$29:$B$606,J$29:J$606,""))=0,"",MAX(IF($M77=$B$29:$B$606,J$29:J$606,"")))</f>
        <v>0</v>
      </c>
      <c r="V77" s="416">
        <f t="array" ref="V77">COUNT(IF(M77=$B$29:$B$606,$E$29:$E$606,""))</f>
        <v>0</v>
      </c>
      <c r="W77" s="137"/>
      <c r="X77" s="137"/>
      <c r="Y77" s="137"/>
      <c r="Z77" s="137"/>
      <c r="AA77" s="137"/>
      <c r="AB77" s="137"/>
      <c r="AC77" s="137"/>
      <c r="AD77" s="137"/>
      <c r="AE77" s="137"/>
      <c r="AF77" s="137"/>
      <c r="AG77" s="137"/>
      <c r="AH77" s="137"/>
      <c r="AI77" s="137"/>
      <c r="AJ77" s="137"/>
      <c r="AK77" s="137"/>
      <c r="AL77" s="137"/>
      <c r="AM77" s="137"/>
      <c r="AN77" s="137"/>
      <c r="AO77" s="137"/>
      <c r="AP77" s="137"/>
      <c r="AQ77" s="137"/>
    </row>
    <row r="78" spans="1:43">
      <c r="A78" s="407">
        <f>Input!B71</f>
        <v>38036</v>
      </c>
      <c r="B78" s="410">
        <f t="shared" si="6"/>
        <v>8</v>
      </c>
      <c r="C78" s="411">
        <f>IF(Input!I71&lt;=0,"",Input!I71)</f>
        <v>0.20151220317447621</v>
      </c>
      <c r="D78" s="412" t="str">
        <f>IF(G78="","",Input!Q71)</f>
        <v/>
      </c>
      <c r="E78" s="412" t="str">
        <f>IF(ISERROR(Input!AA71),"",Input!AA71)</f>
        <v/>
      </c>
      <c r="F78" s="412" t="str">
        <f>IF(E78="","",Input!AQ71)</f>
        <v/>
      </c>
      <c r="G78" s="413" t="str">
        <f t="shared" si="1"/>
        <v/>
      </c>
      <c r="H78" s="413" t="str">
        <f t="shared" si="2"/>
        <v/>
      </c>
      <c r="I78" s="414">
        <f t="shared" si="3"/>
        <v>0</v>
      </c>
      <c r="J78" s="414">
        <f t="shared" si="3"/>
        <v>0</v>
      </c>
      <c r="K78" s="137"/>
      <c r="L78" s="415">
        <f t="shared" si="4"/>
        <v>38336</v>
      </c>
      <c r="M78" s="416">
        <f t="shared" si="5"/>
        <v>50</v>
      </c>
      <c r="N78" s="417">
        <f t="array" ref="N78">IF(COUNT(IF($M78=$B$29:$B$606,C$29:C$606,""))=0,"",SUM(IF($M78=$B$29:$B$606,C$29:C$606,""))/COUNT(IF($M78=$B$29:$B$606,C$29:C$606,"")))</f>
        <v>0.17189521765499755</v>
      </c>
      <c r="O78" s="417" t="str">
        <f t="array" ref="O78">IF(COUNT(IF($M78=$B$29:$B$606,D$29:D$606,""))=0,"",SUM(IF($M78=$B$29:$B$606,D$29:D$606,""))/COUNT(IF($M78=$B$29:$B$606,D$29:D$606,"")))</f>
        <v/>
      </c>
      <c r="P78" s="417" t="str">
        <f t="array" ref="P78">IF(COUNT(IF($M78=$B$29:$B$606,E$29:E$606,""))=0,"",SUM(IF($M78=$B$29:$B$606,E$29:E$606,""))/COUNT(IF($M78=$B$29:$B$606,E$29:E$606,"")))</f>
        <v/>
      </c>
      <c r="Q78" s="417" t="str">
        <f t="array" ref="Q78">IF(COUNT(IF($M78=$B$29:$B$606,F$29:F$606,""))=0,"",SUM(IF($M78=$B$29:$B$606,F$29:F$606,""))/COUNT(IF($M78=$B$29:$B$606,F$29:F$606,"")))</f>
        <v/>
      </c>
      <c r="R78" s="417" t="str">
        <f t="array" ref="R78">IF(COUNT(IF($M78=$B$29:$B$606,G$29:G$606,""))=0,"",SUM(IF($M78=$B$29:$B$606,G$29:G$606,""))/COUNT(IF($M78=$B$29:$B$606,G$29:G$606,"")))</f>
        <v/>
      </c>
      <c r="S78" s="417" t="str">
        <f t="array" ref="S78">IF(COUNT(IF($M78=$B$29:$B$606,H$29:H$606,""))=0,"",SUM(IF($M78=$B$29:$B$606,H$29:H$606,""))/COUNT(IF($M78=$B$29:$B$606,H$29:H$606,"")))</f>
        <v/>
      </c>
      <c r="T78" s="417">
        <f t="array" ref="T78">IF(COUNT(IF($M78=$B$29:$B$606,I$29:I$606,""))=0,"",MAX(IF($M78=$B$29:$B$606,I$29:I$606,"")))</f>
        <v>0</v>
      </c>
      <c r="U78" s="417">
        <f t="array" ref="U78">IF(COUNT(IF($M78=$B$29:$B$606,J$29:J$606,""))=0,"",MAX(IF($M78=$B$29:$B$606,J$29:J$606,"")))</f>
        <v>0</v>
      </c>
      <c r="V78" s="416">
        <f t="array" ref="V78">COUNT(IF(M78=$B$29:$B$606,$E$29:$E$606,""))</f>
        <v>0</v>
      </c>
      <c r="W78" s="137"/>
      <c r="X78" s="137"/>
      <c r="Y78" s="137"/>
      <c r="Z78" s="137"/>
      <c r="AA78" s="137"/>
      <c r="AB78" s="137"/>
      <c r="AC78" s="137"/>
      <c r="AD78" s="137"/>
      <c r="AE78" s="137"/>
      <c r="AF78" s="137"/>
      <c r="AG78" s="137"/>
      <c r="AH78" s="137"/>
      <c r="AI78" s="137"/>
      <c r="AJ78" s="137"/>
      <c r="AK78" s="137"/>
      <c r="AL78" s="137"/>
      <c r="AM78" s="137"/>
      <c r="AN78" s="137"/>
      <c r="AO78" s="137"/>
      <c r="AP78" s="137"/>
      <c r="AQ78" s="137"/>
    </row>
    <row r="79" spans="1:43">
      <c r="A79" s="407">
        <f>Input!B72</f>
        <v>38037</v>
      </c>
      <c r="B79" s="410">
        <f t="shared" si="6"/>
        <v>8</v>
      </c>
      <c r="C79" s="411">
        <f>IF(Input!I72&lt;=0,"",Input!I72)</f>
        <v>0.40302323288783826</v>
      </c>
      <c r="D79" s="412" t="str">
        <f>IF(G79="","",Input!Q72)</f>
        <v/>
      </c>
      <c r="E79" s="412" t="str">
        <f>IF(ISERROR(Input!AA72),"",Input!AA72)</f>
        <v/>
      </c>
      <c r="F79" s="412" t="str">
        <f>IF(E79="","",Input!AQ72)</f>
        <v/>
      </c>
      <c r="G79" s="413" t="str">
        <f t="shared" si="1"/>
        <v/>
      </c>
      <c r="H79" s="413" t="str">
        <f t="shared" si="2"/>
        <v/>
      </c>
      <c r="I79" s="414">
        <f t="shared" si="3"/>
        <v>0</v>
      </c>
      <c r="J79" s="414">
        <f t="shared" si="3"/>
        <v>0</v>
      </c>
      <c r="K79" s="137"/>
      <c r="L79" s="415">
        <f t="shared" ref="L79:L111" si="7">L78+7</f>
        <v>38343</v>
      </c>
      <c r="M79" s="416">
        <f t="shared" si="5"/>
        <v>51</v>
      </c>
      <c r="N79" s="417">
        <f t="array" ref="N79">IF(COUNT(IF($M79=$B$29:$B$606,C$29:C$606,""))=0,"",SUM(IF($M79=$B$29:$B$606,C$29:C$606,""))/COUNT(IF($M79=$B$29:$B$606,C$29:C$606,"")))</f>
        <v>0.17139550235636886</v>
      </c>
      <c r="O79" s="417" t="str">
        <f t="array" ref="O79">IF(COUNT(IF($M79=$B$29:$B$606,D$29:D$606,""))=0,"",SUM(IF($M79=$B$29:$B$606,D$29:D$606,""))/COUNT(IF($M79=$B$29:$B$606,D$29:D$606,"")))</f>
        <v/>
      </c>
      <c r="P79" s="417" t="str">
        <f t="array" ref="P79">IF(COUNT(IF($M79=$B$29:$B$606,E$29:E$606,""))=0,"",SUM(IF($M79=$B$29:$B$606,E$29:E$606,""))/COUNT(IF($M79=$B$29:$B$606,E$29:E$606,"")))</f>
        <v/>
      </c>
      <c r="Q79" s="417" t="str">
        <f t="array" ref="Q79">IF(COUNT(IF($M79=$B$29:$B$606,F$29:F$606,""))=0,"",SUM(IF($M79=$B$29:$B$606,F$29:F$606,""))/COUNT(IF($M79=$B$29:$B$606,F$29:F$606,"")))</f>
        <v/>
      </c>
      <c r="R79" s="417" t="str">
        <f t="array" ref="R79">IF(COUNT(IF($M79=$B$29:$B$606,G$29:G$606,""))=0,"",SUM(IF($M79=$B$29:$B$606,G$29:G$606,""))/COUNT(IF($M79=$B$29:$B$606,G$29:G$606,"")))</f>
        <v/>
      </c>
      <c r="S79" s="417" t="str">
        <f t="array" ref="S79">IF(COUNT(IF($M79=$B$29:$B$606,H$29:H$606,""))=0,"",SUM(IF($M79=$B$29:$B$606,H$29:H$606,""))/COUNT(IF($M79=$B$29:$B$606,H$29:H$606,"")))</f>
        <v/>
      </c>
      <c r="T79" s="417">
        <f t="array" ref="T79">IF(COUNT(IF($M79=$B$29:$B$606,I$29:I$606,""))=0,"",MAX(IF($M79=$B$29:$B$606,I$29:I$606,"")))</f>
        <v>0</v>
      </c>
      <c r="U79" s="417">
        <f t="array" ref="U79">IF(COUNT(IF($M79=$B$29:$B$606,J$29:J$606,""))=0,"",MAX(IF($M79=$B$29:$B$606,J$29:J$606,"")))</f>
        <v>0</v>
      </c>
      <c r="V79" s="416">
        <f t="array" ref="V79">COUNT(IF(M79=$B$29:$B$606,$E$29:$E$606,""))</f>
        <v>0</v>
      </c>
      <c r="W79" s="137"/>
      <c r="X79" s="137"/>
      <c r="Y79" s="137"/>
      <c r="Z79" s="137"/>
      <c r="AA79" s="137"/>
      <c r="AB79" s="137"/>
      <c r="AC79" s="137"/>
      <c r="AD79" s="137"/>
      <c r="AE79" s="137"/>
      <c r="AF79" s="137"/>
      <c r="AG79" s="137"/>
      <c r="AH79" s="137"/>
      <c r="AI79" s="137"/>
      <c r="AJ79" s="137"/>
      <c r="AK79" s="137"/>
      <c r="AL79" s="137"/>
      <c r="AM79" s="137"/>
      <c r="AN79" s="137"/>
      <c r="AO79" s="137"/>
      <c r="AP79" s="137"/>
      <c r="AQ79" s="137"/>
    </row>
    <row r="80" spans="1:43">
      <c r="A80" s="407">
        <f>Input!B73</f>
        <v>38038</v>
      </c>
      <c r="B80" s="410">
        <f t="shared" si="6"/>
        <v>8</v>
      </c>
      <c r="C80" s="411">
        <f>IF(Input!I73&lt;=0,"",Input!I73)</f>
        <v>0.52880251796818045</v>
      </c>
      <c r="D80" s="412" t="str">
        <f>IF(G80="","",Input!Q73)</f>
        <v/>
      </c>
      <c r="E80" s="412" t="str">
        <f>IF(ISERROR(Input!AA73),"",Input!AA73)</f>
        <v/>
      </c>
      <c r="F80" s="412" t="str">
        <f>IF(E80="","",Input!AQ73)</f>
        <v/>
      </c>
      <c r="G80" s="413" t="str">
        <f t="shared" si="1"/>
        <v/>
      </c>
      <c r="H80" s="413" t="str">
        <f t="shared" si="2"/>
        <v/>
      </c>
      <c r="I80" s="414">
        <f t="shared" si="3"/>
        <v>0</v>
      </c>
      <c r="J80" s="414">
        <f t="shared" si="3"/>
        <v>0</v>
      </c>
      <c r="K80" s="137"/>
      <c r="L80" s="415">
        <f t="shared" si="7"/>
        <v>38350</v>
      </c>
      <c r="M80" s="416">
        <f t="shared" si="5"/>
        <v>52</v>
      </c>
      <c r="N80" s="417">
        <f t="array" ref="N80">IF(COUNT(IF($M80=$B$29:$B$606,C$29:C$606,""))=0,"",SUM(IF($M80=$B$29:$B$606,C$29:C$606,""))/COUNT(IF($M80=$B$29:$B$606,C$29:C$606,"")))</f>
        <v>0.21235192509066261</v>
      </c>
      <c r="O80" s="417" t="str">
        <f t="array" ref="O80">IF(COUNT(IF($M80=$B$29:$B$606,D$29:D$606,""))=0,"",SUM(IF($M80=$B$29:$B$606,D$29:D$606,""))/COUNT(IF($M80=$B$29:$B$606,D$29:D$606,"")))</f>
        <v/>
      </c>
      <c r="P80" s="417" t="str">
        <f t="array" ref="P80">IF(COUNT(IF($M80=$B$29:$B$606,E$29:E$606,""))=0,"",SUM(IF($M80=$B$29:$B$606,E$29:E$606,""))/COUNT(IF($M80=$B$29:$B$606,E$29:E$606,"")))</f>
        <v/>
      </c>
      <c r="Q80" s="417" t="str">
        <f t="array" ref="Q80">IF(COUNT(IF($M80=$B$29:$B$606,F$29:F$606,""))=0,"",SUM(IF($M80=$B$29:$B$606,F$29:F$606,""))/COUNT(IF($M80=$B$29:$B$606,F$29:F$606,"")))</f>
        <v/>
      </c>
      <c r="R80" s="417" t="str">
        <f t="array" ref="R80">IF(COUNT(IF($M80=$B$29:$B$606,G$29:G$606,""))=0,"",SUM(IF($M80=$B$29:$B$606,G$29:G$606,""))/COUNT(IF($M80=$B$29:$B$606,G$29:G$606,"")))</f>
        <v/>
      </c>
      <c r="S80" s="417" t="str">
        <f t="array" ref="S80">IF(COUNT(IF($M80=$B$29:$B$606,H$29:H$606,""))=0,"",SUM(IF($M80=$B$29:$B$606,H$29:H$606,""))/COUNT(IF($M80=$B$29:$B$606,H$29:H$606,"")))</f>
        <v/>
      </c>
      <c r="T80" s="417">
        <f t="array" ref="T80">IF(COUNT(IF($M80=$B$29:$B$606,I$29:I$606,""))=0,"",MAX(IF($M80=$B$29:$B$606,I$29:I$606,"")))</f>
        <v>0</v>
      </c>
      <c r="U80" s="417">
        <f t="array" ref="U80">IF(COUNT(IF($M80=$B$29:$B$606,J$29:J$606,""))=0,"",MAX(IF($M80=$B$29:$B$606,J$29:J$606,"")))</f>
        <v>0</v>
      </c>
      <c r="V80" s="416">
        <f t="array" ref="V80">COUNT(IF(M80=$B$29:$B$606,$E$29:$E$606,""))</f>
        <v>0</v>
      </c>
      <c r="W80" s="137"/>
      <c r="X80" s="137"/>
      <c r="Y80" s="137"/>
      <c r="Z80" s="137"/>
      <c r="AA80" s="137"/>
      <c r="AB80" s="137"/>
      <c r="AC80" s="137"/>
      <c r="AD80" s="137"/>
      <c r="AE80" s="137"/>
      <c r="AF80" s="137"/>
      <c r="AG80" s="137"/>
      <c r="AH80" s="137"/>
      <c r="AI80" s="137"/>
      <c r="AJ80" s="137"/>
      <c r="AK80" s="137"/>
      <c r="AL80" s="137"/>
      <c r="AM80" s="137"/>
      <c r="AN80" s="137"/>
      <c r="AO80" s="137"/>
      <c r="AP80" s="137"/>
      <c r="AQ80" s="137"/>
    </row>
    <row r="81" spans="1:43">
      <c r="A81" s="407">
        <f>Input!B74</f>
        <v>38039</v>
      </c>
      <c r="B81" s="410">
        <f t="shared" si="6"/>
        <v>8</v>
      </c>
      <c r="C81" s="411">
        <f>IF(Input!I74&lt;=0,"",Input!I74)</f>
        <v>0.35968353967974764</v>
      </c>
      <c r="D81" s="412" t="str">
        <f>IF(G81="","",Input!Q74)</f>
        <v/>
      </c>
      <c r="E81" s="412" t="str">
        <f>IF(ISERROR(Input!AA74),"",Input!AA74)</f>
        <v/>
      </c>
      <c r="F81" s="412" t="str">
        <f>IF(E81="","",Input!AQ74)</f>
        <v/>
      </c>
      <c r="G81" s="413" t="str">
        <f t="shared" si="1"/>
        <v/>
      </c>
      <c r="H81" s="413" t="str">
        <f t="shared" si="2"/>
        <v/>
      </c>
      <c r="I81" s="414">
        <f t="shared" si="3"/>
        <v>0</v>
      </c>
      <c r="J81" s="414">
        <f t="shared" si="3"/>
        <v>0</v>
      </c>
      <c r="K81" s="137"/>
      <c r="L81" s="415">
        <f t="shared" si="7"/>
        <v>38357</v>
      </c>
      <c r="M81" s="416">
        <f t="shared" si="5"/>
        <v>53</v>
      </c>
      <c r="N81" s="417">
        <f t="array" ref="N81">IF(COUNT(IF($M81=$B$29:$B$606,C$29:C$606,""))=0,"",SUM(IF($M81=$B$29:$B$606,C$29:C$606,""))/COUNT(IF($M81=$B$29:$B$606,C$29:C$606,"")))</f>
        <v>0.23293138696199986</v>
      </c>
      <c r="O81" s="417" t="str">
        <f t="array" ref="O81">IF(COUNT(IF($M81=$B$29:$B$606,D$29:D$606,""))=0,"",SUM(IF($M81=$B$29:$B$606,D$29:D$606,""))/COUNT(IF($M81=$B$29:$B$606,D$29:D$606,"")))</f>
        <v/>
      </c>
      <c r="P81" s="417" t="str">
        <f t="array" ref="P81">IF(COUNT(IF($M81=$B$29:$B$606,E$29:E$606,""))=0,"",SUM(IF($M81=$B$29:$B$606,E$29:E$606,""))/COUNT(IF($M81=$B$29:$B$606,E$29:E$606,"")))</f>
        <v/>
      </c>
      <c r="Q81" s="417" t="str">
        <f t="array" ref="Q81">IF(COUNT(IF($M81=$B$29:$B$606,F$29:F$606,""))=0,"",SUM(IF($M81=$B$29:$B$606,F$29:F$606,""))/COUNT(IF($M81=$B$29:$B$606,F$29:F$606,"")))</f>
        <v/>
      </c>
      <c r="R81" s="417" t="str">
        <f t="array" ref="R81">IF(COUNT(IF($M81=$B$29:$B$606,G$29:G$606,""))=0,"",SUM(IF($M81=$B$29:$B$606,G$29:G$606,""))/COUNT(IF($M81=$B$29:$B$606,G$29:G$606,"")))</f>
        <v/>
      </c>
      <c r="S81" s="417" t="str">
        <f t="array" ref="S81">IF(COUNT(IF($M81=$B$29:$B$606,H$29:H$606,""))=0,"",SUM(IF($M81=$B$29:$B$606,H$29:H$606,""))/COUNT(IF($M81=$B$29:$B$606,H$29:H$606,"")))</f>
        <v/>
      </c>
      <c r="T81" s="417">
        <f t="array" ref="T81">IF(COUNT(IF($M81=$B$29:$B$606,I$29:I$606,""))=0,"",MAX(IF($M81=$B$29:$B$606,I$29:I$606,"")))</f>
        <v>0</v>
      </c>
      <c r="U81" s="417">
        <f t="array" ref="U81">IF(COUNT(IF($M81=$B$29:$B$606,J$29:J$606,""))=0,"",MAX(IF($M81=$B$29:$B$606,J$29:J$606,"")))</f>
        <v>0</v>
      </c>
      <c r="V81" s="416">
        <f t="array" ref="V81">COUNT(IF(M81=$B$29:$B$606,$E$29:$E$606,""))</f>
        <v>0</v>
      </c>
      <c r="W81" s="137"/>
      <c r="X81" s="137"/>
      <c r="Y81" s="137"/>
      <c r="Z81" s="137"/>
      <c r="AA81" s="137"/>
      <c r="AB81" s="137"/>
      <c r="AC81" s="137"/>
      <c r="AD81" s="137"/>
      <c r="AE81" s="137"/>
      <c r="AF81" s="137"/>
      <c r="AG81" s="137"/>
      <c r="AH81" s="137"/>
      <c r="AI81" s="137"/>
      <c r="AJ81" s="137"/>
      <c r="AK81" s="137"/>
      <c r="AL81" s="137"/>
      <c r="AM81" s="137"/>
      <c r="AN81" s="137"/>
      <c r="AO81" s="137"/>
      <c r="AP81" s="137"/>
      <c r="AQ81" s="137"/>
    </row>
    <row r="82" spans="1:43">
      <c r="A82" s="407">
        <f>Input!B75</f>
        <v>38040</v>
      </c>
      <c r="B82" s="410">
        <f t="shared" si="6"/>
        <v>8</v>
      </c>
      <c r="C82" s="411">
        <f>IF(Input!I75&lt;=0,"",Input!I75)</f>
        <v>0.83176917696877539</v>
      </c>
      <c r="D82" s="412" t="str">
        <f>IF(G82="","",Input!Q75)</f>
        <v/>
      </c>
      <c r="E82" s="412" t="str">
        <f>IF(ISERROR(Input!AA75),"",Input!AA75)</f>
        <v/>
      </c>
      <c r="F82" s="412" t="str">
        <f>IF(E82="","",Input!AQ75)</f>
        <v/>
      </c>
      <c r="G82" s="413" t="str">
        <f t="shared" si="1"/>
        <v/>
      </c>
      <c r="H82" s="413" t="str">
        <f t="shared" si="2"/>
        <v/>
      </c>
      <c r="I82" s="414">
        <f t="shared" si="3"/>
        <v>0</v>
      </c>
      <c r="J82" s="414">
        <f t="shared" si="3"/>
        <v>0</v>
      </c>
      <c r="K82" s="137"/>
      <c r="L82" s="415">
        <f t="shared" si="7"/>
        <v>38364</v>
      </c>
      <c r="M82" s="416">
        <f t="shared" si="5"/>
        <v>54</v>
      </c>
      <c r="N82" s="417">
        <f t="array" ref="N82">IF(COUNT(IF($M82=$B$29:$B$606,C$29:C$606,""))=0,"",SUM(IF($M82=$B$29:$B$606,C$29:C$606,""))/COUNT(IF($M82=$B$29:$B$606,C$29:C$606,"")))</f>
        <v>0.33860247506136493</v>
      </c>
      <c r="O82" s="417" t="str">
        <f t="array" ref="O82">IF(COUNT(IF($M82=$B$29:$B$606,D$29:D$606,""))=0,"",SUM(IF($M82=$B$29:$B$606,D$29:D$606,""))/COUNT(IF($M82=$B$29:$B$606,D$29:D$606,"")))</f>
        <v/>
      </c>
      <c r="P82" s="417" t="str">
        <f t="array" ref="P82">IF(COUNT(IF($M82=$B$29:$B$606,E$29:E$606,""))=0,"",SUM(IF($M82=$B$29:$B$606,E$29:E$606,""))/COUNT(IF($M82=$B$29:$B$606,E$29:E$606,"")))</f>
        <v/>
      </c>
      <c r="Q82" s="417" t="str">
        <f t="array" ref="Q82">IF(COUNT(IF($M82=$B$29:$B$606,F$29:F$606,""))=0,"",SUM(IF($M82=$B$29:$B$606,F$29:F$606,""))/COUNT(IF($M82=$B$29:$B$606,F$29:F$606,"")))</f>
        <v/>
      </c>
      <c r="R82" s="417" t="str">
        <f t="array" ref="R82">IF(COUNT(IF($M82=$B$29:$B$606,G$29:G$606,""))=0,"",SUM(IF($M82=$B$29:$B$606,G$29:G$606,""))/COUNT(IF($M82=$B$29:$B$606,G$29:G$606,"")))</f>
        <v/>
      </c>
      <c r="S82" s="417" t="str">
        <f t="array" ref="S82">IF(COUNT(IF($M82=$B$29:$B$606,H$29:H$606,""))=0,"",SUM(IF($M82=$B$29:$B$606,H$29:H$606,""))/COUNT(IF($M82=$B$29:$B$606,H$29:H$606,"")))</f>
        <v/>
      </c>
      <c r="T82" s="417">
        <f t="array" ref="T82">IF(COUNT(IF($M82=$B$29:$B$606,I$29:I$606,""))=0,"",MAX(IF($M82=$B$29:$B$606,I$29:I$606,"")))</f>
        <v>0</v>
      </c>
      <c r="U82" s="417">
        <f t="array" ref="U82">IF(COUNT(IF($M82=$B$29:$B$606,J$29:J$606,""))=0,"",MAX(IF($M82=$B$29:$B$606,J$29:J$606,"")))</f>
        <v>0</v>
      </c>
      <c r="V82" s="416">
        <f t="array" ref="V82">COUNT(IF(M82=$B$29:$B$606,$E$29:$E$606,""))</f>
        <v>0</v>
      </c>
      <c r="W82" s="137"/>
      <c r="X82" s="137"/>
      <c r="Y82" s="137"/>
      <c r="Z82" s="137"/>
      <c r="AA82" s="137"/>
      <c r="AB82" s="137"/>
      <c r="AC82" s="137"/>
      <c r="AD82" s="137"/>
      <c r="AE82" s="137"/>
      <c r="AF82" s="137"/>
      <c r="AG82" s="137"/>
      <c r="AH82" s="137"/>
      <c r="AI82" s="137"/>
      <c r="AJ82" s="137"/>
      <c r="AK82" s="137"/>
      <c r="AL82" s="137"/>
      <c r="AM82" s="137"/>
      <c r="AN82" s="137"/>
      <c r="AO82" s="137"/>
      <c r="AP82" s="137"/>
      <c r="AQ82" s="137"/>
    </row>
    <row r="83" spans="1:43">
      <c r="A83" s="407">
        <f>Input!B76</f>
        <v>38041</v>
      </c>
      <c r="B83" s="410">
        <f t="shared" si="6"/>
        <v>8</v>
      </c>
      <c r="C83" s="411">
        <f>IF(Input!I76&lt;=0,"",Input!I76)</f>
        <v>0.65738291518508896</v>
      </c>
      <c r="D83" s="412" t="str">
        <f>IF(G83="","",Input!Q76)</f>
        <v/>
      </c>
      <c r="E83" s="412" t="str">
        <f>IF(ISERROR(Input!AA76),"",Input!AA76)</f>
        <v/>
      </c>
      <c r="F83" s="412" t="str">
        <f>IF(E83="","",Input!AQ76)</f>
        <v/>
      </c>
      <c r="G83" s="413" t="str">
        <f t="shared" si="1"/>
        <v/>
      </c>
      <c r="H83" s="413" t="str">
        <f t="shared" si="2"/>
        <v/>
      </c>
      <c r="I83" s="414">
        <f t="shared" si="3"/>
        <v>0</v>
      </c>
      <c r="J83" s="414">
        <f t="shared" si="3"/>
        <v>0</v>
      </c>
      <c r="K83" s="137"/>
      <c r="L83" s="415">
        <f t="shared" si="7"/>
        <v>38371</v>
      </c>
      <c r="M83" s="416">
        <f t="shared" si="5"/>
        <v>55</v>
      </c>
      <c r="N83" s="417">
        <f t="array" ref="N83">IF(COUNT(IF($M83=$B$29:$B$606,C$29:C$606,""))=0,"",SUM(IF($M83=$B$29:$B$606,C$29:C$606,""))/COUNT(IF($M83=$B$29:$B$606,C$29:C$606,"")))</f>
        <v>0.21010787350124244</v>
      </c>
      <c r="O83" s="417" t="str">
        <f t="array" ref="O83">IF(COUNT(IF($M83=$B$29:$B$606,D$29:D$606,""))=0,"",SUM(IF($M83=$B$29:$B$606,D$29:D$606,""))/COUNT(IF($M83=$B$29:$B$606,D$29:D$606,"")))</f>
        <v/>
      </c>
      <c r="P83" s="417" t="str">
        <f t="array" ref="P83">IF(COUNT(IF($M83=$B$29:$B$606,E$29:E$606,""))=0,"",SUM(IF($M83=$B$29:$B$606,E$29:E$606,""))/COUNT(IF($M83=$B$29:$B$606,E$29:E$606,"")))</f>
        <v/>
      </c>
      <c r="Q83" s="417" t="str">
        <f t="array" ref="Q83">IF(COUNT(IF($M83=$B$29:$B$606,F$29:F$606,""))=0,"",SUM(IF($M83=$B$29:$B$606,F$29:F$606,""))/COUNT(IF($M83=$B$29:$B$606,F$29:F$606,"")))</f>
        <v/>
      </c>
      <c r="R83" s="417" t="str">
        <f t="array" ref="R83">IF(COUNT(IF($M83=$B$29:$B$606,G$29:G$606,""))=0,"",SUM(IF($M83=$B$29:$B$606,G$29:G$606,""))/COUNT(IF($M83=$B$29:$B$606,G$29:G$606,"")))</f>
        <v/>
      </c>
      <c r="S83" s="417" t="str">
        <f t="array" ref="S83">IF(COUNT(IF($M83=$B$29:$B$606,H$29:H$606,""))=0,"",SUM(IF($M83=$B$29:$B$606,H$29:H$606,""))/COUNT(IF($M83=$B$29:$B$606,H$29:H$606,"")))</f>
        <v/>
      </c>
      <c r="T83" s="417">
        <f t="array" ref="T83">IF(COUNT(IF($M83=$B$29:$B$606,I$29:I$606,""))=0,"",MAX(IF($M83=$B$29:$B$606,I$29:I$606,"")))</f>
        <v>0</v>
      </c>
      <c r="U83" s="417">
        <f t="array" ref="U83">IF(COUNT(IF($M83=$B$29:$B$606,J$29:J$606,""))=0,"",MAX(IF($M83=$B$29:$B$606,J$29:J$606,"")))</f>
        <v>0</v>
      </c>
      <c r="V83" s="416">
        <f t="array" ref="V83">COUNT(IF(M83=$B$29:$B$606,$E$29:$E$606,""))</f>
        <v>0</v>
      </c>
      <c r="W83" s="137"/>
      <c r="X83" s="137"/>
      <c r="Y83" s="137"/>
      <c r="Z83" s="137"/>
      <c r="AA83" s="137"/>
      <c r="AB83" s="137"/>
      <c r="AC83" s="137"/>
      <c r="AD83" s="137"/>
      <c r="AE83" s="137"/>
      <c r="AF83" s="137"/>
      <c r="AG83" s="137"/>
      <c r="AH83" s="137"/>
      <c r="AI83" s="137"/>
      <c r="AJ83" s="137"/>
      <c r="AK83" s="137"/>
      <c r="AL83" s="137"/>
      <c r="AM83" s="137"/>
      <c r="AN83" s="137"/>
      <c r="AO83" s="137"/>
      <c r="AP83" s="137"/>
      <c r="AQ83" s="137"/>
    </row>
    <row r="84" spans="1:43">
      <c r="A84" s="407">
        <f>Input!B77</f>
        <v>38042</v>
      </c>
      <c r="B84" s="410">
        <f t="shared" si="6"/>
        <v>8</v>
      </c>
      <c r="C84" s="411">
        <f>IF(Input!I77&lt;=0,"",Input!I77)</f>
        <v>0.63911787151342603</v>
      </c>
      <c r="D84" s="412" t="str">
        <f>IF(G84="","",Input!Q77)</f>
        <v/>
      </c>
      <c r="E84" s="412" t="str">
        <f>IF(ISERROR(Input!AA77),"",Input!AA77)</f>
        <v/>
      </c>
      <c r="F84" s="412" t="str">
        <f>IF(E84="","",Input!AQ77)</f>
        <v/>
      </c>
      <c r="G84" s="413" t="str">
        <f t="shared" si="1"/>
        <v/>
      </c>
      <c r="H84" s="413" t="str">
        <f t="shared" si="2"/>
        <v/>
      </c>
      <c r="I84" s="414">
        <f t="shared" si="3"/>
        <v>0</v>
      </c>
      <c r="J84" s="414">
        <f t="shared" si="3"/>
        <v>0</v>
      </c>
      <c r="K84" s="137"/>
      <c r="L84" s="415">
        <f t="shared" si="7"/>
        <v>38378</v>
      </c>
      <c r="M84" s="416">
        <f t="shared" si="5"/>
        <v>56</v>
      </c>
      <c r="N84" s="417">
        <f t="array" ref="N84">IF(COUNT(IF($M84=$B$29:$B$606,C$29:C$606,""))=0,"",SUM(IF($M84=$B$29:$B$606,C$29:C$606,""))/COUNT(IF($M84=$B$29:$B$606,C$29:C$606,"")))</f>
        <v>0.2725169337748547</v>
      </c>
      <c r="O84" s="417" t="str">
        <f t="array" ref="O84">IF(COUNT(IF($M84=$B$29:$B$606,D$29:D$606,""))=0,"",SUM(IF($M84=$B$29:$B$606,D$29:D$606,""))/COUNT(IF($M84=$B$29:$B$606,D$29:D$606,"")))</f>
        <v/>
      </c>
      <c r="P84" s="417" t="str">
        <f t="array" ref="P84">IF(COUNT(IF($M84=$B$29:$B$606,E$29:E$606,""))=0,"",SUM(IF($M84=$B$29:$B$606,E$29:E$606,""))/COUNT(IF($M84=$B$29:$B$606,E$29:E$606,"")))</f>
        <v/>
      </c>
      <c r="Q84" s="417" t="str">
        <f t="array" ref="Q84">IF(COUNT(IF($M84=$B$29:$B$606,F$29:F$606,""))=0,"",SUM(IF($M84=$B$29:$B$606,F$29:F$606,""))/COUNT(IF($M84=$B$29:$B$606,F$29:F$606,"")))</f>
        <v/>
      </c>
      <c r="R84" s="417" t="str">
        <f t="array" ref="R84">IF(COUNT(IF($M84=$B$29:$B$606,G$29:G$606,""))=0,"",SUM(IF($M84=$B$29:$B$606,G$29:G$606,""))/COUNT(IF($M84=$B$29:$B$606,G$29:G$606,"")))</f>
        <v/>
      </c>
      <c r="S84" s="417" t="str">
        <f t="array" ref="S84">IF(COUNT(IF($M84=$B$29:$B$606,H$29:H$606,""))=0,"",SUM(IF($M84=$B$29:$B$606,H$29:H$606,""))/COUNT(IF($M84=$B$29:$B$606,H$29:H$606,"")))</f>
        <v/>
      </c>
      <c r="T84" s="417">
        <f t="array" ref="T84">IF(COUNT(IF($M84=$B$29:$B$606,I$29:I$606,""))=0,"",MAX(IF($M84=$B$29:$B$606,I$29:I$606,"")))</f>
        <v>0</v>
      </c>
      <c r="U84" s="417">
        <f t="array" ref="U84">IF(COUNT(IF($M84=$B$29:$B$606,J$29:J$606,""))=0,"",MAX(IF($M84=$B$29:$B$606,J$29:J$606,"")))</f>
        <v>0</v>
      </c>
      <c r="V84" s="416">
        <f t="array" ref="V84">COUNT(IF(M84=$B$29:$B$606,$E$29:$E$606,""))</f>
        <v>0</v>
      </c>
      <c r="W84" s="137"/>
      <c r="X84" s="137"/>
      <c r="Y84" s="137"/>
      <c r="Z84" s="137"/>
      <c r="AA84" s="137"/>
      <c r="AB84" s="137"/>
      <c r="AC84" s="137"/>
      <c r="AD84" s="137"/>
      <c r="AE84" s="137"/>
      <c r="AF84" s="137"/>
      <c r="AG84" s="137"/>
      <c r="AH84" s="137"/>
      <c r="AI84" s="137"/>
      <c r="AJ84" s="137"/>
      <c r="AK84" s="137"/>
      <c r="AL84" s="137"/>
      <c r="AM84" s="137"/>
      <c r="AN84" s="137"/>
      <c r="AO84" s="137"/>
      <c r="AP84" s="137"/>
      <c r="AQ84" s="137"/>
    </row>
    <row r="85" spans="1:43">
      <c r="A85" s="407">
        <f>Input!B78</f>
        <v>38043</v>
      </c>
      <c r="B85" s="410">
        <f t="shared" si="6"/>
        <v>9</v>
      </c>
      <c r="C85" s="411">
        <f>IF(Input!I78&lt;=0,"",Input!I78)</f>
        <v>0.79120631579769019</v>
      </c>
      <c r="D85" s="412" t="str">
        <f>IF(G85="","",Input!Q78)</f>
        <v/>
      </c>
      <c r="E85" s="412" t="str">
        <f>IF(ISERROR(Input!AA78),"",Input!AA78)</f>
        <v/>
      </c>
      <c r="F85" s="412" t="str">
        <f>IF(E85="","",Input!AQ78)</f>
        <v/>
      </c>
      <c r="G85" s="413" t="str">
        <f t="shared" si="1"/>
        <v/>
      </c>
      <c r="H85" s="413" t="str">
        <f t="shared" si="2"/>
        <v/>
      </c>
      <c r="I85" s="414">
        <f t="shared" si="3"/>
        <v>0</v>
      </c>
      <c r="J85" s="414">
        <f t="shared" si="3"/>
        <v>0</v>
      </c>
      <c r="K85" s="137"/>
      <c r="L85" s="415">
        <f t="shared" si="7"/>
        <v>38385</v>
      </c>
      <c r="M85" s="416">
        <f t="shared" si="5"/>
        <v>57</v>
      </c>
      <c r="N85" s="417">
        <f t="array" ref="N85">IF(COUNT(IF($M85=$B$29:$B$606,C$29:C$606,""))=0,"",SUM(IF($M85=$B$29:$B$606,C$29:C$606,""))/COUNT(IF($M85=$B$29:$B$606,C$29:C$606,"")))</f>
        <v>0.45852699524430268</v>
      </c>
      <c r="O85" s="417" t="str">
        <f t="array" ref="O85">IF(COUNT(IF($M85=$B$29:$B$606,D$29:D$606,""))=0,"",SUM(IF($M85=$B$29:$B$606,D$29:D$606,""))/COUNT(IF($M85=$B$29:$B$606,D$29:D$606,"")))</f>
        <v/>
      </c>
      <c r="P85" s="417" t="str">
        <f t="array" ref="P85">IF(COUNT(IF($M85=$B$29:$B$606,E$29:E$606,""))=0,"",SUM(IF($M85=$B$29:$B$606,E$29:E$606,""))/COUNT(IF($M85=$B$29:$B$606,E$29:E$606,"")))</f>
        <v/>
      </c>
      <c r="Q85" s="417" t="str">
        <f t="array" ref="Q85">IF(COUNT(IF($M85=$B$29:$B$606,F$29:F$606,""))=0,"",SUM(IF($M85=$B$29:$B$606,F$29:F$606,""))/COUNT(IF($M85=$B$29:$B$606,F$29:F$606,"")))</f>
        <v/>
      </c>
      <c r="R85" s="417" t="str">
        <f t="array" ref="R85">IF(COUNT(IF($M85=$B$29:$B$606,G$29:G$606,""))=0,"",SUM(IF($M85=$B$29:$B$606,G$29:G$606,""))/COUNT(IF($M85=$B$29:$B$606,G$29:G$606,"")))</f>
        <v/>
      </c>
      <c r="S85" s="417" t="str">
        <f t="array" ref="S85">IF(COUNT(IF($M85=$B$29:$B$606,H$29:H$606,""))=0,"",SUM(IF($M85=$B$29:$B$606,H$29:H$606,""))/COUNT(IF($M85=$B$29:$B$606,H$29:H$606,"")))</f>
        <v/>
      </c>
      <c r="T85" s="417">
        <f t="array" ref="T85">IF(COUNT(IF($M85=$B$29:$B$606,I$29:I$606,""))=0,"",MAX(IF($M85=$B$29:$B$606,I$29:I$606,"")))</f>
        <v>0</v>
      </c>
      <c r="U85" s="417">
        <f t="array" ref="U85">IF(COUNT(IF($M85=$B$29:$B$606,J$29:J$606,""))=0,"",MAX(IF($M85=$B$29:$B$606,J$29:J$606,"")))</f>
        <v>0</v>
      </c>
      <c r="V85" s="416">
        <f t="array" ref="V85">COUNT(IF(M85=$B$29:$B$606,$E$29:$E$606,""))</f>
        <v>0</v>
      </c>
      <c r="W85" s="137"/>
      <c r="X85" s="137"/>
      <c r="Y85" s="137"/>
      <c r="Z85" s="137"/>
      <c r="AA85" s="137"/>
      <c r="AB85" s="137"/>
      <c r="AC85" s="137"/>
      <c r="AD85" s="137"/>
      <c r="AE85" s="137"/>
      <c r="AF85" s="137"/>
      <c r="AG85" s="137"/>
      <c r="AH85" s="137"/>
      <c r="AI85" s="137"/>
      <c r="AJ85" s="137"/>
      <c r="AK85" s="137"/>
      <c r="AL85" s="137"/>
      <c r="AM85" s="137"/>
      <c r="AN85" s="137"/>
      <c r="AO85" s="137"/>
      <c r="AP85" s="137"/>
      <c r="AQ85" s="137"/>
    </row>
    <row r="86" spans="1:43">
      <c r="A86" s="407">
        <f>Input!B79</f>
        <v>38044</v>
      </c>
      <c r="B86" s="410">
        <f t="shared" si="6"/>
        <v>9</v>
      </c>
      <c r="C86" s="411">
        <f>IF(Input!I79&lt;=0,"",Input!I79)</f>
        <v>0.50865297494834683</v>
      </c>
      <c r="D86" s="412" t="str">
        <f>IF(G86="","",Input!Q79)</f>
        <v/>
      </c>
      <c r="E86" s="412" t="str">
        <f>IF(ISERROR(Input!AA79),"",Input!AA79)</f>
        <v/>
      </c>
      <c r="F86" s="412" t="str">
        <f>IF(E86="","",Input!AQ79)</f>
        <v/>
      </c>
      <c r="G86" s="413" t="str">
        <f t="shared" si="1"/>
        <v/>
      </c>
      <c r="H86" s="413" t="str">
        <f t="shared" si="2"/>
        <v/>
      </c>
      <c r="I86" s="414">
        <f t="shared" si="3"/>
        <v>0</v>
      </c>
      <c r="J86" s="414">
        <f t="shared" si="3"/>
        <v>0</v>
      </c>
      <c r="K86" s="137"/>
      <c r="L86" s="415">
        <f t="shared" si="7"/>
        <v>38392</v>
      </c>
      <c r="M86" s="416">
        <f t="shared" si="5"/>
        <v>58</v>
      </c>
      <c r="N86" s="417">
        <f t="array" ref="N86">IF(COUNT(IF($M86=$B$29:$B$606,C$29:C$606,""))=0,"",SUM(IF($M86=$B$29:$B$606,C$29:C$606,""))/COUNT(IF($M86=$B$29:$B$606,C$29:C$606,"")))</f>
        <v>0.34871877817846458</v>
      </c>
      <c r="O86" s="417" t="str">
        <f t="array" ref="O86">IF(COUNT(IF($M86=$B$29:$B$606,D$29:D$606,""))=0,"",SUM(IF($M86=$B$29:$B$606,D$29:D$606,""))/COUNT(IF($M86=$B$29:$B$606,D$29:D$606,"")))</f>
        <v/>
      </c>
      <c r="P86" s="417" t="str">
        <f t="array" ref="P86">IF(COUNT(IF($M86=$B$29:$B$606,E$29:E$606,""))=0,"",SUM(IF($M86=$B$29:$B$606,E$29:E$606,""))/COUNT(IF($M86=$B$29:$B$606,E$29:E$606,"")))</f>
        <v/>
      </c>
      <c r="Q86" s="417" t="str">
        <f t="array" ref="Q86">IF(COUNT(IF($M86=$B$29:$B$606,F$29:F$606,""))=0,"",SUM(IF($M86=$B$29:$B$606,F$29:F$606,""))/COUNT(IF($M86=$B$29:$B$606,F$29:F$606,"")))</f>
        <v/>
      </c>
      <c r="R86" s="417" t="str">
        <f t="array" ref="R86">IF(COUNT(IF($M86=$B$29:$B$606,G$29:G$606,""))=0,"",SUM(IF($M86=$B$29:$B$606,G$29:G$606,""))/COUNT(IF($M86=$B$29:$B$606,G$29:G$606,"")))</f>
        <v/>
      </c>
      <c r="S86" s="417" t="str">
        <f t="array" ref="S86">IF(COUNT(IF($M86=$B$29:$B$606,H$29:H$606,""))=0,"",SUM(IF($M86=$B$29:$B$606,H$29:H$606,""))/COUNT(IF($M86=$B$29:$B$606,H$29:H$606,"")))</f>
        <v/>
      </c>
      <c r="T86" s="417">
        <f t="array" ref="T86">IF(COUNT(IF($M86=$B$29:$B$606,I$29:I$606,""))=0,"",MAX(IF($M86=$B$29:$B$606,I$29:I$606,"")))</f>
        <v>0</v>
      </c>
      <c r="U86" s="417">
        <f t="array" ref="U86">IF(COUNT(IF($M86=$B$29:$B$606,J$29:J$606,""))=0,"",MAX(IF($M86=$B$29:$B$606,J$29:J$606,"")))</f>
        <v>0</v>
      </c>
      <c r="V86" s="416">
        <f t="array" ref="V86">COUNT(IF(M86=$B$29:$B$606,$E$29:$E$606,""))</f>
        <v>0</v>
      </c>
      <c r="W86" s="137"/>
      <c r="X86" s="137"/>
      <c r="Y86" s="137"/>
      <c r="Z86" s="137"/>
      <c r="AA86" s="137"/>
      <c r="AB86" s="137"/>
      <c r="AC86" s="137"/>
      <c r="AD86" s="137"/>
      <c r="AE86" s="137"/>
      <c r="AF86" s="137"/>
      <c r="AG86" s="137"/>
      <c r="AH86" s="137"/>
      <c r="AI86" s="137"/>
      <c r="AJ86" s="137"/>
      <c r="AK86" s="137"/>
      <c r="AL86" s="137"/>
      <c r="AM86" s="137"/>
      <c r="AN86" s="137"/>
      <c r="AO86" s="137"/>
      <c r="AP86" s="137"/>
      <c r="AQ86" s="137"/>
    </row>
    <row r="87" spans="1:43">
      <c r="A87" s="407">
        <f>Input!B80</f>
        <v>38045</v>
      </c>
      <c r="B87" s="410">
        <f t="shared" si="6"/>
        <v>9</v>
      </c>
      <c r="C87" s="411">
        <f>IF(Input!I80&lt;=0,"",Input!I80)</f>
        <v>0.83577336875360686</v>
      </c>
      <c r="D87" s="412" t="str">
        <f>IF(G87="","",Input!Q80)</f>
        <v/>
      </c>
      <c r="E87" s="412" t="str">
        <f>IF(ISERROR(Input!AA80),"",Input!AA80)</f>
        <v/>
      </c>
      <c r="F87" s="412" t="str">
        <f>IF(E87="","",Input!AQ80)</f>
        <v/>
      </c>
      <c r="G87" s="413" t="str">
        <f t="shared" si="1"/>
        <v/>
      </c>
      <c r="H87" s="413" t="str">
        <f t="shared" si="2"/>
        <v/>
      </c>
      <c r="I87" s="414">
        <f t="shared" si="3"/>
        <v>0</v>
      </c>
      <c r="J87" s="414">
        <f t="shared" si="3"/>
        <v>0</v>
      </c>
      <c r="K87" s="137"/>
      <c r="L87" s="415">
        <f t="shared" si="7"/>
        <v>38399</v>
      </c>
      <c r="M87" s="416">
        <f t="shared" si="5"/>
        <v>59</v>
      </c>
      <c r="N87" s="417">
        <f t="array" ref="N87">IF(COUNT(IF($M87=$B$29:$B$606,C$29:C$606,""))=0,"",SUM(IF($M87=$B$29:$B$606,C$29:C$606,""))/COUNT(IF($M87=$B$29:$B$606,C$29:C$606,"")))</f>
        <v>0.35327966254863924</v>
      </c>
      <c r="O87" s="417" t="str">
        <f t="array" ref="O87">IF(COUNT(IF($M87=$B$29:$B$606,D$29:D$606,""))=0,"",SUM(IF($M87=$B$29:$B$606,D$29:D$606,""))/COUNT(IF($M87=$B$29:$B$606,D$29:D$606,"")))</f>
        <v/>
      </c>
      <c r="P87" s="417" t="str">
        <f t="array" ref="P87">IF(COUNT(IF($M87=$B$29:$B$606,E$29:E$606,""))=0,"",SUM(IF($M87=$B$29:$B$606,E$29:E$606,""))/COUNT(IF($M87=$B$29:$B$606,E$29:E$606,"")))</f>
        <v/>
      </c>
      <c r="Q87" s="417" t="str">
        <f t="array" ref="Q87">IF(COUNT(IF($M87=$B$29:$B$606,F$29:F$606,""))=0,"",SUM(IF($M87=$B$29:$B$606,F$29:F$606,""))/COUNT(IF($M87=$B$29:$B$606,F$29:F$606,"")))</f>
        <v/>
      </c>
      <c r="R87" s="417" t="str">
        <f t="array" ref="R87">IF(COUNT(IF($M87=$B$29:$B$606,G$29:G$606,""))=0,"",SUM(IF($M87=$B$29:$B$606,G$29:G$606,""))/COUNT(IF($M87=$B$29:$B$606,G$29:G$606,"")))</f>
        <v/>
      </c>
      <c r="S87" s="417" t="str">
        <f t="array" ref="S87">IF(COUNT(IF($M87=$B$29:$B$606,H$29:H$606,""))=0,"",SUM(IF($M87=$B$29:$B$606,H$29:H$606,""))/COUNT(IF($M87=$B$29:$B$606,H$29:H$606,"")))</f>
        <v/>
      </c>
      <c r="T87" s="417">
        <f t="array" ref="T87">IF(COUNT(IF($M87=$B$29:$B$606,I$29:I$606,""))=0,"",MAX(IF($M87=$B$29:$B$606,I$29:I$606,"")))</f>
        <v>0</v>
      </c>
      <c r="U87" s="417">
        <f t="array" ref="U87">IF(COUNT(IF($M87=$B$29:$B$606,J$29:J$606,""))=0,"",MAX(IF($M87=$B$29:$B$606,J$29:J$606,"")))</f>
        <v>0</v>
      </c>
      <c r="V87" s="416">
        <f t="array" ref="V87">COUNT(IF(M87=$B$29:$B$606,$E$29:$E$606,""))</f>
        <v>0</v>
      </c>
      <c r="W87" s="137"/>
      <c r="X87" s="137"/>
      <c r="Y87" s="137"/>
      <c r="Z87" s="137"/>
      <c r="AA87" s="137"/>
      <c r="AB87" s="137"/>
      <c r="AC87" s="137"/>
      <c r="AD87" s="137"/>
      <c r="AE87" s="137"/>
      <c r="AF87" s="137"/>
      <c r="AG87" s="137"/>
      <c r="AH87" s="137"/>
      <c r="AI87" s="137"/>
      <c r="AJ87" s="137"/>
      <c r="AK87" s="137"/>
      <c r="AL87" s="137"/>
      <c r="AM87" s="137"/>
      <c r="AN87" s="137"/>
      <c r="AO87" s="137"/>
      <c r="AP87" s="137"/>
      <c r="AQ87" s="137"/>
    </row>
    <row r="88" spans="1:43">
      <c r="A88" s="407">
        <f>Input!B81</f>
        <v>38046</v>
      </c>
      <c r="B88" s="410">
        <f t="shared" si="6"/>
        <v>9</v>
      </c>
      <c r="C88" s="411">
        <f>IF(Input!I81&lt;=0,"",Input!I81)</f>
        <v>1.2856834746038537</v>
      </c>
      <c r="D88" s="412" t="str">
        <f>IF(G88="","",Input!Q81)</f>
        <v/>
      </c>
      <c r="E88" s="412" t="str">
        <f>IF(ISERROR(Input!AA81),"",Input!AA81)</f>
        <v/>
      </c>
      <c r="F88" s="412" t="str">
        <f>IF(E88="","",Input!AQ81)</f>
        <v/>
      </c>
      <c r="G88" s="413" t="str">
        <f t="shared" si="1"/>
        <v/>
      </c>
      <c r="H88" s="413" t="str">
        <f t="shared" si="2"/>
        <v/>
      </c>
      <c r="I88" s="414">
        <f t="shared" si="3"/>
        <v>0</v>
      </c>
      <c r="J88" s="414">
        <f t="shared" si="3"/>
        <v>0</v>
      </c>
      <c r="K88" s="137"/>
      <c r="L88" s="415">
        <f t="shared" si="7"/>
        <v>38406</v>
      </c>
      <c r="M88" s="416">
        <f t="shared" si="5"/>
        <v>60</v>
      </c>
      <c r="N88" s="417">
        <f t="array" ref="N88">IF(COUNT(IF($M88=$B$29:$B$606,C$29:C$606,""))=0,"",SUM(IF($M88=$B$29:$B$606,C$29:C$606,""))/COUNT(IF($M88=$B$29:$B$606,C$29:C$606,"")))</f>
        <v>0.43190870303039092</v>
      </c>
      <c r="O88" s="417" t="str">
        <f t="array" ref="O88">IF(COUNT(IF($M88=$B$29:$B$606,D$29:D$606,""))=0,"",SUM(IF($M88=$B$29:$B$606,D$29:D$606,""))/COUNT(IF($M88=$B$29:$B$606,D$29:D$606,"")))</f>
        <v/>
      </c>
      <c r="P88" s="417" t="str">
        <f t="array" ref="P88">IF(COUNT(IF($M88=$B$29:$B$606,E$29:E$606,""))=0,"",SUM(IF($M88=$B$29:$B$606,E$29:E$606,""))/COUNT(IF($M88=$B$29:$B$606,E$29:E$606,"")))</f>
        <v/>
      </c>
      <c r="Q88" s="417" t="str">
        <f t="array" ref="Q88">IF(COUNT(IF($M88=$B$29:$B$606,F$29:F$606,""))=0,"",SUM(IF($M88=$B$29:$B$606,F$29:F$606,""))/COUNT(IF($M88=$B$29:$B$606,F$29:F$606,"")))</f>
        <v/>
      </c>
      <c r="R88" s="417" t="str">
        <f t="array" ref="R88">IF(COUNT(IF($M88=$B$29:$B$606,G$29:G$606,""))=0,"",SUM(IF($M88=$B$29:$B$606,G$29:G$606,""))/COUNT(IF($M88=$B$29:$B$606,G$29:G$606,"")))</f>
        <v/>
      </c>
      <c r="S88" s="417" t="str">
        <f t="array" ref="S88">IF(COUNT(IF($M88=$B$29:$B$606,H$29:H$606,""))=0,"",SUM(IF($M88=$B$29:$B$606,H$29:H$606,""))/COUNT(IF($M88=$B$29:$B$606,H$29:H$606,"")))</f>
        <v/>
      </c>
      <c r="T88" s="417">
        <f t="array" ref="T88">IF(COUNT(IF($M88=$B$29:$B$606,I$29:I$606,""))=0,"",MAX(IF($M88=$B$29:$B$606,I$29:I$606,"")))</f>
        <v>0</v>
      </c>
      <c r="U88" s="417">
        <f t="array" ref="U88">IF(COUNT(IF($M88=$B$29:$B$606,J$29:J$606,""))=0,"",MAX(IF($M88=$B$29:$B$606,J$29:J$606,"")))</f>
        <v>0</v>
      </c>
      <c r="V88" s="416">
        <f t="array" ref="V88">COUNT(IF(M88=$B$29:$B$606,$E$29:$E$606,""))</f>
        <v>0</v>
      </c>
      <c r="W88" s="137"/>
      <c r="X88" s="137"/>
      <c r="Y88" s="137"/>
      <c r="Z88" s="137"/>
      <c r="AA88" s="137"/>
      <c r="AB88" s="137"/>
      <c r="AC88" s="137"/>
      <c r="AD88" s="137"/>
      <c r="AE88" s="137"/>
      <c r="AF88" s="137"/>
      <c r="AG88" s="137"/>
      <c r="AH88" s="137"/>
      <c r="AI88" s="137"/>
      <c r="AJ88" s="137"/>
      <c r="AK88" s="137"/>
      <c r="AL88" s="137"/>
      <c r="AM88" s="137"/>
      <c r="AN88" s="137"/>
      <c r="AO88" s="137"/>
      <c r="AP88" s="137"/>
      <c r="AQ88" s="137"/>
    </row>
    <row r="89" spans="1:43">
      <c r="A89" s="407">
        <f>Input!B82</f>
        <v>38047</v>
      </c>
      <c r="B89" s="410">
        <f t="shared" si="6"/>
        <v>9</v>
      </c>
      <c r="C89" s="411">
        <f>IF(Input!I82&lt;=0,"",Input!I82)</f>
        <v>0.92411704693883201</v>
      </c>
      <c r="D89" s="412" t="str">
        <f>IF(G89="","",Input!Q82)</f>
        <v/>
      </c>
      <c r="E89" s="412" t="str">
        <f>IF(ISERROR(Input!AA82),"",Input!AA82)</f>
        <v/>
      </c>
      <c r="F89" s="412" t="str">
        <f>IF(E89="","",Input!AQ82)</f>
        <v/>
      </c>
      <c r="G89" s="413" t="str">
        <f t="shared" si="1"/>
        <v/>
      </c>
      <c r="H89" s="413" t="str">
        <f t="shared" si="2"/>
        <v/>
      </c>
      <c r="I89" s="414">
        <f t="shared" si="3"/>
        <v>0</v>
      </c>
      <c r="J89" s="414">
        <f t="shared" si="3"/>
        <v>0</v>
      </c>
      <c r="K89" s="137"/>
      <c r="L89" s="415">
        <f t="shared" si="7"/>
        <v>38413</v>
      </c>
      <c r="M89" s="416">
        <f t="shared" si="5"/>
        <v>61</v>
      </c>
      <c r="N89" s="417">
        <f t="array" ref="N89">IF(COUNT(IF($M89=$B$29:$B$606,C$29:C$606,""))=0,"",SUM(IF($M89=$B$29:$B$606,C$29:C$606,""))/COUNT(IF($M89=$B$29:$B$606,C$29:C$606,"")))</f>
        <v>0.80599056682012071</v>
      </c>
      <c r="O89" s="417" t="str">
        <f t="array" ref="O89">IF(COUNT(IF($M89=$B$29:$B$606,D$29:D$606,""))=0,"",SUM(IF($M89=$B$29:$B$606,D$29:D$606,""))/COUNT(IF($M89=$B$29:$B$606,D$29:D$606,"")))</f>
        <v/>
      </c>
      <c r="P89" s="417" t="str">
        <f t="array" ref="P89">IF(COUNT(IF($M89=$B$29:$B$606,E$29:E$606,""))=0,"",SUM(IF($M89=$B$29:$B$606,E$29:E$606,""))/COUNT(IF($M89=$B$29:$B$606,E$29:E$606,"")))</f>
        <v/>
      </c>
      <c r="Q89" s="417" t="str">
        <f t="array" ref="Q89">IF(COUNT(IF($M89=$B$29:$B$606,F$29:F$606,""))=0,"",SUM(IF($M89=$B$29:$B$606,F$29:F$606,""))/COUNT(IF($M89=$B$29:$B$606,F$29:F$606,"")))</f>
        <v/>
      </c>
      <c r="R89" s="417" t="str">
        <f t="array" ref="R89">IF(COUNT(IF($M89=$B$29:$B$606,G$29:G$606,""))=0,"",SUM(IF($M89=$B$29:$B$606,G$29:G$606,""))/COUNT(IF($M89=$B$29:$B$606,G$29:G$606,"")))</f>
        <v/>
      </c>
      <c r="S89" s="417" t="str">
        <f t="array" ref="S89">IF(COUNT(IF($M89=$B$29:$B$606,H$29:H$606,""))=0,"",SUM(IF($M89=$B$29:$B$606,H$29:H$606,""))/COUNT(IF($M89=$B$29:$B$606,H$29:H$606,"")))</f>
        <v/>
      </c>
      <c r="T89" s="417">
        <f t="array" ref="T89">IF(COUNT(IF($M89=$B$29:$B$606,I$29:I$606,""))=0,"",MAX(IF($M89=$B$29:$B$606,I$29:I$606,"")))</f>
        <v>0</v>
      </c>
      <c r="U89" s="417">
        <f t="array" ref="U89">IF(COUNT(IF($M89=$B$29:$B$606,J$29:J$606,""))=0,"",MAX(IF($M89=$B$29:$B$606,J$29:J$606,"")))</f>
        <v>0</v>
      </c>
      <c r="V89" s="416">
        <f t="array" ref="V89">COUNT(IF(M89=$B$29:$B$606,$E$29:$E$606,""))</f>
        <v>0</v>
      </c>
      <c r="W89" s="137"/>
      <c r="X89" s="137"/>
      <c r="Y89" s="137"/>
      <c r="Z89" s="137"/>
      <c r="AA89" s="137"/>
      <c r="AB89" s="137"/>
      <c r="AC89" s="137"/>
      <c r="AD89" s="137"/>
      <c r="AE89" s="137"/>
      <c r="AF89" s="137"/>
      <c r="AG89" s="137"/>
      <c r="AH89" s="137"/>
      <c r="AI89" s="137"/>
      <c r="AJ89" s="137"/>
      <c r="AK89" s="137"/>
      <c r="AL89" s="137"/>
      <c r="AM89" s="137"/>
      <c r="AN89" s="137"/>
      <c r="AO89" s="137"/>
      <c r="AP89" s="137"/>
      <c r="AQ89" s="137"/>
    </row>
    <row r="90" spans="1:43">
      <c r="A90" s="407">
        <f>Input!B83</f>
        <v>38048</v>
      </c>
      <c r="B90" s="410">
        <f t="shared" si="6"/>
        <v>9</v>
      </c>
      <c r="C90" s="411">
        <f>IF(Input!I83&lt;=0,"",Input!I83)</f>
        <v>1.0608928706242404</v>
      </c>
      <c r="D90" s="412" t="str">
        <f>IF(G90="","",Input!Q83)</f>
        <v/>
      </c>
      <c r="E90" s="412" t="str">
        <f>IF(ISERROR(Input!AA83),"",Input!AA83)</f>
        <v/>
      </c>
      <c r="F90" s="412" t="str">
        <f>IF(E90="","",Input!AQ83)</f>
        <v/>
      </c>
      <c r="G90" s="413" t="str">
        <f t="shared" si="1"/>
        <v/>
      </c>
      <c r="H90" s="413" t="str">
        <f t="shared" si="2"/>
        <v/>
      </c>
      <c r="I90" s="414">
        <f t="shared" si="3"/>
        <v>0</v>
      </c>
      <c r="J90" s="414">
        <f t="shared" si="3"/>
        <v>0</v>
      </c>
      <c r="K90" s="137"/>
      <c r="L90" s="415">
        <f t="shared" si="7"/>
        <v>38420</v>
      </c>
      <c r="M90" s="416">
        <f t="shared" si="5"/>
        <v>62</v>
      </c>
      <c r="N90" s="417">
        <f t="array" ref="N90">IF(COUNT(IF($M90=$B$29:$B$606,C$29:C$606,""))=0,"",SUM(IF($M90=$B$29:$B$606,C$29:C$606,""))/COUNT(IF($M90=$B$29:$B$606,C$29:C$606,"")))</f>
        <v>1.1580218943003362</v>
      </c>
      <c r="O90" s="417" t="str">
        <f t="array" ref="O90">IF(COUNT(IF($M90=$B$29:$B$606,D$29:D$606,""))=0,"",SUM(IF($M90=$B$29:$B$606,D$29:D$606,""))/COUNT(IF($M90=$B$29:$B$606,D$29:D$606,"")))</f>
        <v/>
      </c>
      <c r="P90" s="417" t="str">
        <f t="array" ref="P90">IF(COUNT(IF($M90=$B$29:$B$606,E$29:E$606,""))=0,"",SUM(IF($M90=$B$29:$B$606,E$29:E$606,""))/COUNT(IF($M90=$B$29:$B$606,E$29:E$606,"")))</f>
        <v/>
      </c>
      <c r="Q90" s="417" t="str">
        <f t="array" ref="Q90">IF(COUNT(IF($M90=$B$29:$B$606,F$29:F$606,""))=0,"",SUM(IF($M90=$B$29:$B$606,F$29:F$606,""))/COUNT(IF($M90=$B$29:$B$606,F$29:F$606,"")))</f>
        <v/>
      </c>
      <c r="R90" s="417" t="str">
        <f t="array" ref="R90">IF(COUNT(IF($M90=$B$29:$B$606,G$29:G$606,""))=0,"",SUM(IF($M90=$B$29:$B$606,G$29:G$606,""))/COUNT(IF($M90=$B$29:$B$606,G$29:G$606,"")))</f>
        <v/>
      </c>
      <c r="S90" s="417" t="str">
        <f t="array" ref="S90">IF(COUNT(IF($M90=$B$29:$B$606,H$29:H$606,""))=0,"",SUM(IF($M90=$B$29:$B$606,H$29:H$606,""))/COUNT(IF($M90=$B$29:$B$606,H$29:H$606,"")))</f>
        <v/>
      </c>
      <c r="T90" s="417">
        <f t="array" ref="T90">IF(COUNT(IF($M90=$B$29:$B$606,I$29:I$606,""))=0,"",MAX(IF($M90=$B$29:$B$606,I$29:I$606,"")))</f>
        <v>0</v>
      </c>
      <c r="U90" s="417">
        <f t="array" ref="U90">IF(COUNT(IF($M90=$B$29:$B$606,J$29:J$606,""))=0,"",MAX(IF($M90=$B$29:$B$606,J$29:J$606,"")))</f>
        <v>0</v>
      </c>
      <c r="V90" s="416">
        <f t="array" ref="V90">COUNT(IF(M90=$B$29:$B$606,$E$29:$E$606,""))</f>
        <v>0</v>
      </c>
      <c r="W90" s="137"/>
      <c r="X90" s="137"/>
      <c r="Y90" s="137"/>
      <c r="Z90" s="137"/>
      <c r="AA90" s="137"/>
      <c r="AB90" s="137"/>
      <c r="AC90" s="137"/>
      <c r="AD90" s="137"/>
      <c r="AE90" s="137"/>
      <c r="AF90" s="137"/>
      <c r="AG90" s="137"/>
      <c r="AH90" s="137"/>
      <c r="AI90" s="137"/>
      <c r="AJ90" s="137"/>
      <c r="AK90" s="137"/>
      <c r="AL90" s="137"/>
      <c r="AM90" s="137"/>
      <c r="AN90" s="137"/>
      <c r="AO90" s="137"/>
      <c r="AP90" s="137"/>
      <c r="AQ90" s="137"/>
    </row>
    <row r="91" spans="1:43">
      <c r="A91" s="407">
        <f>Input!B84</f>
        <v>38049</v>
      </c>
      <c r="B91" s="410">
        <f t="shared" si="6"/>
        <v>9</v>
      </c>
      <c r="C91" s="411">
        <f>IF(Input!I84&lt;=0,"",Input!I84)</f>
        <v>0.96808272715190891</v>
      </c>
      <c r="D91" s="412" t="str">
        <f>IF(G91="","",Input!Q84)</f>
        <v/>
      </c>
      <c r="E91" s="412" t="str">
        <f>IF(ISERROR(Input!AA84),"",Input!AA84)</f>
        <v/>
      </c>
      <c r="F91" s="412" t="str">
        <f>IF(E91="","",Input!AQ84)</f>
        <v/>
      </c>
      <c r="G91" s="413" t="str">
        <f t="shared" si="1"/>
        <v/>
      </c>
      <c r="H91" s="413" t="str">
        <f t="shared" si="2"/>
        <v/>
      </c>
      <c r="I91" s="414">
        <f t="shared" si="3"/>
        <v>0</v>
      </c>
      <c r="J91" s="414">
        <f t="shared" si="3"/>
        <v>0</v>
      </c>
      <c r="K91" s="137"/>
      <c r="L91" s="415">
        <f t="shared" si="7"/>
        <v>38427</v>
      </c>
      <c r="M91" s="416">
        <f t="shared" si="5"/>
        <v>63</v>
      </c>
      <c r="N91" s="417">
        <f t="array" ref="N91">IF(COUNT(IF($M91=$B$29:$B$606,C$29:C$606,""))=0,"",SUM(IF($M91=$B$29:$B$606,C$29:C$606,""))/COUNT(IF($M91=$B$29:$B$606,C$29:C$606,"")))</f>
        <v>1.3521871363587308</v>
      </c>
      <c r="O91" s="417" t="str">
        <f t="array" ref="O91">IF(COUNT(IF($M91=$B$29:$B$606,D$29:D$606,""))=0,"",SUM(IF($M91=$B$29:$B$606,D$29:D$606,""))/COUNT(IF($M91=$B$29:$B$606,D$29:D$606,"")))</f>
        <v/>
      </c>
      <c r="P91" s="417" t="str">
        <f t="array" ref="P91">IF(COUNT(IF($M91=$B$29:$B$606,E$29:E$606,""))=0,"",SUM(IF($M91=$B$29:$B$606,E$29:E$606,""))/COUNT(IF($M91=$B$29:$B$606,E$29:E$606,"")))</f>
        <v/>
      </c>
      <c r="Q91" s="417" t="str">
        <f t="array" ref="Q91">IF(COUNT(IF($M91=$B$29:$B$606,F$29:F$606,""))=0,"",SUM(IF($M91=$B$29:$B$606,F$29:F$606,""))/COUNT(IF($M91=$B$29:$B$606,F$29:F$606,"")))</f>
        <v/>
      </c>
      <c r="R91" s="417" t="str">
        <f t="array" ref="R91">IF(COUNT(IF($M91=$B$29:$B$606,G$29:G$606,""))=0,"",SUM(IF($M91=$B$29:$B$606,G$29:G$606,""))/COUNT(IF($M91=$B$29:$B$606,G$29:G$606,"")))</f>
        <v/>
      </c>
      <c r="S91" s="417" t="str">
        <f t="array" ref="S91">IF(COUNT(IF($M91=$B$29:$B$606,H$29:H$606,""))=0,"",SUM(IF($M91=$B$29:$B$606,H$29:H$606,""))/COUNT(IF($M91=$B$29:$B$606,H$29:H$606,"")))</f>
        <v/>
      </c>
      <c r="T91" s="417">
        <f t="array" ref="T91">IF(COUNT(IF($M91=$B$29:$B$606,I$29:I$606,""))=0,"",MAX(IF($M91=$B$29:$B$606,I$29:I$606,"")))</f>
        <v>0</v>
      </c>
      <c r="U91" s="417">
        <f t="array" ref="U91">IF(COUNT(IF($M91=$B$29:$B$606,J$29:J$606,""))=0,"",MAX(IF($M91=$B$29:$B$606,J$29:J$606,"")))</f>
        <v>0</v>
      </c>
      <c r="V91" s="416">
        <f t="array" ref="V91">COUNT(IF(M91=$B$29:$B$606,$E$29:$E$606,""))</f>
        <v>0</v>
      </c>
      <c r="W91" s="137"/>
      <c r="X91" s="137"/>
      <c r="Y91" s="137"/>
      <c r="Z91" s="137"/>
      <c r="AA91" s="137"/>
      <c r="AB91" s="137"/>
      <c r="AC91" s="137"/>
      <c r="AD91" s="137"/>
      <c r="AE91" s="137"/>
      <c r="AF91" s="137"/>
      <c r="AG91" s="137"/>
      <c r="AH91" s="137"/>
      <c r="AI91" s="137"/>
      <c r="AJ91" s="137"/>
      <c r="AK91" s="137"/>
      <c r="AL91" s="137"/>
      <c r="AM91" s="137"/>
      <c r="AN91" s="137"/>
      <c r="AO91" s="137"/>
      <c r="AP91" s="137"/>
      <c r="AQ91" s="137"/>
    </row>
    <row r="92" spans="1:43">
      <c r="A92" s="407">
        <f>Input!B85</f>
        <v>38050</v>
      </c>
      <c r="B92" s="410">
        <f t="shared" si="6"/>
        <v>10</v>
      </c>
      <c r="C92" s="411">
        <f>IF(Input!I85&lt;=0,"",Input!I85)</f>
        <v>0.98359335507564682</v>
      </c>
      <c r="D92" s="412" t="str">
        <f>IF(G92="","",Input!Q85)</f>
        <v/>
      </c>
      <c r="E92" s="412" t="str">
        <f>IF(ISERROR(Input!AA85),"",Input!AA85)</f>
        <v/>
      </c>
      <c r="F92" s="412" t="str">
        <f>IF(E92="","",Input!AQ85)</f>
        <v/>
      </c>
      <c r="G92" s="413" t="str">
        <f t="shared" si="1"/>
        <v/>
      </c>
      <c r="H92" s="413" t="str">
        <f t="shared" si="2"/>
        <v/>
      </c>
      <c r="I92" s="414">
        <f t="shared" si="3"/>
        <v>0</v>
      </c>
      <c r="J92" s="414">
        <f t="shared" si="3"/>
        <v>0</v>
      </c>
      <c r="K92" s="137"/>
      <c r="L92" s="415">
        <f t="shared" si="7"/>
        <v>38434</v>
      </c>
      <c r="M92" s="416">
        <f t="shared" si="5"/>
        <v>64</v>
      </c>
      <c r="N92" s="417">
        <f t="array" ref="N92">IF(COUNT(IF($M92=$B$29:$B$606,C$29:C$606,""))=0,"",SUM(IF($M92=$B$29:$B$606,C$29:C$606,""))/COUNT(IF($M92=$B$29:$B$606,C$29:C$606,"")))</f>
        <v>1.3161786274559919</v>
      </c>
      <c r="O92" s="417" t="str">
        <f t="array" ref="O92">IF(COUNT(IF($M92=$B$29:$B$606,D$29:D$606,""))=0,"",SUM(IF($M92=$B$29:$B$606,D$29:D$606,""))/COUNT(IF($M92=$B$29:$B$606,D$29:D$606,"")))</f>
        <v/>
      </c>
      <c r="P92" s="417" t="str">
        <f t="array" ref="P92">IF(COUNT(IF($M92=$B$29:$B$606,E$29:E$606,""))=0,"",SUM(IF($M92=$B$29:$B$606,E$29:E$606,""))/COUNT(IF($M92=$B$29:$B$606,E$29:E$606,"")))</f>
        <v/>
      </c>
      <c r="Q92" s="417" t="str">
        <f t="array" ref="Q92">IF(COUNT(IF($M92=$B$29:$B$606,F$29:F$606,""))=0,"",SUM(IF($M92=$B$29:$B$606,F$29:F$606,""))/COUNT(IF($M92=$B$29:$B$606,F$29:F$606,"")))</f>
        <v/>
      </c>
      <c r="R92" s="417" t="str">
        <f t="array" ref="R92">IF(COUNT(IF($M92=$B$29:$B$606,G$29:G$606,""))=0,"",SUM(IF($M92=$B$29:$B$606,G$29:G$606,""))/COUNT(IF($M92=$B$29:$B$606,G$29:G$606,"")))</f>
        <v/>
      </c>
      <c r="S92" s="417" t="str">
        <f t="array" ref="S92">IF(COUNT(IF($M92=$B$29:$B$606,H$29:H$606,""))=0,"",SUM(IF($M92=$B$29:$B$606,H$29:H$606,""))/COUNT(IF($M92=$B$29:$B$606,H$29:H$606,"")))</f>
        <v/>
      </c>
      <c r="T92" s="417">
        <f t="array" ref="T92">IF(COUNT(IF($M92=$B$29:$B$606,I$29:I$606,""))=0,"",MAX(IF($M92=$B$29:$B$606,I$29:I$606,"")))</f>
        <v>0</v>
      </c>
      <c r="U92" s="417">
        <f t="array" ref="U92">IF(COUNT(IF($M92=$B$29:$B$606,J$29:J$606,""))=0,"",MAX(IF($M92=$B$29:$B$606,J$29:J$606,"")))</f>
        <v>0</v>
      </c>
      <c r="V92" s="416">
        <f t="array" ref="V92">COUNT(IF(M92=$B$29:$B$606,$E$29:$E$606,""))</f>
        <v>0</v>
      </c>
      <c r="W92" s="137"/>
      <c r="X92" s="137"/>
      <c r="Y92" s="137"/>
      <c r="Z92" s="137"/>
      <c r="AA92" s="137"/>
      <c r="AB92" s="137"/>
      <c r="AC92" s="137"/>
      <c r="AD92" s="137"/>
      <c r="AE92" s="137"/>
      <c r="AF92" s="137"/>
      <c r="AG92" s="137"/>
      <c r="AH92" s="137"/>
      <c r="AI92" s="137"/>
      <c r="AJ92" s="137"/>
      <c r="AK92" s="137"/>
      <c r="AL92" s="137"/>
      <c r="AM92" s="137"/>
      <c r="AN92" s="137"/>
      <c r="AO92" s="137"/>
      <c r="AP92" s="137"/>
      <c r="AQ92" s="137"/>
    </row>
    <row r="93" spans="1:43">
      <c r="A93" s="407">
        <f>Input!B86</f>
        <v>38051</v>
      </c>
      <c r="B93" s="410">
        <f t="shared" si="6"/>
        <v>10</v>
      </c>
      <c r="C93" s="411">
        <f>IF(Input!I86&lt;=0,"",Input!I86)</f>
        <v>1.2950054322307294</v>
      </c>
      <c r="D93" s="412" t="str">
        <f>IF(G93="","",Input!Q86)</f>
        <v/>
      </c>
      <c r="E93" s="412" t="str">
        <f>IF(ISERROR(Input!AA86),"",Input!AA86)</f>
        <v/>
      </c>
      <c r="F93" s="412" t="str">
        <f>IF(E93="","",Input!AQ86)</f>
        <v/>
      </c>
      <c r="G93" s="413" t="str">
        <f t="shared" si="1"/>
        <v/>
      </c>
      <c r="H93" s="413" t="str">
        <f t="shared" si="2"/>
        <v/>
      </c>
      <c r="I93" s="414">
        <f t="shared" si="3"/>
        <v>0</v>
      </c>
      <c r="J93" s="414">
        <f t="shared" si="3"/>
        <v>0</v>
      </c>
      <c r="K93" s="137"/>
      <c r="L93" s="415">
        <f t="shared" si="7"/>
        <v>38441</v>
      </c>
      <c r="M93" s="416">
        <f t="shared" si="5"/>
        <v>65</v>
      </c>
      <c r="N93" s="417">
        <f t="array" ref="N93">IF(COUNT(IF($M93=$B$29:$B$606,C$29:C$606,""))=0,"",SUM(IF($M93=$B$29:$B$606,C$29:C$606,""))/COUNT(IF($M93=$B$29:$B$606,C$29:C$606,"")))</f>
        <v>1.4476610993895158</v>
      </c>
      <c r="O93" s="417" t="str">
        <f t="array" ref="O93">IF(COUNT(IF($M93=$B$29:$B$606,D$29:D$606,""))=0,"",SUM(IF($M93=$B$29:$B$606,D$29:D$606,""))/COUNT(IF($M93=$B$29:$B$606,D$29:D$606,"")))</f>
        <v/>
      </c>
      <c r="P93" s="417" t="str">
        <f t="array" ref="P93">IF(COUNT(IF($M93=$B$29:$B$606,E$29:E$606,""))=0,"",SUM(IF($M93=$B$29:$B$606,E$29:E$606,""))/COUNT(IF($M93=$B$29:$B$606,E$29:E$606,"")))</f>
        <v/>
      </c>
      <c r="Q93" s="417" t="str">
        <f t="array" ref="Q93">IF(COUNT(IF($M93=$B$29:$B$606,F$29:F$606,""))=0,"",SUM(IF($M93=$B$29:$B$606,F$29:F$606,""))/COUNT(IF($M93=$B$29:$B$606,F$29:F$606,"")))</f>
        <v/>
      </c>
      <c r="R93" s="417" t="str">
        <f t="array" ref="R93">IF(COUNT(IF($M93=$B$29:$B$606,G$29:G$606,""))=0,"",SUM(IF($M93=$B$29:$B$606,G$29:G$606,""))/COUNT(IF($M93=$B$29:$B$606,G$29:G$606,"")))</f>
        <v/>
      </c>
      <c r="S93" s="417" t="str">
        <f t="array" ref="S93">IF(COUNT(IF($M93=$B$29:$B$606,H$29:H$606,""))=0,"",SUM(IF($M93=$B$29:$B$606,H$29:H$606,""))/COUNT(IF($M93=$B$29:$B$606,H$29:H$606,"")))</f>
        <v/>
      </c>
      <c r="T93" s="417">
        <f t="array" ref="T93">IF(COUNT(IF($M93=$B$29:$B$606,I$29:I$606,""))=0,"",MAX(IF($M93=$B$29:$B$606,I$29:I$606,"")))</f>
        <v>0</v>
      </c>
      <c r="U93" s="417">
        <f t="array" ref="U93">IF(COUNT(IF($M93=$B$29:$B$606,J$29:J$606,""))=0,"",MAX(IF($M93=$B$29:$B$606,J$29:J$606,"")))</f>
        <v>0</v>
      </c>
      <c r="V93" s="416">
        <f t="array" ref="V93">COUNT(IF(M93=$B$29:$B$606,$E$29:$E$606,""))</f>
        <v>0</v>
      </c>
      <c r="W93" s="137"/>
      <c r="X93" s="137"/>
      <c r="Y93" s="137"/>
      <c r="Z93" s="137"/>
      <c r="AA93" s="137"/>
      <c r="AB93" s="137"/>
      <c r="AC93" s="137"/>
      <c r="AD93" s="137"/>
      <c r="AE93" s="137"/>
      <c r="AF93" s="137"/>
      <c r="AG93" s="137"/>
      <c r="AH93" s="137"/>
      <c r="AI93" s="137"/>
      <c r="AJ93" s="137"/>
      <c r="AK93" s="137"/>
      <c r="AL93" s="137"/>
      <c r="AM93" s="137"/>
      <c r="AN93" s="137"/>
      <c r="AO93" s="137"/>
      <c r="AP93" s="137"/>
      <c r="AQ93" s="137"/>
    </row>
    <row r="94" spans="1:43">
      <c r="A94" s="407">
        <f>Input!B87</f>
        <v>38052</v>
      </c>
      <c r="B94" s="410">
        <f t="shared" si="6"/>
        <v>10</v>
      </c>
      <c r="C94" s="411">
        <f>IF(Input!I87&lt;=0,"",Input!I87)</f>
        <v>1.5724939236484043</v>
      </c>
      <c r="D94" s="412" t="str">
        <f>IF(G94="","",Input!Q87)</f>
        <v/>
      </c>
      <c r="E94" s="412" t="str">
        <f>IF(ISERROR(Input!AA87),"",Input!AA87)</f>
        <v/>
      </c>
      <c r="F94" s="412" t="str">
        <f>IF(E94="","",Input!AQ87)</f>
        <v/>
      </c>
      <c r="G94" s="413" t="str">
        <f t="shared" ref="G94:G157" si="8">IF(E94="","",E94*C94)</f>
        <v/>
      </c>
      <c r="H94" s="413" t="str">
        <f t="shared" ref="H94:H157" si="9">IF(F94="","",F94*C94)</f>
        <v/>
      </c>
      <c r="I94" s="414">
        <f t="shared" ref="I94:J157" si="10">IF(G94="",0,IF(I93="",G94,I93+G94))</f>
        <v>0</v>
      </c>
      <c r="J94" s="414">
        <f t="shared" si="10"/>
        <v>0</v>
      </c>
      <c r="K94" s="137"/>
      <c r="L94" s="415">
        <f t="shared" si="7"/>
        <v>38448</v>
      </c>
      <c r="M94" s="416">
        <f t="shared" si="5"/>
        <v>66</v>
      </c>
      <c r="N94" s="417">
        <f t="array" ref="N94">IF(COUNT(IF($M94=$B$29:$B$606,C$29:C$606,""))=0,"",SUM(IF($M94=$B$29:$B$606,C$29:C$606,""))/COUNT(IF($M94=$B$29:$B$606,C$29:C$606,"")))</f>
        <v>1.5441140035836629</v>
      </c>
      <c r="O94" s="417" t="str">
        <f t="array" ref="O94">IF(COUNT(IF($M94=$B$29:$B$606,D$29:D$606,""))=0,"",SUM(IF($M94=$B$29:$B$606,D$29:D$606,""))/COUNT(IF($M94=$B$29:$B$606,D$29:D$606,"")))</f>
        <v/>
      </c>
      <c r="P94" s="417" t="str">
        <f t="array" ref="P94">IF(COUNT(IF($M94=$B$29:$B$606,E$29:E$606,""))=0,"",SUM(IF($M94=$B$29:$B$606,E$29:E$606,""))/COUNT(IF($M94=$B$29:$B$606,E$29:E$606,"")))</f>
        <v/>
      </c>
      <c r="Q94" s="417" t="str">
        <f t="array" ref="Q94">IF(COUNT(IF($M94=$B$29:$B$606,F$29:F$606,""))=0,"",SUM(IF($M94=$B$29:$B$606,F$29:F$606,""))/COUNT(IF($M94=$B$29:$B$606,F$29:F$606,"")))</f>
        <v/>
      </c>
      <c r="R94" s="417" t="str">
        <f t="array" ref="R94">IF(COUNT(IF($M94=$B$29:$B$606,G$29:G$606,""))=0,"",SUM(IF($M94=$B$29:$B$606,G$29:G$606,""))/COUNT(IF($M94=$B$29:$B$606,G$29:G$606,"")))</f>
        <v/>
      </c>
      <c r="S94" s="417" t="str">
        <f t="array" ref="S94">IF(COUNT(IF($M94=$B$29:$B$606,H$29:H$606,""))=0,"",SUM(IF($M94=$B$29:$B$606,H$29:H$606,""))/COUNT(IF($M94=$B$29:$B$606,H$29:H$606,"")))</f>
        <v/>
      </c>
      <c r="T94" s="417">
        <f t="array" ref="T94">IF(COUNT(IF($M94=$B$29:$B$606,I$29:I$606,""))=0,"",MAX(IF($M94=$B$29:$B$606,I$29:I$606,"")))</f>
        <v>0</v>
      </c>
      <c r="U94" s="417">
        <f t="array" ref="U94">IF(COUNT(IF($M94=$B$29:$B$606,J$29:J$606,""))=0,"",MAX(IF($M94=$B$29:$B$606,J$29:J$606,"")))</f>
        <v>0</v>
      </c>
      <c r="V94" s="416">
        <f t="array" ref="V94">COUNT(IF(M94=$B$29:$B$606,$E$29:$E$606,""))</f>
        <v>0</v>
      </c>
      <c r="W94" s="137"/>
      <c r="X94" s="137"/>
      <c r="Y94" s="137"/>
      <c r="Z94" s="137"/>
      <c r="AA94" s="137"/>
      <c r="AB94" s="137"/>
      <c r="AC94" s="137"/>
      <c r="AD94" s="137"/>
      <c r="AE94" s="137"/>
      <c r="AF94" s="137"/>
      <c r="AG94" s="137"/>
      <c r="AH94" s="137"/>
      <c r="AI94" s="137"/>
      <c r="AJ94" s="137"/>
      <c r="AK94" s="137"/>
      <c r="AL94" s="137"/>
      <c r="AM94" s="137"/>
      <c r="AN94" s="137"/>
      <c r="AO94" s="137"/>
      <c r="AP94" s="137"/>
      <c r="AQ94" s="137"/>
    </row>
    <row r="95" spans="1:43">
      <c r="A95" s="407">
        <f>Input!B88</f>
        <v>38053</v>
      </c>
      <c r="B95" s="410">
        <f t="shared" si="6"/>
        <v>10</v>
      </c>
      <c r="C95" s="411">
        <f>IF(Input!I88&lt;=0,"",Input!I88)</f>
        <v>1.0836619209021265</v>
      </c>
      <c r="D95" s="412" t="str">
        <f>IF(G95="","",Input!Q88)</f>
        <v/>
      </c>
      <c r="E95" s="412" t="str">
        <f>IF(ISERROR(Input!AA88),"",Input!AA88)</f>
        <v/>
      </c>
      <c r="F95" s="412" t="str">
        <f>IF(E95="","",Input!AQ88)</f>
        <v/>
      </c>
      <c r="G95" s="413" t="str">
        <f t="shared" si="8"/>
        <v/>
      </c>
      <c r="H95" s="413" t="str">
        <f t="shared" si="9"/>
        <v/>
      </c>
      <c r="I95" s="414">
        <f t="shared" si="10"/>
        <v>0</v>
      </c>
      <c r="J95" s="414">
        <f t="shared" si="10"/>
        <v>0</v>
      </c>
      <c r="K95" s="137"/>
      <c r="L95" s="415">
        <f t="shared" si="7"/>
        <v>38455</v>
      </c>
      <c r="M95" s="416">
        <f t="shared" ref="M95:M111" si="11">M94+1</f>
        <v>67</v>
      </c>
      <c r="N95" s="417">
        <f t="array" ref="N95">IF(COUNT(IF($M95=$B$29:$B$606,C$29:C$606,""))=0,"",SUM(IF($M95=$B$29:$B$606,C$29:C$606,""))/COUNT(IF($M95=$B$29:$B$606,C$29:C$606,"")))</f>
        <v>1.5188529376006923</v>
      </c>
      <c r="O95" s="417" t="str">
        <f t="array" ref="O95">IF(COUNT(IF($M95=$B$29:$B$606,D$29:D$606,""))=0,"",SUM(IF($M95=$B$29:$B$606,D$29:D$606,""))/COUNT(IF($M95=$B$29:$B$606,D$29:D$606,"")))</f>
        <v/>
      </c>
      <c r="P95" s="417" t="str">
        <f t="array" ref="P95">IF(COUNT(IF($M95=$B$29:$B$606,E$29:E$606,""))=0,"",SUM(IF($M95=$B$29:$B$606,E$29:E$606,""))/COUNT(IF($M95=$B$29:$B$606,E$29:E$606,"")))</f>
        <v/>
      </c>
      <c r="Q95" s="417" t="str">
        <f t="array" ref="Q95">IF(COUNT(IF($M95=$B$29:$B$606,F$29:F$606,""))=0,"",SUM(IF($M95=$B$29:$B$606,F$29:F$606,""))/COUNT(IF($M95=$B$29:$B$606,F$29:F$606,"")))</f>
        <v/>
      </c>
      <c r="R95" s="417" t="str">
        <f t="array" ref="R95">IF(COUNT(IF($M95=$B$29:$B$606,G$29:G$606,""))=0,"",SUM(IF($M95=$B$29:$B$606,G$29:G$606,""))/COUNT(IF($M95=$B$29:$B$606,G$29:G$606,"")))</f>
        <v/>
      </c>
      <c r="S95" s="417" t="str">
        <f t="array" ref="S95">IF(COUNT(IF($M95=$B$29:$B$606,H$29:H$606,""))=0,"",SUM(IF($M95=$B$29:$B$606,H$29:H$606,""))/COUNT(IF($M95=$B$29:$B$606,H$29:H$606,"")))</f>
        <v/>
      </c>
      <c r="T95" s="417">
        <f t="array" ref="T95">IF(COUNT(IF($M95=$B$29:$B$606,I$29:I$606,""))=0,"",MAX(IF($M95=$B$29:$B$606,I$29:I$606,"")))</f>
        <v>0</v>
      </c>
      <c r="U95" s="417">
        <f t="array" ref="U95">IF(COUNT(IF($M95=$B$29:$B$606,J$29:J$606,""))=0,"",MAX(IF($M95=$B$29:$B$606,J$29:J$606,"")))</f>
        <v>0</v>
      </c>
      <c r="V95" s="416">
        <f t="array" ref="V95">COUNT(IF(M95=$B$29:$B$606,$E$29:$E$606,""))</f>
        <v>0</v>
      </c>
      <c r="W95" s="137"/>
      <c r="X95" s="137"/>
      <c r="Y95" s="137"/>
      <c r="Z95" s="137"/>
      <c r="AA95" s="137"/>
      <c r="AB95" s="137"/>
      <c r="AC95" s="137"/>
      <c r="AD95" s="137"/>
      <c r="AE95" s="137"/>
      <c r="AF95" s="137"/>
      <c r="AG95" s="137"/>
      <c r="AH95" s="137"/>
      <c r="AI95" s="137"/>
      <c r="AJ95" s="137"/>
      <c r="AK95" s="137"/>
      <c r="AL95" s="137"/>
      <c r="AM95" s="137"/>
      <c r="AN95" s="137"/>
      <c r="AO95" s="137"/>
      <c r="AP95" s="137"/>
      <c r="AQ95" s="137"/>
    </row>
    <row r="96" spans="1:43">
      <c r="A96" s="407">
        <f>Input!B89</f>
        <v>38054</v>
      </c>
      <c r="B96" s="410">
        <f t="shared" si="6"/>
        <v>10</v>
      </c>
      <c r="C96" s="411">
        <f>IF(Input!I89&lt;=0,"",Input!I89)</f>
        <v>1.1424230304692966</v>
      </c>
      <c r="D96" s="412" t="str">
        <f>IF(G96="","",Input!Q89)</f>
        <v/>
      </c>
      <c r="E96" s="412" t="str">
        <f>IF(ISERROR(Input!AA89),"",Input!AA89)</f>
        <v/>
      </c>
      <c r="F96" s="412" t="str">
        <f>IF(E96="","",Input!AQ89)</f>
        <v/>
      </c>
      <c r="G96" s="413" t="str">
        <f t="shared" si="8"/>
        <v/>
      </c>
      <c r="H96" s="413" t="str">
        <f t="shared" si="9"/>
        <v/>
      </c>
      <c r="I96" s="414">
        <f t="shared" si="10"/>
        <v>0</v>
      </c>
      <c r="J96" s="414">
        <f t="shared" si="10"/>
        <v>0</v>
      </c>
      <c r="K96" s="137"/>
      <c r="L96" s="415">
        <f t="shared" si="7"/>
        <v>38462</v>
      </c>
      <c r="M96" s="416">
        <f t="shared" si="11"/>
        <v>68</v>
      </c>
      <c r="N96" s="417">
        <f t="array" ref="N96">IF(COUNT(IF($M96=$B$29:$B$606,C$29:C$606,""))=0,"",SUM(IF($M96=$B$29:$B$606,C$29:C$606,""))/COUNT(IF($M96=$B$29:$B$606,C$29:C$606,"")))</f>
        <v>1.7513629045232186</v>
      </c>
      <c r="O96" s="417" t="str">
        <f t="array" ref="O96">IF(COUNT(IF($M96=$B$29:$B$606,D$29:D$606,""))=0,"",SUM(IF($M96=$B$29:$B$606,D$29:D$606,""))/COUNT(IF($M96=$B$29:$B$606,D$29:D$606,"")))</f>
        <v/>
      </c>
      <c r="P96" s="417" t="str">
        <f t="array" ref="P96">IF(COUNT(IF($M96=$B$29:$B$606,E$29:E$606,""))=0,"",SUM(IF($M96=$B$29:$B$606,E$29:E$606,""))/COUNT(IF($M96=$B$29:$B$606,E$29:E$606,"")))</f>
        <v/>
      </c>
      <c r="Q96" s="417" t="str">
        <f t="array" ref="Q96">IF(COUNT(IF($M96=$B$29:$B$606,F$29:F$606,""))=0,"",SUM(IF($M96=$B$29:$B$606,F$29:F$606,""))/COUNT(IF($M96=$B$29:$B$606,F$29:F$606,"")))</f>
        <v/>
      </c>
      <c r="R96" s="417" t="str">
        <f t="array" ref="R96">IF(COUNT(IF($M96=$B$29:$B$606,G$29:G$606,""))=0,"",SUM(IF($M96=$B$29:$B$606,G$29:G$606,""))/COUNT(IF($M96=$B$29:$B$606,G$29:G$606,"")))</f>
        <v/>
      </c>
      <c r="S96" s="417" t="str">
        <f t="array" ref="S96">IF(COUNT(IF($M96=$B$29:$B$606,H$29:H$606,""))=0,"",SUM(IF($M96=$B$29:$B$606,H$29:H$606,""))/COUNT(IF($M96=$B$29:$B$606,H$29:H$606,"")))</f>
        <v/>
      </c>
      <c r="T96" s="417">
        <f t="array" ref="T96">IF(COUNT(IF($M96=$B$29:$B$606,I$29:I$606,""))=0,"",MAX(IF($M96=$B$29:$B$606,I$29:I$606,"")))</f>
        <v>0</v>
      </c>
      <c r="U96" s="417">
        <f t="array" ref="U96">IF(COUNT(IF($M96=$B$29:$B$606,J$29:J$606,""))=0,"",MAX(IF($M96=$B$29:$B$606,J$29:J$606,"")))</f>
        <v>0</v>
      </c>
      <c r="V96" s="416">
        <f t="array" ref="V96">COUNT(IF(M96=$B$29:$B$606,$E$29:$E$606,""))</f>
        <v>0</v>
      </c>
      <c r="W96" s="137"/>
      <c r="X96" s="137"/>
      <c r="Y96" s="137"/>
      <c r="Z96" s="137"/>
      <c r="AA96" s="137"/>
      <c r="AB96" s="137"/>
      <c r="AC96" s="137"/>
      <c r="AD96" s="137"/>
      <c r="AE96" s="137"/>
      <c r="AF96" s="137"/>
      <c r="AG96" s="137"/>
      <c r="AH96" s="137"/>
      <c r="AI96" s="137"/>
      <c r="AJ96" s="137"/>
      <c r="AK96" s="137"/>
      <c r="AL96" s="137"/>
      <c r="AM96" s="137"/>
      <c r="AN96" s="137"/>
      <c r="AO96" s="137"/>
      <c r="AP96" s="137"/>
      <c r="AQ96" s="137"/>
    </row>
    <row r="97" spans="1:43">
      <c r="A97" s="407">
        <f>Input!B90</f>
        <v>38055</v>
      </c>
      <c r="B97" s="410">
        <f t="shared" si="6"/>
        <v>10</v>
      </c>
      <c r="C97" s="411">
        <f>IF(Input!I90&lt;=0,"",Input!I90)</f>
        <v>1.3410329982487244</v>
      </c>
      <c r="D97" s="412" t="str">
        <f>IF(G97="","",Input!Q90)</f>
        <v/>
      </c>
      <c r="E97" s="412" t="str">
        <f>IF(ISERROR(Input!AA90),"",Input!AA90)</f>
        <v/>
      </c>
      <c r="F97" s="412" t="str">
        <f>IF(E97="","",Input!AQ90)</f>
        <v/>
      </c>
      <c r="G97" s="413" t="str">
        <f t="shared" si="8"/>
        <v/>
      </c>
      <c r="H97" s="413" t="str">
        <f t="shared" si="9"/>
        <v/>
      </c>
      <c r="I97" s="414">
        <f t="shared" si="10"/>
        <v>0</v>
      </c>
      <c r="J97" s="414">
        <f t="shared" si="10"/>
        <v>0</v>
      </c>
      <c r="K97" s="137"/>
      <c r="L97" s="415">
        <f t="shared" si="7"/>
        <v>38469</v>
      </c>
      <c r="M97" s="416">
        <f t="shared" si="11"/>
        <v>69</v>
      </c>
      <c r="N97" s="417">
        <f t="array" ref="N97">IF(COUNT(IF($M97=$B$29:$B$606,C$29:C$606,""))=0,"",SUM(IF($M97=$B$29:$B$606,C$29:C$606,""))/COUNT(IF($M97=$B$29:$B$606,C$29:C$606,"")))</f>
        <v>1.7386516207561515</v>
      </c>
      <c r="O97" s="417" t="str">
        <f t="array" ref="O97">IF(COUNT(IF($M97=$B$29:$B$606,D$29:D$606,""))=0,"",SUM(IF($M97=$B$29:$B$606,D$29:D$606,""))/COUNT(IF($M97=$B$29:$B$606,D$29:D$606,"")))</f>
        <v/>
      </c>
      <c r="P97" s="417" t="str">
        <f t="array" ref="P97">IF(COUNT(IF($M97=$B$29:$B$606,E$29:E$606,""))=0,"",SUM(IF($M97=$B$29:$B$606,E$29:E$606,""))/COUNT(IF($M97=$B$29:$B$606,E$29:E$606,"")))</f>
        <v/>
      </c>
      <c r="Q97" s="417" t="str">
        <f t="array" ref="Q97">IF(COUNT(IF($M97=$B$29:$B$606,F$29:F$606,""))=0,"",SUM(IF($M97=$B$29:$B$606,F$29:F$606,""))/COUNT(IF($M97=$B$29:$B$606,F$29:F$606,"")))</f>
        <v/>
      </c>
      <c r="R97" s="417" t="str">
        <f t="array" ref="R97">IF(COUNT(IF($M97=$B$29:$B$606,G$29:G$606,""))=0,"",SUM(IF($M97=$B$29:$B$606,G$29:G$606,""))/COUNT(IF($M97=$B$29:$B$606,G$29:G$606,"")))</f>
        <v/>
      </c>
      <c r="S97" s="417" t="str">
        <f t="array" ref="S97">IF(COUNT(IF($M97=$B$29:$B$606,H$29:H$606,""))=0,"",SUM(IF($M97=$B$29:$B$606,H$29:H$606,""))/COUNT(IF($M97=$B$29:$B$606,H$29:H$606,"")))</f>
        <v/>
      </c>
      <c r="T97" s="417">
        <f t="array" ref="T97">IF(COUNT(IF($M97=$B$29:$B$606,I$29:I$606,""))=0,"",MAX(IF($M97=$B$29:$B$606,I$29:I$606,"")))</f>
        <v>0</v>
      </c>
      <c r="U97" s="417">
        <f t="array" ref="U97">IF(COUNT(IF($M97=$B$29:$B$606,J$29:J$606,""))=0,"",MAX(IF($M97=$B$29:$B$606,J$29:J$606,"")))</f>
        <v>0</v>
      </c>
      <c r="V97" s="416">
        <f t="array" ref="V97">COUNT(IF(M97=$B$29:$B$606,$E$29:$E$606,""))</f>
        <v>0</v>
      </c>
      <c r="W97" s="137"/>
      <c r="X97" s="137"/>
      <c r="Y97" s="137"/>
      <c r="Z97" s="137"/>
      <c r="AA97" s="137"/>
      <c r="AB97" s="137"/>
      <c r="AC97" s="137"/>
      <c r="AD97" s="137"/>
      <c r="AE97" s="137"/>
      <c r="AF97" s="137"/>
      <c r="AG97" s="137"/>
      <c r="AH97" s="137"/>
      <c r="AI97" s="137"/>
      <c r="AJ97" s="137"/>
      <c r="AK97" s="137"/>
      <c r="AL97" s="137"/>
      <c r="AM97" s="137"/>
      <c r="AN97" s="137"/>
      <c r="AO97" s="137"/>
      <c r="AP97" s="137"/>
      <c r="AQ97" s="137"/>
    </row>
    <row r="98" spans="1:43">
      <c r="A98" s="407">
        <f>Input!B91</f>
        <v>38056</v>
      </c>
      <c r="B98" s="410">
        <f t="shared" si="6"/>
        <v>10</v>
      </c>
      <c r="C98" s="411">
        <f>IF(Input!I91&lt;=0,"",Input!I91)</f>
        <v>1.1150450964331124</v>
      </c>
      <c r="D98" s="412" t="str">
        <f>IF(G98="","",Input!Q91)</f>
        <v/>
      </c>
      <c r="E98" s="412" t="str">
        <f>IF(ISERROR(Input!AA91),"",Input!AA91)</f>
        <v/>
      </c>
      <c r="F98" s="412" t="str">
        <f>IF(E98="","",Input!AQ91)</f>
        <v/>
      </c>
      <c r="G98" s="413" t="str">
        <f t="shared" si="8"/>
        <v/>
      </c>
      <c r="H98" s="413" t="str">
        <f t="shared" si="9"/>
        <v/>
      </c>
      <c r="I98" s="414">
        <f t="shared" si="10"/>
        <v>0</v>
      </c>
      <c r="J98" s="414">
        <f t="shared" si="10"/>
        <v>0</v>
      </c>
      <c r="K98" s="137"/>
      <c r="L98" s="415">
        <f t="shared" si="7"/>
        <v>38476</v>
      </c>
      <c r="M98" s="416">
        <f t="shared" si="11"/>
        <v>70</v>
      </c>
      <c r="N98" s="417">
        <f t="array" ref="N98">IF(COUNT(IF($M98=$B$29:$B$606,C$29:C$606,""))=0,"",SUM(IF($M98=$B$29:$B$606,C$29:C$606,""))/COUNT(IF($M98=$B$29:$B$606,C$29:C$606,"")))</f>
        <v>0.97477175924038284</v>
      </c>
      <c r="O98" s="417" t="str">
        <f t="array" ref="O98">IF(COUNT(IF($M98=$B$29:$B$606,D$29:D$606,""))=0,"",SUM(IF($M98=$B$29:$B$606,D$29:D$606,""))/COUNT(IF($M98=$B$29:$B$606,D$29:D$606,"")))</f>
        <v/>
      </c>
      <c r="P98" s="417" t="str">
        <f t="array" ref="P98">IF(COUNT(IF($M98=$B$29:$B$606,E$29:E$606,""))=0,"",SUM(IF($M98=$B$29:$B$606,E$29:E$606,""))/COUNT(IF($M98=$B$29:$B$606,E$29:E$606,"")))</f>
        <v/>
      </c>
      <c r="Q98" s="417" t="str">
        <f t="array" ref="Q98">IF(COUNT(IF($M98=$B$29:$B$606,F$29:F$606,""))=0,"",SUM(IF($M98=$B$29:$B$606,F$29:F$606,""))/COUNT(IF($M98=$B$29:$B$606,F$29:F$606,"")))</f>
        <v/>
      </c>
      <c r="R98" s="417" t="str">
        <f t="array" ref="R98">IF(COUNT(IF($M98=$B$29:$B$606,G$29:G$606,""))=0,"",SUM(IF($M98=$B$29:$B$606,G$29:G$606,""))/COUNT(IF($M98=$B$29:$B$606,G$29:G$606,"")))</f>
        <v/>
      </c>
      <c r="S98" s="417" t="str">
        <f t="array" ref="S98">IF(COUNT(IF($M98=$B$29:$B$606,H$29:H$606,""))=0,"",SUM(IF($M98=$B$29:$B$606,H$29:H$606,""))/COUNT(IF($M98=$B$29:$B$606,H$29:H$606,"")))</f>
        <v/>
      </c>
      <c r="T98" s="417">
        <f t="array" ref="T98">IF(COUNT(IF($M98=$B$29:$B$606,I$29:I$606,""))=0,"",MAX(IF($M98=$B$29:$B$606,I$29:I$606,"")))</f>
        <v>0</v>
      </c>
      <c r="U98" s="417">
        <f t="array" ref="U98">IF(COUNT(IF($M98=$B$29:$B$606,J$29:J$606,""))=0,"",MAX(IF($M98=$B$29:$B$606,J$29:J$606,"")))</f>
        <v>0</v>
      </c>
      <c r="V98" s="416">
        <f t="array" ref="V98">COUNT(IF(M98=$B$29:$B$606,$E$29:$E$606,""))</f>
        <v>0</v>
      </c>
      <c r="W98" s="137"/>
      <c r="X98" s="137"/>
      <c r="Y98" s="137"/>
      <c r="Z98" s="137"/>
      <c r="AA98" s="137"/>
      <c r="AB98" s="137"/>
      <c r="AC98" s="137"/>
      <c r="AD98" s="137"/>
      <c r="AE98" s="137"/>
      <c r="AF98" s="137"/>
      <c r="AG98" s="137"/>
      <c r="AH98" s="137"/>
      <c r="AI98" s="137"/>
      <c r="AJ98" s="137"/>
      <c r="AK98" s="137"/>
      <c r="AL98" s="137"/>
      <c r="AM98" s="137"/>
      <c r="AN98" s="137"/>
      <c r="AO98" s="137"/>
      <c r="AP98" s="137"/>
      <c r="AQ98" s="137"/>
    </row>
    <row r="99" spans="1:43">
      <c r="A99" s="407">
        <f>Input!B92</f>
        <v>38057</v>
      </c>
      <c r="B99" s="410">
        <f t="shared" si="6"/>
        <v>11</v>
      </c>
      <c r="C99" s="411">
        <f>IF(Input!I92&lt;=0,"",Input!I92)</f>
        <v>1.6884894294026032</v>
      </c>
      <c r="D99" s="412" t="str">
        <f>IF(G99="","",Input!Q92)</f>
        <v/>
      </c>
      <c r="E99" s="412" t="str">
        <f>IF(ISERROR(Input!AA92),"",Input!AA92)</f>
        <v/>
      </c>
      <c r="F99" s="412" t="str">
        <f>IF(E99="","",Input!AQ92)</f>
        <v/>
      </c>
      <c r="G99" s="413" t="str">
        <f t="shared" si="8"/>
        <v/>
      </c>
      <c r="H99" s="413" t="str">
        <f t="shared" si="9"/>
        <v/>
      </c>
      <c r="I99" s="414">
        <f t="shared" si="10"/>
        <v>0</v>
      </c>
      <c r="J99" s="414">
        <f t="shared" si="10"/>
        <v>0</v>
      </c>
      <c r="K99" s="137"/>
      <c r="L99" s="415">
        <f t="shared" si="7"/>
        <v>38483</v>
      </c>
      <c r="M99" s="416">
        <f t="shared" si="11"/>
        <v>71</v>
      </c>
      <c r="N99" s="417">
        <f t="array" ref="N99">IF(COUNT(IF($M99=$B$29:$B$606,C$29:C$606,""))=0,"",SUM(IF($M99=$B$29:$B$606,C$29:C$606,""))/COUNT(IF($M99=$B$29:$B$606,C$29:C$606,"")))</f>
        <v>2.6560386379887109</v>
      </c>
      <c r="O99" s="417" t="str">
        <f t="array" ref="O99">IF(COUNT(IF($M99=$B$29:$B$606,D$29:D$606,""))=0,"",SUM(IF($M99=$B$29:$B$606,D$29:D$606,""))/COUNT(IF($M99=$B$29:$B$606,D$29:D$606,"")))</f>
        <v/>
      </c>
      <c r="P99" s="417" t="str">
        <f t="array" ref="P99">IF(COUNT(IF($M99=$B$29:$B$606,E$29:E$606,""))=0,"",SUM(IF($M99=$B$29:$B$606,E$29:E$606,""))/COUNT(IF($M99=$B$29:$B$606,E$29:E$606,"")))</f>
        <v/>
      </c>
      <c r="Q99" s="417" t="str">
        <f t="array" ref="Q99">IF(COUNT(IF($M99=$B$29:$B$606,F$29:F$606,""))=0,"",SUM(IF($M99=$B$29:$B$606,F$29:F$606,""))/COUNT(IF($M99=$B$29:$B$606,F$29:F$606,"")))</f>
        <v/>
      </c>
      <c r="R99" s="417" t="str">
        <f t="array" ref="R99">IF(COUNT(IF($M99=$B$29:$B$606,G$29:G$606,""))=0,"",SUM(IF($M99=$B$29:$B$606,G$29:G$606,""))/COUNT(IF($M99=$B$29:$B$606,G$29:G$606,"")))</f>
        <v/>
      </c>
      <c r="S99" s="417" t="str">
        <f t="array" ref="S99">IF(COUNT(IF($M99=$B$29:$B$606,H$29:H$606,""))=0,"",SUM(IF($M99=$B$29:$B$606,H$29:H$606,""))/COUNT(IF($M99=$B$29:$B$606,H$29:H$606,"")))</f>
        <v/>
      </c>
      <c r="T99" s="417">
        <f t="array" ref="T99">IF(COUNT(IF($M99=$B$29:$B$606,I$29:I$606,""))=0,"",MAX(IF($M99=$B$29:$B$606,I$29:I$606,"")))</f>
        <v>0</v>
      </c>
      <c r="U99" s="417">
        <f t="array" ref="U99">IF(COUNT(IF($M99=$B$29:$B$606,J$29:J$606,""))=0,"",MAX(IF($M99=$B$29:$B$606,J$29:J$606,"")))</f>
        <v>0</v>
      </c>
      <c r="V99" s="416">
        <f t="array" ref="V99">COUNT(IF(M99=$B$29:$B$606,$E$29:$E$606,""))</f>
        <v>0</v>
      </c>
      <c r="W99" s="137"/>
      <c r="X99" s="137"/>
      <c r="Y99" s="137"/>
      <c r="Z99" s="137"/>
      <c r="AA99" s="137"/>
      <c r="AB99" s="137"/>
      <c r="AC99" s="137"/>
      <c r="AD99" s="137"/>
      <c r="AE99" s="137"/>
      <c r="AF99" s="137"/>
      <c r="AG99" s="137"/>
      <c r="AH99" s="137"/>
      <c r="AI99" s="137"/>
      <c r="AJ99" s="137"/>
      <c r="AK99" s="137"/>
      <c r="AL99" s="137"/>
      <c r="AM99" s="137"/>
      <c r="AN99" s="137"/>
      <c r="AO99" s="137"/>
      <c r="AP99" s="137"/>
      <c r="AQ99" s="137"/>
    </row>
    <row r="100" spans="1:43">
      <c r="A100" s="407">
        <f>Input!B93</f>
        <v>38058</v>
      </c>
      <c r="B100" s="410">
        <f t="shared" si="6"/>
        <v>11</v>
      </c>
      <c r="C100" s="411">
        <f>IF(Input!I93&lt;=0,"",Input!I93)</f>
        <v>1.5557057936289045</v>
      </c>
      <c r="D100" s="412" t="str">
        <f>IF(G100="","",Input!Q93)</f>
        <v/>
      </c>
      <c r="E100" s="412" t="str">
        <f>IF(ISERROR(Input!AA93),"",Input!AA93)</f>
        <v/>
      </c>
      <c r="F100" s="412" t="str">
        <f>IF(E100="","",Input!AQ93)</f>
        <v/>
      </c>
      <c r="G100" s="413" t="str">
        <f t="shared" si="8"/>
        <v/>
      </c>
      <c r="H100" s="413" t="str">
        <f t="shared" si="9"/>
        <v/>
      </c>
      <c r="I100" s="414">
        <f t="shared" si="10"/>
        <v>0</v>
      </c>
      <c r="J100" s="414">
        <f t="shared" si="10"/>
        <v>0</v>
      </c>
      <c r="K100" s="137"/>
      <c r="L100" s="415">
        <f t="shared" si="7"/>
        <v>38490</v>
      </c>
      <c r="M100" s="416">
        <f t="shared" si="11"/>
        <v>72</v>
      </c>
      <c r="N100" s="417">
        <f t="array" ref="N100">IF(COUNT(IF($M100=$B$29:$B$606,C$29:C$606,""))=0,"",SUM(IF($M100=$B$29:$B$606,C$29:C$606,""))/COUNT(IF($M100=$B$29:$B$606,C$29:C$606,"")))</f>
        <v>2.9199274619261084</v>
      </c>
      <c r="O100" s="417" t="str">
        <f t="array" ref="O100">IF(COUNT(IF($M100=$B$29:$B$606,D$29:D$606,""))=0,"",SUM(IF($M100=$B$29:$B$606,D$29:D$606,""))/COUNT(IF($M100=$B$29:$B$606,D$29:D$606,"")))</f>
        <v/>
      </c>
      <c r="P100" s="417" t="str">
        <f t="array" ref="P100">IF(COUNT(IF($M100=$B$29:$B$606,E$29:E$606,""))=0,"",SUM(IF($M100=$B$29:$B$606,E$29:E$606,""))/COUNT(IF($M100=$B$29:$B$606,E$29:E$606,"")))</f>
        <v/>
      </c>
      <c r="Q100" s="417" t="str">
        <f t="array" ref="Q100">IF(COUNT(IF($M100=$B$29:$B$606,F$29:F$606,""))=0,"",SUM(IF($M100=$B$29:$B$606,F$29:F$606,""))/COUNT(IF($M100=$B$29:$B$606,F$29:F$606,"")))</f>
        <v/>
      </c>
      <c r="R100" s="417" t="str">
        <f t="array" ref="R100">IF(COUNT(IF($M100=$B$29:$B$606,G$29:G$606,""))=0,"",SUM(IF($M100=$B$29:$B$606,G$29:G$606,""))/COUNT(IF($M100=$B$29:$B$606,G$29:G$606,"")))</f>
        <v/>
      </c>
      <c r="S100" s="417" t="str">
        <f t="array" ref="S100">IF(COUNT(IF($M100=$B$29:$B$606,H$29:H$606,""))=0,"",SUM(IF($M100=$B$29:$B$606,H$29:H$606,""))/COUNT(IF($M100=$B$29:$B$606,H$29:H$606,"")))</f>
        <v/>
      </c>
      <c r="T100" s="417">
        <f t="array" ref="T100">IF(COUNT(IF($M100=$B$29:$B$606,I$29:I$606,""))=0,"",MAX(IF($M100=$B$29:$B$606,I$29:I$606,"")))</f>
        <v>0</v>
      </c>
      <c r="U100" s="417">
        <f t="array" ref="U100">IF(COUNT(IF($M100=$B$29:$B$606,J$29:J$606,""))=0,"",MAX(IF($M100=$B$29:$B$606,J$29:J$606,"")))</f>
        <v>0</v>
      </c>
      <c r="V100" s="416">
        <f t="array" ref="V100">COUNT(IF(M100=$B$29:$B$606,$E$29:$E$606,""))</f>
        <v>0</v>
      </c>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row>
    <row r="101" spans="1:43">
      <c r="A101" s="407">
        <f>Input!B94</f>
        <v>38059</v>
      </c>
      <c r="B101" s="410">
        <f t="shared" ref="B101:B164" si="12">IF(MOD(A100-A$28,7)=0,B100+1,B100)</f>
        <v>11</v>
      </c>
      <c r="C101" s="411">
        <f>IF(Input!I94&lt;=0,"",Input!I94)</f>
        <v>1.3808451880317716</v>
      </c>
      <c r="D101" s="412" t="str">
        <f>IF(G101="","",Input!Q94)</f>
        <v/>
      </c>
      <c r="E101" s="412" t="str">
        <f>IF(ISERROR(Input!AA94),"",Input!AA94)</f>
        <v/>
      </c>
      <c r="F101" s="412" t="str">
        <f>IF(E101="","",Input!AQ94)</f>
        <v/>
      </c>
      <c r="G101" s="413" t="str">
        <f t="shared" si="8"/>
        <v/>
      </c>
      <c r="H101" s="413" t="str">
        <f t="shared" si="9"/>
        <v/>
      </c>
      <c r="I101" s="414">
        <f t="shared" si="10"/>
        <v>0</v>
      </c>
      <c r="J101" s="414">
        <f t="shared" si="10"/>
        <v>0</v>
      </c>
      <c r="K101" s="137"/>
      <c r="L101" s="415">
        <f t="shared" si="7"/>
        <v>38497</v>
      </c>
      <c r="M101" s="416">
        <f t="shared" si="11"/>
        <v>73</v>
      </c>
      <c r="N101" s="417">
        <f t="array" ref="N101">IF(COUNT(IF($M101=$B$29:$B$606,C$29:C$606,""))=0,"",SUM(IF($M101=$B$29:$B$606,C$29:C$606,""))/COUNT(IF($M101=$B$29:$B$606,C$29:C$606,"")))</f>
        <v>2.7769121257677765</v>
      </c>
      <c r="O101" s="417" t="str">
        <f t="array" ref="O101">IF(COUNT(IF($M101=$B$29:$B$606,D$29:D$606,""))=0,"",SUM(IF($M101=$B$29:$B$606,D$29:D$606,""))/COUNT(IF($M101=$B$29:$B$606,D$29:D$606,"")))</f>
        <v/>
      </c>
      <c r="P101" s="417" t="str">
        <f t="array" ref="P101">IF(COUNT(IF($M101=$B$29:$B$606,E$29:E$606,""))=0,"",SUM(IF($M101=$B$29:$B$606,E$29:E$606,""))/COUNT(IF($M101=$B$29:$B$606,E$29:E$606,"")))</f>
        <v/>
      </c>
      <c r="Q101" s="417" t="str">
        <f t="array" ref="Q101">IF(COUNT(IF($M101=$B$29:$B$606,F$29:F$606,""))=0,"",SUM(IF($M101=$B$29:$B$606,F$29:F$606,""))/COUNT(IF($M101=$B$29:$B$606,F$29:F$606,"")))</f>
        <v/>
      </c>
      <c r="R101" s="417" t="str">
        <f t="array" ref="R101">IF(COUNT(IF($M101=$B$29:$B$606,G$29:G$606,""))=0,"",SUM(IF($M101=$B$29:$B$606,G$29:G$606,""))/COUNT(IF($M101=$B$29:$B$606,G$29:G$606,"")))</f>
        <v/>
      </c>
      <c r="S101" s="417" t="str">
        <f t="array" ref="S101">IF(COUNT(IF($M101=$B$29:$B$606,H$29:H$606,""))=0,"",SUM(IF($M101=$B$29:$B$606,H$29:H$606,""))/COUNT(IF($M101=$B$29:$B$606,H$29:H$606,"")))</f>
        <v/>
      </c>
      <c r="T101" s="417">
        <f t="array" ref="T101">IF(COUNT(IF($M101=$B$29:$B$606,I$29:I$606,""))=0,"",MAX(IF($M101=$B$29:$B$606,I$29:I$606,"")))</f>
        <v>0</v>
      </c>
      <c r="U101" s="417">
        <f t="array" ref="U101">IF(COUNT(IF($M101=$B$29:$B$606,J$29:J$606,""))=0,"",MAX(IF($M101=$B$29:$B$606,J$29:J$606,"")))</f>
        <v>0</v>
      </c>
      <c r="V101" s="416">
        <f t="array" ref="V101">COUNT(IF(M101=$B$29:$B$606,$E$29:$E$606,""))</f>
        <v>0</v>
      </c>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row>
    <row r="102" spans="1:43">
      <c r="A102" s="407">
        <f>Input!B95</f>
        <v>38060</v>
      </c>
      <c r="B102" s="410">
        <f t="shared" si="12"/>
        <v>11</v>
      </c>
      <c r="C102" s="411">
        <f>IF(Input!I95&lt;=0,"",Input!I95)</f>
        <v>1.4003264529478212</v>
      </c>
      <c r="D102" s="412" t="str">
        <f>IF(G102="","",Input!Q95)</f>
        <v/>
      </c>
      <c r="E102" s="412" t="str">
        <f>IF(ISERROR(Input!AA95),"",Input!AA95)</f>
        <v/>
      </c>
      <c r="F102" s="412" t="str">
        <f>IF(E102="","",Input!AQ95)</f>
        <v/>
      </c>
      <c r="G102" s="413" t="str">
        <f t="shared" si="8"/>
        <v/>
      </c>
      <c r="H102" s="413" t="str">
        <f t="shared" si="9"/>
        <v/>
      </c>
      <c r="I102" s="414">
        <f t="shared" si="10"/>
        <v>0</v>
      </c>
      <c r="J102" s="414">
        <f t="shared" si="10"/>
        <v>0</v>
      </c>
      <c r="K102" s="137"/>
      <c r="L102" s="415">
        <f t="shared" si="7"/>
        <v>38504</v>
      </c>
      <c r="M102" s="416">
        <f t="shared" si="11"/>
        <v>74</v>
      </c>
      <c r="N102" s="417">
        <f t="array" ref="N102">IF(COUNT(IF($M102=$B$29:$B$606,C$29:C$606,""))=0,"",SUM(IF($M102=$B$29:$B$606,C$29:C$606,""))/COUNT(IF($M102=$B$29:$B$606,C$29:C$606,"")))</f>
        <v>3.4672382478536794</v>
      </c>
      <c r="O102" s="417" t="str">
        <f t="array" ref="O102">IF(COUNT(IF($M102=$B$29:$B$606,D$29:D$606,""))=0,"",SUM(IF($M102=$B$29:$B$606,D$29:D$606,""))/COUNT(IF($M102=$B$29:$B$606,D$29:D$606,"")))</f>
        <v/>
      </c>
      <c r="P102" s="417" t="str">
        <f t="array" ref="P102">IF(COUNT(IF($M102=$B$29:$B$606,E$29:E$606,""))=0,"",SUM(IF($M102=$B$29:$B$606,E$29:E$606,""))/COUNT(IF($M102=$B$29:$B$606,E$29:E$606,"")))</f>
        <v/>
      </c>
      <c r="Q102" s="417" t="str">
        <f t="array" ref="Q102">IF(COUNT(IF($M102=$B$29:$B$606,F$29:F$606,""))=0,"",SUM(IF($M102=$B$29:$B$606,F$29:F$606,""))/COUNT(IF($M102=$B$29:$B$606,F$29:F$606,"")))</f>
        <v/>
      </c>
      <c r="R102" s="417" t="str">
        <f t="array" ref="R102">IF(COUNT(IF($M102=$B$29:$B$606,G$29:G$606,""))=0,"",SUM(IF($M102=$B$29:$B$606,G$29:G$606,""))/COUNT(IF($M102=$B$29:$B$606,G$29:G$606,"")))</f>
        <v/>
      </c>
      <c r="S102" s="417" t="str">
        <f t="array" ref="S102">IF(COUNT(IF($M102=$B$29:$B$606,H$29:H$606,""))=0,"",SUM(IF($M102=$B$29:$B$606,H$29:H$606,""))/COUNT(IF($M102=$B$29:$B$606,H$29:H$606,"")))</f>
        <v/>
      </c>
      <c r="T102" s="417">
        <f t="array" ref="T102">IF(COUNT(IF($M102=$B$29:$B$606,I$29:I$606,""))=0,"",MAX(IF($M102=$B$29:$B$606,I$29:I$606,"")))</f>
        <v>0</v>
      </c>
      <c r="U102" s="417">
        <f t="array" ref="U102">IF(COUNT(IF($M102=$B$29:$B$606,J$29:J$606,""))=0,"",MAX(IF($M102=$B$29:$B$606,J$29:J$606,"")))</f>
        <v>0</v>
      </c>
      <c r="V102" s="416">
        <f t="array" ref="V102">COUNT(IF(M102=$B$29:$B$606,$E$29:$E$606,""))</f>
        <v>0</v>
      </c>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row>
    <row r="103" spans="1:43">
      <c r="A103" s="407">
        <f>Input!B96</f>
        <v>38061</v>
      </c>
      <c r="B103" s="410">
        <f t="shared" si="12"/>
        <v>11</v>
      </c>
      <c r="C103" s="411">
        <f>IF(Input!I96&lt;=0,"",Input!I96)</f>
        <v>0.98386499581817932</v>
      </c>
      <c r="D103" s="412" t="str">
        <f>IF(G103="","",Input!Q96)</f>
        <v/>
      </c>
      <c r="E103" s="412" t="str">
        <f>IF(ISERROR(Input!AA96),"",Input!AA96)</f>
        <v/>
      </c>
      <c r="F103" s="412" t="str">
        <f>IF(E103="","",Input!AQ96)</f>
        <v/>
      </c>
      <c r="G103" s="413" t="str">
        <f t="shared" si="8"/>
        <v/>
      </c>
      <c r="H103" s="413" t="str">
        <f t="shared" si="9"/>
        <v/>
      </c>
      <c r="I103" s="414">
        <f t="shared" si="10"/>
        <v>0</v>
      </c>
      <c r="J103" s="414">
        <f t="shared" si="10"/>
        <v>0</v>
      </c>
      <c r="K103" s="137"/>
      <c r="L103" s="415">
        <f t="shared" si="7"/>
        <v>38511</v>
      </c>
      <c r="M103" s="416">
        <f t="shared" si="11"/>
        <v>75</v>
      </c>
      <c r="N103" s="417">
        <f t="array" ref="N103">IF(COUNT(IF($M103=$B$29:$B$606,C$29:C$606,""))=0,"",SUM(IF($M103=$B$29:$B$606,C$29:C$606,""))/COUNT(IF($M103=$B$29:$B$606,C$29:C$606,"")))</f>
        <v>4.1702805134339753</v>
      </c>
      <c r="O103" s="417" t="str">
        <f t="array" ref="O103">IF(COUNT(IF($M103=$B$29:$B$606,D$29:D$606,""))=0,"",SUM(IF($M103=$B$29:$B$606,D$29:D$606,""))/COUNT(IF($M103=$B$29:$B$606,D$29:D$606,"")))</f>
        <v/>
      </c>
      <c r="P103" s="417" t="str">
        <f t="array" ref="P103">IF(COUNT(IF($M103=$B$29:$B$606,E$29:E$606,""))=0,"",SUM(IF($M103=$B$29:$B$606,E$29:E$606,""))/COUNT(IF($M103=$B$29:$B$606,E$29:E$606,"")))</f>
        <v/>
      </c>
      <c r="Q103" s="417" t="str">
        <f t="array" ref="Q103">IF(COUNT(IF($M103=$B$29:$B$606,F$29:F$606,""))=0,"",SUM(IF($M103=$B$29:$B$606,F$29:F$606,""))/COUNT(IF($M103=$B$29:$B$606,F$29:F$606,"")))</f>
        <v/>
      </c>
      <c r="R103" s="417" t="str">
        <f t="array" ref="R103">IF(COUNT(IF($M103=$B$29:$B$606,G$29:G$606,""))=0,"",SUM(IF($M103=$B$29:$B$606,G$29:G$606,""))/COUNT(IF($M103=$B$29:$B$606,G$29:G$606,"")))</f>
        <v/>
      </c>
      <c r="S103" s="417" t="str">
        <f t="array" ref="S103">IF(COUNT(IF($M103=$B$29:$B$606,H$29:H$606,""))=0,"",SUM(IF($M103=$B$29:$B$606,H$29:H$606,""))/COUNT(IF($M103=$B$29:$B$606,H$29:H$606,"")))</f>
        <v/>
      </c>
      <c r="T103" s="417">
        <f t="array" ref="T103">IF(COUNT(IF($M103=$B$29:$B$606,I$29:I$606,""))=0,"",MAX(IF($M103=$B$29:$B$606,I$29:I$606,"")))</f>
        <v>0</v>
      </c>
      <c r="U103" s="417">
        <f t="array" ref="U103">IF(COUNT(IF($M103=$B$29:$B$606,J$29:J$606,""))=0,"",MAX(IF($M103=$B$29:$B$606,J$29:J$606,"")))</f>
        <v>0</v>
      </c>
      <c r="V103" s="416">
        <f t="array" ref="V103">COUNT(IF(M103=$B$29:$B$606,$E$29:$E$606,""))</f>
        <v>0</v>
      </c>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row>
    <row r="104" spans="1:43">
      <c r="A104" s="407">
        <f>Input!B97</f>
        <v>38062</v>
      </c>
      <c r="B104" s="410">
        <f t="shared" si="12"/>
        <v>11</v>
      </c>
      <c r="C104" s="411">
        <f>IF(Input!I97&lt;=0,"",Input!I97)</f>
        <v>1.3348911220504578</v>
      </c>
      <c r="D104" s="412" t="str">
        <f>IF(G104="","",Input!Q97)</f>
        <v/>
      </c>
      <c r="E104" s="412" t="str">
        <f>IF(ISERROR(Input!AA97),"",Input!AA97)</f>
        <v/>
      </c>
      <c r="F104" s="412" t="str">
        <f>IF(E104="","",Input!AQ97)</f>
        <v/>
      </c>
      <c r="G104" s="413" t="str">
        <f t="shared" si="8"/>
        <v/>
      </c>
      <c r="H104" s="413" t="str">
        <f t="shared" si="9"/>
        <v/>
      </c>
      <c r="I104" s="414">
        <f t="shared" si="10"/>
        <v>0</v>
      </c>
      <c r="J104" s="414">
        <f t="shared" si="10"/>
        <v>0</v>
      </c>
      <c r="K104" s="137"/>
      <c r="L104" s="415">
        <f t="shared" si="7"/>
        <v>38518</v>
      </c>
      <c r="M104" s="416">
        <f t="shared" si="11"/>
        <v>76</v>
      </c>
      <c r="N104" s="417">
        <f t="array" ref="N104">IF(COUNT(IF($M104=$B$29:$B$606,C$29:C$606,""))=0,"",SUM(IF($M104=$B$29:$B$606,C$29:C$606,""))/COUNT(IF($M104=$B$29:$B$606,C$29:C$606,"")))</f>
        <v>4.1980681885972171</v>
      </c>
      <c r="O104" s="417" t="str">
        <f t="array" ref="O104">IF(COUNT(IF($M104=$B$29:$B$606,D$29:D$606,""))=0,"",SUM(IF($M104=$B$29:$B$606,D$29:D$606,""))/COUNT(IF($M104=$B$29:$B$606,D$29:D$606,"")))</f>
        <v/>
      </c>
      <c r="P104" s="417" t="str">
        <f t="array" ref="P104">IF(COUNT(IF($M104=$B$29:$B$606,E$29:E$606,""))=0,"",SUM(IF($M104=$B$29:$B$606,E$29:E$606,""))/COUNT(IF($M104=$B$29:$B$606,E$29:E$606,"")))</f>
        <v/>
      </c>
      <c r="Q104" s="417" t="str">
        <f t="array" ref="Q104">IF(COUNT(IF($M104=$B$29:$B$606,F$29:F$606,""))=0,"",SUM(IF($M104=$B$29:$B$606,F$29:F$606,""))/COUNT(IF($M104=$B$29:$B$606,F$29:F$606,"")))</f>
        <v/>
      </c>
      <c r="R104" s="417" t="str">
        <f t="array" ref="R104">IF(COUNT(IF($M104=$B$29:$B$606,G$29:G$606,""))=0,"",SUM(IF($M104=$B$29:$B$606,G$29:G$606,""))/COUNT(IF($M104=$B$29:$B$606,G$29:G$606,"")))</f>
        <v/>
      </c>
      <c r="S104" s="417" t="str">
        <f t="array" ref="S104">IF(COUNT(IF($M104=$B$29:$B$606,H$29:H$606,""))=0,"",SUM(IF($M104=$B$29:$B$606,H$29:H$606,""))/COUNT(IF($M104=$B$29:$B$606,H$29:H$606,"")))</f>
        <v/>
      </c>
      <c r="T104" s="417">
        <f t="array" ref="T104">IF(COUNT(IF($M104=$B$29:$B$606,I$29:I$606,""))=0,"",MAX(IF($M104=$B$29:$B$606,I$29:I$606,"")))</f>
        <v>0</v>
      </c>
      <c r="U104" s="417">
        <f t="array" ref="U104">IF(COUNT(IF($M104=$B$29:$B$606,J$29:J$606,""))=0,"",MAX(IF($M104=$B$29:$B$606,J$29:J$606,"")))</f>
        <v>0</v>
      </c>
      <c r="V104" s="416">
        <f t="array" ref="V104">COUNT(IF(M104=$B$29:$B$606,$E$29:$E$606,""))</f>
        <v>0</v>
      </c>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row>
    <row r="105" spans="1:43">
      <c r="A105" s="407">
        <f>Input!B98</f>
        <v>38063</v>
      </c>
      <c r="B105" s="410">
        <f t="shared" si="12"/>
        <v>11</v>
      </c>
      <c r="C105" s="411">
        <f>IF(Input!I98&lt;=0,"",Input!I98)</f>
        <v>1.3733747862333849</v>
      </c>
      <c r="D105" s="412" t="str">
        <f>IF(G105="","",Input!Q98)</f>
        <v/>
      </c>
      <c r="E105" s="412" t="str">
        <f>IF(ISERROR(Input!AA98),"",Input!AA98)</f>
        <v/>
      </c>
      <c r="F105" s="412" t="str">
        <f>IF(E105="","",Input!AQ98)</f>
        <v/>
      </c>
      <c r="G105" s="413" t="str">
        <f t="shared" si="8"/>
        <v/>
      </c>
      <c r="H105" s="413" t="str">
        <f t="shared" si="9"/>
        <v/>
      </c>
      <c r="I105" s="414">
        <f t="shared" si="10"/>
        <v>0</v>
      </c>
      <c r="J105" s="414">
        <f t="shared" si="10"/>
        <v>0</v>
      </c>
      <c r="K105" s="137"/>
      <c r="L105" s="415">
        <f t="shared" si="7"/>
        <v>38525</v>
      </c>
      <c r="M105" s="416">
        <f t="shared" si="11"/>
        <v>77</v>
      </c>
      <c r="N105" s="417">
        <f t="array" ref="N105">IF(COUNT(IF($M105=$B$29:$B$606,C$29:C$606,""))=0,"",SUM(IF($M105=$B$29:$B$606,C$29:C$606,""))/COUNT(IF($M105=$B$29:$B$606,C$29:C$606,"")))</f>
        <v>4.0079274181593334</v>
      </c>
      <c r="O105" s="417" t="str">
        <f t="array" ref="O105">IF(COUNT(IF($M105=$B$29:$B$606,D$29:D$606,""))=0,"",SUM(IF($M105=$B$29:$B$606,D$29:D$606,""))/COUNT(IF($M105=$B$29:$B$606,D$29:D$606,"")))</f>
        <v/>
      </c>
      <c r="P105" s="417" t="str">
        <f t="array" ref="P105">IF(COUNT(IF($M105=$B$29:$B$606,E$29:E$606,""))=0,"",SUM(IF($M105=$B$29:$B$606,E$29:E$606,""))/COUNT(IF($M105=$B$29:$B$606,E$29:E$606,"")))</f>
        <v/>
      </c>
      <c r="Q105" s="417" t="str">
        <f t="array" ref="Q105">IF(COUNT(IF($M105=$B$29:$B$606,F$29:F$606,""))=0,"",SUM(IF($M105=$B$29:$B$606,F$29:F$606,""))/COUNT(IF($M105=$B$29:$B$606,F$29:F$606,"")))</f>
        <v/>
      </c>
      <c r="R105" s="417" t="str">
        <f t="array" ref="R105">IF(COUNT(IF($M105=$B$29:$B$606,G$29:G$606,""))=0,"",SUM(IF($M105=$B$29:$B$606,G$29:G$606,""))/COUNT(IF($M105=$B$29:$B$606,G$29:G$606,"")))</f>
        <v/>
      </c>
      <c r="S105" s="417" t="str">
        <f t="array" ref="S105">IF(COUNT(IF($M105=$B$29:$B$606,H$29:H$606,""))=0,"",SUM(IF($M105=$B$29:$B$606,H$29:H$606,""))/COUNT(IF($M105=$B$29:$B$606,H$29:H$606,"")))</f>
        <v/>
      </c>
      <c r="T105" s="417">
        <f t="array" ref="T105">IF(COUNT(IF($M105=$B$29:$B$606,I$29:I$606,""))=0,"",MAX(IF($M105=$B$29:$B$606,I$29:I$606,"")))</f>
        <v>0</v>
      </c>
      <c r="U105" s="417">
        <f t="array" ref="U105">IF(COUNT(IF($M105=$B$29:$B$606,J$29:J$606,""))=0,"",MAX(IF($M105=$B$29:$B$606,J$29:J$606,"")))</f>
        <v>0</v>
      </c>
      <c r="V105" s="416">
        <f t="array" ref="V105">COUNT(IF(M105=$B$29:$B$606,$E$29:$E$606,""))</f>
        <v>0</v>
      </c>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row>
    <row r="106" spans="1:43">
      <c r="A106" s="407">
        <f>Input!B99</f>
        <v>38064</v>
      </c>
      <c r="B106" s="410">
        <f t="shared" si="12"/>
        <v>12</v>
      </c>
      <c r="C106" s="411">
        <f>IF(Input!I99&lt;=0,"",Input!I99)</f>
        <v>1.5527441502753514</v>
      </c>
      <c r="D106" s="412" t="str">
        <f>IF(G106="","",Input!Q99)</f>
        <v/>
      </c>
      <c r="E106" s="412" t="str">
        <f>IF(ISERROR(Input!AA99),"",Input!AA99)</f>
        <v/>
      </c>
      <c r="F106" s="412" t="str">
        <f>IF(E106="","",Input!AQ99)</f>
        <v/>
      </c>
      <c r="G106" s="413" t="str">
        <f t="shared" si="8"/>
        <v/>
      </c>
      <c r="H106" s="413" t="str">
        <f t="shared" si="9"/>
        <v/>
      </c>
      <c r="I106" s="414">
        <f t="shared" si="10"/>
        <v>0</v>
      </c>
      <c r="J106" s="414">
        <f t="shared" si="10"/>
        <v>0</v>
      </c>
      <c r="K106" s="137"/>
      <c r="L106" s="415">
        <f t="shared" si="7"/>
        <v>38532</v>
      </c>
      <c r="M106" s="416">
        <f t="shared" si="11"/>
        <v>78</v>
      </c>
      <c r="N106" s="417">
        <f t="array" ref="N106">IF(COUNT(IF($M106=$B$29:$B$606,C$29:C$606,""))=0,"",SUM(IF($M106=$B$29:$B$606,C$29:C$606,""))/COUNT(IF($M106=$B$29:$B$606,C$29:C$606,"")))</f>
        <v>4.3043943936943725</v>
      </c>
      <c r="O106" s="417" t="str">
        <f t="array" ref="O106">IF(COUNT(IF($M106=$B$29:$B$606,D$29:D$606,""))=0,"",SUM(IF($M106=$B$29:$B$606,D$29:D$606,""))/COUNT(IF($M106=$B$29:$B$606,D$29:D$606,"")))</f>
        <v/>
      </c>
      <c r="P106" s="417" t="str">
        <f t="array" ref="P106">IF(COUNT(IF($M106=$B$29:$B$606,E$29:E$606,""))=0,"",SUM(IF($M106=$B$29:$B$606,E$29:E$606,""))/COUNT(IF($M106=$B$29:$B$606,E$29:E$606,"")))</f>
        <v/>
      </c>
      <c r="Q106" s="417" t="str">
        <f t="array" ref="Q106">IF(COUNT(IF($M106=$B$29:$B$606,F$29:F$606,""))=0,"",SUM(IF($M106=$B$29:$B$606,F$29:F$606,""))/COUNT(IF($M106=$B$29:$B$606,F$29:F$606,"")))</f>
        <v/>
      </c>
      <c r="R106" s="417" t="str">
        <f t="array" ref="R106">IF(COUNT(IF($M106=$B$29:$B$606,G$29:G$606,""))=0,"",SUM(IF($M106=$B$29:$B$606,G$29:G$606,""))/COUNT(IF($M106=$B$29:$B$606,G$29:G$606,"")))</f>
        <v/>
      </c>
      <c r="S106" s="417" t="str">
        <f t="array" ref="S106">IF(COUNT(IF($M106=$B$29:$B$606,H$29:H$606,""))=0,"",SUM(IF($M106=$B$29:$B$606,H$29:H$606,""))/COUNT(IF($M106=$B$29:$B$606,H$29:H$606,"")))</f>
        <v/>
      </c>
      <c r="T106" s="417">
        <f t="array" ref="T106">IF(COUNT(IF($M106=$B$29:$B$606,I$29:I$606,""))=0,"",MAX(IF($M106=$B$29:$B$606,I$29:I$606,"")))</f>
        <v>0</v>
      </c>
      <c r="U106" s="417">
        <f t="array" ref="U106">IF(COUNT(IF($M106=$B$29:$B$606,J$29:J$606,""))=0,"",MAX(IF($M106=$B$29:$B$606,J$29:J$606,"")))</f>
        <v>0</v>
      </c>
      <c r="V106" s="416">
        <f t="array" ref="V106">COUNT(IF(M106=$B$29:$B$606,$E$29:$E$606,""))</f>
        <v>0</v>
      </c>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row>
    <row r="107" spans="1:43">
      <c r="A107" s="407">
        <f>Input!B100</f>
        <v>38065</v>
      </c>
      <c r="B107" s="410">
        <f t="shared" si="12"/>
        <v>12</v>
      </c>
      <c r="C107" s="411">
        <f>IF(Input!I100&lt;=0,"",Input!I100)</f>
        <v>1.2539160732494974</v>
      </c>
      <c r="D107" s="412" t="str">
        <f>IF(G107="","",Input!Q100)</f>
        <v/>
      </c>
      <c r="E107" s="412" t="str">
        <f>IF(ISERROR(Input!AA100),"",Input!AA100)</f>
        <v/>
      </c>
      <c r="F107" s="412" t="str">
        <f>IF(E107="","",Input!AQ100)</f>
        <v/>
      </c>
      <c r="G107" s="413" t="str">
        <f t="shared" si="8"/>
        <v/>
      </c>
      <c r="H107" s="413" t="str">
        <f t="shared" si="9"/>
        <v/>
      </c>
      <c r="I107" s="414">
        <f t="shared" si="10"/>
        <v>0</v>
      </c>
      <c r="J107" s="414">
        <f t="shared" si="10"/>
        <v>0</v>
      </c>
      <c r="K107" s="137"/>
      <c r="L107" s="415">
        <f t="shared" si="7"/>
        <v>38539</v>
      </c>
      <c r="M107" s="416">
        <f t="shared" si="11"/>
        <v>79</v>
      </c>
      <c r="N107" s="417">
        <f t="array" ref="N107">IF(COUNT(IF($M107=$B$29:$B$606,C$29:C$606,""))=0,"",SUM(IF($M107=$B$29:$B$606,C$29:C$606,""))/COUNT(IF($M107=$B$29:$B$606,C$29:C$606,"")))</f>
        <v>4.9783801155896583</v>
      </c>
      <c r="O107" s="417" t="str">
        <f t="array" ref="O107">IF(COUNT(IF($M107=$B$29:$B$606,D$29:D$606,""))=0,"",SUM(IF($M107=$B$29:$B$606,D$29:D$606,""))/COUNT(IF($M107=$B$29:$B$606,D$29:D$606,"")))</f>
        <v/>
      </c>
      <c r="P107" s="417" t="str">
        <f t="array" ref="P107">IF(COUNT(IF($M107=$B$29:$B$606,E$29:E$606,""))=0,"",SUM(IF($M107=$B$29:$B$606,E$29:E$606,""))/COUNT(IF($M107=$B$29:$B$606,E$29:E$606,"")))</f>
        <v/>
      </c>
      <c r="Q107" s="417" t="str">
        <f t="array" ref="Q107">IF(COUNT(IF($M107=$B$29:$B$606,F$29:F$606,""))=0,"",SUM(IF($M107=$B$29:$B$606,F$29:F$606,""))/COUNT(IF($M107=$B$29:$B$606,F$29:F$606,"")))</f>
        <v/>
      </c>
      <c r="R107" s="417" t="str">
        <f t="array" ref="R107">IF(COUNT(IF($M107=$B$29:$B$606,G$29:G$606,""))=0,"",SUM(IF($M107=$B$29:$B$606,G$29:G$606,""))/COUNT(IF($M107=$B$29:$B$606,G$29:G$606,"")))</f>
        <v/>
      </c>
      <c r="S107" s="417" t="str">
        <f t="array" ref="S107">IF(COUNT(IF($M107=$B$29:$B$606,H$29:H$606,""))=0,"",SUM(IF($M107=$B$29:$B$606,H$29:H$606,""))/COUNT(IF($M107=$B$29:$B$606,H$29:H$606,"")))</f>
        <v/>
      </c>
      <c r="T107" s="417">
        <f t="array" ref="T107">IF(COUNT(IF($M107=$B$29:$B$606,I$29:I$606,""))=0,"",MAX(IF($M107=$B$29:$B$606,I$29:I$606,"")))</f>
        <v>0</v>
      </c>
      <c r="U107" s="417">
        <f t="array" ref="U107">IF(COUNT(IF($M107=$B$29:$B$606,J$29:J$606,""))=0,"",MAX(IF($M107=$B$29:$B$606,J$29:J$606,"")))</f>
        <v>0</v>
      </c>
      <c r="V107" s="416">
        <f t="array" ref="V107">COUNT(IF(M107=$B$29:$B$606,$E$29:$E$606,""))</f>
        <v>0</v>
      </c>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row>
    <row r="108" spans="1:43">
      <c r="A108" s="407">
        <f>Input!B101</f>
        <v>38066</v>
      </c>
      <c r="B108" s="410">
        <f t="shared" si="12"/>
        <v>12</v>
      </c>
      <c r="C108" s="411">
        <f>IF(Input!I101&lt;=0,"",Input!I101)</f>
        <v>0.47253029285191905</v>
      </c>
      <c r="D108" s="412" t="str">
        <f>IF(G108="","",Input!Q101)</f>
        <v/>
      </c>
      <c r="E108" s="412" t="str">
        <f>IF(ISERROR(Input!AA101),"",Input!AA101)</f>
        <v/>
      </c>
      <c r="F108" s="412" t="str">
        <f>IF(E108="","",Input!AQ101)</f>
        <v/>
      </c>
      <c r="G108" s="413" t="str">
        <f t="shared" si="8"/>
        <v/>
      </c>
      <c r="H108" s="413" t="str">
        <f t="shared" si="9"/>
        <v/>
      </c>
      <c r="I108" s="414">
        <f t="shared" si="10"/>
        <v>0</v>
      </c>
      <c r="J108" s="414">
        <f t="shared" si="10"/>
        <v>0</v>
      </c>
      <c r="K108" s="137"/>
      <c r="L108" s="415">
        <f t="shared" si="7"/>
        <v>38546</v>
      </c>
      <c r="M108" s="416">
        <f t="shared" si="11"/>
        <v>80</v>
      </c>
      <c r="N108" s="417">
        <f t="array" ref="N108">IF(COUNT(IF($M108=$B$29:$B$606,C$29:C$606,""))=0,"",SUM(IF($M108=$B$29:$B$606,C$29:C$606,""))/COUNT(IF($M108=$B$29:$B$606,C$29:C$606,"")))</f>
        <v>4.4849759194103385</v>
      </c>
      <c r="O108" s="417" t="str">
        <f t="array" ref="O108">IF(COUNT(IF($M108=$B$29:$B$606,D$29:D$606,""))=0,"",SUM(IF($M108=$B$29:$B$606,D$29:D$606,""))/COUNT(IF($M108=$B$29:$B$606,D$29:D$606,"")))</f>
        <v/>
      </c>
      <c r="P108" s="417" t="str">
        <f t="array" ref="P108">IF(COUNT(IF($M108=$B$29:$B$606,E$29:E$606,""))=0,"",SUM(IF($M108=$B$29:$B$606,E$29:E$606,""))/COUNT(IF($M108=$B$29:$B$606,E$29:E$606,"")))</f>
        <v/>
      </c>
      <c r="Q108" s="417" t="str">
        <f t="array" ref="Q108">IF(COUNT(IF($M108=$B$29:$B$606,F$29:F$606,""))=0,"",SUM(IF($M108=$B$29:$B$606,F$29:F$606,""))/COUNT(IF($M108=$B$29:$B$606,F$29:F$606,"")))</f>
        <v/>
      </c>
      <c r="R108" s="417" t="str">
        <f t="array" ref="R108">IF(COUNT(IF($M108=$B$29:$B$606,G$29:G$606,""))=0,"",SUM(IF($M108=$B$29:$B$606,G$29:G$606,""))/COUNT(IF($M108=$B$29:$B$606,G$29:G$606,"")))</f>
        <v/>
      </c>
      <c r="S108" s="417" t="str">
        <f t="array" ref="S108">IF(COUNT(IF($M108=$B$29:$B$606,H$29:H$606,""))=0,"",SUM(IF($M108=$B$29:$B$606,H$29:H$606,""))/COUNT(IF($M108=$B$29:$B$606,H$29:H$606,"")))</f>
        <v/>
      </c>
      <c r="T108" s="417">
        <f t="array" ref="T108">IF(COUNT(IF($M108=$B$29:$B$606,I$29:I$606,""))=0,"",MAX(IF($M108=$B$29:$B$606,I$29:I$606,"")))</f>
        <v>0</v>
      </c>
      <c r="U108" s="417">
        <f t="array" ref="U108">IF(COUNT(IF($M108=$B$29:$B$606,J$29:J$606,""))=0,"",MAX(IF($M108=$B$29:$B$606,J$29:J$606,"")))</f>
        <v>0</v>
      </c>
      <c r="V108" s="416">
        <f t="array" ref="V108">COUNT(IF(M108=$B$29:$B$606,$E$29:$E$606,""))</f>
        <v>0</v>
      </c>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row>
    <row r="109" spans="1:43">
      <c r="A109" s="407">
        <f>Input!B102</f>
        <v>38067</v>
      </c>
      <c r="B109" s="410">
        <f t="shared" si="12"/>
        <v>12</v>
      </c>
      <c r="C109" s="411">
        <f>IF(Input!I102&lt;=0,"",Input!I102)</f>
        <v>1.4014913229730439</v>
      </c>
      <c r="D109" s="412" t="str">
        <f>IF(G109="","",Input!Q102)</f>
        <v/>
      </c>
      <c r="E109" s="412" t="str">
        <f>IF(ISERROR(Input!AA102),"",Input!AA102)</f>
        <v/>
      </c>
      <c r="F109" s="412" t="str">
        <f>IF(E109="","",Input!AQ102)</f>
        <v/>
      </c>
      <c r="G109" s="413" t="str">
        <f t="shared" si="8"/>
        <v/>
      </c>
      <c r="H109" s="413" t="str">
        <f t="shared" si="9"/>
        <v/>
      </c>
      <c r="I109" s="414">
        <f t="shared" si="10"/>
        <v>0</v>
      </c>
      <c r="J109" s="414">
        <f t="shared" si="10"/>
        <v>0</v>
      </c>
      <c r="K109" s="137"/>
      <c r="L109" s="415">
        <f t="shared" si="7"/>
        <v>38553</v>
      </c>
      <c r="M109" s="416">
        <f t="shared" si="11"/>
        <v>81</v>
      </c>
      <c r="N109" s="417">
        <f t="array" ref="N109">IF(COUNT(IF($M109=$B$29:$B$606,C$29:C$606,""))=0,"",SUM(IF($M109=$B$29:$B$606,C$29:C$606,""))/COUNT(IF($M109=$B$29:$B$606,C$29:C$606,"")))</f>
        <v>4.4191020264212479</v>
      </c>
      <c r="O109" s="417" t="str">
        <f t="array" ref="O109">IF(COUNT(IF($M109=$B$29:$B$606,D$29:D$606,""))=0,"",SUM(IF($M109=$B$29:$B$606,D$29:D$606,""))/COUNT(IF($M109=$B$29:$B$606,D$29:D$606,"")))</f>
        <v/>
      </c>
      <c r="P109" s="417" t="str">
        <f t="array" ref="P109">IF(COUNT(IF($M109=$B$29:$B$606,E$29:E$606,""))=0,"",SUM(IF($M109=$B$29:$B$606,E$29:E$606,""))/COUNT(IF($M109=$B$29:$B$606,E$29:E$606,"")))</f>
        <v/>
      </c>
      <c r="Q109" s="417" t="str">
        <f t="array" ref="Q109">IF(COUNT(IF($M109=$B$29:$B$606,F$29:F$606,""))=0,"",SUM(IF($M109=$B$29:$B$606,F$29:F$606,""))/COUNT(IF($M109=$B$29:$B$606,F$29:F$606,"")))</f>
        <v/>
      </c>
      <c r="R109" s="417" t="str">
        <f t="array" ref="R109">IF(COUNT(IF($M109=$B$29:$B$606,G$29:G$606,""))=0,"",SUM(IF($M109=$B$29:$B$606,G$29:G$606,""))/COUNT(IF($M109=$B$29:$B$606,G$29:G$606,"")))</f>
        <v/>
      </c>
      <c r="S109" s="417" t="str">
        <f t="array" ref="S109">IF(COUNT(IF($M109=$B$29:$B$606,H$29:H$606,""))=0,"",SUM(IF($M109=$B$29:$B$606,H$29:H$606,""))/COUNT(IF($M109=$B$29:$B$606,H$29:H$606,"")))</f>
        <v/>
      </c>
      <c r="T109" s="417">
        <f t="array" ref="T109">IF(COUNT(IF($M109=$B$29:$B$606,I$29:I$606,""))=0,"",MAX(IF($M109=$B$29:$B$606,I$29:I$606,"")))</f>
        <v>0</v>
      </c>
      <c r="U109" s="417">
        <f t="array" ref="U109">IF(COUNT(IF($M109=$B$29:$B$606,J$29:J$606,""))=0,"",MAX(IF($M109=$B$29:$B$606,J$29:J$606,"")))</f>
        <v>0</v>
      </c>
      <c r="V109" s="416">
        <f t="array" ref="V109">COUNT(IF(M109=$B$29:$B$606,$E$29:$E$606,""))</f>
        <v>0</v>
      </c>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row>
    <row r="110" spans="1:43">
      <c r="A110" s="407">
        <f>Input!B103</f>
        <v>38068</v>
      </c>
      <c r="B110" s="410">
        <f t="shared" si="12"/>
        <v>12</v>
      </c>
      <c r="C110" s="411">
        <f>IF(Input!I103&lt;=0,"",Input!I103)</f>
        <v>1.8243026445582893</v>
      </c>
      <c r="D110" s="412" t="str">
        <f>IF(G110="","",Input!Q103)</f>
        <v/>
      </c>
      <c r="E110" s="412" t="str">
        <f>IF(ISERROR(Input!AA103),"",Input!AA103)</f>
        <v/>
      </c>
      <c r="F110" s="412" t="str">
        <f>IF(E110="","",Input!AQ103)</f>
        <v/>
      </c>
      <c r="G110" s="413" t="str">
        <f t="shared" si="8"/>
        <v/>
      </c>
      <c r="H110" s="413" t="str">
        <f t="shared" si="9"/>
        <v/>
      </c>
      <c r="I110" s="414">
        <f t="shared" si="10"/>
        <v>0</v>
      </c>
      <c r="J110" s="414">
        <f t="shared" si="10"/>
        <v>0</v>
      </c>
      <c r="K110" s="137"/>
      <c r="L110" s="415">
        <f t="shared" si="7"/>
        <v>38560</v>
      </c>
      <c r="M110" s="416">
        <f t="shared" si="11"/>
        <v>82</v>
      </c>
      <c r="N110" s="417">
        <f t="array" ref="N110">IF(COUNT(IF($M110=$B$29:$B$606,C$29:C$606,""))=0,"",SUM(IF($M110=$B$29:$B$606,C$29:C$606,""))/COUNT(IF($M110=$B$29:$B$606,C$29:C$606,"")))</f>
        <v>4.2374963420184883</v>
      </c>
      <c r="O110" s="417" t="str">
        <f t="array" ref="O110">IF(COUNT(IF($M110=$B$29:$B$606,D$29:D$606,""))=0,"",SUM(IF($M110=$B$29:$B$606,D$29:D$606,""))/COUNT(IF($M110=$B$29:$B$606,D$29:D$606,"")))</f>
        <v/>
      </c>
      <c r="P110" s="417" t="str">
        <f t="array" ref="P110">IF(COUNT(IF($M110=$B$29:$B$606,E$29:E$606,""))=0,"",SUM(IF($M110=$B$29:$B$606,E$29:E$606,""))/COUNT(IF($M110=$B$29:$B$606,E$29:E$606,"")))</f>
        <v/>
      </c>
      <c r="Q110" s="417" t="str">
        <f t="array" ref="Q110">IF(COUNT(IF($M110=$B$29:$B$606,F$29:F$606,""))=0,"",SUM(IF($M110=$B$29:$B$606,F$29:F$606,""))/COUNT(IF($M110=$B$29:$B$606,F$29:F$606,"")))</f>
        <v/>
      </c>
      <c r="R110" s="417" t="str">
        <f t="array" ref="R110">IF(COUNT(IF($M110=$B$29:$B$606,G$29:G$606,""))=0,"",SUM(IF($M110=$B$29:$B$606,G$29:G$606,""))/COUNT(IF($M110=$B$29:$B$606,G$29:G$606,"")))</f>
        <v/>
      </c>
      <c r="S110" s="417" t="str">
        <f t="array" ref="S110">IF(COUNT(IF($M110=$B$29:$B$606,H$29:H$606,""))=0,"",SUM(IF($M110=$B$29:$B$606,H$29:H$606,""))/COUNT(IF($M110=$B$29:$B$606,H$29:H$606,"")))</f>
        <v/>
      </c>
      <c r="T110" s="417">
        <f t="array" ref="T110">IF(COUNT(IF($M110=$B$29:$B$606,I$29:I$606,""))=0,"",MAX(IF($M110=$B$29:$B$606,I$29:I$606,"")))</f>
        <v>0</v>
      </c>
      <c r="U110" s="417">
        <f t="array" ref="U110">IF(COUNT(IF($M110=$B$29:$B$606,J$29:J$606,""))=0,"",MAX(IF($M110=$B$29:$B$606,J$29:J$606,"")))</f>
        <v>0</v>
      </c>
      <c r="V110" s="416">
        <f t="array" ref="V110">COUNT(IF(M110=$B$29:$B$606,$E$29:$E$606,""))</f>
        <v>0</v>
      </c>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row>
    <row r="111" spans="1:43">
      <c r="A111" s="407">
        <f>Input!B104</f>
        <v>38069</v>
      </c>
      <c r="B111" s="410">
        <f t="shared" si="12"/>
        <v>12</v>
      </c>
      <c r="C111" s="411">
        <f>IF(Input!I104&lt;=0,"",Input!I104)</f>
        <v>0.49590084445667348</v>
      </c>
      <c r="D111" s="412" t="str">
        <f>IF(G111="","",Input!Q104)</f>
        <v/>
      </c>
      <c r="E111" s="412" t="str">
        <f>IF(ISERROR(Input!AA104),"",Input!AA104)</f>
        <v/>
      </c>
      <c r="F111" s="412" t="str">
        <f>IF(E111="","",Input!AQ104)</f>
        <v/>
      </c>
      <c r="G111" s="413" t="str">
        <f t="shared" si="8"/>
        <v/>
      </c>
      <c r="H111" s="413" t="str">
        <f t="shared" si="9"/>
        <v/>
      </c>
      <c r="I111" s="414">
        <f t="shared" si="10"/>
        <v>0</v>
      </c>
      <c r="J111" s="414">
        <f t="shared" si="10"/>
        <v>0</v>
      </c>
      <c r="K111" s="137"/>
      <c r="L111" s="415">
        <f t="shared" si="7"/>
        <v>38567</v>
      </c>
      <c r="M111" s="416">
        <f t="shared" si="11"/>
        <v>83</v>
      </c>
      <c r="N111" s="417">
        <f t="array" ref="N111">IF(COUNT(IF($M111=$B$29:$B$606,C$29:C$606,""))=0,"",COUNT(IF($M111=$B$29:$B$606,C$29:C$606,"")))</f>
        <v>4</v>
      </c>
      <c r="O111" s="417" t="str">
        <f t="array" ref="O111">IF(COUNT(IF($M111=$B$29:$B$606,D$29:D$606,""))=0,"",COUNT(IF($M111=$B$29:$B$606,D$29:D$606,"")))</f>
        <v/>
      </c>
      <c r="P111" s="417" t="str">
        <f t="array" ref="P111">IF(COUNT(IF($M111=$B$29:$B$606,E$29:E$606,""))=0,"",COUNT(IF($M111=$B$29:$B$606,E$29:E$606,"")))</f>
        <v/>
      </c>
      <c r="Q111" s="417" t="str">
        <f t="array" ref="Q111">IF(COUNT(IF($M111=$B$29:$B$606,F$29:F$606,""))=0,"",COUNT(IF($M111=$B$29:$B$606,F$29:F$606,"")))</f>
        <v/>
      </c>
      <c r="R111" s="417" t="str">
        <f t="array" ref="R111">IF(COUNT(IF($M111=$B$29:$B$606,G$29:G$606,""))=0,"",COUNT(IF($M111=$B$29:$B$606,G$29:G$606,"")))</f>
        <v/>
      </c>
      <c r="S111" s="417" t="str">
        <f t="array" ref="S111">IF(COUNT(IF($M111=$B$29:$B$606,H$29:H$606,""))=0,"",COUNT(IF($M111=$B$29:$B$606,H$29:H$606,"")))</f>
        <v/>
      </c>
      <c r="T111" s="418"/>
      <c r="U111" s="418"/>
      <c r="V111" s="418"/>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row>
    <row r="112" spans="1:43">
      <c r="A112" s="407">
        <f>Input!B105</f>
        <v>38070</v>
      </c>
      <c r="B112" s="410">
        <f t="shared" si="12"/>
        <v>12</v>
      </c>
      <c r="C112" s="411">
        <f>IF(Input!I105&lt;=0,"",Input!I105)</f>
        <v>1.5357753584385381</v>
      </c>
      <c r="D112" s="412" t="str">
        <f>IF(G112="","",Input!Q105)</f>
        <v/>
      </c>
      <c r="E112" s="412" t="str">
        <f>IF(ISERROR(Input!AA105),"",Input!AA105)</f>
        <v/>
      </c>
      <c r="F112" s="412" t="str">
        <f>IF(E112="","",Input!AQ105)</f>
        <v/>
      </c>
      <c r="G112" s="413" t="str">
        <f t="shared" si="8"/>
        <v/>
      </c>
      <c r="H112" s="413" t="str">
        <f t="shared" si="9"/>
        <v/>
      </c>
      <c r="I112" s="414">
        <f t="shared" si="10"/>
        <v>0</v>
      </c>
      <c r="J112" s="414">
        <f t="shared" si="10"/>
        <v>0</v>
      </c>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row>
    <row r="113" spans="1:43">
      <c r="A113" s="407">
        <f>Input!B106</f>
        <v>38071</v>
      </c>
      <c r="B113" s="410">
        <f t="shared" si="12"/>
        <v>13</v>
      </c>
      <c r="C113" s="411">
        <f>IF(Input!I106&lt;=0,"",Input!I106)</f>
        <v>1.8042864664435185</v>
      </c>
      <c r="D113" s="412" t="str">
        <f>IF(G113="","",Input!Q106)</f>
        <v/>
      </c>
      <c r="E113" s="412" t="str">
        <f>IF(ISERROR(Input!AA106),"",Input!AA106)</f>
        <v/>
      </c>
      <c r="F113" s="412" t="str">
        <f>IF(E113="","",Input!AQ106)</f>
        <v/>
      </c>
      <c r="G113" s="413" t="str">
        <f t="shared" si="8"/>
        <v/>
      </c>
      <c r="H113" s="413" t="str">
        <f t="shared" si="9"/>
        <v/>
      </c>
      <c r="I113" s="414">
        <f t="shared" si="10"/>
        <v>0</v>
      </c>
      <c r="J113" s="414">
        <f t="shared" si="10"/>
        <v>0</v>
      </c>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row>
    <row r="114" spans="1:43">
      <c r="A114" s="407">
        <f>Input!B107</f>
        <v>38072</v>
      </c>
      <c r="B114" s="410">
        <f t="shared" si="12"/>
        <v>13</v>
      </c>
      <c r="C114" s="411">
        <f>IF(Input!I107&lt;=0,"",Input!I107)</f>
        <v>1.0646170170755511</v>
      </c>
      <c r="D114" s="412" t="str">
        <f>IF(G114="","",Input!Q107)</f>
        <v/>
      </c>
      <c r="E114" s="412" t="str">
        <f>IF(ISERROR(Input!AA107),"",Input!AA107)</f>
        <v/>
      </c>
      <c r="F114" s="412" t="str">
        <f>IF(E114="","",Input!AQ107)</f>
        <v/>
      </c>
      <c r="G114" s="413" t="str">
        <f t="shared" si="8"/>
        <v/>
      </c>
      <c r="H114" s="413" t="str">
        <f t="shared" si="9"/>
        <v/>
      </c>
      <c r="I114" s="414">
        <f t="shared" si="10"/>
        <v>0</v>
      </c>
      <c r="J114" s="414">
        <f t="shared" si="10"/>
        <v>0</v>
      </c>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row>
    <row r="115" spans="1:43">
      <c r="A115" s="407">
        <f>Input!B108</f>
        <v>38073</v>
      </c>
      <c r="B115" s="410">
        <f t="shared" si="12"/>
        <v>13</v>
      </c>
      <c r="C115" s="411">
        <f>IF(Input!I108&lt;=0,"",Input!I108)</f>
        <v>0.68732022495647926</v>
      </c>
      <c r="D115" s="412" t="str">
        <f>IF(G115="","",Input!Q108)</f>
        <v/>
      </c>
      <c r="E115" s="412" t="str">
        <f>IF(ISERROR(Input!AA108),"",Input!AA108)</f>
        <v/>
      </c>
      <c r="F115" s="412" t="str">
        <f>IF(E115="","",Input!AQ108)</f>
        <v/>
      </c>
      <c r="G115" s="413" t="str">
        <f t="shared" si="8"/>
        <v/>
      </c>
      <c r="H115" s="413" t="str">
        <f t="shared" si="9"/>
        <v/>
      </c>
      <c r="I115" s="414">
        <f t="shared" si="10"/>
        <v>0</v>
      </c>
      <c r="J115" s="414">
        <f t="shared" si="10"/>
        <v>0</v>
      </c>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row>
    <row r="116" spans="1:43">
      <c r="A116" s="407">
        <f>Input!B109</f>
        <v>38074</v>
      </c>
      <c r="B116" s="410">
        <f t="shared" si="12"/>
        <v>13</v>
      </c>
      <c r="C116" s="411">
        <f>IF(Input!I109&lt;=0,"",Input!I109)</f>
        <v>2.3931185072781882</v>
      </c>
      <c r="D116" s="412" t="str">
        <f>IF(G116="","",Input!Q109)</f>
        <v/>
      </c>
      <c r="E116" s="412" t="str">
        <f>IF(ISERROR(Input!AA109),"",Input!AA109)</f>
        <v/>
      </c>
      <c r="F116" s="412" t="str">
        <f>IF(E116="","",Input!AQ109)</f>
        <v/>
      </c>
      <c r="G116" s="413" t="str">
        <f t="shared" si="8"/>
        <v/>
      </c>
      <c r="H116" s="413" t="str">
        <f t="shared" si="9"/>
        <v/>
      </c>
      <c r="I116" s="414">
        <f t="shared" si="10"/>
        <v>0</v>
      </c>
      <c r="J116" s="414">
        <f t="shared" si="10"/>
        <v>0</v>
      </c>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row>
    <row r="117" spans="1:43">
      <c r="A117" s="407">
        <f>Input!B110</f>
        <v>38075</v>
      </c>
      <c r="B117" s="410">
        <f t="shared" si="12"/>
        <v>13</v>
      </c>
      <c r="C117" s="411">
        <f>IF(Input!I110&lt;=0,"",Input!I110)</f>
        <v>2.1526092770776621</v>
      </c>
      <c r="D117" s="412" t="str">
        <f>IF(G117="","",Input!Q110)</f>
        <v/>
      </c>
      <c r="E117" s="412" t="str">
        <f>IF(ISERROR(Input!AA110),"",Input!AA110)</f>
        <v/>
      </c>
      <c r="F117" s="412" t="str">
        <f>IF(E117="","",Input!AQ110)</f>
        <v/>
      </c>
      <c r="G117" s="413" t="str">
        <f t="shared" si="8"/>
        <v/>
      </c>
      <c r="H117" s="413" t="str">
        <f t="shared" si="9"/>
        <v/>
      </c>
      <c r="I117" s="414">
        <f t="shared" si="10"/>
        <v>0</v>
      </c>
      <c r="J117" s="414">
        <f t="shared" si="10"/>
        <v>0</v>
      </c>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row>
    <row r="118" spans="1:43">
      <c r="A118" s="407">
        <f>Input!B111</f>
        <v>38076</v>
      </c>
      <c r="B118" s="410">
        <f t="shared" si="12"/>
        <v>13</v>
      </c>
      <c r="C118" s="411">
        <f>IF(Input!I111&lt;=0,"",Input!I111)</f>
        <v>2.5106888403813876</v>
      </c>
      <c r="D118" s="412" t="str">
        <f>IF(G118="","",Input!Q111)</f>
        <v/>
      </c>
      <c r="E118" s="412" t="str">
        <f>IF(ISERROR(Input!AA111),"",Input!AA111)</f>
        <v/>
      </c>
      <c r="F118" s="412" t="str">
        <f>IF(E118="","",Input!AQ111)</f>
        <v/>
      </c>
      <c r="G118" s="413" t="str">
        <f t="shared" si="8"/>
        <v/>
      </c>
      <c r="H118" s="413" t="str">
        <f t="shared" si="9"/>
        <v/>
      </c>
      <c r="I118" s="414">
        <f t="shared" si="10"/>
        <v>0</v>
      </c>
      <c r="J118" s="414">
        <f t="shared" si="10"/>
        <v>0</v>
      </c>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row>
    <row r="119" spans="1:43">
      <c r="A119" s="407">
        <f>Input!B112</f>
        <v>38077</v>
      </c>
      <c r="B119" s="410">
        <f t="shared" si="12"/>
        <v>13</v>
      </c>
      <c r="C119" s="411">
        <f>IF(Input!I112&lt;=0,"",Input!I112)</f>
        <v>0.93869359143232689</v>
      </c>
      <c r="D119" s="412" t="str">
        <f>IF(G119="","",Input!Q112)</f>
        <v/>
      </c>
      <c r="E119" s="412" t="str">
        <f>IF(ISERROR(Input!AA112),"",Input!AA112)</f>
        <v/>
      </c>
      <c r="F119" s="412" t="str">
        <f>IF(E119="","",Input!AQ112)</f>
        <v/>
      </c>
      <c r="G119" s="413" t="str">
        <f t="shared" si="8"/>
        <v/>
      </c>
      <c r="H119" s="413" t="str">
        <f t="shared" si="9"/>
        <v/>
      </c>
      <c r="I119" s="414">
        <f t="shared" si="10"/>
        <v>0</v>
      </c>
      <c r="J119" s="414">
        <f t="shared" si="10"/>
        <v>0</v>
      </c>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row>
    <row r="120" spans="1:43">
      <c r="A120" s="407">
        <f>Input!B113</f>
        <v>38078</v>
      </c>
      <c r="B120" s="410">
        <f t="shared" si="12"/>
        <v>14</v>
      </c>
      <c r="C120" s="411">
        <f>IF(Input!I113&lt;=0,"",Input!I113)</f>
        <v>1.6167318103592816</v>
      </c>
      <c r="D120" s="412" t="str">
        <f>IF(G120="","",Input!Q113)</f>
        <v/>
      </c>
      <c r="E120" s="412" t="str">
        <f>IF(ISERROR(Input!AA113),"",Input!AA113)</f>
        <v/>
      </c>
      <c r="F120" s="412" t="str">
        <f>IF(E120="","",Input!AQ113)</f>
        <v/>
      </c>
      <c r="G120" s="413" t="str">
        <f t="shared" si="8"/>
        <v/>
      </c>
      <c r="H120" s="413" t="str">
        <f t="shared" si="9"/>
        <v/>
      </c>
      <c r="I120" s="414">
        <f t="shared" si="10"/>
        <v>0</v>
      </c>
      <c r="J120" s="414">
        <f t="shared" si="10"/>
        <v>0</v>
      </c>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row>
    <row r="121" spans="1:43">
      <c r="A121" s="407">
        <f>Input!B114</f>
        <v>38079</v>
      </c>
      <c r="B121" s="410">
        <f t="shared" si="12"/>
        <v>14</v>
      </c>
      <c r="C121" s="411">
        <f>IF(Input!I114&lt;=0,"",Input!I114)</f>
        <v>1.8984918973670475</v>
      </c>
      <c r="D121" s="412" t="str">
        <f>IF(G121="","",Input!Q114)</f>
        <v/>
      </c>
      <c r="E121" s="412" t="str">
        <f>IF(ISERROR(Input!AA114),"",Input!AA114)</f>
        <v/>
      </c>
      <c r="F121" s="412" t="str">
        <f>IF(E121="","",Input!AQ114)</f>
        <v/>
      </c>
      <c r="G121" s="413" t="str">
        <f t="shared" si="8"/>
        <v/>
      </c>
      <c r="H121" s="413" t="str">
        <f t="shared" si="9"/>
        <v/>
      </c>
      <c r="I121" s="414">
        <f t="shared" si="10"/>
        <v>0</v>
      </c>
      <c r="J121" s="414">
        <f t="shared" si="10"/>
        <v>0</v>
      </c>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row>
    <row r="122" spans="1:43">
      <c r="A122" s="407">
        <f>Input!B115</f>
        <v>38080</v>
      </c>
      <c r="B122" s="410">
        <f t="shared" si="12"/>
        <v>14</v>
      </c>
      <c r="C122" s="411">
        <f>IF(Input!I115&lt;=0,"",Input!I115)</f>
        <v>2.1128725013730758</v>
      </c>
      <c r="D122" s="412" t="str">
        <f>IF(G122="","",Input!Q115)</f>
        <v/>
      </c>
      <c r="E122" s="412" t="str">
        <f>IF(ISERROR(Input!AA115),"",Input!AA115)</f>
        <v/>
      </c>
      <c r="F122" s="412" t="str">
        <f>IF(E122="","",Input!AQ115)</f>
        <v/>
      </c>
      <c r="G122" s="413" t="str">
        <f t="shared" si="8"/>
        <v/>
      </c>
      <c r="H122" s="413" t="str">
        <f t="shared" si="9"/>
        <v/>
      </c>
      <c r="I122" s="414">
        <f t="shared" si="10"/>
        <v>0</v>
      </c>
      <c r="J122" s="414">
        <f t="shared" si="10"/>
        <v>0</v>
      </c>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row>
    <row r="123" spans="1:43">
      <c r="A123" s="407">
        <f>Input!B116</f>
        <v>38081</v>
      </c>
      <c r="B123" s="410">
        <f t="shared" si="12"/>
        <v>14</v>
      </c>
      <c r="C123" s="411">
        <f>IF(Input!I116&lt;=0,"",Input!I116)</f>
        <v>0.44427184411836929</v>
      </c>
      <c r="D123" s="412" t="str">
        <f>IF(G123="","",Input!Q116)</f>
        <v/>
      </c>
      <c r="E123" s="412" t="str">
        <f>IF(ISERROR(Input!AA116),"",Input!AA116)</f>
        <v/>
      </c>
      <c r="F123" s="412" t="str">
        <f>IF(E123="","",Input!AQ116)</f>
        <v/>
      </c>
      <c r="G123" s="413" t="str">
        <f t="shared" si="8"/>
        <v/>
      </c>
      <c r="H123" s="413" t="str">
        <f t="shared" si="9"/>
        <v/>
      </c>
      <c r="I123" s="414">
        <f t="shared" si="10"/>
        <v>0</v>
      </c>
      <c r="J123" s="414">
        <f t="shared" si="10"/>
        <v>0</v>
      </c>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row>
    <row r="124" spans="1:43">
      <c r="A124" s="407">
        <f>Input!B117</f>
        <v>38082</v>
      </c>
      <c r="B124" s="410">
        <f t="shared" si="12"/>
        <v>14</v>
      </c>
      <c r="C124" s="411">
        <f>IF(Input!I117&lt;=0,"",Input!I117)</f>
        <v>1.2870475400541517</v>
      </c>
      <c r="D124" s="412" t="str">
        <f>IF(G124="","",Input!Q117)</f>
        <v/>
      </c>
      <c r="E124" s="412" t="str">
        <f>IF(ISERROR(Input!AA117),"",Input!AA117)</f>
        <v/>
      </c>
      <c r="F124" s="412" t="str">
        <f>IF(E124="","",Input!AQ117)</f>
        <v/>
      </c>
      <c r="G124" s="413" t="str">
        <f t="shared" si="8"/>
        <v/>
      </c>
      <c r="H124" s="413" t="str">
        <f t="shared" si="9"/>
        <v/>
      </c>
      <c r="I124" s="414">
        <f t="shared" si="10"/>
        <v>0</v>
      </c>
      <c r="J124" s="414">
        <f t="shared" si="10"/>
        <v>0</v>
      </c>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row>
    <row r="125" spans="1:43">
      <c r="A125" s="407">
        <f>Input!B118</f>
        <v>38083</v>
      </c>
      <c r="B125" s="410">
        <f t="shared" si="12"/>
        <v>14</v>
      </c>
      <c r="C125" s="411">
        <f>IF(Input!I118&lt;=0,"",Input!I118)</f>
        <v>1.8718532351116166</v>
      </c>
      <c r="D125" s="412" t="str">
        <f>IF(G125="","",Input!Q118)</f>
        <v/>
      </c>
      <c r="E125" s="412" t="str">
        <f>IF(ISERROR(Input!AA118),"",Input!AA118)</f>
        <v/>
      </c>
      <c r="F125" s="412" t="str">
        <f>IF(E125="","",Input!AQ118)</f>
        <v/>
      </c>
      <c r="G125" s="413" t="str">
        <f t="shared" si="8"/>
        <v/>
      </c>
      <c r="H125" s="413" t="str">
        <f t="shared" si="9"/>
        <v/>
      </c>
      <c r="I125" s="414">
        <f t="shared" si="10"/>
        <v>0</v>
      </c>
      <c r="J125" s="414">
        <f t="shared" si="10"/>
        <v>0</v>
      </c>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row>
    <row r="126" spans="1:43">
      <c r="A126" s="407">
        <f>Input!B119</f>
        <v>38084</v>
      </c>
      <c r="B126" s="410">
        <f t="shared" si="12"/>
        <v>14</v>
      </c>
      <c r="C126" s="411">
        <f>IF(Input!I119&lt;=0,"",Input!I119)</f>
        <v>2.4478030510786795</v>
      </c>
      <c r="D126" s="412" t="str">
        <f>IF(G126="","",Input!Q119)</f>
        <v/>
      </c>
      <c r="E126" s="412" t="str">
        <f>IF(ISERROR(Input!AA119),"",Input!AA119)</f>
        <v/>
      </c>
      <c r="F126" s="412" t="str">
        <f>IF(E126="","",Input!AQ119)</f>
        <v/>
      </c>
      <c r="G126" s="413" t="str">
        <f t="shared" si="8"/>
        <v/>
      </c>
      <c r="H126" s="413" t="str">
        <f t="shared" si="9"/>
        <v/>
      </c>
      <c r="I126" s="414">
        <f t="shared" si="10"/>
        <v>0</v>
      </c>
      <c r="J126" s="414">
        <f t="shared" si="10"/>
        <v>0</v>
      </c>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row>
    <row r="127" spans="1:43">
      <c r="A127" s="407">
        <f>Input!B120</f>
        <v>38085</v>
      </c>
      <c r="B127" s="410">
        <f t="shared" si="12"/>
        <v>15</v>
      </c>
      <c r="C127" s="411">
        <f>IF(Input!I120&lt;=0,"",Input!I120)</f>
        <v>0.46595535146604128</v>
      </c>
      <c r="D127" s="412" t="str">
        <f>IF(G127="","",Input!Q120)</f>
        <v/>
      </c>
      <c r="E127" s="412" t="str">
        <f>IF(ISERROR(Input!AA120),"",Input!AA120)</f>
        <v/>
      </c>
      <c r="F127" s="412" t="str">
        <f>IF(E127="","",Input!AQ120)</f>
        <v/>
      </c>
      <c r="G127" s="413" t="str">
        <f t="shared" si="8"/>
        <v/>
      </c>
      <c r="H127" s="413" t="str">
        <f t="shared" si="9"/>
        <v/>
      </c>
      <c r="I127" s="414">
        <f t="shared" si="10"/>
        <v>0</v>
      </c>
      <c r="J127" s="414">
        <f t="shared" si="10"/>
        <v>0</v>
      </c>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row>
    <row r="128" spans="1:43">
      <c r="A128" s="407">
        <f>Input!B121</f>
        <v>38086</v>
      </c>
      <c r="B128" s="410">
        <f t="shared" si="12"/>
        <v>15</v>
      </c>
      <c r="C128" s="411">
        <f>IF(Input!I121&lt;=0,"",Input!I121)</f>
        <v>0.54789851191428862</v>
      </c>
      <c r="D128" s="412" t="str">
        <f>IF(G128="","",Input!Q121)</f>
        <v/>
      </c>
      <c r="E128" s="412" t="str">
        <f>IF(ISERROR(Input!AA121),"",Input!AA121)</f>
        <v/>
      </c>
      <c r="F128" s="412" t="str">
        <f>IF(E128="","",Input!AQ121)</f>
        <v/>
      </c>
      <c r="G128" s="413" t="str">
        <f t="shared" si="8"/>
        <v/>
      </c>
      <c r="H128" s="413" t="str">
        <f t="shared" si="9"/>
        <v/>
      </c>
      <c r="I128" s="414">
        <f t="shared" si="10"/>
        <v>0</v>
      </c>
      <c r="J128" s="414">
        <f t="shared" si="10"/>
        <v>0</v>
      </c>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row>
    <row r="129" spans="1:43">
      <c r="A129" s="407">
        <f>Input!B122</f>
        <v>38087</v>
      </c>
      <c r="B129" s="410">
        <f t="shared" si="12"/>
        <v>15</v>
      </c>
      <c r="C129" s="411">
        <f>IF(Input!I122&lt;=0,"",Input!I122)</f>
        <v>1.5021347877701818</v>
      </c>
      <c r="D129" s="412" t="str">
        <f>IF(G129="","",Input!Q122)</f>
        <v/>
      </c>
      <c r="E129" s="412" t="str">
        <f>IF(ISERROR(Input!AA122),"",Input!AA122)</f>
        <v/>
      </c>
      <c r="F129" s="412" t="str">
        <f>IF(E129="","",Input!AQ122)</f>
        <v/>
      </c>
      <c r="G129" s="413" t="str">
        <f t="shared" si="8"/>
        <v/>
      </c>
      <c r="H129" s="413" t="str">
        <f t="shared" si="9"/>
        <v/>
      </c>
      <c r="I129" s="414">
        <f t="shared" si="10"/>
        <v>0</v>
      </c>
      <c r="J129" s="414">
        <f t="shared" si="10"/>
        <v>0</v>
      </c>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row>
    <row r="130" spans="1:43">
      <c r="A130" s="407">
        <f>Input!B123</f>
        <v>38088</v>
      </c>
      <c r="B130" s="410">
        <f t="shared" si="12"/>
        <v>15</v>
      </c>
      <c r="C130" s="411">
        <f>IF(Input!I123&lt;=0,"",Input!I123)</f>
        <v>1.4775161847336267</v>
      </c>
      <c r="D130" s="412" t="str">
        <f>IF(G130="","",Input!Q123)</f>
        <v/>
      </c>
      <c r="E130" s="412" t="str">
        <f>IF(ISERROR(Input!AA123),"",Input!AA123)</f>
        <v/>
      </c>
      <c r="F130" s="412" t="str">
        <f>IF(E130="","",Input!AQ123)</f>
        <v/>
      </c>
      <c r="G130" s="413" t="str">
        <f t="shared" si="8"/>
        <v/>
      </c>
      <c r="H130" s="413" t="str">
        <f t="shared" si="9"/>
        <v/>
      </c>
      <c r="I130" s="414">
        <f t="shared" si="10"/>
        <v>0</v>
      </c>
      <c r="J130" s="414">
        <f t="shared" si="10"/>
        <v>0</v>
      </c>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row>
    <row r="131" spans="1:43">
      <c r="A131" s="407">
        <f>Input!B124</f>
        <v>38089</v>
      </c>
      <c r="B131" s="410">
        <f t="shared" si="12"/>
        <v>15</v>
      </c>
      <c r="C131" s="411">
        <f>IF(Input!I124&lt;=0,"",Input!I124)</f>
        <v>2.3188094411304103</v>
      </c>
      <c r="D131" s="412" t="str">
        <f>IF(G131="","",Input!Q124)</f>
        <v/>
      </c>
      <c r="E131" s="412" t="str">
        <f>IF(ISERROR(Input!AA124),"",Input!AA124)</f>
        <v/>
      </c>
      <c r="F131" s="412" t="str">
        <f>IF(E131="","",Input!AQ124)</f>
        <v/>
      </c>
      <c r="G131" s="413" t="str">
        <f t="shared" si="8"/>
        <v/>
      </c>
      <c r="H131" s="413" t="str">
        <f t="shared" si="9"/>
        <v/>
      </c>
      <c r="I131" s="414">
        <f t="shared" si="10"/>
        <v>0</v>
      </c>
      <c r="J131" s="414">
        <f t="shared" si="10"/>
        <v>0</v>
      </c>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row>
    <row r="132" spans="1:43">
      <c r="A132" s="407">
        <f>Input!B125</f>
        <v>38090</v>
      </c>
      <c r="B132" s="410">
        <f t="shared" si="12"/>
        <v>15</v>
      </c>
      <c r="C132" s="411">
        <f>IF(Input!I125&lt;=0,"",Input!I125)</f>
        <v>2.3817274499732548</v>
      </c>
      <c r="D132" s="412" t="str">
        <f>IF(G132="","",Input!Q125)</f>
        <v/>
      </c>
      <c r="E132" s="412" t="str">
        <f>IF(ISERROR(Input!AA125),"",Input!AA125)</f>
        <v/>
      </c>
      <c r="F132" s="412" t="str">
        <f>IF(E132="","",Input!AQ125)</f>
        <v/>
      </c>
      <c r="G132" s="413" t="str">
        <f t="shared" si="8"/>
        <v/>
      </c>
      <c r="H132" s="413" t="str">
        <f t="shared" si="9"/>
        <v/>
      </c>
      <c r="I132" s="414">
        <f t="shared" si="10"/>
        <v>0</v>
      </c>
      <c r="J132" s="414">
        <f t="shared" si="10"/>
        <v>0</v>
      </c>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row>
    <row r="133" spans="1:43">
      <c r="A133" s="407">
        <f>Input!B126</f>
        <v>38091</v>
      </c>
      <c r="B133" s="410">
        <f t="shared" si="12"/>
        <v>15</v>
      </c>
      <c r="C133" s="411">
        <f>IF(Input!I126&lt;=0,"",Input!I126)</f>
        <v>1.2746820392788025</v>
      </c>
      <c r="D133" s="412" t="str">
        <f>IF(G133="","",Input!Q126)</f>
        <v/>
      </c>
      <c r="E133" s="412" t="str">
        <f>IF(ISERROR(Input!AA126),"",Input!AA126)</f>
        <v/>
      </c>
      <c r="F133" s="412" t="str">
        <f>IF(E133="","",Input!AQ126)</f>
        <v/>
      </c>
      <c r="G133" s="413" t="str">
        <f t="shared" si="8"/>
        <v/>
      </c>
      <c r="H133" s="413" t="str">
        <f t="shared" si="9"/>
        <v/>
      </c>
      <c r="I133" s="414">
        <f t="shared" si="10"/>
        <v>0</v>
      </c>
      <c r="J133" s="414">
        <f t="shared" si="10"/>
        <v>0</v>
      </c>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row>
    <row r="134" spans="1:43">
      <c r="A134" s="407">
        <f>Input!B127</f>
        <v>38092</v>
      </c>
      <c r="B134" s="410">
        <f t="shared" si="12"/>
        <v>16</v>
      </c>
      <c r="C134" s="411">
        <f>IF(Input!I127&lt;=0,"",Input!I127)</f>
        <v>1.7042348255788369</v>
      </c>
      <c r="D134" s="412">
        <f>IF(G134="","",Input!Q127)</f>
        <v>1.2</v>
      </c>
      <c r="E134" s="412">
        <f>IF(ISERROR(Input!AA127),"",Input!AA127)</f>
        <v>1.2</v>
      </c>
      <c r="F134" s="412">
        <f>IF(E134="","",Input!AQ127)</f>
        <v>0.8102962140161466</v>
      </c>
      <c r="G134" s="413">
        <f t="shared" si="8"/>
        <v>2.0450817906946042</v>
      </c>
      <c r="H134" s="413">
        <f t="shared" si="9"/>
        <v>1.3809350269609995</v>
      </c>
      <c r="I134" s="414">
        <f t="shared" si="10"/>
        <v>2.0450817906946042</v>
      </c>
      <c r="J134" s="414">
        <f t="shared" si="10"/>
        <v>1.3809350269609995</v>
      </c>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row>
    <row r="135" spans="1:43">
      <c r="A135" s="407">
        <f>Input!B128</f>
        <v>38093</v>
      </c>
      <c r="B135" s="410">
        <f t="shared" si="12"/>
        <v>16</v>
      </c>
      <c r="C135" s="411">
        <f>IF(Input!I128&lt;=0,"",Input!I128)</f>
        <v>0.75456294317937433</v>
      </c>
      <c r="D135" s="412">
        <f>IF(G135="","",Input!Q128)</f>
        <v>1.2</v>
      </c>
      <c r="E135" s="412">
        <f>IF(ISERROR(Input!AA128),"",Input!AA128)</f>
        <v>1.2</v>
      </c>
      <c r="F135" s="412">
        <f>IF(E135="","",Input!AQ128)</f>
        <v>0.8102962140161466</v>
      </c>
      <c r="G135" s="413">
        <f t="shared" si="8"/>
        <v>0.9054755318152492</v>
      </c>
      <c r="H135" s="413">
        <f t="shared" si="9"/>
        <v>0.6114194960951278</v>
      </c>
      <c r="I135" s="414">
        <f t="shared" si="10"/>
        <v>2.9505573225098534</v>
      </c>
      <c r="J135" s="414">
        <f t="shared" si="10"/>
        <v>1.9923545230561273</v>
      </c>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row>
    <row r="136" spans="1:43">
      <c r="A136" s="407">
        <f>Input!B129</f>
        <v>38094</v>
      </c>
      <c r="B136" s="410">
        <f t="shared" si="12"/>
        <v>16</v>
      </c>
      <c r="C136" s="411">
        <f>IF(Input!I129&lt;=0,"",Input!I129)</f>
        <v>1.6714663384207553</v>
      </c>
      <c r="D136" s="412">
        <f>IF(G136="","",Input!Q129)</f>
        <v>1.2</v>
      </c>
      <c r="E136" s="412">
        <f>IF(ISERROR(Input!AA129),"",Input!AA129)</f>
        <v>1.2</v>
      </c>
      <c r="F136" s="412">
        <f>IF(E136="","",Input!AQ129)</f>
        <v>0.8102962140161466</v>
      </c>
      <c r="G136" s="413">
        <f t="shared" si="8"/>
        <v>2.0057596061049061</v>
      </c>
      <c r="H136" s="413">
        <f t="shared" si="9"/>
        <v>1.3543828458777694</v>
      </c>
      <c r="I136" s="414">
        <f t="shared" si="10"/>
        <v>4.9563169286147595</v>
      </c>
      <c r="J136" s="414">
        <f t="shared" si="10"/>
        <v>3.3467373689338968</v>
      </c>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row>
    <row r="137" spans="1:43">
      <c r="A137" s="407">
        <f>Input!B130</f>
        <v>38095</v>
      </c>
      <c r="B137" s="410">
        <f t="shared" si="12"/>
        <v>16</v>
      </c>
      <c r="C137" s="411">
        <f>IF(Input!I130&lt;=0,"",Input!I130)</f>
        <v>2.3496203991815219</v>
      </c>
      <c r="D137" s="412">
        <f>IF(G137="","",Input!Q130)</f>
        <v>1.2</v>
      </c>
      <c r="E137" s="412">
        <f>IF(ISERROR(Input!AA130),"",Input!AA130)</f>
        <v>1.2</v>
      </c>
      <c r="F137" s="412">
        <f>IF(E137="","",Input!AQ130)</f>
        <v>0.8102962140161466</v>
      </c>
      <c r="G137" s="413">
        <f t="shared" si="8"/>
        <v>2.8195444790178263</v>
      </c>
      <c r="H137" s="413">
        <f t="shared" si="9"/>
        <v>1.9038885138318942</v>
      </c>
      <c r="I137" s="414">
        <f t="shared" si="10"/>
        <v>7.7758614076325863</v>
      </c>
      <c r="J137" s="414">
        <f t="shared" si="10"/>
        <v>5.2506258827657906</v>
      </c>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row>
    <row r="138" spans="1:43">
      <c r="A138" s="407">
        <f>Input!B131</f>
        <v>38096</v>
      </c>
      <c r="B138" s="410">
        <f t="shared" si="12"/>
        <v>16</v>
      </c>
      <c r="C138" s="411">
        <f>IF(Input!I131&lt;=0,"",Input!I131)</f>
        <v>2.1232463360499847</v>
      </c>
      <c r="D138" s="412">
        <f>IF(G138="","",Input!Q131)</f>
        <v>1.0059033012851073</v>
      </c>
      <c r="E138" s="412">
        <f>IF(ISERROR(Input!AA131),"",Input!AA131)</f>
        <v>1.0059033012851073</v>
      </c>
      <c r="F138" s="412">
        <f>IF(E138="","",Input!AQ131)</f>
        <v>0.8102962140161466</v>
      </c>
      <c r="G138" s="413">
        <f t="shared" si="8"/>
        <v>2.1357804988741877</v>
      </c>
      <c r="H138" s="413">
        <f t="shared" si="9"/>
        <v>1.7204584675249575</v>
      </c>
      <c r="I138" s="414">
        <f t="shared" si="10"/>
        <v>9.9116419065067731</v>
      </c>
      <c r="J138" s="414">
        <f t="shared" si="10"/>
        <v>6.9710843502907478</v>
      </c>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row>
    <row r="139" spans="1:43">
      <c r="A139" s="407">
        <f>Input!B132</f>
        <v>38097</v>
      </c>
      <c r="B139" s="410">
        <f t="shared" si="12"/>
        <v>16</v>
      </c>
      <c r="C139" s="411">
        <f>IF(Input!I132&lt;=0,"",Input!I132)</f>
        <v>2.3856445539884792</v>
      </c>
      <c r="D139" s="412">
        <f>IF(G139="","",Input!Q132)</f>
        <v>0.86298278178263155</v>
      </c>
      <c r="E139" s="412">
        <f>IF(ISERROR(Input!AA132),"",Input!AA132)</f>
        <v>0.86298278178263155</v>
      </c>
      <c r="F139" s="412">
        <f>IF(E139="","",Input!AQ132)</f>
        <v>0.8102962140161466</v>
      </c>
      <c r="G139" s="413">
        <f t="shared" si="8"/>
        <v>2.0587701735455632</v>
      </c>
      <c r="H139" s="413">
        <f t="shared" si="9"/>
        <v>1.9330787500851034</v>
      </c>
      <c r="I139" s="414">
        <f t="shared" si="10"/>
        <v>11.970412080052336</v>
      </c>
      <c r="J139" s="414">
        <f t="shared" si="10"/>
        <v>8.9041631003758503</v>
      </c>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row>
    <row r="140" spans="1:43">
      <c r="A140" s="407">
        <f>Input!B133</f>
        <v>38098</v>
      </c>
      <c r="B140" s="410">
        <f t="shared" si="12"/>
        <v>16</v>
      </c>
      <c r="C140" s="411">
        <f>IF(Input!I133&lt;=0,"",Input!I133)</f>
        <v>2.5681773320425307</v>
      </c>
      <c r="D140" s="412">
        <f>IF(G140="","",Input!Q133)</f>
        <v>0.76081040825379398</v>
      </c>
      <c r="E140" s="412">
        <f>IF(ISERROR(Input!AA133),"",Input!AA133)</f>
        <v>0.76081040825379398</v>
      </c>
      <c r="F140" s="412">
        <f>IF(E140="","",Input!AQ133)</f>
        <v>0.8102962140161466</v>
      </c>
      <c r="G140" s="413">
        <f t="shared" si="8"/>
        <v>1.9538960444594173</v>
      </c>
      <c r="H140" s="413">
        <f t="shared" si="9"/>
        <v>2.0809843690761509</v>
      </c>
      <c r="I140" s="414">
        <f t="shared" si="10"/>
        <v>13.924308124511754</v>
      </c>
      <c r="J140" s="414">
        <f t="shared" si="10"/>
        <v>10.985147469452002</v>
      </c>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row>
    <row r="141" spans="1:43">
      <c r="A141" s="407">
        <f>Input!B134</f>
        <v>38099</v>
      </c>
      <c r="B141" s="410">
        <f t="shared" si="12"/>
        <v>17</v>
      </c>
      <c r="C141" s="411">
        <f>IF(Input!I134&lt;=0,"",Input!I134)</f>
        <v>2.6660228759485736</v>
      </c>
      <c r="D141" s="412">
        <f>IF(G141="","",Input!Q134)</f>
        <v>0.68519023934204704</v>
      </c>
      <c r="E141" s="412">
        <f>IF(ISERROR(Input!AA134),"",Input!AA134)</f>
        <v>0.68519023934204704</v>
      </c>
      <c r="F141" s="412">
        <f>IF(E141="","",Input!AQ134)</f>
        <v>0.8102962140161466</v>
      </c>
      <c r="G141" s="413">
        <f t="shared" si="8"/>
        <v>1.8267328524625757</v>
      </c>
      <c r="H141" s="413">
        <f t="shared" si="9"/>
        <v>2.160268242861568</v>
      </c>
      <c r="I141" s="414">
        <f t="shared" si="10"/>
        <v>15.751040976974329</v>
      </c>
      <c r="J141" s="414">
        <f t="shared" si="10"/>
        <v>13.14541571231357</v>
      </c>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row>
    <row r="142" spans="1:43">
      <c r="A142" s="407">
        <f>Input!B135</f>
        <v>38100</v>
      </c>
      <c r="B142" s="410">
        <f t="shared" si="12"/>
        <v>17</v>
      </c>
      <c r="C142" s="411">
        <f>IF(Input!I135&lt;=0,"",Input!I135)</f>
        <v>2.2909912187436534</v>
      </c>
      <c r="D142" s="412">
        <f>IF(G142="","",Input!Q135)</f>
        <v>0.63529748969853606</v>
      </c>
      <c r="E142" s="412">
        <f>IF(ISERROR(Input!AA135),"",Input!AA135)</f>
        <v>0.63529748969853606</v>
      </c>
      <c r="F142" s="412">
        <f>IF(E142="","",Input!AQ135)</f>
        <v>0.8102962140161466</v>
      </c>
      <c r="G142" s="413">
        <f t="shared" si="8"/>
        <v>1.4554609701892327</v>
      </c>
      <c r="H142" s="413">
        <f t="shared" si="9"/>
        <v>1.8563815108922199</v>
      </c>
      <c r="I142" s="414">
        <f t="shared" si="10"/>
        <v>17.206501947163563</v>
      </c>
      <c r="J142" s="414">
        <f t="shared" si="10"/>
        <v>15.00179722320579</v>
      </c>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row>
    <row r="143" spans="1:43">
      <c r="A143" s="407">
        <f>Input!B136</f>
        <v>38101</v>
      </c>
      <c r="B143" s="410">
        <f t="shared" si="12"/>
        <v>17</v>
      </c>
      <c r="C143" s="411">
        <f>IF(Input!I136&lt;=0,"",Input!I136)</f>
        <v>1.7423348114641519</v>
      </c>
      <c r="D143" s="412">
        <f>IF(G143="","",Input!Q136)</f>
        <v>0.60377632549344329</v>
      </c>
      <c r="E143" s="412">
        <f>IF(ISERROR(Input!AA136),"",Input!AA136)</f>
        <v>0.60377632549344329</v>
      </c>
      <c r="F143" s="412">
        <f>IF(E143="","",Input!AQ136)</f>
        <v>0.8102962140161466</v>
      </c>
      <c r="G143" s="413">
        <f t="shared" si="8"/>
        <v>1.0519805102451369</v>
      </c>
      <c r="H143" s="413">
        <f t="shared" si="9"/>
        <v>1.4118073012779389</v>
      </c>
      <c r="I143" s="414">
        <f t="shared" si="10"/>
        <v>18.2584824574087</v>
      </c>
      <c r="J143" s="414">
        <f t="shared" si="10"/>
        <v>16.413604524483727</v>
      </c>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row>
    <row r="144" spans="1:43">
      <c r="A144" s="407">
        <f>Input!B137</f>
        <v>38102</v>
      </c>
      <c r="B144" s="410">
        <f t="shared" si="12"/>
        <v>17</v>
      </c>
      <c r="C144" s="411">
        <f>IF(Input!I137&lt;=0,"",Input!I137)</f>
        <v>0.3063071784918493</v>
      </c>
      <c r="D144" s="412">
        <f>IF(G144="","",Input!Q137)</f>
        <v>0.5986959449707141</v>
      </c>
      <c r="E144" s="412">
        <f>IF(ISERROR(Input!AA137),"",Input!AA137)</f>
        <v>0.5986959449707141</v>
      </c>
      <c r="F144" s="412">
        <f>IF(E144="","",Input!AQ137)</f>
        <v>0.8102962140161466</v>
      </c>
      <c r="G144" s="413">
        <f t="shared" si="8"/>
        <v>0.18338486567849091</v>
      </c>
      <c r="H144" s="413">
        <f t="shared" si="9"/>
        <v>0.24819954705791353</v>
      </c>
      <c r="I144" s="414">
        <f t="shared" si="10"/>
        <v>18.441867323087191</v>
      </c>
      <c r="J144" s="414">
        <f t="shared" si="10"/>
        <v>16.661804071541642</v>
      </c>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row>
    <row r="145" spans="1:43">
      <c r="A145" s="407">
        <f>Input!B138</f>
        <v>38103</v>
      </c>
      <c r="B145" s="410">
        <f t="shared" si="12"/>
        <v>17</v>
      </c>
      <c r="C145" s="411">
        <f>IF(Input!I138&lt;=0,"",Input!I138)</f>
        <v>0.21108337461382062</v>
      </c>
      <c r="D145" s="412">
        <f>IF(G145="","",Input!Q138)</f>
        <v>0.59526716263057367</v>
      </c>
      <c r="E145" s="412">
        <f>IF(ISERROR(Input!AA138),"",Input!AA138)</f>
        <v>0.59526716263057367</v>
      </c>
      <c r="F145" s="412">
        <f>IF(E145="","",Input!AQ138)</f>
        <v>0.8102962140161466</v>
      </c>
      <c r="G145" s="413">
        <f t="shared" si="8"/>
        <v>0.12565100148485547</v>
      </c>
      <c r="H145" s="413">
        <f t="shared" si="9"/>
        <v>0.17104005929133084</v>
      </c>
      <c r="I145" s="414">
        <f t="shared" si="10"/>
        <v>18.567518324572045</v>
      </c>
      <c r="J145" s="414">
        <f t="shared" si="10"/>
        <v>16.832844130832974</v>
      </c>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row>
    <row r="146" spans="1:43">
      <c r="A146" s="407">
        <f>Input!B139</f>
        <v>38104</v>
      </c>
      <c r="B146" s="410">
        <f t="shared" si="12"/>
        <v>17</v>
      </c>
      <c r="C146" s="411">
        <f>IF(Input!I139&lt;=0,"",Input!I139)</f>
        <v>0.15562453823735539</v>
      </c>
      <c r="D146" s="412">
        <f>IF(G146="","",Input!Q139)</f>
        <v>0.59277586936260729</v>
      </c>
      <c r="E146" s="412">
        <f>IF(ISERROR(Input!AA139),"",Input!AA139)</f>
        <v>0.59277586936260729</v>
      </c>
      <c r="F146" s="412">
        <f>IF(E146="","",Input!AQ139)</f>
        <v>0.8102962140161466</v>
      </c>
      <c r="G146" s="413">
        <f t="shared" si="8"/>
        <v>9.2250470947802657E-2</v>
      </c>
      <c r="H146" s="413">
        <f t="shared" si="9"/>
        <v>0.12610197414174013</v>
      </c>
      <c r="I146" s="414">
        <f t="shared" si="10"/>
        <v>18.659768795519849</v>
      </c>
      <c r="J146" s="414">
        <f t="shared" si="10"/>
        <v>16.958946104974714</v>
      </c>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row>
    <row r="147" spans="1:43">
      <c r="A147" s="407">
        <f>Input!B140</f>
        <v>38105</v>
      </c>
      <c r="B147" s="410">
        <f t="shared" si="12"/>
        <v>17</v>
      </c>
      <c r="C147" s="411">
        <f>IF(Input!I140&lt;=0,"",Input!I140)</f>
        <v>0.19878373475728461</v>
      </c>
      <c r="D147" s="412">
        <f>IF(G147="","",Input!Q140)</f>
        <v>0.5896377813463185</v>
      </c>
      <c r="E147" s="412">
        <f>IF(ISERROR(Input!AA140),"",Input!AA140)</f>
        <v>0.5896377813463185</v>
      </c>
      <c r="F147" s="412">
        <f>IF(E147="","",Input!AQ140)</f>
        <v>0.8102962140161466</v>
      </c>
      <c r="G147" s="413">
        <f t="shared" si="8"/>
        <v>0.11721040033002036</v>
      </c>
      <c r="H147" s="413">
        <f t="shared" si="9"/>
        <v>0.16107370768181761</v>
      </c>
      <c r="I147" s="414">
        <f t="shared" si="10"/>
        <v>18.776979195849869</v>
      </c>
      <c r="J147" s="414">
        <f t="shared" si="10"/>
        <v>17.120019812656533</v>
      </c>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row>
    <row r="148" spans="1:43">
      <c r="A148" s="407">
        <f>Input!B141</f>
        <v>38106</v>
      </c>
      <c r="B148" s="410">
        <f t="shared" si="12"/>
        <v>18</v>
      </c>
      <c r="C148" s="411">
        <f>IF(Input!I141&lt;=0,"",Input!I141)</f>
        <v>0.18408138027917034</v>
      </c>
      <c r="D148" s="412">
        <f>IF(G148="","",Input!Q141)</f>
        <v>1.2</v>
      </c>
      <c r="E148" s="412">
        <f>IF(ISERROR(Input!AA141),"",Input!AA141)</f>
        <v>1.2</v>
      </c>
      <c r="F148" s="412">
        <f>IF(E148="","",Input!AQ141)</f>
        <v>0.8102962140161466</v>
      </c>
      <c r="G148" s="413">
        <f t="shared" si="8"/>
        <v>0.22089765633500441</v>
      </c>
      <c r="H148" s="413">
        <f t="shared" si="9"/>
        <v>0.14916044551107829</v>
      </c>
      <c r="I148" s="414">
        <f t="shared" si="10"/>
        <v>18.997876852184874</v>
      </c>
      <c r="J148" s="414">
        <f t="shared" si="10"/>
        <v>17.269180258167612</v>
      </c>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row>
    <row r="149" spans="1:43">
      <c r="A149" s="407">
        <f>Input!B142</f>
        <v>38107</v>
      </c>
      <c r="B149" s="410">
        <f t="shared" si="12"/>
        <v>18</v>
      </c>
      <c r="C149" s="411">
        <f>IF(Input!I142&lt;=0,"",Input!I142)</f>
        <v>0.12965692950090307</v>
      </c>
      <c r="D149" s="412">
        <f>IF(G149="","",Input!Q142)</f>
        <v>1.2</v>
      </c>
      <c r="E149" s="412">
        <f>IF(ISERROR(Input!AA142),"",Input!AA142)</f>
        <v>1.2</v>
      </c>
      <c r="F149" s="412">
        <f>IF(E149="","",Input!AQ142)</f>
        <v>0.8102962140161466</v>
      </c>
      <c r="G149" s="413">
        <f t="shared" si="8"/>
        <v>0.15558831540108367</v>
      </c>
      <c r="H149" s="413">
        <f t="shared" si="9"/>
        <v>0.10506051909554019</v>
      </c>
      <c r="I149" s="414">
        <f t="shared" si="10"/>
        <v>19.153465167585956</v>
      </c>
      <c r="J149" s="414">
        <f t="shared" si="10"/>
        <v>17.374240777263154</v>
      </c>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row>
    <row r="150" spans="1:43">
      <c r="A150" s="407">
        <f>Input!B143</f>
        <v>38108</v>
      </c>
      <c r="B150" s="410">
        <f t="shared" si="12"/>
        <v>18</v>
      </c>
      <c r="C150" s="411">
        <f>IF(Input!I143&lt;=0,"",Input!I143)</f>
        <v>0.1468710709433419</v>
      </c>
      <c r="D150" s="412">
        <f>IF(G150="","",Input!Q143)</f>
        <v>1.2</v>
      </c>
      <c r="E150" s="412">
        <f>IF(ISERROR(Input!AA143),"",Input!AA143)</f>
        <v>1.2</v>
      </c>
      <c r="F150" s="412">
        <f>IF(E150="","",Input!AQ143)</f>
        <v>0.8102962140161466</v>
      </c>
      <c r="G150" s="413">
        <f t="shared" si="8"/>
        <v>0.17624528513201027</v>
      </c>
      <c r="H150" s="413">
        <f t="shared" si="9"/>
        <v>0.11900907273388682</v>
      </c>
      <c r="I150" s="414">
        <f t="shared" si="10"/>
        <v>19.329710452717968</v>
      </c>
      <c r="J150" s="414">
        <f t="shared" si="10"/>
        <v>17.493249849997042</v>
      </c>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row>
    <row r="151" spans="1:43">
      <c r="A151" s="407">
        <f>Input!B144</f>
        <v>38109</v>
      </c>
      <c r="B151" s="410">
        <f t="shared" si="12"/>
        <v>18</v>
      </c>
      <c r="C151" s="411">
        <f>IF(Input!I144&lt;=0,"",Input!I144)</f>
        <v>2.7175793432871416</v>
      </c>
      <c r="D151" s="412">
        <f>IF(G151="","",Input!Q144)</f>
        <v>1.2</v>
      </c>
      <c r="E151" s="412">
        <f>IF(ISERROR(Input!AA144),"",Input!AA144)</f>
        <v>1.2</v>
      </c>
      <c r="F151" s="412">
        <f>IF(E151="","",Input!AQ144)</f>
        <v>0.8102962140161466</v>
      </c>
      <c r="G151" s="413">
        <f t="shared" si="8"/>
        <v>3.26109521194457</v>
      </c>
      <c r="H151" s="413">
        <f t="shared" si="9"/>
        <v>2.2020442531540567</v>
      </c>
      <c r="I151" s="414">
        <f t="shared" si="10"/>
        <v>22.59080566466254</v>
      </c>
      <c r="J151" s="414">
        <f t="shared" si="10"/>
        <v>19.695294103151099</v>
      </c>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row>
    <row r="152" spans="1:43">
      <c r="A152" s="407">
        <f>Input!B145</f>
        <v>38110</v>
      </c>
      <c r="B152" s="410">
        <f t="shared" si="12"/>
        <v>18</v>
      </c>
      <c r="C152" s="411">
        <f>IF(Input!I145&lt;=0,"",Input!I145)</f>
        <v>3.2908053176774832</v>
      </c>
      <c r="D152" s="412">
        <f>IF(G152="","",Input!Q145)</f>
        <v>1.0668798638098937</v>
      </c>
      <c r="E152" s="412">
        <f>IF(ISERROR(Input!AA145),"",Input!AA145)</f>
        <v>1.0668798638098937</v>
      </c>
      <c r="F152" s="412">
        <f>IF(E152="","",Input!AQ145)</f>
        <v>0.8102962140161466</v>
      </c>
      <c r="G152" s="413">
        <f t="shared" si="8"/>
        <v>3.5108939291486272</v>
      </c>
      <c r="H152" s="413">
        <f t="shared" si="9"/>
        <v>2.6665270899782674</v>
      </c>
      <c r="I152" s="414">
        <f t="shared" si="10"/>
        <v>26.101699593811166</v>
      </c>
      <c r="J152" s="414">
        <f t="shared" si="10"/>
        <v>22.361821193129366</v>
      </c>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row>
    <row r="153" spans="1:43">
      <c r="A153" s="407">
        <f>Input!B146</f>
        <v>38111</v>
      </c>
      <c r="B153" s="410">
        <f t="shared" si="12"/>
        <v>18</v>
      </c>
      <c r="C153" s="411">
        <f>IF(Input!I146&lt;=0,"",Input!I146)</f>
        <v>1.9868260661321759</v>
      </c>
      <c r="D153" s="412">
        <f>IF(G153="","",Input!Q146)</f>
        <v>0.92347896741995372</v>
      </c>
      <c r="E153" s="412">
        <f>IF(ISERROR(Input!AA146),"",Input!AA146)</f>
        <v>0.92347896741995372</v>
      </c>
      <c r="F153" s="412">
        <f>IF(E153="","",Input!AQ146)</f>
        <v>0.8102962140161466</v>
      </c>
      <c r="G153" s="413">
        <f t="shared" si="8"/>
        <v>1.8347920839947904</v>
      </c>
      <c r="H153" s="413">
        <f t="shared" si="9"/>
        <v>1.6099176392954964</v>
      </c>
      <c r="I153" s="414">
        <f t="shared" si="10"/>
        <v>27.936491677805957</v>
      </c>
      <c r="J153" s="414">
        <f t="shared" si="10"/>
        <v>23.971738832424862</v>
      </c>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row>
    <row r="154" spans="1:43">
      <c r="A154" s="407">
        <f>Input!B147</f>
        <v>38112</v>
      </c>
      <c r="B154" s="410">
        <f t="shared" si="12"/>
        <v>18</v>
      </c>
      <c r="C154" s="411">
        <f>IF(Input!I147&lt;=0,"",Input!I147)</f>
        <v>2.9434706790229859</v>
      </c>
      <c r="D154" s="412">
        <f>IF(G154="","",Input!Q147)</f>
        <v>0.78753836206299899</v>
      </c>
      <c r="E154" s="412">
        <f>IF(ISERROR(Input!AA147),"",Input!AA147)</f>
        <v>0.78753836206299899</v>
      </c>
      <c r="F154" s="412">
        <f>IF(E154="","",Input!AQ147)</f>
        <v>0.8102962140161466</v>
      </c>
      <c r="G154" s="413">
        <f t="shared" si="8"/>
        <v>2.3180960773382258</v>
      </c>
      <c r="H154" s="413">
        <f t="shared" si="9"/>
        <v>2.3850831472798619</v>
      </c>
      <c r="I154" s="414">
        <f t="shared" si="10"/>
        <v>30.254587755144183</v>
      </c>
      <c r="J154" s="414">
        <f t="shared" si="10"/>
        <v>26.356821979704723</v>
      </c>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row>
    <row r="155" spans="1:43">
      <c r="A155" s="407">
        <f>Input!B148</f>
        <v>38113</v>
      </c>
      <c r="B155" s="410">
        <f t="shared" si="12"/>
        <v>19</v>
      </c>
      <c r="C155" s="411">
        <f>IF(Input!I148&lt;=0,"",Input!I148)</f>
        <v>3.3627214264420116</v>
      </c>
      <c r="D155" s="412">
        <f>IF(G155="","",Input!Q148)</f>
        <v>0.68691257685441853</v>
      </c>
      <c r="E155" s="412">
        <f>IF(ISERROR(Input!AA148),"",Input!AA148)</f>
        <v>0.68691257685441853</v>
      </c>
      <c r="F155" s="412">
        <f>IF(E155="","",Input!AQ148)</f>
        <v>0.8102962140161466</v>
      </c>
      <c r="G155" s="413">
        <f t="shared" si="8"/>
        <v>2.3098956402808484</v>
      </c>
      <c r="H155" s="413">
        <f t="shared" si="9"/>
        <v>2.7248004406369382</v>
      </c>
      <c r="I155" s="414">
        <f t="shared" si="10"/>
        <v>32.564483395425029</v>
      </c>
      <c r="J155" s="414">
        <f t="shared" si="10"/>
        <v>29.08162242034166</v>
      </c>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row>
    <row r="156" spans="1:43">
      <c r="A156" s="407">
        <f>Input!B149</f>
        <v>38114</v>
      </c>
      <c r="B156" s="410">
        <f t="shared" si="12"/>
        <v>19</v>
      </c>
      <c r="C156" s="411">
        <f>IF(Input!I149&lt;=0,"",Input!I149)</f>
        <v>1.8421522137245261</v>
      </c>
      <c r="D156" s="412">
        <f>IF(G156="","",Input!Q149)</f>
        <v>0.64566815223773377</v>
      </c>
      <c r="E156" s="412">
        <f>IF(ISERROR(Input!AA149),"",Input!AA149)</f>
        <v>0.64566815223773377</v>
      </c>
      <c r="F156" s="412">
        <f>IF(E156="","",Input!AQ149)</f>
        <v>0.8102962140161466</v>
      </c>
      <c r="G156" s="413">
        <f t="shared" si="8"/>
        <v>1.1894190159761655</v>
      </c>
      <c r="H156" s="413">
        <f t="shared" si="9"/>
        <v>1.4926889644224468</v>
      </c>
      <c r="I156" s="414">
        <f t="shared" si="10"/>
        <v>33.753902411401192</v>
      </c>
      <c r="J156" s="414">
        <f t="shared" si="10"/>
        <v>30.574311384764105</v>
      </c>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row>
    <row r="157" spans="1:43">
      <c r="A157" s="407">
        <f>Input!B150</f>
        <v>38115</v>
      </c>
      <c r="B157" s="410">
        <f t="shared" si="12"/>
        <v>19</v>
      </c>
      <c r="C157" s="411">
        <f>IF(Input!I150&lt;=0,"",Input!I150)</f>
        <v>1.6487735550847691</v>
      </c>
      <c r="D157" s="412">
        <f>IF(G157="","",Input!Q150)</f>
        <v>0.61433339725239178</v>
      </c>
      <c r="E157" s="412">
        <f>IF(ISERROR(Input!AA150),"",Input!AA150)</f>
        <v>0.61433339725239178</v>
      </c>
      <c r="F157" s="412">
        <f>IF(E157="","",Input!AQ150)</f>
        <v>0.8102962140161466</v>
      </c>
      <c r="G157" s="413">
        <f t="shared" si="8"/>
        <v>1.0128966593951296</v>
      </c>
      <c r="H157" s="413">
        <f t="shared" si="9"/>
        <v>1.335994969455131</v>
      </c>
      <c r="I157" s="414">
        <f t="shared" si="10"/>
        <v>34.766799070796324</v>
      </c>
      <c r="J157" s="414">
        <f t="shared" si="10"/>
        <v>31.910306354219237</v>
      </c>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row>
    <row r="158" spans="1:43">
      <c r="A158" s="407">
        <f>Input!B151</f>
        <v>38116</v>
      </c>
      <c r="B158" s="410">
        <f t="shared" si="12"/>
        <v>19</v>
      </c>
      <c r="C158" s="411">
        <f>IF(Input!I151&lt;=0,"",Input!I151)</f>
        <v>2.9498016282126498</v>
      </c>
      <c r="D158" s="412">
        <f>IF(G158="","",Input!Q151)</f>
        <v>0.56792238279984364</v>
      </c>
      <c r="E158" s="412">
        <f>IF(ISERROR(Input!AA151),"",Input!AA151)</f>
        <v>0.56792238279984364</v>
      </c>
      <c r="F158" s="412">
        <f>IF(E158="","",Input!AQ151)</f>
        <v>0.8102962140161466</v>
      </c>
      <c r="G158" s="413">
        <f t="shared" ref="G158:G221" si="13">IF(E158="","",E158*C158)</f>
        <v>1.6752583694813865</v>
      </c>
      <c r="H158" s="413">
        <f t="shared" ref="H158:H221" si="14">IF(F158="","",F158*C158)</f>
        <v>2.3902130914393749</v>
      </c>
      <c r="I158" s="414">
        <f t="shared" ref="I158:J221" si="15">IF(G158="",0,IF(I157="",G158,I157+G158))</f>
        <v>36.442057440277708</v>
      </c>
      <c r="J158" s="414">
        <f t="shared" si="15"/>
        <v>34.300519445658615</v>
      </c>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row>
    <row r="159" spans="1:43">
      <c r="A159" s="407">
        <f>Input!B152</f>
        <v>38117</v>
      </c>
      <c r="B159" s="410">
        <f t="shared" si="12"/>
        <v>19</v>
      </c>
      <c r="C159" s="411">
        <f>IF(Input!I152&lt;=0,"",Input!I152)</f>
        <v>3.8585248973018555</v>
      </c>
      <c r="D159" s="412">
        <f>IF(G159="","",Input!Q152)</f>
        <v>0.52036023553432464</v>
      </c>
      <c r="E159" s="412">
        <f>IF(ISERROR(Input!AA152),"",Input!AA152)</f>
        <v>0.52036023553432464</v>
      </c>
      <c r="F159" s="412">
        <f>IF(E159="","",Input!AQ152)</f>
        <v>0.8102962140161466</v>
      </c>
      <c r="G159" s="413">
        <f t="shared" si="13"/>
        <v>2.0078229243750494</v>
      </c>
      <c r="H159" s="413">
        <f t="shared" si="14"/>
        <v>3.1265481159707345</v>
      </c>
      <c r="I159" s="414">
        <f t="shared" si="15"/>
        <v>38.449880364652756</v>
      </c>
      <c r="J159" s="414">
        <f t="shared" si="15"/>
        <v>37.42706756162935</v>
      </c>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row>
    <row r="160" spans="1:43">
      <c r="A160" s="407">
        <f>Input!B153</f>
        <v>38118</v>
      </c>
      <c r="B160" s="410">
        <f t="shared" si="12"/>
        <v>19</v>
      </c>
      <c r="C160" s="411">
        <f>IF(Input!I153&lt;=0,"",Input!I153)</f>
        <v>3.672381118675212</v>
      </c>
      <c r="D160" s="412">
        <f>IF(G160="","",Input!Q153)</f>
        <v>0.48450383108008277</v>
      </c>
      <c r="E160" s="412">
        <f>IF(ISERROR(Input!AA153),"",Input!AA153)</f>
        <v>0.48450383108008277</v>
      </c>
      <c r="F160" s="412">
        <f>IF(E160="","",Input!AQ153)</f>
        <v>0.8102962140161466</v>
      </c>
      <c r="G160" s="413">
        <f t="shared" si="13"/>
        <v>1.7792827211843003</v>
      </c>
      <c r="H160" s="413">
        <f t="shared" si="14"/>
        <v>2.9757165168869055</v>
      </c>
      <c r="I160" s="414">
        <f t="shared" si="15"/>
        <v>40.229163085837058</v>
      </c>
      <c r="J160" s="414">
        <f t="shared" si="15"/>
        <v>40.402784078516255</v>
      </c>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row>
    <row r="161" spans="1:43">
      <c r="A161" s="407">
        <f>Input!B154</f>
        <v>38119</v>
      </c>
      <c r="B161" s="410">
        <f t="shared" si="12"/>
        <v>19</v>
      </c>
      <c r="C161" s="411">
        <f>IF(Input!I154&lt;=0,"",Input!I154)</f>
        <v>3.9687784154374723</v>
      </c>
      <c r="D161" s="412">
        <f>IF(G161="","",Input!Q154)</f>
        <v>0.45290128263061408</v>
      </c>
      <c r="E161" s="412">
        <f>IF(ISERROR(Input!AA154),"",Input!AA154)</f>
        <v>0.45290128263061408</v>
      </c>
      <c r="F161" s="412">
        <f>IF(E161="","",Input!AQ154)</f>
        <v>0.8102962140161466</v>
      </c>
      <c r="G161" s="413">
        <f t="shared" si="13"/>
        <v>1.7974648348283273</v>
      </c>
      <c r="H161" s="413">
        <f t="shared" si="14"/>
        <v>3.2158861242979855</v>
      </c>
      <c r="I161" s="414">
        <f t="shared" si="15"/>
        <v>42.026627920665383</v>
      </c>
      <c r="J161" s="414">
        <f t="shared" si="15"/>
        <v>43.618670202814243</v>
      </c>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row>
    <row r="162" spans="1:43">
      <c r="A162" s="407">
        <f>Input!B155</f>
        <v>38120</v>
      </c>
      <c r="B162" s="410">
        <f t="shared" si="12"/>
        <v>20</v>
      </c>
      <c r="C162" s="411">
        <f>IF(Input!I155&lt;=0,"",Input!I155)</f>
        <v>2.7737374970843311</v>
      </c>
      <c r="D162" s="412">
        <f>IF(G162="","",Input!Q155)</f>
        <v>1.2</v>
      </c>
      <c r="E162" s="412">
        <f>IF(ISERROR(Input!AA155),"",Input!AA155)</f>
        <v>1.2</v>
      </c>
      <c r="F162" s="412">
        <f>IF(E162="","",Input!AQ155)</f>
        <v>0.8102962140161466</v>
      </c>
      <c r="G162" s="413">
        <f t="shared" si="13"/>
        <v>3.3284849965011971</v>
      </c>
      <c r="H162" s="413">
        <f t="shared" si="14"/>
        <v>2.2475489925620562</v>
      </c>
      <c r="I162" s="414">
        <f t="shared" si="15"/>
        <v>45.355112917166579</v>
      </c>
      <c r="J162" s="414">
        <f t="shared" si="15"/>
        <v>45.866219195376303</v>
      </c>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row>
    <row r="163" spans="1:43">
      <c r="A163" s="407">
        <f>Input!B156</f>
        <v>38121</v>
      </c>
      <c r="B163" s="410">
        <f t="shared" si="12"/>
        <v>20</v>
      </c>
      <c r="C163" s="411">
        <f>IF(Input!I156&lt;=0,"",Input!I156)</f>
        <v>2.5122717623350574</v>
      </c>
      <c r="D163" s="412">
        <f>IF(G163="","",Input!Q156)</f>
        <v>1.154070925876401</v>
      </c>
      <c r="E163" s="412">
        <f>IF(ISERROR(Input!AA156),"",Input!AA156)</f>
        <v>1.154070925876401</v>
      </c>
      <c r="F163" s="412">
        <f>IF(E163="","",Input!AQ156)</f>
        <v>0.8102962140161466</v>
      </c>
      <c r="G163" s="413">
        <f t="shared" si="13"/>
        <v>2.8993397988111576</v>
      </c>
      <c r="H163" s="413">
        <f t="shared" si="14"/>
        <v>2.0356842975997695</v>
      </c>
      <c r="I163" s="414">
        <f t="shared" si="15"/>
        <v>48.254452715977735</v>
      </c>
      <c r="J163" s="414">
        <f t="shared" si="15"/>
        <v>47.901903492976075</v>
      </c>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row>
    <row r="164" spans="1:43">
      <c r="A164" s="407">
        <f>Input!B157</f>
        <v>38122</v>
      </c>
      <c r="B164" s="410">
        <f t="shared" si="12"/>
        <v>20</v>
      </c>
      <c r="C164" s="411">
        <f>IF(Input!I157&lt;=0,"",Input!I157)</f>
        <v>2.6871893259664557</v>
      </c>
      <c r="D164" s="412">
        <f>IF(G164="","",Input!Q157)</f>
        <v>0.93352100589607068</v>
      </c>
      <c r="E164" s="412">
        <f>IF(ISERROR(Input!AA157),"",Input!AA157)</f>
        <v>0.93352100589607068</v>
      </c>
      <c r="F164" s="412">
        <f>IF(E164="","",Input!AQ157)</f>
        <v>0.8102962140161466</v>
      </c>
      <c r="G164" s="413">
        <f t="shared" si="13"/>
        <v>2.50854768260939</v>
      </c>
      <c r="H164" s="413">
        <f t="shared" si="14"/>
        <v>2.1774193371752197</v>
      </c>
      <c r="I164" s="414">
        <f t="shared" si="15"/>
        <v>50.763000398587124</v>
      </c>
      <c r="J164" s="414">
        <f t="shared" si="15"/>
        <v>50.079322830151298</v>
      </c>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row>
    <row r="165" spans="1:43">
      <c r="A165" s="407">
        <f>Input!B158</f>
        <v>38123</v>
      </c>
      <c r="B165" s="410">
        <f t="shared" ref="B165:B228" si="16">IF(MOD(A164-A$28,7)=0,B164+1,B164)</f>
        <v>20</v>
      </c>
      <c r="C165" s="411">
        <f>IF(Input!I158&lt;=0,"",Input!I158)</f>
        <v>2.6582090288371689</v>
      </c>
      <c r="D165" s="412">
        <f>IF(G165="","",Input!Q158)</f>
        <v>0.80472162016369475</v>
      </c>
      <c r="E165" s="412">
        <f>IF(ISERROR(Input!AA158),"",Input!AA158)</f>
        <v>0.80472162016369475</v>
      </c>
      <c r="F165" s="412">
        <f>IF(E165="","",Input!AQ158)</f>
        <v>0.8102962140161466</v>
      </c>
      <c r="G165" s="413">
        <f t="shared" si="13"/>
        <v>2.1391182764196079</v>
      </c>
      <c r="H165" s="413">
        <f t="shared" si="14"/>
        <v>2.1539367121302959</v>
      </c>
      <c r="I165" s="414">
        <f t="shared" si="15"/>
        <v>52.902118675006733</v>
      </c>
      <c r="J165" s="414">
        <f t="shared" si="15"/>
        <v>52.233259542281594</v>
      </c>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row>
    <row r="166" spans="1:43">
      <c r="A166" s="407">
        <f>Input!B159</f>
        <v>38124</v>
      </c>
      <c r="B166" s="410">
        <f t="shared" si="16"/>
        <v>20</v>
      </c>
      <c r="C166" s="411">
        <f>IF(Input!I159&lt;=0,"",Input!I159)</f>
        <v>2.1669250851470583</v>
      </c>
      <c r="D166" s="412">
        <f>IF(G166="","",Input!Q159)</f>
        <v>0.73126595443168185</v>
      </c>
      <c r="E166" s="412">
        <f>IF(ISERROR(Input!AA159),"",Input!AA159)</f>
        <v>0.73126595443168185</v>
      </c>
      <c r="F166" s="412">
        <f>IF(E166="","",Input!AQ159)</f>
        <v>0.8102962140161466</v>
      </c>
      <c r="G166" s="413">
        <f t="shared" si="13"/>
        <v>1.5845985405720171</v>
      </c>
      <c r="H166" s="413">
        <f t="shared" si="14"/>
        <v>1.7558511925512774</v>
      </c>
      <c r="I166" s="414">
        <f t="shared" si="15"/>
        <v>54.48671721557875</v>
      </c>
      <c r="J166" s="414">
        <f t="shared" si="15"/>
        <v>53.98911073483287</v>
      </c>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row>
    <row r="167" spans="1:43">
      <c r="A167" s="407">
        <f>Input!B160</f>
        <v>38125</v>
      </c>
      <c r="B167" s="410">
        <f t="shared" si="16"/>
        <v>20</v>
      </c>
      <c r="C167" s="411">
        <f>IF(Input!I160&lt;=0,"",Input!I160)</f>
        <v>3.1563511268161637</v>
      </c>
      <c r="D167" s="412">
        <f>IF(G167="","",Input!Q160)</f>
        <v>0.65264376637865895</v>
      </c>
      <c r="E167" s="412">
        <f>IF(ISERROR(Input!AA160),"",Input!AA160)</f>
        <v>0.65264376637865895</v>
      </c>
      <c r="F167" s="412">
        <f>IF(E167="","",Input!AQ160)</f>
        <v>0.8102962140161466</v>
      </c>
      <c r="G167" s="413">
        <f t="shared" si="13"/>
        <v>2.0599728874188252</v>
      </c>
      <c r="H167" s="413">
        <f t="shared" si="14"/>
        <v>2.5575793681647356</v>
      </c>
      <c r="I167" s="414">
        <f t="shared" si="15"/>
        <v>56.546690102997573</v>
      </c>
      <c r="J167" s="414">
        <f t="shared" si="15"/>
        <v>56.546690102997609</v>
      </c>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row>
    <row r="168" spans="1:43">
      <c r="A168" s="407">
        <f>Input!B161</f>
        <v>38126</v>
      </c>
      <c r="B168" s="410">
        <f t="shared" si="16"/>
        <v>20</v>
      </c>
      <c r="C168" s="411">
        <f>IF(Input!I161&lt;=0,"",Input!I161)</f>
        <v>2.2714870024934979</v>
      </c>
      <c r="D168" s="412">
        <f>IF(G168="","",Input!Q161)</f>
        <v>0.60932312588773763</v>
      </c>
      <c r="E168" s="412">
        <f>IF(ISERROR(Input!AA161),"",Input!AA161)</f>
        <v>0.60932312588773763</v>
      </c>
      <c r="F168" s="412">
        <f>IF(E168="","",Input!AQ161)</f>
        <v>0.81612524280243082</v>
      </c>
      <c r="G168" s="413">
        <f t="shared" si="13"/>
        <v>1.3840695607727054</v>
      </c>
      <c r="H168" s="413">
        <f t="shared" si="14"/>
        <v>1.8538178814325716</v>
      </c>
      <c r="I168" s="414">
        <f t="shared" si="15"/>
        <v>57.930759663770282</v>
      </c>
      <c r="J168" s="414">
        <f t="shared" si="15"/>
        <v>58.400507984430178</v>
      </c>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row>
    <row r="169" spans="1:43">
      <c r="A169" s="407">
        <f>Input!B162</f>
        <v>38127</v>
      </c>
      <c r="B169" s="410">
        <f t="shared" si="16"/>
        <v>21</v>
      </c>
      <c r="C169" s="411">
        <f>IF(Input!I162&lt;=0,"",Input!I162)</f>
        <v>2.3149334984040815</v>
      </c>
      <c r="D169" s="412">
        <f>IF(G169="","",Input!Q162)</f>
        <v>0.57286545191622684</v>
      </c>
      <c r="E169" s="412">
        <f>IF(ISERROR(Input!AA162),"",Input!AA162)</f>
        <v>0.57286545191622684</v>
      </c>
      <c r="F169" s="412">
        <f>IF(E169="","",Input!AQ162)</f>
        <v>0.82195427158871504</v>
      </c>
      <c r="G169" s="413">
        <f t="shared" si="13"/>
        <v>1.3261454247192661</v>
      </c>
      <c r="H169" s="413">
        <f t="shared" si="14"/>
        <v>1.9027694774570425</v>
      </c>
      <c r="I169" s="414">
        <f t="shared" si="15"/>
        <v>59.256905088489546</v>
      </c>
      <c r="J169" s="414">
        <f t="shared" si="15"/>
        <v>60.30327746188722</v>
      </c>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row>
    <row r="170" spans="1:43">
      <c r="A170" s="407">
        <f>Input!B163</f>
        <v>38128</v>
      </c>
      <c r="B170" s="410">
        <f t="shared" si="16"/>
        <v>21</v>
      </c>
      <c r="C170" s="411">
        <f>IF(Input!I163&lt;=0,"",Input!I163)</f>
        <v>2.6663210175425371</v>
      </c>
      <c r="D170" s="412">
        <f>IF(G170="","",Input!Q163)</f>
        <v>0.53790179580368924</v>
      </c>
      <c r="E170" s="412">
        <f>IF(ISERROR(Input!AA163),"",Input!AA163)</f>
        <v>0.53790179580368924</v>
      </c>
      <c r="F170" s="412">
        <f>IF(E170="","",Input!AQ163)</f>
        <v>0.82778330037499925</v>
      </c>
      <c r="G170" s="413">
        <f t="shared" si="13"/>
        <v>1.4342188635252506</v>
      </c>
      <c r="H170" s="413">
        <f t="shared" si="14"/>
        <v>2.2071360117605878</v>
      </c>
      <c r="I170" s="414">
        <f t="shared" si="15"/>
        <v>60.691123952014799</v>
      </c>
      <c r="J170" s="414">
        <f t="shared" si="15"/>
        <v>62.510413473647809</v>
      </c>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row>
    <row r="171" spans="1:43">
      <c r="A171" s="407">
        <f>Input!B164</f>
        <v>38129</v>
      </c>
      <c r="B171" s="410">
        <f t="shared" si="16"/>
        <v>21</v>
      </c>
      <c r="C171" s="411">
        <f>IF(Input!I164&lt;=0,"",Input!I164)</f>
        <v>2.0078951527307867</v>
      </c>
      <c r="D171" s="412">
        <f>IF(G171="","",Input!Q164)</f>
        <v>0.51535634623545856</v>
      </c>
      <c r="E171" s="412">
        <f>IF(ISERROR(Input!AA164),"",Input!AA164)</f>
        <v>0.51535634623545856</v>
      </c>
      <c r="F171" s="412">
        <f>IF(E171="","",Input!AQ164)</f>
        <v>0.83361232916128347</v>
      </c>
      <c r="G171" s="413">
        <f t="shared" si="13"/>
        <v>1.0347815095352262</v>
      </c>
      <c r="H171" s="413">
        <f t="shared" si="14"/>
        <v>1.673806154979562</v>
      </c>
      <c r="I171" s="414">
        <f t="shared" si="15"/>
        <v>61.725905461550028</v>
      </c>
      <c r="J171" s="414">
        <f t="shared" si="15"/>
        <v>64.184219628627375</v>
      </c>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row>
    <row r="172" spans="1:43">
      <c r="A172" s="407">
        <f>Input!B165</f>
        <v>38130</v>
      </c>
      <c r="B172" s="410">
        <f t="shared" si="16"/>
        <v>21</v>
      </c>
      <c r="C172" s="411">
        <f>IF(Input!I165&lt;=0,"",Input!I165)</f>
        <v>3.3353746158162507</v>
      </c>
      <c r="D172" s="412">
        <f>IF(G172="","",Input!Q165)</f>
        <v>0.48335731611092797</v>
      </c>
      <c r="E172" s="412">
        <f>IF(ISERROR(Input!AA165),"",Input!AA165)</f>
        <v>0.48335731611092797</v>
      </c>
      <c r="F172" s="412">
        <f>IF(E172="","",Input!AQ165)</f>
        <v>0.83944135794756769</v>
      </c>
      <c r="G172" s="413">
        <f t="shared" si="13"/>
        <v>1.6121777225254605</v>
      </c>
      <c r="H172" s="413">
        <f t="shared" si="14"/>
        <v>2.7998513967646406</v>
      </c>
      <c r="I172" s="414">
        <f t="shared" si="15"/>
        <v>63.338083184075487</v>
      </c>
      <c r="J172" s="414">
        <f t="shared" si="15"/>
        <v>66.984071025392012</v>
      </c>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row>
    <row r="173" spans="1:43">
      <c r="A173" s="407">
        <f>Input!B166</f>
        <v>38131</v>
      </c>
      <c r="B173" s="410">
        <f t="shared" si="16"/>
        <v>21</v>
      </c>
      <c r="C173" s="411">
        <f>IF(Input!I166&lt;=0,"",Input!I166)</f>
        <v>3.6860224665711194</v>
      </c>
      <c r="D173" s="412">
        <f>IF(G173="","",Input!Q166)</f>
        <v>0.45400170760758446</v>
      </c>
      <c r="E173" s="412">
        <f>IF(ISERROR(Input!AA166),"",Input!AA166)</f>
        <v>0.45400170760758446</v>
      </c>
      <c r="F173" s="412">
        <f>IF(E173="","",Input!AQ166)</f>
        <v>0.84527038673385191</v>
      </c>
      <c r="G173" s="413">
        <f t="shared" si="13"/>
        <v>1.6734604941032085</v>
      </c>
      <c r="H173" s="413">
        <f t="shared" si="14"/>
        <v>3.1156856358282368</v>
      </c>
      <c r="I173" s="414">
        <f t="shared" si="15"/>
        <v>65.011543678178697</v>
      </c>
      <c r="J173" s="414">
        <f t="shared" si="15"/>
        <v>70.099756661220255</v>
      </c>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row>
    <row r="174" spans="1:43">
      <c r="A174" s="407">
        <f>Input!B167</f>
        <v>38132</v>
      </c>
      <c r="B174" s="410">
        <f t="shared" si="16"/>
        <v>21</v>
      </c>
      <c r="C174" s="411">
        <f>IF(Input!I167&lt;=0,"",Input!I167)</f>
        <v>3.28904064531531</v>
      </c>
      <c r="D174" s="412">
        <f>IF(G174="","",Input!Q167)</f>
        <v>0.43180347693374954</v>
      </c>
      <c r="E174" s="412">
        <f>IF(ISERROR(Input!AA167),"",Input!AA167)</f>
        <v>0.43180347693374954</v>
      </c>
      <c r="F174" s="412">
        <f>IF(E174="","",Input!AQ167)</f>
        <v>0.85109941552013613</v>
      </c>
      <c r="G174" s="413">
        <f t="shared" si="13"/>
        <v>1.4202191864235743</v>
      </c>
      <c r="H174" s="413">
        <f t="shared" si="14"/>
        <v>2.7993005708498315</v>
      </c>
      <c r="I174" s="414">
        <f t="shared" si="15"/>
        <v>66.431762864602277</v>
      </c>
      <c r="J174" s="414">
        <f t="shared" si="15"/>
        <v>72.899057232070092</v>
      </c>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row>
    <row r="175" spans="1:43">
      <c r="A175" s="407">
        <f>Input!B168</f>
        <v>38133</v>
      </c>
      <c r="B175" s="410">
        <f t="shared" si="16"/>
        <v>21</v>
      </c>
      <c r="C175" s="411">
        <f>IF(Input!I168&lt;=0,"",Input!I168)</f>
        <v>3.2219838024285434</v>
      </c>
      <c r="D175" s="412">
        <f>IF(G175="","",Input!Q168)</f>
        <v>0.41288714767270618</v>
      </c>
      <c r="E175" s="412">
        <f>IF(ISERROR(Input!AA168),"",Input!AA168)</f>
        <v>0.41288714767270618</v>
      </c>
      <c r="F175" s="412">
        <f>IF(E175="","",Input!AQ168)</f>
        <v>0.85692844430642034</v>
      </c>
      <c r="G175" s="413">
        <f t="shared" si="13"/>
        <v>1.3303157020323815</v>
      </c>
      <c r="H175" s="413">
        <f t="shared" si="14"/>
        <v>2.7610095673955763</v>
      </c>
      <c r="I175" s="414">
        <f t="shared" si="15"/>
        <v>67.762078566634656</v>
      </c>
      <c r="J175" s="414">
        <f t="shared" si="15"/>
        <v>75.660066799465667</v>
      </c>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row>
    <row r="176" spans="1:43">
      <c r="A176" s="407">
        <f>Input!B169</f>
        <v>38134</v>
      </c>
      <c r="B176" s="410">
        <f t="shared" si="16"/>
        <v>22</v>
      </c>
      <c r="C176" s="411">
        <f>IF(Input!I169&lt;=0,"",Input!I169)</f>
        <v>2.8444012802599774</v>
      </c>
      <c r="D176" s="412">
        <f>IF(G176="","",Input!Q169)</f>
        <v>0.39806745792385134</v>
      </c>
      <c r="E176" s="412">
        <f>IF(ISERROR(Input!AA169),"",Input!AA169)</f>
        <v>0.39806745792385134</v>
      </c>
      <c r="F176" s="412">
        <f>IF(E176="","",Input!AQ169)</f>
        <v>0.86275747309270456</v>
      </c>
      <c r="G176" s="413">
        <f t="shared" si="13"/>
        <v>1.1322635869484374</v>
      </c>
      <c r="H176" s="413">
        <f t="shared" si="14"/>
        <v>2.4540284610187517</v>
      </c>
      <c r="I176" s="414">
        <f t="shared" si="15"/>
        <v>68.894342153583096</v>
      </c>
      <c r="J176" s="414">
        <f t="shared" si="15"/>
        <v>78.114095260484419</v>
      </c>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row>
    <row r="177" spans="1:43">
      <c r="A177" s="407">
        <f>Input!B170</f>
        <v>38135</v>
      </c>
      <c r="B177" s="410">
        <f t="shared" si="16"/>
        <v>22</v>
      </c>
      <c r="C177" s="411">
        <f>IF(Input!I170&lt;=0,"",Input!I170)</f>
        <v>3.3058542029797064</v>
      </c>
      <c r="D177" s="412">
        <f>IF(G177="","",Input!Q170)</f>
        <v>0.38266380828212304</v>
      </c>
      <c r="E177" s="412">
        <f>IF(ISERROR(Input!AA170),"",Input!AA170)</f>
        <v>0.40238095238095228</v>
      </c>
      <c r="F177" s="412">
        <f>IF(E177="","",Input!AQ170)</f>
        <v>0.86858650187898878</v>
      </c>
      <c r="G177" s="413">
        <f t="shared" si="13"/>
        <v>1.3302127626275482</v>
      </c>
      <c r="H177" s="413">
        <f t="shared" si="14"/>
        <v>2.8714203378880958</v>
      </c>
      <c r="I177" s="414">
        <f t="shared" si="15"/>
        <v>70.22455491621065</v>
      </c>
      <c r="J177" s="414">
        <f t="shared" si="15"/>
        <v>80.985515598372515</v>
      </c>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row>
    <row r="178" spans="1:43">
      <c r="A178" s="407">
        <f>Input!B171</f>
        <v>38136</v>
      </c>
      <c r="B178" s="410">
        <f t="shared" si="16"/>
        <v>22</v>
      </c>
      <c r="C178" s="411">
        <f>IF(Input!I171&lt;=0,"",Input!I171)</f>
        <v>4.038093828748214</v>
      </c>
      <c r="D178" s="412">
        <f>IF(G178="","",Input!Q171)</f>
        <v>0.36603094165114475</v>
      </c>
      <c r="E178" s="412">
        <f>IF(ISERROR(Input!AA171),"",Input!AA171)</f>
        <v>0.42261904761904751</v>
      </c>
      <c r="F178" s="412">
        <f>IF(E178="","",Input!AQ171)</f>
        <v>0.874415530665273</v>
      </c>
      <c r="G178" s="413">
        <f t="shared" si="13"/>
        <v>1.7065753681019233</v>
      </c>
      <c r="H178" s="413">
        <f t="shared" si="14"/>
        <v>3.5309719581410337</v>
      </c>
      <c r="I178" s="414">
        <f t="shared" si="15"/>
        <v>71.931130284312573</v>
      </c>
      <c r="J178" s="414">
        <f t="shared" si="15"/>
        <v>84.516487556513553</v>
      </c>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row>
    <row r="179" spans="1:43">
      <c r="A179" s="407">
        <f>Input!B172</f>
        <v>38137</v>
      </c>
      <c r="B179" s="410">
        <f t="shared" si="16"/>
        <v>22</v>
      </c>
      <c r="C179" s="411">
        <f>IF(Input!I172&lt;=0,"",Input!I172)</f>
        <v>3.6071849907178821</v>
      </c>
      <c r="D179" s="412">
        <f>IF(G179="","",Input!Q172)</f>
        <v>0.3528414981278617</v>
      </c>
      <c r="E179" s="412">
        <f>IF(ISERROR(Input!AA172),"",Input!AA172)</f>
        <v>0.44285714285714273</v>
      </c>
      <c r="F179" s="412">
        <f>IF(E179="","",Input!AQ172)</f>
        <v>0.88024455945155722</v>
      </c>
      <c r="G179" s="413">
        <f t="shared" si="13"/>
        <v>1.5974676387464901</v>
      </c>
      <c r="H179" s="413">
        <f t="shared" si="14"/>
        <v>3.1752049630147319</v>
      </c>
      <c r="I179" s="414">
        <f t="shared" si="15"/>
        <v>73.528597923059067</v>
      </c>
      <c r="J179" s="414">
        <f t="shared" si="15"/>
        <v>87.691692519528289</v>
      </c>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row>
    <row r="180" spans="1:43">
      <c r="A180" s="407">
        <f>Input!B173</f>
        <v>38138</v>
      </c>
      <c r="B180" s="410">
        <f t="shared" si="16"/>
        <v>22</v>
      </c>
      <c r="C180" s="411">
        <f>IF(Input!I173&lt;=0,"",Input!I173)</f>
        <v>3.9641089845261237</v>
      </c>
      <c r="D180" s="412">
        <f>IF(G180="","",Input!Q173)</f>
        <v>0.33984447756457165</v>
      </c>
      <c r="E180" s="412">
        <f>IF(ISERROR(Input!AA173),"",Input!AA173)</f>
        <v>0.46309523809523795</v>
      </c>
      <c r="F180" s="412">
        <f>IF(E180="","",Input!AQ173)</f>
        <v>0.88607358823784144</v>
      </c>
      <c r="G180" s="413">
        <f t="shared" si="13"/>
        <v>1.8357599940245972</v>
      </c>
      <c r="H180" s="413">
        <f t="shared" si="14"/>
        <v>3.5124922720849283</v>
      </c>
      <c r="I180" s="414">
        <f t="shared" si="15"/>
        <v>75.364357917083666</v>
      </c>
      <c r="J180" s="414">
        <f t="shared" si="15"/>
        <v>91.204184791613216</v>
      </c>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row>
    <row r="181" spans="1:43">
      <c r="A181" s="407">
        <f>Input!B174</f>
        <v>38139</v>
      </c>
      <c r="B181" s="410">
        <f t="shared" si="16"/>
        <v>22</v>
      </c>
      <c r="C181" s="411">
        <f>IF(Input!I174&lt;=0,"",Input!I174)</f>
        <v>4.342203995140836</v>
      </c>
      <c r="D181" s="412">
        <f>IF(G181="","",Input!Q174)</f>
        <v>0.32710678946778371</v>
      </c>
      <c r="E181" s="412">
        <f>IF(ISERROR(Input!AA174),"",Input!AA174)</f>
        <v>0.48333333333333317</v>
      </c>
      <c r="F181" s="412">
        <f>IF(E181="","",Input!AQ174)</f>
        <v>0.89190261702412565</v>
      </c>
      <c r="G181" s="413">
        <f t="shared" si="13"/>
        <v>2.0987319309847368</v>
      </c>
      <c r="H181" s="413">
        <f t="shared" si="14"/>
        <v>3.8728231069187253</v>
      </c>
      <c r="I181" s="414">
        <f t="shared" si="15"/>
        <v>77.463089848068407</v>
      </c>
      <c r="J181" s="414">
        <f t="shared" si="15"/>
        <v>95.077007898531946</v>
      </c>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row>
    <row r="182" spans="1:43">
      <c r="A182" s="407">
        <f>Input!B175</f>
        <v>38140</v>
      </c>
      <c r="B182" s="410">
        <f t="shared" si="16"/>
        <v>22</v>
      </c>
      <c r="C182" s="411">
        <f>IF(Input!I175&lt;=0,"",Input!I175)</f>
        <v>3.9718550288769805</v>
      </c>
      <c r="D182" s="412">
        <f>IF(G182="","",Input!Q175)</f>
        <v>0.31660637515065854</v>
      </c>
      <c r="E182" s="412">
        <f>IF(ISERROR(Input!AA175),"",Input!AA175)</f>
        <v>0.50357142857142845</v>
      </c>
      <c r="F182" s="412">
        <f>IF(E182="","",Input!AQ175)</f>
        <v>0.89773164581040987</v>
      </c>
      <c r="G182" s="413">
        <f t="shared" si="13"/>
        <v>2.0001127109701931</v>
      </c>
      <c r="H182" s="413">
        <f t="shared" si="14"/>
        <v>3.5656599519940846</v>
      </c>
      <c r="I182" s="414">
        <f t="shared" si="15"/>
        <v>79.463202559038606</v>
      </c>
      <c r="J182" s="414">
        <f t="shared" si="15"/>
        <v>98.642667850526024</v>
      </c>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row>
    <row r="183" spans="1:43">
      <c r="A183" s="407">
        <f>Input!B176</f>
        <v>38141</v>
      </c>
      <c r="B183" s="410">
        <f t="shared" si="16"/>
        <v>23</v>
      </c>
      <c r="C183" s="411">
        <f>IF(Input!I176&lt;=0,"",Input!I176)</f>
        <v>4.7508185916955172</v>
      </c>
      <c r="D183" s="412">
        <f>IF(G183="","",Input!Q176)</f>
        <v>0.30525969344097004</v>
      </c>
      <c r="E183" s="412">
        <f>IF(ISERROR(Input!AA176),"",Input!AA176)</f>
        <v>0.52380952380952372</v>
      </c>
      <c r="F183" s="412">
        <f>IF(E183="","",Input!AQ176)</f>
        <v>0.90356067459669409</v>
      </c>
      <c r="G183" s="413">
        <f t="shared" si="13"/>
        <v>2.4885240242214608</v>
      </c>
      <c r="H183" s="413">
        <f t="shared" si="14"/>
        <v>4.292652851598918</v>
      </c>
      <c r="I183" s="414">
        <f t="shared" si="15"/>
        <v>81.951726583260069</v>
      </c>
      <c r="J183" s="414">
        <f t="shared" si="15"/>
        <v>102.93532070212494</v>
      </c>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row>
    <row r="184" spans="1:43">
      <c r="A184" s="407">
        <f>Input!B177</f>
        <v>38142</v>
      </c>
      <c r="B184" s="410">
        <f t="shared" si="16"/>
        <v>23</v>
      </c>
      <c r="C184" s="411">
        <f>IF(Input!I177&lt;=0,"",Input!I177)</f>
        <v>3.9279677078967485</v>
      </c>
      <c r="D184" s="412">
        <f>IF(G184="","",Input!Q177)</f>
        <v>0.29673005456743906</v>
      </c>
      <c r="E184" s="412">
        <f>IF(ISERROR(Input!AA177),"",Input!AA177)</f>
        <v>0.544047619047619</v>
      </c>
      <c r="F184" s="412">
        <f>IF(E184="","",Input!AQ177)</f>
        <v>0.90938970338297831</v>
      </c>
      <c r="G184" s="413">
        <f t="shared" si="13"/>
        <v>2.1370014791771594</v>
      </c>
      <c r="H184" s="413">
        <f t="shared" si="14"/>
        <v>3.5720533887821415</v>
      </c>
      <c r="I184" s="414">
        <f t="shared" si="15"/>
        <v>84.088728062437227</v>
      </c>
      <c r="J184" s="414">
        <f t="shared" si="15"/>
        <v>106.50737409090708</v>
      </c>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row>
    <row r="185" spans="1:43">
      <c r="A185" s="407">
        <f>Input!B178</f>
        <v>38143</v>
      </c>
      <c r="B185" s="410">
        <f t="shared" si="16"/>
        <v>23</v>
      </c>
      <c r="C185" s="411">
        <f>IF(Input!I178&lt;=0,"",Input!I178)</f>
        <v>3.6238138037089076</v>
      </c>
      <c r="D185" s="412">
        <f>IF(G185="","",Input!Q178)</f>
        <v>0.28945201136159576</v>
      </c>
      <c r="E185" s="412">
        <f>IF(ISERROR(Input!AA178),"",Input!AA178)</f>
        <v>0.56428571428571428</v>
      </c>
      <c r="F185" s="412">
        <f>IF(E185="","",Input!AQ178)</f>
        <v>0.91521873216926253</v>
      </c>
      <c r="G185" s="413">
        <f t="shared" si="13"/>
        <v>2.044866360664312</v>
      </c>
      <c r="H185" s="413">
        <f t="shared" si="14"/>
        <v>3.316582275047939</v>
      </c>
      <c r="I185" s="414">
        <f t="shared" si="15"/>
        <v>86.133594423101542</v>
      </c>
      <c r="J185" s="414">
        <f t="shared" si="15"/>
        <v>109.82395636595501</v>
      </c>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row>
    <row r="186" spans="1:43">
      <c r="A186" s="407">
        <f>Input!B179</f>
        <v>38144</v>
      </c>
      <c r="B186" s="410">
        <f t="shared" si="16"/>
        <v>23</v>
      </c>
      <c r="C186" s="411">
        <f>IF(Input!I179&lt;=0,"",Input!I179)</f>
        <v>4.1290757913512</v>
      </c>
      <c r="D186" s="412">
        <f>IF(G186="","",Input!Q179)</f>
        <v>0.28176629546315574</v>
      </c>
      <c r="E186" s="412">
        <f>IF(ISERROR(Input!AA179),"",Input!AA179)</f>
        <v>0.58452380952380956</v>
      </c>
      <c r="F186" s="412">
        <f>IF(E186="","",Input!AQ179)</f>
        <v>0.92104776095554675</v>
      </c>
      <c r="G186" s="413">
        <f t="shared" si="13"/>
        <v>2.413543111373142</v>
      </c>
      <c r="H186" s="413">
        <f t="shared" si="14"/>
        <v>3.8030760124397749</v>
      </c>
      <c r="I186" s="414">
        <f t="shared" si="15"/>
        <v>88.547137534474686</v>
      </c>
      <c r="J186" s="414">
        <f t="shared" si="15"/>
        <v>113.62703237839479</v>
      </c>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row>
    <row r="187" spans="1:43">
      <c r="A187" s="407">
        <f>Input!B180</f>
        <v>38145</v>
      </c>
      <c r="B187" s="410">
        <f t="shared" si="16"/>
        <v>23</v>
      </c>
      <c r="C187" s="411">
        <f>IF(Input!I180&lt;=0,"",Input!I180)</f>
        <v>4.4462286753676405</v>
      </c>
      <c r="D187" s="412">
        <f>IF(G187="","",Input!Q180)</f>
        <v>0.27412592177024614</v>
      </c>
      <c r="E187" s="412">
        <f>IF(ISERROR(Input!AA180),"",Input!AA180)</f>
        <v>0.60476190476190483</v>
      </c>
      <c r="F187" s="412">
        <f>IF(E187="","",Input!AQ180)</f>
        <v>0.92687678974183096</v>
      </c>
      <c r="G187" s="413">
        <f t="shared" si="13"/>
        <v>2.6889097227223355</v>
      </c>
      <c r="H187" s="413">
        <f t="shared" si="14"/>
        <v>4.1211061610828326</v>
      </c>
      <c r="I187" s="414">
        <f t="shared" si="15"/>
        <v>91.236047257197015</v>
      </c>
      <c r="J187" s="414">
        <f t="shared" si="15"/>
        <v>117.74813853947762</v>
      </c>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row>
    <row r="188" spans="1:43">
      <c r="A188" s="407">
        <f>Input!B181</f>
        <v>38146</v>
      </c>
      <c r="B188" s="410">
        <f t="shared" si="16"/>
        <v>23</v>
      </c>
      <c r="C188" s="411">
        <f>IF(Input!I181&lt;=0,"",Input!I181)</f>
        <v>4.3562374293007231</v>
      </c>
      <c r="D188" s="412">
        <f>IF(G188="","",Input!Q181)</f>
        <v>0.26720157085103119</v>
      </c>
      <c r="E188" s="412">
        <f>IF(ISERROR(Input!AA181),"",Input!AA181)</f>
        <v>0.62500000000000011</v>
      </c>
      <c r="F188" s="412">
        <f>IF(E188="","",Input!AQ181)</f>
        <v>0.93270581852811518</v>
      </c>
      <c r="G188" s="413">
        <f t="shared" si="13"/>
        <v>2.7226483933129524</v>
      </c>
      <c r="H188" s="413">
        <f t="shared" si="14"/>
        <v>4.0630879971987435</v>
      </c>
      <c r="I188" s="414">
        <f t="shared" si="15"/>
        <v>93.958695650509966</v>
      </c>
      <c r="J188" s="414">
        <f t="shared" si="15"/>
        <v>121.81122653667637</v>
      </c>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row>
    <row r="189" spans="1:43">
      <c r="A189" s="407">
        <f>Input!B182</f>
        <v>38147</v>
      </c>
      <c r="B189" s="410">
        <f t="shared" si="16"/>
        <v>23</v>
      </c>
      <c r="C189" s="411">
        <f>IF(Input!I182&lt;=0,"",Input!I182)</f>
        <v>4.1459186279255205</v>
      </c>
      <c r="D189" s="412">
        <f>IF(G189="","",Input!Q182)</f>
        <v>0.26106740996520228</v>
      </c>
      <c r="E189" s="412">
        <f>IF(ISERROR(Input!AA182),"",Input!AA182)</f>
        <v>0.64523809523809539</v>
      </c>
      <c r="F189" s="412">
        <f>IF(E189="","",Input!AQ182)</f>
        <v>0.9385348473143994</v>
      </c>
      <c r="G189" s="413">
        <f t="shared" si="13"/>
        <v>2.6751046384948007</v>
      </c>
      <c r="H189" s="413">
        <f t="shared" si="14"/>
        <v>3.8910891064380024</v>
      </c>
      <c r="I189" s="414">
        <f t="shared" si="15"/>
        <v>96.633800289004768</v>
      </c>
      <c r="J189" s="414">
        <f t="shared" si="15"/>
        <v>125.70231564311437</v>
      </c>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row>
    <row r="190" spans="1:43">
      <c r="A190" s="407">
        <f>Input!B183</f>
        <v>38148</v>
      </c>
      <c r="B190" s="410">
        <f t="shared" si="16"/>
        <v>24</v>
      </c>
      <c r="C190" s="411">
        <f>IF(Input!I183&lt;=0,"",Input!I183)</f>
        <v>4.411672347114922</v>
      </c>
      <c r="D190" s="412">
        <f>IF(G190="","",Input!Q183)</f>
        <v>0.25497410228495532</v>
      </c>
      <c r="E190" s="412">
        <f>IF(ISERROR(Input!AA183),"",Input!AA183)</f>
        <v>0.66547619047619067</v>
      </c>
      <c r="F190" s="412">
        <f>IF(E190="","",Input!AQ183)</f>
        <v>0.94436387610068362</v>
      </c>
      <c r="G190" s="413">
        <f t="shared" si="13"/>
        <v>2.9358629071871931</v>
      </c>
      <c r="H190" s="413">
        <f t="shared" si="14"/>
        <v>4.1662239978076485</v>
      </c>
      <c r="I190" s="414">
        <f t="shared" si="15"/>
        <v>99.569663196191954</v>
      </c>
      <c r="J190" s="414">
        <f t="shared" si="15"/>
        <v>129.86853964092202</v>
      </c>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row>
    <row r="191" spans="1:43">
      <c r="A191" s="407">
        <f>Input!B184</f>
        <v>38149</v>
      </c>
      <c r="B191" s="410">
        <f t="shared" si="16"/>
        <v>24</v>
      </c>
      <c r="C191" s="411">
        <f>IF(Input!I184&lt;=0,"",Input!I184)</f>
        <v>4.3849772680391643</v>
      </c>
      <c r="D191" s="412">
        <f>IF(G191="","",Input!Q184)</f>
        <v>0.24931391225934901</v>
      </c>
      <c r="E191" s="412">
        <f>IF(ISERROR(Input!AA184),"",Input!AA184)</f>
        <v>0.68571428571428594</v>
      </c>
      <c r="F191" s="412">
        <f>IF(E191="","",Input!AQ184)</f>
        <v>0.95019290488696784</v>
      </c>
      <c r="G191" s="413">
        <f t="shared" si="13"/>
        <v>3.0068415552268566</v>
      </c>
      <c r="H191" s="413">
        <f t="shared" si="14"/>
        <v>4.1665742881814536</v>
      </c>
      <c r="I191" s="414">
        <f t="shared" si="15"/>
        <v>102.57650475141881</v>
      </c>
      <c r="J191" s="414">
        <f t="shared" si="15"/>
        <v>134.03511392910349</v>
      </c>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row>
    <row r="192" spans="1:43">
      <c r="A192" s="407">
        <f>Input!B185</f>
        <v>38150</v>
      </c>
      <c r="B192" s="410">
        <f t="shared" si="16"/>
        <v>24</v>
      </c>
      <c r="C192" s="411">
        <f>IF(Input!I185&lt;=0,"",Input!I185)</f>
        <v>3.8091930190969734</v>
      </c>
      <c r="D192" s="412">
        <f>IF(G192="","",Input!Q185)</f>
        <v>0.24468555043668466</v>
      </c>
      <c r="E192" s="412">
        <f>IF(ISERROR(Input!AA185),"",Input!AA185)</f>
        <v>0.70595238095238122</v>
      </c>
      <c r="F192" s="412">
        <f>IF(E192="","",Input!AQ185)</f>
        <v>0.95602193367325206</v>
      </c>
      <c r="G192" s="413">
        <f t="shared" si="13"/>
        <v>2.6891088813386976</v>
      </c>
      <c r="H192" s="413">
        <f t="shared" si="14"/>
        <v>3.6416720758517416</v>
      </c>
      <c r="I192" s="414">
        <f t="shared" si="15"/>
        <v>105.26561363275751</v>
      </c>
      <c r="J192" s="414">
        <f t="shared" si="15"/>
        <v>137.67678600495523</v>
      </c>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row>
    <row r="193" spans="1:43">
      <c r="A193" s="407">
        <f>Input!B186</f>
        <v>38151</v>
      </c>
      <c r="B193" s="410">
        <f t="shared" si="16"/>
        <v>24</v>
      </c>
      <c r="C193" s="411">
        <f>IF(Input!I186&lt;=0,"",Input!I186)</f>
        <v>4.0988775716802071</v>
      </c>
      <c r="D193" s="412">
        <f>IF(G193="","",Input!Q186)</f>
        <v>0.23997679560559929</v>
      </c>
      <c r="E193" s="412">
        <f>IF(ISERROR(Input!AA186),"",Input!AA186)</f>
        <v>0.7261904761904765</v>
      </c>
      <c r="F193" s="412">
        <f>IF(E193="","",Input!AQ186)</f>
        <v>0.96185096245953627</v>
      </c>
      <c r="G193" s="413">
        <f t="shared" si="13"/>
        <v>2.9765658556249135</v>
      </c>
      <c r="H193" s="413">
        <f t="shared" si="14"/>
        <v>3.942509337324414</v>
      </c>
      <c r="I193" s="414">
        <f t="shared" si="15"/>
        <v>108.24217948838242</v>
      </c>
      <c r="J193" s="414">
        <f t="shared" si="15"/>
        <v>141.61929534227966</v>
      </c>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row>
    <row r="194" spans="1:43">
      <c r="A194" s="407">
        <f>Input!B187</f>
        <v>38152</v>
      </c>
      <c r="B194" s="410">
        <f t="shared" si="16"/>
        <v>24</v>
      </c>
      <c r="C194" s="411">
        <f>IF(Input!I187&lt;=0,"",Input!I187)</f>
        <v>4.1796010570230111</v>
      </c>
      <c r="D194" s="412">
        <f>IF(G194="","",Input!Q187)</f>
        <v>0.23543945142778899</v>
      </c>
      <c r="E194" s="412">
        <f>IF(ISERROR(Input!AA187),"",Input!AA187)</f>
        <v>0.74642857142857177</v>
      </c>
      <c r="F194" s="412">
        <f>IF(E194="","",Input!AQ187)</f>
        <v>0.96767999124582049</v>
      </c>
      <c r="G194" s="413">
        <f t="shared" si="13"/>
        <v>3.1197736461350347</v>
      </c>
      <c r="H194" s="413">
        <f t="shared" si="14"/>
        <v>4.0445163142710499</v>
      </c>
      <c r="I194" s="414">
        <f t="shared" si="15"/>
        <v>111.36195313451745</v>
      </c>
      <c r="J194" s="414">
        <f t="shared" si="15"/>
        <v>145.66381165655071</v>
      </c>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row>
    <row r="195" spans="1:43">
      <c r="A195" s="407">
        <f>Input!B188</f>
        <v>38153</v>
      </c>
      <c r="B195" s="410">
        <f t="shared" si="16"/>
        <v>24</v>
      </c>
      <c r="C195" s="411">
        <f>IF(Input!I188&lt;=0,"",Input!I188)</f>
        <v>3.089182056521572</v>
      </c>
      <c r="D195" s="412">
        <f>IF(G195="","",Input!Q188)</f>
        <v>0.23224334373123465</v>
      </c>
      <c r="E195" s="412">
        <f>IF(ISERROR(Input!AA188),"",Input!AA188)</f>
        <v>0.76666666666666705</v>
      </c>
      <c r="F195" s="412">
        <f>IF(E195="","",Input!AQ188)</f>
        <v>0.97350902003210471</v>
      </c>
      <c r="G195" s="413">
        <f t="shared" si="13"/>
        <v>2.3683729099998732</v>
      </c>
      <c r="H195" s="413">
        <f t="shared" si="14"/>
        <v>3.0073465965450774</v>
      </c>
      <c r="I195" s="414">
        <f t="shared" si="15"/>
        <v>113.73032604451733</v>
      </c>
      <c r="J195" s="414">
        <f t="shared" si="15"/>
        <v>148.6711582530958</v>
      </c>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row>
    <row r="196" spans="1:43">
      <c r="A196" s="407">
        <f>Input!B189</f>
        <v>38154</v>
      </c>
      <c r="B196" s="410">
        <f t="shared" si="16"/>
        <v>24</v>
      </c>
      <c r="C196" s="411">
        <f>IF(Input!I189&lt;=0,"",Input!I189)</f>
        <v>3.6056847789219049</v>
      </c>
      <c r="D196" s="412">
        <f>IF(G196="","",Input!Q189)</f>
        <v>0.22866938876054976</v>
      </c>
      <c r="E196" s="412">
        <f>IF(ISERROR(Input!AA189),"",Input!AA189)</f>
        <v>0.78690476190476233</v>
      </c>
      <c r="F196" s="412">
        <f>IF(E196="","",Input!AQ189)</f>
        <v>0.97933804881838893</v>
      </c>
      <c r="G196" s="413">
        <f t="shared" si="13"/>
        <v>2.8373305224611673</v>
      </c>
      <c r="H196" s="413">
        <f t="shared" si="14"/>
        <v>3.5311842960435422</v>
      </c>
      <c r="I196" s="414">
        <f t="shared" si="15"/>
        <v>116.5676565669785</v>
      </c>
      <c r="J196" s="414">
        <f t="shared" si="15"/>
        <v>152.20234254913933</v>
      </c>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row>
    <row r="197" spans="1:43">
      <c r="A197" s="407">
        <f>Input!B190</f>
        <v>38155</v>
      </c>
      <c r="B197" s="410">
        <f t="shared" si="16"/>
        <v>25</v>
      </c>
      <c r="C197" s="411">
        <f>IF(Input!I190&lt;=0,"",Input!I190)</f>
        <v>3.7174724563255186</v>
      </c>
      <c r="D197" s="412">
        <f>IF(G197="","",Input!Q190)</f>
        <v>0.22514879129494822</v>
      </c>
      <c r="E197" s="412">
        <f>IF(ISERROR(Input!AA190),"",Input!AA190)</f>
        <v>0.80714285714285761</v>
      </c>
      <c r="F197" s="412">
        <f>IF(E197="","",Input!AQ190)</f>
        <v>0.98516707760467315</v>
      </c>
      <c r="G197" s="413">
        <f t="shared" si="13"/>
        <v>3.0005313397484561</v>
      </c>
      <c r="H197" s="413">
        <f t="shared" si="14"/>
        <v>3.662331475874077</v>
      </c>
      <c r="I197" s="414">
        <f t="shared" si="15"/>
        <v>119.56818790672696</v>
      </c>
      <c r="J197" s="414">
        <f t="shared" si="15"/>
        <v>155.86467402501341</v>
      </c>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row>
    <row r="198" spans="1:43">
      <c r="A198" s="407">
        <f>Input!B191</f>
        <v>38156</v>
      </c>
      <c r="B198" s="410">
        <f t="shared" si="16"/>
        <v>25</v>
      </c>
      <c r="C198" s="411">
        <f>IF(Input!I191&lt;=0,"",Input!I191)</f>
        <v>4.2638464795477748</v>
      </c>
      <c r="D198" s="412">
        <f>IF(G198="","",Input!Q191)</f>
        <v>0.22130048212665185</v>
      </c>
      <c r="E198" s="412">
        <f>IF(ISERROR(Input!AA191),"",Input!AA191)</f>
        <v>0.82738095238095288</v>
      </c>
      <c r="F198" s="412">
        <f>IF(E198="","",Input!AQ191)</f>
        <v>0.99099610639095737</v>
      </c>
      <c r="G198" s="413">
        <f t="shared" si="13"/>
        <v>3.5278253610544112</v>
      </c>
      <c r="H198" s="413">
        <f t="shared" si="14"/>
        <v>4.2254552594806354</v>
      </c>
      <c r="I198" s="414">
        <f t="shared" si="15"/>
        <v>123.09601326778137</v>
      </c>
      <c r="J198" s="414">
        <f t="shared" si="15"/>
        <v>160.09012928449405</v>
      </c>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row>
    <row r="199" spans="1:43">
      <c r="A199" s="407">
        <f>Input!B192</f>
        <v>38157</v>
      </c>
      <c r="B199" s="410">
        <f t="shared" si="16"/>
        <v>25</v>
      </c>
      <c r="C199" s="411">
        <f>IF(Input!I192&lt;=0,"",Input!I192)</f>
        <v>4.3448768618195519</v>
      </c>
      <c r="D199" s="412">
        <f>IF(G199="","",Input!Q192)</f>
        <v>0.21757136953814696</v>
      </c>
      <c r="E199" s="412">
        <f>IF(ISERROR(Input!AA192),"",Input!AA192)</f>
        <v>0.84761904761904816</v>
      </c>
      <c r="F199" s="412">
        <f>IF(E199="","",Input!AQ192)</f>
        <v>0.99682513517724158</v>
      </c>
      <c r="G199" s="413">
        <f t="shared" si="13"/>
        <v>3.6828003876375273</v>
      </c>
      <c r="H199" s="413">
        <f t="shared" si="14"/>
        <v>4.3310824651117441</v>
      </c>
      <c r="I199" s="414">
        <f t="shared" si="15"/>
        <v>126.7788136554189</v>
      </c>
      <c r="J199" s="414">
        <f t="shared" si="15"/>
        <v>164.42121174960579</v>
      </c>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row>
    <row r="200" spans="1:43">
      <c r="A200" s="407">
        <f>Input!B193</f>
        <v>38158</v>
      </c>
      <c r="B200" s="410">
        <f t="shared" si="16"/>
        <v>25</v>
      </c>
      <c r="C200" s="411">
        <f>IF(Input!I193&lt;=0,"",Input!I193)</f>
        <v>4.2189462561948528</v>
      </c>
      <c r="D200" s="412">
        <f>IF(G200="","",Input!Q193)</f>
        <v>0.21412156224438375</v>
      </c>
      <c r="E200" s="412">
        <f>IF(ISERROR(Input!AA193),"",Input!AA193)</f>
        <v>0.86785714285714344</v>
      </c>
      <c r="F200" s="412">
        <f>IF(E200="","",Input!AQ193)</f>
        <v>1.0026541639635258</v>
      </c>
      <c r="G200" s="413">
        <f t="shared" si="13"/>
        <v>3.661442643769107</v>
      </c>
      <c r="H200" s="413">
        <f t="shared" si="14"/>
        <v>4.230144031312097</v>
      </c>
      <c r="I200" s="414">
        <f t="shared" si="15"/>
        <v>130.44025629918801</v>
      </c>
      <c r="J200" s="414">
        <f t="shared" si="15"/>
        <v>168.6513557809179</v>
      </c>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row>
    <row r="201" spans="1:43">
      <c r="A201" s="407">
        <f>Input!B194</f>
        <v>38159</v>
      </c>
      <c r="B201" s="410">
        <f t="shared" si="16"/>
        <v>25</v>
      </c>
      <c r="C201" s="411">
        <f>IF(Input!I194&lt;=0,"",Input!I194)</f>
        <v>4.815483037784154</v>
      </c>
      <c r="D201" s="412">
        <f>IF(G201="","",Input!Q194)</f>
        <v>0.21037385260207994</v>
      </c>
      <c r="E201" s="412">
        <f>IF(ISERROR(Input!AA194),"",Input!AA194)</f>
        <v>1.2</v>
      </c>
      <c r="F201" s="412">
        <f>IF(E201="","",Input!AQ194)</f>
        <v>1.0084831927498099</v>
      </c>
      <c r="G201" s="413">
        <f t="shared" si="13"/>
        <v>5.7785796453409848</v>
      </c>
      <c r="H201" s="413">
        <f t="shared" si="14"/>
        <v>4.8563337085771172</v>
      </c>
      <c r="I201" s="414">
        <f t="shared" si="15"/>
        <v>136.21883594452899</v>
      </c>
      <c r="J201" s="414">
        <f t="shared" si="15"/>
        <v>173.50768948949502</v>
      </c>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row>
    <row r="202" spans="1:43">
      <c r="A202" s="407">
        <f>Input!B195</f>
        <v>38160</v>
      </c>
      <c r="B202" s="410">
        <f t="shared" si="16"/>
        <v>25</v>
      </c>
      <c r="C202" s="411">
        <f>IF(Input!I195&lt;=0,"",Input!I195)</f>
        <v>5.2090818304770883</v>
      </c>
      <c r="D202" s="412">
        <f>IF(G202="","",Input!Q195)</f>
        <v>0.20652923018687364</v>
      </c>
      <c r="E202" s="412">
        <f>IF(ISERROR(Input!AA195),"",Input!AA195)</f>
        <v>0.90833333333333399</v>
      </c>
      <c r="F202" s="412">
        <f>IF(E202="","",Input!AQ195)</f>
        <v>1.014312221536094</v>
      </c>
      <c r="G202" s="413">
        <f t="shared" si="13"/>
        <v>4.7315826626833584</v>
      </c>
      <c r="H202" s="413">
        <f t="shared" si="14"/>
        <v>5.2836353636345184</v>
      </c>
      <c r="I202" s="414">
        <f t="shared" si="15"/>
        <v>140.95041860721236</v>
      </c>
      <c r="J202" s="414">
        <f t="shared" si="15"/>
        <v>178.79132485312954</v>
      </c>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row>
    <row r="203" spans="1:43">
      <c r="A203" s="407">
        <f>Input!B196</f>
        <v>38161</v>
      </c>
      <c r="B203" s="410">
        <f t="shared" si="16"/>
        <v>25</v>
      </c>
      <c r="C203" s="411">
        <f>IF(Input!I196&lt;=0,"",Input!I196)</f>
        <v>4.2242359034504471</v>
      </c>
      <c r="D203" s="412">
        <f>IF(G203="","",Input!Q196)</f>
        <v>0.20355867627549726</v>
      </c>
      <c r="E203" s="412">
        <f>IF(ISERROR(Input!AA196),"",Input!AA196)</f>
        <v>0.92857142857142927</v>
      </c>
      <c r="F203" s="412">
        <f>IF(E203="","",Input!AQ196)</f>
        <v>1.0201412503223781</v>
      </c>
      <c r="G203" s="413">
        <f t="shared" si="13"/>
        <v>3.9225047674897038</v>
      </c>
      <c r="H203" s="413">
        <f t="shared" si="14"/>
        <v>4.3093172962026198</v>
      </c>
      <c r="I203" s="414">
        <f t="shared" si="15"/>
        <v>144.87292337470205</v>
      </c>
      <c r="J203" s="414">
        <f t="shared" si="15"/>
        <v>183.10064214933215</v>
      </c>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row>
    <row r="204" spans="1:43">
      <c r="A204" s="407">
        <f>Input!B197</f>
        <v>38162</v>
      </c>
      <c r="B204" s="410">
        <f t="shared" si="16"/>
        <v>26</v>
      </c>
      <c r="C204" s="411">
        <f>IF(Input!I197&lt;=0,"",Input!I197)</f>
        <v>3.6770090379365259</v>
      </c>
      <c r="D204" s="412">
        <f>IF(G204="","",Input!Q197)</f>
        <v>0.20107265572040134</v>
      </c>
      <c r="E204" s="412">
        <f>IF(ISERROR(Input!AA197),"",Input!AA197)</f>
        <v>0.94880952380952455</v>
      </c>
      <c r="F204" s="412">
        <f>IF(E204="","",Input!AQ197)</f>
        <v>1.0259702791086622</v>
      </c>
      <c r="G204" s="413">
        <f t="shared" si="13"/>
        <v>3.4887811943278733</v>
      </c>
      <c r="H204" s="413">
        <f t="shared" si="14"/>
        <v>3.7725019889368112</v>
      </c>
      <c r="I204" s="414">
        <f t="shared" si="15"/>
        <v>148.36170456902994</v>
      </c>
      <c r="J204" s="414">
        <f t="shared" si="15"/>
        <v>186.87314413826897</v>
      </c>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row>
    <row r="205" spans="1:43">
      <c r="A205" s="407">
        <f>Input!B198</f>
        <v>38163</v>
      </c>
      <c r="B205" s="410">
        <f t="shared" si="16"/>
        <v>26</v>
      </c>
      <c r="C205" s="411">
        <f>IF(Input!I198&lt;=0,"",Input!I198)</f>
        <v>4.9307354305868794</v>
      </c>
      <c r="D205" s="412">
        <f>IF(G205="","",Input!Q198)</f>
        <v>0.19787487019455571</v>
      </c>
      <c r="E205" s="412">
        <f>IF(ISERROR(Input!AA198),"",Input!AA198)</f>
        <v>0.96904761904761982</v>
      </c>
      <c r="F205" s="412">
        <f>IF(E205="","",Input!AQ198)</f>
        <v>1.0317993078949463</v>
      </c>
      <c r="G205" s="413">
        <f t="shared" si="13"/>
        <v>4.7781174291639559</v>
      </c>
      <c r="H205" s="413">
        <f t="shared" si="14"/>
        <v>5.0875294046926323</v>
      </c>
      <c r="I205" s="414">
        <f t="shared" si="15"/>
        <v>153.1398219981939</v>
      </c>
      <c r="J205" s="414">
        <f t="shared" si="15"/>
        <v>191.96067354296162</v>
      </c>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row>
    <row r="206" spans="1:43">
      <c r="A206" s="407">
        <f>Input!B199</f>
        <v>38164</v>
      </c>
      <c r="B206" s="410">
        <f t="shared" si="16"/>
        <v>26</v>
      </c>
      <c r="C206" s="411">
        <f>IF(Input!I199&lt;=0,"",Input!I199)</f>
        <v>4.4419396786312708</v>
      </c>
      <c r="D206" s="412">
        <f>IF(G206="","",Input!Q199)</f>
        <v>0.19511850813398712</v>
      </c>
      <c r="E206" s="412">
        <f>IF(ISERROR(Input!AA199),"",Input!AA199)</f>
        <v>0.9892857142857151</v>
      </c>
      <c r="F206" s="412">
        <f>IF(E206="","",Input!AQ199)</f>
        <v>1.0376283366812304</v>
      </c>
      <c r="G206" s="413">
        <f t="shared" si="13"/>
        <v>4.3943474677887968</v>
      </c>
      <c r="H206" s="413">
        <f t="shared" si="14"/>
        <v>4.6090824803765251</v>
      </c>
      <c r="I206" s="414">
        <f t="shared" si="15"/>
        <v>157.5341694659827</v>
      </c>
      <c r="J206" s="414">
        <f t="shared" si="15"/>
        <v>196.56975602333813</v>
      </c>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row>
    <row r="207" spans="1:43">
      <c r="A207" s="407">
        <f>Input!B200</f>
        <v>38165</v>
      </c>
      <c r="B207" s="410">
        <f t="shared" si="16"/>
        <v>26</v>
      </c>
      <c r="C207" s="411">
        <f>IF(Input!I200&lt;=0,"",Input!I200)</f>
        <v>3.9969408725133637</v>
      </c>
      <c r="D207" s="412">
        <f>IF(G207="","",Input!Q200)</f>
        <v>0.19273237731476053</v>
      </c>
      <c r="E207" s="412">
        <f>IF(ISERROR(Input!AA200),"",Input!AA200)</f>
        <v>1.0095238095238104</v>
      </c>
      <c r="F207" s="412">
        <f>IF(E207="","",Input!AQ200)</f>
        <v>1.0434573654675146</v>
      </c>
      <c r="G207" s="413">
        <f t="shared" si="13"/>
        <v>4.0350069760611138</v>
      </c>
      <c r="H207" s="413">
        <f t="shared" si="14"/>
        <v>4.1706373927622238</v>
      </c>
      <c r="I207" s="414">
        <f t="shared" si="15"/>
        <v>161.56917644204381</v>
      </c>
      <c r="J207" s="414">
        <f t="shared" si="15"/>
        <v>200.74039341610035</v>
      </c>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row>
    <row r="208" spans="1:43">
      <c r="A208" s="407">
        <f>Input!B201</f>
        <v>38166</v>
      </c>
      <c r="B208" s="410">
        <f t="shared" si="16"/>
        <v>26</v>
      </c>
      <c r="C208" s="411">
        <f>IF(Input!I201&lt;=0,"",Input!I201)</f>
        <v>3.6508180022650345</v>
      </c>
      <c r="D208" s="412">
        <f>IF(G208="","",Input!Q201)</f>
        <v>0.19062618489896585</v>
      </c>
      <c r="E208" s="412">
        <f>IF(ISERROR(Input!AA201),"",Input!AA201)</f>
        <v>1.0297619047619055</v>
      </c>
      <c r="F208" s="412">
        <f>IF(E208="","",Input!AQ201)</f>
        <v>1.0492863942537987</v>
      </c>
      <c r="G208" s="413">
        <f t="shared" si="13"/>
        <v>3.7594732999514968</v>
      </c>
      <c r="H208" s="413">
        <f t="shared" si="14"/>
        <v>3.8307536576735348</v>
      </c>
      <c r="I208" s="414">
        <f t="shared" si="15"/>
        <v>165.32864974199532</v>
      </c>
      <c r="J208" s="414">
        <f t="shared" si="15"/>
        <v>204.57114707377389</v>
      </c>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row>
    <row r="209" spans="1:43">
      <c r="A209" s="407">
        <f>Input!B202</f>
        <v>38167</v>
      </c>
      <c r="B209" s="410">
        <f t="shared" si="16"/>
        <v>26</v>
      </c>
      <c r="C209" s="411">
        <f>IF(Input!I202&lt;=0,"",Input!I202)</f>
        <v>5.0784150259928538</v>
      </c>
      <c r="D209" s="412">
        <f>IF(G209="","",Input!Q202)</f>
        <v>0.18780578222167701</v>
      </c>
      <c r="E209" s="412">
        <f>IF(ISERROR(Input!AA202),"",Input!AA202)</f>
        <v>1.0500000000000007</v>
      </c>
      <c r="F209" s="412">
        <f>IF(E209="","",Input!AQ202)</f>
        <v>1.0551154230400821</v>
      </c>
      <c r="G209" s="413">
        <f t="shared" si="13"/>
        <v>5.3323357772925002</v>
      </c>
      <c r="H209" s="413">
        <f t="shared" si="14"/>
        <v>5.3583140185235596</v>
      </c>
      <c r="I209" s="414">
        <f t="shared" si="15"/>
        <v>170.66098551928783</v>
      </c>
      <c r="J209" s="414">
        <f t="shared" si="15"/>
        <v>209.92946109229746</v>
      </c>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row>
    <row r="210" spans="1:43">
      <c r="A210" s="407">
        <f>Input!B203</f>
        <v>38168</v>
      </c>
      <c r="B210" s="410">
        <f t="shared" si="16"/>
        <v>26</v>
      </c>
      <c r="C210" s="411">
        <f>IF(Input!I203&lt;=0,"",Input!I203)</f>
        <v>5.1603088288052135</v>
      </c>
      <c r="D210" s="412">
        <f>IF(G210="","",Input!Q203)</f>
        <v>0.18506193675206847</v>
      </c>
      <c r="E210" s="412">
        <f>IF(ISERROR(Input!AA203),"",Input!AA203)</f>
        <v>1.0500000000000007</v>
      </c>
      <c r="F210" s="412">
        <f>IF(E210="","",Input!AQ203)</f>
        <v>1.0551154230400821</v>
      </c>
      <c r="G210" s="413">
        <f t="shared" si="13"/>
        <v>5.4183242702454777</v>
      </c>
      <c r="H210" s="413">
        <f t="shared" si="14"/>
        <v>5.4447214329222833</v>
      </c>
      <c r="I210" s="414">
        <f t="shared" si="15"/>
        <v>176.07930978953331</v>
      </c>
      <c r="J210" s="414">
        <f t="shared" si="15"/>
        <v>215.37418252521974</v>
      </c>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row>
    <row r="211" spans="1:43">
      <c r="A211" s="407">
        <f>Input!B204</f>
        <v>38169</v>
      </c>
      <c r="B211" s="410">
        <f t="shared" si="16"/>
        <v>27</v>
      </c>
      <c r="C211" s="411">
        <f>IF(Input!I204&lt;=0,"",Input!I204)</f>
        <v>5.3632519936455187</v>
      </c>
      <c r="D211" s="412">
        <f>IF(G211="","",Input!Q204)</f>
        <v>0.18233145507011891</v>
      </c>
      <c r="E211" s="412">
        <f>IF(ISERROR(Input!AA204),"",Input!AA204)</f>
        <v>1.0500000000000007</v>
      </c>
      <c r="F211" s="412">
        <f>IF(E211="","",Input!AQ204)</f>
        <v>1.0551154230400821</v>
      </c>
      <c r="G211" s="413">
        <f t="shared" si="13"/>
        <v>5.6314145933277988</v>
      </c>
      <c r="H211" s="413">
        <f t="shared" si="14"/>
        <v>5.6588498961458553</v>
      </c>
      <c r="I211" s="414">
        <f t="shared" si="15"/>
        <v>181.71072438286112</v>
      </c>
      <c r="J211" s="414">
        <f t="shared" si="15"/>
        <v>221.03303242136559</v>
      </c>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row>
    <row r="212" spans="1:43">
      <c r="A212" s="407">
        <f>Input!B205</f>
        <v>38170</v>
      </c>
      <c r="B212" s="410">
        <f t="shared" si="16"/>
        <v>27</v>
      </c>
      <c r="C212" s="411">
        <f>IF(Input!I205&lt;=0,"",Input!I205)</f>
        <v>5.5388845439925944</v>
      </c>
      <c r="D212" s="412">
        <f>IF(G212="","",Input!Q205)</f>
        <v>0.17963225456947426</v>
      </c>
      <c r="E212" s="412">
        <f>IF(ISERROR(Input!AA205),"",Input!AA205)</f>
        <v>1.0500000000000007</v>
      </c>
      <c r="F212" s="412">
        <f>IF(E212="","",Input!AQ205)</f>
        <v>1.0551154230400821</v>
      </c>
      <c r="G212" s="413">
        <f t="shared" si="13"/>
        <v>5.8158287711922281</v>
      </c>
      <c r="H212" s="413">
        <f t="shared" si="14"/>
        <v>5.8441625088049189</v>
      </c>
      <c r="I212" s="414">
        <f t="shared" si="15"/>
        <v>187.52655315405335</v>
      </c>
      <c r="J212" s="414">
        <f t="shared" si="15"/>
        <v>226.8771949301705</v>
      </c>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row>
    <row r="213" spans="1:43">
      <c r="A213" s="407">
        <f>Input!B206</f>
        <v>38171</v>
      </c>
      <c r="B213" s="410">
        <f t="shared" si="16"/>
        <v>27</v>
      </c>
      <c r="C213" s="411">
        <f>IF(Input!I206&lt;=0,"",Input!I206)</f>
        <v>5.0489004426417008</v>
      </c>
      <c r="D213" s="412">
        <f>IF(G213="","",Input!Q206)</f>
        <v>0.17727146722900947</v>
      </c>
      <c r="E213" s="412">
        <f>IF(ISERROR(Input!AA206),"",Input!AA206)</f>
        <v>1.0500000000000007</v>
      </c>
      <c r="F213" s="412">
        <f>IF(E213="","",Input!AQ206)</f>
        <v>1.0551154230400821</v>
      </c>
      <c r="G213" s="413">
        <f t="shared" si="13"/>
        <v>5.3013454647737897</v>
      </c>
      <c r="H213" s="413">
        <f t="shared" si="14"/>
        <v>5.3271727264251556</v>
      </c>
      <c r="I213" s="414">
        <f t="shared" si="15"/>
        <v>192.82789861882713</v>
      </c>
      <c r="J213" s="414">
        <f t="shared" si="15"/>
        <v>232.20436765659565</v>
      </c>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row>
    <row r="214" spans="1:43">
      <c r="A214" s="407">
        <f>Input!B207</f>
        <v>38172</v>
      </c>
      <c r="B214" s="410">
        <f t="shared" si="16"/>
        <v>27</v>
      </c>
      <c r="C214" s="411">
        <f>IF(Input!I207&lt;=0,"",Input!I207)</f>
        <v>5.1819685613911384</v>
      </c>
      <c r="D214" s="412">
        <f>IF(G214="","",Input!Q207)</f>
        <v>0.1749408467502018</v>
      </c>
      <c r="E214" s="412">
        <f>IF(ISERROR(Input!AA207),"",Input!AA207)</f>
        <v>1.0500000000000007</v>
      </c>
      <c r="F214" s="412">
        <f>IF(E214="","",Input!AQ207)</f>
        <v>1.0551154230400821</v>
      </c>
      <c r="G214" s="413">
        <f t="shared" si="13"/>
        <v>5.4410669894606993</v>
      </c>
      <c r="H214" s="413">
        <f t="shared" si="14"/>
        <v>5.467574950832617</v>
      </c>
      <c r="I214" s="414">
        <f t="shared" si="15"/>
        <v>198.26896560828783</v>
      </c>
      <c r="J214" s="414">
        <f t="shared" si="15"/>
        <v>237.67194260742826</v>
      </c>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row>
    <row r="215" spans="1:43">
      <c r="A215" s="407">
        <f>Input!B208</f>
        <v>38173</v>
      </c>
      <c r="B215" s="410">
        <f t="shared" si="16"/>
        <v>27</v>
      </c>
      <c r="C215" s="411">
        <f>IF(Input!I208&lt;=0,"",Input!I208)</f>
        <v>3.4769314126585869</v>
      </c>
      <c r="D215" s="412">
        <f>IF(G215="","",Input!Q208)</f>
        <v>0.17342662815905818</v>
      </c>
      <c r="E215" s="412">
        <f>IF(ISERROR(Input!AA208),"",Input!AA208)</f>
        <v>1.0500000000000007</v>
      </c>
      <c r="F215" s="412">
        <f>IF(E215="","",Input!AQ208)</f>
        <v>1.0551154230400821</v>
      </c>
      <c r="G215" s="413">
        <f t="shared" si="13"/>
        <v>3.6507779832915186</v>
      </c>
      <c r="H215" s="413">
        <f t="shared" si="14"/>
        <v>3.6685639583486149</v>
      </c>
      <c r="I215" s="414">
        <f t="shared" si="15"/>
        <v>201.91974359157933</v>
      </c>
      <c r="J215" s="414">
        <f t="shared" si="15"/>
        <v>241.34050656577688</v>
      </c>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row>
    <row r="216" spans="1:43">
      <c r="A216" s="407">
        <f>Input!B209</f>
        <v>38174</v>
      </c>
      <c r="B216" s="410">
        <f t="shared" si="16"/>
        <v>27</v>
      </c>
      <c r="C216" s="411">
        <f>IF(Input!I209&lt;=0,"",Input!I209)</f>
        <v>3.3390863812371721</v>
      </c>
      <c r="D216" s="412">
        <f>IF(G216="","",Input!Q209)</f>
        <v>1.2</v>
      </c>
      <c r="E216" s="412">
        <f>IF(ISERROR(Input!AA209),"",Input!AA209)</f>
        <v>1.2</v>
      </c>
      <c r="F216" s="412">
        <f>IF(E216="","",Input!AQ209)</f>
        <v>1.0551154230400821</v>
      </c>
      <c r="G216" s="413">
        <f t="shared" si="13"/>
        <v>4.0069036574846066</v>
      </c>
      <c r="H216" s="413">
        <f t="shared" si="14"/>
        <v>3.5231215397064357</v>
      </c>
      <c r="I216" s="414">
        <f t="shared" si="15"/>
        <v>205.92664724906393</v>
      </c>
      <c r="J216" s="414">
        <f t="shared" si="15"/>
        <v>244.86362810548331</v>
      </c>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row>
    <row r="217" spans="1:43">
      <c r="A217" s="407">
        <f>Input!B210</f>
        <v>38175</v>
      </c>
      <c r="B217" s="410">
        <f t="shared" si="16"/>
        <v>27</v>
      </c>
      <c r="C217" s="411">
        <f>IF(Input!I210&lt;=0,"",Input!I210)</f>
        <v>4.4509781454770909</v>
      </c>
      <c r="D217" s="412">
        <f>IF(G217="","",Input!Q210)</f>
        <v>0.94478137284922836</v>
      </c>
      <c r="E217" s="412">
        <f>IF(ISERROR(Input!AA210),"",Input!AA210)</f>
        <v>1.0500000000000007</v>
      </c>
      <c r="F217" s="412">
        <f>IF(E217="","",Input!AQ210)</f>
        <v>1.0551154230400821</v>
      </c>
      <c r="G217" s="413">
        <f t="shared" si="13"/>
        <v>4.6735270527509485</v>
      </c>
      <c r="H217" s="413">
        <f t="shared" si="14"/>
        <v>4.6962956889072212</v>
      </c>
      <c r="I217" s="414">
        <f t="shared" si="15"/>
        <v>210.60017430181489</v>
      </c>
      <c r="J217" s="414">
        <f t="shared" si="15"/>
        <v>249.55992379439053</v>
      </c>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row>
    <row r="218" spans="1:43">
      <c r="A218" s="407">
        <f>Input!B211</f>
        <v>38176</v>
      </c>
      <c r="B218" s="410">
        <f t="shared" si="16"/>
        <v>28</v>
      </c>
      <c r="C218" s="411">
        <f>IF(Input!I211&lt;=0,"",Input!I211)</f>
        <v>4.4175903643995147</v>
      </c>
      <c r="D218" s="412">
        <f>IF(G218="","",Input!Q211)</f>
        <v>0.74931472832037815</v>
      </c>
      <c r="E218" s="412">
        <f>IF(ISERROR(Input!AA211),"",Input!AA211)</f>
        <v>1.0500000000000007</v>
      </c>
      <c r="F218" s="412">
        <f>IF(E218="","",Input!AQ211)</f>
        <v>1.0551154230400821</v>
      </c>
      <c r="G218" s="413">
        <f t="shared" si="13"/>
        <v>4.6384698826194937</v>
      </c>
      <c r="H218" s="413">
        <f t="shared" si="14"/>
        <v>4.6610677261511846</v>
      </c>
      <c r="I218" s="414">
        <f t="shared" si="15"/>
        <v>215.23864418443438</v>
      </c>
      <c r="J218" s="414">
        <f t="shared" si="15"/>
        <v>254.2209915205417</v>
      </c>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row>
    <row r="219" spans="1:43">
      <c r="A219" s="407">
        <f>Input!B212</f>
        <v>38177</v>
      </c>
      <c r="B219" s="410">
        <f t="shared" si="16"/>
        <v>28</v>
      </c>
      <c r="C219" s="411">
        <f>IF(Input!I212&lt;=0,"",Input!I212)</f>
        <v>4.7621015055229519</v>
      </c>
      <c r="D219" s="412">
        <f>IF(G219="","",Input!Q212)</f>
        <v>0.63219912859381167</v>
      </c>
      <c r="E219" s="412">
        <f>IF(ISERROR(Input!AA212),"",Input!AA212)</f>
        <v>1.0500000000000007</v>
      </c>
      <c r="F219" s="412">
        <f>IF(E219="","",Input!AQ212)</f>
        <v>1.0551154230400821</v>
      </c>
      <c r="G219" s="413">
        <f t="shared" si="13"/>
        <v>5.0002065807991025</v>
      </c>
      <c r="H219" s="413">
        <f t="shared" si="14"/>
        <v>5.0245667445596611</v>
      </c>
      <c r="I219" s="414">
        <f t="shared" si="15"/>
        <v>220.23885076523348</v>
      </c>
      <c r="J219" s="414">
        <f t="shared" si="15"/>
        <v>259.24555826510135</v>
      </c>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row>
    <row r="220" spans="1:43">
      <c r="A220" s="407">
        <f>Input!B213</f>
        <v>38178</v>
      </c>
      <c r="B220" s="410">
        <f t="shared" si="16"/>
        <v>28</v>
      </c>
      <c r="C220" s="411">
        <f>IF(Input!I213&lt;=0,"",Input!I213)</f>
        <v>4.8331833809099534</v>
      </c>
      <c r="D220" s="412">
        <f>IF(G220="","",Input!Q213)</f>
        <v>0.55551109598408521</v>
      </c>
      <c r="E220" s="412">
        <f>IF(ISERROR(Input!AA213),"",Input!AA213)</f>
        <v>1.0500000000000007</v>
      </c>
      <c r="F220" s="412">
        <f>IF(E220="","",Input!AQ213)</f>
        <v>1.0551154230400821</v>
      </c>
      <c r="G220" s="413">
        <f t="shared" si="13"/>
        <v>5.0748425499554548</v>
      </c>
      <c r="H220" s="413">
        <f t="shared" si="14"/>
        <v>5.0995663275791001</v>
      </c>
      <c r="I220" s="414">
        <f t="shared" si="15"/>
        <v>225.31369331518894</v>
      </c>
      <c r="J220" s="414">
        <f t="shared" si="15"/>
        <v>264.34512459268046</v>
      </c>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row>
    <row r="221" spans="1:43">
      <c r="A221" s="407">
        <f>Input!B214</f>
        <v>38179</v>
      </c>
      <c r="B221" s="410">
        <f t="shared" si="16"/>
        <v>28</v>
      </c>
      <c r="C221" s="411">
        <f>IF(Input!I214&lt;=0,"",Input!I214)</f>
        <v>5.1474550835259034</v>
      </c>
      <c r="D221" s="412">
        <f>IF(G221="","",Input!Q214)</f>
        <v>0.4979605044186447</v>
      </c>
      <c r="E221" s="412">
        <f>IF(ISERROR(Input!AA214),"",Input!AA214)</f>
        <v>1.0500000000000007</v>
      </c>
      <c r="F221" s="412">
        <f>IF(E221="","",Input!AQ214)</f>
        <v>1.0551154230400821</v>
      </c>
      <c r="G221" s="413">
        <f t="shared" si="13"/>
        <v>5.4048278377022019</v>
      </c>
      <c r="H221" s="413">
        <f t="shared" si="14"/>
        <v>5.4311592480342545</v>
      </c>
      <c r="I221" s="414">
        <f t="shared" si="15"/>
        <v>230.71852115289116</v>
      </c>
      <c r="J221" s="414">
        <f t="shared" si="15"/>
        <v>269.77628384071471</v>
      </c>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row>
    <row r="222" spans="1:43">
      <c r="A222" s="407">
        <f>Input!B215</f>
        <v>38180</v>
      </c>
      <c r="B222" s="410">
        <f t="shared" si="16"/>
        <v>28</v>
      </c>
      <c r="C222" s="411">
        <f>IF(Input!I215&lt;=0,"",Input!I215)</f>
        <v>4.4444365747997825</v>
      </c>
      <c r="D222" s="412">
        <f>IF(G222="","",Input!Q215)</f>
        <v>0.46024353669543</v>
      </c>
      <c r="E222" s="412">
        <f>IF(ISERROR(Input!AA215),"",Input!AA215)</f>
        <v>1.0500000000000007</v>
      </c>
      <c r="F222" s="412">
        <f>IF(E222="","",Input!AQ215)</f>
        <v>1.0551154230400821</v>
      </c>
      <c r="G222" s="413">
        <f t="shared" ref="G222:G285" si="17">IF(E222="","",E222*C222)</f>
        <v>4.6666584035397749</v>
      </c>
      <c r="H222" s="413">
        <f t="shared" ref="H222:H285" si="18">IF(F222="","",F222*C222)</f>
        <v>4.6893935767946857</v>
      </c>
      <c r="I222" s="414">
        <f t="shared" ref="I222:J285" si="19">IF(G222="",0,IF(I221="",G222,I221+G222))</f>
        <v>235.38517955643093</v>
      </c>
      <c r="J222" s="414">
        <f t="shared" si="19"/>
        <v>274.46567741750937</v>
      </c>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row>
    <row r="223" spans="1:43">
      <c r="A223" s="407">
        <f>Input!B216</f>
        <v>38181</v>
      </c>
      <c r="B223" s="410">
        <f t="shared" si="16"/>
        <v>28</v>
      </c>
      <c r="C223" s="411">
        <f>IF(Input!I216&lt;=0,"",Input!I216)</f>
        <v>4.154374970844211</v>
      </c>
      <c r="D223" s="412">
        <f>IF(G223="","",Input!Q216)</f>
        <v>0.43165648806859297</v>
      </c>
      <c r="E223" s="412">
        <f>IF(ISERROR(Input!AA216),"",Input!AA216)</f>
        <v>1.0500000000000007</v>
      </c>
      <c r="F223" s="412">
        <f>IF(E223="","",Input!AQ216)</f>
        <v>1.0551154230400821</v>
      </c>
      <c r="G223" s="413">
        <f t="shared" si="17"/>
        <v>4.3620937193864249</v>
      </c>
      <c r="H223" s="413">
        <f t="shared" si="18"/>
        <v>4.3833451048294183</v>
      </c>
      <c r="I223" s="414">
        <f t="shared" si="19"/>
        <v>239.74727327581735</v>
      </c>
      <c r="J223" s="414">
        <f t="shared" si="19"/>
        <v>278.84902252233877</v>
      </c>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row>
    <row r="224" spans="1:43">
      <c r="A224" s="407">
        <f>Input!B217</f>
        <v>38182</v>
      </c>
      <c r="B224" s="410">
        <f t="shared" si="16"/>
        <v>28</v>
      </c>
      <c r="C224" s="411">
        <f>IF(Input!I217&lt;=0,"",Input!I217)</f>
        <v>4.3856695518355373</v>
      </c>
      <c r="D224" s="412">
        <f>IF(G224="","",Input!Q217)</f>
        <v>0.40650762786053624</v>
      </c>
      <c r="E224" s="412">
        <f>IF(ISERROR(Input!AA217),"",Input!AA217)</f>
        <v>1.0500000000000007</v>
      </c>
      <c r="F224" s="412">
        <f>IF(E224="","",Input!AQ217)</f>
        <v>1.0551154230400821</v>
      </c>
      <c r="G224" s="413">
        <f t="shared" si="17"/>
        <v>4.6049530294273175</v>
      </c>
      <c r="H224" s="413">
        <f t="shared" si="18"/>
        <v>4.62738758449896</v>
      </c>
      <c r="I224" s="414">
        <f t="shared" si="19"/>
        <v>244.35222630524467</v>
      </c>
      <c r="J224" s="414">
        <f t="shared" si="19"/>
        <v>283.4764101068377</v>
      </c>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row>
    <row r="225" spans="1:43">
      <c r="A225" s="407">
        <f>Input!B218</f>
        <v>38183</v>
      </c>
      <c r="B225" s="410">
        <f t="shared" si="16"/>
        <v>29</v>
      </c>
      <c r="C225" s="411">
        <f>IF(Input!I218&lt;=0,"",Input!I218)</f>
        <v>4.3782405218811054</v>
      </c>
      <c r="D225" s="412">
        <f>IF(G225="","",Input!Q218)</f>
        <v>0.38526170533750487</v>
      </c>
      <c r="E225" s="412">
        <f>IF(ISERROR(Input!AA218),"",Input!AA218)</f>
        <v>1.0500000000000007</v>
      </c>
      <c r="F225" s="412">
        <f>IF(E225="","",Input!AQ218)</f>
        <v>1.0551154230400821</v>
      </c>
      <c r="G225" s="413">
        <f t="shared" si="17"/>
        <v>4.5971525479751634</v>
      </c>
      <c r="H225" s="413">
        <f t="shared" si="18"/>
        <v>4.6195491004158127</v>
      </c>
      <c r="I225" s="414">
        <f t="shared" si="19"/>
        <v>248.94937885321983</v>
      </c>
      <c r="J225" s="414">
        <f t="shared" si="19"/>
        <v>288.09595920725354</v>
      </c>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row>
    <row r="226" spans="1:43">
      <c r="A226" s="407">
        <f>Input!B219</f>
        <v>38184</v>
      </c>
      <c r="B226" s="410">
        <f t="shared" si="16"/>
        <v>29</v>
      </c>
      <c r="C226" s="411">
        <f>IF(Input!I219&lt;=0,"",Input!I219)</f>
        <v>4.6146636278569044</v>
      </c>
      <c r="D226" s="412">
        <f>IF(G226="","",Input!Q219)</f>
        <v>0.36606302350823255</v>
      </c>
      <c r="E226" s="412">
        <f>IF(ISERROR(Input!AA219),"",Input!AA219)</f>
        <v>1.0500000000000007</v>
      </c>
      <c r="F226" s="412">
        <f>IF(E226="","",Input!AQ219)</f>
        <v>1.0551154230400821</v>
      </c>
      <c r="G226" s="413">
        <f t="shared" si="17"/>
        <v>4.8453968092497526</v>
      </c>
      <c r="H226" s="413">
        <f t="shared" si="18"/>
        <v>4.8690027658939181</v>
      </c>
      <c r="I226" s="414">
        <f t="shared" si="19"/>
        <v>253.79477566246959</v>
      </c>
      <c r="J226" s="414">
        <f t="shared" si="19"/>
        <v>292.96496197314747</v>
      </c>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row>
    <row r="227" spans="1:43">
      <c r="A227" s="407">
        <f>Input!B220</f>
        <v>38185</v>
      </c>
      <c r="B227" s="410">
        <f t="shared" si="16"/>
        <v>29</v>
      </c>
      <c r="C227" s="411">
        <f>IF(Input!I220&lt;=0,"",Input!I220)</f>
        <v>4.4565907017106809</v>
      </c>
      <c r="D227" s="412">
        <f>IF(G227="","",Input!Q220)</f>
        <v>0.34996194077143877</v>
      </c>
      <c r="E227" s="412">
        <f>IF(ISERROR(Input!AA220),"",Input!AA220)</f>
        <v>1.0500000000000007</v>
      </c>
      <c r="F227" s="412">
        <f>IF(E227="","",Input!AQ220)</f>
        <v>1.0551154230400821</v>
      </c>
      <c r="G227" s="413">
        <f t="shared" si="17"/>
        <v>4.6794202367962185</v>
      </c>
      <c r="H227" s="413">
        <f t="shared" si="18"/>
        <v>4.7022175835519615</v>
      </c>
      <c r="I227" s="414">
        <f t="shared" si="19"/>
        <v>258.47419589926579</v>
      </c>
      <c r="J227" s="414">
        <f t="shared" si="19"/>
        <v>297.66717955669941</v>
      </c>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row>
    <row r="228" spans="1:43">
      <c r="A228" s="407">
        <f>Input!B221</f>
        <v>38186</v>
      </c>
      <c r="B228" s="410">
        <f t="shared" si="16"/>
        <v>29</v>
      </c>
      <c r="C228" s="411">
        <f>IF(Input!I221&lt;=0,"",Input!I221)</f>
        <v>4.3856661721297474</v>
      </c>
      <c r="D228" s="412">
        <f>IF(G228="","",Input!Q221)</f>
        <v>0.33599122989542146</v>
      </c>
      <c r="E228" s="412">
        <f>IF(ISERROR(Input!AA221),"",Input!AA221)</f>
        <v>1.0500000000000007</v>
      </c>
      <c r="F228" s="412">
        <f>IF(E228="","",Input!AQ221)</f>
        <v>1.0551154230400821</v>
      </c>
      <c r="G228" s="413">
        <f t="shared" si="17"/>
        <v>4.6049494807362379</v>
      </c>
      <c r="H228" s="413">
        <f t="shared" si="18"/>
        <v>4.6273840185192556</v>
      </c>
      <c r="I228" s="414">
        <f t="shared" si="19"/>
        <v>263.07914538000205</v>
      </c>
      <c r="J228" s="414">
        <f t="shared" si="19"/>
        <v>302.29456357521866</v>
      </c>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row>
    <row r="229" spans="1:43">
      <c r="A229" s="407">
        <f>Input!B222</f>
        <v>38187</v>
      </c>
      <c r="B229" s="410">
        <f t="shared" ref="B229:B292" si="20">IF(MOD(A228-A$28,7)=0,B228+1,B228)</f>
        <v>29</v>
      </c>
      <c r="C229" s="411">
        <f>IF(Input!I222&lt;=0,"",Input!I222)</f>
        <v>4.5585086386905456</v>
      </c>
      <c r="D229" s="412">
        <f>IF(G229="","",Input!Q222)</f>
        <v>0.32307847046012461</v>
      </c>
      <c r="E229" s="412">
        <f>IF(ISERROR(Input!AA222),"",Input!AA222)</f>
        <v>1.0500000000000007</v>
      </c>
      <c r="F229" s="412">
        <f>IF(E229="","",Input!AQ222)</f>
        <v>1.0551154230400821</v>
      </c>
      <c r="G229" s="413">
        <f t="shared" si="17"/>
        <v>4.7864340706250763</v>
      </c>
      <c r="H229" s="413">
        <f t="shared" si="18"/>
        <v>4.8097527707438434</v>
      </c>
      <c r="I229" s="414">
        <f t="shared" si="19"/>
        <v>267.86557945062714</v>
      </c>
      <c r="J229" s="414">
        <f t="shared" si="19"/>
        <v>307.1043163459625</v>
      </c>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row>
    <row r="230" spans="1:43">
      <c r="A230" s="407">
        <f>Input!B223</f>
        <v>38188</v>
      </c>
      <c r="B230" s="410">
        <f t="shared" si="20"/>
        <v>29</v>
      </c>
      <c r="C230" s="411">
        <f>IF(Input!I223&lt;=0,"",Input!I223)</f>
        <v>5.0131309788816969</v>
      </c>
      <c r="D230" s="412">
        <f>IF(G230="","",Input!Q223)</f>
        <v>0.31043594464303675</v>
      </c>
      <c r="E230" s="412">
        <f>IF(ISERROR(Input!AA223),"",Input!AA223)</f>
        <v>1.0500000000000007</v>
      </c>
      <c r="F230" s="412">
        <f>IF(E230="","",Input!AQ223)</f>
        <v>1.0551154230400821</v>
      </c>
      <c r="G230" s="413">
        <f t="shared" si="17"/>
        <v>5.2637875278257855</v>
      </c>
      <c r="H230" s="413">
        <f t="shared" si="18"/>
        <v>5.2894318135381022</v>
      </c>
      <c r="I230" s="414">
        <f t="shared" si="19"/>
        <v>273.12936697845294</v>
      </c>
      <c r="J230" s="414">
        <f t="shared" si="19"/>
        <v>312.3937481595006</v>
      </c>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row>
    <row r="231" spans="1:43">
      <c r="A231" s="407">
        <f>Input!B224</f>
        <v>38189</v>
      </c>
      <c r="B231" s="410">
        <f t="shared" si="20"/>
        <v>29</v>
      </c>
      <c r="C231" s="411">
        <f>IF(Input!I224&lt;=0,"",Input!I224)</f>
        <v>4.3086235392401058</v>
      </c>
      <c r="D231" s="412">
        <f>IF(G231="","",Input!Q224)</f>
        <v>0.30065886344530462</v>
      </c>
      <c r="E231" s="412">
        <f>IF(ISERROR(Input!AA224),"",Input!AA224)</f>
        <v>1.0500000000000007</v>
      </c>
      <c r="F231" s="412">
        <f>IF(E231="","",Input!AQ224)</f>
        <v>1.0551154230400821</v>
      </c>
      <c r="G231" s="413">
        <f t="shared" si="17"/>
        <v>4.5240547162021141</v>
      </c>
      <c r="H231" s="413">
        <f t="shared" si="18"/>
        <v>4.5460951483257803</v>
      </c>
      <c r="I231" s="414">
        <f t="shared" si="19"/>
        <v>277.65342169465504</v>
      </c>
      <c r="J231" s="414">
        <f t="shared" si="19"/>
        <v>316.93984330782638</v>
      </c>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row>
    <row r="232" spans="1:43">
      <c r="A232" s="407">
        <f>Input!B225</f>
        <v>38190</v>
      </c>
      <c r="B232" s="410">
        <f t="shared" si="20"/>
        <v>30</v>
      </c>
      <c r="C232" s="411">
        <f>IF(Input!I225&lt;=0,"",Input!I225)</f>
        <v>3.9753833592271319</v>
      </c>
      <c r="D232" s="412">
        <f>IF(G232="","",Input!Q225)</f>
        <v>0.29239715402664801</v>
      </c>
      <c r="E232" s="412">
        <f>IF(ISERROR(Input!AA225),"",Input!AA225)</f>
        <v>1.0500000000000007</v>
      </c>
      <c r="F232" s="412">
        <f>IF(E232="","",Input!AQ225)</f>
        <v>1.0551154230400821</v>
      </c>
      <c r="G232" s="413">
        <f t="shared" si="17"/>
        <v>4.1741525271884914</v>
      </c>
      <c r="H232" s="413">
        <f t="shared" si="18"/>
        <v>4.1944882948174378</v>
      </c>
      <c r="I232" s="414">
        <f t="shared" si="19"/>
        <v>281.82757422184352</v>
      </c>
      <c r="J232" s="414">
        <f t="shared" si="19"/>
        <v>321.13433160264384</v>
      </c>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row>
    <row r="233" spans="1:43">
      <c r="A233" s="407">
        <f>Input!B226</f>
        <v>38191</v>
      </c>
      <c r="B233" s="410">
        <f t="shared" si="20"/>
        <v>30</v>
      </c>
      <c r="C233" s="411">
        <f>IF(Input!I226&lt;=0,"",Input!I226)</f>
        <v>4.0457230402672915</v>
      </c>
      <c r="D233" s="412">
        <f>IF(G233="","",Input!Q226)</f>
        <v>0.28463901291549959</v>
      </c>
      <c r="E233" s="412">
        <f>IF(ISERROR(Input!AA226),"",Input!AA226)</f>
        <v>1.0500000000000007</v>
      </c>
      <c r="F233" s="412">
        <f>IF(E233="","",Input!AQ226)</f>
        <v>1.0551154230400821</v>
      </c>
      <c r="G233" s="413">
        <f t="shared" si="17"/>
        <v>4.2480091922806587</v>
      </c>
      <c r="H233" s="413">
        <f t="shared" si="18"/>
        <v>4.26870477713463</v>
      </c>
      <c r="I233" s="414">
        <f t="shared" si="19"/>
        <v>286.0755834141242</v>
      </c>
      <c r="J233" s="414">
        <f t="shared" si="19"/>
        <v>325.40303637977848</v>
      </c>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row>
    <row r="234" spans="1:43">
      <c r="A234" s="407">
        <f>Input!B227</f>
        <v>38192</v>
      </c>
      <c r="B234" s="410">
        <f t="shared" si="20"/>
        <v>30</v>
      </c>
      <c r="C234" s="411">
        <f>IF(Input!I227&lt;=0,"",Input!I227)</f>
        <v>4.087687667829055</v>
      </c>
      <c r="D234" s="412">
        <f>IF(G234="","",Input!Q227)</f>
        <v>0.27738438476279165</v>
      </c>
      <c r="E234" s="412">
        <f>IF(ISERROR(Input!AA227),"",Input!AA227)</f>
        <v>1.2</v>
      </c>
      <c r="F234" s="412">
        <f>IF(E234="","",Input!AQ227)</f>
        <v>1.0551154230400821</v>
      </c>
      <c r="G234" s="413">
        <f t="shared" si="17"/>
        <v>4.9052252013948658</v>
      </c>
      <c r="H234" s="413">
        <f t="shared" si="18"/>
        <v>4.3129823028971801</v>
      </c>
      <c r="I234" s="414">
        <f t="shared" si="19"/>
        <v>290.98080861551904</v>
      </c>
      <c r="J234" s="414">
        <f t="shared" si="19"/>
        <v>329.71601868267567</v>
      </c>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row>
    <row r="235" spans="1:43">
      <c r="A235" s="407">
        <f>Input!B228</f>
        <v>38193</v>
      </c>
      <c r="B235" s="410">
        <f t="shared" si="20"/>
        <v>30</v>
      </c>
      <c r="C235" s="411">
        <f>IF(Input!I228&lt;=0,"",Input!I228)</f>
        <v>3.7454392842547892</v>
      </c>
      <c r="D235" s="412">
        <f>IF(G235="","",Input!Q228)</f>
        <v>0.27119316576660024</v>
      </c>
      <c r="E235" s="412">
        <f>IF(ISERROR(Input!AA228),"",Input!AA228)</f>
        <v>1.0500000000000007</v>
      </c>
      <c r="F235" s="412">
        <f>IF(E235="","",Input!AQ228)</f>
        <v>1.0551154230400821</v>
      </c>
      <c r="G235" s="413">
        <f t="shared" si="17"/>
        <v>3.9327112484675313</v>
      </c>
      <c r="H235" s="413">
        <f t="shared" si="18"/>
        <v>3.9518707548774343</v>
      </c>
      <c r="I235" s="414">
        <f t="shared" si="19"/>
        <v>294.91351986398655</v>
      </c>
      <c r="J235" s="414">
        <f t="shared" si="19"/>
        <v>333.66788943755313</v>
      </c>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row>
    <row r="236" spans="1:43">
      <c r="A236" s="407">
        <f>Input!B229</f>
        <v>38194</v>
      </c>
      <c r="B236" s="410">
        <f t="shared" si="20"/>
        <v>30</v>
      </c>
      <c r="C236" s="411">
        <f>IF(Input!I229&lt;=0,"",Input!I229)</f>
        <v>4.4864865244293437</v>
      </c>
      <c r="D236" s="412">
        <f>IF(G236="","",Input!Q229)</f>
        <v>0.26428582020730629</v>
      </c>
      <c r="E236" s="412">
        <f>IF(ISERROR(Input!AA229),"",Input!AA229)</f>
        <v>1.0500000000000007</v>
      </c>
      <c r="F236" s="412">
        <f>IF(E236="","",Input!AQ229)</f>
        <v>1.0551154230400821</v>
      </c>
      <c r="G236" s="413">
        <f t="shared" si="17"/>
        <v>4.7108108506508142</v>
      </c>
      <c r="H236" s="413">
        <f t="shared" si="18"/>
        <v>4.7337611271868942</v>
      </c>
      <c r="I236" s="414">
        <f t="shared" si="19"/>
        <v>299.62433071463738</v>
      </c>
      <c r="J236" s="414">
        <f t="shared" si="19"/>
        <v>338.40165056474001</v>
      </c>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row>
    <row r="237" spans="1:43">
      <c r="A237" s="407">
        <f>Input!B230</f>
        <v>38195</v>
      </c>
      <c r="B237" s="410">
        <f t="shared" si="20"/>
        <v>30</v>
      </c>
      <c r="C237" s="411">
        <f>IF(Input!I230&lt;=0,"",Input!I230)</f>
        <v>3.6827022385919621</v>
      </c>
      <c r="D237" s="412">
        <f>IF(G237="","",Input!Q230)</f>
        <v>0.25898671584316968</v>
      </c>
      <c r="E237" s="412">
        <f>IF(ISERROR(Input!AA230),"",Input!AA230)</f>
        <v>1.0500000000000007</v>
      </c>
      <c r="F237" s="412">
        <f>IF(E237="","",Input!AQ230)</f>
        <v>1.0551154230400821</v>
      </c>
      <c r="G237" s="413">
        <f t="shared" si="17"/>
        <v>3.8668373505215627</v>
      </c>
      <c r="H237" s="413">
        <f t="shared" si="18"/>
        <v>3.8856759304026154</v>
      </c>
      <c r="I237" s="414">
        <f t="shared" si="19"/>
        <v>303.49116806515894</v>
      </c>
      <c r="J237" s="414">
        <f t="shared" si="19"/>
        <v>342.28732649514262</v>
      </c>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row>
    <row r="238" spans="1:43">
      <c r="A238" s="407">
        <f>Input!B231</f>
        <v>38196</v>
      </c>
      <c r="B238" s="410">
        <f t="shared" si="20"/>
        <v>30</v>
      </c>
      <c r="C238" s="411">
        <f>IF(Input!I231&lt;=0,"",Input!I231)</f>
        <v>4.5469371783869423</v>
      </c>
      <c r="D238" s="412">
        <f>IF(G238="","",Input!Q231)</f>
        <v>0.25285559191667994</v>
      </c>
      <c r="E238" s="412">
        <f>IF(ISERROR(Input!AA231),"",Input!AA231)</f>
        <v>1.0500000000000007</v>
      </c>
      <c r="F238" s="412">
        <f>IF(E238="","",Input!AQ231)</f>
        <v>1.0551154230400821</v>
      </c>
      <c r="G238" s="413">
        <f t="shared" si="17"/>
        <v>4.7742840373062929</v>
      </c>
      <c r="H238" s="413">
        <f t="shared" si="18"/>
        <v>4.7975435445104155</v>
      </c>
      <c r="I238" s="414">
        <f t="shared" si="19"/>
        <v>308.26545210246525</v>
      </c>
      <c r="J238" s="414">
        <f t="shared" si="19"/>
        <v>347.08487003965303</v>
      </c>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row>
    <row r="239" spans="1:43">
      <c r="A239" s="407">
        <f>Input!B232</f>
        <v>38197</v>
      </c>
      <c r="B239" s="410">
        <f t="shared" si="20"/>
        <v>31</v>
      </c>
      <c r="C239" s="411">
        <f>IF(Input!I232&lt;=0,"",Input!I232)</f>
        <v>4.4553960861591095</v>
      </c>
      <c r="D239" s="412">
        <f>IF(G239="","",Input!Q232)</f>
        <v>0.24724372300917608</v>
      </c>
      <c r="E239" s="412">
        <f>IF(ISERROR(Input!AA232),"",Input!AA232)</f>
        <v>1.0500000000000007</v>
      </c>
      <c r="F239" s="412">
        <f>IF(E239="","",Input!AQ232)</f>
        <v>1.0551154230400821</v>
      </c>
      <c r="G239" s="413">
        <f t="shared" si="17"/>
        <v>4.678165890467068</v>
      </c>
      <c r="H239" s="413">
        <f t="shared" si="18"/>
        <v>4.7009571262588947</v>
      </c>
      <c r="I239" s="414">
        <f t="shared" si="19"/>
        <v>312.94361799293233</v>
      </c>
      <c r="J239" s="414">
        <f t="shared" si="19"/>
        <v>351.78582716591194</v>
      </c>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row>
    <row r="240" spans="1:43">
      <c r="A240" s="407">
        <f>Input!B233</f>
        <v>38198</v>
      </c>
      <c r="B240" s="410">
        <f t="shared" si="20"/>
        <v>31</v>
      </c>
      <c r="C240" s="411">
        <f>IF(Input!I233&lt;=0,"",Input!I233)</f>
        <v>3.8584668114409286</v>
      </c>
      <c r="D240" s="412">
        <f>IF(G240="","",Input!Q233)</f>
        <v>0.24266853629869425</v>
      </c>
      <c r="E240" s="412">
        <f>IF(ISERROR(Input!AA233),"",Input!AA233)</f>
        <v>1.0500000000000007</v>
      </c>
      <c r="F240" s="412">
        <f>IF(E240="","",Input!AQ233)</f>
        <v>1.0551154230400821</v>
      </c>
      <c r="G240" s="413">
        <f t="shared" si="17"/>
        <v>4.0513901520129778</v>
      </c>
      <c r="H240" s="413">
        <f t="shared" si="18"/>
        <v>4.071127842039612</v>
      </c>
      <c r="I240" s="414">
        <f t="shared" si="19"/>
        <v>316.9950081449453</v>
      </c>
      <c r="J240" s="414">
        <f t="shared" si="19"/>
        <v>355.85695500795157</v>
      </c>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row>
    <row r="241" spans="1:43">
      <c r="A241" s="407">
        <f>Input!B234</f>
        <v>38199</v>
      </c>
      <c r="B241" s="410">
        <f t="shared" si="20"/>
        <v>31</v>
      </c>
      <c r="C241" s="411">
        <f>IF(Input!I234&lt;=0,"",Input!I234)</f>
        <v>3.6949662527290243</v>
      </c>
      <c r="D241" s="412">
        <f>IF(G241="","",Input!Q234)</f>
        <v>0.23851258698210129</v>
      </c>
      <c r="E241" s="412">
        <f>IF(ISERROR(Input!AA234),"",Input!AA234)</f>
        <v>1.0500000000000007</v>
      </c>
      <c r="F241" s="412">
        <f>IF(E241="","",Input!AQ234)</f>
        <v>1.0551154230400821</v>
      </c>
      <c r="G241" s="413">
        <f t="shared" si="17"/>
        <v>3.8797145653654783</v>
      </c>
      <c r="H241" s="413">
        <f t="shared" si="18"/>
        <v>3.8986158808670113</v>
      </c>
      <c r="I241" s="414">
        <f t="shared" si="19"/>
        <v>320.87472271031078</v>
      </c>
      <c r="J241" s="414">
        <f t="shared" si="19"/>
        <v>359.75557088881857</v>
      </c>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row>
    <row r="242" spans="1:43">
      <c r="A242" s="407">
        <f>Input!B235</f>
        <v>38200</v>
      </c>
      <c r="B242" s="410">
        <f t="shared" si="20"/>
        <v>31</v>
      </c>
      <c r="C242" s="411">
        <f>IF(Input!I235&lt;=0,"",Input!I235)</f>
        <v>4.4242680611832448</v>
      </c>
      <c r="D242" s="412">
        <f>IF(G242="","",Input!Q235)</f>
        <v>0.23380121427771575</v>
      </c>
      <c r="E242" s="412">
        <f>IF(ISERROR(Input!AA235),"",Input!AA235)</f>
        <v>1.0500000000000007</v>
      </c>
      <c r="F242" s="412">
        <f>IF(E242="","",Input!AQ235)</f>
        <v>1.0551154230400821</v>
      </c>
      <c r="G242" s="413">
        <f t="shared" si="17"/>
        <v>4.64548146424241</v>
      </c>
      <c r="H242" s="413">
        <f t="shared" si="18"/>
        <v>4.6681134670180828</v>
      </c>
      <c r="I242" s="414">
        <f t="shared" si="19"/>
        <v>325.52020417455321</v>
      </c>
      <c r="J242" s="414">
        <f t="shared" si="19"/>
        <v>364.42368435583666</v>
      </c>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row>
    <row r="243" spans="1:43">
      <c r="A243" s="407">
        <f>Input!B236</f>
        <v>38201</v>
      </c>
      <c r="B243" s="410">
        <f t="shared" si="20"/>
        <v>31</v>
      </c>
      <c r="C243" s="411">
        <f>IF(Input!I236&lt;=0,"",Input!I236)</f>
        <v>3.118024395994059</v>
      </c>
      <c r="D243" s="412">
        <f>IF(G243="","",Input!Q236)</f>
        <v>0.23064050518903428</v>
      </c>
      <c r="E243" s="412">
        <f>IF(ISERROR(Input!AA236),"",Input!AA236)</f>
        <v>1.0500000000000007</v>
      </c>
      <c r="F243" s="412">
        <f>IF(E243="","",Input!AQ236)</f>
        <v>1.0551154230400821</v>
      </c>
      <c r="G243" s="413">
        <f t="shared" si="17"/>
        <v>3.2739256157937642</v>
      </c>
      <c r="H243" s="413">
        <f t="shared" si="18"/>
        <v>3.2898756296285678</v>
      </c>
      <c r="I243" s="414">
        <f t="shared" si="19"/>
        <v>328.79412979034697</v>
      </c>
      <c r="J243" s="414">
        <f t="shared" si="19"/>
        <v>367.71355998546522</v>
      </c>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row>
    <row r="244" spans="1:43">
      <c r="A244" s="407">
        <f>Input!B237</f>
        <v>38202</v>
      </c>
      <c r="B244" s="410">
        <f t="shared" si="20"/>
        <v>31</v>
      </c>
      <c r="C244" s="411">
        <f>IF(Input!I237&lt;=0,"",Input!I237)</f>
        <v>4.5357482562597031</v>
      </c>
      <c r="D244" s="412">
        <f>IF(G244="","",Input!Q237)</f>
        <v>0.22625898281538345</v>
      </c>
      <c r="E244" s="412">
        <f>IF(ISERROR(Input!AA237),"",Input!AA237)</f>
        <v>1.0500000000000007</v>
      </c>
      <c r="F244" s="412">
        <f>IF(E244="","",Input!AQ237)</f>
        <v>1.0551154230400821</v>
      </c>
      <c r="G244" s="413">
        <f t="shared" si="17"/>
        <v>4.7625356690726912</v>
      </c>
      <c r="H244" s="413">
        <f t="shared" si="18"/>
        <v>4.7857379402067712</v>
      </c>
      <c r="I244" s="414">
        <f t="shared" si="19"/>
        <v>333.55666545941966</v>
      </c>
      <c r="J244" s="414">
        <f t="shared" si="19"/>
        <v>372.49929792567201</v>
      </c>
      <c r="K244" s="137"/>
      <c r="L244" s="137"/>
      <c r="M244" s="137"/>
      <c r="N244" s="137"/>
      <c r="O244" s="137"/>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row>
    <row r="245" spans="1:43">
      <c r="A245" s="407">
        <f>Input!B238</f>
        <v>38203</v>
      </c>
      <c r="B245" s="410">
        <f t="shared" si="20"/>
        <v>31</v>
      </c>
      <c r="C245" s="411">
        <f>IF(Input!I238&lt;=0,"",Input!I238)</f>
        <v>4.20416831576504</v>
      </c>
      <c r="D245" s="412">
        <f>IF(G245="","",Input!Q238)</f>
        <v>0.22240886497661472</v>
      </c>
      <c r="E245" s="412">
        <f>IF(ISERROR(Input!AA238),"",Input!AA238)</f>
        <v>1.0500000000000007</v>
      </c>
      <c r="F245" s="412">
        <f>IF(E245="","",Input!AQ238)</f>
        <v>1.0551154230400821</v>
      </c>
      <c r="G245" s="413">
        <f t="shared" si="17"/>
        <v>4.4143767315532951</v>
      </c>
      <c r="H245" s="413">
        <f t="shared" si="18"/>
        <v>4.4358828310201392</v>
      </c>
      <c r="I245" s="414">
        <f t="shared" si="19"/>
        <v>337.97104219097298</v>
      </c>
      <c r="J245" s="414">
        <f t="shared" si="19"/>
        <v>376.93518075669215</v>
      </c>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row>
    <row r="246" spans="1:43">
      <c r="A246" s="407">
        <f>Input!B239</f>
        <v>38204</v>
      </c>
      <c r="B246" s="410">
        <f t="shared" si="20"/>
        <v>32</v>
      </c>
      <c r="C246" s="411">
        <f>IF(Input!I239&lt;=0,"",Input!I239)</f>
        <v>3.9882386942261037</v>
      </c>
      <c r="D246" s="412">
        <f>IF(G246="","",Input!Q239)</f>
        <v>0.21892896360654909</v>
      </c>
      <c r="E246" s="412">
        <f>IF(ISERROR(Input!AA239),"",Input!AA239)</f>
        <v>1.0500000000000007</v>
      </c>
      <c r="F246" s="412">
        <f>IF(E246="","",Input!AQ239)</f>
        <v>1.0551154230400821</v>
      </c>
      <c r="G246" s="413">
        <f t="shared" si="17"/>
        <v>4.187650628937412</v>
      </c>
      <c r="H246" s="413">
        <f t="shared" si="18"/>
        <v>4.2080521570432001</v>
      </c>
      <c r="I246" s="414">
        <f t="shared" si="19"/>
        <v>342.15869281991041</v>
      </c>
      <c r="J246" s="414">
        <f t="shared" si="19"/>
        <v>381.14323291373535</v>
      </c>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row>
    <row r="247" spans="1:43">
      <c r="A247" s="407">
        <f>Input!B240</f>
        <v>38205</v>
      </c>
      <c r="B247" s="410">
        <f t="shared" si="20"/>
        <v>32</v>
      </c>
      <c r="C247" s="411">
        <f>IF(Input!I240&lt;=0,"",Input!I240)</f>
        <v>4.4909729125824436</v>
      </c>
      <c r="D247" s="412">
        <f>IF(G247="","",Input!Q240)</f>
        <v>0.21519568785508258</v>
      </c>
      <c r="E247" s="412">
        <f>IF(ISERROR(Input!AA240),"",Input!AA240)</f>
        <v>1.0500000000000007</v>
      </c>
      <c r="F247" s="412">
        <f>IF(E247="","",Input!AQ240)</f>
        <v>1.0551154230400821</v>
      </c>
      <c r="G247" s="413">
        <f t="shared" si="17"/>
        <v>4.7155215582115693</v>
      </c>
      <c r="H247" s="413">
        <f t="shared" si="18"/>
        <v>4.7384947845209746</v>
      </c>
      <c r="I247" s="414">
        <f t="shared" si="19"/>
        <v>346.87421437812196</v>
      </c>
      <c r="J247" s="414">
        <f t="shared" si="19"/>
        <v>385.88172769825633</v>
      </c>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row>
    <row r="248" spans="1:43">
      <c r="A248" s="407">
        <f>Input!B241</f>
        <v>38206</v>
      </c>
      <c r="B248" s="410">
        <f t="shared" si="20"/>
        <v>32</v>
      </c>
      <c r="C248" s="411">
        <f>IF(Input!I241&lt;=0,"",Input!I241)</f>
        <v>4.7594598896694214</v>
      </c>
      <c r="D248" s="412">
        <f>IF(G248="","",Input!Q241)</f>
        <v>0.21143652877284819</v>
      </c>
      <c r="E248" s="412">
        <f>IF(ISERROR(Input!AA241),"",Input!AA241)</f>
        <v>1.0500000000000007</v>
      </c>
      <c r="F248" s="412">
        <f>IF(E248="","",Input!AQ241)</f>
        <v>1.0551154230400821</v>
      </c>
      <c r="G248" s="413">
        <f t="shared" si="17"/>
        <v>4.9974328841528957</v>
      </c>
      <c r="H248" s="413">
        <f t="shared" si="18"/>
        <v>5.0217795349308538</v>
      </c>
      <c r="I248" s="414">
        <f t="shared" si="19"/>
        <v>351.87164726227485</v>
      </c>
      <c r="J248" s="414">
        <f t="shared" si="19"/>
        <v>390.90350723318716</v>
      </c>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row>
    <row r="249" spans="1:43">
      <c r="A249" s="407">
        <f>Input!B242</f>
        <v>38207</v>
      </c>
      <c r="B249" s="419">
        <f t="shared" si="20"/>
        <v>32</v>
      </c>
      <c r="C249" s="411">
        <f>IF(Input!I242&lt;=0,"",Input!I242)</f>
        <v>3.5860255885033321</v>
      </c>
      <c r="D249" s="412">
        <f>IF(G249="","",Input!Q242)</f>
        <v>0.20872829480712593</v>
      </c>
      <c r="E249" s="412">
        <f>IF(ISERROR(Input!AA242),"",Input!AA242)</f>
        <v>1.0500000000000007</v>
      </c>
      <c r="F249" s="412">
        <f>IF(E249="","",Input!AQ242)</f>
        <v>1.0551154230400821</v>
      </c>
      <c r="G249" s="413">
        <f t="shared" si="17"/>
        <v>3.765326867928501</v>
      </c>
      <c r="H249" s="413">
        <f t="shared" si="18"/>
        <v>3.7836709058462525</v>
      </c>
      <c r="I249" s="414">
        <f t="shared" si="19"/>
        <v>355.63697413020333</v>
      </c>
      <c r="J249" s="414">
        <f t="shared" si="19"/>
        <v>394.68717813903339</v>
      </c>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row>
    <row r="250" spans="1:43">
      <c r="A250" s="407">
        <f>Input!B243</f>
        <v>38208</v>
      </c>
      <c r="B250" s="419">
        <f t="shared" si="20"/>
        <v>32</v>
      </c>
      <c r="C250" s="411">
        <f>IF(Input!I243&lt;=0,"",Input!I243)</f>
        <v>4.1359534061889187</v>
      </c>
      <c r="D250" s="412">
        <f>IF(G250="","",Input!Q243)</f>
        <v>0.20572785803280524</v>
      </c>
      <c r="E250" s="412">
        <f>IF(ISERROR(Input!AA243),"",Input!AA243)</f>
        <v>1.0500000000000007</v>
      </c>
      <c r="F250" s="412">
        <f>IF(E250="","",Input!AQ243)</f>
        <v>1.0551154230400821</v>
      </c>
      <c r="G250" s="413">
        <f t="shared" si="17"/>
        <v>4.3427510764983674</v>
      </c>
      <c r="H250" s="413">
        <f t="shared" si="18"/>
        <v>4.3639082278450898</v>
      </c>
      <c r="I250" s="414">
        <f t="shared" si="19"/>
        <v>359.97972520670169</v>
      </c>
      <c r="J250" s="414">
        <f t="shared" si="19"/>
        <v>399.05108636687851</v>
      </c>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row>
    <row r="251" spans="1:43">
      <c r="A251" s="407">
        <f>Input!B244</f>
        <v>38209</v>
      </c>
      <c r="B251" s="419">
        <f t="shared" si="20"/>
        <v>32</v>
      </c>
      <c r="C251" s="411">
        <f>IF(Input!I244&lt;=0,"",Input!I244)</f>
        <v>3.8777053791530784</v>
      </c>
      <c r="D251" s="412">
        <f>IF(G251="","",Input!Q244)</f>
        <v>0.20302690670637175</v>
      </c>
      <c r="E251" s="412">
        <f>IF(ISERROR(Input!AA244),"",Input!AA244)</f>
        <v>1.0500000000000007</v>
      </c>
      <c r="F251" s="412">
        <f>IF(E251="","",Input!AQ244)</f>
        <v>1.0551154230400821</v>
      </c>
      <c r="G251" s="413">
        <f t="shared" si="17"/>
        <v>4.0715906481107353</v>
      </c>
      <c r="H251" s="413">
        <f t="shared" si="18"/>
        <v>4.0914267515499025</v>
      </c>
      <c r="I251" s="414">
        <f t="shared" si="19"/>
        <v>364.0513158548124</v>
      </c>
      <c r="J251" s="414">
        <f t="shared" si="19"/>
        <v>403.14251311842838</v>
      </c>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row>
    <row r="252" spans="1:43">
      <c r="A252" s="407">
        <f>Input!B245</f>
        <v>38210</v>
      </c>
      <c r="B252" s="419">
        <f t="shared" si="20"/>
        <v>32</v>
      </c>
      <c r="C252" s="411">
        <f>IF(Input!I245&lt;=0,"",Input!I245)</f>
        <v>3.3740396451178154</v>
      </c>
      <c r="D252" s="412">
        <f>IF(G252="","",Input!Q245)</f>
        <v>0.20075966005049278</v>
      </c>
      <c r="E252" s="412">
        <f>IF(ISERROR(Input!AA245),"",Input!AA245)</f>
        <v>1.0500000000000007</v>
      </c>
      <c r="F252" s="412">
        <f>IF(E252="","",Input!AQ245)</f>
        <v>1.0551154230400821</v>
      </c>
      <c r="G252" s="413">
        <f t="shared" si="17"/>
        <v>3.5427416273737085</v>
      </c>
      <c r="H252" s="413">
        <f t="shared" si="18"/>
        <v>3.5600012675124924</v>
      </c>
      <c r="I252" s="414">
        <f t="shared" si="19"/>
        <v>367.59405748218609</v>
      </c>
      <c r="J252" s="414">
        <f t="shared" si="19"/>
        <v>406.7025143859409</v>
      </c>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row>
    <row r="253" spans="1:43">
      <c r="A253" s="407">
        <f>Input!B246</f>
        <v>38211</v>
      </c>
      <c r="B253" s="419">
        <f t="shared" si="20"/>
        <v>33</v>
      </c>
      <c r="C253" s="411">
        <f>IF(Input!I246&lt;=0,"",Input!I246)</f>
        <v>3.3160077738536158</v>
      </c>
      <c r="D253" s="412">
        <f>IF(G253="","",Input!Q246)</f>
        <v>0.19860237479840998</v>
      </c>
      <c r="E253" s="412">
        <f>IF(ISERROR(Input!AA246),"",Input!AA246)</f>
        <v>1.0500000000000007</v>
      </c>
      <c r="F253" s="412">
        <f>IF(E253="","",Input!AQ246)</f>
        <v>1.0551154230400821</v>
      </c>
      <c r="G253" s="413">
        <f t="shared" si="17"/>
        <v>3.4818081625462991</v>
      </c>
      <c r="H253" s="413">
        <f t="shared" si="18"/>
        <v>3.4987709451137587</v>
      </c>
      <c r="I253" s="414">
        <f t="shared" si="19"/>
        <v>371.0758656447324</v>
      </c>
      <c r="J253" s="414">
        <f t="shared" si="19"/>
        <v>410.20128533105463</v>
      </c>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row>
    <row r="254" spans="1:43">
      <c r="A254" s="407">
        <f>Input!B247</f>
        <v>38212</v>
      </c>
      <c r="B254" s="419">
        <f t="shared" si="20"/>
        <v>33</v>
      </c>
      <c r="C254" s="411">
        <f>IF(Input!I247&lt;=0,"",Input!I247)</f>
        <v>3.9755356514785003</v>
      </c>
      <c r="D254" s="412">
        <f>IF(G254="","",Input!Q247)</f>
        <v>0.19610366740831761</v>
      </c>
      <c r="E254" s="412">
        <f>IF(ISERROR(Input!AA247),"",Input!AA247)</f>
        <v>1.0500000000000007</v>
      </c>
      <c r="F254" s="412">
        <f>IF(E254="","",Input!AQ247)</f>
        <v>1.0551154230400821</v>
      </c>
      <c r="G254" s="413">
        <f t="shared" si="17"/>
        <v>4.1743124340524282</v>
      </c>
      <c r="H254" s="413">
        <f t="shared" si="18"/>
        <v>4.1946489807206664</v>
      </c>
      <c r="I254" s="414">
        <f t="shared" si="19"/>
        <v>375.25017807878481</v>
      </c>
      <c r="J254" s="414">
        <f t="shared" si="19"/>
        <v>414.39593431177531</v>
      </c>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row>
    <row r="255" spans="1:43">
      <c r="A255" s="407">
        <f>Input!B248</f>
        <v>38213</v>
      </c>
      <c r="B255" s="419">
        <f t="shared" si="20"/>
        <v>33</v>
      </c>
      <c r="C255" s="411">
        <f>IF(Input!I248&lt;=0,"",Input!I248)</f>
        <v>3.7997193760539565</v>
      </c>
      <c r="D255" s="412">
        <f>IF(G255="","",Input!Q248)</f>
        <v>0.19379981147686801</v>
      </c>
      <c r="E255" s="412">
        <f>IF(ISERROR(Input!AA248),"",Input!AA248)</f>
        <v>1.0500000000000007</v>
      </c>
      <c r="F255" s="412">
        <f>IF(E255="","",Input!AQ248)</f>
        <v>1.0551154230400821</v>
      </c>
      <c r="G255" s="413">
        <f t="shared" si="17"/>
        <v>3.9897053448566568</v>
      </c>
      <c r="H255" s="413">
        <f t="shared" si="18"/>
        <v>4.0091425168987671</v>
      </c>
      <c r="I255" s="414">
        <f t="shared" si="19"/>
        <v>379.23988342364146</v>
      </c>
      <c r="J255" s="414">
        <f t="shared" si="19"/>
        <v>418.40507682867405</v>
      </c>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row>
    <row r="256" spans="1:43">
      <c r="A256" s="407">
        <f>Input!B249</f>
        <v>38214</v>
      </c>
      <c r="B256" s="419">
        <f t="shared" si="20"/>
        <v>33</v>
      </c>
      <c r="C256" s="411">
        <f>IF(Input!I249&lt;=0,"",Input!I249)</f>
        <v>1.4804598800034643</v>
      </c>
      <c r="D256" s="412">
        <f>IF(G256="","",Input!Q249)</f>
        <v>0.19292346557313289</v>
      </c>
      <c r="E256" s="412">
        <f>IF(ISERROR(Input!AA249),"",Input!AA249)</f>
        <v>1.0500000000000007</v>
      </c>
      <c r="F256" s="412">
        <f>IF(E256="","",Input!AQ249)</f>
        <v>1.0551154230400821</v>
      </c>
      <c r="G256" s="413">
        <f t="shared" si="17"/>
        <v>1.5544828740036385</v>
      </c>
      <c r="H256" s="413">
        <f t="shared" si="18"/>
        <v>1.5620560525837244</v>
      </c>
      <c r="I256" s="414">
        <f t="shared" si="19"/>
        <v>380.79436629764507</v>
      </c>
      <c r="J256" s="414">
        <f t="shared" si="19"/>
        <v>419.96713288125778</v>
      </c>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row>
    <row r="257" spans="1:43">
      <c r="A257" s="407">
        <f>Input!B250</f>
        <v>38215</v>
      </c>
      <c r="B257" s="419">
        <f t="shared" si="20"/>
        <v>33</v>
      </c>
      <c r="C257" s="411">
        <f>IF(Input!I250&lt;=0,"",Input!I250)</f>
        <v>2.3526245965089925</v>
      </c>
      <c r="D257" s="412">
        <f>IF(G257="","",Input!Q250)</f>
        <v>0.19155449075610292</v>
      </c>
      <c r="E257" s="412">
        <f>IF(ISERROR(Input!AA250),"",Input!AA250)</f>
        <v>1.0500000000000007</v>
      </c>
      <c r="F257" s="412">
        <f>IF(E257="","",Input!AQ250)</f>
        <v>1.0551154230400821</v>
      </c>
      <c r="G257" s="413">
        <f t="shared" si="17"/>
        <v>2.4702558263344438</v>
      </c>
      <c r="H257" s="413">
        <f t="shared" si="18"/>
        <v>2.482290496400088</v>
      </c>
      <c r="I257" s="414">
        <f t="shared" si="19"/>
        <v>383.26462212397951</v>
      </c>
      <c r="J257" s="414">
        <f t="shared" si="19"/>
        <v>422.44942337765787</v>
      </c>
      <c r="K257" s="137"/>
      <c r="L257" s="137"/>
      <c r="M257" s="137"/>
      <c r="N257" s="137"/>
      <c r="O257" s="137"/>
      <c r="P257" s="137"/>
      <c r="Q257" s="137"/>
      <c r="R257" s="137"/>
      <c r="S257" s="137"/>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row>
    <row r="258" spans="1:43">
      <c r="A258" s="407">
        <f>Input!B251</f>
        <v>38216</v>
      </c>
      <c r="B258" s="419">
        <f t="shared" si="20"/>
        <v>33</v>
      </c>
      <c r="C258" s="411">
        <f>IF(Input!I251&lt;=0,"",Input!I251)</f>
        <v>4.1749276666966058</v>
      </c>
      <c r="D258" s="412">
        <f>IF(G258="","",Input!Q251)</f>
        <v>0.18919383629916686</v>
      </c>
      <c r="E258" s="412">
        <f>IF(ISERROR(Input!AA251),"",Input!AA251)</f>
        <v>1.0500000000000007</v>
      </c>
      <c r="F258" s="412">
        <f>IF(E258="","",Input!AQ251)</f>
        <v>1.0551154230400821</v>
      </c>
      <c r="G258" s="413">
        <f t="shared" si="17"/>
        <v>4.3836740500314386</v>
      </c>
      <c r="H258" s="413">
        <f t="shared" si="18"/>
        <v>4.4050305712083322</v>
      </c>
      <c r="I258" s="414">
        <f t="shared" si="19"/>
        <v>387.64829617401097</v>
      </c>
      <c r="J258" s="414">
        <f t="shared" si="19"/>
        <v>426.85445394886619</v>
      </c>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row>
    <row r="259" spans="1:43">
      <c r="A259" s="407">
        <f>Input!B252</f>
        <v>38217</v>
      </c>
      <c r="B259" s="419">
        <f t="shared" si="20"/>
        <v>33</v>
      </c>
      <c r="C259" s="411">
        <f>IF(Input!I252&lt;=0,"",Input!I252)</f>
        <v>3.0294218913691475</v>
      </c>
      <c r="D259" s="412">
        <f>IF(G259="","",Input!Q252)</f>
        <v>0.18753343800489136</v>
      </c>
      <c r="E259" s="412">
        <f>IF(ISERROR(Input!AA252),"",Input!AA252)</f>
        <v>1.0500000000000007</v>
      </c>
      <c r="F259" s="412">
        <f>IF(E259="","",Input!AQ252)</f>
        <v>1.0551154230400821</v>
      </c>
      <c r="G259" s="413">
        <f t="shared" si="17"/>
        <v>3.1808929859376072</v>
      </c>
      <c r="H259" s="413">
        <f t="shared" si="18"/>
        <v>3.1963897604788438</v>
      </c>
      <c r="I259" s="414">
        <f t="shared" si="19"/>
        <v>390.82918915994856</v>
      </c>
      <c r="J259" s="414">
        <f t="shared" si="19"/>
        <v>430.05084370934503</v>
      </c>
      <c r="K259" s="137"/>
      <c r="L259" s="137"/>
      <c r="M259" s="137"/>
      <c r="N259" s="137"/>
      <c r="O259" s="137"/>
      <c r="P259" s="137"/>
      <c r="Q259" s="137"/>
      <c r="R259" s="137"/>
      <c r="S259" s="137"/>
      <c r="T259" s="137"/>
      <c r="U259" s="137"/>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row>
    <row r="260" spans="1:43">
      <c r="A260" s="407">
        <f>Input!B253</f>
        <v>38218</v>
      </c>
      <c r="B260" s="419">
        <f t="shared" si="20"/>
        <v>34</v>
      </c>
      <c r="C260" s="411">
        <f>IF(Input!I253&lt;=0,"",Input!I253)</f>
        <v>4.0744982807337342</v>
      </c>
      <c r="D260" s="412">
        <f>IF(G260="","",Input!Q253)</f>
        <v>0.18536630905038032</v>
      </c>
      <c r="E260" s="412">
        <f>IF(ISERROR(Input!AA253),"",Input!AA253)</f>
        <v>1.0500000000000007</v>
      </c>
      <c r="F260" s="412">
        <f>IF(E260="","",Input!AQ253)</f>
        <v>1.0551154230400821</v>
      </c>
      <c r="G260" s="413">
        <f t="shared" si="17"/>
        <v>4.2782231947704235</v>
      </c>
      <c r="H260" s="413">
        <f t="shared" si="18"/>
        <v>4.2990659771524609</v>
      </c>
      <c r="I260" s="414">
        <f t="shared" si="19"/>
        <v>395.10741235471897</v>
      </c>
      <c r="J260" s="414">
        <f t="shared" si="19"/>
        <v>434.34990968649748</v>
      </c>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row>
    <row r="261" spans="1:43">
      <c r="A261" s="407">
        <f>Input!B254</f>
        <v>38219</v>
      </c>
      <c r="B261" s="419">
        <f t="shared" si="20"/>
        <v>34</v>
      </c>
      <c r="C261" s="411">
        <f>IF(Input!I254&lt;=0,"",Input!I254)</f>
        <v>4.259246672317726</v>
      </c>
      <c r="D261" s="412">
        <f>IF(G261="","",Input!Q254)</f>
        <v>0.18317778806115109</v>
      </c>
      <c r="E261" s="412">
        <f>IF(ISERROR(Input!AA254),"",Input!AA254)</f>
        <v>1.039285714285715</v>
      </c>
      <c r="F261" s="412">
        <f>IF(E261="","",Input!AQ254)</f>
        <v>1.0477248197026012</v>
      </c>
      <c r="G261" s="413">
        <f t="shared" si="17"/>
        <v>4.4265742201587823</v>
      </c>
      <c r="H261" s="413">
        <f t="shared" si="18"/>
        <v>4.4625184518229934</v>
      </c>
      <c r="I261" s="414">
        <f t="shared" si="19"/>
        <v>399.53398657487776</v>
      </c>
      <c r="J261" s="414">
        <f t="shared" si="19"/>
        <v>438.81242813832046</v>
      </c>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row>
    <row r="262" spans="1:43">
      <c r="A262" s="407">
        <f>Input!B255</f>
        <v>38220</v>
      </c>
      <c r="B262" s="419">
        <f t="shared" si="20"/>
        <v>34</v>
      </c>
      <c r="C262" s="411">
        <f>IF(Input!I255&lt;=0,"",Input!I255)</f>
        <v>4.3146765128124835</v>
      </c>
      <c r="D262" s="412">
        <f>IF(G262="","",Input!Q255)</f>
        <v>0.18103643939801609</v>
      </c>
      <c r="E262" s="412">
        <f>IF(ISERROR(Input!AA255),"",Input!AA255)</f>
        <v>1.0285714285714294</v>
      </c>
      <c r="F262" s="412">
        <f>IF(E262="","",Input!AQ255)</f>
        <v>1.0403342163651204</v>
      </c>
      <c r="G262" s="413">
        <f t="shared" si="17"/>
        <v>4.4379529846071293</v>
      </c>
      <c r="H262" s="413">
        <f t="shared" si="18"/>
        <v>4.4887056088257653</v>
      </c>
      <c r="I262" s="414">
        <f t="shared" si="19"/>
        <v>403.97193955948489</v>
      </c>
      <c r="J262" s="414">
        <f t="shared" si="19"/>
        <v>443.3011337471462</v>
      </c>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row>
    <row r="263" spans="1:43">
      <c r="A263" s="407">
        <f>Input!B256</f>
        <v>38221</v>
      </c>
      <c r="B263" s="419">
        <f t="shared" si="20"/>
        <v>34</v>
      </c>
      <c r="C263" s="411">
        <f>IF(Input!I256&lt;=0,"",Input!I256)</f>
        <v>3.9046189691941287</v>
      </c>
      <c r="D263" s="412">
        <f>IF(G263="","",Input!Q256)</f>
        <v>0.17916069869000215</v>
      </c>
      <c r="E263" s="412">
        <f>IF(ISERROR(Input!AA256),"",Input!AA256)</f>
        <v>1.0178571428571437</v>
      </c>
      <c r="F263" s="412">
        <f>IF(E263="","",Input!AQ256)</f>
        <v>1.0329436130276395</v>
      </c>
      <c r="G263" s="413">
        <f t="shared" si="17"/>
        <v>3.9743443079297411</v>
      </c>
      <c r="H263" s="413">
        <f t="shared" si="18"/>
        <v>4.0332512255356407</v>
      </c>
      <c r="I263" s="414">
        <f t="shared" si="19"/>
        <v>407.94628386741465</v>
      </c>
      <c r="J263" s="414">
        <f t="shared" si="19"/>
        <v>447.33438497268185</v>
      </c>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row>
    <row r="264" spans="1:43">
      <c r="A264" s="407">
        <f>Input!B257</f>
        <v>38222</v>
      </c>
      <c r="B264" s="419">
        <f t="shared" si="20"/>
        <v>34</v>
      </c>
      <c r="C264" s="411">
        <f>IF(Input!I257&lt;=0,"",Input!I257)</f>
        <v>3.1599844462605367</v>
      </c>
      <c r="D264" s="412">
        <f>IF(G264="","",Input!Q257)</f>
        <v>0.17768378369379079</v>
      </c>
      <c r="E264" s="412">
        <f>IF(ISERROR(Input!AA257),"",Input!AA257)</f>
        <v>1.007142857142858</v>
      </c>
      <c r="F264" s="412">
        <f>IF(E264="","",Input!AQ257)</f>
        <v>1.0255530096901586</v>
      </c>
      <c r="G264" s="413">
        <f t="shared" si="17"/>
        <v>3.1825557637338289</v>
      </c>
      <c r="H264" s="413">
        <f t="shared" si="18"/>
        <v>3.2407315594365826</v>
      </c>
      <c r="I264" s="414">
        <f t="shared" si="19"/>
        <v>411.12883963114848</v>
      </c>
      <c r="J264" s="414">
        <f t="shared" si="19"/>
        <v>450.57511653211844</v>
      </c>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row>
    <row r="265" spans="1:43">
      <c r="A265" s="407">
        <f>Input!B258</f>
        <v>38223</v>
      </c>
      <c r="B265" s="419">
        <f t="shared" si="20"/>
        <v>34</v>
      </c>
      <c r="C265" s="411">
        <f>IF(Input!I258&lt;=0,"",Input!I258)</f>
        <v>3.8247380758573639</v>
      </c>
      <c r="D265" s="412">
        <f>IF(G265="","",Input!Q258)</f>
        <v>0.17594314241894723</v>
      </c>
      <c r="E265" s="412">
        <f>IF(ISERROR(Input!AA258),"",Input!AA258)</f>
        <v>0.99642857142857233</v>
      </c>
      <c r="F265" s="412">
        <f>IF(E265="","",Input!AQ258)</f>
        <v>1.0181624063526777</v>
      </c>
      <c r="G265" s="413">
        <f t="shared" si="17"/>
        <v>3.8110782970150194</v>
      </c>
      <c r="H265" s="413">
        <f t="shared" si="18"/>
        <v>3.8942045229836442</v>
      </c>
      <c r="I265" s="414">
        <f t="shared" si="19"/>
        <v>414.93991792816348</v>
      </c>
      <c r="J265" s="414">
        <f t="shared" si="19"/>
        <v>454.46932105510211</v>
      </c>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row>
    <row r="266" spans="1:43">
      <c r="A266" s="407">
        <f>Input!B259</f>
        <v>38224</v>
      </c>
      <c r="B266" s="419">
        <f t="shared" si="20"/>
        <v>34</v>
      </c>
      <c r="C266" s="411">
        <f>IF(Input!I259&lt;=0,"",Input!I259)</f>
        <v>3.7913485075397029</v>
      </c>
      <c r="D266" s="412">
        <f>IF(G266="","",Input!Q259)</f>
        <v>0.17426622671069714</v>
      </c>
      <c r="E266" s="412">
        <f>IF(ISERROR(Input!AA259),"",Input!AA259)</f>
        <v>0.98571428571428665</v>
      </c>
      <c r="F266" s="412">
        <f>IF(E266="","",Input!AQ259)</f>
        <v>1.0107718030151969</v>
      </c>
      <c r="G266" s="413">
        <f t="shared" si="17"/>
        <v>3.7371863860034251</v>
      </c>
      <c r="H266" s="413">
        <f t="shared" si="18"/>
        <v>3.8321881668248814</v>
      </c>
      <c r="I266" s="414">
        <f t="shared" si="19"/>
        <v>418.67710431416691</v>
      </c>
      <c r="J266" s="414">
        <f t="shared" si="19"/>
        <v>458.30150922192701</v>
      </c>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row>
    <row r="267" spans="1:43">
      <c r="A267" s="407">
        <f>Input!B260</f>
        <v>38225</v>
      </c>
      <c r="B267" s="419">
        <f t="shared" si="20"/>
        <v>35</v>
      </c>
      <c r="C267" s="411">
        <f>IF(Input!I260&lt;=0,"",Input!I260)</f>
        <v>3.2718370581858034</v>
      </c>
      <c r="D267" s="412">
        <f>IF(G267="","",Input!Q260)</f>
        <v>0.17285623070518508</v>
      </c>
      <c r="E267" s="412">
        <f>IF(ISERROR(Input!AA260),"",Input!AA260)</f>
        <v>0.97500000000000098</v>
      </c>
      <c r="F267" s="412">
        <f>IF(E267="","",Input!AQ260)</f>
        <v>1.003381199677716</v>
      </c>
      <c r="G267" s="413">
        <f t="shared" si="17"/>
        <v>3.1900411317311614</v>
      </c>
      <c r="H267" s="413">
        <f t="shared" si="18"/>
        <v>3.2828997925924805</v>
      </c>
      <c r="I267" s="414">
        <f t="shared" si="19"/>
        <v>421.86714544589807</v>
      </c>
      <c r="J267" s="414">
        <f t="shared" si="19"/>
        <v>461.58440901451951</v>
      </c>
      <c r="K267" s="137"/>
      <c r="L267" s="137"/>
      <c r="M267" s="137"/>
      <c r="N267" s="137"/>
      <c r="O267" s="137"/>
      <c r="P267" s="137"/>
      <c r="Q267" s="137"/>
      <c r="R267" s="137"/>
      <c r="S267" s="137"/>
      <c r="T267" s="137"/>
      <c r="U267" s="137"/>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row>
    <row r="268" spans="1:43">
      <c r="A268" s="407">
        <f>Input!B261</f>
        <v>38226</v>
      </c>
      <c r="B268" s="419">
        <f t="shared" si="20"/>
        <v>35</v>
      </c>
      <c r="C268" s="411">
        <f>IF(Input!I261&lt;=0,"",Input!I261)</f>
        <v>2.394984867373108</v>
      </c>
      <c r="D268" s="412">
        <f>IF(G268="","",Input!Q261)</f>
        <v>0.17184510563594038</v>
      </c>
      <c r="E268" s="412">
        <f>IF(ISERROR(Input!AA261),"",Input!AA261)</f>
        <v>0.9642857142857153</v>
      </c>
      <c r="F268" s="412">
        <f>IF(E268="","",Input!AQ261)</f>
        <v>0.99599059634023512</v>
      </c>
      <c r="G268" s="413">
        <f t="shared" si="17"/>
        <v>2.3094496935383564</v>
      </c>
      <c r="H268" s="413">
        <f t="shared" si="18"/>
        <v>2.3853824062807809</v>
      </c>
      <c r="I268" s="414">
        <f t="shared" si="19"/>
        <v>424.17659513943642</v>
      </c>
      <c r="J268" s="414">
        <f t="shared" si="19"/>
        <v>463.96979142080028</v>
      </c>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row>
    <row r="269" spans="1:43">
      <c r="A269" s="407">
        <f>Input!B262</f>
        <v>38227</v>
      </c>
      <c r="B269" s="419">
        <f t="shared" si="20"/>
        <v>35</v>
      </c>
      <c r="C269" s="411">
        <f>IF(Input!I262&lt;=0,"",Input!I262)</f>
        <v>3.2809923263348102</v>
      </c>
      <c r="D269" s="412">
        <f>IF(G269="","",Input!Q262)</f>
        <v>0.17048771832224113</v>
      </c>
      <c r="E269" s="412">
        <f>IF(ISERROR(Input!AA262),"",Input!AA262)</f>
        <v>0.95357142857142962</v>
      </c>
      <c r="F269" s="412">
        <f>IF(E269="","",Input!AQ262)</f>
        <v>0.98859999300275425</v>
      </c>
      <c r="G269" s="413">
        <f t="shared" si="17"/>
        <v>3.1286605397549834</v>
      </c>
      <c r="H269" s="413">
        <f t="shared" si="18"/>
        <v>3.2435889908566837</v>
      </c>
      <c r="I269" s="414">
        <f t="shared" si="19"/>
        <v>427.30525567919142</v>
      </c>
      <c r="J269" s="414">
        <f t="shared" si="19"/>
        <v>467.21338041165694</v>
      </c>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row>
    <row r="270" spans="1:43">
      <c r="A270" s="407">
        <f>Input!B263</f>
        <v>38228</v>
      </c>
      <c r="B270" s="419">
        <f t="shared" si="20"/>
        <v>35</v>
      </c>
      <c r="C270" s="411">
        <f>IF(Input!I263&lt;=0,"",Input!I263)</f>
        <v>3.6588226044606817</v>
      </c>
      <c r="D270" s="412">
        <f>IF(G270="","",Input!Q263)</f>
        <v>0.16901055587564506</v>
      </c>
      <c r="E270" s="412">
        <f>IF(ISERROR(Input!AA263),"",Input!AA263)</f>
        <v>0.94285714285714395</v>
      </c>
      <c r="F270" s="412">
        <f>IF(E270="","",Input!AQ263)</f>
        <v>0.98120938966527338</v>
      </c>
      <c r="G270" s="413">
        <f t="shared" si="17"/>
        <v>3.4497470270629327</v>
      </c>
      <c r="H270" s="413">
        <f t="shared" si="18"/>
        <v>3.5900710946163716</v>
      </c>
      <c r="I270" s="414">
        <f t="shared" si="19"/>
        <v>430.75500270625434</v>
      </c>
      <c r="J270" s="414">
        <f t="shared" si="19"/>
        <v>470.80345150627329</v>
      </c>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row>
    <row r="271" spans="1:43">
      <c r="A271" s="407">
        <f>Input!B264</f>
        <v>38229</v>
      </c>
      <c r="B271" s="419">
        <f t="shared" si="20"/>
        <v>35</v>
      </c>
      <c r="C271" s="411">
        <f>IF(Input!I264&lt;=0,"",Input!I264)</f>
        <v>3.7539661230494863</v>
      </c>
      <c r="D271" s="412">
        <f>IF(G271="","",Input!Q264)</f>
        <v>0.16753340430433422</v>
      </c>
      <c r="E271" s="412">
        <f>IF(ISERROR(Input!AA264),"",Input!AA264)</f>
        <v>0.93214285714285827</v>
      </c>
      <c r="F271" s="412">
        <f>IF(E271="","",Input!AQ264)</f>
        <v>0.97381878632779251</v>
      </c>
      <c r="G271" s="413">
        <f t="shared" si="17"/>
        <v>3.499232707556847</v>
      </c>
      <c r="H271" s="413">
        <f t="shared" si="18"/>
        <v>3.6556827338636992</v>
      </c>
      <c r="I271" s="414">
        <f t="shared" si="19"/>
        <v>434.25423541381122</v>
      </c>
      <c r="J271" s="414">
        <f t="shared" si="19"/>
        <v>474.45913424013702</v>
      </c>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row>
    <row r="272" spans="1:43">
      <c r="A272" s="407">
        <f>Input!B265</f>
        <v>38230</v>
      </c>
      <c r="B272" s="419">
        <f t="shared" si="20"/>
        <v>35</v>
      </c>
      <c r="C272" s="411">
        <f>IF(Input!I265&lt;=0,"",Input!I265)</f>
        <v>3.1191168130974036</v>
      </c>
      <c r="D272" s="412">
        <f>IF(G272="","",Input!Q265)</f>
        <v>0.16633449783390106</v>
      </c>
      <c r="E272" s="412">
        <f>IF(ISERROR(Input!AA265),"",Input!AA265)</f>
        <v>0.9214285714285726</v>
      </c>
      <c r="F272" s="412">
        <f>IF(E272="","",Input!AQ265)</f>
        <v>0.96642818299031163</v>
      </c>
      <c r="G272" s="413">
        <f t="shared" si="17"/>
        <v>2.8740433492111825</v>
      </c>
      <c r="H272" s="413">
        <f t="shared" si="18"/>
        <v>3.0144023942162552</v>
      </c>
      <c r="I272" s="414">
        <f t="shared" si="19"/>
        <v>437.12827876302242</v>
      </c>
      <c r="J272" s="414">
        <f t="shared" si="19"/>
        <v>477.47353663435325</v>
      </c>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row>
    <row r="273" spans="1:43">
      <c r="A273" s="407">
        <f>Input!B266</f>
        <v>38231</v>
      </c>
      <c r="B273" s="419">
        <f t="shared" si="20"/>
        <v>35</v>
      </c>
      <c r="C273" s="411">
        <f>IF(Input!I266&lt;=0,"",Input!I266)</f>
        <v>2.5079702328575904</v>
      </c>
      <c r="D273" s="412">
        <f>IF(G273="","",Input!Q266)</f>
        <v>1.2</v>
      </c>
      <c r="E273" s="412">
        <f>IF(ISERROR(Input!AA266),"",Input!AA266)</f>
        <v>1.2</v>
      </c>
      <c r="F273" s="412">
        <f>IF(E273="","",Input!AQ266)</f>
        <v>0.95903757965283076</v>
      </c>
      <c r="G273" s="413">
        <f t="shared" si="17"/>
        <v>3.0095642794291084</v>
      </c>
      <c r="H273" s="413">
        <f t="shared" si="18"/>
        <v>2.4052377019610898</v>
      </c>
      <c r="I273" s="414">
        <f t="shared" si="19"/>
        <v>440.13784304245155</v>
      </c>
      <c r="J273" s="414">
        <f t="shared" si="19"/>
        <v>479.87877433631434</v>
      </c>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row>
    <row r="274" spans="1:43">
      <c r="A274" s="407">
        <f>Input!B267</f>
        <v>38232</v>
      </c>
      <c r="B274" s="419">
        <f t="shared" si="20"/>
        <v>36</v>
      </c>
      <c r="C274" s="411">
        <f>IF(Input!I267&lt;=0,"",Input!I267)</f>
        <v>2.6826089915955298</v>
      </c>
      <c r="D274" s="412">
        <f>IF(G274="","",Input!Q267)</f>
        <v>1.164971072166771</v>
      </c>
      <c r="E274" s="412">
        <f>IF(ISERROR(Input!AA267),"",Input!AA267)</f>
        <v>1.164971072166771</v>
      </c>
      <c r="F274" s="412">
        <f>IF(E274="","",Input!AQ267)</f>
        <v>0.95164697631534989</v>
      </c>
      <c r="G274" s="413">
        <f t="shared" si="17"/>
        <v>3.1251618731432647</v>
      </c>
      <c r="H274" s="413">
        <f t="shared" si="18"/>
        <v>2.5528967354882557</v>
      </c>
      <c r="I274" s="414">
        <f t="shared" si="19"/>
        <v>443.26300491559482</v>
      </c>
      <c r="J274" s="414">
        <f t="shared" si="19"/>
        <v>482.43167107180261</v>
      </c>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row>
    <row r="275" spans="1:43">
      <c r="A275" s="407">
        <f>Input!B268</f>
        <v>38233</v>
      </c>
      <c r="B275" s="419">
        <f t="shared" si="20"/>
        <v>36</v>
      </c>
      <c r="C275" s="411">
        <f>IF(Input!I268&lt;=0,"",Input!I268)</f>
        <v>2.8397308044820977</v>
      </c>
      <c r="D275" s="412">
        <f>IF(G275="","",Input!Q268)</f>
        <v>1.2</v>
      </c>
      <c r="E275" s="412">
        <f>IF(ISERROR(Input!AA268),"",Input!AA268)</f>
        <v>1.2</v>
      </c>
      <c r="F275" s="412">
        <f>IF(E275="","",Input!AQ268)</f>
        <v>0.94425637297786902</v>
      </c>
      <c r="G275" s="413">
        <f t="shared" si="17"/>
        <v>3.4076769653785171</v>
      </c>
      <c r="H275" s="413">
        <f t="shared" si="18"/>
        <v>2.6814339096737916</v>
      </c>
      <c r="I275" s="414">
        <f t="shared" si="19"/>
        <v>446.67068188097335</v>
      </c>
      <c r="J275" s="414">
        <f t="shared" si="19"/>
        <v>485.1131049814764</v>
      </c>
      <c r="K275" s="137"/>
      <c r="L275" s="137"/>
      <c r="M275" s="137"/>
      <c r="N275" s="137"/>
      <c r="O275" s="137"/>
      <c r="P275" s="137"/>
      <c r="Q275" s="137"/>
      <c r="R275" s="137"/>
      <c r="S275" s="137"/>
      <c r="T275" s="137"/>
      <c r="U275" s="137"/>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row>
    <row r="276" spans="1:43">
      <c r="A276" s="407">
        <f>Input!B269</f>
        <v>38234</v>
      </c>
      <c r="B276" s="419">
        <f t="shared" si="20"/>
        <v>36</v>
      </c>
      <c r="C276" s="411">
        <f>IF(Input!I269&lt;=0,"",Input!I269)</f>
        <v>2.7938136612243123</v>
      </c>
      <c r="D276" s="412">
        <f>IF(G276="","",Input!Q269)</f>
        <v>1.2</v>
      </c>
      <c r="E276" s="412">
        <f>IF(ISERROR(Input!AA269),"",Input!AA269)</f>
        <v>1.2</v>
      </c>
      <c r="F276" s="412">
        <f>IF(E276="","",Input!AQ269)</f>
        <v>0.93686576964038815</v>
      </c>
      <c r="G276" s="413">
        <f t="shared" si="17"/>
        <v>3.3525763934691746</v>
      </c>
      <c r="H276" s="413">
        <f t="shared" si="18"/>
        <v>2.6174283859547458</v>
      </c>
      <c r="I276" s="414">
        <f t="shared" si="19"/>
        <v>450.02325827444253</v>
      </c>
      <c r="J276" s="414">
        <f t="shared" si="19"/>
        <v>487.73053336743112</v>
      </c>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row>
    <row r="277" spans="1:43">
      <c r="A277" s="407">
        <f>Input!B270</f>
        <v>38235</v>
      </c>
      <c r="B277" s="419">
        <f t="shared" si="20"/>
        <v>36</v>
      </c>
      <c r="C277" s="411">
        <f>IF(Input!I270&lt;=0,"",Input!I270)</f>
        <v>2.6424369934627041</v>
      </c>
      <c r="D277" s="412">
        <f>IF(G277="","",Input!Q270)</f>
        <v>1.1375015013948462</v>
      </c>
      <c r="E277" s="412">
        <f>IF(ISERROR(Input!AA270),"",Input!AA270)</f>
        <v>1.1375015013948462</v>
      </c>
      <c r="F277" s="412">
        <f>IF(E277="","",Input!AQ270)</f>
        <v>0.92947516630290727</v>
      </c>
      <c r="G277" s="413">
        <f t="shared" si="17"/>
        <v>3.0057760474051092</v>
      </c>
      <c r="H277" s="413">
        <f t="shared" si="18"/>
        <v>2.4560795639437014</v>
      </c>
      <c r="I277" s="414">
        <f t="shared" si="19"/>
        <v>453.02903432184763</v>
      </c>
      <c r="J277" s="414">
        <f t="shared" si="19"/>
        <v>490.18661293137484</v>
      </c>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row>
    <row r="278" spans="1:43">
      <c r="A278" s="407">
        <f>Input!B271</f>
        <v>38236</v>
      </c>
      <c r="B278" s="419">
        <f t="shared" si="20"/>
        <v>36</v>
      </c>
      <c r="C278" s="411">
        <f>IF(Input!I271&lt;=0,"",Input!I271)</f>
        <v>2.578113702697407</v>
      </c>
      <c r="D278" s="412">
        <f>IF(G278="","",Input!Q271)</f>
        <v>0.93104368732006482</v>
      </c>
      <c r="E278" s="412">
        <f>IF(ISERROR(Input!AA271),"",Input!AA271)</f>
        <v>0.93104368732006482</v>
      </c>
      <c r="F278" s="412">
        <f>IF(E278="","",Input!AQ271)</f>
        <v>0.9220845629654264</v>
      </c>
      <c r="G278" s="413">
        <f t="shared" si="17"/>
        <v>2.4003364880897791</v>
      </c>
      <c r="H278" s="413">
        <f t="shared" si="18"/>
        <v>2.3772388468269159</v>
      </c>
      <c r="I278" s="414">
        <f t="shared" si="19"/>
        <v>455.42937080993744</v>
      </c>
      <c r="J278" s="414">
        <f t="shared" si="19"/>
        <v>492.56385177820175</v>
      </c>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row>
    <row r="279" spans="1:43">
      <c r="A279" s="407">
        <f>Input!B272</f>
        <v>38237</v>
      </c>
      <c r="B279" s="419">
        <f t="shared" si="20"/>
        <v>36</v>
      </c>
      <c r="C279" s="411">
        <f>IF(Input!I272&lt;=0,"",Input!I272)</f>
        <v>2.0862799704609447</v>
      </c>
      <c r="D279" s="412">
        <f>IF(G279="","",Input!Q272)</f>
        <v>0.82627075577701126</v>
      </c>
      <c r="E279" s="412">
        <f>IF(ISERROR(Input!AA272),"",Input!AA272)</f>
        <v>0.84642857142857286</v>
      </c>
      <c r="F279" s="412">
        <f>IF(E279="","",Input!AQ272)</f>
        <v>0.91469395962794553</v>
      </c>
      <c r="G279" s="413">
        <f t="shared" si="17"/>
        <v>1.7658869749973025</v>
      </c>
      <c r="H279" s="413">
        <f t="shared" si="18"/>
        <v>1.9083076870733948</v>
      </c>
      <c r="I279" s="414">
        <f t="shared" si="19"/>
        <v>457.19525778493477</v>
      </c>
      <c r="J279" s="414">
        <f t="shared" si="19"/>
        <v>494.47215946527513</v>
      </c>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row>
    <row r="280" spans="1:43">
      <c r="A280" s="407">
        <f>Input!B273</f>
        <v>38238</v>
      </c>
      <c r="B280" s="419">
        <f t="shared" si="20"/>
        <v>36</v>
      </c>
      <c r="C280" s="411">
        <f>IF(Input!I273&lt;=0,"",Input!I273)</f>
        <v>2.9138217266599553</v>
      </c>
      <c r="D280" s="412">
        <f>IF(G280="","",Input!Q273)</f>
        <v>0.72497412661926508</v>
      </c>
      <c r="E280" s="412">
        <f>IF(ISERROR(Input!AA273),"",Input!AA273)</f>
        <v>0.83571428571428719</v>
      </c>
      <c r="F280" s="412">
        <f>IF(E280="","",Input!AQ273)</f>
        <v>0.90730335629046466</v>
      </c>
      <c r="G280" s="413">
        <f t="shared" si="17"/>
        <v>2.4351224429943956</v>
      </c>
      <c r="H280" s="413">
        <f t="shared" si="18"/>
        <v>2.6437202322306543</v>
      </c>
      <c r="I280" s="414">
        <f t="shared" si="19"/>
        <v>459.63038022792915</v>
      </c>
      <c r="J280" s="414">
        <f t="shared" si="19"/>
        <v>497.11587969750576</v>
      </c>
      <c r="K280" s="137"/>
      <c r="L280" s="137"/>
      <c r="M280" s="137"/>
      <c r="N280" s="137"/>
      <c r="O280" s="137"/>
      <c r="P280" s="137"/>
      <c r="Q280" s="137"/>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row>
    <row r="281" spans="1:43">
      <c r="A281" s="407">
        <f>Input!B274</f>
        <v>38239</v>
      </c>
      <c r="B281" s="419">
        <f t="shared" si="20"/>
        <v>37</v>
      </c>
      <c r="C281" s="411">
        <f>IF(Input!I274&lt;=0,"",Input!I274)</f>
        <v>2.9219428494973703</v>
      </c>
      <c r="D281" s="412">
        <f>IF(G281="","",Input!Q274)</f>
        <v>0.65302984032757672</v>
      </c>
      <c r="E281" s="412">
        <f>IF(ISERROR(Input!AA274),"",Input!AA274)</f>
        <v>0.82500000000000151</v>
      </c>
      <c r="F281" s="412">
        <f>IF(E281="","",Input!AQ274)</f>
        <v>0.89991275295298379</v>
      </c>
      <c r="G281" s="413">
        <f t="shared" si="17"/>
        <v>2.410602850835335</v>
      </c>
      <c r="H281" s="413">
        <f t="shared" si="18"/>
        <v>2.6294936336624644</v>
      </c>
      <c r="I281" s="414">
        <f t="shared" si="19"/>
        <v>462.0409830787645</v>
      </c>
      <c r="J281" s="414">
        <f t="shared" si="19"/>
        <v>499.74537333116825</v>
      </c>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row>
    <row r="282" spans="1:43">
      <c r="A282" s="407">
        <f>Input!B275</f>
        <v>38240</v>
      </c>
      <c r="B282" s="419">
        <f t="shared" si="20"/>
        <v>37</v>
      </c>
      <c r="C282" s="411">
        <f>IF(Input!I275&lt;=0,"",Input!I275)</f>
        <v>2.6313715600740846</v>
      </c>
      <c r="D282" s="412">
        <f>IF(G282="","",Input!Q275)</f>
        <v>0.60351261222789609</v>
      </c>
      <c r="E282" s="412">
        <f>IF(ISERROR(Input!AA275),"",Input!AA275)</f>
        <v>0.81428571428571583</v>
      </c>
      <c r="F282" s="412">
        <f>IF(E282="","",Input!AQ275)</f>
        <v>0.89252214961550291</v>
      </c>
      <c r="G282" s="413">
        <f t="shared" si="17"/>
        <v>2.1426882703460444</v>
      </c>
      <c r="H282" s="413">
        <f t="shared" si="18"/>
        <v>2.3485574012344212</v>
      </c>
      <c r="I282" s="414">
        <f t="shared" si="19"/>
        <v>464.18367134911057</v>
      </c>
      <c r="J282" s="414">
        <f t="shared" si="19"/>
        <v>502.09393073240267</v>
      </c>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row>
    <row r="283" spans="1:43">
      <c r="A283" s="407">
        <f>Input!B276</f>
        <v>38241</v>
      </c>
      <c r="B283" s="419">
        <f t="shared" si="20"/>
        <v>37</v>
      </c>
      <c r="C283" s="411">
        <f>IF(Input!I276&lt;=0,"",Input!I276)</f>
        <v>2.9416653353000819</v>
      </c>
      <c r="D283" s="412">
        <f>IF(G283="","",Input!Q276)</f>
        <v>0.55940948884696218</v>
      </c>
      <c r="E283" s="412">
        <f>IF(ISERROR(Input!AA276),"",Input!AA276)</f>
        <v>0.80357142857143016</v>
      </c>
      <c r="F283" s="412">
        <f>IF(E283="","",Input!AQ276)</f>
        <v>0.88513154627802204</v>
      </c>
      <c r="G283" s="413">
        <f t="shared" si="17"/>
        <v>2.3638382158661417</v>
      </c>
      <c r="H283" s="413">
        <f t="shared" si="18"/>
        <v>2.6037607868666175</v>
      </c>
      <c r="I283" s="414">
        <f t="shared" si="19"/>
        <v>466.54750956497674</v>
      </c>
      <c r="J283" s="414">
        <f t="shared" si="19"/>
        <v>504.69769151926931</v>
      </c>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row>
    <row r="284" spans="1:43">
      <c r="A284" s="407">
        <f>Input!B277</f>
        <v>38242</v>
      </c>
      <c r="B284" s="419">
        <f t="shared" si="20"/>
        <v>37</v>
      </c>
      <c r="C284" s="411">
        <f>IF(Input!I277&lt;=0,"",Input!I277)</f>
        <v>2.4586716698177891</v>
      </c>
      <c r="D284" s="412">
        <f>IF(G284="","",Input!Q277)</f>
        <v>1.2</v>
      </c>
      <c r="E284" s="412">
        <f>IF(ISERROR(Input!AA277),"",Input!AA277)</f>
        <v>1.2</v>
      </c>
      <c r="F284" s="412">
        <f>IF(E284="","",Input!AQ277)</f>
        <v>0.87774094294054117</v>
      </c>
      <c r="G284" s="413">
        <f t="shared" si="17"/>
        <v>2.9504060037813469</v>
      </c>
      <c r="H284" s="413">
        <f t="shared" si="18"/>
        <v>2.158076789847061</v>
      </c>
      <c r="I284" s="414">
        <f t="shared" si="19"/>
        <v>469.49791556875806</v>
      </c>
      <c r="J284" s="414">
        <f t="shared" si="19"/>
        <v>506.8557683091164</v>
      </c>
      <c r="K284" s="137"/>
      <c r="L284" s="137"/>
      <c r="M284" s="137"/>
      <c r="N284" s="137"/>
      <c r="O284" s="137"/>
      <c r="P284" s="137"/>
      <c r="Q284" s="137"/>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row>
    <row r="285" spans="1:43">
      <c r="A285" s="407">
        <f>Input!B278</f>
        <v>38243</v>
      </c>
      <c r="B285" s="419">
        <f t="shared" si="20"/>
        <v>37</v>
      </c>
      <c r="C285" s="411">
        <f>IF(Input!I278&lt;=0,"",Input!I278)</f>
        <v>0.60772138538312692</v>
      </c>
      <c r="D285" s="412">
        <f>IF(G285="","",Input!Q278)</f>
        <v>1.2</v>
      </c>
      <c r="E285" s="412">
        <f>IF(ISERROR(Input!AA278),"",Input!AA278)</f>
        <v>1.2</v>
      </c>
      <c r="F285" s="412">
        <f>IF(E285="","",Input!AQ278)</f>
        <v>0.8703503396030603</v>
      </c>
      <c r="G285" s="413">
        <f t="shared" si="17"/>
        <v>0.72926566245975233</v>
      </c>
      <c r="H285" s="413">
        <f t="shared" si="18"/>
        <v>0.52893051415224679</v>
      </c>
      <c r="I285" s="414">
        <f t="shared" si="19"/>
        <v>470.2271812312178</v>
      </c>
      <c r="J285" s="414">
        <f t="shared" si="19"/>
        <v>507.38469882326865</v>
      </c>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row>
    <row r="286" spans="1:43">
      <c r="A286" s="407">
        <f>Input!B279</f>
        <v>38244</v>
      </c>
      <c r="B286" s="419">
        <f t="shared" si="20"/>
        <v>37</v>
      </c>
      <c r="C286" s="411">
        <f>IF(Input!I279&lt;=0,"",Input!I279)</f>
        <v>1.6459072285947327</v>
      </c>
      <c r="D286" s="412">
        <f>IF(G286="","",Input!Q279)</f>
        <v>1.2</v>
      </c>
      <c r="E286" s="412">
        <f>IF(ISERROR(Input!AA279),"",Input!AA279)</f>
        <v>1.2</v>
      </c>
      <c r="F286" s="412">
        <f>IF(E286="","",Input!AQ279)</f>
        <v>0.86295973626557942</v>
      </c>
      <c r="G286" s="413">
        <f t="shared" ref="G286:G349" si="21">IF(E286="","",E286*C286)</f>
        <v>1.9750886743136791</v>
      </c>
      <c r="H286" s="413">
        <f t="shared" ref="H286:H349" si="22">IF(F286="","",F286*C286)</f>
        <v>1.4203516679057213</v>
      </c>
      <c r="I286" s="414">
        <f t="shared" ref="I286:J349" si="23">IF(G286="",0,IF(I285="",G286,I285+G286))</f>
        <v>472.20226990553147</v>
      </c>
      <c r="J286" s="414">
        <f t="shared" si="23"/>
        <v>508.80505049117437</v>
      </c>
      <c r="K286" s="137"/>
      <c r="L286" s="137"/>
      <c r="M286" s="137"/>
      <c r="N286" s="137"/>
      <c r="O286" s="137"/>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row>
    <row r="287" spans="1:43">
      <c r="A287" s="407">
        <f>Input!B280</f>
        <v>38245</v>
      </c>
      <c r="B287" s="419">
        <f t="shared" si="20"/>
        <v>37</v>
      </c>
      <c r="C287" s="411">
        <f>IF(Input!I280&lt;=0,"",Input!I280)</f>
        <v>1.7463882963650035</v>
      </c>
      <c r="D287" s="412">
        <f>IF(G287="","",Input!Q280)</f>
        <v>1.0407155047635945</v>
      </c>
      <c r="E287" s="412">
        <f>IF(ISERROR(Input!AA280),"",Input!AA280)</f>
        <v>1.0407155047635945</v>
      </c>
      <c r="F287" s="412">
        <f>IF(E287="","",Input!AQ280)</f>
        <v>0.85556913292809855</v>
      </c>
      <c r="G287" s="413">
        <f t="shared" si="21"/>
        <v>1.8174933773647386</v>
      </c>
      <c r="H287" s="413">
        <f t="shared" si="22"/>
        <v>1.4941559204767851</v>
      </c>
      <c r="I287" s="414">
        <f t="shared" si="23"/>
        <v>474.01976328289618</v>
      </c>
      <c r="J287" s="414">
        <f t="shared" si="23"/>
        <v>510.29920641165114</v>
      </c>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row>
    <row r="288" spans="1:43">
      <c r="A288" s="407">
        <f>Input!B281</f>
        <v>38246</v>
      </c>
      <c r="B288" s="419">
        <f t="shared" si="20"/>
        <v>38</v>
      </c>
      <c r="C288" s="411">
        <f>IF(Input!I281&lt;=0,"",Input!I281)</f>
        <v>1.7418765144277353</v>
      </c>
      <c r="D288" s="412">
        <f>IF(G288="","",Input!Q281)</f>
        <v>0.92007475769731828</v>
      </c>
      <c r="E288" s="412">
        <f>IF(ISERROR(Input!AA281),"",Input!AA281)</f>
        <v>0.92007475769731828</v>
      </c>
      <c r="F288" s="412">
        <f>IF(E288="","",Input!AQ281)</f>
        <v>0.84817852959061768</v>
      </c>
      <c r="G288" s="413">
        <f t="shared" si="21"/>
        <v>1.6026566119507479</v>
      </c>
      <c r="H288" s="413">
        <f t="shared" si="22"/>
        <v>1.4774222607357468</v>
      </c>
      <c r="I288" s="414">
        <f t="shared" si="23"/>
        <v>475.62241989484693</v>
      </c>
      <c r="J288" s="414">
        <f t="shared" si="23"/>
        <v>511.77662867238689</v>
      </c>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row>
    <row r="289" spans="1:43">
      <c r="A289" s="407">
        <f>Input!B282</f>
        <v>38247</v>
      </c>
      <c r="B289" s="419">
        <f t="shared" si="20"/>
        <v>38</v>
      </c>
      <c r="C289" s="411">
        <f>IF(Input!I282&lt;=0,"",Input!I282)</f>
        <v>1.510606778004419</v>
      </c>
      <c r="D289" s="412">
        <f>IF(G289="","",Input!Q282)</f>
        <v>0.84320726572590232</v>
      </c>
      <c r="E289" s="412">
        <f>IF(ISERROR(Input!AA282),"",Input!AA282)</f>
        <v>0.84320726572590232</v>
      </c>
      <c r="F289" s="412">
        <f>IF(E289="","",Input!AQ282)</f>
        <v>0.84078792625313681</v>
      </c>
      <c r="G289" s="413">
        <f t="shared" si="21"/>
        <v>1.2737546108681213</v>
      </c>
      <c r="H289" s="413">
        <f t="shared" si="22"/>
        <v>1.2700999402622681</v>
      </c>
      <c r="I289" s="414">
        <f t="shared" si="23"/>
        <v>476.89617450571507</v>
      </c>
      <c r="J289" s="414">
        <f t="shared" si="23"/>
        <v>513.04672861264919</v>
      </c>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row>
    <row r="290" spans="1:43">
      <c r="A290" s="407">
        <f>Input!B283</f>
        <v>38248</v>
      </c>
      <c r="B290" s="419">
        <f t="shared" si="20"/>
        <v>38</v>
      </c>
      <c r="C290" s="411">
        <f>IF(Input!I283&lt;=0,"",Input!I283)</f>
        <v>2.0939021302323595</v>
      </c>
      <c r="D290" s="412">
        <f>IF(G290="","",Input!Q283)</f>
        <v>0.76239326352819414</v>
      </c>
      <c r="E290" s="412">
        <f>IF(ISERROR(Input!AA283),"",Input!AA283)</f>
        <v>0.76239326352819414</v>
      </c>
      <c r="F290" s="412">
        <f>IF(E290="","",Input!AQ283)</f>
        <v>0.83339732291565594</v>
      </c>
      <c r="G290" s="413">
        <f t="shared" si="21"/>
        <v>1.5963768785764862</v>
      </c>
      <c r="H290" s="413">
        <f t="shared" si="22"/>
        <v>1.7450524297830377</v>
      </c>
      <c r="I290" s="414">
        <f t="shared" si="23"/>
        <v>478.49255138429157</v>
      </c>
      <c r="J290" s="414">
        <f t="shared" si="23"/>
        <v>514.79178104243226</v>
      </c>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row>
    <row r="291" spans="1:43">
      <c r="A291" s="407">
        <f>Input!B284</f>
        <v>38249</v>
      </c>
      <c r="B291" s="419">
        <f t="shared" si="20"/>
        <v>38</v>
      </c>
      <c r="C291" s="411">
        <f>IF(Input!I284&lt;=0,"",Input!I284)</f>
        <v>2.0557482287284605</v>
      </c>
      <c r="D291" s="412">
        <f>IF(G291="","",Input!Q284)</f>
        <v>0.70178387622993943</v>
      </c>
      <c r="E291" s="412">
        <f>IF(ISERROR(Input!AA284),"",Input!AA284)</f>
        <v>0.71785714285714475</v>
      </c>
      <c r="F291" s="412">
        <f>IF(E291="","",Input!AQ284)</f>
        <v>0.82600671957817506</v>
      </c>
      <c r="G291" s="413">
        <f t="shared" si="21"/>
        <v>1.4757335499086488</v>
      </c>
      <c r="H291" s="413">
        <f t="shared" si="22"/>
        <v>1.6980618506906395</v>
      </c>
      <c r="I291" s="414">
        <f t="shared" si="23"/>
        <v>479.9682849342002</v>
      </c>
      <c r="J291" s="414">
        <f t="shared" si="23"/>
        <v>516.48984289312295</v>
      </c>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row>
    <row r="292" spans="1:43">
      <c r="A292" s="407">
        <f>Input!B285</f>
        <v>38250</v>
      </c>
      <c r="B292" s="419">
        <f t="shared" si="20"/>
        <v>38</v>
      </c>
      <c r="C292" s="411">
        <f>IF(Input!I285&lt;=0,"",Input!I285)</f>
        <v>1.7686822371330457</v>
      </c>
      <c r="D292" s="412">
        <f>IF(G292="","",Input!Q285)</f>
        <v>0.65961538820870136</v>
      </c>
      <c r="E292" s="412">
        <f>IF(ISERROR(Input!AA285),"",Input!AA285)</f>
        <v>0.70714285714285907</v>
      </c>
      <c r="F292" s="412">
        <f>IF(E292="","",Input!AQ285)</f>
        <v>0.81861611624069419</v>
      </c>
      <c r="G292" s="413">
        <f t="shared" si="21"/>
        <v>1.2507110105440857</v>
      </c>
      <c r="H292" s="413">
        <f t="shared" si="22"/>
        <v>1.4478717838257564</v>
      </c>
      <c r="I292" s="414">
        <f t="shared" si="23"/>
        <v>481.21899594474428</v>
      </c>
      <c r="J292" s="414">
        <f t="shared" si="23"/>
        <v>517.93771467694876</v>
      </c>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row>
    <row r="293" spans="1:43">
      <c r="A293" s="407">
        <f>Input!B286</f>
        <v>38251</v>
      </c>
      <c r="B293" s="419">
        <f t="shared" ref="B293:B356" si="24">IF(MOD(A292-A$28,7)=0,B292+1,B292)</f>
        <v>38</v>
      </c>
      <c r="C293" s="411">
        <f>IF(Input!I286&lt;=0,"",Input!I286)</f>
        <v>1.7556894234257725</v>
      </c>
      <c r="D293" s="412">
        <f>IF(G293="","",Input!Q286)</f>
        <v>0.62435826440451059</v>
      </c>
      <c r="E293" s="412">
        <f>IF(ISERROR(Input!AA286),"",Input!AA286)</f>
        <v>0.6964285714285734</v>
      </c>
      <c r="F293" s="412">
        <f>IF(E293="","",Input!AQ286)</f>
        <v>0.81122551290321332</v>
      </c>
      <c r="G293" s="413">
        <f t="shared" si="21"/>
        <v>1.2227122770286665</v>
      </c>
      <c r="H293" s="413">
        <f t="shared" si="22"/>
        <v>1.4242600530173191</v>
      </c>
      <c r="I293" s="414">
        <f t="shared" si="23"/>
        <v>482.44170822177296</v>
      </c>
      <c r="J293" s="414">
        <f t="shared" si="23"/>
        <v>519.36197472996605</v>
      </c>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row>
    <row r="294" spans="1:43">
      <c r="A294" s="407">
        <f>Input!B287</f>
        <v>38252</v>
      </c>
      <c r="B294" s="419">
        <f t="shared" si="24"/>
        <v>38</v>
      </c>
      <c r="C294" s="411">
        <f>IF(Input!I287&lt;=0,"",Input!I287)</f>
        <v>1.5169243163561759</v>
      </c>
      <c r="D294" s="412">
        <f>IF(G294="","",Input!Q287)</f>
        <v>0.59798060965479261</v>
      </c>
      <c r="E294" s="412">
        <f>IF(ISERROR(Input!AA287),"",Input!AA287)</f>
        <v>0.68571428571428772</v>
      </c>
      <c r="F294" s="412">
        <f>IF(E294="","",Input!AQ287)</f>
        <v>0.80383490956573245</v>
      </c>
      <c r="G294" s="413">
        <f t="shared" si="21"/>
        <v>1.0401766740728093</v>
      </c>
      <c r="H294" s="413">
        <f t="shared" si="22"/>
        <v>1.2193567206562272</v>
      </c>
      <c r="I294" s="414">
        <f t="shared" si="23"/>
        <v>483.48188489584578</v>
      </c>
      <c r="J294" s="414">
        <f t="shared" si="23"/>
        <v>520.58133145062232</v>
      </c>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row>
    <row r="295" spans="1:43">
      <c r="A295" s="407">
        <f>Input!B288</f>
        <v>38253</v>
      </c>
      <c r="B295" s="419">
        <f t="shared" si="24"/>
        <v>39</v>
      </c>
      <c r="C295" s="411">
        <f>IF(Input!I288&lt;=0,"",Input!I288)</f>
        <v>1.8826041136831777</v>
      </c>
      <c r="D295" s="412">
        <f>IF(G295="","",Input!Q288)</f>
        <v>0.56939085226491981</v>
      </c>
      <c r="E295" s="412">
        <f>IF(ISERROR(Input!AA288),"",Input!AA288)</f>
        <v>0.67500000000000204</v>
      </c>
      <c r="F295" s="412">
        <f>IF(E295="","",Input!AQ288)</f>
        <v>0.79644430622825158</v>
      </c>
      <c r="G295" s="413">
        <f t="shared" si="21"/>
        <v>1.2707577767361489</v>
      </c>
      <c r="H295" s="413">
        <f t="shared" si="22"/>
        <v>1.4993893272248509</v>
      </c>
      <c r="I295" s="414">
        <f t="shared" si="23"/>
        <v>484.75264267258194</v>
      </c>
      <c r="J295" s="414">
        <f t="shared" si="23"/>
        <v>522.0807207778472</v>
      </c>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row>
    <row r="296" spans="1:43">
      <c r="A296" s="407">
        <f>Input!B289</f>
        <v>38254</v>
      </c>
      <c r="B296" s="419">
        <f t="shared" si="24"/>
        <v>39</v>
      </c>
      <c r="C296" s="411">
        <f>IF(Input!I289&lt;=0,"",Input!I289)</f>
        <v>0.52196974349221081</v>
      </c>
      <c r="D296" s="412">
        <f>IF(G296="","",Input!Q289)</f>
        <v>0.56215002653106416</v>
      </c>
      <c r="E296" s="412">
        <f>IF(ISERROR(Input!AA289),"",Input!AA289)</f>
        <v>0.66428571428571637</v>
      </c>
      <c r="F296" s="412">
        <f>IF(E296="","",Input!AQ289)</f>
        <v>0.7890537028907707</v>
      </c>
      <c r="G296" s="413">
        <f t="shared" si="21"/>
        <v>0.34673704389125543</v>
      </c>
      <c r="H296" s="413">
        <f t="shared" si="22"/>
        <v>0.4118621588994747</v>
      </c>
      <c r="I296" s="414">
        <f t="shared" si="23"/>
        <v>485.09937971647321</v>
      </c>
      <c r="J296" s="414">
        <f t="shared" si="23"/>
        <v>522.49258293674666</v>
      </c>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row>
    <row r="297" spans="1:43">
      <c r="A297" s="407">
        <f>Input!B290</f>
        <v>38255</v>
      </c>
      <c r="B297" s="419">
        <f t="shared" si="24"/>
        <v>39</v>
      </c>
      <c r="C297" s="411">
        <f>IF(Input!I290&lt;=0,"",Input!I290)</f>
        <v>1.4602956391032043</v>
      </c>
      <c r="D297" s="412">
        <f>IF(G297="","",Input!Q290)</f>
        <v>0.54324636739436305</v>
      </c>
      <c r="E297" s="412">
        <f>IF(ISERROR(Input!AA290),"",Input!AA290)</f>
        <v>0.65357142857143069</v>
      </c>
      <c r="F297" s="412">
        <f>IF(E297="","",Input!AQ290)</f>
        <v>0.78166309955328983</v>
      </c>
      <c r="G297" s="413">
        <f t="shared" si="21"/>
        <v>0.95440750698531163</v>
      </c>
      <c r="H297" s="413">
        <f t="shared" si="22"/>
        <v>1.141459215525563</v>
      </c>
      <c r="I297" s="414">
        <f t="shared" si="23"/>
        <v>486.05378722345853</v>
      </c>
      <c r="J297" s="414">
        <f t="shared" si="23"/>
        <v>523.63404215227217</v>
      </c>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row>
    <row r="298" spans="1:43">
      <c r="A298" s="407">
        <f>Input!B291</f>
        <v>38256</v>
      </c>
      <c r="B298" s="419">
        <f t="shared" si="24"/>
        <v>39</v>
      </c>
      <c r="C298" s="411">
        <f>IF(Input!I291&lt;=0,"",Input!I291)</f>
        <v>2.2341226653855277</v>
      </c>
      <c r="D298" s="412">
        <f>IF(G298="","",Input!Q291)</f>
        <v>0.51763008417344325</v>
      </c>
      <c r="E298" s="412">
        <f>IF(ISERROR(Input!AA291),"",Input!AA291)</f>
        <v>0.64285714285714501</v>
      </c>
      <c r="F298" s="412">
        <f>IF(E298="","",Input!AQ291)</f>
        <v>0.77427249621580896</v>
      </c>
      <c r="G298" s="413">
        <f t="shared" si="21"/>
        <v>1.4362217134621298</v>
      </c>
      <c r="H298" s="413">
        <f t="shared" si="22"/>
        <v>1.7298197329803691</v>
      </c>
      <c r="I298" s="414">
        <f t="shared" si="23"/>
        <v>487.49000893692067</v>
      </c>
      <c r="J298" s="414">
        <f t="shared" si="23"/>
        <v>525.3638618852525</v>
      </c>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row>
    <row r="299" spans="1:43">
      <c r="A299" s="407">
        <f>Input!B292</f>
        <v>38257</v>
      </c>
      <c r="B299" s="419">
        <f t="shared" si="24"/>
        <v>39</v>
      </c>
      <c r="C299" s="411">
        <f>IF(Input!I292&lt;=0,"",Input!I292)</f>
        <v>2.090242492287</v>
      </c>
      <c r="D299" s="412">
        <f>IF(G299="","",Input!Q292)</f>
        <v>0.49662190218803759</v>
      </c>
      <c r="E299" s="412">
        <f>IF(ISERROR(Input!AA292),"",Input!AA292)</f>
        <v>0.63214285714285934</v>
      </c>
      <c r="F299" s="412">
        <f>IF(E299="","",Input!AQ292)</f>
        <v>0.76688189287832809</v>
      </c>
      <c r="G299" s="413">
        <f t="shared" si="21"/>
        <v>1.3213318611957152</v>
      </c>
      <c r="H299" s="413">
        <f t="shared" si="22"/>
        <v>1.6029691190597686</v>
      </c>
      <c r="I299" s="414">
        <f t="shared" si="23"/>
        <v>488.81134079811636</v>
      </c>
      <c r="J299" s="414">
        <f t="shared" si="23"/>
        <v>526.96683100431233</v>
      </c>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row>
    <row r="300" spans="1:43">
      <c r="A300" s="407">
        <f>Input!B293</f>
        <v>38258</v>
      </c>
      <c r="B300" s="419">
        <f t="shared" si="24"/>
        <v>39</v>
      </c>
      <c r="C300" s="411">
        <f>IF(Input!I293&lt;=0,"",Input!I293)</f>
        <v>1.7635447241882989</v>
      </c>
      <c r="D300" s="412">
        <f>IF(G300="","",Input!Q293)</f>
        <v>0.48072114497640106</v>
      </c>
      <c r="E300" s="412">
        <f>IF(ISERROR(Input!AA293),"",Input!AA293)</f>
        <v>0.62142857142857366</v>
      </c>
      <c r="F300" s="412">
        <f>IF(E300="","",Input!AQ293)</f>
        <v>0.75949128954084721</v>
      </c>
      <c r="G300" s="413">
        <f t="shared" si="21"/>
        <v>1.0959170786027326</v>
      </c>
      <c r="H300" s="413">
        <f t="shared" si="22"/>
        <v>1.3393968567367289</v>
      </c>
      <c r="I300" s="414">
        <f t="shared" si="23"/>
        <v>489.90725787671909</v>
      </c>
      <c r="J300" s="414">
        <f t="shared" si="23"/>
        <v>528.30622786104902</v>
      </c>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row>
    <row r="301" spans="1:43">
      <c r="A301" s="407">
        <f>Input!B294</f>
        <v>38259</v>
      </c>
      <c r="B301" s="419">
        <f t="shared" si="24"/>
        <v>39</v>
      </c>
      <c r="C301" s="411">
        <f>IF(Input!I294&lt;=0,"",Input!I294)</f>
        <v>1.5355098261541054</v>
      </c>
      <c r="D301" s="412">
        <f>IF(G301="","",Input!Q294)</f>
        <v>0.46803082933592427</v>
      </c>
      <c r="E301" s="412">
        <f>IF(ISERROR(Input!AA294),"",Input!AA294)</f>
        <v>0.61071428571428799</v>
      </c>
      <c r="F301" s="412">
        <f>IF(E301="","",Input!AQ294)</f>
        <v>0.75210068620336634</v>
      </c>
      <c r="G301" s="413">
        <f t="shared" si="21"/>
        <v>0.93775778668697496</v>
      </c>
      <c r="H301" s="413">
        <f t="shared" si="22"/>
        <v>1.1548579939225143</v>
      </c>
      <c r="I301" s="414">
        <f t="shared" si="23"/>
        <v>490.84501566340606</v>
      </c>
      <c r="J301" s="414">
        <f t="shared" si="23"/>
        <v>529.46108585497154</v>
      </c>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row>
    <row r="302" spans="1:43">
      <c r="A302" s="407">
        <f>Input!B295</f>
        <v>38260</v>
      </c>
      <c r="B302" s="419">
        <f t="shared" si="24"/>
        <v>40</v>
      </c>
      <c r="C302" s="411">
        <f>IF(Input!I295&lt;=0,"",Input!I295)</f>
        <v>0.76441317371540662</v>
      </c>
      <c r="D302" s="412">
        <f>IF(G302="","",Input!Q295)</f>
        <v>0.46206968344766386</v>
      </c>
      <c r="E302" s="412">
        <f>IF(ISERROR(Input!AA295),"",Input!AA295)</f>
        <v>0.60000000000000231</v>
      </c>
      <c r="F302" s="412">
        <f>IF(E302="","",Input!AQ295)</f>
        <v>0.74471008286588547</v>
      </c>
      <c r="G302" s="413">
        <f t="shared" si="21"/>
        <v>0.45864790422924573</v>
      </c>
      <c r="H302" s="413">
        <f t="shared" si="22"/>
        <v>0.56926619794137501</v>
      </c>
      <c r="I302" s="414">
        <f t="shared" si="23"/>
        <v>491.30366356763528</v>
      </c>
      <c r="J302" s="414">
        <f t="shared" si="23"/>
        <v>530.03035205291292</v>
      </c>
      <c r="K302" s="137"/>
      <c r="L302" s="137"/>
      <c r="M302" s="137"/>
      <c r="N302" s="137"/>
      <c r="O302" s="137"/>
      <c r="P302" s="137"/>
      <c r="Q302" s="137"/>
      <c r="R302" s="137"/>
      <c r="S302" s="137"/>
      <c r="T302" s="137"/>
      <c r="U302" s="137"/>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row>
    <row r="303" spans="1:43">
      <c r="A303" s="407">
        <f>Input!B296</f>
        <v>38261</v>
      </c>
      <c r="B303" s="419">
        <f t="shared" si="24"/>
        <v>40</v>
      </c>
      <c r="C303" s="411">
        <f>IF(Input!I296&lt;=0,"",Input!I296)</f>
        <v>1.2283871496208394</v>
      </c>
      <c r="D303" s="412" t="str">
        <f>IF(G303="","",Input!Q296)</f>
        <v/>
      </c>
      <c r="E303" s="412" t="str">
        <f>IF(ISERROR(Input!AA296),"",Input!AA296)</f>
        <v/>
      </c>
      <c r="F303" s="412" t="str">
        <f>IF(E303="","",Input!AQ296)</f>
        <v/>
      </c>
      <c r="G303" s="413" t="str">
        <f t="shared" si="21"/>
        <v/>
      </c>
      <c r="H303" s="413" t="str">
        <f t="shared" si="22"/>
        <v/>
      </c>
      <c r="I303" s="414">
        <f t="shared" si="23"/>
        <v>0</v>
      </c>
      <c r="J303" s="414">
        <f t="shared" si="23"/>
        <v>0</v>
      </c>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row>
    <row r="304" spans="1:43">
      <c r="A304" s="407">
        <f>Input!B297</f>
        <v>38262</v>
      </c>
      <c r="B304" s="419">
        <f t="shared" si="24"/>
        <v>40</v>
      </c>
      <c r="C304" s="411">
        <f>IF(Input!I297&lt;=0,"",Input!I297)</f>
        <v>1.0207438910208613</v>
      </c>
      <c r="D304" s="412" t="str">
        <f>IF(G304="","",Input!Q297)</f>
        <v/>
      </c>
      <c r="E304" s="412" t="str">
        <f>IF(ISERROR(Input!AA297),"",Input!AA297)</f>
        <v/>
      </c>
      <c r="F304" s="412" t="str">
        <f>IF(E304="","",Input!AQ297)</f>
        <v/>
      </c>
      <c r="G304" s="413" t="str">
        <f t="shared" si="21"/>
        <v/>
      </c>
      <c r="H304" s="413" t="str">
        <f t="shared" si="22"/>
        <v/>
      </c>
      <c r="I304" s="414">
        <f t="shared" si="23"/>
        <v>0</v>
      </c>
      <c r="J304" s="414">
        <f t="shared" si="23"/>
        <v>0</v>
      </c>
      <c r="K304" s="137"/>
      <c r="L304" s="137"/>
      <c r="M304" s="137"/>
      <c r="N304" s="137"/>
      <c r="O304" s="137"/>
      <c r="P304" s="137"/>
      <c r="Q304" s="137"/>
      <c r="R304" s="137"/>
      <c r="S304" s="137"/>
      <c r="T304" s="137"/>
      <c r="U304" s="137"/>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row>
    <row r="305" spans="1:43">
      <c r="A305" s="407">
        <f>Input!B298</f>
        <v>38263</v>
      </c>
      <c r="B305" s="419">
        <f t="shared" si="24"/>
        <v>40</v>
      </c>
      <c r="C305" s="411">
        <f>IF(Input!I298&lt;=0,"",Input!I298)</f>
        <v>1.6491328487668226</v>
      </c>
      <c r="D305" s="412" t="str">
        <f>IF(G305="","",Input!Q298)</f>
        <v/>
      </c>
      <c r="E305" s="412" t="str">
        <f>IF(ISERROR(Input!AA298),"",Input!AA298)</f>
        <v/>
      </c>
      <c r="F305" s="412" t="str">
        <f>IF(E305="","",Input!AQ298)</f>
        <v/>
      </c>
      <c r="G305" s="413" t="str">
        <f t="shared" si="21"/>
        <v/>
      </c>
      <c r="H305" s="413" t="str">
        <f t="shared" si="22"/>
        <v/>
      </c>
      <c r="I305" s="414">
        <f t="shared" si="23"/>
        <v>0</v>
      </c>
      <c r="J305" s="414">
        <f t="shared" si="23"/>
        <v>0</v>
      </c>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row>
    <row r="306" spans="1:43">
      <c r="A306" s="407">
        <f>Input!B299</f>
        <v>38264</v>
      </c>
      <c r="B306" s="419">
        <f t="shared" si="24"/>
        <v>40</v>
      </c>
      <c r="C306" s="411">
        <f>IF(Input!I299&lt;=0,"",Input!I299)</f>
        <v>1.7470272988959599</v>
      </c>
      <c r="D306" s="412" t="str">
        <f>IF(G306="","",Input!Q299)</f>
        <v/>
      </c>
      <c r="E306" s="412" t="str">
        <f>IF(ISERROR(Input!AA299),"",Input!AA299)</f>
        <v/>
      </c>
      <c r="F306" s="412" t="str">
        <f>IF(E306="","",Input!AQ299)</f>
        <v/>
      </c>
      <c r="G306" s="413" t="str">
        <f t="shared" si="21"/>
        <v/>
      </c>
      <c r="H306" s="413" t="str">
        <f t="shared" si="22"/>
        <v/>
      </c>
      <c r="I306" s="414">
        <f t="shared" si="23"/>
        <v>0</v>
      </c>
      <c r="J306" s="414">
        <f t="shared" si="23"/>
        <v>0</v>
      </c>
      <c r="K306" s="137"/>
      <c r="L306" s="137"/>
      <c r="M306" s="137"/>
      <c r="N306" s="137"/>
      <c r="O306" s="137"/>
      <c r="P306" s="137"/>
      <c r="Q306" s="137"/>
      <c r="R306" s="137"/>
      <c r="S306" s="137"/>
      <c r="T306" s="137"/>
      <c r="U306" s="137"/>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row>
    <row r="307" spans="1:43">
      <c r="A307" s="407">
        <f>Input!B300</f>
        <v>38265</v>
      </c>
      <c r="B307" s="419">
        <f t="shared" si="24"/>
        <v>40</v>
      </c>
      <c r="C307" s="411">
        <f>IF(Input!I300&lt;=0,"",Input!I300)</f>
        <v>1.686918001811976</v>
      </c>
      <c r="D307" s="412" t="str">
        <f>IF(G307="","",Input!Q300)</f>
        <v/>
      </c>
      <c r="E307" s="412" t="str">
        <f>IF(ISERROR(Input!AA300),"",Input!AA300)</f>
        <v/>
      </c>
      <c r="F307" s="412" t="str">
        <f>IF(E307="","",Input!AQ300)</f>
        <v/>
      </c>
      <c r="G307" s="413" t="str">
        <f t="shared" si="21"/>
        <v/>
      </c>
      <c r="H307" s="413" t="str">
        <f t="shared" si="22"/>
        <v/>
      </c>
      <c r="I307" s="414">
        <f t="shared" si="23"/>
        <v>0</v>
      </c>
      <c r="J307" s="414">
        <f t="shared" si="23"/>
        <v>0</v>
      </c>
      <c r="K307" s="137"/>
      <c r="L307" s="137"/>
      <c r="M307" s="137"/>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row>
    <row r="308" spans="1:43">
      <c r="A308" s="407">
        <f>Input!B301</f>
        <v>38266</v>
      </c>
      <c r="B308" s="419">
        <f t="shared" si="24"/>
        <v>40</v>
      </c>
      <c r="C308" s="411">
        <f>IF(Input!I301&lt;=0,"",Input!I301)</f>
        <v>1.1149775155232635</v>
      </c>
      <c r="D308" s="412" t="str">
        <f>IF(G308="","",Input!Q301)</f>
        <v/>
      </c>
      <c r="E308" s="412" t="str">
        <f>IF(ISERROR(Input!AA301),"",Input!AA301)</f>
        <v/>
      </c>
      <c r="F308" s="412" t="str">
        <f>IF(E308="","",Input!AQ301)</f>
        <v/>
      </c>
      <c r="G308" s="413" t="str">
        <f t="shared" si="21"/>
        <v/>
      </c>
      <c r="H308" s="413" t="str">
        <f t="shared" si="22"/>
        <v/>
      </c>
      <c r="I308" s="414">
        <f t="shared" si="23"/>
        <v>0</v>
      </c>
      <c r="J308" s="414">
        <f t="shared" si="23"/>
        <v>0</v>
      </c>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row>
    <row r="309" spans="1:43">
      <c r="A309" s="407">
        <f>Input!B302</f>
        <v>38267</v>
      </c>
      <c r="B309" s="419">
        <f t="shared" si="24"/>
        <v>41</v>
      </c>
      <c r="C309" s="411">
        <f>IF(Input!I302&lt;=0,"",Input!I302)</f>
        <v>1.8464129891664798</v>
      </c>
      <c r="D309" s="412" t="str">
        <f>IF(G309="","",Input!Q302)</f>
        <v/>
      </c>
      <c r="E309" s="412" t="str">
        <f>IF(ISERROR(Input!AA302),"",Input!AA302)</f>
        <v/>
      </c>
      <c r="F309" s="412" t="str">
        <f>IF(E309="","",Input!AQ302)</f>
        <v/>
      </c>
      <c r="G309" s="413" t="str">
        <f t="shared" si="21"/>
        <v/>
      </c>
      <c r="H309" s="413" t="str">
        <f t="shared" si="22"/>
        <v/>
      </c>
      <c r="I309" s="414">
        <f t="shared" si="23"/>
        <v>0</v>
      </c>
      <c r="J309" s="414">
        <f t="shared" si="23"/>
        <v>0</v>
      </c>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row>
    <row r="310" spans="1:43">
      <c r="A310" s="407">
        <f>Input!B303</f>
        <v>38268</v>
      </c>
      <c r="B310" s="419">
        <f t="shared" si="24"/>
        <v>41</v>
      </c>
      <c r="C310" s="411">
        <f>IF(Input!I303&lt;=0,"",Input!I303)</f>
        <v>1.5303036358472843</v>
      </c>
      <c r="D310" s="412" t="str">
        <f>IF(G310="","",Input!Q303)</f>
        <v/>
      </c>
      <c r="E310" s="412" t="str">
        <f>IF(ISERROR(Input!AA303),"",Input!AA303)</f>
        <v/>
      </c>
      <c r="F310" s="412" t="str">
        <f>IF(E310="","",Input!AQ303)</f>
        <v/>
      </c>
      <c r="G310" s="413" t="str">
        <f t="shared" si="21"/>
        <v/>
      </c>
      <c r="H310" s="413" t="str">
        <f t="shared" si="22"/>
        <v/>
      </c>
      <c r="I310" s="414">
        <f t="shared" si="23"/>
        <v>0</v>
      </c>
      <c r="J310" s="414">
        <f t="shared" si="23"/>
        <v>0</v>
      </c>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row>
    <row r="311" spans="1:43">
      <c r="A311" s="407">
        <f>Input!B304</f>
        <v>38269</v>
      </c>
      <c r="B311" s="419">
        <f t="shared" si="24"/>
        <v>41</v>
      </c>
      <c r="C311" s="411">
        <f>IF(Input!I304&lt;=0,"",Input!I304)</f>
        <v>1.3902745849596458</v>
      </c>
      <c r="D311" s="412" t="str">
        <f>IF(G311="","",Input!Q304)</f>
        <v/>
      </c>
      <c r="E311" s="412" t="str">
        <f>IF(ISERROR(Input!AA304),"",Input!AA304)</f>
        <v/>
      </c>
      <c r="F311" s="412" t="str">
        <f>IF(E311="","",Input!AQ304)</f>
        <v/>
      </c>
      <c r="G311" s="413" t="str">
        <f t="shared" si="21"/>
        <v/>
      </c>
      <c r="H311" s="413" t="str">
        <f t="shared" si="22"/>
        <v/>
      </c>
      <c r="I311" s="414">
        <f t="shared" si="23"/>
        <v>0</v>
      </c>
      <c r="J311" s="414">
        <f t="shared" si="23"/>
        <v>0</v>
      </c>
      <c r="K311" s="137"/>
      <c r="L311" s="137"/>
      <c r="M311" s="137"/>
      <c r="N311" s="137"/>
      <c r="O311" s="137"/>
      <c r="P311" s="137"/>
      <c r="Q311" s="137"/>
      <c r="R311" s="137"/>
      <c r="S311" s="137"/>
      <c r="T311" s="137"/>
      <c r="U311" s="137"/>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row>
    <row r="312" spans="1:43">
      <c r="A312" s="407">
        <f>Input!B305</f>
        <v>38270</v>
      </c>
      <c r="B312" s="419">
        <f t="shared" si="24"/>
        <v>41</v>
      </c>
      <c r="C312" s="411">
        <f>IF(Input!I305&lt;=0,"",Input!I305)</f>
        <v>1.3337837455308192</v>
      </c>
      <c r="D312" s="412" t="str">
        <f>IF(G312="","",Input!Q305)</f>
        <v/>
      </c>
      <c r="E312" s="412" t="str">
        <f>IF(ISERROR(Input!AA305),"",Input!AA305)</f>
        <v/>
      </c>
      <c r="F312" s="412" t="str">
        <f>IF(E312="","",Input!AQ305)</f>
        <v/>
      </c>
      <c r="G312" s="413" t="str">
        <f t="shared" si="21"/>
        <v/>
      </c>
      <c r="H312" s="413" t="str">
        <f t="shared" si="22"/>
        <v/>
      </c>
      <c r="I312" s="414">
        <f t="shared" si="23"/>
        <v>0</v>
      </c>
      <c r="J312" s="414">
        <f t="shared" si="23"/>
        <v>0</v>
      </c>
      <c r="K312" s="137"/>
      <c r="L312" s="137"/>
      <c r="M312" s="137"/>
      <c r="N312" s="137"/>
      <c r="O312" s="137"/>
      <c r="P312" s="137"/>
      <c r="Q312" s="137"/>
      <c r="R312" s="137"/>
      <c r="S312" s="137"/>
      <c r="T312" s="137"/>
      <c r="U312" s="137"/>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row>
    <row r="313" spans="1:43">
      <c r="A313" s="407">
        <f>Input!B306</f>
        <v>38271</v>
      </c>
      <c r="B313" s="419">
        <f t="shared" si="24"/>
        <v>41</v>
      </c>
      <c r="C313" s="411">
        <f>IF(Input!I306&lt;=0,"",Input!I306)</f>
        <v>1.2083903019037199</v>
      </c>
      <c r="D313" s="412" t="str">
        <f>IF(G313="","",Input!Q306)</f>
        <v/>
      </c>
      <c r="E313" s="412" t="str">
        <f>IF(ISERROR(Input!AA306),"",Input!AA306)</f>
        <v/>
      </c>
      <c r="F313" s="412" t="str">
        <f>IF(E313="","",Input!AQ306)</f>
        <v/>
      </c>
      <c r="G313" s="413" t="str">
        <f t="shared" si="21"/>
        <v/>
      </c>
      <c r="H313" s="413" t="str">
        <f t="shared" si="22"/>
        <v/>
      </c>
      <c r="I313" s="414">
        <f t="shared" si="23"/>
        <v>0</v>
      </c>
      <c r="J313" s="414">
        <f t="shared" si="23"/>
        <v>0</v>
      </c>
      <c r="K313" s="137"/>
      <c r="L313" s="137"/>
      <c r="M313" s="137"/>
      <c r="N313" s="137"/>
      <c r="O313" s="137"/>
      <c r="P313" s="137"/>
      <c r="Q313" s="137"/>
      <c r="R313" s="137"/>
      <c r="S313" s="137"/>
      <c r="T313" s="137"/>
      <c r="U313" s="137"/>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row>
    <row r="314" spans="1:43">
      <c r="A314" s="407">
        <f>Input!B307</f>
        <v>38272</v>
      </c>
      <c r="B314" s="419">
        <f t="shared" si="24"/>
        <v>41</v>
      </c>
      <c r="C314" s="411">
        <f>IF(Input!I307&lt;=0,"",Input!I307)</f>
        <v>1.1288149993848837</v>
      </c>
      <c r="D314" s="412" t="str">
        <f>IF(G314="","",Input!Q307)</f>
        <v/>
      </c>
      <c r="E314" s="412" t="str">
        <f>IF(ISERROR(Input!AA307),"",Input!AA307)</f>
        <v/>
      </c>
      <c r="F314" s="412" t="str">
        <f>IF(E314="","",Input!AQ307)</f>
        <v/>
      </c>
      <c r="G314" s="413" t="str">
        <f t="shared" si="21"/>
        <v/>
      </c>
      <c r="H314" s="413" t="str">
        <f t="shared" si="22"/>
        <v/>
      </c>
      <c r="I314" s="414">
        <f t="shared" si="23"/>
        <v>0</v>
      </c>
      <c r="J314" s="414">
        <f t="shared" si="23"/>
        <v>0</v>
      </c>
      <c r="K314" s="137"/>
      <c r="L314" s="137"/>
      <c r="M314" s="137"/>
      <c r="N314" s="137"/>
      <c r="O314" s="137"/>
      <c r="P314" s="137"/>
      <c r="Q314" s="137"/>
      <c r="R314" s="137"/>
      <c r="S314" s="137"/>
      <c r="T314" s="137"/>
      <c r="U314" s="137"/>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row>
    <row r="315" spans="1:43">
      <c r="A315" s="407">
        <f>Input!B308</f>
        <v>38273</v>
      </c>
      <c r="B315" s="419">
        <f t="shared" si="24"/>
        <v>41</v>
      </c>
      <c r="C315" s="411">
        <f>IF(Input!I308&lt;=0,"",Input!I308)</f>
        <v>1.1134455470638116</v>
      </c>
      <c r="D315" s="412" t="str">
        <f>IF(G315="","",Input!Q308)</f>
        <v/>
      </c>
      <c r="E315" s="412" t="str">
        <f>IF(ISERROR(Input!AA308),"",Input!AA308)</f>
        <v/>
      </c>
      <c r="F315" s="412" t="str">
        <f>IF(E315="","",Input!AQ308)</f>
        <v/>
      </c>
      <c r="G315" s="413" t="str">
        <f t="shared" si="21"/>
        <v/>
      </c>
      <c r="H315" s="413" t="str">
        <f t="shared" si="22"/>
        <v/>
      </c>
      <c r="I315" s="414">
        <f t="shared" si="23"/>
        <v>0</v>
      </c>
      <c r="J315" s="414">
        <f t="shared" si="23"/>
        <v>0</v>
      </c>
      <c r="K315" s="137"/>
      <c r="L315" s="137"/>
      <c r="M315" s="137"/>
      <c r="N315" s="137"/>
      <c r="O315" s="137"/>
      <c r="P315" s="137"/>
      <c r="Q315" s="137"/>
      <c r="R315" s="137"/>
      <c r="S315" s="137"/>
      <c r="T315" s="137"/>
      <c r="U315" s="137"/>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row>
    <row r="316" spans="1:43">
      <c r="A316" s="407">
        <f>Input!B309</f>
        <v>38274</v>
      </c>
      <c r="B316" s="419">
        <f t="shared" si="24"/>
        <v>42</v>
      </c>
      <c r="C316" s="411">
        <f>IF(Input!I309&lt;=0,"",Input!I309)</f>
        <v>1.1510967075143896</v>
      </c>
      <c r="D316" s="412" t="str">
        <f>IF(G316="","",Input!Q309)</f>
        <v/>
      </c>
      <c r="E316" s="412" t="str">
        <f>IF(ISERROR(Input!AA309),"",Input!AA309)</f>
        <v/>
      </c>
      <c r="F316" s="412" t="str">
        <f>IF(E316="","",Input!AQ309)</f>
        <v/>
      </c>
      <c r="G316" s="413" t="str">
        <f t="shared" si="21"/>
        <v/>
      </c>
      <c r="H316" s="413" t="str">
        <f t="shared" si="22"/>
        <v/>
      </c>
      <c r="I316" s="414">
        <f t="shared" si="23"/>
        <v>0</v>
      </c>
      <c r="J316" s="414">
        <f t="shared" si="23"/>
        <v>0</v>
      </c>
      <c r="K316" s="137"/>
      <c r="L316" s="137"/>
      <c r="M316" s="137"/>
      <c r="N316" s="137"/>
      <c r="O316" s="137"/>
      <c r="P316" s="137"/>
      <c r="Q316" s="137"/>
      <c r="R316" s="137"/>
      <c r="S316" s="137"/>
      <c r="T316" s="137"/>
      <c r="U316" s="137"/>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row>
    <row r="317" spans="1:43">
      <c r="A317" s="407">
        <f>Input!B310</f>
        <v>38275</v>
      </c>
      <c r="B317" s="419">
        <f t="shared" si="24"/>
        <v>42</v>
      </c>
      <c r="C317" s="411">
        <f>IF(Input!I310&lt;=0,"",Input!I310)</f>
        <v>1.1727987746997555</v>
      </c>
      <c r="D317" s="412" t="str">
        <f>IF(G317="","",Input!Q310)</f>
        <v/>
      </c>
      <c r="E317" s="412" t="str">
        <f>IF(ISERROR(Input!AA310),"",Input!AA310)</f>
        <v/>
      </c>
      <c r="F317" s="412" t="str">
        <f>IF(E317="","",Input!AQ310)</f>
        <v/>
      </c>
      <c r="G317" s="413" t="str">
        <f t="shared" si="21"/>
        <v/>
      </c>
      <c r="H317" s="413" t="str">
        <f t="shared" si="22"/>
        <v/>
      </c>
      <c r="I317" s="414">
        <f t="shared" si="23"/>
        <v>0</v>
      </c>
      <c r="J317" s="414">
        <f t="shared" si="23"/>
        <v>0</v>
      </c>
      <c r="K317" s="137"/>
      <c r="L317" s="137"/>
      <c r="M317" s="137"/>
      <c r="N317" s="137"/>
      <c r="O317" s="137"/>
      <c r="P317" s="137"/>
      <c r="Q317" s="137"/>
      <c r="R317" s="137"/>
      <c r="S317" s="137"/>
      <c r="T317" s="137"/>
      <c r="U317" s="137"/>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row>
    <row r="318" spans="1:43">
      <c r="A318" s="407">
        <f>Input!B311</f>
        <v>38276</v>
      </c>
      <c r="B318" s="419">
        <f t="shared" si="24"/>
        <v>42</v>
      </c>
      <c r="C318" s="411">
        <f>IF(Input!I311&lt;=0,"",Input!I311)</f>
        <v>1.0443698197165927</v>
      </c>
      <c r="D318" s="412" t="str">
        <f>IF(G318="","",Input!Q311)</f>
        <v/>
      </c>
      <c r="E318" s="412" t="str">
        <f>IF(ISERROR(Input!AA311),"",Input!AA311)</f>
        <v/>
      </c>
      <c r="F318" s="412" t="str">
        <f>IF(E318="","",Input!AQ311)</f>
        <v/>
      </c>
      <c r="G318" s="413" t="str">
        <f t="shared" si="21"/>
        <v/>
      </c>
      <c r="H318" s="413" t="str">
        <f t="shared" si="22"/>
        <v/>
      </c>
      <c r="I318" s="414">
        <f t="shared" si="23"/>
        <v>0</v>
      </c>
      <c r="J318" s="414">
        <f t="shared" si="23"/>
        <v>0</v>
      </c>
      <c r="K318" s="137"/>
      <c r="L318" s="137"/>
      <c r="M318" s="137"/>
      <c r="N318" s="137"/>
      <c r="O318" s="137"/>
      <c r="P318" s="137"/>
      <c r="Q318" s="137"/>
      <c r="R318" s="137"/>
      <c r="S318" s="137"/>
      <c r="T318" s="137"/>
      <c r="U318" s="137"/>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row>
    <row r="319" spans="1:43">
      <c r="A319" s="407">
        <f>Input!B312</f>
        <v>38277</v>
      </c>
      <c r="B319" s="419">
        <f t="shared" si="24"/>
        <v>42</v>
      </c>
      <c r="C319" s="411">
        <f>IF(Input!I312&lt;=0,"",Input!I312)</f>
        <v>0.92688630504524805</v>
      </c>
      <c r="D319" s="412" t="str">
        <f>IF(G319="","",Input!Q312)</f>
        <v/>
      </c>
      <c r="E319" s="412" t="str">
        <f>IF(ISERROR(Input!AA312),"",Input!AA312)</f>
        <v/>
      </c>
      <c r="F319" s="412" t="str">
        <f>IF(E319="","",Input!AQ312)</f>
        <v/>
      </c>
      <c r="G319" s="413" t="str">
        <f t="shared" si="21"/>
        <v/>
      </c>
      <c r="H319" s="413" t="str">
        <f t="shared" si="22"/>
        <v/>
      </c>
      <c r="I319" s="414">
        <f t="shared" si="23"/>
        <v>0</v>
      </c>
      <c r="J319" s="414">
        <f t="shared" si="23"/>
        <v>0</v>
      </c>
      <c r="K319" s="137"/>
      <c r="L319" s="137"/>
      <c r="M319" s="137"/>
      <c r="N319" s="137"/>
      <c r="O319" s="137"/>
      <c r="P319" s="137"/>
      <c r="Q319" s="137"/>
      <c r="R319" s="137"/>
      <c r="S319" s="137"/>
      <c r="T319" s="137"/>
      <c r="U319" s="137"/>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row>
    <row r="320" spans="1:43">
      <c r="A320" s="407">
        <f>Input!B313</f>
        <v>38278</v>
      </c>
      <c r="B320" s="419">
        <f t="shared" si="24"/>
        <v>42</v>
      </c>
      <c r="C320" s="411">
        <f>IF(Input!I313&lt;=0,"",Input!I313)</f>
        <v>0.40507062756410828</v>
      </c>
      <c r="D320" s="412" t="str">
        <f>IF(G320="","",Input!Q313)</f>
        <v/>
      </c>
      <c r="E320" s="412" t="str">
        <f>IF(ISERROR(Input!AA313),"",Input!AA313)</f>
        <v/>
      </c>
      <c r="F320" s="412" t="str">
        <f>IF(E320="","",Input!AQ313)</f>
        <v/>
      </c>
      <c r="G320" s="413" t="str">
        <f t="shared" si="21"/>
        <v/>
      </c>
      <c r="H320" s="413" t="str">
        <f t="shared" si="22"/>
        <v/>
      </c>
      <c r="I320" s="414">
        <f t="shared" si="23"/>
        <v>0</v>
      </c>
      <c r="J320" s="414">
        <f t="shared" si="23"/>
        <v>0</v>
      </c>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row>
    <row r="321" spans="1:43">
      <c r="A321" s="407">
        <f>Input!B314</f>
        <v>38279</v>
      </c>
      <c r="B321" s="419">
        <f t="shared" si="24"/>
        <v>42</v>
      </c>
      <c r="C321" s="411">
        <f>IF(Input!I314&lt;=0,"",Input!I314)</f>
        <v>0.51944233409834339</v>
      </c>
      <c r="D321" s="412" t="str">
        <f>IF(G321="","",Input!Q314)</f>
        <v/>
      </c>
      <c r="E321" s="412" t="str">
        <f>IF(ISERROR(Input!AA314),"",Input!AA314)</f>
        <v/>
      </c>
      <c r="F321" s="412" t="str">
        <f>IF(E321="","",Input!AQ314)</f>
        <v/>
      </c>
      <c r="G321" s="413" t="str">
        <f t="shared" si="21"/>
        <v/>
      </c>
      <c r="H321" s="413" t="str">
        <f t="shared" si="22"/>
        <v/>
      </c>
      <c r="I321" s="414">
        <f t="shared" si="23"/>
        <v>0</v>
      </c>
      <c r="J321" s="414">
        <f t="shared" si="23"/>
        <v>0</v>
      </c>
      <c r="K321" s="137"/>
      <c r="L321" s="137"/>
      <c r="M321" s="137"/>
      <c r="N321" s="137"/>
      <c r="O321" s="137"/>
      <c r="P321" s="137"/>
      <c r="Q321" s="137"/>
      <c r="R321" s="137"/>
      <c r="S321" s="137"/>
      <c r="T321" s="137"/>
      <c r="U321" s="137"/>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row>
    <row r="322" spans="1:43">
      <c r="A322" s="407">
        <f>Input!B315</f>
        <v>38280</v>
      </c>
      <c r="B322" s="419">
        <f t="shared" si="24"/>
        <v>42</v>
      </c>
      <c r="C322" s="411">
        <f>IF(Input!I315&lt;=0,"",Input!I315)</f>
        <v>0.60898906706801759</v>
      </c>
      <c r="D322" s="412" t="str">
        <f>IF(G322="","",Input!Q315)</f>
        <v/>
      </c>
      <c r="E322" s="412" t="str">
        <f>IF(ISERROR(Input!AA315),"",Input!AA315)</f>
        <v/>
      </c>
      <c r="F322" s="412" t="str">
        <f>IF(E322="","",Input!AQ315)</f>
        <v/>
      </c>
      <c r="G322" s="413" t="str">
        <f t="shared" si="21"/>
        <v/>
      </c>
      <c r="H322" s="413" t="str">
        <f t="shared" si="22"/>
        <v/>
      </c>
      <c r="I322" s="414">
        <f t="shared" si="23"/>
        <v>0</v>
      </c>
      <c r="J322" s="414">
        <f t="shared" si="23"/>
        <v>0</v>
      </c>
      <c r="K322" s="137"/>
      <c r="L322" s="137"/>
      <c r="M322" s="137"/>
      <c r="N322" s="137"/>
      <c r="O322" s="137"/>
      <c r="P322" s="137"/>
      <c r="Q322" s="137"/>
      <c r="R322" s="137"/>
      <c r="S322" s="137"/>
      <c r="T322" s="137"/>
      <c r="U322" s="137"/>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row>
    <row r="323" spans="1:43">
      <c r="A323" s="407">
        <f>Input!B316</f>
        <v>38281</v>
      </c>
      <c r="B323" s="419">
        <f t="shared" si="24"/>
        <v>43</v>
      </c>
      <c r="C323" s="411">
        <f>IF(Input!I316&lt;=0,"",Input!I316)</f>
        <v>0.65869711822841781</v>
      </c>
      <c r="D323" s="412" t="str">
        <f>IF(G323="","",Input!Q316)</f>
        <v/>
      </c>
      <c r="E323" s="412" t="str">
        <f>IF(ISERROR(Input!AA316),"",Input!AA316)</f>
        <v/>
      </c>
      <c r="F323" s="412" t="str">
        <f>IF(E323="","",Input!AQ316)</f>
        <v/>
      </c>
      <c r="G323" s="413" t="str">
        <f t="shared" si="21"/>
        <v/>
      </c>
      <c r="H323" s="413" t="str">
        <f t="shared" si="22"/>
        <v/>
      </c>
      <c r="I323" s="414">
        <f t="shared" si="23"/>
        <v>0</v>
      </c>
      <c r="J323" s="414">
        <f t="shared" si="23"/>
        <v>0</v>
      </c>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row>
    <row r="324" spans="1:43">
      <c r="A324" s="407">
        <f>Input!B317</f>
        <v>38282</v>
      </c>
      <c r="B324" s="419">
        <f t="shared" si="24"/>
        <v>43</v>
      </c>
      <c r="C324" s="411">
        <f>IF(Input!I317&lt;=0,"",Input!I317)</f>
        <v>0.17202542745231658</v>
      </c>
      <c r="D324" s="412" t="str">
        <f>IF(G324="","",Input!Q317)</f>
        <v/>
      </c>
      <c r="E324" s="412" t="str">
        <f>IF(ISERROR(Input!AA317),"",Input!AA317)</f>
        <v/>
      </c>
      <c r="F324" s="412" t="str">
        <f>IF(E324="","",Input!AQ317)</f>
        <v/>
      </c>
      <c r="G324" s="413" t="str">
        <f t="shared" si="21"/>
        <v/>
      </c>
      <c r="H324" s="413" t="str">
        <f t="shared" si="22"/>
        <v/>
      </c>
      <c r="I324" s="414">
        <f t="shared" si="23"/>
        <v>0</v>
      </c>
      <c r="J324" s="414">
        <f t="shared" si="23"/>
        <v>0</v>
      </c>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row>
    <row r="325" spans="1:43">
      <c r="A325" s="407">
        <f>Input!B318</f>
        <v>38283</v>
      </c>
      <c r="B325" s="419">
        <f t="shared" si="24"/>
        <v>43</v>
      </c>
      <c r="C325" s="411">
        <f>IF(Input!I318&lt;=0,"",Input!I318)</f>
        <v>0.68359126446427765</v>
      </c>
      <c r="D325" s="412" t="str">
        <f>IF(G325="","",Input!Q318)</f>
        <v/>
      </c>
      <c r="E325" s="412" t="str">
        <f>IF(ISERROR(Input!AA318),"",Input!AA318)</f>
        <v/>
      </c>
      <c r="F325" s="412" t="str">
        <f>IF(E325="","",Input!AQ318)</f>
        <v/>
      </c>
      <c r="G325" s="413" t="str">
        <f t="shared" si="21"/>
        <v/>
      </c>
      <c r="H325" s="413" t="str">
        <f t="shared" si="22"/>
        <v/>
      </c>
      <c r="I325" s="414">
        <f t="shared" si="23"/>
        <v>0</v>
      </c>
      <c r="J325" s="414">
        <f t="shared" si="23"/>
        <v>0</v>
      </c>
      <c r="K325" s="137"/>
      <c r="L325" s="137"/>
      <c r="M325" s="137"/>
      <c r="N325" s="137"/>
      <c r="O325" s="137"/>
      <c r="P325" s="137"/>
      <c r="Q325" s="137"/>
      <c r="R325" s="137"/>
      <c r="S325" s="137"/>
      <c r="T325" s="137"/>
      <c r="U325" s="137"/>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row>
    <row r="326" spans="1:43">
      <c r="A326" s="407">
        <f>Input!B319</f>
        <v>38284</v>
      </c>
      <c r="B326" s="419">
        <f t="shared" si="24"/>
        <v>43</v>
      </c>
      <c r="C326" s="411">
        <f>IF(Input!I319&lt;=0,"",Input!I319)</f>
        <v>0.85043660947984545</v>
      </c>
      <c r="D326" s="412" t="str">
        <f>IF(G326="","",Input!Q319)</f>
        <v/>
      </c>
      <c r="E326" s="412" t="str">
        <f>IF(ISERROR(Input!AA319),"",Input!AA319)</f>
        <v/>
      </c>
      <c r="F326" s="412" t="str">
        <f>IF(E326="","",Input!AQ319)</f>
        <v/>
      </c>
      <c r="G326" s="413" t="str">
        <f t="shared" si="21"/>
        <v/>
      </c>
      <c r="H326" s="413" t="str">
        <f t="shared" si="22"/>
        <v/>
      </c>
      <c r="I326" s="414">
        <f t="shared" si="23"/>
        <v>0</v>
      </c>
      <c r="J326" s="414">
        <f t="shared" si="23"/>
        <v>0</v>
      </c>
      <c r="K326" s="137"/>
      <c r="L326" s="137"/>
      <c r="M326" s="137"/>
      <c r="N326" s="137"/>
      <c r="O326" s="137"/>
      <c r="P326" s="137"/>
      <c r="Q326" s="137"/>
      <c r="R326" s="137"/>
      <c r="S326" s="137"/>
      <c r="T326" s="137"/>
      <c r="U326" s="137"/>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row>
    <row r="327" spans="1:43">
      <c r="A327" s="407">
        <f>Input!B320</f>
        <v>38285</v>
      </c>
      <c r="B327" s="419">
        <f t="shared" si="24"/>
        <v>43</v>
      </c>
      <c r="C327" s="411">
        <f>IF(Input!I320&lt;=0,"",Input!I320)</f>
        <v>0.78548823208261953</v>
      </c>
      <c r="D327" s="412" t="str">
        <f>IF(G327="","",Input!Q320)</f>
        <v/>
      </c>
      <c r="E327" s="412" t="str">
        <f>IF(ISERROR(Input!AA320),"",Input!AA320)</f>
        <v/>
      </c>
      <c r="F327" s="412" t="str">
        <f>IF(E327="","",Input!AQ320)</f>
        <v/>
      </c>
      <c r="G327" s="413" t="str">
        <f t="shared" si="21"/>
        <v/>
      </c>
      <c r="H327" s="413" t="str">
        <f t="shared" si="22"/>
        <v/>
      </c>
      <c r="I327" s="414">
        <f t="shared" si="23"/>
        <v>0</v>
      </c>
      <c r="J327" s="414">
        <f t="shared" si="23"/>
        <v>0</v>
      </c>
      <c r="K327" s="137"/>
      <c r="L327" s="137"/>
      <c r="M327" s="137"/>
      <c r="N327" s="137"/>
      <c r="O327" s="137"/>
      <c r="P327" s="137"/>
      <c r="Q327" s="137"/>
      <c r="R327" s="137"/>
      <c r="S327" s="137"/>
      <c r="T327" s="137"/>
      <c r="U327" s="137"/>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row>
    <row r="328" spans="1:43">
      <c r="A328" s="407">
        <f>Input!B321</f>
        <v>38286</v>
      </c>
      <c r="B328" s="419">
        <f t="shared" si="24"/>
        <v>43</v>
      </c>
      <c r="C328" s="411">
        <f>IF(Input!I321&lt;=0,"",Input!I321)</f>
        <v>0.78457355239869742</v>
      </c>
      <c r="D328" s="412" t="str">
        <f>IF(G328="","",Input!Q321)</f>
        <v/>
      </c>
      <c r="E328" s="412" t="str">
        <f>IF(ISERROR(Input!AA321),"",Input!AA321)</f>
        <v/>
      </c>
      <c r="F328" s="412" t="str">
        <f>IF(E328="","",Input!AQ321)</f>
        <v/>
      </c>
      <c r="G328" s="413" t="str">
        <f t="shared" si="21"/>
        <v/>
      </c>
      <c r="H328" s="413" t="str">
        <f t="shared" si="22"/>
        <v/>
      </c>
      <c r="I328" s="414">
        <f t="shared" si="23"/>
        <v>0</v>
      </c>
      <c r="J328" s="414">
        <f t="shared" si="23"/>
        <v>0</v>
      </c>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row>
    <row r="329" spans="1:43">
      <c r="A329" s="407">
        <f>Input!B322</f>
        <v>38287</v>
      </c>
      <c r="B329" s="419">
        <f t="shared" si="24"/>
        <v>43</v>
      </c>
      <c r="C329" s="411">
        <f>IF(Input!I322&lt;=0,"",Input!I322)</f>
        <v>0.60504683058495901</v>
      </c>
      <c r="D329" s="412" t="str">
        <f>IF(G329="","",Input!Q322)</f>
        <v/>
      </c>
      <c r="E329" s="412" t="str">
        <f>IF(ISERROR(Input!AA322),"",Input!AA322)</f>
        <v/>
      </c>
      <c r="F329" s="412" t="str">
        <f>IF(E329="","",Input!AQ322)</f>
        <v/>
      </c>
      <c r="G329" s="413" t="str">
        <f t="shared" si="21"/>
        <v/>
      </c>
      <c r="H329" s="413" t="str">
        <f t="shared" si="22"/>
        <v/>
      </c>
      <c r="I329" s="414">
        <f t="shared" si="23"/>
        <v>0</v>
      </c>
      <c r="J329" s="414">
        <f t="shared" si="23"/>
        <v>0</v>
      </c>
      <c r="K329" s="137"/>
      <c r="L329" s="137"/>
      <c r="M329" s="137"/>
      <c r="N329" s="137"/>
      <c r="O329" s="137"/>
      <c r="P329" s="137"/>
      <c r="Q329" s="137"/>
      <c r="R329" s="137"/>
      <c r="S329" s="137"/>
      <c r="T329" s="137"/>
      <c r="U329" s="137"/>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row>
    <row r="330" spans="1:43">
      <c r="A330" s="407">
        <f>Input!B323</f>
        <v>38288</v>
      </c>
      <c r="B330" s="419">
        <f t="shared" si="24"/>
        <v>44</v>
      </c>
      <c r="C330" s="411">
        <f>IF(Input!I323&lt;=0,"",Input!I323)</f>
        <v>0.63018231399244962</v>
      </c>
      <c r="D330" s="412" t="str">
        <f>IF(G330="","",Input!Q323)</f>
        <v/>
      </c>
      <c r="E330" s="412" t="str">
        <f>IF(ISERROR(Input!AA323),"",Input!AA323)</f>
        <v/>
      </c>
      <c r="F330" s="412" t="str">
        <f>IF(E330="","",Input!AQ323)</f>
        <v/>
      </c>
      <c r="G330" s="413" t="str">
        <f t="shared" si="21"/>
        <v/>
      </c>
      <c r="H330" s="413" t="str">
        <f t="shared" si="22"/>
        <v/>
      </c>
      <c r="I330" s="414">
        <f t="shared" si="23"/>
        <v>0</v>
      </c>
      <c r="J330" s="414">
        <f t="shared" si="23"/>
        <v>0</v>
      </c>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row>
    <row r="331" spans="1:43">
      <c r="A331" s="407">
        <f>Input!B324</f>
        <v>38289</v>
      </c>
      <c r="B331" s="419">
        <f t="shared" si="24"/>
        <v>44</v>
      </c>
      <c r="C331" s="411">
        <f>IF(Input!I324&lt;=0,"",Input!I324)</f>
        <v>0.55971158953972311</v>
      </c>
      <c r="D331" s="412" t="str">
        <f>IF(G331="","",Input!Q324)</f>
        <v/>
      </c>
      <c r="E331" s="412" t="str">
        <f>IF(ISERROR(Input!AA324),"",Input!AA324)</f>
        <v/>
      </c>
      <c r="F331" s="412" t="str">
        <f>IF(E331="","",Input!AQ324)</f>
        <v/>
      </c>
      <c r="G331" s="413" t="str">
        <f t="shared" si="21"/>
        <v/>
      </c>
      <c r="H331" s="413" t="str">
        <f t="shared" si="22"/>
        <v/>
      </c>
      <c r="I331" s="414">
        <f t="shared" si="23"/>
        <v>0</v>
      </c>
      <c r="J331" s="414">
        <f t="shared" si="23"/>
        <v>0</v>
      </c>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row>
    <row r="332" spans="1:43">
      <c r="A332" s="407">
        <f>Input!B325</f>
        <v>38290</v>
      </c>
      <c r="B332" s="419">
        <f t="shared" si="24"/>
        <v>44</v>
      </c>
      <c r="C332" s="411">
        <f>IF(Input!I325&lt;=0,"",Input!I325)</f>
        <v>0.53679968135500811</v>
      </c>
      <c r="D332" s="412" t="str">
        <f>IF(G332="","",Input!Q325)</f>
        <v/>
      </c>
      <c r="E332" s="412" t="str">
        <f>IF(ISERROR(Input!AA325),"",Input!AA325)</f>
        <v/>
      </c>
      <c r="F332" s="412" t="str">
        <f>IF(E332="","",Input!AQ325)</f>
        <v/>
      </c>
      <c r="G332" s="413" t="str">
        <f t="shared" si="21"/>
        <v/>
      </c>
      <c r="H332" s="413" t="str">
        <f t="shared" si="22"/>
        <v/>
      </c>
      <c r="I332" s="414">
        <f t="shared" si="23"/>
        <v>0</v>
      </c>
      <c r="J332" s="414">
        <f t="shared" si="23"/>
        <v>0</v>
      </c>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row>
    <row r="333" spans="1:43">
      <c r="A333" s="407">
        <f>Input!B326</f>
        <v>38291</v>
      </c>
      <c r="B333" s="419">
        <f t="shared" si="24"/>
        <v>44</v>
      </c>
      <c r="C333" s="411">
        <f>IF(Input!I326&lt;=0,"",Input!I326)</f>
        <v>0.62115805906117094</v>
      </c>
      <c r="D333" s="412" t="str">
        <f>IF(G333="","",Input!Q326)</f>
        <v/>
      </c>
      <c r="E333" s="412" t="str">
        <f>IF(ISERROR(Input!AA326),"",Input!AA326)</f>
        <v/>
      </c>
      <c r="F333" s="412" t="str">
        <f>IF(E333="","",Input!AQ326)</f>
        <v/>
      </c>
      <c r="G333" s="413" t="str">
        <f t="shared" si="21"/>
        <v/>
      </c>
      <c r="H333" s="413" t="str">
        <f t="shared" si="22"/>
        <v/>
      </c>
      <c r="I333" s="414">
        <f t="shared" si="23"/>
        <v>0</v>
      </c>
      <c r="J333" s="414">
        <f t="shared" si="23"/>
        <v>0</v>
      </c>
      <c r="K333" s="137"/>
      <c r="L333" s="137"/>
      <c r="M333" s="137"/>
      <c r="N333" s="137"/>
      <c r="O333" s="137"/>
      <c r="P333" s="137"/>
      <c r="Q333" s="137"/>
      <c r="R333" s="137"/>
      <c r="S333" s="137"/>
      <c r="T333" s="137"/>
      <c r="U333" s="137"/>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row>
    <row r="334" spans="1:43">
      <c r="A334" s="407">
        <f>Input!B327</f>
        <v>38292</v>
      </c>
      <c r="B334" s="419">
        <f t="shared" si="24"/>
        <v>44</v>
      </c>
      <c r="C334" s="411">
        <f>IF(Input!I327&lt;=0,"",Input!I327)</f>
        <v>1.1745537432415922</v>
      </c>
      <c r="D334" s="412" t="str">
        <f>IF(G334="","",Input!Q327)</f>
        <v/>
      </c>
      <c r="E334" s="412" t="str">
        <f>IF(ISERROR(Input!AA327),"",Input!AA327)</f>
        <v/>
      </c>
      <c r="F334" s="412" t="str">
        <f>IF(E334="","",Input!AQ327)</f>
        <v/>
      </c>
      <c r="G334" s="413" t="str">
        <f t="shared" si="21"/>
        <v/>
      </c>
      <c r="H334" s="413" t="str">
        <f t="shared" si="22"/>
        <v/>
      </c>
      <c r="I334" s="414">
        <f t="shared" si="23"/>
        <v>0</v>
      </c>
      <c r="J334" s="414">
        <f t="shared" si="23"/>
        <v>0</v>
      </c>
      <c r="K334" s="137"/>
      <c r="L334" s="137"/>
      <c r="M334" s="137"/>
      <c r="N334" s="137"/>
      <c r="O334" s="137"/>
      <c r="P334" s="137"/>
      <c r="Q334" s="137"/>
      <c r="R334" s="137"/>
      <c r="S334" s="137"/>
      <c r="T334" s="137"/>
      <c r="U334" s="137"/>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row>
    <row r="335" spans="1:43">
      <c r="A335" s="407">
        <f>Input!B328</f>
        <v>38293</v>
      </c>
      <c r="B335" s="419">
        <f t="shared" si="24"/>
        <v>44</v>
      </c>
      <c r="C335" s="411">
        <f>IF(Input!I328&lt;=0,"",Input!I328)</f>
        <v>0.64569523710979271</v>
      </c>
      <c r="D335" s="412" t="str">
        <f>IF(G335="","",Input!Q328)</f>
        <v/>
      </c>
      <c r="E335" s="412" t="str">
        <f>IF(ISERROR(Input!AA328),"",Input!AA328)</f>
        <v/>
      </c>
      <c r="F335" s="412" t="str">
        <f>IF(E335="","",Input!AQ328)</f>
        <v/>
      </c>
      <c r="G335" s="413" t="str">
        <f t="shared" si="21"/>
        <v/>
      </c>
      <c r="H335" s="413" t="str">
        <f t="shared" si="22"/>
        <v/>
      </c>
      <c r="I335" s="414">
        <f t="shared" si="23"/>
        <v>0</v>
      </c>
      <c r="J335" s="414">
        <f t="shared" si="23"/>
        <v>0</v>
      </c>
      <c r="K335" s="137"/>
      <c r="L335" s="137"/>
      <c r="M335" s="137"/>
      <c r="N335" s="137"/>
      <c r="O335" s="137"/>
      <c r="P335" s="137"/>
      <c r="Q335" s="137"/>
      <c r="R335" s="137"/>
      <c r="S335" s="137"/>
      <c r="T335" s="137"/>
      <c r="U335" s="137"/>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row>
    <row r="336" spans="1:43">
      <c r="A336" s="407">
        <f>Input!B329</f>
        <v>38294</v>
      </c>
      <c r="B336" s="419">
        <f t="shared" si="24"/>
        <v>44</v>
      </c>
      <c r="C336" s="411">
        <f>IF(Input!I329&lt;=0,"",Input!I329)</f>
        <v>0.5802325534970274</v>
      </c>
      <c r="D336" s="412" t="str">
        <f>IF(G336="","",Input!Q329)</f>
        <v/>
      </c>
      <c r="E336" s="412" t="str">
        <f>IF(ISERROR(Input!AA329),"",Input!AA329)</f>
        <v/>
      </c>
      <c r="F336" s="412" t="str">
        <f>IF(E336="","",Input!AQ329)</f>
        <v/>
      </c>
      <c r="G336" s="413" t="str">
        <f t="shared" si="21"/>
        <v/>
      </c>
      <c r="H336" s="413" t="str">
        <f t="shared" si="22"/>
        <v/>
      </c>
      <c r="I336" s="414">
        <f t="shared" si="23"/>
        <v>0</v>
      </c>
      <c r="J336" s="414">
        <f t="shared" si="23"/>
        <v>0</v>
      </c>
      <c r="K336" s="137"/>
      <c r="L336" s="137"/>
      <c r="M336" s="137"/>
      <c r="N336" s="137"/>
      <c r="O336" s="137"/>
      <c r="P336" s="137"/>
      <c r="Q336" s="137"/>
      <c r="R336" s="137"/>
      <c r="S336" s="137"/>
      <c r="T336" s="137"/>
      <c r="U336" s="137"/>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row>
    <row r="337" spans="1:43">
      <c r="A337" s="407">
        <f>Input!B330</f>
        <v>38295</v>
      </c>
      <c r="B337" s="419">
        <f t="shared" si="24"/>
        <v>45</v>
      </c>
      <c r="C337" s="411">
        <f>IF(Input!I330&lt;=0,"",Input!I330)</f>
        <v>0.68650360193677984</v>
      </c>
      <c r="D337" s="412" t="str">
        <f>IF(G337="","",Input!Q330)</f>
        <v/>
      </c>
      <c r="E337" s="412" t="str">
        <f>IF(ISERROR(Input!AA330),"",Input!AA330)</f>
        <v/>
      </c>
      <c r="F337" s="412" t="str">
        <f>IF(E337="","",Input!AQ330)</f>
        <v/>
      </c>
      <c r="G337" s="413" t="str">
        <f t="shared" si="21"/>
        <v/>
      </c>
      <c r="H337" s="413" t="str">
        <f t="shared" si="22"/>
        <v/>
      </c>
      <c r="I337" s="414">
        <f t="shared" si="23"/>
        <v>0</v>
      </c>
      <c r="J337" s="414">
        <f t="shared" si="23"/>
        <v>0</v>
      </c>
      <c r="K337" s="137"/>
      <c r="L337" s="137"/>
      <c r="M337" s="137"/>
      <c r="N337" s="137"/>
      <c r="O337" s="137"/>
      <c r="P337" s="137"/>
      <c r="Q337" s="137"/>
      <c r="R337" s="137"/>
      <c r="S337" s="137"/>
      <c r="T337" s="137"/>
      <c r="U337" s="137"/>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row>
    <row r="338" spans="1:43">
      <c r="A338" s="407">
        <f>Input!B331</f>
        <v>38296</v>
      </c>
      <c r="B338" s="419">
        <f t="shared" si="24"/>
        <v>45</v>
      </c>
      <c r="C338" s="411">
        <f>IF(Input!I331&lt;=0,"",Input!I331)</f>
        <v>0.64603852585092369</v>
      </c>
      <c r="D338" s="412" t="str">
        <f>IF(G338="","",Input!Q331)</f>
        <v/>
      </c>
      <c r="E338" s="412" t="str">
        <f>IF(ISERROR(Input!AA331),"",Input!AA331)</f>
        <v/>
      </c>
      <c r="F338" s="412" t="str">
        <f>IF(E338="","",Input!AQ331)</f>
        <v/>
      </c>
      <c r="G338" s="413" t="str">
        <f t="shared" si="21"/>
        <v/>
      </c>
      <c r="H338" s="413" t="str">
        <f t="shared" si="22"/>
        <v/>
      </c>
      <c r="I338" s="414">
        <f t="shared" si="23"/>
        <v>0</v>
      </c>
      <c r="J338" s="414">
        <f t="shared" si="23"/>
        <v>0</v>
      </c>
      <c r="K338" s="137"/>
      <c r="L338" s="137"/>
      <c r="M338" s="137"/>
      <c r="N338" s="137"/>
      <c r="O338" s="137"/>
      <c r="P338" s="137"/>
      <c r="Q338" s="137"/>
      <c r="R338" s="137"/>
      <c r="S338" s="137"/>
      <c r="T338" s="137"/>
      <c r="U338" s="137"/>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row>
    <row r="339" spans="1:43">
      <c r="A339" s="407">
        <f>Input!B332</f>
        <v>38297</v>
      </c>
      <c r="B339" s="419">
        <f t="shared" si="24"/>
        <v>45</v>
      </c>
      <c r="C339" s="411">
        <f>IF(Input!I332&lt;=0,"",Input!I332)</f>
        <v>0.56075474160637206</v>
      </c>
      <c r="D339" s="412" t="str">
        <f>IF(G339="","",Input!Q332)</f>
        <v/>
      </c>
      <c r="E339" s="412" t="str">
        <f>IF(ISERROR(Input!AA332),"",Input!AA332)</f>
        <v/>
      </c>
      <c r="F339" s="412" t="str">
        <f>IF(E339="","",Input!AQ332)</f>
        <v/>
      </c>
      <c r="G339" s="413" t="str">
        <f t="shared" si="21"/>
        <v/>
      </c>
      <c r="H339" s="413" t="str">
        <f t="shared" si="22"/>
        <v/>
      </c>
      <c r="I339" s="414">
        <f t="shared" si="23"/>
        <v>0</v>
      </c>
      <c r="J339" s="414">
        <f t="shared" si="23"/>
        <v>0</v>
      </c>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row>
    <row r="340" spans="1:43">
      <c r="A340" s="407">
        <f>Input!B333</f>
        <v>38298</v>
      </c>
      <c r="B340" s="419">
        <f t="shared" si="24"/>
        <v>45</v>
      </c>
      <c r="C340" s="411">
        <f>IF(Input!I333&lt;=0,"",Input!I333)</f>
        <v>0.41608921674286758</v>
      </c>
      <c r="D340" s="412" t="str">
        <f>IF(G340="","",Input!Q333)</f>
        <v/>
      </c>
      <c r="E340" s="412" t="str">
        <f>IF(ISERROR(Input!AA333),"",Input!AA333)</f>
        <v/>
      </c>
      <c r="F340" s="412" t="str">
        <f>IF(E340="","",Input!AQ333)</f>
        <v/>
      </c>
      <c r="G340" s="413" t="str">
        <f t="shared" si="21"/>
        <v/>
      </c>
      <c r="H340" s="413" t="str">
        <f t="shared" si="22"/>
        <v/>
      </c>
      <c r="I340" s="414">
        <f t="shared" si="23"/>
        <v>0</v>
      </c>
      <c r="J340" s="414">
        <f t="shared" si="23"/>
        <v>0</v>
      </c>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row>
    <row r="341" spans="1:43">
      <c r="A341" s="407">
        <f>Input!B334</f>
        <v>38299</v>
      </c>
      <c r="B341" s="419">
        <f t="shared" si="24"/>
        <v>45</v>
      </c>
      <c r="C341" s="411">
        <f>IF(Input!I334&lt;=0,"",Input!I334)</f>
        <v>0.44859811428674301</v>
      </c>
      <c r="D341" s="412" t="str">
        <f>IF(G341="","",Input!Q334)</f>
        <v/>
      </c>
      <c r="E341" s="412" t="str">
        <f>IF(ISERROR(Input!AA334),"",Input!AA334)</f>
        <v/>
      </c>
      <c r="F341" s="412" t="str">
        <f>IF(E341="","",Input!AQ334)</f>
        <v/>
      </c>
      <c r="G341" s="413" t="str">
        <f t="shared" si="21"/>
        <v/>
      </c>
      <c r="H341" s="413" t="str">
        <f t="shared" si="22"/>
        <v/>
      </c>
      <c r="I341" s="414">
        <f t="shared" si="23"/>
        <v>0</v>
      </c>
      <c r="J341" s="414">
        <f t="shared" si="23"/>
        <v>0</v>
      </c>
      <c r="K341" s="137"/>
      <c r="L341" s="137"/>
      <c r="M341" s="137"/>
      <c r="N341" s="137"/>
      <c r="O341" s="137"/>
      <c r="P341" s="137"/>
      <c r="Q341" s="137"/>
      <c r="R341" s="137"/>
      <c r="S341" s="137"/>
      <c r="T341" s="137"/>
      <c r="U341" s="137"/>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row>
    <row r="342" spans="1:43">
      <c r="A342" s="407">
        <f>Input!B335</f>
        <v>38300</v>
      </c>
      <c r="B342" s="419">
        <f t="shared" si="24"/>
        <v>45</v>
      </c>
      <c r="C342" s="411">
        <f>IF(Input!I335&lt;=0,"",Input!I335)</f>
        <v>0.49556397787198192</v>
      </c>
      <c r="D342" s="412" t="str">
        <f>IF(G342="","",Input!Q335)</f>
        <v/>
      </c>
      <c r="E342" s="412" t="str">
        <f>IF(ISERROR(Input!AA335),"",Input!AA335)</f>
        <v/>
      </c>
      <c r="F342" s="412" t="str">
        <f>IF(E342="","",Input!AQ335)</f>
        <v/>
      </c>
      <c r="G342" s="413" t="str">
        <f t="shared" si="21"/>
        <v/>
      </c>
      <c r="H342" s="413" t="str">
        <f t="shared" si="22"/>
        <v/>
      </c>
      <c r="I342" s="414">
        <f t="shared" si="23"/>
        <v>0</v>
      </c>
      <c r="J342" s="414">
        <f t="shared" si="23"/>
        <v>0</v>
      </c>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row>
    <row r="343" spans="1:43">
      <c r="A343" s="407">
        <f>Input!B336</f>
        <v>38301</v>
      </c>
      <c r="B343" s="419">
        <f t="shared" si="24"/>
        <v>45</v>
      </c>
      <c r="C343" s="411">
        <f>IF(Input!I336&lt;=0,"",Input!I336)</f>
        <v>0.47134381160449357</v>
      </c>
      <c r="D343" s="412" t="str">
        <f>IF(G343="","",Input!Q336)</f>
        <v/>
      </c>
      <c r="E343" s="412" t="str">
        <f>IF(ISERROR(Input!AA336),"",Input!AA336)</f>
        <v/>
      </c>
      <c r="F343" s="412" t="str">
        <f>IF(E343="","",Input!AQ336)</f>
        <v/>
      </c>
      <c r="G343" s="413" t="str">
        <f t="shared" si="21"/>
        <v/>
      </c>
      <c r="H343" s="413" t="str">
        <f t="shared" si="22"/>
        <v/>
      </c>
      <c r="I343" s="414">
        <f t="shared" si="23"/>
        <v>0</v>
      </c>
      <c r="J343" s="414">
        <f t="shared" si="23"/>
        <v>0</v>
      </c>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row>
    <row r="344" spans="1:43">
      <c r="A344" s="407">
        <f>Input!B337</f>
        <v>38302</v>
      </c>
      <c r="B344" s="419">
        <f t="shared" si="24"/>
        <v>46</v>
      </c>
      <c r="C344" s="411">
        <f>IF(Input!I337&lt;=0,"",Input!I337)</f>
        <v>0.59694829900351776</v>
      </c>
      <c r="D344" s="412" t="str">
        <f>IF(G344="","",Input!Q337)</f>
        <v/>
      </c>
      <c r="E344" s="412" t="str">
        <f>IF(ISERROR(Input!AA337),"",Input!AA337)</f>
        <v/>
      </c>
      <c r="F344" s="412" t="str">
        <f>IF(E344="","",Input!AQ337)</f>
        <v/>
      </c>
      <c r="G344" s="413" t="str">
        <f t="shared" si="21"/>
        <v/>
      </c>
      <c r="H344" s="413" t="str">
        <f t="shared" si="22"/>
        <v/>
      </c>
      <c r="I344" s="414">
        <f t="shared" si="23"/>
        <v>0</v>
      </c>
      <c r="J344" s="414">
        <f t="shared" si="23"/>
        <v>0</v>
      </c>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row>
    <row r="345" spans="1:43">
      <c r="A345" s="407">
        <f>Input!B338</f>
        <v>38303</v>
      </c>
      <c r="B345" s="419">
        <f t="shared" si="24"/>
        <v>46</v>
      </c>
      <c r="C345" s="411">
        <f>IF(Input!I338&lt;=0,"",Input!I338)</f>
        <v>0.52054953591609565</v>
      </c>
      <c r="D345" s="412" t="str">
        <f>IF(G345="","",Input!Q338)</f>
        <v/>
      </c>
      <c r="E345" s="412" t="str">
        <f>IF(ISERROR(Input!AA338),"",Input!AA338)</f>
        <v/>
      </c>
      <c r="F345" s="412" t="str">
        <f>IF(E345="","",Input!AQ338)</f>
        <v/>
      </c>
      <c r="G345" s="413" t="str">
        <f t="shared" si="21"/>
        <v/>
      </c>
      <c r="H345" s="413" t="str">
        <f t="shared" si="22"/>
        <v/>
      </c>
      <c r="I345" s="414">
        <f t="shared" si="23"/>
        <v>0</v>
      </c>
      <c r="J345" s="414">
        <f t="shared" si="23"/>
        <v>0</v>
      </c>
      <c r="K345" s="137"/>
      <c r="L345" s="137"/>
      <c r="M345" s="137"/>
      <c r="N345" s="137"/>
      <c r="O345" s="137"/>
      <c r="P345" s="137"/>
      <c r="Q345" s="137"/>
      <c r="R345" s="137"/>
      <c r="S345" s="137"/>
      <c r="T345" s="137"/>
      <c r="U345" s="137"/>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row>
    <row r="346" spans="1:43">
      <c r="A346" s="407">
        <f>Input!B339</f>
        <v>38304</v>
      </c>
      <c r="B346" s="419">
        <f t="shared" si="24"/>
        <v>46</v>
      </c>
      <c r="C346" s="411">
        <f>IF(Input!I339&lt;=0,"",Input!I339)</f>
        <v>0.52595066517111921</v>
      </c>
      <c r="D346" s="412" t="str">
        <f>IF(G346="","",Input!Q339)</f>
        <v/>
      </c>
      <c r="E346" s="412" t="str">
        <f>IF(ISERROR(Input!AA339),"",Input!AA339)</f>
        <v/>
      </c>
      <c r="F346" s="412" t="str">
        <f>IF(E346="","",Input!AQ339)</f>
        <v/>
      </c>
      <c r="G346" s="413" t="str">
        <f t="shared" si="21"/>
        <v/>
      </c>
      <c r="H346" s="413" t="str">
        <f t="shared" si="22"/>
        <v/>
      </c>
      <c r="I346" s="414">
        <f t="shared" si="23"/>
        <v>0</v>
      </c>
      <c r="J346" s="414">
        <f t="shared" si="23"/>
        <v>0</v>
      </c>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row>
    <row r="347" spans="1:43">
      <c r="A347" s="407">
        <f>Input!B340</f>
        <v>38305</v>
      </c>
      <c r="B347" s="419">
        <f t="shared" si="24"/>
        <v>46</v>
      </c>
      <c r="C347" s="411">
        <f>IF(Input!I340&lt;=0,"",Input!I340)</f>
        <v>0.3836576772264001</v>
      </c>
      <c r="D347" s="412" t="str">
        <f>IF(G347="","",Input!Q340)</f>
        <v/>
      </c>
      <c r="E347" s="412" t="str">
        <f>IF(ISERROR(Input!AA340),"",Input!AA340)</f>
        <v/>
      </c>
      <c r="F347" s="412" t="str">
        <f>IF(E347="","",Input!AQ340)</f>
        <v/>
      </c>
      <c r="G347" s="413" t="str">
        <f t="shared" si="21"/>
        <v/>
      </c>
      <c r="H347" s="413" t="str">
        <f t="shared" si="22"/>
        <v/>
      </c>
      <c r="I347" s="414">
        <f t="shared" si="23"/>
        <v>0</v>
      </c>
      <c r="J347" s="414">
        <f t="shared" si="23"/>
        <v>0</v>
      </c>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row>
    <row r="348" spans="1:43">
      <c r="A348" s="407">
        <f>Input!B341</f>
        <v>38306</v>
      </c>
      <c r="B348" s="419">
        <f t="shared" si="24"/>
        <v>46</v>
      </c>
      <c r="C348" s="411">
        <f>IF(Input!I341&lt;=0,"",Input!I341)</f>
        <v>0.21566560420843345</v>
      </c>
      <c r="D348" s="412" t="str">
        <f>IF(G348="","",Input!Q341)</f>
        <v/>
      </c>
      <c r="E348" s="412" t="str">
        <f>IF(ISERROR(Input!AA341),"",Input!AA341)</f>
        <v/>
      </c>
      <c r="F348" s="412" t="str">
        <f>IF(E348="","",Input!AQ341)</f>
        <v/>
      </c>
      <c r="G348" s="413" t="str">
        <f t="shared" si="21"/>
        <v/>
      </c>
      <c r="H348" s="413" t="str">
        <f t="shared" si="22"/>
        <v/>
      </c>
      <c r="I348" s="414">
        <f t="shared" si="23"/>
        <v>0</v>
      </c>
      <c r="J348" s="414">
        <f t="shared" si="23"/>
        <v>0</v>
      </c>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row>
    <row r="349" spans="1:43">
      <c r="A349" s="407">
        <f>Input!B342</f>
        <v>38307</v>
      </c>
      <c r="B349" s="419">
        <f t="shared" si="24"/>
        <v>46</v>
      </c>
      <c r="C349" s="411">
        <f>IF(Input!I342&lt;=0,"",Input!I342)</f>
        <v>0.16215468248416967</v>
      </c>
      <c r="D349" s="412" t="str">
        <f>IF(G349="","",Input!Q342)</f>
        <v/>
      </c>
      <c r="E349" s="412" t="str">
        <f>IF(ISERROR(Input!AA342),"",Input!AA342)</f>
        <v/>
      </c>
      <c r="F349" s="412" t="str">
        <f>IF(E349="","",Input!AQ342)</f>
        <v/>
      </c>
      <c r="G349" s="413" t="str">
        <f t="shared" si="21"/>
        <v/>
      </c>
      <c r="H349" s="413" t="str">
        <f t="shared" si="22"/>
        <v/>
      </c>
      <c r="I349" s="414">
        <f t="shared" si="23"/>
        <v>0</v>
      </c>
      <c r="J349" s="414">
        <f t="shared" si="23"/>
        <v>0</v>
      </c>
      <c r="K349" s="137"/>
      <c r="L349" s="137"/>
      <c r="M349" s="137"/>
      <c r="N349" s="137"/>
      <c r="O349" s="137"/>
      <c r="P349" s="137"/>
      <c r="Q349" s="137"/>
      <c r="R349" s="137"/>
      <c r="S349" s="137"/>
      <c r="T349" s="137"/>
      <c r="U349" s="137"/>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row>
    <row r="350" spans="1:43">
      <c r="A350" s="407">
        <f>Input!B343</f>
        <v>38308</v>
      </c>
      <c r="B350" s="419">
        <f t="shared" si="24"/>
        <v>46</v>
      </c>
      <c r="C350" s="411">
        <f>IF(Input!I343&lt;=0,"",Input!I343)</f>
        <v>0.28050565731507188</v>
      </c>
      <c r="D350" s="412" t="str">
        <f>IF(G350="","",Input!Q343)</f>
        <v/>
      </c>
      <c r="E350" s="412" t="str">
        <f>IF(ISERROR(Input!AA343),"",Input!AA343)</f>
        <v/>
      </c>
      <c r="F350" s="412" t="str">
        <f>IF(E350="","",Input!AQ343)</f>
        <v/>
      </c>
      <c r="G350" s="413" t="str">
        <f t="shared" ref="G350:G413" si="25">IF(E350="","",E350*C350)</f>
        <v/>
      </c>
      <c r="H350" s="413" t="str">
        <f t="shared" ref="H350:H413" si="26">IF(F350="","",F350*C350)</f>
        <v/>
      </c>
      <c r="I350" s="414">
        <f t="shared" ref="I350:J413" si="27">IF(G350="",0,IF(I349="",G350,I349+G350))</f>
        <v>0</v>
      </c>
      <c r="J350" s="414">
        <f t="shared" si="27"/>
        <v>0</v>
      </c>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row>
    <row r="351" spans="1:43">
      <c r="A351" s="407">
        <f>Input!B344</f>
        <v>38309</v>
      </c>
      <c r="B351" s="419">
        <f t="shared" si="24"/>
        <v>47</v>
      </c>
      <c r="C351" s="411">
        <f>IF(Input!I344&lt;=0,"",Input!I344)</f>
        <v>0.39071399091212361</v>
      </c>
      <c r="D351" s="412" t="str">
        <f>IF(G351="","",Input!Q344)</f>
        <v/>
      </c>
      <c r="E351" s="412" t="str">
        <f>IF(ISERROR(Input!AA344),"",Input!AA344)</f>
        <v/>
      </c>
      <c r="F351" s="412" t="str">
        <f>IF(E351="","",Input!AQ344)</f>
        <v/>
      </c>
      <c r="G351" s="413" t="str">
        <f t="shared" si="25"/>
        <v/>
      </c>
      <c r="H351" s="413" t="str">
        <f t="shared" si="26"/>
        <v/>
      </c>
      <c r="I351" s="414">
        <f t="shared" si="27"/>
        <v>0</v>
      </c>
      <c r="J351" s="414">
        <f t="shared" si="27"/>
        <v>0</v>
      </c>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row>
    <row r="352" spans="1:43">
      <c r="A352" s="407">
        <f>Input!B345</f>
        <v>38310</v>
      </c>
      <c r="B352" s="419">
        <f t="shared" si="24"/>
        <v>47</v>
      </c>
      <c r="C352" s="411">
        <f>IF(Input!I345&lt;=0,"",Input!I345)</f>
        <v>0.47570645343186002</v>
      </c>
      <c r="D352" s="412" t="str">
        <f>IF(G352="","",Input!Q345)</f>
        <v/>
      </c>
      <c r="E352" s="412" t="str">
        <f>IF(ISERROR(Input!AA345),"",Input!AA345)</f>
        <v/>
      </c>
      <c r="F352" s="412" t="str">
        <f>IF(E352="","",Input!AQ345)</f>
        <v/>
      </c>
      <c r="G352" s="413" t="str">
        <f t="shared" si="25"/>
        <v/>
      </c>
      <c r="H352" s="413" t="str">
        <f t="shared" si="26"/>
        <v/>
      </c>
      <c r="I352" s="414">
        <f t="shared" si="27"/>
        <v>0</v>
      </c>
      <c r="J352" s="414">
        <f t="shared" si="27"/>
        <v>0</v>
      </c>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row>
    <row r="353" spans="1:43">
      <c r="A353" s="407">
        <f>Input!B346</f>
        <v>38311</v>
      </c>
      <c r="B353" s="419">
        <f t="shared" si="24"/>
        <v>47</v>
      </c>
      <c r="C353" s="411">
        <f>IF(Input!I346&lt;=0,"",Input!I346)</f>
        <v>0.31239412896784557</v>
      </c>
      <c r="D353" s="412" t="str">
        <f>IF(G353="","",Input!Q346)</f>
        <v/>
      </c>
      <c r="E353" s="412" t="str">
        <f>IF(ISERROR(Input!AA346),"",Input!AA346)</f>
        <v/>
      </c>
      <c r="F353" s="412" t="str">
        <f>IF(E353="","",Input!AQ346)</f>
        <v/>
      </c>
      <c r="G353" s="413" t="str">
        <f t="shared" si="25"/>
        <v/>
      </c>
      <c r="H353" s="413" t="str">
        <f t="shared" si="26"/>
        <v/>
      </c>
      <c r="I353" s="414">
        <f t="shared" si="27"/>
        <v>0</v>
      </c>
      <c r="J353" s="414">
        <f t="shared" si="27"/>
        <v>0</v>
      </c>
      <c r="K353" s="137"/>
      <c r="L353" s="137"/>
      <c r="M353" s="137"/>
      <c r="N353" s="137"/>
      <c r="O353" s="137"/>
      <c r="P353" s="137"/>
      <c r="Q353" s="137"/>
      <c r="R353" s="137"/>
      <c r="S353" s="137"/>
      <c r="T353" s="137"/>
      <c r="U353" s="137"/>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row>
    <row r="354" spans="1:43">
      <c r="A354" s="407">
        <f>Input!B347</f>
        <v>38312</v>
      </c>
      <c r="B354" s="419">
        <f t="shared" si="24"/>
        <v>47</v>
      </c>
      <c r="C354" s="411">
        <f>IF(Input!I347&lt;=0,"",Input!I347)</f>
        <v>0.35500467658846468</v>
      </c>
      <c r="D354" s="412" t="str">
        <f>IF(G354="","",Input!Q347)</f>
        <v/>
      </c>
      <c r="E354" s="412" t="str">
        <f>IF(ISERROR(Input!AA347),"",Input!AA347)</f>
        <v/>
      </c>
      <c r="F354" s="412" t="str">
        <f>IF(E354="","",Input!AQ347)</f>
        <v/>
      </c>
      <c r="G354" s="413" t="str">
        <f t="shared" si="25"/>
        <v/>
      </c>
      <c r="H354" s="413" t="str">
        <f t="shared" si="26"/>
        <v/>
      </c>
      <c r="I354" s="414">
        <f t="shared" si="27"/>
        <v>0</v>
      </c>
      <c r="J354" s="414">
        <f t="shared" si="27"/>
        <v>0</v>
      </c>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row>
    <row r="355" spans="1:43">
      <c r="A355" s="407">
        <f>Input!B348</f>
        <v>38313</v>
      </c>
      <c r="B355" s="419">
        <f t="shared" si="24"/>
        <v>47</v>
      </c>
      <c r="C355" s="411">
        <f>IF(Input!I348&lt;=0,"",Input!I348)</f>
        <v>0.385946676829446</v>
      </c>
      <c r="D355" s="412" t="str">
        <f>IF(G355="","",Input!Q348)</f>
        <v/>
      </c>
      <c r="E355" s="412" t="str">
        <f>IF(ISERROR(Input!AA348),"",Input!AA348)</f>
        <v/>
      </c>
      <c r="F355" s="412" t="str">
        <f>IF(E355="","",Input!AQ348)</f>
        <v/>
      </c>
      <c r="G355" s="413" t="str">
        <f t="shared" si="25"/>
        <v/>
      </c>
      <c r="H355" s="413" t="str">
        <f t="shared" si="26"/>
        <v/>
      </c>
      <c r="I355" s="414">
        <f t="shared" si="27"/>
        <v>0</v>
      </c>
      <c r="J355" s="414">
        <f t="shared" si="27"/>
        <v>0</v>
      </c>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row>
    <row r="356" spans="1:43">
      <c r="A356" s="407">
        <f>Input!B349</f>
        <v>38314</v>
      </c>
      <c r="B356" s="419">
        <f t="shared" si="24"/>
        <v>47</v>
      </c>
      <c r="C356" s="411">
        <f>IF(Input!I349&lt;=0,"",Input!I349)</f>
        <v>0.27860676970378567</v>
      </c>
      <c r="D356" s="412" t="str">
        <f>IF(G356="","",Input!Q349)</f>
        <v/>
      </c>
      <c r="E356" s="412" t="str">
        <f>IF(ISERROR(Input!AA349),"",Input!AA349)</f>
        <v/>
      </c>
      <c r="F356" s="412" t="str">
        <f>IF(E356="","",Input!AQ349)</f>
        <v/>
      </c>
      <c r="G356" s="413" t="str">
        <f t="shared" si="25"/>
        <v/>
      </c>
      <c r="H356" s="413" t="str">
        <f t="shared" si="26"/>
        <v/>
      </c>
      <c r="I356" s="414">
        <f t="shared" si="27"/>
        <v>0</v>
      </c>
      <c r="J356" s="414">
        <f t="shared" si="27"/>
        <v>0</v>
      </c>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row>
    <row r="357" spans="1:43">
      <c r="A357" s="407">
        <f>Input!B350</f>
        <v>38315</v>
      </c>
      <c r="B357" s="419">
        <f t="shared" ref="B357:B420" si="28">IF(MOD(A356-A$28,7)=0,B356+1,B356)</f>
        <v>47</v>
      </c>
      <c r="C357" s="411">
        <f>IF(Input!I350&lt;=0,"",Input!I350)</f>
        <v>0.13927441647758435</v>
      </c>
      <c r="D357" s="412" t="str">
        <f>IF(G357="","",Input!Q350)</f>
        <v/>
      </c>
      <c r="E357" s="412" t="str">
        <f>IF(ISERROR(Input!AA350),"",Input!AA350)</f>
        <v/>
      </c>
      <c r="F357" s="412" t="str">
        <f>IF(E357="","",Input!AQ350)</f>
        <v/>
      </c>
      <c r="G357" s="413" t="str">
        <f t="shared" si="25"/>
        <v/>
      </c>
      <c r="H357" s="413" t="str">
        <f t="shared" si="26"/>
        <v/>
      </c>
      <c r="I357" s="414">
        <f t="shared" si="27"/>
        <v>0</v>
      </c>
      <c r="J357" s="414">
        <f t="shared" si="27"/>
        <v>0</v>
      </c>
      <c r="K357" s="137"/>
      <c r="L357" s="137"/>
      <c r="M357" s="137"/>
      <c r="N357" s="137"/>
      <c r="O357" s="137"/>
      <c r="P357" s="137"/>
      <c r="Q357" s="137"/>
      <c r="R357" s="137"/>
      <c r="S357" s="137"/>
      <c r="T357" s="137"/>
      <c r="U357" s="137"/>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row>
    <row r="358" spans="1:43">
      <c r="A358" s="407">
        <f>Input!B351</f>
        <v>38316</v>
      </c>
      <c r="B358" s="419">
        <f t="shared" si="28"/>
        <v>48</v>
      </c>
      <c r="C358" s="411">
        <f>IF(Input!I351&lt;=0,"",Input!I351)</f>
        <v>0.36328911509493322</v>
      </c>
      <c r="D358" s="412" t="str">
        <f>IF(G358="","",Input!Q351)</f>
        <v/>
      </c>
      <c r="E358" s="412" t="str">
        <f>IF(ISERROR(Input!AA351),"",Input!AA351)</f>
        <v/>
      </c>
      <c r="F358" s="412" t="str">
        <f>IF(E358="","",Input!AQ351)</f>
        <v/>
      </c>
      <c r="G358" s="413" t="str">
        <f t="shared" si="25"/>
        <v/>
      </c>
      <c r="H358" s="413" t="str">
        <f t="shared" si="26"/>
        <v/>
      </c>
      <c r="I358" s="414">
        <f t="shared" si="27"/>
        <v>0</v>
      </c>
      <c r="J358" s="414">
        <f t="shared" si="27"/>
        <v>0</v>
      </c>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row>
    <row r="359" spans="1:43">
      <c r="A359" s="407">
        <f>Input!B352</f>
        <v>38317</v>
      </c>
      <c r="B359" s="419">
        <f t="shared" si="28"/>
        <v>48</v>
      </c>
      <c r="C359" s="411">
        <f>IF(Input!I352&lt;=0,"",Input!I352)</f>
        <v>0.21044688790550653</v>
      </c>
      <c r="D359" s="412" t="str">
        <f>IF(G359="","",Input!Q352)</f>
        <v/>
      </c>
      <c r="E359" s="412" t="str">
        <f>IF(ISERROR(Input!AA352),"",Input!AA352)</f>
        <v/>
      </c>
      <c r="F359" s="412" t="str">
        <f>IF(E359="","",Input!AQ352)</f>
        <v/>
      </c>
      <c r="G359" s="413" t="str">
        <f t="shared" si="25"/>
        <v/>
      </c>
      <c r="H359" s="413" t="str">
        <f t="shared" si="26"/>
        <v/>
      </c>
      <c r="I359" s="414">
        <f t="shared" si="27"/>
        <v>0</v>
      </c>
      <c r="J359" s="414">
        <f t="shared" si="27"/>
        <v>0</v>
      </c>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row>
    <row r="360" spans="1:43">
      <c r="A360" s="407">
        <f>Input!B353</f>
        <v>38318</v>
      </c>
      <c r="B360" s="419">
        <f t="shared" si="28"/>
        <v>48</v>
      </c>
      <c r="C360" s="411">
        <f>IF(Input!I353&lt;=0,"",Input!I353)</f>
        <v>0.29495653341181693</v>
      </c>
      <c r="D360" s="412" t="str">
        <f>IF(G360="","",Input!Q353)</f>
        <v/>
      </c>
      <c r="E360" s="412" t="str">
        <f>IF(ISERROR(Input!AA353),"",Input!AA353)</f>
        <v/>
      </c>
      <c r="F360" s="412" t="str">
        <f>IF(E360="","",Input!AQ353)</f>
        <v/>
      </c>
      <c r="G360" s="413" t="str">
        <f t="shared" si="25"/>
        <v/>
      </c>
      <c r="H360" s="413" t="str">
        <f t="shared" si="26"/>
        <v/>
      </c>
      <c r="I360" s="414">
        <f t="shared" si="27"/>
        <v>0</v>
      </c>
      <c r="J360" s="414">
        <f t="shared" si="27"/>
        <v>0</v>
      </c>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row>
    <row r="361" spans="1:43">
      <c r="A361" s="407">
        <f>Input!B354</f>
        <v>38319</v>
      </c>
      <c r="B361" s="419">
        <f t="shared" si="28"/>
        <v>48</v>
      </c>
      <c r="C361" s="411">
        <f>IF(Input!I354&lt;=0,"",Input!I354)</f>
        <v>0.42152958426195597</v>
      </c>
      <c r="D361" s="412" t="str">
        <f>IF(G361="","",Input!Q354)</f>
        <v/>
      </c>
      <c r="E361" s="412" t="str">
        <f>IF(ISERROR(Input!AA354),"",Input!AA354)</f>
        <v/>
      </c>
      <c r="F361" s="412" t="str">
        <f>IF(E361="","",Input!AQ354)</f>
        <v/>
      </c>
      <c r="G361" s="413" t="str">
        <f t="shared" si="25"/>
        <v/>
      </c>
      <c r="H361" s="413" t="str">
        <f t="shared" si="26"/>
        <v/>
      </c>
      <c r="I361" s="414">
        <f t="shared" si="27"/>
        <v>0</v>
      </c>
      <c r="J361" s="414">
        <f t="shared" si="27"/>
        <v>0</v>
      </c>
      <c r="K361" s="137"/>
      <c r="L361" s="137"/>
      <c r="M361" s="137"/>
      <c r="N361" s="137"/>
      <c r="O361" s="137"/>
      <c r="P361" s="137"/>
      <c r="Q361" s="137"/>
      <c r="R361" s="137"/>
      <c r="S361" s="137"/>
      <c r="T361" s="137"/>
      <c r="U361" s="137"/>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row>
    <row r="362" spans="1:43">
      <c r="A362" s="407">
        <f>Input!B355</f>
        <v>38320</v>
      </c>
      <c r="B362" s="419">
        <f t="shared" si="28"/>
        <v>48</v>
      </c>
      <c r="C362" s="411">
        <f>IF(Input!I355&lt;=0,"",Input!I355)</f>
        <v>0.34954540815004342</v>
      </c>
      <c r="D362" s="412" t="str">
        <f>IF(G362="","",Input!Q355)</f>
        <v/>
      </c>
      <c r="E362" s="412" t="str">
        <f>IF(ISERROR(Input!AA355),"",Input!AA355)</f>
        <v/>
      </c>
      <c r="F362" s="412" t="str">
        <f>IF(E362="","",Input!AQ355)</f>
        <v/>
      </c>
      <c r="G362" s="413" t="str">
        <f t="shared" si="25"/>
        <v/>
      </c>
      <c r="H362" s="413" t="str">
        <f t="shared" si="26"/>
        <v/>
      </c>
      <c r="I362" s="414">
        <f t="shared" si="27"/>
        <v>0</v>
      </c>
      <c r="J362" s="414">
        <f t="shared" si="27"/>
        <v>0</v>
      </c>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row>
    <row r="363" spans="1:43">
      <c r="A363" s="407">
        <f>Input!B356</f>
        <v>38321</v>
      </c>
      <c r="B363" s="419">
        <f t="shared" si="28"/>
        <v>48</v>
      </c>
      <c r="C363" s="411">
        <f>IF(Input!I356&lt;=0,"",Input!I356)</f>
        <v>0.4460251589614519</v>
      </c>
      <c r="D363" s="412" t="str">
        <f>IF(G363="","",Input!Q356)</f>
        <v/>
      </c>
      <c r="E363" s="412" t="str">
        <f>IF(ISERROR(Input!AA356),"",Input!AA356)</f>
        <v/>
      </c>
      <c r="F363" s="412" t="str">
        <f>IF(E363="","",Input!AQ356)</f>
        <v/>
      </c>
      <c r="G363" s="413" t="str">
        <f t="shared" si="25"/>
        <v/>
      </c>
      <c r="H363" s="413" t="str">
        <f t="shared" si="26"/>
        <v/>
      </c>
      <c r="I363" s="414">
        <f t="shared" si="27"/>
        <v>0</v>
      </c>
      <c r="J363" s="414">
        <f t="shared" si="27"/>
        <v>0</v>
      </c>
      <c r="K363" s="137"/>
      <c r="L363" s="137"/>
      <c r="M363" s="137"/>
      <c r="N363" s="137"/>
      <c r="O363" s="137"/>
      <c r="P363" s="137"/>
      <c r="Q363" s="137"/>
      <c r="R363" s="137"/>
      <c r="S363" s="137"/>
      <c r="T363" s="137"/>
      <c r="U363" s="137"/>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row>
    <row r="364" spans="1:43">
      <c r="A364" s="407">
        <f>Input!B357</f>
        <v>38322</v>
      </c>
      <c r="B364" s="419">
        <f t="shared" si="28"/>
        <v>48</v>
      </c>
      <c r="C364" s="411">
        <f>IF(Input!I357&lt;=0,"",Input!I357)</f>
        <v>0.35825075999220179</v>
      </c>
      <c r="D364" s="412" t="str">
        <f>IF(G364="","",Input!Q357)</f>
        <v/>
      </c>
      <c r="E364" s="412" t="str">
        <f>IF(ISERROR(Input!AA357),"",Input!AA357)</f>
        <v/>
      </c>
      <c r="F364" s="412" t="str">
        <f>IF(E364="","",Input!AQ357)</f>
        <v/>
      </c>
      <c r="G364" s="413" t="str">
        <f t="shared" si="25"/>
        <v/>
      </c>
      <c r="H364" s="413" t="str">
        <f t="shared" si="26"/>
        <v/>
      </c>
      <c r="I364" s="414">
        <f t="shared" si="27"/>
        <v>0</v>
      </c>
      <c r="J364" s="414">
        <f t="shared" si="27"/>
        <v>0</v>
      </c>
      <c r="K364" s="137"/>
      <c r="L364" s="137"/>
      <c r="M364" s="137"/>
      <c r="N364" s="137"/>
      <c r="O364" s="137"/>
      <c r="P364" s="137"/>
      <c r="Q364" s="137"/>
      <c r="R364" s="137"/>
      <c r="S364" s="137"/>
      <c r="T364" s="137"/>
      <c r="U364" s="137"/>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row>
    <row r="365" spans="1:43">
      <c r="A365" s="407">
        <f>Input!B358</f>
        <v>38323</v>
      </c>
      <c r="B365" s="419">
        <f t="shared" si="28"/>
        <v>49</v>
      </c>
      <c r="C365" s="411">
        <f>IF(Input!I358&lt;=0,"",Input!I358)</f>
        <v>0.26485704367748769</v>
      </c>
      <c r="D365" s="412" t="str">
        <f>IF(G365="","",Input!Q358)</f>
        <v/>
      </c>
      <c r="E365" s="412" t="str">
        <f>IF(ISERROR(Input!AA358),"",Input!AA358)</f>
        <v/>
      </c>
      <c r="F365" s="412" t="str">
        <f>IF(E365="","",Input!AQ358)</f>
        <v/>
      </c>
      <c r="G365" s="413" t="str">
        <f t="shared" si="25"/>
        <v/>
      </c>
      <c r="H365" s="413" t="str">
        <f t="shared" si="26"/>
        <v/>
      </c>
      <c r="I365" s="414">
        <f t="shared" si="27"/>
        <v>0</v>
      </c>
      <c r="J365" s="414">
        <f t="shared" si="27"/>
        <v>0</v>
      </c>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row>
    <row r="366" spans="1:43">
      <c r="A366" s="407">
        <f>Input!B359</f>
        <v>38324</v>
      </c>
      <c r="B366" s="419">
        <f t="shared" si="28"/>
        <v>49</v>
      </c>
      <c r="C366" s="411">
        <f>IF(Input!I359&lt;=0,"",Input!I359)</f>
        <v>0.30545285076975481</v>
      </c>
      <c r="D366" s="412" t="str">
        <f>IF(G366="","",Input!Q359)</f>
        <v/>
      </c>
      <c r="E366" s="412" t="str">
        <f>IF(ISERROR(Input!AA359),"",Input!AA359)</f>
        <v/>
      </c>
      <c r="F366" s="412" t="str">
        <f>IF(E366="","",Input!AQ359)</f>
        <v/>
      </c>
      <c r="G366" s="413" t="str">
        <f t="shared" si="25"/>
        <v/>
      </c>
      <c r="H366" s="413" t="str">
        <f t="shared" si="26"/>
        <v/>
      </c>
      <c r="I366" s="414">
        <f t="shared" si="27"/>
        <v>0</v>
      </c>
      <c r="J366" s="414">
        <f t="shared" si="27"/>
        <v>0</v>
      </c>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row>
    <row r="367" spans="1:43">
      <c r="A367" s="407">
        <f>Input!B360</f>
        <v>38325</v>
      </c>
      <c r="B367" s="419">
        <f t="shared" si="28"/>
        <v>49</v>
      </c>
      <c r="C367" s="411">
        <f>IF(Input!I360&lt;=0,"",Input!I360)</f>
        <v>0.23728039005273585</v>
      </c>
      <c r="D367" s="412" t="str">
        <f>IF(G367="","",Input!Q360)</f>
        <v/>
      </c>
      <c r="E367" s="412" t="str">
        <f>IF(ISERROR(Input!AA360),"",Input!AA360)</f>
        <v/>
      </c>
      <c r="F367" s="412" t="str">
        <f>IF(E367="","",Input!AQ360)</f>
        <v/>
      </c>
      <c r="G367" s="413" t="str">
        <f t="shared" si="25"/>
        <v/>
      </c>
      <c r="H367" s="413" t="str">
        <f t="shared" si="26"/>
        <v/>
      </c>
      <c r="I367" s="414">
        <f t="shared" si="27"/>
        <v>0</v>
      </c>
      <c r="J367" s="414">
        <f t="shared" si="27"/>
        <v>0</v>
      </c>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row>
    <row r="368" spans="1:43">
      <c r="A368" s="407">
        <f>Input!B361</f>
        <v>38326</v>
      </c>
      <c r="B368" s="419">
        <f t="shared" si="28"/>
        <v>49</v>
      </c>
      <c r="C368" s="411">
        <f>IF(Input!I361&lt;=0,"",Input!I361)</f>
        <v>0.11819204647909157</v>
      </c>
      <c r="D368" s="412" t="str">
        <f>IF(G368="","",Input!Q361)</f>
        <v/>
      </c>
      <c r="E368" s="412" t="str">
        <f>IF(ISERROR(Input!AA361),"",Input!AA361)</f>
        <v/>
      </c>
      <c r="F368" s="412" t="str">
        <f>IF(E368="","",Input!AQ361)</f>
        <v/>
      </c>
      <c r="G368" s="413" t="str">
        <f t="shared" si="25"/>
        <v/>
      </c>
      <c r="H368" s="413" t="str">
        <f t="shared" si="26"/>
        <v/>
      </c>
      <c r="I368" s="414">
        <f t="shared" si="27"/>
        <v>0</v>
      </c>
      <c r="J368" s="414">
        <f t="shared" si="27"/>
        <v>0</v>
      </c>
      <c r="K368" s="137"/>
      <c r="L368" s="137"/>
      <c r="M368" s="137"/>
      <c r="N368" s="137"/>
      <c r="O368" s="137"/>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row>
    <row r="369" spans="1:43">
      <c r="A369" s="407">
        <f>Input!B362</f>
        <v>38327</v>
      </c>
      <c r="B369" s="419">
        <f t="shared" si="28"/>
        <v>49</v>
      </c>
      <c r="C369" s="411">
        <f>IF(Input!I362&lt;=0,"",Input!I362)</f>
        <v>0.27091712366785692</v>
      </c>
      <c r="D369" s="412" t="str">
        <f>IF(G369="","",Input!Q362)</f>
        <v/>
      </c>
      <c r="E369" s="412" t="str">
        <f>IF(ISERROR(Input!AA362),"",Input!AA362)</f>
        <v/>
      </c>
      <c r="F369" s="412" t="str">
        <f>IF(E369="","",Input!AQ362)</f>
        <v/>
      </c>
      <c r="G369" s="413" t="str">
        <f t="shared" si="25"/>
        <v/>
      </c>
      <c r="H369" s="413" t="str">
        <f t="shared" si="26"/>
        <v/>
      </c>
      <c r="I369" s="414">
        <f t="shared" si="27"/>
        <v>0</v>
      </c>
      <c r="J369" s="414">
        <f t="shared" si="27"/>
        <v>0</v>
      </c>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row>
    <row r="370" spans="1:43">
      <c r="A370" s="407">
        <f>Input!B363</f>
        <v>38328</v>
      </c>
      <c r="B370" s="419">
        <f t="shared" si="28"/>
        <v>49</v>
      </c>
      <c r="C370" s="411">
        <f>IF(Input!I363&lt;=0,"",Input!I363)</f>
        <v>0.16740153746264114</v>
      </c>
      <c r="D370" s="412" t="str">
        <f>IF(G370="","",Input!Q363)</f>
        <v/>
      </c>
      <c r="E370" s="412" t="str">
        <f>IF(ISERROR(Input!AA363),"",Input!AA363)</f>
        <v/>
      </c>
      <c r="F370" s="412" t="str">
        <f>IF(E370="","",Input!AQ363)</f>
        <v/>
      </c>
      <c r="G370" s="413" t="str">
        <f t="shared" si="25"/>
        <v/>
      </c>
      <c r="H370" s="413" t="str">
        <f t="shared" si="26"/>
        <v/>
      </c>
      <c r="I370" s="414">
        <f t="shared" si="27"/>
        <v>0</v>
      </c>
      <c r="J370" s="414">
        <f t="shared" si="27"/>
        <v>0</v>
      </c>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row>
    <row r="371" spans="1:43">
      <c r="A371" s="407">
        <f>Input!B364</f>
        <v>38329</v>
      </c>
      <c r="B371" s="419">
        <f t="shared" si="28"/>
        <v>49</v>
      </c>
      <c r="C371" s="411">
        <f>IF(Input!I364&lt;=0,"",Input!I364)</f>
        <v>0.22609620971568736</v>
      </c>
      <c r="D371" s="412" t="str">
        <f>IF(G371="","",Input!Q364)</f>
        <v/>
      </c>
      <c r="E371" s="412" t="str">
        <f>IF(ISERROR(Input!AA364),"",Input!AA364)</f>
        <v/>
      </c>
      <c r="F371" s="412" t="str">
        <f>IF(E371="","",Input!AQ364)</f>
        <v/>
      </c>
      <c r="G371" s="413" t="str">
        <f t="shared" si="25"/>
        <v/>
      </c>
      <c r="H371" s="413" t="str">
        <f t="shared" si="26"/>
        <v/>
      </c>
      <c r="I371" s="414">
        <f t="shared" si="27"/>
        <v>0</v>
      </c>
      <c r="J371" s="414">
        <f t="shared" si="27"/>
        <v>0</v>
      </c>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row>
    <row r="372" spans="1:43">
      <c r="A372" s="407">
        <f>Input!B365</f>
        <v>38330</v>
      </c>
      <c r="B372" s="419">
        <f t="shared" si="28"/>
        <v>50</v>
      </c>
      <c r="C372" s="411">
        <f>IF(Input!I365&lt;=0,"",Input!I365)</f>
        <v>0.15022959251795459</v>
      </c>
      <c r="D372" s="412" t="str">
        <f>IF(G372="","",Input!Q365)</f>
        <v/>
      </c>
      <c r="E372" s="412" t="str">
        <f>IF(ISERROR(Input!AA365),"",Input!AA365)</f>
        <v/>
      </c>
      <c r="F372" s="412" t="str">
        <f>IF(E372="","",Input!AQ365)</f>
        <v/>
      </c>
      <c r="G372" s="413" t="str">
        <f t="shared" si="25"/>
        <v/>
      </c>
      <c r="H372" s="413" t="str">
        <f t="shared" si="26"/>
        <v/>
      </c>
      <c r="I372" s="414">
        <f t="shared" si="27"/>
        <v>0</v>
      </c>
      <c r="J372" s="414">
        <f t="shared" si="27"/>
        <v>0</v>
      </c>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row>
    <row r="373" spans="1:43">
      <c r="A373" s="407">
        <f>Input!B366</f>
        <v>38331</v>
      </c>
      <c r="B373" s="419">
        <f t="shared" si="28"/>
        <v>50</v>
      </c>
      <c r="C373" s="411">
        <f>IF(Input!I366&lt;=0,"",Input!I366)</f>
        <v>0.15350220716630447</v>
      </c>
      <c r="D373" s="412" t="str">
        <f>IF(G373="","",Input!Q366)</f>
        <v/>
      </c>
      <c r="E373" s="412" t="str">
        <f>IF(ISERROR(Input!AA366),"",Input!AA366)</f>
        <v/>
      </c>
      <c r="F373" s="412" t="str">
        <f>IF(E373="","",Input!AQ366)</f>
        <v/>
      </c>
      <c r="G373" s="413" t="str">
        <f t="shared" si="25"/>
        <v/>
      </c>
      <c r="H373" s="413" t="str">
        <f t="shared" si="26"/>
        <v/>
      </c>
      <c r="I373" s="414">
        <f t="shared" si="27"/>
        <v>0</v>
      </c>
      <c r="J373" s="414">
        <f t="shared" si="27"/>
        <v>0</v>
      </c>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row>
    <row r="374" spans="1:43">
      <c r="A374" s="407">
        <f>Input!B367</f>
        <v>38332</v>
      </c>
      <c r="B374" s="419">
        <f t="shared" si="28"/>
        <v>50</v>
      </c>
      <c r="C374" s="411">
        <f>IF(Input!I367&lt;=0,"",Input!I367)</f>
        <v>0.25571221462424665</v>
      </c>
      <c r="D374" s="412" t="str">
        <f>IF(G374="","",Input!Q367)</f>
        <v/>
      </c>
      <c r="E374" s="412" t="str">
        <f>IF(ISERROR(Input!AA367),"",Input!AA367)</f>
        <v/>
      </c>
      <c r="F374" s="412" t="str">
        <f>IF(E374="","",Input!AQ367)</f>
        <v/>
      </c>
      <c r="G374" s="413" t="str">
        <f t="shared" si="25"/>
        <v/>
      </c>
      <c r="H374" s="413" t="str">
        <f t="shared" si="26"/>
        <v/>
      </c>
      <c r="I374" s="414">
        <f t="shared" si="27"/>
        <v>0</v>
      </c>
      <c r="J374" s="414">
        <f t="shared" si="27"/>
        <v>0</v>
      </c>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row>
    <row r="375" spans="1:43">
      <c r="A375" s="407">
        <f>Input!B368</f>
        <v>38333</v>
      </c>
      <c r="B375" s="419">
        <f t="shared" si="28"/>
        <v>50</v>
      </c>
      <c r="C375" s="411">
        <f>IF(Input!I368&lt;=0,"",Input!I368)</f>
        <v>0.14007117407982622</v>
      </c>
      <c r="D375" s="412" t="str">
        <f>IF(G375="","",Input!Q368)</f>
        <v/>
      </c>
      <c r="E375" s="412" t="str">
        <f>IF(ISERROR(Input!AA368),"",Input!AA368)</f>
        <v/>
      </c>
      <c r="F375" s="412" t="str">
        <f>IF(E375="","",Input!AQ368)</f>
        <v/>
      </c>
      <c r="G375" s="413" t="str">
        <f t="shared" si="25"/>
        <v/>
      </c>
      <c r="H375" s="413" t="str">
        <f t="shared" si="26"/>
        <v/>
      </c>
      <c r="I375" s="414">
        <f t="shared" si="27"/>
        <v>0</v>
      </c>
      <c r="J375" s="414">
        <f t="shared" si="27"/>
        <v>0</v>
      </c>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row>
    <row r="376" spans="1:43">
      <c r="A376" s="407">
        <f>Input!B369</f>
        <v>38334</v>
      </c>
      <c r="B376" s="419">
        <f t="shared" si="28"/>
        <v>50</v>
      </c>
      <c r="C376" s="411">
        <f>IF(Input!I369&lt;=0,"",Input!I369)</f>
        <v>0.11457279942072622</v>
      </c>
      <c r="D376" s="412" t="str">
        <f>IF(G376="","",Input!Q369)</f>
        <v/>
      </c>
      <c r="E376" s="412" t="str">
        <f>IF(ISERROR(Input!AA369),"",Input!AA369)</f>
        <v/>
      </c>
      <c r="F376" s="412" t="str">
        <f>IF(E376="","",Input!AQ369)</f>
        <v/>
      </c>
      <c r="G376" s="413" t="str">
        <f t="shared" si="25"/>
        <v/>
      </c>
      <c r="H376" s="413" t="str">
        <f t="shared" si="26"/>
        <v/>
      </c>
      <c r="I376" s="414">
        <f t="shared" si="27"/>
        <v>0</v>
      </c>
      <c r="J376" s="414">
        <f t="shared" si="27"/>
        <v>0</v>
      </c>
      <c r="K376" s="137"/>
      <c r="L376" s="137"/>
      <c r="M376" s="137"/>
      <c r="N376" s="137"/>
      <c r="O376" s="137"/>
      <c r="P376" s="137"/>
      <c r="Q376" s="137"/>
      <c r="R376" s="137"/>
      <c r="S376" s="137"/>
      <c r="T376" s="137"/>
      <c r="U376" s="137"/>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row>
    <row r="377" spans="1:43">
      <c r="A377" s="407">
        <f>Input!B370</f>
        <v>38335</v>
      </c>
      <c r="B377" s="419">
        <f t="shared" si="28"/>
        <v>50</v>
      </c>
      <c r="C377" s="411">
        <f>IF(Input!I370&lt;=0,"",Input!I370)</f>
        <v>0.19213352452024041</v>
      </c>
      <c r="D377" s="412" t="str">
        <f>IF(G377="","",Input!Q370)</f>
        <v/>
      </c>
      <c r="E377" s="412" t="str">
        <f>IF(ISERROR(Input!AA370),"",Input!AA370)</f>
        <v/>
      </c>
      <c r="F377" s="412" t="str">
        <f>IF(E377="","",Input!AQ370)</f>
        <v/>
      </c>
      <c r="G377" s="413" t="str">
        <f t="shared" si="25"/>
        <v/>
      </c>
      <c r="H377" s="413" t="str">
        <f t="shared" si="26"/>
        <v/>
      </c>
      <c r="I377" s="414">
        <f t="shared" si="27"/>
        <v>0</v>
      </c>
      <c r="J377" s="414">
        <f t="shared" si="27"/>
        <v>0</v>
      </c>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row>
    <row r="378" spans="1:43">
      <c r="A378" s="407">
        <f>Input!B371</f>
        <v>38336</v>
      </c>
      <c r="B378" s="419">
        <f t="shared" si="28"/>
        <v>50</v>
      </c>
      <c r="C378" s="411">
        <f>IF(Input!I371&lt;=0,"",Input!I371)</f>
        <v>0.19704501125568424</v>
      </c>
      <c r="D378" s="412" t="str">
        <f>IF(G378="","",Input!Q371)</f>
        <v/>
      </c>
      <c r="E378" s="412" t="str">
        <f>IF(ISERROR(Input!AA371),"",Input!AA371)</f>
        <v/>
      </c>
      <c r="F378" s="412" t="str">
        <f>IF(E378="","",Input!AQ371)</f>
        <v/>
      </c>
      <c r="G378" s="413" t="str">
        <f t="shared" si="25"/>
        <v/>
      </c>
      <c r="H378" s="413" t="str">
        <f t="shared" si="26"/>
        <v/>
      </c>
      <c r="I378" s="414">
        <f t="shared" si="27"/>
        <v>0</v>
      </c>
      <c r="J378" s="414">
        <f t="shared" si="27"/>
        <v>0</v>
      </c>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row>
    <row r="379" spans="1:43">
      <c r="A379" s="407">
        <f>Input!B372</f>
        <v>38337</v>
      </c>
      <c r="B379" s="419">
        <f t="shared" si="28"/>
        <v>51</v>
      </c>
      <c r="C379" s="411">
        <f>IF(Input!I372&lt;=0,"",Input!I372)</f>
        <v>0.20794462418624898</v>
      </c>
      <c r="D379" s="412" t="str">
        <f>IF(G379="","",Input!Q372)</f>
        <v/>
      </c>
      <c r="E379" s="412" t="str">
        <f>IF(ISERROR(Input!AA372),"",Input!AA372)</f>
        <v/>
      </c>
      <c r="F379" s="412" t="str">
        <f>IF(E379="","",Input!AQ372)</f>
        <v/>
      </c>
      <c r="G379" s="413" t="str">
        <f t="shared" si="25"/>
        <v/>
      </c>
      <c r="H379" s="413" t="str">
        <f t="shared" si="26"/>
        <v/>
      </c>
      <c r="I379" s="414">
        <f t="shared" si="27"/>
        <v>0</v>
      </c>
      <c r="J379" s="414">
        <f t="shared" si="27"/>
        <v>0</v>
      </c>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row>
    <row r="380" spans="1:43">
      <c r="A380" s="407">
        <f>Input!B373</f>
        <v>38338</v>
      </c>
      <c r="B380" s="419">
        <f t="shared" si="28"/>
        <v>51</v>
      </c>
      <c r="C380" s="411">
        <f>IF(Input!I373&lt;=0,"",Input!I373)</f>
        <v>0.20734524609866151</v>
      </c>
      <c r="D380" s="412" t="str">
        <f>IF(G380="","",Input!Q373)</f>
        <v/>
      </c>
      <c r="E380" s="412" t="str">
        <f>IF(ISERROR(Input!AA373),"",Input!AA373)</f>
        <v/>
      </c>
      <c r="F380" s="412" t="str">
        <f>IF(E380="","",Input!AQ373)</f>
        <v/>
      </c>
      <c r="G380" s="413" t="str">
        <f t="shared" si="25"/>
        <v/>
      </c>
      <c r="H380" s="413" t="str">
        <f t="shared" si="26"/>
        <v/>
      </c>
      <c r="I380" s="414">
        <f t="shared" si="27"/>
        <v>0</v>
      </c>
      <c r="J380" s="414">
        <f t="shared" si="27"/>
        <v>0</v>
      </c>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row>
    <row r="381" spans="1:43">
      <c r="A381" s="407">
        <f>Input!B374</f>
        <v>38339</v>
      </c>
      <c r="B381" s="419">
        <f t="shared" si="28"/>
        <v>51</v>
      </c>
      <c r="C381" s="411">
        <f>IF(Input!I374&lt;=0,"",Input!I374)</f>
        <v>0.28715428488928374</v>
      </c>
      <c r="D381" s="412" t="str">
        <f>IF(G381="","",Input!Q374)</f>
        <v/>
      </c>
      <c r="E381" s="412" t="str">
        <f>IF(ISERROR(Input!AA374),"",Input!AA374)</f>
        <v/>
      </c>
      <c r="F381" s="412" t="str">
        <f>IF(E381="","",Input!AQ374)</f>
        <v/>
      </c>
      <c r="G381" s="413" t="str">
        <f t="shared" si="25"/>
        <v/>
      </c>
      <c r="H381" s="413" t="str">
        <f t="shared" si="26"/>
        <v/>
      </c>
      <c r="I381" s="414">
        <f t="shared" si="27"/>
        <v>0</v>
      </c>
      <c r="J381" s="414">
        <f t="shared" si="27"/>
        <v>0</v>
      </c>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row>
    <row r="382" spans="1:43">
      <c r="A382" s="407">
        <f>Input!B375</f>
        <v>38340</v>
      </c>
      <c r="B382" s="419">
        <f t="shared" si="28"/>
        <v>51</v>
      </c>
      <c r="C382" s="411">
        <f>IF(Input!I375&lt;=0,"",Input!I375)</f>
        <v>0.14919560090004816</v>
      </c>
      <c r="D382" s="412" t="str">
        <f>IF(G382="","",Input!Q375)</f>
        <v/>
      </c>
      <c r="E382" s="412" t="str">
        <f>IF(ISERROR(Input!AA375),"",Input!AA375)</f>
        <v/>
      </c>
      <c r="F382" s="412" t="str">
        <f>IF(E382="","",Input!AQ375)</f>
        <v/>
      </c>
      <c r="G382" s="413" t="str">
        <f t="shared" si="25"/>
        <v/>
      </c>
      <c r="H382" s="413" t="str">
        <f t="shared" si="26"/>
        <v/>
      </c>
      <c r="I382" s="414">
        <f t="shared" si="27"/>
        <v>0</v>
      </c>
      <c r="J382" s="414">
        <f t="shared" si="27"/>
        <v>0</v>
      </c>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row>
    <row r="383" spans="1:43">
      <c r="A383" s="407">
        <f>Input!B376</f>
        <v>38341</v>
      </c>
      <c r="B383" s="419">
        <f t="shared" si="28"/>
        <v>51</v>
      </c>
      <c r="C383" s="411">
        <f>IF(Input!I376&lt;=0,"",Input!I376)</f>
        <v>6.9375106890258192E-2</v>
      </c>
      <c r="D383" s="412" t="str">
        <f>IF(G383="","",Input!Q376)</f>
        <v/>
      </c>
      <c r="E383" s="412" t="str">
        <f>IF(ISERROR(Input!AA376),"",Input!AA376)</f>
        <v/>
      </c>
      <c r="F383" s="412" t="str">
        <f>IF(E383="","",Input!AQ376)</f>
        <v/>
      </c>
      <c r="G383" s="413" t="str">
        <f t="shared" si="25"/>
        <v/>
      </c>
      <c r="H383" s="413" t="str">
        <f t="shared" si="26"/>
        <v/>
      </c>
      <c r="I383" s="414">
        <f t="shared" si="27"/>
        <v>0</v>
      </c>
      <c r="J383" s="414">
        <f t="shared" si="27"/>
        <v>0</v>
      </c>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row>
    <row r="384" spans="1:43">
      <c r="A384" s="407">
        <f>Input!B377</f>
        <v>38342</v>
      </c>
      <c r="B384" s="419">
        <f t="shared" si="28"/>
        <v>51</v>
      </c>
      <c r="C384" s="411">
        <f>IF(Input!I377&lt;=0,"",Input!I377)</f>
        <v>0.10353647024992368</v>
      </c>
      <c r="D384" s="412" t="str">
        <f>IF(G384="","",Input!Q377)</f>
        <v/>
      </c>
      <c r="E384" s="412" t="str">
        <f>IF(ISERROR(Input!AA377),"",Input!AA377)</f>
        <v/>
      </c>
      <c r="F384" s="412" t="str">
        <f>IF(E384="","",Input!AQ377)</f>
        <v/>
      </c>
      <c r="G384" s="413" t="str">
        <f t="shared" si="25"/>
        <v/>
      </c>
      <c r="H384" s="413" t="str">
        <f t="shared" si="26"/>
        <v/>
      </c>
      <c r="I384" s="414">
        <f t="shared" si="27"/>
        <v>0</v>
      </c>
      <c r="J384" s="414">
        <f t="shared" si="27"/>
        <v>0</v>
      </c>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row>
    <row r="385" spans="1:43">
      <c r="A385" s="407">
        <f>Input!B378</f>
        <v>38343</v>
      </c>
      <c r="B385" s="419">
        <f t="shared" si="28"/>
        <v>51</v>
      </c>
      <c r="C385" s="411">
        <f>IF(Input!I378&lt;=0,"",Input!I378)</f>
        <v>0.17521718328015756</v>
      </c>
      <c r="D385" s="412" t="str">
        <f>IF(G385="","",Input!Q378)</f>
        <v/>
      </c>
      <c r="E385" s="412" t="str">
        <f>IF(ISERROR(Input!AA378),"",Input!AA378)</f>
        <v/>
      </c>
      <c r="F385" s="412" t="str">
        <f>IF(E385="","",Input!AQ378)</f>
        <v/>
      </c>
      <c r="G385" s="413" t="str">
        <f t="shared" si="25"/>
        <v/>
      </c>
      <c r="H385" s="413" t="str">
        <f t="shared" si="26"/>
        <v/>
      </c>
      <c r="I385" s="414">
        <f t="shared" si="27"/>
        <v>0</v>
      </c>
      <c r="J385" s="414">
        <f t="shared" si="27"/>
        <v>0</v>
      </c>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row>
    <row r="386" spans="1:43">
      <c r="A386" s="407">
        <f>Input!B379</f>
        <v>38344</v>
      </c>
      <c r="B386" s="419">
        <f t="shared" si="28"/>
        <v>52</v>
      </c>
      <c r="C386" s="411">
        <f>IF(Input!I379&lt;=0,"",Input!I379)</f>
        <v>0.11016604488914751</v>
      </c>
      <c r="D386" s="412" t="str">
        <f>IF(G386="","",Input!Q379)</f>
        <v/>
      </c>
      <c r="E386" s="412" t="str">
        <f>IF(ISERROR(Input!AA379),"",Input!AA379)</f>
        <v/>
      </c>
      <c r="F386" s="412" t="str">
        <f>IF(E386="","",Input!AQ379)</f>
        <v/>
      </c>
      <c r="G386" s="413" t="str">
        <f t="shared" si="25"/>
        <v/>
      </c>
      <c r="H386" s="413" t="str">
        <f t="shared" si="26"/>
        <v/>
      </c>
      <c r="I386" s="414">
        <f t="shared" si="27"/>
        <v>0</v>
      </c>
      <c r="J386" s="414">
        <f t="shared" si="27"/>
        <v>0</v>
      </c>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row>
    <row r="387" spans="1:43">
      <c r="A387" s="407">
        <f>Input!B380</f>
        <v>38345</v>
      </c>
      <c r="B387" s="419">
        <f t="shared" si="28"/>
        <v>52</v>
      </c>
      <c r="C387" s="411">
        <f>IF(Input!I380&lt;=0,"",Input!I380)</f>
        <v>0.11973452107259031</v>
      </c>
      <c r="D387" s="412" t="str">
        <f>IF(G387="","",Input!Q380)</f>
        <v/>
      </c>
      <c r="E387" s="412" t="str">
        <f>IF(ISERROR(Input!AA380),"",Input!AA380)</f>
        <v/>
      </c>
      <c r="F387" s="412" t="str">
        <f>IF(E387="","",Input!AQ380)</f>
        <v/>
      </c>
      <c r="G387" s="413" t="str">
        <f t="shared" si="25"/>
        <v/>
      </c>
      <c r="H387" s="413" t="str">
        <f t="shared" si="26"/>
        <v/>
      </c>
      <c r="I387" s="414">
        <f t="shared" si="27"/>
        <v>0</v>
      </c>
      <c r="J387" s="414">
        <f t="shared" si="27"/>
        <v>0</v>
      </c>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row>
    <row r="388" spans="1:43">
      <c r="A388" s="407">
        <f>Input!B381</f>
        <v>38346</v>
      </c>
      <c r="B388" s="419">
        <f t="shared" si="28"/>
        <v>52</v>
      </c>
      <c r="C388" s="411">
        <f>IF(Input!I381&lt;=0,"",Input!I381)</f>
        <v>0.19141620962706662</v>
      </c>
      <c r="D388" s="412" t="str">
        <f>IF(G388="","",Input!Q381)</f>
        <v/>
      </c>
      <c r="E388" s="412" t="str">
        <f>IF(ISERROR(Input!AA381),"",Input!AA381)</f>
        <v/>
      </c>
      <c r="F388" s="412" t="str">
        <f>IF(E388="","",Input!AQ381)</f>
        <v/>
      </c>
      <c r="G388" s="413" t="str">
        <f t="shared" si="25"/>
        <v/>
      </c>
      <c r="H388" s="413" t="str">
        <f t="shared" si="26"/>
        <v/>
      </c>
      <c r="I388" s="414">
        <f t="shared" si="27"/>
        <v>0</v>
      </c>
      <c r="J388" s="414">
        <f t="shared" si="27"/>
        <v>0</v>
      </c>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row>
    <row r="389" spans="1:43">
      <c r="A389" s="407">
        <f>Input!B382</f>
        <v>38347</v>
      </c>
      <c r="B389" s="419">
        <f t="shared" si="28"/>
        <v>52</v>
      </c>
      <c r="C389" s="411">
        <f>IF(Input!I382&lt;=0,"",Input!I382)</f>
        <v>0.25983469090210043</v>
      </c>
      <c r="D389" s="412" t="str">
        <f>IF(G389="","",Input!Q382)</f>
        <v/>
      </c>
      <c r="E389" s="412" t="str">
        <f>IF(ISERROR(Input!AA382),"",Input!AA382)</f>
        <v/>
      </c>
      <c r="F389" s="412" t="str">
        <f>IF(E389="","",Input!AQ382)</f>
        <v/>
      </c>
      <c r="G389" s="413" t="str">
        <f t="shared" si="25"/>
        <v/>
      </c>
      <c r="H389" s="413" t="str">
        <f t="shared" si="26"/>
        <v/>
      </c>
      <c r="I389" s="414">
        <f t="shared" si="27"/>
        <v>0</v>
      </c>
      <c r="J389" s="414">
        <f t="shared" si="27"/>
        <v>0</v>
      </c>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row>
    <row r="390" spans="1:43">
      <c r="A390" s="407">
        <f>Input!B383</f>
        <v>38348</v>
      </c>
      <c r="B390" s="419">
        <f t="shared" si="28"/>
        <v>52</v>
      </c>
      <c r="C390" s="411">
        <f>IF(Input!I383&lt;=0,"",Input!I383)</f>
        <v>0.31620608472521305</v>
      </c>
      <c r="D390" s="412" t="str">
        <f>IF(G390="","",Input!Q383)</f>
        <v/>
      </c>
      <c r="E390" s="412" t="str">
        <f>IF(ISERROR(Input!AA383),"",Input!AA383)</f>
        <v/>
      </c>
      <c r="F390" s="412" t="str">
        <f>IF(E390="","",Input!AQ383)</f>
        <v/>
      </c>
      <c r="G390" s="413" t="str">
        <f t="shared" si="25"/>
        <v/>
      </c>
      <c r="H390" s="413" t="str">
        <f t="shared" si="26"/>
        <v/>
      </c>
      <c r="I390" s="414">
        <f t="shared" si="27"/>
        <v>0</v>
      </c>
      <c r="J390" s="414">
        <f t="shared" si="27"/>
        <v>0</v>
      </c>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row>
    <row r="391" spans="1:43">
      <c r="A391" s="407">
        <f>Input!B384</f>
        <v>38349</v>
      </c>
      <c r="B391" s="419">
        <f t="shared" si="28"/>
        <v>52</v>
      </c>
      <c r="C391" s="411">
        <f>IF(Input!I384&lt;=0,"",Input!I384)</f>
        <v>0.26095749933563839</v>
      </c>
      <c r="D391" s="412" t="str">
        <f>IF(G391="","",Input!Q384)</f>
        <v/>
      </c>
      <c r="E391" s="412" t="str">
        <f>IF(ISERROR(Input!AA384),"",Input!AA384)</f>
        <v/>
      </c>
      <c r="F391" s="412" t="str">
        <f>IF(E391="","",Input!AQ384)</f>
        <v/>
      </c>
      <c r="G391" s="413" t="str">
        <f t="shared" si="25"/>
        <v/>
      </c>
      <c r="H391" s="413" t="str">
        <f t="shared" si="26"/>
        <v/>
      </c>
      <c r="I391" s="414">
        <f t="shared" si="27"/>
        <v>0</v>
      </c>
      <c r="J391" s="414">
        <f t="shared" si="27"/>
        <v>0</v>
      </c>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row>
    <row r="392" spans="1:43">
      <c r="A392" s="407">
        <f>Input!B385</f>
        <v>38350</v>
      </c>
      <c r="B392" s="419">
        <f t="shared" si="28"/>
        <v>52</v>
      </c>
      <c r="C392" s="411">
        <f>IF(Input!I385&lt;=0,"",Input!I385)</f>
        <v>0.22814842508288211</v>
      </c>
      <c r="D392" s="412" t="str">
        <f>IF(G392="","",Input!Q385)</f>
        <v/>
      </c>
      <c r="E392" s="412" t="str">
        <f>IF(ISERROR(Input!AA385),"",Input!AA385)</f>
        <v/>
      </c>
      <c r="F392" s="412" t="str">
        <f>IF(E392="","",Input!AQ385)</f>
        <v/>
      </c>
      <c r="G392" s="413" t="str">
        <f t="shared" si="25"/>
        <v/>
      </c>
      <c r="H392" s="413" t="str">
        <f t="shared" si="26"/>
        <v/>
      </c>
      <c r="I392" s="414">
        <f t="shared" si="27"/>
        <v>0</v>
      </c>
      <c r="J392" s="414">
        <f t="shared" si="27"/>
        <v>0</v>
      </c>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row>
    <row r="393" spans="1:43">
      <c r="A393" s="407">
        <f>Input!B386</f>
        <v>38351</v>
      </c>
      <c r="B393" s="419">
        <f t="shared" si="28"/>
        <v>53</v>
      </c>
      <c r="C393" s="411">
        <f>IF(Input!I386&lt;=0,"",Input!I386)</f>
        <v>0.20739844704395816</v>
      </c>
      <c r="D393" s="412" t="str">
        <f>IF(G393="","",Input!Q386)</f>
        <v/>
      </c>
      <c r="E393" s="412" t="str">
        <f>IF(ISERROR(Input!AA386),"",Input!AA386)</f>
        <v/>
      </c>
      <c r="F393" s="412" t="str">
        <f>IF(E393="","",Input!AQ386)</f>
        <v/>
      </c>
      <c r="G393" s="413" t="str">
        <f t="shared" si="25"/>
        <v/>
      </c>
      <c r="H393" s="413" t="str">
        <f t="shared" si="26"/>
        <v/>
      </c>
      <c r="I393" s="414">
        <f t="shared" si="27"/>
        <v>0</v>
      </c>
      <c r="J393" s="414">
        <f t="shared" si="27"/>
        <v>0</v>
      </c>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row>
    <row r="394" spans="1:43">
      <c r="A394" s="407">
        <f>Input!B387</f>
        <v>38352</v>
      </c>
      <c r="B394" s="419">
        <f t="shared" si="28"/>
        <v>53</v>
      </c>
      <c r="C394" s="411">
        <f>IF(Input!I387&lt;=0,"",Input!I387)</f>
        <v>0.21064171067586901</v>
      </c>
      <c r="D394" s="412" t="str">
        <f>IF(G394="","",Input!Q387)</f>
        <v/>
      </c>
      <c r="E394" s="412" t="str">
        <f>IF(ISERROR(Input!AA387),"",Input!AA387)</f>
        <v/>
      </c>
      <c r="F394" s="412" t="str">
        <f>IF(E394="","",Input!AQ387)</f>
        <v/>
      </c>
      <c r="G394" s="413" t="str">
        <f t="shared" si="25"/>
        <v/>
      </c>
      <c r="H394" s="413" t="str">
        <f t="shared" si="26"/>
        <v/>
      </c>
      <c r="I394" s="414">
        <f t="shared" si="27"/>
        <v>0</v>
      </c>
      <c r="J394" s="414">
        <f t="shared" si="27"/>
        <v>0</v>
      </c>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row>
    <row r="395" spans="1:43">
      <c r="A395" s="407">
        <f>Input!B388</f>
        <v>38353</v>
      </c>
      <c r="B395" s="419">
        <f t="shared" si="28"/>
        <v>53</v>
      </c>
      <c r="C395" s="411">
        <f>IF(Input!I388&lt;=0,"",Input!I388)</f>
        <v>0.24825455305211253</v>
      </c>
      <c r="D395" s="412" t="str">
        <f>IF(G395="","",Input!Q388)</f>
        <v/>
      </c>
      <c r="E395" s="412" t="str">
        <f>IF(ISERROR(Input!AA388),"",Input!AA388)</f>
        <v/>
      </c>
      <c r="F395" s="412" t="str">
        <f>IF(E395="","",Input!AQ388)</f>
        <v/>
      </c>
      <c r="G395" s="413" t="str">
        <f t="shared" si="25"/>
        <v/>
      </c>
      <c r="H395" s="413" t="str">
        <f t="shared" si="26"/>
        <v/>
      </c>
      <c r="I395" s="414">
        <f t="shared" si="27"/>
        <v>0</v>
      </c>
      <c r="J395" s="414">
        <f t="shared" si="27"/>
        <v>0</v>
      </c>
      <c r="K395" s="137"/>
      <c r="L395" s="137"/>
      <c r="M395" s="137"/>
      <c r="N395" s="137"/>
      <c r="O395" s="137"/>
      <c r="P395" s="137"/>
      <c r="Q395" s="137"/>
      <c r="R395" s="137"/>
      <c r="S395" s="137"/>
      <c r="T395" s="137"/>
      <c r="U395" s="137"/>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row>
    <row r="396" spans="1:43">
      <c r="A396" s="407">
        <f>Input!B389</f>
        <v>38354</v>
      </c>
      <c r="B396" s="419">
        <f t="shared" si="28"/>
        <v>53</v>
      </c>
      <c r="C396" s="411">
        <f>IF(Input!I389&lt;=0,"",Input!I389)</f>
        <v>0.26135759193647401</v>
      </c>
      <c r="D396" s="412" t="str">
        <f>IF(G396="","",Input!Q389)</f>
        <v/>
      </c>
      <c r="E396" s="412" t="str">
        <f>IF(ISERROR(Input!AA389),"",Input!AA389)</f>
        <v/>
      </c>
      <c r="F396" s="412" t="str">
        <f>IF(E396="","",Input!AQ389)</f>
        <v/>
      </c>
      <c r="G396" s="413" t="str">
        <f t="shared" si="25"/>
        <v/>
      </c>
      <c r="H396" s="413" t="str">
        <f t="shared" si="26"/>
        <v/>
      </c>
      <c r="I396" s="414">
        <f t="shared" si="27"/>
        <v>0</v>
      </c>
      <c r="J396" s="414">
        <f t="shared" si="27"/>
        <v>0</v>
      </c>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row>
    <row r="397" spans="1:43">
      <c r="A397" s="407">
        <f>Input!B390</f>
        <v>38355</v>
      </c>
      <c r="B397" s="419">
        <f t="shared" si="28"/>
        <v>53</v>
      </c>
      <c r="C397" s="411">
        <f>IF(Input!I390&lt;=0,"",Input!I390)</f>
        <v>0.24892768940826782</v>
      </c>
      <c r="D397" s="412" t="str">
        <f>IF(G397="","",Input!Q390)</f>
        <v/>
      </c>
      <c r="E397" s="412" t="str">
        <f>IF(ISERROR(Input!AA390),"",Input!AA390)</f>
        <v/>
      </c>
      <c r="F397" s="412" t="str">
        <f>IF(E397="","",Input!AQ390)</f>
        <v/>
      </c>
      <c r="G397" s="413" t="str">
        <f t="shared" si="25"/>
        <v/>
      </c>
      <c r="H397" s="413" t="str">
        <f t="shared" si="26"/>
        <v/>
      </c>
      <c r="I397" s="414">
        <f t="shared" si="27"/>
        <v>0</v>
      </c>
      <c r="J397" s="414">
        <f t="shared" si="27"/>
        <v>0</v>
      </c>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row>
    <row r="398" spans="1:43">
      <c r="A398" s="407">
        <f>Input!B391</f>
        <v>38356</v>
      </c>
      <c r="B398" s="419">
        <f t="shared" si="28"/>
        <v>53</v>
      </c>
      <c r="C398" s="411">
        <f>IF(Input!I391&lt;=0,"",Input!I391)</f>
        <v>0.15123086696486165</v>
      </c>
      <c r="D398" s="412" t="str">
        <f>IF(G398="","",Input!Q391)</f>
        <v/>
      </c>
      <c r="E398" s="412" t="str">
        <f>IF(ISERROR(Input!AA391),"",Input!AA391)</f>
        <v/>
      </c>
      <c r="F398" s="412" t="str">
        <f>IF(E398="","",Input!AQ391)</f>
        <v/>
      </c>
      <c r="G398" s="413" t="str">
        <f t="shared" si="25"/>
        <v/>
      </c>
      <c r="H398" s="413" t="str">
        <f t="shared" si="26"/>
        <v/>
      </c>
      <c r="I398" s="414">
        <f t="shared" si="27"/>
        <v>0</v>
      </c>
      <c r="J398" s="414">
        <f t="shared" si="27"/>
        <v>0</v>
      </c>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row>
    <row r="399" spans="1:43">
      <c r="A399" s="407">
        <f>Input!B392</f>
        <v>38357</v>
      </c>
      <c r="B399" s="419">
        <f t="shared" si="28"/>
        <v>53</v>
      </c>
      <c r="C399" s="411">
        <f>IF(Input!I392&lt;=0,"",Input!I392)</f>
        <v>0.30270884965245604</v>
      </c>
      <c r="D399" s="412" t="str">
        <f>IF(G399="","",Input!Q392)</f>
        <v/>
      </c>
      <c r="E399" s="412" t="str">
        <f>IF(ISERROR(Input!AA392),"",Input!AA392)</f>
        <v/>
      </c>
      <c r="F399" s="412" t="str">
        <f>IF(E399="","",Input!AQ392)</f>
        <v/>
      </c>
      <c r="G399" s="413" t="str">
        <f t="shared" si="25"/>
        <v/>
      </c>
      <c r="H399" s="413" t="str">
        <f t="shared" si="26"/>
        <v/>
      </c>
      <c r="I399" s="414">
        <f t="shared" si="27"/>
        <v>0</v>
      </c>
      <c r="J399" s="414">
        <f t="shared" si="27"/>
        <v>0</v>
      </c>
      <c r="K399" s="137"/>
      <c r="L399" s="137"/>
      <c r="M399" s="137"/>
      <c r="N399" s="137"/>
      <c r="O399" s="137"/>
      <c r="P399" s="137"/>
      <c r="Q399" s="137"/>
      <c r="R399" s="137"/>
      <c r="S399" s="137"/>
      <c r="T399" s="137"/>
      <c r="U399" s="137"/>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row>
    <row r="400" spans="1:43">
      <c r="A400" s="407">
        <f>Input!B393</f>
        <v>38358</v>
      </c>
      <c r="B400" s="419">
        <f t="shared" si="28"/>
        <v>54</v>
      </c>
      <c r="C400" s="411">
        <f>IF(Input!I393&lt;=0,"",Input!I393)</f>
        <v>0.34935131767173</v>
      </c>
      <c r="D400" s="412" t="str">
        <f>IF(G400="","",Input!Q393)</f>
        <v/>
      </c>
      <c r="E400" s="412" t="str">
        <f>IF(ISERROR(Input!AA393),"",Input!AA393)</f>
        <v/>
      </c>
      <c r="F400" s="412" t="str">
        <f>IF(E400="","",Input!AQ393)</f>
        <v/>
      </c>
      <c r="G400" s="413" t="str">
        <f t="shared" si="25"/>
        <v/>
      </c>
      <c r="H400" s="413" t="str">
        <f t="shared" si="26"/>
        <v/>
      </c>
      <c r="I400" s="414">
        <f t="shared" si="27"/>
        <v>0</v>
      </c>
      <c r="J400" s="414">
        <f t="shared" si="27"/>
        <v>0</v>
      </c>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row>
    <row r="401" spans="1:43">
      <c r="A401" s="407">
        <f>Input!B394</f>
        <v>38359</v>
      </c>
      <c r="B401" s="419">
        <f t="shared" si="28"/>
        <v>54</v>
      </c>
      <c r="C401" s="411">
        <f>IF(Input!I394&lt;=0,"",Input!I394)</f>
        <v>0.74494176690550129</v>
      </c>
      <c r="D401" s="412" t="str">
        <f>IF(G401="","",Input!Q394)</f>
        <v/>
      </c>
      <c r="E401" s="412" t="str">
        <f>IF(ISERROR(Input!AA394),"",Input!AA394)</f>
        <v/>
      </c>
      <c r="F401" s="412" t="str">
        <f>IF(E401="","",Input!AQ394)</f>
        <v/>
      </c>
      <c r="G401" s="413" t="str">
        <f t="shared" si="25"/>
        <v/>
      </c>
      <c r="H401" s="413" t="str">
        <f t="shared" si="26"/>
        <v/>
      </c>
      <c r="I401" s="414">
        <f t="shared" si="27"/>
        <v>0</v>
      </c>
      <c r="J401" s="414">
        <f t="shared" si="27"/>
        <v>0</v>
      </c>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row>
    <row r="402" spans="1:43">
      <c r="A402" s="407">
        <f>Input!B395</f>
        <v>38360</v>
      </c>
      <c r="B402" s="419">
        <f t="shared" si="28"/>
        <v>54</v>
      </c>
      <c r="C402" s="411">
        <f>IF(Input!I395&lt;=0,"",Input!I395)</f>
        <v>0.26305806961331835</v>
      </c>
      <c r="D402" s="412" t="str">
        <f>IF(G402="","",Input!Q395)</f>
        <v/>
      </c>
      <c r="E402" s="412" t="str">
        <f>IF(ISERROR(Input!AA395),"",Input!AA395)</f>
        <v/>
      </c>
      <c r="F402" s="412" t="str">
        <f>IF(E402="","",Input!AQ395)</f>
        <v/>
      </c>
      <c r="G402" s="413" t="str">
        <f t="shared" si="25"/>
        <v/>
      </c>
      <c r="H402" s="413" t="str">
        <f t="shared" si="26"/>
        <v/>
      </c>
      <c r="I402" s="414">
        <f t="shared" si="27"/>
        <v>0</v>
      </c>
      <c r="J402" s="414">
        <f t="shared" si="27"/>
        <v>0</v>
      </c>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row>
    <row r="403" spans="1:43">
      <c r="A403" s="407">
        <f>Input!B396</f>
        <v>38361</v>
      </c>
      <c r="B403" s="419">
        <f t="shared" si="28"/>
        <v>54</v>
      </c>
      <c r="C403" s="411">
        <f>IF(Input!I396&lt;=0,"",Input!I396)</f>
        <v>0.33856750769321325</v>
      </c>
      <c r="D403" s="412" t="str">
        <f>IF(G403="","",Input!Q396)</f>
        <v/>
      </c>
      <c r="E403" s="412" t="str">
        <f>IF(ISERROR(Input!AA396),"",Input!AA396)</f>
        <v/>
      </c>
      <c r="F403" s="412" t="str">
        <f>IF(E403="","",Input!AQ396)</f>
        <v/>
      </c>
      <c r="G403" s="413" t="str">
        <f t="shared" si="25"/>
        <v/>
      </c>
      <c r="H403" s="413" t="str">
        <f t="shared" si="26"/>
        <v/>
      </c>
      <c r="I403" s="414">
        <f t="shared" si="27"/>
        <v>0</v>
      </c>
      <c r="J403" s="414">
        <f t="shared" si="27"/>
        <v>0</v>
      </c>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row>
    <row r="404" spans="1:43">
      <c r="A404" s="407">
        <f>Input!B397</f>
        <v>38362</v>
      </c>
      <c r="B404" s="419">
        <f t="shared" si="28"/>
        <v>54</v>
      </c>
      <c r="C404" s="411">
        <f>IF(Input!I397&lt;=0,"",Input!I397)</f>
        <v>0.26807099555554398</v>
      </c>
      <c r="D404" s="412" t="str">
        <f>IF(G404="","",Input!Q397)</f>
        <v/>
      </c>
      <c r="E404" s="412" t="str">
        <f>IF(ISERROR(Input!AA397),"",Input!AA397)</f>
        <v/>
      </c>
      <c r="F404" s="412" t="str">
        <f>IF(E404="","",Input!AQ397)</f>
        <v/>
      </c>
      <c r="G404" s="413" t="str">
        <f t="shared" si="25"/>
        <v/>
      </c>
      <c r="H404" s="413" t="str">
        <f t="shared" si="26"/>
        <v/>
      </c>
      <c r="I404" s="414">
        <f t="shared" si="27"/>
        <v>0</v>
      </c>
      <c r="J404" s="414">
        <f t="shared" si="27"/>
        <v>0</v>
      </c>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row>
    <row r="405" spans="1:43">
      <c r="A405" s="407">
        <f>Input!B398</f>
        <v>38363</v>
      </c>
      <c r="B405" s="419">
        <f t="shared" si="28"/>
        <v>54</v>
      </c>
      <c r="C405" s="411">
        <f>IF(Input!I398&lt;=0,"",Input!I398)</f>
        <v>0.16986159983607474</v>
      </c>
      <c r="D405" s="412" t="str">
        <f>IF(G405="","",Input!Q398)</f>
        <v/>
      </c>
      <c r="E405" s="412" t="str">
        <f>IF(ISERROR(Input!AA398),"",Input!AA398)</f>
        <v/>
      </c>
      <c r="F405" s="412" t="str">
        <f>IF(E405="","",Input!AQ398)</f>
        <v/>
      </c>
      <c r="G405" s="413" t="str">
        <f t="shared" si="25"/>
        <v/>
      </c>
      <c r="H405" s="413" t="str">
        <f t="shared" si="26"/>
        <v/>
      </c>
      <c r="I405" s="414">
        <f t="shared" si="27"/>
        <v>0</v>
      </c>
      <c r="J405" s="414">
        <f t="shared" si="27"/>
        <v>0</v>
      </c>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row>
    <row r="406" spans="1:43">
      <c r="A406" s="407">
        <f>Input!B399</f>
        <v>38364</v>
      </c>
      <c r="B406" s="419">
        <f t="shared" si="28"/>
        <v>54</v>
      </c>
      <c r="C406" s="411">
        <f>IF(Input!I399&lt;=0,"",Input!I399)</f>
        <v>0.23636606815417283</v>
      </c>
      <c r="D406" s="412" t="str">
        <f>IF(G406="","",Input!Q399)</f>
        <v/>
      </c>
      <c r="E406" s="412" t="str">
        <f>IF(ISERROR(Input!AA399),"",Input!AA399)</f>
        <v/>
      </c>
      <c r="F406" s="412" t="str">
        <f>IF(E406="","",Input!AQ399)</f>
        <v/>
      </c>
      <c r="G406" s="413" t="str">
        <f t="shared" si="25"/>
        <v/>
      </c>
      <c r="H406" s="413" t="str">
        <f t="shared" si="26"/>
        <v/>
      </c>
      <c r="I406" s="414">
        <f t="shared" si="27"/>
        <v>0</v>
      </c>
      <c r="J406" s="414">
        <f t="shared" si="27"/>
        <v>0</v>
      </c>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row>
    <row r="407" spans="1:43">
      <c r="A407" s="407">
        <f>Input!B400</f>
        <v>38365</v>
      </c>
      <c r="B407" s="419">
        <f t="shared" si="28"/>
        <v>55</v>
      </c>
      <c r="C407" s="411">
        <f>IF(Input!I400&lt;=0,"",Input!I400)</f>
        <v>0.19150336319124778</v>
      </c>
      <c r="D407" s="412" t="str">
        <f>IF(G407="","",Input!Q400)</f>
        <v/>
      </c>
      <c r="E407" s="412" t="str">
        <f>IF(ISERROR(Input!AA400),"",Input!AA400)</f>
        <v/>
      </c>
      <c r="F407" s="412" t="str">
        <f>IF(E407="","",Input!AQ400)</f>
        <v/>
      </c>
      <c r="G407" s="413" t="str">
        <f t="shared" si="25"/>
        <v/>
      </c>
      <c r="H407" s="413" t="str">
        <f t="shared" si="26"/>
        <v/>
      </c>
      <c r="I407" s="414">
        <f t="shared" si="27"/>
        <v>0</v>
      </c>
      <c r="J407" s="414">
        <f t="shared" si="27"/>
        <v>0</v>
      </c>
      <c r="K407" s="137"/>
      <c r="L407" s="137"/>
      <c r="M407" s="137"/>
      <c r="N407" s="137"/>
      <c r="O407" s="137"/>
      <c r="P407" s="137"/>
      <c r="Q407" s="137"/>
      <c r="R407" s="137"/>
      <c r="S407" s="137"/>
      <c r="T407" s="137"/>
      <c r="U407" s="137"/>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row>
    <row r="408" spans="1:43">
      <c r="A408" s="407">
        <f>Input!B401</f>
        <v>38366</v>
      </c>
      <c r="B408" s="419">
        <f t="shared" si="28"/>
        <v>55</v>
      </c>
      <c r="C408" s="411">
        <f>IF(Input!I401&lt;=0,"",Input!I401)</f>
        <v>0.16723499167272959</v>
      </c>
      <c r="D408" s="412" t="str">
        <f>IF(G408="","",Input!Q401)</f>
        <v/>
      </c>
      <c r="E408" s="412" t="str">
        <f>IF(ISERROR(Input!AA401),"",Input!AA401)</f>
        <v/>
      </c>
      <c r="F408" s="412" t="str">
        <f>IF(E408="","",Input!AQ401)</f>
        <v/>
      </c>
      <c r="G408" s="413" t="str">
        <f t="shared" si="25"/>
        <v/>
      </c>
      <c r="H408" s="413" t="str">
        <f t="shared" si="26"/>
        <v/>
      </c>
      <c r="I408" s="414">
        <f t="shared" si="27"/>
        <v>0</v>
      </c>
      <c r="J408" s="414">
        <f t="shared" si="27"/>
        <v>0</v>
      </c>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row>
    <row r="409" spans="1:43">
      <c r="A409" s="407">
        <f>Input!B402</f>
        <v>38367</v>
      </c>
      <c r="B409" s="419">
        <f t="shared" si="28"/>
        <v>55</v>
      </c>
      <c r="C409" s="411">
        <f>IF(Input!I402&lt;=0,"",Input!I402)</f>
        <v>0.18422309026983519</v>
      </c>
      <c r="D409" s="412" t="str">
        <f>IF(G409="","",Input!Q402)</f>
        <v/>
      </c>
      <c r="E409" s="412" t="str">
        <f>IF(ISERROR(Input!AA402),"",Input!AA402)</f>
        <v/>
      </c>
      <c r="F409" s="412" t="str">
        <f>IF(E409="","",Input!AQ402)</f>
        <v/>
      </c>
      <c r="G409" s="413" t="str">
        <f t="shared" si="25"/>
        <v/>
      </c>
      <c r="H409" s="413" t="str">
        <f t="shared" si="26"/>
        <v/>
      </c>
      <c r="I409" s="414">
        <f t="shared" si="27"/>
        <v>0</v>
      </c>
      <c r="J409" s="414">
        <f t="shared" si="27"/>
        <v>0</v>
      </c>
      <c r="K409" s="137"/>
      <c r="L409" s="137"/>
      <c r="M409" s="137"/>
      <c r="N409" s="137"/>
      <c r="O409" s="137"/>
      <c r="P409" s="137"/>
      <c r="Q409" s="137"/>
      <c r="R409" s="137"/>
      <c r="S409" s="137"/>
      <c r="T409" s="137"/>
      <c r="U409" s="137"/>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row>
    <row r="410" spans="1:43">
      <c r="A410" s="407">
        <f>Input!B403</f>
        <v>38368</v>
      </c>
      <c r="B410" s="419">
        <f t="shared" si="28"/>
        <v>55</v>
      </c>
      <c r="C410" s="411">
        <f>IF(Input!I403&lt;=0,"",Input!I403)</f>
        <v>0.27350161522473587</v>
      </c>
      <c r="D410" s="412" t="str">
        <f>IF(G410="","",Input!Q403)</f>
        <v/>
      </c>
      <c r="E410" s="412" t="str">
        <f>IF(ISERROR(Input!AA403),"",Input!AA403)</f>
        <v/>
      </c>
      <c r="F410" s="412" t="str">
        <f>IF(E410="","",Input!AQ403)</f>
        <v/>
      </c>
      <c r="G410" s="413" t="str">
        <f t="shared" si="25"/>
        <v/>
      </c>
      <c r="H410" s="413" t="str">
        <f t="shared" si="26"/>
        <v/>
      </c>
      <c r="I410" s="414">
        <f t="shared" si="27"/>
        <v>0</v>
      </c>
      <c r="J410" s="414">
        <f t="shared" si="27"/>
        <v>0</v>
      </c>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row>
    <row r="411" spans="1:43">
      <c r="A411" s="407">
        <f>Input!B404</f>
        <v>38369</v>
      </c>
      <c r="B411" s="419">
        <f t="shared" si="28"/>
        <v>55</v>
      </c>
      <c r="C411" s="411">
        <f>IF(Input!I404&lt;=0,"",Input!I404)</f>
        <v>0.20161528149186347</v>
      </c>
      <c r="D411" s="412" t="str">
        <f>IF(G411="","",Input!Q404)</f>
        <v/>
      </c>
      <c r="E411" s="412" t="str">
        <f>IF(ISERROR(Input!AA404),"",Input!AA404)</f>
        <v/>
      </c>
      <c r="F411" s="412" t="str">
        <f>IF(E411="","",Input!AQ404)</f>
        <v/>
      </c>
      <c r="G411" s="413" t="str">
        <f t="shared" si="25"/>
        <v/>
      </c>
      <c r="H411" s="413" t="str">
        <f t="shared" si="26"/>
        <v/>
      </c>
      <c r="I411" s="414">
        <f t="shared" si="27"/>
        <v>0</v>
      </c>
      <c r="J411" s="414">
        <f t="shared" si="27"/>
        <v>0</v>
      </c>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row>
    <row r="412" spans="1:43">
      <c r="A412" s="407">
        <f>Input!B405</f>
        <v>38370</v>
      </c>
      <c r="B412" s="419">
        <f t="shared" si="28"/>
        <v>55</v>
      </c>
      <c r="C412" s="411">
        <f>IF(Input!I405&lt;=0,"",Input!I405)</f>
        <v>0.2290955615783985</v>
      </c>
      <c r="D412" s="412" t="str">
        <f>IF(G412="","",Input!Q405)</f>
        <v/>
      </c>
      <c r="E412" s="412" t="str">
        <f>IF(ISERROR(Input!AA405),"",Input!AA405)</f>
        <v/>
      </c>
      <c r="F412" s="412" t="str">
        <f>IF(E412="","",Input!AQ405)</f>
        <v/>
      </c>
      <c r="G412" s="413" t="str">
        <f t="shared" si="25"/>
        <v/>
      </c>
      <c r="H412" s="413" t="str">
        <f t="shared" si="26"/>
        <v/>
      </c>
      <c r="I412" s="414">
        <f t="shared" si="27"/>
        <v>0</v>
      </c>
      <c r="J412" s="414">
        <f t="shared" si="27"/>
        <v>0</v>
      </c>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row>
    <row r="413" spans="1:43">
      <c r="A413" s="407">
        <f>Input!B406</f>
        <v>38371</v>
      </c>
      <c r="B413" s="419">
        <f t="shared" si="28"/>
        <v>55</v>
      </c>
      <c r="C413" s="411">
        <f>IF(Input!I406&lt;=0,"",Input!I406)</f>
        <v>0.22358121107988677</v>
      </c>
      <c r="D413" s="412" t="str">
        <f>IF(G413="","",Input!Q406)</f>
        <v/>
      </c>
      <c r="E413" s="412" t="str">
        <f>IF(ISERROR(Input!AA406),"",Input!AA406)</f>
        <v/>
      </c>
      <c r="F413" s="412" t="str">
        <f>IF(E413="","",Input!AQ406)</f>
        <v/>
      </c>
      <c r="G413" s="413" t="str">
        <f t="shared" si="25"/>
        <v/>
      </c>
      <c r="H413" s="413" t="str">
        <f t="shared" si="26"/>
        <v/>
      </c>
      <c r="I413" s="414">
        <f t="shared" si="27"/>
        <v>0</v>
      </c>
      <c r="J413" s="414">
        <f t="shared" si="27"/>
        <v>0</v>
      </c>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row>
    <row r="414" spans="1:43">
      <c r="A414" s="407">
        <f>Input!B407</f>
        <v>38372</v>
      </c>
      <c r="B414" s="419">
        <f t="shared" si="28"/>
        <v>56</v>
      </c>
      <c r="C414" s="411">
        <f>IF(Input!I407&lt;=0,"",Input!I407)</f>
        <v>0.26804063791324378</v>
      </c>
      <c r="D414" s="412" t="str">
        <f>IF(G414="","",Input!Q407)</f>
        <v/>
      </c>
      <c r="E414" s="412" t="str">
        <f>IF(ISERROR(Input!AA407),"",Input!AA407)</f>
        <v/>
      </c>
      <c r="F414" s="412" t="str">
        <f>IF(E414="","",Input!AQ407)</f>
        <v/>
      </c>
      <c r="G414" s="413" t="str">
        <f t="shared" ref="G414:G477" si="29">IF(E414="","",E414*C414)</f>
        <v/>
      </c>
      <c r="H414" s="413" t="str">
        <f t="shared" ref="H414:H477" si="30">IF(F414="","",F414*C414)</f>
        <v/>
      </c>
      <c r="I414" s="414">
        <f t="shared" ref="I414:J477" si="31">IF(G414="",0,IF(I413="",G414,I413+G414))</f>
        <v>0</v>
      </c>
      <c r="J414" s="414">
        <f t="shared" si="31"/>
        <v>0</v>
      </c>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row>
    <row r="415" spans="1:43">
      <c r="A415" s="407">
        <f>Input!B408</f>
        <v>38373</v>
      </c>
      <c r="B415" s="419">
        <f t="shared" si="28"/>
        <v>56</v>
      </c>
      <c r="C415" s="411">
        <f>IF(Input!I408&lt;=0,"",Input!I408)</f>
        <v>0.28864348777884957</v>
      </c>
      <c r="D415" s="412" t="str">
        <f>IF(G415="","",Input!Q408)</f>
        <v/>
      </c>
      <c r="E415" s="412" t="str">
        <f>IF(ISERROR(Input!AA408),"",Input!AA408)</f>
        <v/>
      </c>
      <c r="F415" s="412" t="str">
        <f>IF(E415="","",Input!AQ408)</f>
        <v/>
      </c>
      <c r="G415" s="413" t="str">
        <f t="shared" si="29"/>
        <v/>
      </c>
      <c r="H415" s="413" t="str">
        <f t="shared" si="30"/>
        <v/>
      </c>
      <c r="I415" s="414">
        <f t="shared" si="31"/>
        <v>0</v>
      </c>
      <c r="J415" s="414">
        <f t="shared" si="31"/>
        <v>0</v>
      </c>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row>
    <row r="416" spans="1:43">
      <c r="A416" s="407">
        <f>Input!B409</f>
        <v>38374</v>
      </c>
      <c r="B416" s="419">
        <f t="shared" si="28"/>
        <v>56</v>
      </c>
      <c r="C416" s="411">
        <f>IF(Input!I409&lt;=0,"",Input!I409)</f>
        <v>0.24714464880057616</v>
      </c>
      <c r="D416" s="412" t="str">
        <f>IF(G416="","",Input!Q409)</f>
        <v/>
      </c>
      <c r="E416" s="412" t="str">
        <f>IF(ISERROR(Input!AA409),"",Input!AA409)</f>
        <v/>
      </c>
      <c r="F416" s="412" t="str">
        <f>IF(E416="","",Input!AQ409)</f>
        <v/>
      </c>
      <c r="G416" s="413" t="str">
        <f t="shared" si="29"/>
        <v/>
      </c>
      <c r="H416" s="413" t="str">
        <f t="shared" si="30"/>
        <v/>
      </c>
      <c r="I416" s="414">
        <f t="shared" si="31"/>
        <v>0</v>
      </c>
      <c r="J416" s="414">
        <f t="shared" si="31"/>
        <v>0</v>
      </c>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row>
    <row r="417" spans="1:43">
      <c r="A417" s="407">
        <f>Input!B410</f>
        <v>38375</v>
      </c>
      <c r="B417" s="419">
        <f t="shared" si="28"/>
        <v>56</v>
      </c>
      <c r="C417" s="411">
        <f>IF(Input!I410&lt;=0,"",Input!I410)</f>
        <v>0.26637772951772098</v>
      </c>
      <c r="D417" s="412" t="str">
        <f>IF(G417="","",Input!Q410)</f>
        <v/>
      </c>
      <c r="E417" s="412" t="str">
        <f>IF(ISERROR(Input!AA410),"",Input!AA410)</f>
        <v/>
      </c>
      <c r="F417" s="412" t="str">
        <f>IF(E417="","",Input!AQ410)</f>
        <v/>
      </c>
      <c r="G417" s="413" t="str">
        <f t="shared" si="29"/>
        <v/>
      </c>
      <c r="H417" s="413" t="str">
        <f t="shared" si="30"/>
        <v/>
      </c>
      <c r="I417" s="414">
        <f t="shared" si="31"/>
        <v>0</v>
      </c>
      <c r="J417" s="414">
        <f t="shared" si="31"/>
        <v>0</v>
      </c>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row>
    <row r="418" spans="1:43">
      <c r="A418" s="407">
        <f>Input!B411</f>
        <v>38376</v>
      </c>
      <c r="B418" s="419">
        <f t="shared" si="28"/>
        <v>56</v>
      </c>
      <c r="C418" s="411">
        <f>IF(Input!I411&lt;=0,"",Input!I411)</f>
        <v>0.29309055308982468</v>
      </c>
      <c r="D418" s="412" t="str">
        <f>IF(G418="","",Input!Q411)</f>
        <v/>
      </c>
      <c r="E418" s="412" t="str">
        <f>IF(ISERROR(Input!AA411),"",Input!AA411)</f>
        <v/>
      </c>
      <c r="F418" s="412" t="str">
        <f>IF(E418="","",Input!AQ411)</f>
        <v/>
      </c>
      <c r="G418" s="413" t="str">
        <f t="shared" si="29"/>
        <v/>
      </c>
      <c r="H418" s="413" t="str">
        <f t="shared" si="30"/>
        <v/>
      </c>
      <c r="I418" s="414">
        <f t="shared" si="31"/>
        <v>0</v>
      </c>
      <c r="J418" s="414">
        <f t="shared" si="31"/>
        <v>0</v>
      </c>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row>
    <row r="419" spans="1:43">
      <c r="A419" s="407">
        <f>Input!B412</f>
        <v>38377</v>
      </c>
      <c r="B419" s="419">
        <f t="shared" si="28"/>
        <v>56</v>
      </c>
      <c r="C419" s="411">
        <f>IF(Input!I412&lt;=0,"",Input!I412)</f>
        <v>0.31307647208209932</v>
      </c>
      <c r="D419" s="412" t="str">
        <f>IF(G419="","",Input!Q412)</f>
        <v/>
      </c>
      <c r="E419" s="412" t="str">
        <f>IF(ISERROR(Input!AA412),"",Input!AA412)</f>
        <v/>
      </c>
      <c r="F419" s="412" t="str">
        <f>IF(E419="","",Input!AQ412)</f>
        <v/>
      </c>
      <c r="G419" s="413" t="str">
        <f t="shared" si="29"/>
        <v/>
      </c>
      <c r="H419" s="413" t="str">
        <f t="shared" si="30"/>
        <v/>
      </c>
      <c r="I419" s="414">
        <f t="shared" si="31"/>
        <v>0</v>
      </c>
      <c r="J419" s="414">
        <f t="shared" si="31"/>
        <v>0</v>
      </c>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row>
    <row r="420" spans="1:43">
      <c r="A420" s="407">
        <f>Input!B413</f>
        <v>38378</v>
      </c>
      <c r="B420" s="419">
        <f t="shared" si="28"/>
        <v>56</v>
      </c>
      <c r="C420" s="411">
        <f>IF(Input!I413&lt;=0,"",Input!I413)</f>
        <v>0.23124500724166852</v>
      </c>
      <c r="D420" s="412" t="str">
        <f>IF(G420="","",Input!Q413)</f>
        <v/>
      </c>
      <c r="E420" s="412" t="str">
        <f>IF(ISERROR(Input!AA413),"",Input!AA413)</f>
        <v/>
      </c>
      <c r="F420" s="412" t="str">
        <f>IF(E420="","",Input!AQ413)</f>
        <v/>
      </c>
      <c r="G420" s="413" t="str">
        <f t="shared" si="29"/>
        <v/>
      </c>
      <c r="H420" s="413" t="str">
        <f t="shared" si="30"/>
        <v/>
      </c>
      <c r="I420" s="414">
        <f t="shared" si="31"/>
        <v>0</v>
      </c>
      <c r="J420" s="414">
        <f t="shared" si="31"/>
        <v>0</v>
      </c>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row>
    <row r="421" spans="1:43">
      <c r="A421" s="407">
        <f>Input!B414</f>
        <v>38379</v>
      </c>
      <c r="B421" s="419">
        <f t="shared" ref="B421:B484" si="32">IF(MOD(A420-A$28,7)=0,B420+1,B420)</f>
        <v>57</v>
      </c>
      <c r="C421" s="411">
        <f>IF(Input!I414&lt;=0,"",Input!I414)</f>
        <v>0.2718053562480085</v>
      </c>
      <c r="D421" s="412" t="str">
        <f>IF(G421="","",Input!Q414)</f>
        <v/>
      </c>
      <c r="E421" s="412" t="str">
        <f>IF(ISERROR(Input!AA414),"",Input!AA414)</f>
        <v/>
      </c>
      <c r="F421" s="412" t="str">
        <f>IF(E421="","",Input!AQ414)</f>
        <v/>
      </c>
      <c r="G421" s="413" t="str">
        <f t="shared" si="29"/>
        <v/>
      </c>
      <c r="H421" s="413" t="str">
        <f t="shared" si="30"/>
        <v/>
      </c>
      <c r="I421" s="414">
        <f t="shared" si="31"/>
        <v>0</v>
      </c>
      <c r="J421" s="414">
        <f t="shared" si="31"/>
        <v>0</v>
      </c>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row>
    <row r="422" spans="1:43">
      <c r="A422" s="407">
        <f>Input!B415</f>
        <v>38380</v>
      </c>
      <c r="B422" s="419">
        <f t="shared" si="32"/>
        <v>57</v>
      </c>
      <c r="C422" s="411">
        <f>IF(Input!I415&lt;=0,"",Input!I415)</f>
        <v>0.3157483417393101</v>
      </c>
      <c r="D422" s="412" t="str">
        <f>IF(G422="","",Input!Q415)</f>
        <v/>
      </c>
      <c r="E422" s="412" t="str">
        <f>IF(ISERROR(Input!AA415),"",Input!AA415)</f>
        <v/>
      </c>
      <c r="F422" s="412" t="str">
        <f>IF(E422="","",Input!AQ415)</f>
        <v/>
      </c>
      <c r="G422" s="413" t="str">
        <f t="shared" si="29"/>
        <v/>
      </c>
      <c r="H422" s="413" t="str">
        <f t="shared" si="30"/>
        <v/>
      </c>
      <c r="I422" s="414">
        <f t="shared" si="31"/>
        <v>0</v>
      </c>
      <c r="J422" s="414">
        <f t="shared" si="31"/>
        <v>0</v>
      </c>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row>
    <row r="423" spans="1:43">
      <c r="A423" s="407">
        <f>Input!B416</f>
        <v>38381</v>
      </c>
      <c r="B423" s="419">
        <f t="shared" si="32"/>
        <v>57</v>
      </c>
      <c r="C423" s="411">
        <f>IF(Input!I416&lt;=0,"",Input!I416)</f>
        <v>0.7281902108347631</v>
      </c>
      <c r="D423" s="412" t="str">
        <f>IF(G423="","",Input!Q416)</f>
        <v/>
      </c>
      <c r="E423" s="412" t="str">
        <f>IF(ISERROR(Input!AA416),"",Input!AA416)</f>
        <v/>
      </c>
      <c r="F423" s="412" t="str">
        <f>IF(E423="","",Input!AQ416)</f>
        <v/>
      </c>
      <c r="G423" s="413" t="str">
        <f t="shared" si="29"/>
        <v/>
      </c>
      <c r="H423" s="413" t="str">
        <f t="shared" si="30"/>
        <v/>
      </c>
      <c r="I423" s="414">
        <f t="shared" si="31"/>
        <v>0</v>
      </c>
      <c r="J423" s="414">
        <f t="shared" si="31"/>
        <v>0</v>
      </c>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row>
    <row r="424" spans="1:43">
      <c r="A424" s="407">
        <f>Input!B417</f>
        <v>38382</v>
      </c>
      <c r="B424" s="419">
        <f t="shared" si="32"/>
        <v>57</v>
      </c>
      <c r="C424" s="411">
        <f>IF(Input!I417&lt;=0,"",Input!I417)</f>
        <v>0.52118754722097038</v>
      </c>
      <c r="D424" s="412" t="str">
        <f>IF(G424="","",Input!Q417)</f>
        <v/>
      </c>
      <c r="E424" s="412" t="str">
        <f>IF(ISERROR(Input!AA417),"",Input!AA417)</f>
        <v/>
      </c>
      <c r="F424" s="412" t="str">
        <f>IF(E424="","",Input!AQ417)</f>
        <v/>
      </c>
      <c r="G424" s="413" t="str">
        <f t="shared" si="29"/>
        <v/>
      </c>
      <c r="H424" s="413" t="str">
        <f t="shared" si="30"/>
        <v/>
      </c>
      <c r="I424" s="414">
        <f t="shared" si="31"/>
        <v>0</v>
      </c>
      <c r="J424" s="414">
        <f t="shared" si="31"/>
        <v>0</v>
      </c>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row>
    <row r="425" spans="1:43">
      <c r="A425" s="407">
        <f>Input!B418</f>
        <v>38383</v>
      </c>
      <c r="B425" s="419">
        <f t="shared" si="32"/>
        <v>57</v>
      </c>
      <c r="C425" s="411">
        <f>IF(Input!I418&lt;=0,"",Input!I418)</f>
        <v>0.4462916169068708</v>
      </c>
      <c r="D425" s="412" t="str">
        <f>IF(G425="","",Input!Q418)</f>
        <v/>
      </c>
      <c r="E425" s="412" t="str">
        <f>IF(ISERROR(Input!AA418),"",Input!AA418)</f>
        <v/>
      </c>
      <c r="F425" s="412" t="str">
        <f>IF(E425="","",Input!AQ418)</f>
        <v/>
      </c>
      <c r="G425" s="413" t="str">
        <f t="shared" si="29"/>
        <v/>
      </c>
      <c r="H425" s="413" t="str">
        <f t="shared" si="30"/>
        <v/>
      </c>
      <c r="I425" s="414">
        <f t="shared" si="31"/>
        <v>0</v>
      </c>
      <c r="J425" s="414">
        <f t="shared" si="31"/>
        <v>0</v>
      </c>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row>
    <row r="426" spans="1:43">
      <c r="A426" s="407">
        <f>Input!B419</f>
        <v>38384</v>
      </c>
      <c r="B426" s="419">
        <f t="shared" si="32"/>
        <v>57</v>
      </c>
      <c r="C426" s="411">
        <f>IF(Input!I419&lt;=0,"",Input!I419)</f>
        <v>0.34063662232689529</v>
      </c>
      <c r="D426" s="412" t="str">
        <f>IF(G426="","",Input!Q419)</f>
        <v/>
      </c>
      <c r="E426" s="412" t="str">
        <f>IF(ISERROR(Input!AA419),"",Input!AA419)</f>
        <v/>
      </c>
      <c r="F426" s="412" t="str">
        <f>IF(E426="","",Input!AQ419)</f>
        <v/>
      </c>
      <c r="G426" s="413" t="str">
        <f t="shared" si="29"/>
        <v/>
      </c>
      <c r="H426" s="413" t="str">
        <f t="shared" si="30"/>
        <v/>
      </c>
      <c r="I426" s="414">
        <f t="shared" si="31"/>
        <v>0</v>
      </c>
      <c r="J426" s="414">
        <f t="shared" si="31"/>
        <v>0</v>
      </c>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row>
    <row r="427" spans="1:43">
      <c r="A427" s="407">
        <f>Input!B420</f>
        <v>38385</v>
      </c>
      <c r="B427" s="419">
        <f t="shared" si="32"/>
        <v>57</v>
      </c>
      <c r="C427" s="411">
        <f>IF(Input!I420&lt;=0,"",Input!I420)</f>
        <v>0.58582927143330044</v>
      </c>
      <c r="D427" s="412" t="str">
        <f>IF(G427="","",Input!Q420)</f>
        <v/>
      </c>
      <c r="E427" s="412" t="str">
        <f>IF(ISERROR(Input!AA420),"",Input!AA420)</f>
        <v/>
      </c>
      <c r="F427" s="412" t="str">
        <f>IF(E427="","",Input!AQ420)</f>
        <v/>
      </c>
      <c r="G427" s="413" t="str">
        <f t="shared" si="29"/>
        <v/>
      </c>
      <c r="H427" s="413" t="str">
        <f t="shared" si="30"/>
        <v/>
      </c>
      <c r="I427" s="414">
        <f t="shared" si="31"/>
        <v>0</v>
      </c>
      <c r="J427" s="414">
        <f t="shared" si="31"/>
        <v>0</v>
      </c>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row>
    <row r="428" spans="1:43">
      <c r="A428" s="407">
        <f>Input!B421</f>
        <v>38386</v>
      </c>
      <c r="B428" s="419">
        <f t="shared" si="32"/>
        <v>58</v>
      </c>
      <c r="C428" s="411">
        <f>IF(Input!I421&lt;=0,"",Input!I421)</f>
        <v>0.43557071163111061</v>
      </c>
      <c r="D428" s="412" t="str">
        <f>IF(G428="","",Input!Q421)</f>
        <v/>
      </c>
      <c r="E428" s="412" t="str">
        <f>IF(ISERROR(Input!AA421),"",Input!AA421)</f>
        <v/>
      </c>
      <c r="F428" s="412" t="str">
        <f>IF(E428="","",Input!AQ421)</f>
        <v/>
      </c>
      <c r="G428" s="413" t="str">
        <f t="shared" si="29"/>
        <v/>
      </c>
      <c r="H428" s="413" t="str">
        <f t="shared" si="30"/>
        <v/>
      </c>
      <c r="I428" s="414">
        <f t="shared" si="31"/>
        <v>0</v>
      </c>
      <c r="J428" s="414">
        <f t="shared" si="31"/>
        <v>0</v>
      </c>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row>
    <row r="429" spans="1:43">
      <c r="A429" s="407">
        <f>Input!B422</f>
        <v>38387</v>
      </c>
      <c r="B429" s="419">
        <f t="shared" si="32"/>
        <v>58</v>
      </c>
      <c r="C429" s="411">
        <f>IF(Input!I422&lt;=0,"",Input!I422)</f>
        <v>0.29668482018556935</v>
      </c>
      <c r="D429" s="412" t="str">
        <f>IF(G429="","",Input!Q422)</f>
        <v/>
      </c>
      <c r="E429" s="412" t="str">
        <f>IF(ISERROR(Input!AA422),"",Input!AA422)</f>
        <v/>
      </c>
      <c r="F429" s="412" t="str">
        <f>IF(E429="","",Input!AQ422)</f>
        <v/>
      </c>
      <c r="G429" s="413" t="str">
        <f t="shared" si="29"/>
        <v/>
      </c>
      <c r="H429" s="413" t="str">
        <f t="shared" si="30"/>
        <v/>
      </c>
      <c r="I429" s="414">
        <f t="shared" si="31"/>
        <v>0</v>
      </c>
      <c r="J429" s="414">
        <f t="shared" si="31"/>
        <v>0</v>
      </c>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row>
    <row r="430" spans="1:43">
      <c r="A430" s="407">
        <f>Input!B423</f>
        <v>38388</v>
      </c>
      <c r="B430" s="419">
        <f t="shared" si="32"/>
        <v>58</v>
      </c>
      <c r="C430" s="411">
        <f>IF(Input!I423&lt;=0,"",Input!I423)</f>
        <v>0.29163966521745566</v>
      </c>
      <c r="D430" s="412" t="str">
        <f>IF(G430="","",Input!Q423)</f>
        <v/>
      </c>
      <c r="E430" s="412" t="str">
        <f>IF(ISERROR(Input!AA423),"",Input!AA423)</f>
        <v/>
      </c>
      <c r="F430" s="412" t="str">
        <f>IF(E430="","",Input!AQ423)</f>
        <v/>
      </c>
      <c r="G430" s="413" t="str">
        <f t="shared" si="29"/>
        <v/>
      </c>
      <c r="H430" s="413" t="str">
        <f t="shared" si="30"/>
        <v/>
      </c>
      <c r="I430" s="414">
        <f t="shared" si="31"/>
        <v>0</v>
      </c>
      <c r="J430" s="414">
        <f t="shared" si="31"/>
        <v>0</v>
      </c>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row>
    <row r="431" spans="1:43">
      <c r="A431" s="407">
        <f>Input!B424</f>
        <v>38389</v>
      </c>
      <c r="B431" s="419">
        <f t="shared" si="32"/>
        <v>58</v>
      </c>
      <c r="C431" s="411">
        <f>IF(Input!I424&lt;=0,"",Input!I424)</f>
        <v>0.28112812573389639</v>
      </c>
      <c r="D431" s="412" t="str">
        <f>IF(G431="","",Input!Q424)</f>
        <v/>
      </c>
      <c r="E431" s="412" t="str">
        <f>IF(ISERROR(Input!AA424),"",Input!AA424)</f>
        <v/>
      </c>
      <c r="F431" s="412" t="str">
        <f>IF(E431="","",Input!AQ424)</f>
        <v/>
      </c>
      <c r="G431" s="413" t="str">
        <f t="shared" si="29"/>
        <v/>
      </c>
      <c r="H431" s="413" t="str">
        <f t="shared" si="30"/>
        <v/>
      </c>
      <c r="I431" s="414">
        <f t="shared" si="31"/>
        <v>0</v>
      </c>
      <c r="J431" s="414">
        <f t="shared" si="31"/>
        <v>0</v>
      </c>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row>
    <row r="432" spans="1:43">
      <c r="A432" s="407">
        <f>Input!B425</f>
        <v>38390</v>
      </c>
      <c r="B432" s="419">
        <f t="shared" si="32"/>
        <v>58</v>
      </c>
      <c r="C432" s="411">
        <f>IF(Input!I425&lt;=0,"",Input!I425)</f>
        <v>0.37718204673649641</v>
      </c>
      <c r="D432" s="412" t="str">
        <f>IF(G432="","",Input!Q425)</f>
        <v/>
      </c>
      <c r="E432" s="412" t="str">
        <f>IF(ISERROR(Input!AA425),"",Input!AA425)</f>
        <v/>
      </c>
      <c r="F432" s="412" t="str">
        <f>IF(E432="","",Input!AQ425)</f>
        <v/>
      </c>
      <c r="G432" s="413" t="str">
        <f t="shared" si="29"/>
        <v/>
      </c>
      <c r="H432" s="413" t="str">
        <f t="shared" si="30"/>
        <v/>
      </c>
      <c r="I432" s="414">
        <f t="shared" si="31"/>
        <v>0</v>
      </c>
      <c r="J432" s="414">
        <f t="shared" si="31"/>
        <v>0</v>
      </c>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row>
    <row r="433" spans="1:43">
      <c r="A433" s="407">
        <f>Input!B426</f>
        <v>38391</v>
      </c>
      <c r="B433" s="419">
        <f t="shared" si="32"/>
        <v>58</v>
      </c>
      <c r="C433" s="411">
        <f>IF(Input!I426&lt;=0,"",Input!I426)</f>
        <v>0.40184909694054805</v>
      </c>
      <c r="D433" s="412" t="str">
        <f>IF(G433="","",Input!Q426)</f>
        <v/>
      </c>
      <c r="E433" s="412" t="str">
        <f>IF(ISERROR(Input!AA426),"",Input!AA426)</f>
        <v/>
      </c>
      <c r="F433" s="412" t="str">
        <f>IF(E433="","",Input!AQ426)</f>
        <v/>
      </c>
      <c r="G433" s="413" t="str">
        <f t="shared" si="29"/>
        <v/>
      </c>
      <c r="H433" s="413" t="str">
        <f t="shared" si="30"/>
        <v/>
      </c>
      <c r="I433" s="414">
        <f t="shared" si="31"/>
        <v>0</v>
      </c>
      <c r="J433" s="414">
        <f t="shared" si="31"/>
        <v>0</v>
      </c>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row>
    <row r="434" spans="1:43">
      <c r="A434" s="407">
        <f>Input!B427</f>
        <v>38392</v>
      </c>
      <c r="B434" s="419">
        <f t="shared" si="32"/>
        <v>58</v>
      </c>
      <c r="C434" s="411">
        <f>IF(Input!I427&lt;=0,"",Input!I427)</f>
        <v>0.35697698080417573</v>
      </c>
      <c r="D434" s="412" t="str">
        <f>IF(G434="","",Input!Q427)</f>
        <v/>
      </c>
      <c r="E434" s="412" t="str">
        <f>IF(ISERROR(Input!AA427),"",Input!AA427)</f>
        <v/>
      </c>
      <c r="F434" s="412" t="str">
        <f>IF(E434="","",Input!AQ427)</f>
        <v/>
      </c>
      <c r="G434" s="413" t="str">
        <f t="shared" si="29"/>
        <v/>
      </c>
      <c r="H434" s="413" t="str">
        <f t="shared" si="30"/>
        <v/>
      </c>
      <c r="I434" s="414">
        <f t="shared" si="31"/>
        <v>0</v>
      </c>
      <c r="J434" s="414">
        <f t="shared" si="31"/>
        <v>0</v>
      </c>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row>
    <row r="435" spans="1:43">
      <c r="A435" s="407">
        <f>Input!B428</f>
        <v>38393</v>
      </c>
      <c r="B435" s="419">
        <f t="shared" si="32"/>
        <v>59</v>
      </c>
      <c r="C435" s="411">
        <f>IF(Input!I428&lt;=0,"",Input!I428)</f>
        <v>0.40150119165400022</v>
      </c>
      <c r="D435" s="412" t="str">
        <f>IF(G435="","",Input!Q428)</f>
        <v/>
      </c>
      <c r="E435" s="412" t="str">
        <f>IF(ISERROR(Input!AA428),"",Input!AA428)</f>
        <v/>
      </c>
      <c r="F435" s="412" t="str">
        <f>IF(E435="","",Input!AQ428)</f>
        <v/>
      </c>
      <c r="G435" s="413" t="str">
        <f t="shared" si="29"/>
        <v/>
      </c>
      <c r="H435" s="413" t="str">
        <f t="shared" si="30"/>
        <v/>
      </c>
      <c r="I435" s="414">
        <f t="shared" si="31"/>
        <v>0</v>
      </c>
      <c r="J435" s="414">
        <f t="shared" si="31"/>
        <v>0</v>
      </c>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row>
    <row r="436" spans="1:43">
      <c r="A436" s="407">
        <f>Input!B429</f>
        <v>38394</v>
      </c>
      <c r="B436" s="419">
        <f t="shared" si="32"/>
        <v>59</v>
      </c>
      <c r="C436" s="411">
        <f>IF(Input!I429&lt;=0,"",Input!I429)</f>
        <v>0.52184810169343809</v>
      </c>
      <c r="D436" s="412" t="str">
        <f>IF(G436="","",Input!Q429)</f>
        <v/>
      </c>
      <c r="E436" s="412" t="str">
        <f>IF(ISERROR(Input!AA429),"",Input!AA429)</f>
        <v/>
      </c>
      <c r="F436" s="412" t="str">
        <f>IF(E436="","",Input!AQ429)</f>
        <v/>
      </c>
      <c r="G436" s="413" t="str">
        <f t="shared" si="29"/>
        <v/>
      </c>
      <c r="H436" s="413" t="str">
        <f t="shared" si="30"/>
        <v/>
      </c>
      <c r="I436" s="414">
        <f t="shared" si="31"/>
        <v>0</v>
      </c>
      <c r="J436" s="414">
        <f t="shared" si="31"/>
        <v>0</v>
      </c>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row>
    <row r="437" spans="1:43">
      <c r="A437" s="407">
        <f>Input!B430</f>
        <v>38395</v>
      </c>
      <c r="B437" s="419">
        <f t="shared" si="32"/>
        <v>59</v>
      </c>
      <c r="C437" s="411">
        <f>IF(Input!I430&lt;=0,"",Input!I430)</f>
        <v>0.36790181555226631</v>
      </c>
      <c r="D437" s="412" t="str">
        <f>IF(G437="","",Input!Q430)</f>
        <v/>
      </c>
      <c r="E437" s="412" t="str">
        <f>IF(ISERROR(Input!AA430),"",Input!AA430)</f>
        <v/>
      </c>
      <c r="F437" s="412" t="str">
        <f>IF(E437="","",Input!AQ430)</f>
        <v/>
      </c>
      <c r="G437" s="413" t="str">
        <f t="shared" si="29"/>
        <v/>
      </c>
      <c r="H437" s="413" t="str">
        <f t="shared" si="30"/>
        <v/>
      </c>
      <c r="I437" s="414">
        <f t="shared" si="31"/>
        <v>0</v>
      </c>
      <c r="J437" s="414">
        <f t="shared" si="31"/>
        <v>0</v>
      </c>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row>
    <row r="438" spans="1:43">
      <c r="A438" s="407">
        <f>Input!B431</f>
        <v>38396</v>
      </c>
      <c r="B438" s="419">
        <f t="shared" si="32"/>
        <v>59</v>
      </c>
      <c r="C438" s="411">
        <f>IF(Input!I431&lt;=0,"",Input!I431)</f>
        <v>0.41322020685184946</v>
      </c>
      <c r="D438" s="412" t="str">
        <f>IF(G438="","",Input!Q431)</f>
        <v/>
      </c>
      <c r="E438" s="412" t="str">
        <f>IF(ISERROR(Input!AA431),"",Input!AA431)</f>
        <v/>
      </c>
      <c r="F438" s="412" t="str">
        <f>IF(E438="","",Input!AQ431)</f>
        <v/>
      </c>
      <c r="G438" s="413" t="str">
        <f t="shared" si="29"/>
        <v/>
      </c>
      <c r="H438" s="413" t="str">
        <f t="shared" si="30"/>
        <v/>
      </c>
      <c r="I438" s="414">
        <f t="shared" si="31"/>
        <v>0</v>
      </c>
      <c r="J438" s="414">
        <f t="shared" si="31"/>
        <v>0</v>
      </c>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row>
    <row r="439" spans="1:43">
      <c r="A439" s="407">
        <f>Input!B432</f>
        <v>38397</v>
      </c>
      <c r="B439" s="419">
        <f t="shared" si="32"/>
        <v>59</v>
      </c>
      <c r="C439" s="411">
        <f>IF(Input!I432&lt;=0,"",Input!I432)</f>
        <v>0.39576125991328082</v>
      </c>
      <c r="D439" s="412" t="str">
        <f>IF(G439="","",Input!Q432)</f>
        <v/>
      </c>
      <c r="E439" s="412" t="str">
        <f>IF(ISERROR(Input!AA432),"",Input!AA432)</f>
        <v/>
      </c>
      <c r="F439" s="412" t="str">
        <f>IF(E439="","",Input!AQ432)</f>
        <v/>
      </c>
      <c r="G439" s="413" t="str">
        <f t="shared" si="29"/>
        <v/>
      </c>
      <c r="H439" s="413" t="str">
        <f t="shared" si="30"/>
        <v/>
      </c>
      <c r="I439" s="414">
        <f t="shared" si="31"/>
        <v>0</v>
      </c>
      <c r="J439" s="414">
        <f t="shared" si="31"/>
        <v>0</v>
      </c>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row>
    <row r="440" spans="1:43">
      <c r="A440" s="407">
        <f>Input!B433</f>
        <v>38398</v>
      </c>
      <c r="B440" s="419">
        <f t="shared" si="32"/>
        <v>59</v>
      </c>
      <c r="C440" s="411">
        <f>IF(Input!I433&lt;=0,"",Input!I433)</f>
        <v>0.2110792416261621</v>
      </c>
      <c r="D440" s="412" t="str">
        <f>IF(G440="","",Input!Q433)</f>
        <v/>
      </c>
      <c r="E440" s="412" t="str">
        <f>IF(ISERROR(Input!AA433),"",Input!AA433)</f>
        <v/>
      </c>
      <c r="F440" s="412" t="str">
        <f>IF(E440="","",Input!AQ433)</f>
        <v/>
      </c>
      <c r="G440" s="413" t="str">
        <f t="shared" si="29"/>
        <v/>
      </c>
      <c r="H440" s="413" t="str">
        <f t="shared" si="30"/>
        <v/>
      </c>
      <c r="I440" s="414">
        <f t="shared" si="31"/>
        <v>0</v>
      </c>
      <c r="J440" s="414">
        <f t="shared" si="31"/>
        <v>0</v>
      </c>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row>
    <row r="441" spans="1:43">
      <c r="A441" s="407">
        <f>Input!B434</f>
        <v>38399</v>
      </c>
      <c r="B441" s="419">
        <f t="shared" si="32"/>
        <v>59</v>
      </c>
      <c r="C441" s="411">
        <f>IF(Input!I434&lt;=0,"",Input!I434)</f>
        <v>0.16164582054947796</v>
      </c>
      <c r="D441" s="412" t="str">
        <f>IF(G441="","",Input!Q434)</f>
        <v/>
      </c>
      <c r="E441" s="412" t="str">
        <f>IF(ISERROR(Input!AA434),"",Input!AA434)</f>
        <v/>
      </c>
      <c r="F441" s="412" t="str">
        <f>IF(E441="","",Input!AQ434)</f>
        <v/>
      </c>
      <c r="G441" s="413" t="str">
        <f t="shared" si="29"/>
        <v/>
      </c>
      <c r="H441" s="413" t="str">
        <f t="shared" si="30"/>
        <v/>
      </c>
      <c r="I441" s="414">
        <f t="shared" si="31"/>
        <v>0</v>
      </c>
      <c r="J441" s="414">
        <f t="shared" si="31"/>
        <v>0</v>
      </c>
      <c r="K441" s="137"/>
      <c r="L441" s="137"/>
      <c r="M441" s="137"/>
      <c r="N441" s="137"/>
      <c r="O441" s="137"/>
      <c r="P441" s="137"/>
      <c r="Q441" s="137"/>
      <c r="R441" s="137"/>
      <c r="S441" s="137"/>
      <c r="T441" s="137"/>
      <c r="U441" s="137"/>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row>
    <row r="442" spans="1:43">
      <c r="A442" s="407">
        <f>Input!B435</f>
        <v>38400</v>
      </c>
      <c r="B442" s="419">
        <f t="shared" si="32"/>
        <v>60</v>
      </c>
      <c r="C442" s="411">
        <f>IF(Input!I435&lt;=0,"",Input!I435)</f>
        <v>0.42844195262703466</v>
      </c>
      <c r="D442" s="412" t="str">
        <f>IF(G442="","",Input!Q435)</f>
        <v/>
      </c>
      <c r="E442" s="412" t="str">
        <f>IF(ISERROR(Input!AA435),"",Input!AA435)</f>
        <v/>
      </c>
      <c r="F442" s="412" t="str">
        <f>IF(E442="","",Input!AQ435)</f>
        <v/>
      </c>
      <c r="G442" s="413" t="str">
        <f t="shared" si="29"/>
        <v/>
      </c>
      <c r="H442" s="413" t="str">
        <f t="shared" si="30"/>
        <v/>
      </c>
      <c r="I442" s="414">
        <f t="shared" si="31"/>
        <v>0</v>
      </c>
      <c r="J442" s="414">
        <f t="shared" si="31"/>
        <v>0</v>
      </c>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row>
    <row r="443" spans="1:43">
      <c r="A443" s="407">
        <f>Input!B436</f>
        <v>38401</v>
      </c>
      <c r="B443" s="419">
        <f t="shared" si="32"/>
        <v>60</v>
      </c>
      <c r="C443" s="411">
        <f>IF(Input!I436&lt;=0,"",Input!I436)</f>
        <v>0.27012829790668447</v>
      </c>
      <c r="D443" s="412" t="str">
        <f>IF(G443="","",Input!Q436)</f>
        <v/>
      </c>
      <c r="E443" s="412" t="str">
        <f>IF(ISERROR(Input!AA436),"",Input!AA436)</f>
        <v/>
      </c>
      <c r="F443" s="412" t="str">
        <f>IF(E443="","",Input!AQ436)</f>
        <v/>
      </c>
      <c r="G443" s="413" t="str">
        <f t="shared" si="29"/>
        <v/>
      </c>
      <c r="H443" s="413" t="str">
        <f t="shared" si="30"/>
        <v/>
      </c>
      <c r="I443" s="414">
        <f t="shared" si="31"/>
        <v>0</v>
      </c>
      <c r="J443" s="414">
        <f t="shared" si="31"/>
        <v>0</v>
      </c>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row>
    <row r="444" spans="1:43">
      <c r="A444" s="407">
        <f>Input!B437</f>
        <v>38402</v>
      </c>
      <c r="B444" s="419">
        <f t="shared" si="32"/>
        <v>60</v>
      </c>
      <c r="C444" s="411">
        <f>IF(Input!I437&lt;=0,"",Input!I437)</f>
        <v>0.20151220317447621</v>
      </c>
      <c r="D444" s="412" t="str">
        <f>IF(G444="","",Input!Q437)</f>
        <v/>
      </c>
      <c r="E444" s="412" t="str">
        <f>IF(ISERROR(Input!AA437),"",Input!AA437)</f>
        <v/>
      </c>
      <c r="F444" s="412" t="str">
        <f>IF(E444="","",Input!AQ437)</f>
        <v/>
      </c>
      <c r="G444" s="413" t="str">
        <f t="shared" si="29"/>
        <v/>
      </c>
      <c r="H444" s="413" t="str">
        <f t="shared" si="30"/>
        <v/>
      </c>
      <c r="I444" s="414">
        <f t="shared" si="31"/>
        <v>0</v>
      </c>
      <c r="J444" s="414">
        <f t="shared" si="31"/>
        <v>0</v>
      </c>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row>
    <row r="445" spans="1:43">
      <c r="A445" s="407">
        <f>Input!B438</f>
        <v>38403</v>
      </c>
      <c r="B445" s="419">
        <f t="shared" si="32"/>
        <v>60</v>
      </c>
      <c r="C445" s="411">
        <f>IF(Input!I438&lt;=0,"",Input!I438)</f>
        <v>0.40302323288783826</v>
      </c>
      <c r="D445" s="412" t="str">
        <f>IF(G445="","",Input!Q438)</f>
        <v/>
      </c>
      <c r="E445" s="412" t="str">
        <f>IF(ISERROR(Input!AA438),"",Input!AA438)</f>
        <v/>
      </c>
      <c r="F445" s="412" t="str">
        <f>IF(E445="","",Input!AQ438)</f>
        <v/>
      </c>
      <c r="G445" s="413" t="str">
        <f t="shared" si="29"/>
        <v/>
      </c>
      <c r="H445" s="413" t="str">
        <f t="shared" si="30"/>
        <v/>
      </c>
      <c r="I445" s="414">
        <f t="shared" si="31"/>
        <v>0</v>
      </c>
      <c r="J445" s="414">
        <f t="shared" si="31"/>
        <v>0</v>
      </c>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row>
    <row r="446" spans="1:43">
      <c r="A446" s="407">
        <f>Input!B439</f>
        <v>38404</v>
      </c>
      <c r="B446" s="419">
        <f t="shared" si="32"/>
        <v>60</v>
      </c>
      <c r="C446" s="411">
        <f>IF(Input!I439&lt;=0,"",Input!I439)</f>
        <v>0.52880251796818045</v>
      </c>
      <c r="D446" s="412" t="str">
        <f>IF(G446="","",Input!Q439)</f>
        <v/>
      </c>
      <c r="E446" s="412" t="str">
        <f>IF(ISERROR(Input!AA439),"",Input!AA439)</f>
        <v/>
      </c>
      <c r="F446" s="412" t="str">
        <f>IF(E446="","",Input!AQ439)</f>
        <v/>
      </c>
      <c r="G446" s="413" t="str">
        <f t="shared" si="29"/>
        <v/>
      </c>
      <c r="H446" s="413" t="str">
        <f t="shared" si="30"/>
        <v/>
      </c>
      <c r="I446" s="414">
        <f t="shared" si="31"/>
        <v>0</v>
      </c>
      <c r="J446" s="414">
        <f t="shared" si="31"/>
        <v>0</v>
      </c>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row>
    <row r="447" spans="1:43">
      <c r="A447" s="407">
        <f>Input!B440</f>
        <v>38405</v>
      </c>
      <c r="B447" s="419">
        <f t="shared" si="32"/>
        <v>60</v>
      </c>
      <c r="C447" s="411">
        <f>IF(Input!I440&lt;=0,"",Input!I440)</f>
        <v>0.35968353967974764</v>
      </c>
      <c r="D447" s="412" t="str">
        <f>IF(G447="","",Input!Q440)</f>
        <v/>
      </c>
      <c r="E447" s="412" t="str">
        <f>IF(ISERROR(Input!AA440),"",Input!AA440)</f>
        <v/>
      </c>
      <c r="F447" s="412" t="str">
        <f>IF(E447="","",Input!AQ440)</f>
        <v/>
      </c>
      <c r="G447" s="413" t="str">
        <f t="shared" si="29"/>
        <v/>
      </c>
      <c r="H447" s="413" t="str">
        <f t="shared" si="30"/>
        <v/>
      </c>
      <c r="I447" s="414">
        <f t="shared" si="31"/>
        <v>0</v>
      </c>
      <c r="J447" s="414">
        <f t="shared" si="31"/>
        <v>0</v>
      </c>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row>
    <row r="448" spans="1:43">
      <c r="A448" s="407">
        <f>Input!B441</f>
        <v>38406</v>
      </c>
      <c r="B448" s="419">
        <f t="shared" si="32"/>
        <v>60</v>
      </c>
      <c r="C448" s="411">
        <f>IF(Input!I441&lt;=0,"",Input!I441)</f>
        <v>0.83176917696877539</v>
      </c>
      <c r="D448" s="412" t="str">
        <f>IF(G448="","",Input!Q441)</f>
        <v/>
      </c>
      <c r="E448" s="412" t="str">
        <f>IF(ISERROR(Input!AA441),"",Input!AA441)</f>
        <v/>
      </c>
      <c r="F448" s="412" t="str">
        <f>IF(E448="","",Input!AQ441)</f>
        <v/>
      </c>
      <c r="G448" s="413" t="str">
        <f t="shared" si="29"/>
        <v/>
      </c>
      <c r="H448" s="413" t="str">
        <f t="shared" si="30"/>
        <v/>
      </c>
      <c r="I448" s="414">
        <f t="shared" si="31"/>
        <v>0</v>
      </c>
      <c r="J448" s="414">
        <f t="shared" si="31"/>
        <v>0</v>
      </c>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row>
    <row r="449" spans="1:43">
      <c r="A449" s="407">
        <f>Input!B442</f>
        <v>38407</v>
      </c>
      <c r="B449" s="419">
        <f t="shared" si="32"/>
        <v>61</v>
      </c>
      <c r="C449" s="411">
        <f>IF(Input!I442&lt;=0,"",Input!I442)</f>
        <v>0.65738291518508896</v>
      </c>
      <c r="D449" s="412" t="str">
        <f>IF(G449="","",Input!Q442)</f>
        <v/>
      </c>
      <c r="E449" s="412" t="str">
        <f>IF(ISERROR(Input!AA442),"",Input!AA442)</f>
        <v/>
      </c>
      <c r="F449" s="412" t="str">
        <f>IF(E449="","",Input!AQ442)</f>
        <v/>
      </c>
      <c r="G449" s="413" t="str">
        <f t="shared" si="29"/>
        <v/>
      </c>
      <c r="H449" s="413" t="str">
        <f t="shared" si="30"/>
        <v/>
      </c>
      <c r="I449" s="414">
        <f t="shared" si="31"/>
        <v>0</v>
      </c>
      <c r="J449" s="414">
        <f t="shared" si="31"/>
        <v>0</v>
      </c>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row>
    <row r="450" spans="1:43">
      <c r="A450" s="407">
        <f>Input!B443</f>
        <v>38408</v>
      </c>
      <c r="B450" s="419">
        <f t="shared" si="32"/>
        <v>61</v>
      </c>
      <c r="C450" s="411">
        <f>IF(Input!I443&lt;=0,"",Input!I443)</f>
        <v>0.63911787151342603</v>
      </c>
      <c r="D450" s="412" t="str">
        <f>IF(G450="","",Input!Q443)</f>
        <v/>
      </c>
      <c r="E450" s="412" t="str">
        <f>IF(ISERROR(Input!AA443),"",Input!AA443)</f>
        <v/>
      </c>
      <c r="F450" s="412" t="str">
        <f>IF(E450="","",Input!AQ443)</f>
        <v/>
      </c>
      <c r="G450" s="413" t="str">
        <f t="shared" si="29"/>
        <v/>
      </c>
      <c r="H450" s="413" t="str">
        <f t="shared" si="30"/>
        <v/>
      </c>
      <c r="I450" s="414">
        <f t="shared" si="31"/>
        <v>0</v>
      </c>
      <c r="J450" s="414">
        <f t="shared" si="31"/>
        <v>0</v>
      </c>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row>
    <row r="451" spans="1:43">
      <c r="A451" s="407">
        <f>Input!B444</f>
        <v>38409</v>
      </c>
      <c r="B451" s="419">
        <f t="shared" si="32"/>
        <v>61</v>
      </c>
      <c r="C451" s="411">
        <f>IF(Input!I444&lt;=0,"",Input!I444)</f>
        <v>0.79120631579769019</v>
      </c>
      <c r="D451" s="412" t="str">
        <f>IF(G451="","",Input!Q444)</f>
        <v/>
      </c>
      <c r="E451" s="412" t="str">
        <f>IF(ISERROR(Input!AA444),"",Input!AA444)</f>
        <v/>
      </c>
      <c r="F451" s="412" t="str">
        <f>IF(E451="","",Input!AQ444)</f>
        <v/>
      </c>
      <c r="G451" s="413" t="str">
        <f t="shared" si="29"/>
        <v/>
      </c>
      <c r="H451" s="413" t="str">
        <f t="shared" si="30"/>
        <v/>
      </c>
      <c r="I451" s="414">
        <f t="shared" si="31"/>
        <v>0</v>
      </c>
      <c r="J451" s="414">
        <f t="shared" si="31"/>
        <v>0</v>
      </c>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row>
    <row r="452" spans="1:43">
      <c r="A452" s="407">
        <f>Input!B445</f>
        <v>38410</v>
      </c>
      <c r="B452" s="419">
        <f t="shared" si="32"/>
        <v>61</v>
      </c>
      <c r="C452" s="411">
        <f>IF(Input!I445&lt;=0,"",Input!I445)</f>
        <v>0.50865297494834683</v>
      </c>
      <c r="D452" s="412" t="str">
        <f>IF(G452="","",Input!Q445)</f>
        <v/>
      </c>
      <c r="E452" s="412" t="str">
        <f>IF(ISERROR(Input!AA445),"",Input!AA445)</f>
        <v/>
      </c>
      <c r="F452" s="412" t="str">
        <f>IF(E452="","",Input!AQ445)</f>
        <v/>
      </c>
      <c r="G452" s="413" t="str">
        <f t="shared" si="29"/>
        <v/>
      </c>
      <c r="H452" s="413" t="str">
        <f t="shared" si="30"/>
        <v/>
      </c>
      <c r="I452" s="414">
        <f t="shared" si="31"/>
        <v>0</v>
      </c>
      <c r="J452" s="414">
        <f t="shared" si="31"/>
        <v>0</v>
      </c>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row>
    <row r="453" spans="1:43">
      <c r="A453" s="407">
        <f>Input!B446</f>
        <v>38411</v>
      </c>
      <c r="B453" s="419">
        <f t="shared" si="32"/>
        <v>61</v>
      </c>
      <c r="C453" s="411">
        <f>IF(Input!I446&lt;=0,"",Input!I446)</f>
        <v>0.83577336875360686</v>
      </c>
      <c r="D453" s="412" t="str">
        <f>IF(G453="","",Input!Q446)</f>
        <v/>
      </c>
      <c r="E453" s="412" t="str">
        <f>IF(ISERROR(Input!AA446),"",Input!AA446)</f>
        <v/>
      </c>
      <c r="F453" s="412" t="str">
        <f>IF(E453="","",Input!AQ446)</f>
        <v/>
      </c>
      <c r="G453" s="413" t="str">
        <f t="shared" si="29"/>
        <v/>
      </c>
      <c r="H453" s="413" t="str">
        <f t="shared" si="30"/>
        <v/>
      </c>
      <c r="I453" s="414">
        <f t="shared" si="31"/>
        <v>0</v>
      </c>
      <c r="J453" s="414">
        <f t="shared" si="31"/>
        <v>0</v>
      </c>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row>
    <row r="454" spans="1:43">
      <c r="A454" s="407">
        <f>Input!B447</f>
        <v>38412</v>
      </c>
      <c r="B454" s="419">
        <f t="shared" si="32"/>
        <v>61</v>
      </c>
      <c r="C454" s="411">
        <f>IF(Input!I447&lt;=0,"",Input!I447)</f>
        <v>1.2856834746038537</v>
      </c>
      <c r="D454" s="412" t="str">
        <f>IF(G454="","",Input!Q447)</f>
        <v/>
      </c>
      <c r="E454" s="412" t="str">
        <f>IF(ISERROR(Input!AA447),"",Input!AA447)</f>
        <v/>
      </c>
      <c r="F454" s="412" t="str">
        <f>IF(E454="","",Input!AQ447)</f>
        <v/>
      </c>
      <c r="G454" s="413" t="str">
        <f t="shared" si="29"/>
        <v/>
      </c>
      <c r="H454" s="413" t="str">
        <f t="shared" si="30"/>
        <v/>
      </c>
      <c r="I454" s="414">
        <f t="shared" si="31"/>
        <v>0</v>
      </c>
      <c r="J454" s="414">
        <f t="shared" si="31"/>
        <v>0</v>
      </c>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row>
    <row r="455" spans="1:43">
      <c r="A455" s="407">
        <f>Input!B448</f>
        <v>38413</v>
      </c>
      <c r="B455" s="419">
        <f t="shared" si="32"/>
        <v>61</v>
      </c>
      <c r="C455" s="411">
        <f>IF(Input!I448&lt;=0,"",Input!I448)</f>
        <v>0.92411704693883201</v>
      </c>
      <c r="D455" s="412" t="str">
        <f>IF(G455="","",Input!Q448)</f>
        <v/>
      </c>
      <c r="E455" s="412" t="str">
        <f>IF(ISERROR(Input!AA448),"",Input!AA448)</f>
        <v/>
      </c>
      <c r="F455" s="412" t="str">
        <f>IF(E455="","",Input!AQ448)</f>
        <v/>
      </c>
      <c r="G455" s="413" t="str">
        <f t="shared" si="29"/>
        <v/>
      </c>
      <c r="H455" s="413" t="str">
        <f t="shared" si="30"/>
        <v/>
      </c>
      <c r="I455" s="414">
        <f t="shared" si="31"/>
        <v>0</v>
      </c>
      <c r="J455" s="414">
        <f t="shared" si="31"/>
        <v>0</v>
      </c>
      <c r="K455" s="137"/>
      <c r="L455" s="137"/>
      <c r="M455" s="137"/>
      <c r="N455" s="137"/>
      <c r="O455" s="137"/>
      <c r="P455" s="137"/>
      <c r="Q455" s="137"/>
      <c r="R455" s="137"/>
      <c r="S455" s="137"/>
      <c r="T455" s="137"/>
      <c r="U455" s="137"/>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row>
    <row r="456" spans="1:43">
      <c r="A456" s="407">
        <f>Input!B449</f>
        <v>38414</v>
      </c>
      <c r="B456" s="419">
        <f t="shared" si="32"/>
        <v>62</v>
      </c>
      <c r="C456" s="411">
        <f>IF(Input!I449&lt;=0,"",Input!I449)</f>
        <v>1.0608928706242404</v>
      </c>
      <c r="D456" s="412" t="str">
        <f>IF(G456="","",Input!Q449)</f>
        <v/>
      </c>
      <c r="E456" s="412" t="str">
        <f>IF(ISERROR(Input!AA449),"",Input!AA449)</f>
        <v/>
      </c>
      <c r="F456" s="412" t="str">
        <f>IF(E456="","",Input!AQ449)</f>
        <v/>
      </c>
      <c r="G456" s="413" t="str">
        <f t="shared" si="29"/>
        <v/>
      </c>
      <c r="H456" s="413" t="str">
        <f t="shared" si="30"/>
        <v/>
      </c>
      <c r="I456" s="414">
        <f t="shared" si="31"/>
        <v>0</v>
      </c>
      <c r="J456" s="414">
        <f t="shared" si="31"/>
        <v>0</v>
      </c>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row>
    <row r="457" spans="1:43">
      <c r="A457" s="407">
        <f>Input!B450</f>
        <v>38415</v>
      </c>
      <c r="B457" s="419">
        <f t="shared" si="32"/>
        <v>62</v>
      </c>
      <c r="C457" s="411">
        <f>IF(Input!I450&lt;=0,"",Input!I450)</f>
        <v>0.96808272715190891</v>
      </c>
      <c r="D457" s="412" t="str">
        <f>IF(G457="","",Input!Q450)</f>
        <v/>
      </c>
      <c r="E457" s="412" t="str">
        <f>IF(ISERROR(Input!AA450),"",Input!AA450)</f>
        <v/>
      </c>
      <c r="F457" s="412" t="str">
        <f>IF(E457="","",Input!AQ450)</f>
        <v/>
      </c>
      <c r="G457" s="413" t="str">
        <f t="shared" si="29"/>
        <v/>
      </c>
      <c r="H457" s="413" t="str">
        <f t="shared" si="30"/>
        <v/>
      </c>
      <c r="I457" s="414">
        <f t="shared" si="31"/>
        <v>0</v>
      </c>
      <c r="J457" s="414">
        <f t="shared" si="31"/>
        <v>0</v>
      </c>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row>
    <row r="458" spans="1:43">
      <c r="A458" s="407">
        <f>Input!B451</f>
        <v>38416</v>
      </c>
      <c r="B458" s="419">
        <f t="shared" si="32"/>
        <v>62</v>
      </c>
      <c r="C458" s="411">
        <f>IF(Input!I451&lt;=0,"",Input!I451)</f>
        <v>0.98359335507564682</v>
      </c>
      <c r="D458" s="412" t="str">
        <f>IF(G458="","",Input!Q451)</f>
        <v/>
      </c>
      <c r="E458" s="412" t="str">
        <f>IF(ISERROR(Input!AA451),"",Input!AA451)</f>
        <v/>
      </c>
      <c r="F458" s="412" t="str">
        <f>IF(E458="","",Input!AQ451)</f>
        <v/>
      </c>
      <c r="G458" s="413" t="str">
        <f t="shared" si="29"/>
        <v/>
      </c>
      <c r="H458" s="413" t="str">
        <f t="shared" si="30"/>
        <v/>
      </c>
      <c r="I458" s="414">
        <f t="shared" si="31"/>
        <v>0</v>
      </c>
      <c r="J458" s="414">
        <f t="shared" si="31"/>
        <v>0</v>
      </c>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row>
    <row r="459" spans="1:43">
      <c r="A459" s="407">
        <f>Input!B452</f>
        <v>38417</v>
      </c>
      <c r="B459" s="419">
        <f t="shared" si="32"/>
        <v>62</v>
      </c>
      <c r="C459" s="411">
        <f>IF(Input!I452&lt;=0,"",Input!I452)</f>
        <v>1.2950054322307294</v>
      </c>
      <c r="D459" s="412" t="str">
        <f>IF(G459="","",Input!Q452)</f>
        <v/>
      </c>
      <c r="E459" s="412" t="str">
        <f>IF(ISERROR(Input!AA452),"",Input!AA452)</f>
        <v/>
      </c>
      <c r="F459" s="412" t="str">
        <f>IF(E459="","",Input!AQ452)</f>
        <v/>
      </c>
      <c r="G459" s="413" t="str">
        <f t="shared" si="29"/>
        <v/>
      </c>
      <c r="H459" s="413" t="str">
        <f t="shared" si="30"/>
        <v/>
      </c>
      <c r="I459" s="414">
        <f t="shared" si="31"/>
        <v>0</v>
      </c>
      <c r="J459" s="414">
        <f t="shared" si="31"/>
        <v>0</v>
      </c>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row>
    <row r="460" spans="1:43">
      <c r="A460" s="407">
        <f>Input!B453</f>
        <v>38418</v>
      </c>
      <c r="B460" s="419">
        <f t="shared" si="32"/>
        <v>62</v>
      </c>
      <c r="C460" s="411">
        <f>IF(Input!I453&lt;=0,"",Input!I453)</f>
        <v>1.5724939236484043</v>
      </c>
      <c r="D460" s="412" t="str">
        <f>IF(G460="","",Input!Q453)</f>
        <v/>
      </c>
      <c r="E460" s="412" t="str">
        <f>IF(ISERROR(Input!AA453),"",Input!AA453)</f>
        <v/>
      </c>
      <c r="F460" s="412" t="str">
        <f>IF(E460="","",Input!AQ453)</f>
        <v/>
      </c>
      <c r="G460" s="413" t="str">
        <f t="shared" si="29"/>
        <v/>
      </c>
      <c r="H460" s="413" t="str">
        <f t="shared" si="30"/>
        <v/>
      </c>
      <c r="I460" s="414">
        <f t="shared" si="31"/>
        <v>0</v>
      </c>
      <c r="J460" s="414">
        <f t="shared" si="31"/>
        <v>0</v>
      </c>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row>
    <row r="461" spans="1:43">
      <c r="A461" s="407">
        <f>Input!B454</f>
        <v>38419</v>
      </c>
      <c r="B461" s="419">
        <f t="shared" si="32"/>
        <v>62</v>
      </c>
      <c r="C461" s="411">
        <f>IF(Input!I454&lt;=0,"",Input!I454)</f>
        <v>1.0836619209021265</v>
      </c>
      <c r="D461" s="412" t="str">
        <f>IF(G461="","",Input!Q454)</f>
        <v/>
      </c>
      <c r="E461" s="412" t="str">
        <f>IF(ISERROR(Input!AA454),"",Input!AA454)</f>
        <v/>
      </c>
      <c r="F461" s="412" t="str">
        <f>IF(E461="","",Input!AQ454)</f>
        <v/>
      </c>
      <c r="G461" s="413" t="str">
        <f t="shared" si="29"/>
        <v/>
      </c>
      <c r="H461" s="413" t="str">
        <f t="shared" si="30"/>
        <v/>
      </c>
      <c r="I461" s="414">
        <f t="shared" si="31"/>
        <v>0</v>
      </c>
      <c r="J461" s="414">
        <f t="shared" si="31"/>
        <v>0</v>
      </c>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row>
    <row r="462" spans="1:43">
      <c r="A462" s="407">
        <f>Input!B455</f>
        <v>38420</v>
      </c>
      <c r="B462" s="419">
        <f t="shared" si="32"/>
        <v>62</v>
      </c>
      <c r="C462" s="411">
        <f>IF(Input!I455&lt;=0,"",Input!I455)</f>
        <v>1.1424230304692966</v>
      </c>
      <c r="D462" s="412" t="str">
        <f>IF(G462="","",Input!Q455)</f>
        <v/>
      </c>
      <c r="E462" s="412" t="str">
        <f>IF(ISERROR(Input!AA455),"",Input!AA455)</f>
        <v/>
      </c>
      <c r="F462" s="412" t="str">
        <f>IF(E462="","",Input!AQ455)</f>
        <v/>
      </c>
      <c r="G462" s="413" t="str">
        <f t="shared" si="29"/>
        <v/>
      </c>
      <c r="H462" s="413" t="str">
        <f t="shared" si="30"/>
        <v/>
      </c>
      <c r="I462" s="414">
        <f t="shared" si="31"/>
        <v>0</v>
      </c>
      <c r="J462" s="414">
        <f t="shared" si="31"/>
        <v>0</v>
      </c>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row>
    <row r="463" spans="1:43">
      <c r="A463" s="407">
        <f>Input!B456</f>
        <v>38421</v>
      </c>
      <c r="B463" s="419">
        <f t="shared" si="32"/>
        <v>63</v>
      </c>
      <c r="C463" s="411">
        <f>IF(Input!I456&lt;=0,"",Input!I456)</f>
        <v>1.3410329982487244</v>
      </c>
      <c r="D463" s="412" t="str">
        <f>IF(G463="","",Input!Q456)</f>
        <v/>
      </c>
      <c r="E463" s="412" t="str">
        <f>IF(ISERROR(Input!AA456),"",Input!AA456)</f>
        <v/>
      </c>
      <c r="F463" s="412" t="str">
        <f>IF(E463="","",Input!AQ456)</f>
        <v/>
      </c>
      <c r="G463" s="413" t="str">
        <f t="shared" si="29"/>
        <v/>
      </c>
      <c r="H463" s="413" t="str">
        <f t="shared" si="30"/>
        <v/>
      </c>
      <c r="I463" s="414">
        <f t="shared" si="31"/>
        <v>0</v>
      </c>
      <c r="J463" s="414">
        <f t="shared" si="31"/>
        <v>0</v>
      </c>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row>
    <row r="464" spans="1:43">
      <c r="A464" s="407">
        <f>Input!B457</f>
        <v>38422</v>
      </c>
      <c r="B464" s="419">
        <f t="shared" si="32"/>
        <v>63</v>
      </c>
      <c r="C464" s="411">
        <f>IF(Input!I457&lt;=0,"",Input!I457)</f>
        <v>1.1150450964331124</v>
      </c>
      <c r="D464" s="412" t="str">
        <f>IF(G464="","",Input!Q457)</f>
        <v/>
      </c>
      <c r="E464" s="412" t="str">
        <f>IF(ISERROR(Input!AA457),"",Input!AA457)</f>
        <v/>
      </c>
      <c r="F464" s="412" t="str">
        <f>IF(E464="","",Input!AQ457)</f>
        <v/>
      </c>
      <c r="G464" s="413" t="str">
        <f t="shared" si="29"/>
        <v/>
      </c>
      <c r="H464" s="413" t="str">
        <f t="shared" si="30"/>
        <v/>
      </c>
      <c r="I464" s="414">
        <f t="shared" si="31"/>
        <v>0</v>
      </c>
      <c r="J464" s="414">
        <f t="shared" si="31"/>
        <v>0</v>
      </c>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row>
    <row r="465" spans="1:43">
      <c r="A465" s="407">
        <f>Input!B458</f>
        <v>38423</v>
      </c>
      <c r="B465" s="419">
        <f t="shared" si="32"/>
        <v>63</v>
      </c>
      <c r="C465" s="411">
        <f>IF(Input!I458&lt;=0,"",Input!I458)</f>
        <v>1.6884894294026032</v>
      </c>
      <c r="D465" s="412" t="str">
        <f>IF(G465="","",Input!Q458)</f>
        <v/>
      </c>
      <c r="E465" s="412" t="str">
        <f>IF(ISERROR(Input!AA458),"",Input!AA458)</f>
        <v/>
      </c>
      <c r="F465" s="412" t="str">
        <f>IF(E465="","",Input!AQ458)</f>
        <v/>
      </c>
      <c r="G465" s="413" t="str">
        <f t="shared" si="29"/>
        <v/>
      </c>
      <c r="H465" s="413" t="str">
        <f t="shared" si="30"/>
        <v/>
      </c>
      <c r="I465" s="414">
        <f t="shared" si="31"/>
        <v>0</v>
      </c>
      <c r="J465" s="414">
        <f t="shared" si="31"/>
        <v>0</v>
      </c>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row>
    <row r="466" spans="1:43">
      <c r="A466" s="407">
        <f>Input!B459</f>
        <v>38424</v>
      </c>
      <c r="B466" s="419">
        <f t="shared" si="32"/>
        <v>63</v>
      </c>
      <c r="C466" s="411">
        <f>IF(Input!I459&lt;=0,"",Input!I459)</f>
        <v>1.5557057936289045</v>
      </c>
      <c r="D466" s="412" t="str">
        <f>IF(G466="","",Input!Q459)</f>
        <v/>
      </c>
      <c r="E466" s="412" t="str">
        <f>IF(ISERROR(Input!AA459),"",Input!AA459)</f>
        <v/>
      </c>
      <c r="F466" s="412" t="str">
        <f>IF(E466="","",Input!AQ459)</f>
        <v/>
      </c>
      <c r="G466" s="413" t="str">
        <f t="shared" si="29"/>
        <v/>
      </c>
      <c r="H466" s="413" t="str">
        <f t="shared" si="30"/>
        <v/>
      </c>
      <c r="I466" s="414">
        <f t="shared" si="31"/>
        <v>0</v>
      </c>
      <c r="J466" s="414">
        <f t="shared" si="31"/>
        <v>0</v>
      </c>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row>
    <row r="467" spans="1:43">
      <c r="A467" s="407">
        <f>Input!B460</f>
        <v>38425</v>
      </c>
      <c r="B467" s="419">
        <f t="shared" si="32"/>
        <v>63</v>
      </c>
      <c r="C467" s="411">
        <f>IF(Input!I460&lt;=0,"",Input!I460)</f>
        <v>1.3808451880317716</v>
      </c>
      <c r="D467" s="412" t="str">
        <f>IF(G467="","",Input!Q460)</f>
        <v/>
      </c>
      <c r="E467" s="412" t="str">
        <f>IF(ISERROR(Input!AA460),"",Input!AA460)</f>
        <v/>
      </c>
      <c r="F467" s="412" t="str">
        <f>IF(E467="","",Input!AQ460)</f>
        <v/>
      </c>
      <c r="G467" s="413" t="str">
        <f t="shared" si="29"/>
        <v/>
      </c>
      <c r="H467" s="413" t="str">
        <f t="shared" si="30"/>
        <v/>
      </c>
      <c r="I467" s="414">
        <f t="shared" si="31"/>
        <v>0</v>
      </c>
      <c r="J467" s="414">
        <f t="shared" si="31"/>
        <v>0</v>
      </c>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row>
    <row r="468" spans="1:43">
      <c r="A468" s="407">
        <f>Input!B461</f>
        <v>38426</v>
      </c>
      <c r="B468" s="419">
        <f t="shared" si="32"/>
        <v>63</v>
      </c>
      <c r="C468" s="411">
        <f>IF(Input!I461&lt;=0,"",Input!I461)</f>
        <v>1.4003264529478212</v>
      </c>
      <c r="D468" s="412" t="str">
        <f>IF(G468="","",Input!Q461)</f>
        <v/>
      </c>
      <c r="E468" s="412" t="str">
        <f>IF(ISERROR(Input!AA461),"",Input!AA461)</f>
        <v/>
      </c>
      <c r="F468" s="412" t="str">
        <f>IF(E468="","",Input!AQ461)</f>
        <v/>
      </c>
      <c r="G468" s="413" t="str">
        <f t="shared" si="29"/>
        <v/>
      </c>
      <c r="H468" s="413" t="str">
        <f t="shared" si="30"/>
        <v/>
      </c>
      <c r="I468" s="414">
        <f t="shared" si="31"/>
        <v>0</v>
      </c>
      <c r="J468" s="414">
        <f t="shared" si="31"/>
        <v>0</v>
      </c>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row>
    <row r="469" spans="1:43">
      <c r="A469" s="407">
        <f>Input!B462</f>
        <v>38427</v>
      </c>
      <c r="B469" s="419">
        <f t="shared" si="32"/>
        <v>63</v>
      </c>
      <c r="C469" s="411">
        <f>IF(Input!I462&lt;=0,"",Input!I462)</f>
        <v>0.98386499581817932</v>
      </c>
      <c r="D469" s="412" t="str">
        <f>IF(G469="","",Input!Q462)</f>
        <v/>
      </c>
      <c r="E469" s="412" t="str">
        <f>IF(ISERROR(Input!AA462),"",Input!AA462)</f>
        <v/>
      </c>
      <c r="F469" s="412" t="str">
        <f>IF(E469="","",Input!AQ462)</f>
        <v/>
      </c>
      <c r="G469" s="413" t="str">
        <f t="shared" si="29"/>
        <v/>
      </c>
      <c r="H469" s="413" t="str">
        <f t="shared" si="30"/>
        <v/>
      </c>
      <c r="I469" s="414">
        <f t="shared" si="31"/>
        <v>0</v>
      </c>
      <c r="J469" s="414">
        <f t="shared" si="31"/>
        <v>0</v>
      </c>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row>
    <row r="470" spans="1:43">
      <c r="A470" s="407">
        <f>Input!B463</f>
        <v>38428</v>
      </c>
      <c r="B470" s="419">
        <f t="shared" si="32"/>
        <v>64</v>
      </c>
      <c r="C470" s="411">
        <f>IF(Input!I463&lt;=0,"",Input!I463)</f>
        <v>1.3348911220504578</v>
      </c>
      <c r="D470" s="412" t="str">
        <f>IF(G470="","",Input!Q463)</f>
        <v/>
      </c>
      <c r="E470" s="412" t="str">
        <f>IF(ISERROR(Input!AA463),"",Input!AA463)</f>
        <v/>
      </c>
      <c r="F470" s="412" t="str">
        <f>IF(E470="","",Input!AQ463)</f>
        <v/>
      </c>
      <c r="G470" s="413" t="str">
        <f t="shared" si="29"/>
        <v/>
      </c>
      <c r="H470" s="413" t="str">
        <f t="shared" si="30"/>
        <v/>
      </c>
      <c r="I470" s="414">
        <f t="shared" si="31"/>
        <v>0</v>
      </c>
      <c r="J470" s="414">
        <f t="shared" si="31"/>
        <v>0</v>
      </c>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row>
    <row r="471" spans="1:43">
      <c r="A471" s="407">
        <f>Input!B464</f>
        <v>38429</v>
      </c>
      <c r="B471" s="419">
        <f t="shared" si="32"/>
        <v>64</v>
      </c>
      <c r="C471" s="411">
        <f>IF(Input!I464&lt;=0,"",Input!I464)</f>
        <v>1.3733747862333849</v>
      </c>
      <c r="D471" s="412" t="str">
        <f>IF(G471="","",Input!Q464)</f>
        <v/>
      </c>
      <c r="E471" s="412" t="str">
        <f>IF(ISERROR(Input!AA464),"",Input!AA464)</f>
        <v/>
      </c>
      <c r="F471" s="412" t="str">
        <f>IF(E471="","",Input!AQ464)</f>
        <v/>
      </c>
      <c r="G471" s="413" t="str">
        <f t="shared" si="29"/>
        <v/>
      </c>
      <c r="H471" s="413" t="str">
        <f t="shared" si="30"/>
        <v/>
      </c>
      <c r="I471" s="414">
        <f t="shared" si="31"/>
        <v>0</v>
      </c>
      <c r="J471" s="414">
        <f t="shared" si="31"/>
        <v>0</v>
      </c>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row>
    <row r="472" spans="1:43">
      <c r="A472" s="407">
        <f>Input!B465</f>
        <v>38430</v>
      </c>
      <c r="B472" s="419">
        <f t="shared" si="32"/>
        <v>64</v>
      </c>
      <c r="C472" s="411">
        <f>IF(Input!I465&lt;=0,"",Input!I465)</f>
        <v>1.5527441502753514</v>
      </c>
      <c r="D472" s="412" t="str">
        <f>IF(G472="","",Input!Q465)</f>
        <v/>
      </c>
      <c r="E472" s="412" t="str">
        <f>IF(ISERROR(Input!AA465),"",Input!AA465)</f>
        <v/>
      </c>
      <c r="F472" s="412" t="str">
        <f>IF(E472="","",Input!AQ465)</f>
        <v/>
      </c>
      <c r="G472" s="413" t="str">
        <f t="shared" si="29"/>
        <v/>
      </c>
      <c r="H472" s="413" t="str">
        <f t="shared" si="30"/>
        <v/>
      </c>
      <c r="I472" s="414">
        <f t="shared" si="31"/>
        <v>0</v>
      </c>
      <c r="J472" s="414">
        <f t="shared" si="31"/>
        <v>0</v>
      </c>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row>
    <row r="473" spans="1:43">
      <c r="A473" s="407">
        <f>Input!B466</f>
        <v>38431</v>
      </c>
      <c r="B473" s="419">
        <f t="shared" si="32"/>
        <v>64</v>
      </c>
      <c r="C473" s="411">
        <f>IF(Input!I466&lt;=0,"",Input!I466)</f>
        <v>1.2539160732494974</v>
      </c>
      <c r="D473" s="412" t="str">
        <f>IF(G473="","",Input!Q466)</f>
        <v/>
      </c>
      <c r="E473" s="412" t="str">
        <f>IF(ISERROR(Input!AA466),"",Input!AA466)</f>
        <v/>
      </c>
      <c r="F473" s="412" t="str">
        <f>IF(E473="","",Input!AQ466)</f>
        <v/>
      </c>
      <c r="G473" s="413" t="str">
        <f t="shared" si="29"/>
        <v/>
      </c>
      <c r="H473" s="413" t="str">
        <f t="shared" si="30"/>
        <v/>
      </c>
      <c r="I473" s="414">
        <f t="shared" si="31"/>
        <v>0</v>
      </c>
      <c r="J473" s="414">
        <f t="shared" si="31"/>
        <v>0</v>
      </c>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row>
    <row r="474" spans="1:43">
      <c r="A474" s="407">
        <f>Input!B467</f>
        <v>38432</v>
      </c>
      <c r="B474" s="419">
        <f t="shared" si="32"/>
        <v>64</v>
      </c>
      <c r="C474" s="411">
        <f>IF(Input!I467&lt;=0,"",Input!I467)</f>
        <v>0.47253029285191905</v>
      </c>
      <c r="D474" s="412" t="str">
        <f>IF(G474="","",Input!Q467)</f>
        <v/>
      </c>
      <c r="E474" s="412" t="str">
        <f>IF(ISERROR(Input!AA467),"",Input!AA467)</f>
        <v/>
      </c>
      <c r="F474" s="412" t="str">
        <f>IF(E474="","",Input!AQ467)</f>
        <v/>
      </c>
      <c r="G474" s="413" t="str">
        <f t="shared" si="29"/>
        <v/>
      </c>
      <c r="H474" s="413" t="str">
        <f t="shared" si="30"/>
        <v/>
      </c>
      <c r="I474" s="414">
        <f t="shared" si="31"/>
        <v>0</v>
      </c>
      <c r="J474" s="414">
        <f t="shared" si="31"/>
        <v>0</v>
      </c>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row>
    <row r="475" spans="1:43">
      <c r="A475" s="407">
        <f>Input!B468</f>
        <v>38433</v>
      </c>
      <c r="B475" s="419">
        <f t="shared" si="32"/>
        <v>64</v>
      </c>
      <c r="C475" s="411">
        <f>IF(Input!I468&lt;=0,"",Input!I468)</f>
        <v>1.4014913229730439</v>
      </c>
      <c r="D475" s="412" t="str">
        <f>IF(G475="","",Input!Q468)</f>
        <v/>
      </c>
      <c r="E475" s="412" t="str">
        <f>IF(ISERROR(Input!AA468),"",Input!AA468)</f>
        <v/>
      </c>
      <c r="F475" s="412" t="str">
        <f>IF(E475="","",Input!AQ468)</f>
        <v/>
      </c>
      <c r="G475" s="413" t="str">
        <f t="shared" si="29"/>
        <v/>
      </c>
      <c r="H475" s="413" t="str">
        <f t="shared" si="30"/>
        <v/>
      </c>
      <c r="I475" s="414">
        <f t="shared" si="31"/>
        <v>0</v>
      </c>
      <c r="J475" s="414">
        <f t="shared" si="31"/>
        <v>0</v>
      </c>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row>
    <row r="476" spans="1:43">
      <c r="A476" s="407">
        <f>Input!B469</f>
        <v>38434</v>
      </c>
      <c r="B476" s="419">
        <f t="shared" si="32"/>
        <v>64</v>
      </c>
      <c r="C476" s="411">
        <f>IF(Input!I469&lt;=0,"",Input!I469)</f>
        <v>1.8243026445582893</v>
      </c>
      <c r="D476" s="412" t="str">
        <f>IF(G476="","",Input!Q469)</f>
        <v/>
      </c>
      <c r="E476" s="412" t="str">
        <f>IF(ISERROR(Input!AA469),"",Input!AA469)</f>
        <v/>
      </c>
      <c r="F476" s="412" t="str">
        <f>IF(E476="","",Input!AQ469)</f>
        <v/>
      </c>
      <c r="G476" s="413" t="str">
        <f t="shared" si="29"/>
        <v/>
      </c>
      <c r="H476" s="413" t="str">
        <f t="shared" si="30"/>
        <v/>
      </c>
      <c r="I476" s="414">
        <f t="shared" si="31"/>
        <v>0</v>
      </c>
      <c r="J476" s="414">
        <f t="shared" si="31"/>
        <v>0</v>
      </c>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row>
    <row r="477" spans="1:43">
      <c r="A477" s="407">
        <f>Input!B470</f>
        <v>38435</v>
      </c>
      <c r="B477" s="419">
        <f t="shared" si="32"/>
        <v>65</v>
      </c>
      <c r="C477" s="411">
        <f>IF(Input!I470&lt;=0,"",Input!I470)</f>
        <v>0.49590084445667348</v>
      </c>
      <c r="D477" s="412" t="str">
        <f>IF(G477="","",Input!Q470)</f>
        <v/>
      </c>
      <c r="E477" s="412" t="str">
        <f>IF(ISERROR(Input!AA470),"",Input!AA470)</f>
        <v/>
      </c>
      <c r="F477" s="412" t="str">
        <f>IF(E477="","",Input!AQ470)</f>
        <v/>
      </c>
      <c r="G477" s="413" t="str">
        <f t="shared" si="29"/>
        <v/>
      </c>
      <c r="H477" s="413" t="str">
        <f t="shared" si="30"/>
        <v/>
      </c>
      <c r="I477" s="414">
        <f t="shared" si="31"/>
        <v>0</v>
      </c>
      <c r="J477" s="414">
        <f t="shared" si="31"/>
        <v>0</v>
      </c>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row>
    <row r="478" spans="1:43">
      <c r="A478" s="407">
        <f>Input!B471</f>
        <v>38436</v>
      </c>
      <c r="B478" s="419">
        <f t="shared" si="32"/>
        <v>65</v>
      </c>
      <c r="C478" s="411">
        <f>IF(Input!I471&lt;=0,"",Input!I471)</f>
        <v>1.5357753584385381</v>
      </c>
      <c r="D478" s="412" t="str">
        <f>IF(G478="","",Input!Q471)</f>
        <v/>
      </c>
      <c r="E478" s="412" t="str">
        <f>IF(ISERROR(Input!AA471),"",Input!AA471)</f>
        <v/>
      </c>
      <c r="F478" s="412" t="str">
        <f>IF(E478="","",Input!AQ471)</f>
        <v/>
      </c>
      <c r="G478" s="413" t="str">
        <f t="shared" ref="G478:G541" si="33">IF(E478="","",E478*C478)</f>
        <v/>
      </c>
      <c r="H478" s="413" t="str">
        <f t="shared" ref="H478:H541" si="34">IF(F478="","",F478*C478)</f>
        <v/>
      </c>
      <c r="I478" s="414">
        <f t="shared" ref="I478:J541" si="35">IF(G478="",0,IF(I477="",G478,I477+G478))</f>
        <v>0</v>
      </c>
      <c r="J478" s="414">
        <f t="shared" si="35"/>
        <v>0</v>
      </c>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row>
    <row r="479" spans="1:43">
      <c r="A479" s="407">
        <f>Input!B472</f>
        <v>38437</v>
      </c>
      <c r="B479" s="419">
        <f t="shared" si="32"/>
        <v>65</v>
      </c>
      <c r="C479" s="411">
        <f>IF(Input!I472&lt;=0,"",Input!I472)</f>
        <v>1.8042864664435185</v>
      </c>
      <c r="D479" s="412" t="str">
        <f>IF(G479="","",Input!Q472)</f>
        <v/>
      </c>
      <c r="E479" s="412" t="str">
        <f>IF(ISERROR(Input!AA472),"",Input!AA472)</f>
        <v/>
      </c>
      <c r="F479" s="412" t="str">
        <f>IF(E479="","",Input!AQ472)</f>
        <v/>
      </c>
      <c r="G479" s="413" t="str">
        <f t="shared" si="33"/>
        <v/>
      </c>
      <c r="H479" s="413" t="str">
        <f t="shared" si="34"/>
        <v/>
      </c>
      <c r="I479" s="414">
        <f t="shared" si="35"/>
        <v>0</v>
      </c>
      <c r="J479" s="414">
        <f t="shared" si="35"/>
        <v>0</v>
      </c>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row>
    <row r="480" spans="1:43">
      <c r="A480" s="407">
        <f>Input!B473</f>
        <v>38438</v>
      </c>
      <c r="B480" s="419">
        <f t="shared" si="32"/>
        <v>65</v>
      </c>
      <c r="C480" s="411">
        <f>IF(Input!I473&lt;=0,"",Input!I473)</f>
        <v>1.0646170170755511</v>
      </c>
      <c r="D480" s="412" t="str">
        <f>IF(G480="","",Input!Q473)</f>
        <v/>
      </c>
      <c r="E480" s="412" t="str">
        <f>IF(ISERROR(Input!AA473),"",Input!AA473)</f>
        <v/>
      </c>
      <c r="F480" s="412" t="str">
        <f>IF(E480="","",Input!AQ473)</f>
        <v/>
      </c>
      <c r="G480" s="413" t="str">
        <f t="shared" si="33"/>
        <v/>
      </c>
      <c r="H480" s="413" t="str">
        <f t="shared" si="34"/>
        <v/>
      </c>
      <c r="I480" s="414">
        <f t="shared" si="35"/>
        <v>0</v>
      </c>
      <c r="J480" s="414">
        <f t="shared" si="35"/>
        <v>0</v>
      </c>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row>
    <row r="481" spans="1:43">
      <c r="A481" s="407">
        <f>Input!B474</f>
        <v>38439</v>
      </c>
      <c r="B481" s="419">
        <f t="shared" si="32"/>
        <v>65</v>
      </c>
      <c r="C481" s="411">
        <f>IF(Input!I474&lt;=0,"",Input!I474)</f>
        <v>0.68732022495647926</v>
      </c>
      <c r="D481" s="412" t="str">
        <f>IF(G481="","",Input!Q474)</f>
        <v/>
      </c>
      <c r="E481" s="412" t="str">
        <f>IF(ISERROR(Input!AA474),"",Input!AA474)</f>
        <v/>
      </c>
      <c r="F481" s="412" t="str">
        <f>IF(E481="","",Input!AQ474)</f>
        <v/>
      </c>
      <c r="G481" s="413" t="str">
        <f t="shared" si="33"/>
        <v/>
      </c>
      <c r="H481" s="413" t="str">
        <f t="shared" si="34"/>
        <v/>
      </c>
      <c r="I481" s="414">
        <f t="shared" si="35"/>
        <v>0</v>
      </c>
      <c r="J481" s="414">
        <f t="shared" si="35"/>
        <v>0</v>
      </c>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row>
    <row r="482" spans="1:43">
      <c r="A482" s="407">
        <f>Input!B475</f>
        <v>38440</v>
      </c>
      <c r="B482" s="419">
        <f t="shared" si="32"/>
        <v>65</v>
      </c>
      <c r="C482" s="411">
        <f>IF(Input!I475&lt;=0,"",Input!I475)</f>
        <v>2.3931185072781882</v>
      </c>
      <c r="D482" s="412" t="str">
        <f>IF(G482="","",Input!Q475)</f>
        <v/>
      </c>
      <c r="E482" s="412" t="str">
        <f>IF(ISERROR(Input!AA475),"",Input!AA475)</f>
        <v/>
      </c>
      <c r="F482" s="412" t="str">
        <f>IF(E482="","",Input!AQ475)</f>
        <v/>
      </c>
      <c r="G482" s="413" t="str">
        <f t="shared" si="33"/>
        <v/>
      </c>
      <c r="H482" s="413" t="str">
        <f t="shared" si="34"/>
        <v/>
      </c>
      <c r="I482" s="414">
        <f t="shared" si="35"/>
        <v>0</v>
      </c>
      <c r="J482" s="414">
        <f t="shared" si="35"/>
        <v>0</v>
      </c>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row>
    <row r="483" spans="1:43">
      <c r="A483" s="407">
        <f>Input!B476</f>
        <v>38441</v>
      </c>
      <c r="B483" s="419">
        <f t="shared" si="32"/>
        <v>65</v>
      </c>
      <c r="C483" s="411">
        <f>IF(Input!I476&lt;=0,"",Input!I476)</f>
        <v>2.1526092770776621</v>
      </c>
      <c r="D483" s="412" t="str">
        <f>IF(G483="","",Input!Q476)</f>
        <v/>
      </c>
      <c r="E483" s="412" t="str">
        <f>IF(ISERROR(Input!AA476),"",Input!AA476)</f>
        <v/>
      </c>
      <c r="F483" s="412" t="str">
        <f>IF(E483="","",Input!AQ476)</f>
        <v/>
      </c>
      <c r="G483" s="413" t="str">
        <f t="shared" si="33"/>
        <v/>
      </c>
      <c r="H483" s="413" t="str">
        <f t="shared" si="34"/>
        <v/>
      </c>
      <c r="I483" s="414">
        <f t="shared" si="35"/>
        <v>0</v>
      </c>
      <c r="J483" s="414">
        <f t="shared" si="35"/>
        <v>0</v>
      </c>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row>
    <row r="484" spans="1:43">
      <c r="A484" s="407">
        <f>Input!B477</f>
        <v>38442</v>
      </c>
      <c r="B484" s="419">
        <f t="shared" si="32"/>
        <v>66</v>
      </c>
      <c r="C484" s="411">
        <f>IF(Input!I477&lt;=0,"",Input!I477)</f>
        <v>2.5106888403813876</v>
      </c>
      <c r="D484" s="412" t="str">
        <f>IF(G484="","",Input!Q477)</f>
        <v/>
      </c>
      <c r="E484" s="412" t="str">
        <f>IF(ISERROR(Input!AA477),"",Input!AA477)</f>
        <v/>
      </c>
      <c r="F484" s="412" t="str">
        <f>IF(E484="","",Input!AQ477)</f>
        <v/>
      </c>
      <c r="G484" s="413" t="str">
        <f t="shared" si="33"/>
        <v/>
      </c>
      <c r="H484" s="413" t="str">
        <f t="shared" si="34"/>
        <v/>
      </c>
      <c r="I484" s="414">
        <f t="shared" si="35"/>
        <v>0</v>
      </c>
      <c r="J484" s="414">
        <f t="shared" si="35"/>
        <v>0</v>
      </c>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row>
    <row r="485" spans="1:43">
      <c r="A485" s="407">
        <f>Input!B478</f>
        <v>38443</v>
      </c>
      <c r="B485" s="419">
        <f t="shared" ref="B485:B548" si="36">IF(MOD(A484-A$28,7)=0,B484+1,B484)</f>
        <v>66</v>
      </c>
      <c r="C485" s="411">
        <f>IF(Input!I478&lt;=0,"",Input!I478)</f>
        <v>0.93869359143232689</v>
      </c>
      <c r="D485" s="412" t="str">
        <f>IF(G485="","",Input!Q478)</f>
        <v/>
      </c>
      <c r="E485" s="412" t="str">
        <f>IF(ISERROR(Input!AA478),"",Input!AA478)</f>
        <v/>
      </c>
      <c r="F485" s="412" t="str">
        <f>IF(E485="","",Input!AQ478)</f>
        <v/>
      </c>
      <c r="G485" s="413" t="str">
        <f t="shared" si="33"/>
        <v/>
      </c>
      <c r="H485" s="413" t="str">
        <f t="shared" si="34"/>
        <v/>
      </c>
      <c r="I485" s="414">
        <f t="shared" si="35"/>
        <v>0</v>
      </c>
      <c r="J485" s="414">
        <f t="shared" si="35"/>
        <v>0</v>
      </c>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row>
    <row r="486" spans="1:43">
      <c r="A486" s="407">
        <f>Input!B479</f>
        <v>38444</v>
      </c>
      <c r="B486" s="419">
        <f t="shared" si="36"/>
        <v>66</v>
      </c>
      <c r="C486" s="411">
        <f>IF(Input!I479&lt;=0,"",Input!I479)</f>
        <v>1.6167318103592816</v>
      </c>
      <c r="D486" s="412" t="str">
        <f>IF(G486="","",Input!Q479)</f>
        <v/>
      </c>
      <c r="E486" s="412" t="str">
        <f>IF(ISERROR(Input!AA479),"",Input!AA479)</f>
        <v/>
      </c>
      <c r="F486" s="412" t="str">
        <f>IF(E486="","",Input!AQ479)</f>
        <v/>
      </c>
      <c r="G486" s="413" t="str">
        <f t="shared" si="33"/>
        <v/>
      </c>
      <c r="H486" s="413" t="str">
        <f t="shared" si="34"/>
        <v/>
      </c>
      <c r="I486" s="414">
        <f t="shared" si="35"/>
        <v>0</v>
      </c>
      <c r="J486" s="414">
        <f t="shared" si="35"/>
        <v>0</v>
      </c>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row>
    <row r="487" spans="1:43">
      <c r="A487" s="407">
        <f>Input!B480</f>
        <v>38445</v>
      </c>
      <c r="B487" s="419">
        <f t="shared" si="36"/>
        <v>66</v>
      </c>
      <c r="C487" s="411">
        <f>IF(Input!I480&lt;=0,"",Input!I480)</f>
        <v>1.8984918973670475</v>
      </c>
      <c r="D487" s="412" t="str">
        <f>IF(G487="","",Input!Q480)</f>
        <v/>
      </c>
      <c r="E487" s="412" t="str">
        <f>IF(ISERROR(Input!AA480),"",Input!AA480)</f>
        <v/>
      </c>
      <c r="F487" s="412" t="str">
        <f>IF(E487="","",Input!AQ480)</f>
        <v/>
      </c>
      <c r="G487" s="413" t="str">
        <f t="shared" si="33"/>
        <v/>
      </c>
      <c r="H487" s="413" t="str">
        <f t="shared" si="34"/>
        <v/>
      </c>
      <c r="I487" s="414">
        <f t="shared" si="35"/>
        <v>0</v>
      </c>
      <c r="J487" s="414">
        <f t="shared" si="35"/>
        <v>0</v>
      </c>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row>
    <row r="488" spans="1:43">
      <c r="A488" s="407">
        <f>Input!B481</f>
        <v>38446</v>
      </c>
      <c r="B488" s="419">
        <f t="shared" si="36"/>
        <v>66</v>
      </c>
      <c r="C488" s="411">
        <f>IF(Input!I481&lt;=0,"",Input!I481)</f>
        <v>2.1128725013730758</v>
      </c>
      <c r="D488" s="412" t="str">
        <f>IF(G488="","",Input!Q481)</f>
        <v/>
      </c>
      <c r="E488" s="412" t="str">
        <f>IF(ISERROR(Input!AA481),"",Input!AA481)</f>
        <v/>
      </c>
      <c r="F488" s="412" t="str">
        <f>IF(E488="","",Input!AQ481)</f>
        <v/>
      </c>
      <c r="G488" s="413" t="str">
        <f t="shared" si="33"/>
        <v/>
      </c>
      <c r="H488" s="413" t="str">
        <f t="shared" si="34"/>
        <v/>
      </c>
      <c r="I488" s="414">
        <f t="shared" si="35"/>
        <v>0</v>
      </c>
      <c r="J488" s="414">
        <f t="shared" si="35"/>
        <v>0</v>
      </c>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row>
    <row r="489" spans="1:43">
      <c r="A489" s="407">
        <f>Input!B482</f>
        <v>38447</v>
      </c>
      <c r="B489" s="419">
        <f t="shared" si="36"/>
        <v>66</v>
      </c>
      <c r="C489" s="411">
        <f>IF(Input!I482&lt;=0,"",Input!I482)</f>
        <v>0.44427184411836929</v>
      </c>
      <c r="D489" s="412" t="str">
        <f>IF(G489="","",Input!Q482)</f>
        <v/>
      </c>
      <c r="E489" s="412" t="str">
        <f>IF(ISERROR(Input!AA482),"",Input!AA482)</f>
        <v/>
      </c>
      <c r="F489" s="412" t="str">
        <f>IF(E489="","",Input!AQ482)</f>
        <v/>
      </c>
      <c r="G489" s="413" t="str">
        <f t="shared" si="33"/>
        <v/>
      </c>
      <c r="H489" s="413" t="str">
        <f t="shared" si="34"/>
        <v/>
      </c>
      <c r="I489" s="414">
        <f t="shared" si="35"/>
        <v>0</v>
      </c>
      <c r="J489" s="414">
        <f t="shared" si="35"/>
        <v>0</v>
      </c>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row>
    <row r="490" spans="1:43">
      <c r="A490" s="407">
        <f>Input!B483</f>
        <v>38448</v>
      </c>
      <c r="B490" s="419">
        <f t="shared" si="36"/>
        <v>66</v>
      </c>
      <c r="C490" s="411">
        <f>IF(Input!I483&lt;=0,"",Input!I483)</f>
        <v>1.2870475400541517</v>
      </c>
      <c r="D490" s="412" t="str">
        <f>IF(G490="","",Input!Q483)</f>
        <v/>
      </c>
      <c r="E490" s="412" t="str">
        <f>IF(ISERROR(Input!AA483),"",Input!AA483)</f>
        <v/>
      </c>
      <c r="F490" s="412" t="str">
        <f>IF(E490="","",Input!AQ483)</f>
        <v/>
      </c>
      <c r="G490" s="413" t="str">
        <f t="shared" si="33"/>
        <v/>
      </c>
      <c r="H490" s="413" t="str">
        <f t="shared" si="34"/>
        <v/>
      </c>
      <c r="I490" s="414">
        <f t="shared" si="35"/>
        <v>0</v>
      </c>
      <c r="J490" s="414">
        <f t="shared" si="35"/>
        <v>0</v>
      </c>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row>
    <row r="491" spans="1:43">
      <c r="A491" s="407">
        <f>Input!B484</f>
        <v>38449</v>
      </c>
      <c r="B491" s="419">
        <f t="shared" si="36"/>
        <v>67</v>
      </c>
      <c r="C491" s="411">
        <f>IF(Input!I484&lt;=0,"",Input!I484)</f>
        <v>1.8718532351116166</v>
      </c>
      <c r="D491" s="412" t="str">
        <f>IF(G491="","",Input!Q484)</f>
        <v/>
      </c>
      <c r="E491" s="412" t="str">
        <f>IF(ISERROR(Input!AA484),"",Input!AA484)</f>
        <v/>
      </c>
      <c r="F491" s="412" t="str">
        <f>IF(E491="","",Input!AQ484)</f>
        <v/>
      </c>
      <c r="G491" s="413" t="str">
        <f t="shared" si="33"/>
        <v/>
      </c>
      <c r="H491" s="413" t="str">
        <f t="shared" si="34"/>
        <v/>
      </c>
      <c r="I491" s="414">
        <f t="shared" si="35"/>
        <v>0</v>
      </c>
      <c r="J491" s="414">
        <f t="shared" si="35"/>
        <v>0</v>
      </c>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row>
    <row r="492" spans="1:43">
      <c r="A492" s="407">
        <f>Input!B485</f>
        <v>38450</v>
      </c>
      <c r="B492" s="419">
        <f t="shared" si="36"/>
        <v>67</v>
      </c>
      <c r="C492" s="411">
        <f>IF(Input!I485&lt;=0,"",Input!I485)</f>
        <v>2.4478030510786795</v>
      </c>
      <c r="D492" s="412" t="str">
        <f>IF(G492="","",Input!Q485)</f>
        <v/>
      </c>
      <c r="E492" s="412" t="str">
        <f>IF(ISERROR(Input!AA485),"",Input!AA485)</f>
        <v/>
      </c>
      <c r="F492" s="412" t="str">
        <f>IF(E492="","",Input!AQ485)</f>
        <v/>
      </c>
      <c r="G492" s="413" t="str">
        <f t="shared" si="33"/>
        <v/>
      </c>
      <c r="H492" s="413" t="str">
        <f t="shared" si="34"/>
        <v/>
      </c>
      <c r="I492" s="414">
        <f t="shared" si="35"/>
        <v>0</v>
      </c>
      <c r="J492" s="414">
        <f t="shared" si="35"/>
        <v>0</v>
      </c>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row>
    <row r="493" spans="1:43">
      <c r="A493" s="407">
        <f>Input!B486</f>
        <v>38451</v>
      </c>
      <c r="B493" s="419">
        <f t="shared" si="36"/>
        <v>67</v>
      </c>
      <c r="C493" s="411">
        <f>IF(Input!I486&lt;=0,"",Input!I486)</f>
        <v>0.46595535146604128</v>
      </c>
      <c r="D493" s="412" t="str">
        <f>IF(G493="","",Input!Q486)</f>
        <v/>
      </c>
      <c r="E493" s="412" t="str">
        <f>IF(ISERROR(Input!AA486),"",Input!AA486)</f>
        <v/>
      </c>
      <c r="F493" s="412" t="str">
        <f>IF(E493="","",Input!AQ486)</f>
        <v/>
      </c>
      <c r="G493" s="413" t="str">
        <f t="shared" si="33"/>
        <v/>
      </c>
      <c r="H493" s="413" t="str">
        <f t="shared" si="34"/>
        <v/>
      </c>
      <c r="I493" s="414">
        <f t="shared" si="35"/>
        <v>0</v>
      </c>
      <c r="J493" s="414">
        <f t="shared" si="35"/>
        <v>0</v>
      </c>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row>
    <row r="494" spans="1:43">
      <c r="A494" s="407">
        <f>Input!B487</f>
        <v>38452</v>
      </c>
      <c r="B494" s="419">
        <f t="shared" si="36"/>
        <v>67</v>
      </c>
      <c r="C494" s="411">
        <f>IF(Input!I487&lt;=0,"",Input!I487)</f>
        <v>0.54789851191428862</v>
      </c>
      <c r="D494" s="412" t="str">
        <f>IF(G494="","",Input!Q487)</f>
        <v/>
      </c>
      <c r="E494" s="412" t="str">
        <f>IF(ISERROR(Input!AA487),"",Input!AA487)</f>
        <v/>
      </c>
      <c r="F494" s="412" t="str">
        <f>IF(E494="","",Input!AQ487)</f>
        <v/>
      </c>
      <c r="G494" s="413" t="str">
        <f t="shared" si="33"/>
        <v/>
      </c>
      <c r="H494" s="413" t="str">
        <f t="shared" si="34"/>
        <v/>
      </c>
      <c r="I494" s="414">
        <f t="shared" si="35"/>
        <v>0</v>
      </c>
      <c r="J494" s="414">
        <f t="shared" si="35"/>
        <v>0</v>
      </c>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row>
    <row r="495" spans="1:43">
      <c r="A495" s="407">
        <f>Input!B488</f>
        <v>38453</v>
      </c>
      <c r="B495" s="419">
        <f t="shared" si="36"/>
        <v>67</v>
      </c>
      <c r="C495" s="411">
        <f>IF(Input!I488&lt;=0,"",Input!I488)</f>
        <v>1.5021347877701818</v>
      </c>
      <c r="D495" s="412" t="str">
        <f>IF(G495="","",Input!Q488)</f>
        <v/>
      </c>
      <c r="E495" s="412" t="str">
        <f>IF(ISERROR(Input!AA488),"",Input!AA488)</f>
        <v/>
      </c>
      <c r="F495" s="412" t="str">
        <f>IF(E495="","",Input!AQ488)</f>
        <v/>
      </c>
      <c r="G495" s="413" t="str">
        <f t="shared" si="33"/>
        <v/>
      </c>
      <c r="H495" s="413" t="str">
        <f t="shared" si="34"/>
        <v/>
      </c>
      <c r="I495" s="414">
        <f t="shared" si="35"/>
        <v>0</v>
      </c>
      <c r="J495" s="414">
        <f t="shared" si="35"/>
        <v>0</v>
      </c>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row>
    <row r="496" spans="1:43">
      <c r="A496" s="407">
        <f>Input!B489</f>
        <v>38454</v>
      </c>
      <c r="B496" s="419">
        <f t="shared" si="36"/>
        <v>67</v>
      </c>
      <c r="C496" s="411">
        <f>IF(Input!I489&lt;=0,"",Input!I489)</f>
        <v>1.4775161847336267</v>
      </c>
      <c r="D496" s="412" t="str">
        <f>IF(G496="","",Input!Q489)</f>
        <v/>
      </c>
      <c r="E496" s="412" t="str">
        <f>IF(ISERROR(Input!AA489),"",Input!AA489)</f>
        <v/>
      </c>
      <c r="F496" s="412" t="str">
        <f>IF(E496="","",Input!AQ489)</f>
        <v/>
      </c>
      <c r="G496" s="413" t="str">
        <f t="shared" si="33"/>
        <v/>
      </c>
      <c r="H496" s="413" t="str">
        <f t="shared" si="34"/>
        <v/>
      </c>
      <c r="I496" s="414">
        <f t="shared" si="35"/>
        <v>0</v>
      </c>
      <c r="J496" s="414">
        <f t="shared" si="35"/>
        <v>0</v>
      </c>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row>
    <row r="497" spans="1:43">
      <c r="A497" s="407">
        <f>Input!B490</f>
        <v>38455</v>
      </c>
      <c r="B497" s="419">
        <f t="shared" si="36"/>
        <v>67</v>
      </c>
      <c r="C497" s="411">
        <f>IF(Input!I490&lt;=0,"",Input!I490)</f>
        <v>2.3188094411304103</v>
      </c>
      <c r="D497" s="412" t="str">
        <f>IF(G497="","",Input!Q490)</f>
        <v/>
      </c>
      <c r="E497" s="412" t="str">
        <f>IF(ISERROR(Input!AA490),"",Input!AA490)</f>
        <v/>
      </c>
      <c r="F497" s="412" t="str">
        <f>IF(E497="","",Input!AQ490)</f>
        <v/>
      </c>
      <c r="G497" s="413" t="str">
        <f t="shared" si="33"/>
        <v/>
      </c>
      <c r="H497" s="413" t="str">
        <f t="shared" si="34"/>
        <v/>
      </c>
      <c r="I497" s="414">
        <f t="shared" si="35"/>
        <v>0</v>
      </c>
      <c r="J497" s="414">
        <f t="shared" si="35"/>
        <v>0</v>
      </c>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row>
    <row r="498" spans="1:43">
      <c r="A498" s="407">
        <f>Input!B491</f>
        <v>38456</v>
      </c>
      <c r="B498" s="419">
        <f t="shared" si="36"/>
        <v>68</v>
      </c>
      <c r="C498" s="411">
        <f>IF(Input!I491&lt;=0,"",Input!I491)</f>
        <v>2.3817274499732548</v>
      </c>
      <c r="D498" s="412" t="str">
        <f>IF(G498="","",Input!Q491)</f>
        <v/>
      </c>
      <c r="E498" s="412" t="str">
        <f>IF(ISERROR(Input!AA491),"",Input!AA491)</f>
        <v/>
      </c>
      <c r="F498" s="412" t="str">
        <f>IF(E498="","",Input!AQ491)</f>
        <v/>
      </c>
      <c r="G498" s="413" t="str">
        <f t="shared" si="33"/>
        <v/>
      </c>
      <c r="H498" s="413" t="str">
        <f t="shared" si="34"/>
        <v/>
      </c>
      <c r="I498" s="414">
        <f t="shared" si="35"/>
        <v>0</v>
      </c>
      <c r="J498" s="414">
        <f t="shared" si="35"/>
        <v>0</v>
      </c>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row>
    <row r="499" spans="1:43">
      <c r="A499" s="407">
        <f>Input!B492</f>
        <v>38457</v>
      </c>
      <c r="B499" s="419">
        <f t="shared" si="36"/>
        <v>68</v>
      </c>
      <c r="C499" s="411">
        <f>IF(Input!I492&lt;=0,"",Input!I492)</f>
        <v>1.2746820392788025</v>
      </c>
      <c r="D499" s="412" t="str">
        <f>IF(G499="","",Input!Q492)</f>
        <v/>
      </c>
      <c r="E499" s="412" t="str">
        <f>IF(ISERROR(Input!AA492),"",Input!AA492)</f>
        <v/>
      </c>
      <c r="F499" s="412" t="str">
        <f>IF(E499="","",Input!AQ492)</f>
        <v/>
      </c>
      <c r="G499" s="413" t="str">
        <f t="shared" si="33"/>
        <v/>
      </c>
      <c r="H499" s="413" t="str">
        <f t="shared" si="34"/>
        <v/>
      </c>
      <c r="I499" s="414">
        <f t="shared" si="35"/>
        <v>0</v>
      </c>
      <c r="J499" s="414">
        <f t="shared" si="35"/>
        <v>0</v>
      </c>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row>
    <row r="500" spans="1:43">
      <c r="A500" s="407">
        <f>Input!B493</f>
        <v>38458</v>
      </c>
      <c r="B500" s="419">
        <f t="shared" si="36"/>
        <v>68</v>
      </c>
      <c r="C500" s="411">
        <f>IF(Input!I493&lt;=0,"",Input!I493)</f>
        <v>1.7042348255788369</v>
      </c>
      <c r="D500" s="412" t="str">
        <f>IF(G500="","",Input!Q493)</f>
        <v/>
      </c>
      <c r="E500" s="412" t="str">
        <f>IF(ISERROR(Input!AA493),"",Input!AA493)</f>
        <v/>
      </c>
      <c r="F500" s="412" t="str">
        <f>IF(E500="","",Input!AQ493)</f>
        <v/>
      </c>
      <c r="G500" s="413" t="str">
        <f t="shared" si="33"/>
        <v/>
      </c>
      <c r="H500" s="413" t="str">
        <f t="shared" si="34"/>
        <v/>
      </c>
      <c r="I500" s="414">
        <f t="shared" si="35"/>
        <v>0</v>
      </c>
      <c r="J500" s="414">
        <f t="shared" si="35"/>
        <v>0</v>
      </c>
      <c r="K500" s="137"/>
      <c r="L500" s="137"/>
      <c r="M500" s="137"/>
      <c r="N500" s="137"/>
      <c r="O500" s="137"/>
      <c r="P500" s="137"/>
      <c r="Q500" s="137"/>
      <c r="R500" s="137"/>
      <c r="S500" s="137"/>
      <c r="T500" s="137"/>
      <c r="U500" s="137"/>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row>
    <row r="501" spans="1:43">
      <c r="A501" s="407">
        <f>Input!B494</f>
        <v>38459</v>
      </c>
      <c r="B501" s="419">
        <f t="shared" si="36"/>
        <v>68</v>
      </c>
      <c r="C501" s="411">
        <f>IF(Input!I494&lt;=0,"",Input!I494)</f>
        <v>0.75456294317937433</v>
      </c>
      <c r="D501" s="412" t="str">
        <f>IF(G501="","",Input!Q494)</f>
        <v/>
      </c>
      <c r="E501" s="412" t="str">
        <f>IF(ISERROR(Input!AA494),"",Input!AA494)</f>
        <v/>
      </c>
      <c r="F501" s="412" t="str">
        <f>IF(E501="","",Input!AQ494)</f>
        <v/>
      </c>
      <c r="G501" s="413" t="str">
        <f t="shared" si="33"/>
        <v/>
      </c>
      <c r="H501" s="413" t="str">
        <f t="shared" si="34"/>
        <v/>
      </c>
      <c r="I501" s="414">
        <f t="shared" si="35"/>
        <v>0</v>
      </c>
      <c r="J501" s="414">
        <f t="shared" si="35"/>
        <v>0</v>
      </c>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row>
    <row r="502" spans="1:43">
      <c r="A502" s="407">
        <f>Input!B495</f>
        <v>38460</v>
      </c>
      <c r="B502" s="419">
        <f t="shared" si="36"/>
        <v>68</v>
      </c>
      <c r="C502" s="411">
        <f>IF(Input!I495&lt;=0,"",Input!I495)</f>
        <v>1.6714663384207553</v>
      </c>
      <c r="D502" s="412" t="str">
        <f>IF(G502="","",Input!Q495)</f>
        <v/>
      </c>
      <c r="E502" s="412" t="str">
        <f>IF(ISERROR(Input!AA495),"",Input!AA495)</f>
        <v/>
      </c>
      <c r="F502" s="412" t="str">
        <f>IF(E502="","",Input!AQ495)</f>
        <v/>
      </c>
      <c r="G502" s="413" t="str">
        <f t="shared" si="33"/>
        <v/>
      </c>
      <c r="H502" s="413" t="str">
        <f t="shared" si="34"/>
        <v/>
      </c>
      <c r="I502" s="414">
        <f t="shared" si="35"/>
        <v>0</v>
      </c>
      <c r="J502" s="414">
        <f t="shared" si="35"/>
        <v>0</v>
      </c>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row>
    <row r="503" spans="1:43">
      <c r="A503" s="407">
        <f>Input!B496</f>
        <v>38461</v>
      </c>
      <c r="B503" s="419">
        <f t="shared" si="36"/>
        <v>68</v>
      </c>
      <c r="C503" s="411">
        <f>IF(Input!I496&lt;=0,"",Input!I496)</f>
        <v>2.3496203991815219</v>
      </c>
      <c r="D503" s="412" t="str">
        <f>IF(G503="","",Input!Q496)</f>
        <v/>
      </c>
      <c r="E503" s="412" t="str">
        <f>IF(ISERROR(Input!AA496),"",Input!AA496)</f>
        <v/>
      </c>
      <c r="F503" s="412" t="str">
        <f>IF(E503="","",Input!AQ496)</f>
        <v/>
      </c>
      <c r="G503" s="413" t="str">
        <f t="shared" si="33"/>
        <v/>
      </c>
      <c r="H503" s="413" t="str">
        <f t="shared" si="34"/>
        <v/>
      </c>
      <c r="I503" s="414">
        <f t="shared" si="35"/>
        <v>0</v>
      </c>
      <c r="J503" s="414">
        <f t="shared" si="35"/>
        <v>0</v>
      </c>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row>
    <row r="504" spans="1:43">
      <c r="A504" s="407">
        <f>Input!B497</f>
        <v>38462</v>
      </c>
      <c r="B504" s="419">
        <f t="shared" si="36"/>
        <v>68</v>
      </c>
      <c r="C504" s="411">
        <f>IF(Input!I497&lt;=0,"",Input!I497)</f>
        <v>2.1232463360499847</v>
      </c>
      <c r="D504" s="412" t="str">
        <f>IF(G504="","",Input!Q497)</f>
        <v/>
      </c>
      <c r="E504" s="412" t="str">
        <f>IF(ISERROR(Input!AA497),"",Input!AA497)</f>
        <v/>
      </c>
      <c r="F504" s="412" t="str">
        <f>IF(E504="","",Input!AQ497)</f>
        <v/>
      </c>
      <c r="G504" s="413" t="str">
        <f t="shared" si="33"/>
        <v/>
      </c>
      <c r="H504" s="413" t="str">
        <f t="shared" si="34"/>
        <v/>
      </c>
      <c r="I504" s="414">
        <f t="shared" si="35"/>
        <v>0</v>
      </c>
      <c r="J504" s="414">
        <f t="shared" si="35"/>
        <v>0</v>
      </c>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row>
    <row r="505" spans="1:43">
      <c r="A505" s="407">
        <f>Input!B498</f>
        <v>38463</v>
      </c>
      <c r="B505" s="419">
        <f t="shared" si="36"/>
        <v>69</v>
      </c>
      <c r="C505" s="411">
        <f>IF(Input!I498&lt;=0,"",Input!I498)</f>
        <v>2.3856445539884792</v>
      </c>
      <c r="D505" s="412" t="str">
        <f>IF(G505="","",Input!Q498)</f>
        <v/>
      </c>
      <c r="E505" s="412" t="str">
        <f>IF(ISERROR(Input!AA498),"",Input!AA498)</f>
        <v/>
      </c>
      <c r="F505" s="412" t="str">
        <f>IF(E505="","",Input!AQ498)</f>
        <v/>
      </c>
      <c r="G505" s="413" t="str">
        <f t="shared" si="33"/>
        <v/>
      </c>
      <c r="H505" s="413" t="str">
        <f t="shared" si="34"/>
        <v/>
      </c>
      <c r="I505" s="414">
        <f t="shared" si="35"/>
        <v>0</v>
      </c>
      <c r="J505" s="414">
        <f t="shared" si="35"/>
        <v>0</v>
      </c>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row>
    <row r="506" spans="1:43">
      <c r="A506" s="407">
        <f>Input!B499</f>
        <v>38464</v>
      </c>
      <c r="B506" s="419">
        <f t="shared" si="36"/>
        <v>69</v>
      </c>
      <c r="C506" s="411">
        <f>IF(Input!I499&lt;=0,"",Input!I499)</f>
        <v>2.5681773320425307</v>
      </c>
      <c r="D506" s="412" t="str">
        <f>IF(G506="","",Input!Q499)</f>
        <v/>
      </c>
      <c r="E506" s="412" t="str">
        <f>IF(ISERROR(Input!AA499),"",Input!AA499)</f>
        <v/>
      </c>
      <c r="F506" s="412" t="str">
        <f>IF(E506="","",Input!AQ499)</f>
        <v/>
      </c>
      <c r="G506" s="413" t="str">
        <f t="shared" si="33"/>
        <v/>
      </c>
      <c r="H506" s="413" t="str">
        <f t="shared" si="34"/>
        <v/>
      </c>
      <c r="I506" s="414">
        <f t="shared" si="35"/>
        <v>0</v>
      </c>
      <c r="J506" s="414">
        <f t="shared" si="35"/>
        <v>0</v>
      </c>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row>
    <row r="507" spans="1:43">
      <c r="A507" s="407">
        <f>Input!B500</f>
        <v>38465</v>
      </c>
      <c r="B507" s="419">
        <f t="shared" si="36"/>
        <v>69</v>
      </c>
      <c r="C507" s="411">
        <f>IF(Input!I500&lt;=0,"",Input!I500)</f>
        <v>2.6660228759485736</v>
      </c>
      <c r="D507" s="412" t="str">
        <f>IF(G507="","",Input!Q500)</f>
        <v/>
      </c>
      <c r="E507" s="412" t="str">
        <f>IF(ISERROR(Input!AA500),"",Input!AA500)</f>
        <v/>
      </c>
      <c r="F507" s="412" t="str">
        <f>IF(E507="","",Input!AQ500)</f>
        <v/>
      </c>
      <c r="G507" s="413" t="str">
        <f t="shared" si="33"/>
        <v/>
      </c>
      <c r="H507" s="413" t="str">
        <f t="shared" si="34"/>
        <v/>
      </c>
      <c r="I507" s="414">
        <f t="shared" si="35"/>
        <v>0</v>
      </c>
      <c r="J507" s="414">
        <f t="shared" si="35"/>
        <v>0</v>
      </c>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row>
    <row r="508" spans="1:43">
      <c r="A508" s="407">
        <f>Input!B501</f>
        <v>38466</v>
      </c>
      <c r="B508" s="419">
        <f t="shared" si="36"/>
        <v>69</v>
      </c>
      <c r="C508" s="411">
        <f>IF(Input!I501&lt;=0,"",Input!I501)</f>
        <v>2.2909912187436534</v>
      </c>
      <c r="D508" s="412" t="str">
        <f>IF(G508="","",Input!Q501)</f>
        <v/>
      </c>
      <c r="E508" s="412" t="str">
        <f>IF(ISERROR(Input!AA501),"",Input!AA501)</f>
        <v/>
      </c>
      <c r="F508" s="412" t="str">
        <f>IF(E508="","",Input!AQ501)</f>
        <v/>
      </c>
      <c r="G508" s="413" t="str">
        <f t="shared" si="33"/>
        <v/>
      </c>
      <c r="H508" s="413" t="str">
        <f t="shared" si="34"/>
        <v/>
      </c>
      <c r="I508" s="414">
        <f t="shared" si="35"/>
        <v>0</v>
      </c>
      <c r="J508" s="414">
        <f t="shared" si="35"/>
        <v>0</v>
      </c>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row>
    <row r="509" spans="1:43">
      <c r="A509" s="407">
        <f>Input!B502</f>
        <v>38467</v>
      </c>
      <c r="B509" s="419">
        <f t="shared" si="36"/>
        <v>69</v>
      </c>
      <c r="C509" s="411">
        <f>IF(Input!I502&lt;=0,"",Input!I502)</f>
        <v>1.7423348114641519</v>
      </c>
      <c r="D509" s="412" t="str">
        <f>IF(G509="","",Input!Q502)</f>
        <v/>
      </c>
      <c r="E509" s="412" t="str">
        <f>IF(ISERROR(Input!AA502),"",Input!AA502)</f>
        <v/>
      </c>
      <c r="F509" s="412" t="str">
        <f>IF(E509="","",Input!AQ502)</f>
        <v/>
      </c>
      <c r="G509" s="413" t="str">
        <f t="shared" si="33"/>
        <v/>
      </c>
      <c r="H509" s="413" t="str">
        <f t="shared" si="34"/>
        <v/>
      </c>
      <c r="I509" s="414">
        <f t="shared" si="35"/>
        <v>0</v>
      </c>
      <c r="J509" s="414">
        <f t="shared" si="35"/>
        <v>0</v>
      </c>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row>
    <row r="510" spans="1:43">
      <c r="A510" s="407">
        <f>Input!B503</f>
        <v>38468</v>
      </c>
      <c r="B510" s="419">
        <f t="shared" si="36"/>
        <v>69</v>
      </c>
      <c r="C510" s="411">
        <f>IF(Input!I503&lt;=0,"",Input!I503)</f>
        <v>0.3063071784918493</v>
      </c>
      <c r="D510" s="412" t="str">
        <f>IF(G510="","",Input!Q503)</f>
        <v/>
      </c>
      <c r="E510" s="412" t="str">
        <f>IF(ISERROR(Input!AA503),"",Input!AA503)</f>
        <v/>
      </c>
      <c r="F510" s="412" t="str">
        <f>IF(E510="","",Input!AQ503)</f>
        <v/>
      </c>
      <c r="G510" s="413" t="str">
        <f t="shared" si="33"/>
        <v/>
      </c>
      <c r="H510" s="413" t="str">
        <f t="shared" si="34"/>
        <v/>
      </c>
      <c r="I510" s="414">
        <f t="shared" si="35"/>
        <v>0</v>
      </c>
      <c r="J510" s="414">
        <f t="shared" si="35"/>
        <v>0</v>
      </c>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row>
    <row r="511" spans="1:43">
      <c r="A511" s="407">
        <f>Input!B504</f>
        <v>38469</v>
      </c>
      <c r="B511" s="419">
        <f t="shared" si="36"/>
        <v>69</v>
      </c>
      <c r="C511" s="411">
        <f>IF(Input!I504&lt;=0,"",Input!I504)</f>
        <v>0.21108337461382062</v>
      </c>
      <c r="D511" s="412" t="str">
        <f>IF(G511="","",Input!Q504)</f>
        <v/>
      </c>
      <c r="E511" s="412" t="str">
        <f>IF(ISERROR(Input!AA504),"",Input!AA504)</f>
        <v/>
      </c>
      <c r="F511" s="412" t="str">
        <f>IF(E511="","",Input!AQ504)</f>
        <v/>
      </c>
      <c r="G511" s="413" t="str">
        <f t="shared" si="33"/>
        <v/>
      </c>
      <c r="H511" s="413" t="str">
        <f t="shared" si="34"/>
        <v/>
      </c>
      <c r="I511" s="414">
        <f t="shared" si="35"/>
        <v>0</v>
      </c>
      <c r="J511" s="414">
        <f t="shared" si="35"/>
        <v>0</v>
      </c>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row>
    <row r="512" spans="1:43">
      <c r="A512" s="407">
        <f>Input!B505</f>
        <v>38470</v>
      </c>
      <c r="B512" s="419">
        <f t="shared" si="36"/>
        <v>70</v>
      </c>
      <c r="C512" s="411">
        <f>IF(Input!I505&lt;=0,"",Input!I505)</f>
        <v>0.15562453823735539</v>
      </c>
      <c r="D512" s="412" t="str">
        <f>IF(G512="","",Input!Q505)</f>
        <v/>
      </c>
      <c r="E512" s="412" t="str">
        <f>IF(ISERROR(Input!AA505),"",Input!AA505)</f>
        <v/>
      </c>
      <c r="F512" s="412" t="str">
        <f>IF(E512="","",Input!AQ505)</f>
        <v/>
      </c>
      <c r="G512" s="413" t="str">
        <f t="shared" si="33"/>
        <v/>
      </c>
      <c r="H512" s="413" t="str">
        <f t="shared" si="34"/>
        <v/>
      </c>
      <c r="I512" s="414">
        <f t="shared" si="35"/>
        <v>0</v>
      </c>
      <c r="J512" s="414">
        <f t="shared" si="35"/>
        <v>0</v>
      </c>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row>
    <row r="513" spans="1:43">
      <c r="A513" s="407">
        <f>Input!B506</f>
        <v>38471</v>
      </c>
      <c r="B513" s="419">
        <f t="shared" si="36"/>
        <v>70</v>
      </c>
      <c r="C513" s="411">
        <f>IF(Input!I506&lt;=0,"",Input!I506)</f>
        <v>0.19878373475728461</v>
      </c>
      <c r="D513" s="412" t="str">
        <f>IF(G513="","",Input!Q506)</f>
        <v/>
      </c>
      <c r="E513" s="412" t="str">
        <f>IF(ISERROR(Input!AA506),"",Input!AA506)</f>
        <v/>
      </c>
      <c r="F513" s="412" t="str">
        <f>IF(E513="","",Input!AQ506)</f>
        <v/>
      </c>
      <c r="G513" s="413" t="str">
        <f t="shared" si="33"/>
        <v/>
      </c>
      <c r="H513" s="413" t="str">
        <f t="shared" si="34"/>
        <v/>
      </c>
      <c r="I513" s="414">
        <f t="shared" si="35"/>
        <v>0</v>
      </c>
      <c r="J513" s="414">
        <f t="shared" si="35"/>
        <v>0</v>
      </c>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row>
    <row r="514" spans="1:43">
      <c r="A514" s="407">
        <f>Input!B507</f>
        <v>38472</v>
      </c>
      <c r="B514" s="419">
        <f t="shared" si="36"/>
        <v>70</v>
      </c>
      <c r="C514" s="411">
        <f>IF(Input!I507&lt;=0,"",Input!I507)</f>
        <v>0.18408138027917034</v>
      </c>
      <c r="D514" s="412" t="str">
        <f>IF(G514="","",Input!Q507)</f>
        <v/>
      </c>
      <c r="E514" s="412" t="str">
        <f>IF(ISERROR(Input!AA507),"",Input!AA507)</f>
        <v/>
      </c>
      <c r="F514" s="412" t="str">
        <f>IF(E514="","",Input!AQ507)</f>
        <v/>
      </c>
      <c r="G514" s="413" t="str">
        <f t="shared" si="33"/>
        <v/>
      </c>
      <c r="H514" s="413" t="str">
        <f t="shared" si="34"/>
        <v/>
      </c>
      <c r="I514" s="414">
        <f t="shared" si="35"/>
        <v>0</v>
      </c>
      <c r="J514" s="414">
        <f t="shared" si="35"/>
        <v>0</v>
      </c>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row>
    <row r="515" spans="1:43">
      <c r="A515" s="407">
        <f>Input!B508</f>
        <v>38473</v>
      </c>
      <c r="B515" s="419">
        <f t="shared" si="36"/>
        <v>70</v>
      </c>
      <c r="C515" s="411">
        <f>IF(Input!I508&lt;=0,"",Input!I508)</f>
        <v>0.12965692950090307</v>
      </c>
      <c r="D515" s="412" t="str">
        <f>IF(G515="","",Input!Q508)</f>
        <v/>
      </c>
      <c r="E515" s="412" t="str">
        <f>IF(ISERROR(Input!AA508),"",Input!AA508)</f>
        <v/>
      </c>
      <c r="F515" s="412" t="str">
        <f>IF(E515="","",Input!AQ508)</f>
        <v/>
      </c>
      <c r="G515" s="413" t="str">
        <f t="shared" si="33"/>
        <v/>
      </c>
      <c r="H515" s="413" t="str">
        <f t="shared" si="34"/>
        <v/>
      </c>
      <c r="I515" s="414">
        <f t="shared" si="35"/>
        <v>0</v>
      </c>
      <c r="J515" s="414">
        <f t="shared" si="35"/>
        <v>0</v>
      </c>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row>
    <row r="516" spans="1:43">
      <c r="A516" s="407">
        <f>Input!B509</f>
        <v>38474</v>
      </c>
      <c r="B516" s="419">
        <f t="shared" si="36"/>
        <v>70</v>
      </c>
      <c r="C516" s="411">
        <f>IF(Input!I509&lt;=0,"",Input!I509)</f>
        <v>0.1468710709433419</v>
      </c>
      <c r="D516" s="412" t="str">
        <f>IF(G516="","",Input!Q509)</f>
        <v/>
      </c>
      <c r="E516" s="412" t="str">
        <f>IF(ISERROR(Input!AA509),"",Input!AA509)</f>
        <v/>
      </c>
      <c r="F516" s="412" t="str">
        <f>IF(E516="","",Input!AQ509)</f>
        <v/>
      </c>
      <c r="G516" s="413" t="str">
        <f t="shared" si="33"/>
        <v/>
      </c>
      <c r="H516" s="413" t="str">
        <f t="shared" si="34"/>
        <v/>
      </c>
      <c r="I516" s="414">
        <f t="shared" si="35"/>
        <v>0</v>
      </c>
      <c r="J516" s="414">
        <f t="shared" si="35"/>
        <v>0</v>
      </c>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row>
    <row r="517" spans="1:43">
      <c r="A517" s="407">
        <f>Input!B510</f>
        <v>38475</v>
      </c>
      <c r="B517" s="419">
        <f t="shared" si="36"/>
        <v>70</v>
      </c>
      <c r="C517" s="411">
        <f>IF(Input!I510&lt;=0,"",Input!I510)</f>
        <v>2.7175793432871416</v>
      </c>
      <c r="D517" s="412" t="str">
        <f>IF(G517="","",Input!Q510)</f>
        <v/>
      </c>
      <c r="E517" s="412" t="str">
        <f>IF(ISERROR(Input!AA510),"",Input!AA510)</f>
        <v/>
      </c>
      <c r="F517" s="412" t="str">
        <f>IF(E517="","",Input!AQ510)</f>
        <v/>
      </c>
      <c r="G517" s="413" t="str">
        <f t="shared" si="33"/>
        <v/>
      </c>
      <c r="H517" s="413" t="str">
        <f t="shared" si="34"/>
        <v/>
      </c>
      <c r="I517" s="414">
        <f t="shared" si="35"/>
        <v>0</v>
      </c>
      <c r="J517" s="414">
        <f t="shared" si="35"/>
        <v>0</v>
      </c>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row>
    <row r="518" spans="1:43">
      <c r="A518" s="407">
        <f>Input!B511</f>
        <v>38476</v>
      </c>
      <c r="B518" s="419">
        <f t="shared" si="36"/>
        <v>70</v>
      </c>
      <c r="C518" s="411">
        <f>IF(Input!I511&lt;=0,"",Input!I511)</f>
        <v>3.2908053176774832</v>
      </c>
      <c r="D518" s="412" t="str">
        <f>IF(G518="","",Input!Q511)</f>
        <v/>
      </c>
      <c r="E518" s="412" t="str">
        <f>IF(ISERROR(Input!AA511),"",Input!AA511)</f>
        <v/>
      </c>
      <c r="F518" s="412" t="str">
        <f>IF(E518="","",Input!AQ511)</f>
        <v/>
      </c>
      <c r="G518" s="413" t="str">
        <f t="shared" si="33"/>
        <v/>
      </c>
      <c r="H518" s="413" t="str">
        <f t="shared" si="34"/>
        <v/>
      </c>
      <c r="I518" s="414">
        <f t="shared" si="35"/>
        <v>0</v>
      </c>
      <c r="J518" s="414">
        <f t="shared" si="35"/>
        <v>0</v>
      </c>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row>
    <row r="519" spans="1:43">
      <c r="A519" s="407">
        <f>Input!B512</f>
        <v>38477</v>
      </c>
      <c r="B519" s="419">
        <f t="shared" si="36"/>
        <v>71</v>
      </c>
      <c r="C519" s="411">
        <f>IF(Input!I512&lt;=0,"",Input!I512)</f>
        <v>1.9868260661321759</v>
      </c>
      <c r="D519" s="412" t="str">
        <f>IF(G519="","",Input!Q512)</f>
        <v/>
      </c>
      <c r="E519" s="412" t="str">
        <f>IF(ISERROR(Input!AA512),"",Input!AA512)</f>
        <v/>
      </c>
      <c r="F519" s="412" t="str">
        <f>IF(E519="","",Input!AQ512)</f>
        <v/>
      </c>
      <c r="G519" s="413" t="str">
        <f t="shared" si="33"/>
        <v/>
      </c>
      <c r="H519" s="413" t="str">
        <f t="shared" si="34"/>
        <v/>
      </c>
      <c r="I519" s="414">
        <f t="shared" si="35"/>
        <v>0</v>
      </c>
      <c r="J519" s="414">
        <f t="shared" si="35"/>
        <v>0</v>
      </c>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row>
    <row r="520" spans="1:43">
      <c r="A520" s="407">
        <f>Input!B513</f>
        <v>38478</v>
      </c>
      <c r="B520" s="419">
        <f t="shared" si="36"/>
        <v>71</v>
      </c>
      <c r="C520" s="411">
        <f>IF(Input!I513&lt;=0,"",Input!I513)</f>
        <v>2.9434706790229859</v>
      </c>
      <c r="D520" s="412" t="str">
        <f>IF(G520="","",Input!Q513)</f>
        <v/>
      </c>
      <c r="E520" s="412" t="str">
        <f>IF(ISERROR(Input!AA513),"",Input!AA513)</f>
        <v/>
      </c>
      <c r="F520" s="412" t="str">
        <f>IF(E520="","",Input!AQ513)</f>
        <v/>
      </c>
      <c r="G520" s="413" t="str">
        <f t="shared" si="33"/>
        <v/>
      </c>
      <c r="H520" s="413" t="str">
        <f t="shared" si="34"/>
        <v/>
      </c>
      <c r="I520" s="414">
        <f t="shared" si="35"/>
        <v>0</v>
      </c>
      <c r="J520" s="414">
        <f t="shared" si="35"/>
        <v>0</v>
      </c>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row>
    <row r="521" spans="1:43">
      <c r="A521" s="407">
        <f>Input!B514</f>
        <v>38479</v>
      </c>
      <c r="B521" s="419">
        <f t="shared" si="36"/>
        <v>71</v>
      </c>
      <c r="C521" s="411">
        <f>IF(Input!I514&lt;=0,"",Input!I514)</f>
        <v>3.3627214264420116</v>
      </c>
      <c r="D521" s="412" t="str">
        <f>IF(G521="","",Input!Q514)</f>
        <v/>
      </c>
      <c r="E521" s="412" t="str">
        <f>IF(ISERROR(Input!AA514),"",Input!AA514)</f>
        <v/>
      </c>
      <c r="F521" s="412" t="str">
        <f>IF(E521="","",Input!AQ514)</f>
        <v/>
      </c>
      <c r="G521" s="413" t="str">
        <f t="shared" si="33"/>
        <v/>
      </c>
      <c r="H521" s="413" t="str">
        <f t="shared" si="34"/>
        <v/>
      </c>
      <c r="I521" s="414">
        <f t="shared" si="35"/>
        <v>0</v>
      </c>
      <c r="J521" s="414">
        <f t="shared" si="35"/>
        <v>0</v>
      </c>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row>
    <row r="522" spans="1:43">
      <c r="A522" s="407">
        <f>Input!B515</f>
        <v>38480</v>
      </c>
      <c r="B522" s="419">
        <f t="shared" si="36"/>
        <v>71</v>
      </c>
      <c r="C522" s="411">
        <f>IF(Input!I515&lt;=0,"",Input!I515)</f>
        <v>1.8421522137245261</v>
      </c>
      <c r="D522" s="412" t="str">
        <f>IF(G522="","",Input!Q515)</f>
        <v/>
      </c>
      <c r="E522" s="412" t="str">
        <f>IF(ISERROR(Input!AA515),"",Input!AA515)</f>
        <v/>
      </c>
      <c r="F522" s="412" t="str">
        <f>IF(E522="","",Input!AQ515)</f>
        <v/>
      </c>
      <c r="G522" s="413" t="str">
        <f t="shared" si="33"/>
        <v/>
      </c>
      <c r="H522" s="413" t="str">
        <f t="shared" si="34"/>
        <v/>
      </c>
      <c r="I522" s="414">
        <f t="shared" si="35"/>
        <v>0</v>
      </c>
      <c r="J522" s="414">
        <f t="shared" si="35"/>
        <v>0</v>
      </c>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row>
    <row r="523" spans="1:43">
      <c r="A523" s="407">
        <f>Input!B516</f>
        <v>38481</v>
      </c>
      <c r="B523" s="419">
        <f t="shared" si="36"/>
        <v>71</v>
      </c>
      <c r="C523" s="411">
        <f>IF(Input!I516&lt;=0,"",Input!I516)</f>
        <v>1.6487735550847691</v>
      </c>
      <c r="D523" s="412" t="str">
        <f>IF(G523="","",Input!Q516)</f>
        <v/>
      </c>
      <c r="E523" s="412" t="str">
        <f>IF(ISERROR(Input!AA516),"",Input!AA516)</f>
        <v/>
      </c>
      <c r="F523" s="412" t="str">
        <f>IF(E523="","",Input!AQ516)</f>
        <v/>
      </c>
      <c r="G523" s="413" t="str">
        <f t="shared" si="33"/>
        <v/>
      </c>
      <c r="H523" s="413" t="str">
        <f t="shared" si="34"/>
        <v/>
      </c>
      <c r="I523" s="414">
        <f t="shared" si="35"/>
        <v>0</v>
      </c>
      <c r="J523" s="414">
        <f t="shared" si="35"/>
        <v>0</v>
      </c>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row>
    <row r="524" spans="1:43">
      <c r="A524" s="407">
        <f>Input!B517</f>
        <v>38482</v>
      </c>
      <c r="B524" s="419">
        <f t="shared" si="36"/>
        <v>71</v>
      </c>
      <c r="C524" s="411">
        <f>IF(Input!I517&lt;=0,"",Input!I517)</f>
        <v>2.9498016282126498</v>
      </c>
      <c r="D524" s="412" t="str">
        <f>IF(G524="","",Input!Q517)</f>
        <v/>
      </c>
      <c r="E524" s="412" t="str">
        <f>IF(ISERROR(Input!AA517),"",Input!AA517)</f>
        <v/>
      </c>
      <c r="F524" s="412" t="str">
        <f>IF(E524="","",Input!AQ517)</f>
        <v/>
      </c>
      <c r="G524" s="413" t="str">
        <f t="shared" si="33"/>
        <v/>
      </c>
      <c r="H524" s="413" t="str">
        <f t="shared" si="34"/>
        <v/>
      </c>
      <c r="I524" s="414">
        <f t="shared" si="35"/>
        <v>0</v>
      </c>
      <c r="J524" s="414">
        <f t="shared" si="35"/>
        <v>0</v>
      </c>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row>
    <row r="525" spans="1:43">
      <c r="A525" s="407">
        <f>Input!B518</f>
        <v>38483</v>
      </c>
      <c r="B525" s="419">
        <f t="shared" si="36"/>
        <v>71</v>
      </c>
      <c r="C525" s="411">
        <f>IF(Input!I518&lt;=0,"",Input!I518)</f>
        <v>3.8585248973018555</v>
      </c>
      <c r="D525" s="412" t="str">
        <f>IF(G525="","",Input!Q518)</f>
        <v/>
      </c>
      <c r="E525" s="412" t="str">
        <f>IF(ISERROR(Input!AA518),"",Input!AA518)</f>
        <v/>
      </c>
      <c r="F525" s="412" t="str">
        <f>IF(E525="","",Input!AQ518)</f>
        <v/>
      </c>
      <c r="G525" s="413" t="str">
        <f t="shared" si="33"/>
        <v/>
      </c>
      <c r="H525" s="413" t="str">
        <f t="shared" si="34"/>
        <v/>
      </c>
      <c r="I525" s="414">
        <f t="shared" si="35"/>
        <v>0</v>
      </c>
      <c r="J525" s="414">
        <f t="shared" si="35"/>
        <v>0</v>
      </c>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row>
    <row r="526" spans="1:43">
      <c r="A526" s="407">
        <f>Input!B519</f>
        <v>38484</v>
      </c>
      <c r="B526" s="419">
        <f t="shared" si="36"/>
        <v>72</v>
      </c>
      <c r="C526" s="411">
        <f>IF(Input!I519&lt;=0,"",Input!I519)</f>
        <v>3.672381118675212</v>
      </c>
      <c r="D526" s="412" t="str">
        <f>IF(G526="","",Input!Q519)</f>
        <v/>
      </c>
      <c r="E526" s="412" t="str">
        <f>IF(ISERROR(Input!AA519),"",Input!AA519)</f>
        <v/>
      </c>
      <c r="F526" s="412" t="str">
        <f>IF(E526="","",Input!AQ519)</f>
        <v/>
      </c>
      <c r="G526" s="413" t="str">
        <f t="shared" si="33"/>
        <v/>
      </c>
      <c r="H526" s="413" t="str">
        <f t="shared" si="34"/>
        <v/>
      </c>
      <c r="I526" s="414">
        <f t="shared" si="35"/>
        <v>0</v>
      </c>
      <c r="J526" s="414">
        <f t="shared" si="35"/>
        <v>0</v>
      </c>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row>
    <row r="527" spans="1:43">
      <c r="A527" s="407">
        <f>Input!B520</f>
        <v>38485</v>
      </c>
      <c r="B527" s="419">
        <f t="shared" si="36"/>
        <v>72</v>
      </c>
      <c r="C527" s="411">
        <f>IF(Input!I520&lt;=0,"",Input!I520)</f>
        <v>3.9687784154374723</v>
      </c>
      <c r="D527" s="412" t="str">
        <f>IF(G527="","",Input!Q520)</f>
        <v/>
      </c>
      <c r="E527" s="412" t="str">
        <f>IF(ISERROR(Input!AA520),"",Input!AA520)</f>
        <v/>
      </c>
      <c r="F527" s="412" t="str">
        <f>IF(E527="","",Input!AQ520)</f>
        <v/>
      </c>
      <c r="G527" s="413" t="str">
        <f t="shared" si="33"/>
        <v/>
      </c>
      <c r="H527" s="413" t="str">
        <f t="shared" si="34"/>
        <v/>
      </c>
      <c r="I527" s="414">
        <f t="shared" si="35"/>
        <v>0</v>
      </c>
      <c r="J527" s="414">
        <f t="shared" si="35"/>
        <v>0</v>
      </c>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row>
    <row r="528" spans="1:43">
      <c r="A528" s="407">
        <f>Input!B521</f>
        <v>38486</v>
      </c>
      <c r="B528" s="419">
        <f t="shared" si="36"/>
        <v>72</v>
      </c>
      <c r="C528" s="411">
        <f>IF(Input!I521&lt;=0,"",Input!I521)</f>
        <v>2.7737374970843311</v>
      </c>
      <c r="D528" s="412" t="str">
        <f>IF(G528="","",Input!Q521)</f>
        <v/>
      </c>
      <c r="E528" s="412" t="str">
        <f>IF(ISERROR(Input!AA521),"",Input!AA521)</f>
        <v/>
      </c>
      <c r="F528" s="412" t="str">
        <f>IF(E528="","",Input!AQ521)</f>
        <v/>
      </c>
      <c r="G528" s="413" t="str">
        <f t="shared" si="33"/>
        <v/>
      </c>
      <c r="H528" s="413" t="str">
        <f t="shared" si="34"/>
        <v/>
      </c>
      <c r="I528" s="414">
        <f t="shared" si="35"/>
        <v>0</v>
      </c>
      <c r="J528" s="414">
        <f t="shared" si="35"/>
        <v>0</v>
      </c>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row>
    <row r="529" spans="1:43">
      <c r="A529" s="407">
        <f>Input!B522</f>
        <v>38487</v>
      </c>
      <c r="B529" s="419">
        <f t="shared" si="36"/>
        <v>72</v>
      </c>
      <c r="C529" s="411">
        <f>IF(Input!I522&lt;=0,"",Input!I522)</f>
        <v>2.5122717623350574</v>
      </c>
      <c r="D529" s="412" t="str">
        <f>IF(G529="","",Input!Q522)</f>
        <v/>
      </c>
      <c r="E529" s="412" t="str">
        <f>IF(ISERROR(Input!AA522),"",Input!AA522)</f>
        <v/>
      </c>
      <c r="F529" s="412" t="str">
        <f>IF(E529="","",Input!AQ522)</f>
        <v/>
      </c>
      <c r="G529" s="413" t="str">
        <f t="shared" si="33"/>
        <v/>
      </c>
      <c r="H529" s="413" t="str">
        <f t="shared" si="34"/>
        <v/>
      </c>
      <c r="I529" s="414">
        <f t="shared" si="35"/>
        <v>0</v>
      </c>
      <c r="J529" s="414">
        <f t="shared" si="35"/>
        <v>0</v>
      </c>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row>
    <row r="530" spans="1:43">
      <c r="A530" s="407">
        <f>Input!B523</f>
        <v>38488</v>
      </c>
      <c r="B530" s="419">
        <f t="shared" si="36"/>
        <v>72</v>
      </c>
      <c r="C530" s="411">
        <f>IF(Input!I523&lt;=0,"",Input!I523)</f>
        <v>2.6871893259664557</v>
      </c>
      <c r="D530" s="412" t="str">
        <f>IF(G530="","",Input!Q523)</f>
        <v/>
      </c>
      <c r="E530" s="412" t="str">
        <f>IF(ISERROR(Input!AA523),"",Input!AA523)</f>
        <v/>
      </c>
      <c r="F530" s="412" t="str">
        <f>IF(E530="","",Input!AQ523)</f>
        <v/>
      </c>
      <c r="G530" s="413" t="str">
        <f t="shared" si="33"/>
        <v/>
      </c>
      <c r="H530" s="413" t="str">
        <f t="shared" si="34"/>
        <v/>
      </c>
      <c r="I530" s="414">
        <f t="shared" si="35"/>
        <v>0</v>
      </c>
      <c r="J530" s="414">
        <f t="shared" si="35"/>
        <v>0</v>
      </c>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row>
    <row r="531" spans="1:43">
      <c r="A531" s="407">
        <f>Input!B524</f>
        <v>38489</v>
      </c>
      <c r="B531" s="419">
        <f t="shared" si="36"/>
        <v>72</v>
      </c>
      <c r="C531" s="411">
        <f>IF(Input!I524&lt;=0,"",Input!I524)</f>
        <v>2.6582090288371689</v>
      </c>
      <c r="D531" s="412" t="str">
        <f>IF(G531="","",Input!Q524)</f>
        <v/>
      </c>
      <c r="E531" s="412" t="str">
        <f>IF(ISERROR(Input!AA524),"",Input!AA524)</f>
        <v/>
      </c>
      <c r="F531" s="412" t="str">
        <f>IF(E531="","",Input!AQ524)</f>
        <v/>
      </c>
      <c r="G531" s="413" t="str">
        <f t="shared" si="33"/>
        <v/>
      </c>
      <c r="H531" s="413" t="str">
        <f t="shared" si="34"/>
        <v/>
      </c>
      <c r="I531" s="414">
        <f t="shared" si="35"/>
        <v>0</v>
      </c>
      <c r="J531" s="414">
        <f t="shared" si="35"/>
        <v>0</v>
      </c>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row>
    <row r="532" spans="1:43">
      <c r="A532" s="407">
        <f>Input!B525</f>
        <v>38490</v>
      </c>
      <c r="B532" s="419">
        <f t="shared" si="36"/>
        <v>72</v>
      </c>
      <c r="C532" s="411">
        <f>IF(Input!I525&lt;=0,"",Input!I525)</f>
        <v>2.1669250851470583</v>
      </c>
      <c r="D532" s="412" t="str">
        <f>IF(G532="","",Input!Q525)</f>
        <v/>
      </c>
      <c r="E532" s="412" t="str">
        <f>IF(ISERROR(Input!AA525),"",Input!AA525)</f>
        <v/>
      </c>
      <c r="F532" s="412" t="str">
        <f>IF(E532="","",Input!AQ525)</f>
        <v/>
      </c>
      <c r="G532" s="413" t="str">
        <f t="shared" si="33"/>
        <v/>
      </c>
      <c r="H532" s="413" t="str">
        <f t="shared" si="34"/>
        <v/>
      </c>
      <c r="I532" s="414">
        <f t="shared" si="35"/>
        <v>0</v>
      </c>
      <c r="J532" s="414">
        <f t="shared" si="35"/>
        <v>0</v>
      </c>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row>
    <row r="533" spans="1:43">
      <c r="A533" s="407">
        <f>Input!B526</f>
        <v>38491</v>
      </c>
      <c r="B533" s="419">
        <f t="shared" si="36"/>
        <v>73</v>
      </c>
      <c r="C533" s="411">
        <f>IF(Input!I526&lt;=0,"",Input!I526)</f>
        <v>3.1563511268161637</v>
      </c>
      <c r="D533" s="412" t="str">
        <f>IF(G533="","",Input!Q526)</f>
        <v/>
      </c>
      <c r="E533" s="412" t="str">
        <f>IF(ISERROR(Input!AA526),"",Input!AA526)</f>
        <v/>
      </c>
      <c r="F533" s="412" t="str">
        <f>IF(E533="","",Input!AQ526)</f>
        <v/>
      </c>
      <c r="G533" s="413" t="str">
        <f t="shared" si="33"/>
        <v/>
      </c>
      <c r="H533" s="413" t="str">
        <f t="shared" si="34"/>
        <v/>
      </c>
      <c r="I533" s="414">
        <f t="shared" si="35"/>
        <v>0</v>
      </c>
      <c r="J533" s="414">
        <f t="shared" si="35"/>
        <v>0</v>
      </c>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row>
    <row r="534" spans="1:43">
      <c r="A534" s="407">
        <f>Input!B527</f>
        <v>38492</v>
      </c>
      <c r="B534" s="419">
        <f t="shared" si="36"/>
        <v>73</v>
      </c>
      <c r="C534" s="411">
        <f>IF(Input!I527&lt;=0,"",Input!I527)</f>
        <v>2.2714870024934979</v>
      </c>
      <c r="D534" s="412" t="str">
        <f>IF(G534="","",Input!Q527)</f>
        <v/>
      </c>
      <c r="E534" s="412" t="str">
        <f>IF(ISERROR(Input!AA527),"",Input!AA527)</f>
        <v/>
      </c>
      <c r="F534" s="412" t="str">
        <f>IF(E534="","",Input!AQ527)</f>
        <v/>
      </c>
      <c r="G534" s="413" t="str">
        <f t="shared" si="33"/>
        <v/>
      </c>
      <c r="H534" s="413" t="str">
        <f t="shared" si="34"/>
        <v/>
      </c>
      <c r="I534" s="414">
        <f t="shared" si="35"/>
        <v>0</v>
      </c>
      <c r="J534" s="414">
        <f t="shared" si="35"/>
        <v>0</v>
      </c>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row>
    <row r="535" spans="1:43">
      <c r="A535" s="407">
        <f>Input!B528</f>
        <v>38493</v>
      </c>
      <c r="B535" s="419">
        <f t="shared" si="36"/>
        <v>73</v>
      </c>
      <c r="C535" s="411">
        <f>IF(Input!I528&lt;=0,"",Input!I528)</f>
        <v>2.3149334984040815</v>
      </c>
      <c r="D535" s="412" t="str">
        <f>IF(G535="","",Input!Q528)</f>
        <v/>
      </c>
      <c r="E535" s="412" t="str">
        <f>IF(ISERROR(Input!AA528),"",Input!AA528)</f>
        <v/>
      </c>
      <c r="F535" s="412" t="str">
        <f>IF(E535="","",Input!AQ528)</f>
        <v/>
      </c>
      <c r="G535" s="413" t="str">
        <f t="shared" si="33"/>
        <v/>
      </c>
      <c r="H535" s="413" t="str">
        <f t="shared" si="34"/>
        <v/>
      </c>
      <c r="I535" s="414">
        <f t="shared" si="35"/>
        <v>0</v>
      </c>
      <c r="J535" s="414">
        <f t="shared" si="35"/>
        <v>0</v>
      </c>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row>
    <row r="536" spans="1:43">
      <c r="A536" s="407">
        <f>Input!B529</f>
        <v>38494</v>
      </c>
      <c r="B536" s="419">
        <f t="shared" si="36"/>
        <v>73</v>
      </c>
      <c r="C536" s="411">
        <f>IF(Input!I529&lt;=0,"",Input!I529)</f>
        <v>2.6663210175425371</v>
      </c>
      <c r="D536" s="412" t="str">
        <f>IF(G536="","",Input!Q529)</f>
        <v/>
      </c>
      <c r="E536" s="412" t="str">
        <f>IF(ISERROR(Input!AA529),"",Input!AA529)</f>
        <v/>
      </c>
      <c r="F536" s="412" t="str">
        <f>IF(E536="","",Input!AQ529)</f>
        <v/>
      </c>
      <c r="G536" s="413" t="str">
        <f t="shared" si="33"/>
        <v/>
      </c>
      <c r="H536" s="413" t="str">
        <f t="shared" si="34"/>
        <v/>
      </c>
      <c r="I536" s="414">
        <f t="shared" si="35"/>
        <v>0</v>
      </c>
      <c r="J536" s="414">
        <f t="shared" si="35"/>
        <v>0</v>
      </c>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row>
    <row r="537" spans="1:43">
      <c r="A537" s="407">
        <f>Input!B530</f>
        <v>38495</v>
      </c>
      <c r="B537" s="419">
        <f t="shared" si="36"/>
        <v>73</v>
      </c>
      <c r="C537" s="411">
        <f>IF(Input!I530&lt;=0,"",Input!I530)</f>
        <v>2.0078951527307867</v>
      </c>
      <c r="D537" s="412" t="str">
        <f>IF(G537="","",Input!Q530)</f>
        <v/>
      </c>
      <c r="E537" s="412" t="str">
        <f>IF(ISERROR(Input!AA530),"",Input!AA530)</f>
        <v/>
      </c>
      <c r="F537" s="412" t="str">
        <f>IF(E537="","",Input!AQ530)</f>
        <v/>
      </c>
      <c r="G537" s="413" t="str">
        <f t="shared" si="33"/>
        <v/>
      </c>
      <c r="H537" s="413" t="str">
        <f t="shared" si="34"/>
        <v/>
      </c>
      <c r="I537" s="414">
        <f t="shared" si="35"/>
        <v>0</v>
      </c>
      <c r="J537" s="414">
        <f t="shared" si="35"/>
        <v>0</v>
      </c>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row>
    <row r="538" spans="1:43">
      <c r="A538" s="407">
        <f>Input!B531</f>
        <v>38496</v>
      </c>
      <c r="B538" s="419">
        <f t="shared" si="36"/>
        <v>73</v>
      </c>
      <c r="C538" s="411">
        <f>IF(Input!I531&lt;=0,"",Input!I531)</f>
        <v>3.3353746158162507</v>
      </c>
      <c r="D538" s="412" t="str">
        <f>IF(G538="","",Input!Q531)</f>
        <v/>
      </c>
      <c r="E538" s="412" t="str">
        <f>IF(ISERROR(Input!AA531),"",Input!AA531)</f>
        <v/>
      </c>
      <c r="F538" s="412" t="str">
        <f>IF(E538="","",Input!AQ531)</f>
        <v/>
      </c>
      <c r="G538" s="413" t="str">
        <f t="shared" si="33"/>
        <v/>
      </c>
      <c r="H538" s="413" t="str">
        <f t="shared" si="34"/>
        <v/>
      </c>
      <c r="I538" s="414">
        <f t="shared" si="35"/>
        <v>0</v>
      </c>
      <c r="J538" s="414">
        <f t="shared" si="35"/>
        <v>0</v>
      </c>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row>
    <row r="539" spans="1:43">
      <c r="A539" s="407">
        <f>Input!B532</f>
        <v>38497</v>
      </c>
      <c r="B539" s="419">
        <f t="shared" si="36"/>
        <v>73</v>
      </c>
      <c r="C539" s="411">
        <f>IF(Input!I532&lt;=0,"",Input!I532)</f>
        <v>3.6860224665711194</v>
      </c>
      <c r="D539" s="412" t="str">
        <f>IF(G539="","",Input!Q532)</f>
        <v/>
      </c>
      <c r="E539" s="412" t="str">
        <f>IF(ISERROR(Input!AA532),"",Input!AA532)</f>
        <v/>
      </c>
      <c r="F539" s="412" t="str">
        <f>IF(E539="","",Input!AQ532)</f>
        <v/>
      </c>
      <c r="G539" s="413" t="str">
        <f t="shared" si="33"/>
        <v/>
      </c>
      <c r="H539" s="413" t="str">
        <f t="shared" si="34"/>
        <v/>
      </c>
      <c r="I539" s="414">
        <f t="shared" si="35"/>
        <v>0</v>
      </c>
      <c r="J539" s="414">
        <f t="shared" si="35"/>
        <v>0</v>
      </c>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row>
    <row r="540" spans="1:43">
      <c r="A540" s="407">
        <f>Input!B533</f>
        <v>38498</v>
      </c>
      <c r="B540" s="419">
        <f t="shared" si="36"/>
        <v>74</v>
      </c>
      <c r="C540" s="411">
        <f>IF(Input!I533&lt;=0,"",Input!I533)</f>
        <v>3.28904064531531</v>
      </c>
      <c r="D540" s="412" t="str">
        <f>IF(G540="","",Input!Q533)</f>
        <v/>
      </c>
      <c r="E540" s="412" t="str">
        <f>IF(ISERROR(Input!AA533),"",Input!AA533)</f>
        <v/>
      </c>
      <c r="F540" s="412" t="str">
        <f>IF(E540="","",Input!AQ533)</f>
        <v/>
      </c>
      <c r="G540" s="413" t="str">
        <f t="shared" si="33"/>
        <v/>
      </c>
      <c r="H540" s="413" t="str">
        <f t="shared" si="34"/>
        <v/>
      </c>
      <c r="I540" s="414">
        <f t="shared" si="35"/>
        <v>0</v>
      </c>
      <c r="J540" s="414">
        <f t="shared" si="35"/>
        <v>0</v>
      </c>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row>
    <row r="541" spans="1:43">
      <c r="A541" s="407">
        <f>Input!B534</f>
        <v>38499</v>
      </c>
      <c r="B541" s="419">
        <f t="shared" si="36"/>
        <v>74</v>
      </c>
      <c r="C541" s="411">
        <f>IF(Input!I534&lt;=0,"",Input!I534)</f>
        <v>3.2219838024285434</v>
      </c>
      <c r="D541" s="412" t="str">
        <f>IF(G541="","",Input!Q534)</f>
        <v/>
      </c>
      <c r="E541" s="412" t="str">
        <f>IF(ISERROR(Input!AA534),"",Input!AA534)</f>
        <v/>
      </c>
      <c r="F541" s="412" t="str">
        <f>IF(E541="","",Input!AQ534)</f>
        <v/>
      </c>
      <c r="G541" s="413" t="str">
        <f t="shared" si="33"/>
        <v/>
      </c>
      <c r="H541" s="413" t="str">
        <f t="shared" si="34"/>
        <v/>
      </c>
      <c r="I541" s="414">
        <f t="shared" si="35"/>
        <v>0</v>
      </c>
      <c r="J541" s="414">
        <f t="shared" si="35"/>
        <v>0</v>
      </c>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row>
    <row r="542" spans="1:43">
      <c r="A542" s="407">
        <f>Input!B535</f>
        <v>38500</v>
      </c>
      <c r="B542" s="419">
        <f t="shared" si="36"/>
        <v>74</v>
      </c>
      <c r="C542" s="411">
        <f>IF(Input!I535&lt;=0,"",Input!I535)</f>
        <v>2.8444012802599774</v>
      </c>
      <c r="D542" s="412" t="str">
        <f>IF(G542="","",Input!Q535)</f>
        <v/>
      </c>
      <c r="E542" s="412" t="str">
        <f>IF(ISERROR(Input!AA535),"",Input!AA535)</f>
        <v/>
      </c>
      <c r="F542" s="412" t="str">
        <f>IF(E542="","",Input!AQ535)</f>
        <v/>
      </c>
      <c r="G542" s="413" t="str">
        <f t="shared" ref="G542:G605" si="37">IF(E542="","",E542*C542)</f>
        <v/>
      </c>
      <c r="H542" s="413" t="str">
        <f t="shared" ref="H542:H605" si="38">IF(F542="","",F542*C542)</f>
        <v/>
      </c>
      <c r="I542" s="414">
        <f t="shared" ref="I542:J605" si="39">IF(G542="",0,IF(I541="",G542,I541+G542))</f>
        <v>0</v>
      </c>
      <c r="J542" s="414">
        <f t="shared" si="39"/>
        <v>0</v>
      </c>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row>
    <row r="543" spans="1:43">
      <c r="A543" s="407">
        <f>Input!B536</f>
        <v>38501</v>
      </c>
      <c r="B543" s="419">
        <f t="shared" si="36"/>
        <v>74</v>
      </c>
      <c r="C543" s="411">
        <f>IF(Input!I536&lt;=0,"",Input!I536)</f>
        <v>3.3058542029797064</v>
      </c>
      <c r="D543" s="412" t="str">
        <f>IF(G543="","",Input!Q536)</f>
        <v/>
      </c>
      <c r="E543" s="412" t="str">
        <f>IF(ISERROR(Input!AA536),"",Input!AA536)</f>
        <v/>
      </c>
      <c r="F543" s="412" t="str">
        <f>IF(E543="","",Input!AQ536)</f>
        <v/>
      </c>
      <c r="G543" s="413" t="str">
        <f t="shared" si="37"/>
        <v/>
      </c>
      <c r="H543" s="413" t="str">
        <f t="shared" si="38"/>
        <v/>
      </c>
      <c r="I543" s="414">
        <f t="shared" si="39"/>
        <v>0</v>
      </c>
      <c r="J543" s="414">
        <f t="shared" si="39"/>
        <v>0</v>
      </c>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row>
    <row r="544" spans="1:43">
      <c r="A544" s="407">
        <f>Input!B537</f>
        <v>38502</v>
      </c>
      <c r="B544" s="419">
        <f t="shared" si="36"/>
        <v>74</v>
      </c>
      <c r="C544" s="411">
        <f>IF(Input!I537&lt;=0,"",Input!I537)</f>
        <v>4.038093828748214</v>
      </c>
      <c r="D544" s="412" t="str">
        <f>IF(G544="","",Input!Q537)</f>
        <v/>
      </c>
      <c r="E544" s="412" t="str">
        <f>IF(ISERROR(Input!AA537),"",Input!AA537)</f>
        <v/>
      </c>
      <c r="F544" s="412" t="str">
        <f>IF(E544="","",Input!AQ537)</f>
        <v/>
      </c>
      <c r="G544" s="413" t="str">
        <f t="shared" si="37"/>
        <v/>
      </c>
      <c r="H544" s="413" t="str">
        <f t="shared" si="38"/>
        <v/>
      </c>
      <c r="I544" s="414">
        <f t="shared" si="39"/>
        <v>0</v>
      </c>
      <c r="J544" s="414">
        <f t="shared" si="39"/>
        <v>0</v>
      </c>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row>
    <row r="545" spans="1:43">
      <c r="A545" s="407">
        <f>Input!B538</f>
        <v>38503</v>
      </c>
      <c r="B545" s="419">
        <f t="shared" si="36"/>
        <v>74</v>
      </c>
      <c r="C545" s="411">
        <f>IF(Input!I538&lt;=0,"",Input!I538)</f>
        <v>3.6071849907178821</v>
      </c>
      <c r="D545" s="412" t="str">
        <f>IF(G545="","",Input!Q538)</f>
        <v/>
      </c>
      <c r="E545" s="412" t="str">
        <f>IF(ISERROR(Input!AA538),"",Input!AA538)</f>
        <v/>
      </c>
      <c r="F545" s="412" t="str">
        <f>IF(E545="","",Input!AQ538)</f>
        <v/>
      </c>
      <c r="G545" s="413" t="str">
        <f t="shared" si="37"/>
        <v/>
      </c>
      <c r="H545" s="413" t="str">
        <f t="shared" si="38"/>
        <v/>
      </c>
      <c r="I545" s="414">
        <f t="shared" si="39"/>
        <v>0</v>
      </c>
      <c r="J545" s="414">
        <f t="shared" si="39"/>
        <v>0</v>
      </c>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row>
    <row r="546" spans="1:43">
      <c r="A546" s="407">
        <f>Input!B539</f>
        <v>38504</v>
      </c>
      <c r="B546" s="419">
        <f t="shared" si="36"/>
        <v>74</v>
      </c>
      <c r="C546" s="411">
        <f>IF(Input!I539&lt;=0,"",Input!I539)</f>
        <v>3.9641089845261237</v>
      </c>
      <c r="D546" s="412" t="str">
        <f>IF(G546="","",Input!Q539)</f>
        <v/>
      </c>
      <c r="E546" s="412" t="str">
        <f>IF(ISERROR(Input!AA539),"",Input!AA539)</f>
        <v/>
      </c>
      <c r="F546" s="412" t="str">
        <f>IF(E546="","",Input!AQ539)</f>
        <v/>
      </c>
      <c r="G546" s="413" t="str">
        <f t="shared" si="37"/>
        <v/>
      </c>
      <c r="H546" s="413" t="str">
        <f t="shared" si="38"/>
        <v/>
      </c>
      <c r="I546" s="414">
        <f t="shared" si="39"/>
        <v>0</v>
      </c>
      <c r="J546" s="414">
        <f t="shared" si="39"/>
        <v>0</v>
      </c>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row>
    <row r="547" spans="1:43">
      <c r="A547" s="407">
        <f>Input!B540</f>
        <v>38505</v>
      </c>
      <c r="B547" s="419">
        <f t="shared" si="36"/>
        <v>75</v>
      </c>
      <c r="C547" s="411">
        <f>IF(Input!I540&lt;=0,"",Input!I540)</f>
        <v>4.342203995140836</v>
      </c>
      <c r="D547" s="412" t="str">
        <f>IF(G547="","",Input!Q540)</f>
        <v/>
      </c>
      <c r="E547" s="412" t="str">
        <f>IF(ISERROR(Input!AA540),"",Input!AA540)</f>
        <v/>
      </c>
      <c r="F547" s="412" t="str">
        <f>IF(E547="","",Input!AQ540)</f>
        <v/>
      </c>
      <c r="G547" s="413" t="str">
        <f t="shared" si="37"/>
        <v/>
      </c>
      <c r="H547" s="413" t="str">
        <f t="shared" si="38"/>
        <v/>
      </c>
      <c r="I547" s="414">
        <f t="shared" si="39"/>
        <v>0</v>
      </c>
      <c r="J547" s="414">
        <f t="shared" si="39"/>
        <v>0</v>
      </c>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row>
    <row r="548" spans="1:43">
      <c r="A548" s="407">
        <f>Input!B541</f>
        <v>38506</v>
      </c>
      <c r="B548" s="419">
        <f t="shared" si="36"/>
        <v>75</v>
      </c>
      <c r="C548" s="411">
        <f>IF(Input!I541&lt;=0,"",Input!I541)</f>
        <v>3.9718550288769805</v>
      </c>
      <c r="D548" s="412" t="str">
        <f>IF(G548="","",Input!Q541)</f>
        <v/>
      </c>
      <c r="E548" s="412" t="str">
        <f>IF(ISERROR(Input!AA541),"",Input!AA541)</f>
        <v/>
      </c>
      <c r="F548" s="412" t="str">
        <f>IF(E548="","",Input!AQ541)</f>
        <v/>
      </c>
      <c r="G548" s="413" t="str">
        <f t="shared" si="37"/>
        <v/>
      </c>
      <c r="H548" s="413" t="str">
        <f t="shared" si="38"/>
        <v/>
      </c>
      <c r="I548" s="414">
        <f t="shared" si="39"/>
        <v>0</v>
      </c>
      <c r="J548" s="414">
        <f t="shared" si="39"/>
        <v>0</v>
      </c>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row>
    <row r="549" spans="1:43">
      <c r="A549" s="407">
        <f>Input!B542</f>
        <v>38507</v>
      </c>
      <c r="B549" s="419">
        <f t="shared" ref="B549:B606" si="40">IF(MOD(A548-A$28,7)=0,B548+1,B548)</f>
        <v>75</v>
      </c>
      <c r="C549" s="411">
        <f>IF(Input!I542&lt;=0,"",Input!I542)</f>
        <v>4.7508185916955172</v>
      </c>
      <c r="D549" s="412" t="str">
        <f>IF(G549="","",Input!Q542)</f>
        <v/>
      </c>
      <c r="E549" s="412" t="str">
        <f>IF(ISERROR(Input!AA542),"",Input!AA542)</f>
        <v/>
      </c>
      <c r="F549" s="412" t="str">
        <f>IF(E549="","",Input!AQ542)</f>
        <v/>
      </c>
      <c r="G549" s="413" t="str">
        <f t="shared" si="37"/>
        <v/>
      </c>
      <c r="H549" s="413" t="str">
        <f t="shared" si="38"/>
        <v/>
      </c>
      <c r="I549" s="414">
        <f t="shared" si="39"/>
        <v>0</v>
      </c>
      <c r="J549" s="414">
        <f t="shared" si="39"/>
        <v>0</v>
      </c>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row>
    <row r="550" spans="1:43">
      <c r="A550" s="407">
        <f>Input!B543</f>
        <v>38508</v>
      </c>
      <c r="B550" s="419">
        <f t="shared" si="40"/>
        <v>75</v>
      </c>
      <c r="C550" s="411">
        <f>IF(Input!I543&lt;=0,"",Input!I543)</f>
        <v>3.9279677078967485</v>
      </c>
      <c r="D550" s="412" t="str">
        <f>IF(G550="","",Input!Q543)</f>
        <v/>
      </c>
      <c r="E550" s="412" t="str">
        <f>IF(ISERROR(Input!AA543),"",Input!AA543)</f>
        <v/>
      </c>
      <c r="F550" s="412" t="str">
        <f>IF(E550="","",Input!AQ543)</f>
        <v/>
      </c>
      <c r="G550" s="413" t="str">
        <f t="shared" si="37"/>
        <v/>
      </c>
      <c r="H550" s="413" t="str">
        <f t="shared" si="38"/>
        <v/>
      </c>
      <c r="I550" s="414">
        <f t="shared" si="39"/>
        <v>0</v>
      </c>
      <c r="J550" s="414">
        <f t="shared" si="39"/>
        <v>0</v>
      </c>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row>
    <row r="551" spans="1:43">
      <c r="A551" s="407">
        <f>Input!B544</f>
        <v>38509</v>
      </c>
      <c r="B551" s="419">
        <f t="shared" si="40"/>
        <v>75</v>
      </c>
      <c r="C551" s="411">
        <f>IF(Input!I544&lt;=0,"",Input!I544)</f>
        <v>3.6238138037089076</v>
      </c>
      <c r="D551" s="412" t="str">
        <f>IF(G551="","",Input!Q544)</f>
        <v/>
      </c>
      <c r="E551" s="412" t="str">
        <f>IF(ISERROR(Input!AA544),"",Input!AA544)</f>
        <v/>
      </c>
      <c r="F551" s="412" t="str">
        <f>IF(E551="","",Input!AQ544)</f>
        <v/>
      </c>
      <c r="G551" s="413" t="str">
        <f t="shared" si="37"/>
        <v/>
      </c>
      <c r="H551" s="413" t="str">
        <f t="shared" si="38"/>
        <v/>
      </c>
      <c r="I551" s="414">
        <f t="shared" si="39"/>
        <v>0</v>
      </c>
      <c r="J551" s="414">
        <f t="shared" si="39"/>
        <v>0</v>
      </c>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row>
    <row r="552" spans="1:43">
      <c r="A552" s="407">
        <f>Input!B545</f>
        <v>38510</v>
      </c>
      <c r="B552" s="419">
        <f t="shared" si="40"/>
        <v>75</v>
      </c>
      <c r="C552" s="411">
        <f>IF(Input!I545&lt;=0,"",Input!I545)</f>
        <v>4.1290757913512</v>
      </c>
      <c r="D552" s="412" t="str">
        <f>IF(G552="","",Input!Q545)</f>
        <v/>
      </c>
      <c r="E552" s="412" t="str">
        <f>IF(ISERROR(Input!AA545),"",Input!AA545)</f>
        <v/>
      </c>
      <c r="F552" s="412" t="str">
        <f>IF(E552="","",Input!AQ545)</f>
        <v/>
      </c>
      <c r="G552" s="413" t="str">
        <f t="shared" si="37"/>
        <v/>
      </c>
      <c r="H552" s="413" t="str">
        <f t="shared" si="38"/>
        <v/>
      </c>
      <c r="I552" s="414">
        <f t="shared" si="39"/>
        <v>0</v>
      </c>
      <c r="J552" s="414">
        <f t="shared" si="39"/>
        <v>0</v>
      </c>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row>
    <row r="553" spans="1:43">
      <c r="A553" s="407">
        <f>Input!B546</f>
        <v>38511</v>
      </c>
      <c r="B553" s="419">
        <f t="shared" si="40"/>
        <v>75</v>
      </c>
      <c r="C553" s="411">
        <f>IF(Input!I546&lt;=0,"",Input!I546)</f>
        <v>4.4462286753676405</v>
      </c>
      <c r="D553" s="412" t="str">
        <f>IF(G553="","",Input!Q546)</f>
        <v/>
      </c>
      <c r="E553" s="412" t="str">
        <f>IF(ISERROR(Input!AA546),"",Input!AA546)</f>
        <v/>
      </c>
      <c r="F553" s="412" t="str">
        <f>IF(E553="","",Input!AQ546)</f>
        <v/>
      </c>
      <c r="G553" s="413" t="str">
        <f t="shared" si="37"/>
        <v/>
      </c>
      <c r="H553" s="413" t="str">
        <f t="shared" si="38"/>
        <v/>
      </c>
      <c r="I553" s="414">
        <f t="shared" si="39"/>
        <v>0</v>
      </c>
      <c r="J553" s="414">
        <f t="shared" si="39"/>
        <v>0</v>
      </c>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row>
    <row r="554" spans="1:43">
      <c r="A554" s="407">
        <f>Input!B547</f>
        <v>38512</v>
      </c>
      <c r="B554" s="419">
        <f t="shared" si="40"/>
        <v>76</v>
      </c>
      <c r="C554" s="411">
        <f>IF(Input!I547&lt;=0,"",Input!I547)</f>
        <v>4.3562374293007231</v>
      </c>
      <c r="D554" s="412" t="str">
        <f>IF(G554="","",Input!Q547)</f>
        <v/>
      </c>
      <c r="E554" s="412" t="str">
        <f>IF(ISERROR(Input!AA547),"",Input!AA547)</f>
        <v/>
      </c>
      <c r="F554" s="412" t="str">
        <f>IF(E554="","",Input!AQ547)</f>
        <v/>
      </c>
      <c r="G554" s="413" t="str">
        <f t="shared" si="37"/>
        <v/>
      </c>
      <c r="H554" s="413" t="str">
        <f t="shared" si="38"/>
        <v/>
      </c>
      <c r="I554" s="414">
        <f t="shared" si="39"/>
        <v>0</v>
      </c>
      <c r="J554" s="414">
        <f t="shared" si="39"/>
        <v>0</v>
      </c>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row>
    <row r="555" spans="1:43">
      <c r="A555" s="407">
        <f>Input!B548</f>
        <v>38513</v>
      </c>
      <c r="B555" s="419">
        <f t="shared" si="40"/>
        <v>76</v>
      </c>
      <c r="C555" s="411">
        <f>IF(Input!I548&lt;=0,"",Input!I548)</f>
        <v>4.1459186279255205</v>
      </c>
      <c r="D555" s="412" t="str">
        <f>IF(G555="","",Input!Q548)</f>
        <v/>
      </c>
      <c r="E555" s="412" t="str">
        <f>IF(ISERROR(Input!AA548),"",Input!AA548)</f>
        <v/>
      </c>
      <c r="F555" s="412" t="str">
        <f>IF(E555="","",Input!AQ548)</f>
        <v/>
      </c>
      <c r="G555" s="413" t="str">
        <f t="shared" si="37"/>
        <v/>
      </c>
      <c r="H555" s="413" t="str">
        <f t="shared" si="38"/>
        <v/>
      </c>
      <c r="I555" s="414">
        <f t="shared" si="39"/>
        <v>0</v>
      </c>
      <c r="J555" s="414">
        <f t="shared" si="39"/>
        <v>0</v>
      </c>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row>
    <row r="556" spans="1:43">
      <c r="A556" s="407">
        <f>Input!B549</f>
        <v>38514</v>
      </c>
      <c r="B556" s="419">
        <f t="shared" si="40"/>
        <v>76</v>
      </c>
      <c r="C556" s="411">
        <f>IF(Input!I549&lt;=0,"",Input!I549)</f>
        <v>4.411672347114922</v>
      </c>
      <c r="D556" s="412" t="str">
        <f>IF(G556="","",Input!Q549)</f>
        <v/>
      </c>
      <c r="E556" s="412" t="str">
        <f>IF(ISERROR(Input!AA549),"",Input!AA549)</f>
        <v/>
      </c>
      <c r="F556" s="412" t="str">
        <f>IF(E556="","",Input!AQ549)</f>
        <v/>
      </c>
      <c r="G556" s="413" t="str">
        <f t="shared" si="37"/>
        <v/>
      </c>
      <c r="H556" s="413" t="str">
        <f t="shared" si="38"/>
        <v/>
      </c>
      <c r="I556" s="414">
        <f t="shared" si="39"/>
        <v>0</v>
      </c>
      <c r="J556" s="414">
        <f t="shared" si="39"/>
        <v>0</v>
      </c>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row>
    <row r="557" spans="1:43">
      <c r="A557" s="407">
        <f>Input!B550</f>
        <v>38515</v>
      </c>
      <c r="B557" s="419">
        <f t="shared" si="40"/>
        <v>76</v>
      </c>
      <c r="C557" s="411">
        <f>IF(Input!I550&lt;=0,"",Input!I550)</f>
        <v>4.3849772680391643</v>
      </c>
      <c r="D557" s="412" t="str">
        <f>IF(G557="","",Input!Q550)</f>
        <v/>
      </c>
      <c r="E557" s="412" t="str">
        <f>IF(ISERROR(Input!AA550),"",Input!AA550)</f>
        <v/>
      </c>
      <c r="F557" s="412" t="str">
        <f>IF(E557="","",Input!AQ550)</f>
        <v/>
      </c>
      <c r="G557" s="413" t="str">
        <f t="shared" si="37"/>
        <v/>
      </c>
      <c r="H557" s="413" t="str">
        <f t="shared" si="38"/>
        <v/>
      </c>
      <c r="I557" s="414">
        <f t="shared" si="39"/>
        <v>0</v>
      </c>
      <c r="J557" s="414">
        <f t="shared" si="39"/>
        <v>0</v>
      </c>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row>
    <row r="558" spans="1:43">
      <c r="A558" s="407">
        <f>Input!B551</f>
        <v>38516</v>
      </c>
      <c r="B558" s="419">
        <f t="shared" si="40"/>
        <v>76</v>
      </c>
      <c r="C558" s="411">
        <f>IF(Input!I551&lt;=0,"",Input!I551)</f>
        <v>3.8091930190969734</v>
      </c>
      <c r="D558" s="412" t="str">
        <f>IF(G558="","",Input!Q551)</f>
        <v/>
      </c>
      <c r="E558" s="412" t="str">
        <f>IF(ISERROR(Input!AA551),"",Input!AA551)</f>
        <v/>
      </c>
      <c r="F558" s="412" t="str">
        <f>IF(E558="","",Input!AQ551)</f>
        <v/>
      </c>
      <c r="G558" s="413" t="str">
        <f t="shared" si="37"/>
        <v/>
      </c>
      <c r="H558" s="413" t="str">
        <f t="shared" si="38"/>
        <v/>
      </c>
      <c r="I558" s="414">
        <f t="shared" si="39"/>
        <v>0</v>
      </c>
      <c r="J558" s="414">
        <f t="shared" si="39"/>
        <v>0</v>
      </c>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row>
    <row r="559" spans="1:43">
      <c r="A559" s="407">
        <f>Input!B552</f>
        <v>38517</v>
      </c>
      <c r="B559" s="419">
        <f t="shared" si="40"/>
        <v>76</v>
      </c>
      <c r="C559" s="411">
        <f>IF(Input!I552&lt;=0,"",Input!I552)</f>
        <v>4.0988775716802071</v>
      </c>
      <c r="D559" s="412" t="str">
        <f>IF(G559="","",Input!Q552)</f>
        <v/>
      </c>
      <c r="E559" s="412" t="str">
        <f>IF(ISERROR(Input!AA552),"",Input!AA552)</f>
        <v/>
      </c>
      <c r="F559" s="412" t="str">
        <f>IF(E559="","",Input!AQ552)</f>
        <v/>
      </c>
      <c r="G559" s="413" t="str">
        <f t="shared" si="37"/>
        <v/>
      </c>
      <c r="H559" s="413" t="str">
        <f t="shared" si="38"/>
        <v/>
      </c>
      <c r="I559" s="414">
        <f t="shared" si="39"/>
        <v>0</v>
      </c>
      <c r="J559" s="414">
        <f t="shared" si="39"/>
        <v>0</v>
      </c>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row>
    <row r="560" spans="1:43">
      <c r="A560" s="407">
        <f>Input!B553</f>
        <v>38518</v>
      </c>
      <c r="B560" s="419">
        <f t="shared" si="40"/>
        <v>76</v>
      </c>
      <c r="C560" s="411">
        <f>IF(Input!I553&lt;=0,"",Input!I553)</f>
        <v>4.1796010570230111</v>
      </c>
      <c r="D560" s="412" t="str">
        <f>IF(G560="","",Input!Q553)</f>
        <v/>
      </c>
      <c r="E560" s="412" t="str">
        <f>IF(ISERROR(Input!AA553),"",Input!AA553)</f>
        <v/>
      </c>
      <c r="F560" s="412" t="str">
        <f>IF(E560="","",Input!AQ553)</f>
        <v/>
      </c>
      <c r="G560" s="413" t="str">
        <f t="shared" si="37"/>
        <v/>
      </c>
      <c r="H560" s="413" t="str">
        <f t="shared" si="38"/>
        <v/>
      </c>
      <c r="I560" s="414">
        <f t="shared" si="39"/>
        <v>0</v>
      </c>
      <c r="J560" s="414">
        <f t="shared" si="39"/>
        <v>0</v>
      </c>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row>
    <row r="561" spans="1:43">
      <c r="A561" s="407">
        <f>Input!B554</f>
        <v>38519</v>
      </c>
      <c r="B561" s="419">
        <f t="shared" si="40"/>
        <v>77</v>
      </c>
      <c r="C561" s="411">
        <f>IF(Input!I554&lt;=0,"",Input!I554)</f>
        <v>3.089182056521572</v>
      </c>
      <c r="D561" s="412" t="str">
        <f>IF(G561="","",Input!Q554)</f>
        <v/>
      </c>
      <c r="E561" s="412" t="str">
        <f>IF(ISERROR(Input!AA554),"",Input!AA554)</f>
        <v/>
      </c>
      <c r="F561" s="412" t="str">
        <f>IF(E561="","",Input!AQ554)</f>
        <v/>
      </c>
      <c r="G561" s="413" t="str">
        <f t="shared" si="37"/>
        <v/>
      </c>
      <c r="H561" s="413" t="str">
        <f t="shared" si="38"/>
        <v/>
      </c>
      <c r="I561" s="414">
        <f t="shared" si="39"/>
        <v>0</v>
      </c>
      <c r="J561" s="414">
        <f t="shared" si="39"/>
        <v>0</v>
      </c>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row>
    <row r="562" spans="1:43">
      <c r="A562" s="407">
        <f>Input!B555</f>
        <v>38520</v>
      </c>
      <c r="B562" s="419">
        <f t="shared" si="40"/>
        <v>77</v>
      </c>
      <c r="C562" s="411">
        <f>IF(Input!I555&lt;=0,"",Input!I555)</f>
        <v>3.6056847789219049</v>
      </c>
      <c r="D562" s="412" t="str">
        <f>IF(G562="","",Input!Q555)</f>
        <v/>
      </c>
      <c r="E562" s="412" t="str">
        <f>IF(ISERROR(Input!AA555),"",Input!AA555)</f>
        <v/>
      </c>
      <c r="F562" s="412" t="str">
        <f>IF(E562="","",Input!AQ555)</f>
        <v/>
      </c>
      <c r="G562" s="413" t="str">
        <f t="shared" si="37"/>
        <v/>
      </c>
      <c r="H562" s="413" t="str">
        <f t="shared" si="38"/>
        <v/>
      </c>
      <c r="I562" s="414">
        <f t="shared" si="39"/>
        <v>0</v>
      </c>
      <c r="J562" s="414">
        <f t="shared" si="39"/>
        <v>0</v>
      </c>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row>
    <row r="563" spans="1:43">
      <c r="A563" s="407">
        <f>Input!B556</f>
        <v>38521</v>
      </c>
      <c r="B563" s="419">
        <f t="shared" si="40"/>
        <v>77</v>
      </c>
      <c r="C563" s="411">
        <f>IF(Input!I556&lt;=0,"",Input!I556)</f>
        <v>3.7174724563255186</v>
      </c>
      <c r="D563" s="412" t="str">
        <f>IF(G563="","",Input!Q556)</f>
        <v/>
      </c>
      <c r="E563" s="412" t="str">
        <f>IF(ISERROR(Input!AA556),"",Input!AA556)</f>
        <v/>
      </c>
      <c r="F563" s="412" t="str">
        <f>IF(E563="","",Input!AQ556)</f>
        <v/>
      </c>
      <c r="G563" s="413" t="str">
        <f t="shared" si="37"/>
        <v/>
      </c>
      <c r="H563" s="413" t="str">
        <f t="shared" si="38"/>
        <v/>
      </c>
      <c r="I563" s="414">
        <f t="shared" si="39"/>
        <v>0</v>
      </c>
      <c r="J563" s="414">
        <f t="shared" si="39"/>
        <v>0</v>
      </c>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row>
    <row r="564" spans="1:43">
      <c r="A564" s="407">
        <f>Input!B557</f>
        <v>38522</v>
      </c>
      <c r="B564" s="419">
        <f t="shared" si="40"/>
        <v>77</v>
      </c>
      <c r="C564" s="411">
        <f>IF(Input!I557&lt;=0,"",Input!I557)</f>
        <v>4.2638464795477748</v>
      </c>
      <c r="D564" s="412" t="str">
        <f>IF(G564="","",Input!Q557)</f>
        <v/>
      </c>
      <c r="E564" s="412" t="str">
        <f>IF(ISERROR(Input!AA557),"",Input!AA557)</f>
        <v/>
      </c>
      <c r="F564" s="412" t="str">
        <f>IF(E564="","",Input!AQ557)</f>
        <v/>
      </c>
      <c r="G564" s="413" t="str">
        <f t="shared" si="37"/>
        <v/>
      </c>
      <c r="H564" s="413" t="str">
        <f t="shared" si="38"/>
        <v/>
      </c>
      <c r="I564" s="414">
        <f t="shared" si="39"/>
        <v>0</v>
      </c>
      <c r="J564" s="414">
        <f t="shared" si="39"/>
        <v>0</v>
      </c>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row>
    <row r="565" spans="1:43">
      <c r="A565" s="407">
        <f>Input!B558</f>
        <v>38523</v>
      </c>
      <c r="B565" s="419">
        <f t="shared" si="40"/>
        <v>77</v>
      </c>
      <c r="C565" s="411">
        <f>IF(Input!I558&lt;=0,"",Input!I558)</f>
        <v>4.3448768618195519</v>
      </c>
      <c r="D565" s="412" t="str">
        <f>IF(G565="","",Input!Q558)</f>
        <v/>
      </c>
      <c r="E565" s="412" t="str">
        <f>IF(ISERROR(Input!AA558),"",Input!AA558)</f>
        <v/>
      </c>
      <c r="F565" s="412" t="str">
        <f>IF(E565="","",Input!AQ558)</f>
        <v/>
      </c>
      <c r="G565" s="413" t="str">
        <f t="shared" si="37"/>
        <v/>
      </c>
      <c r="H565" s="413" t="str">
        <f t="shared" si="38"/>
        <v/>
      </c>
      <c r="I565" s="414">
        <f t="shared" si="39"/>
        <v>0</v>
      </c>
      <c r="J565" s="414">
        <f t="shared" si="39"/>
        <v>0</v>
      </c>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row>
    <row r="566" spans="1:43">
      <c r="A566" s="407">
        <f>Input!B559</f>
        <v>38524</v>
      </c>
      <c r="B566" s="419">
        <f t="shared" si="40"/>
        <v>77</v>
      </c>
      <c r="C566" s="411">
        <f>IF(Input!I559&lt;=0,"",Input!I559)</f>
        <v>4.2189462561948528</v>
      </c>
      <c r="D566" s="412" t="str">
        <f>IF(G566="","",Input!Q559)</f>
        <v/>
      </c>
      <c r="E566" s="412" t="str">
        <f>IF(ISERROR(Input!AA559),"",Input!AA559)</f>
        <v/>
      </c>
      <c r="F566" s="412" t="str">
        <f>IF(E566="","",Input!AQ559)</f>
        <v/>
      </c>
      <c r="G566" s="413" t="str">
        <f t="shared" si="37"/>
        <v/>
      </c>
      <c r="H566" s="413" t="str">
        <f t="shared" si="38"/>
        <v/>
      </c>
      <c r="I566" s="414">
        <f t="shared" si="39"/>
        <v>0</v>
      </c>
      <c r="J566" s="414">
        <f t="shared" si="39"/>
        <v>0</v>
      </c>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row>
    <row r="567" spans="1:43">
      <c r="A567" s="407">
        <f>Input!B560</f>
        <v>38525</v>
      </c>
      <c r="B567" s="419">
        <f t="shared" si="40"/>
        <v>77</v>
      </c>
      <c r="C567" s="411">
        <f>IF(Input!I560&lt;=0,"",Input!I560)</f>
        <v>4.815483037784154</v>
      </c>
      <c r="D567" s="412" t="str">
        <f>IF(G567="","",Input!Q560)</f>
        <v/>
      </c>
      <c r="E567" s="412" t="str">
        <f>IF(ISERROR(Input!AA560),"",Input!AA560)</f>
        <v/>
      </c>
      <c r="F567" s="412" t="str">
        <f>IF(E567="","",Input!AQ560)</f>
        <v/>
      </c>
      <c r="G567" s="413" t="str">
        <f t="shared" si="37"/>
        <v/>
      </c>
      <c r="H567" s="413" t="str">
        <f t="shared" si="38"/>
        <v/>
      </c>
      <c r="I567" s="414">
        <f t="shared" si="39"/>
        <v>0</v>
      </c>
      <c r="J567" s="414">
        <f t="shared" si="39"/>
        <v>0</v>
      </c>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row>
    <row r="568" spans="1:43">
      <c r="A568" s="407">
        <f>Input!B561</f>
        <v>38526</v>
      </c>
      <c r="B568" s="419">
        <f t="shared" si="40"/>
        <v>78</v>
      </c>
      <c r="C568" s="411">
        <f>IF(Input!I561&lt;=0,"",Input!I561)</f>
        <v>5.2090818304770883</v>
      </c>
      <c r="D568" s="412" t="str">
        <f>IF(G568="","",Input!Q561)</f>
        <v/>
      </c>
      <c r="E568" s="412" t="str">
        <f>IF(ISERROR(Input!AA561),"",Input!AA561)</f>
        <v/>
      </c>
      <c r="F568" s="412" t="str">
        <f>IF(E568="","",Input!AQ561)</f>
        <v/>
      </c>
      <c r="G568" s="413" t="str">
        <f t="shared" si="37"/>
        <v/>
      </c>
      <c r="H568" s="413" t="str">
        <f t="shared" si="38"/>
        <v/>
      </c>
      <c r="I568" s="414">
        <f t="shared" si="39"/>
        <v>0</v>
      </c>
      <c r="J568" s="414">
        <f t="shared" si="39"/>
        <v>0</v>
      </c>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row>
    <row r="569" spans="1:43">
      <c r="A569" s="407">
        <f>Input!B562</f>
        <v>38527</v>
      </c>
      <c r="B569" s="419">
        <f t="shared" si="40"/>
        <v>78</v>
      </c>
      <c r="C569" s="411">
        <f>IF(Input!I562&lt;=0,"",Input!I562)</f>
        <v>4.2242359034504471</v>
      </c>
      <c r="D569" s="412" t="str">
        <f>IF(G569="","",Input!Q562)</f>
        <v/>
      </c>
      <c r="E569" s="412" t="str">
        <f>IF(ISERROR(Input!AA562),"",Input!AA562)</f>
        <v/>
      </c>
      <c r="F569" s="412" t="str">
        <f>IF(E569="","",Input!AQ562)</f>
        <v/>
      </c>
      <c r="G569" s="413" t="str">
        <f t="shared" si="37"/>
        <v/>
      </c>
      <c r="H569" s="413" t="str">
        <f t="shared" si="38"/>
        <v/>
      </c>
      <c r="I569" s="414">
        <f t="shared" si="39"/>
        <v>0</v>
      </c>
      <c r="J569" s="414">
        <f t="shared" si="39"/>
        <v>0</v>
      </c>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row>
    <row r="570" spans="1:43">
      <c r="A570" s="407">
        <f>Input!B563</f>
        <v>38528</v>
      </c>
      <c r="B570" s="419">
        <f t="shared" si="40"/>
        <v>78</v>
      </c>
      <c r="C570" s="411">
        <f>IF(Input!I563&lt;=0,"",Input!I563)</f>
        <v>3.6770090379365259</v>
      </c>
      <c r="D570" s="412" t="str">
        <f>IF(G570="","",Input!Q563)</f>
        <v/>
      </c>
      <c r="E570" s="412" t="str">
        <f>IF(ISERROR(Input!AA563),"",Input!AA563)</f>
        <v/>
      </c>
      <c r="F570" s="412" t="str">
        <f>IF(E570="","",Input!AQ563)</f>
        <v/>
      </c>
      <c r="G570" s="413" t="str">
        <f t="shared" si="37"/>
        <v/>
      </c>
      <c r="H570" s="413" t="str">
        <f t="shared" si="38"/>
        <v/>
      </c>
      <c r="I570" s="414">
        <f t="shared" si="39"/>
        <v>0</v>
      </c>
      <c r="J570" s="414">
        <f t="shared" si="39"/>
        <v>0</v>
      </c>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row>
    <row r="571" spans="1:43">
      <c r="A571" s="407">
        <f>Input!B564</f>
        <v>38529</v>
      </c>
      <c r="B571" s="419">
        <f t="shared" si="40"/>
        <v>78</v>
      </c>
      <c r="C571" s="411">
        <f>IF(Input!I564&lt;=0,"",Input!I564)</f>
        <v>4.9307354305868794</v>
      </c>
      <c r="D571" s="412" t="str">
        <f>IF(G571="","",Input!Q564)</f>
        <v/>
      </c>
      <c r="E571" s="412" t="str">
        <f>IF(ISERROR(Input!AA564),"",Input!AA564)</f>
        <v/>
      </c>
      <c r="F571" s="412" t="str">
        <f>IF(E571="","",Input!AQ564)</f>
        <v/>
      </c>
      <c r="G571" s="413" t="str">
        <f t="shared" si="37"/>
        <v/>
      </c>
      <c r="H571" s="413" t="str">
        <f t="shared" si="38"/>
        <v/>
      </c>
      <c r="I571" s="414">
        <f t="shared" si="39"/>
        <v>0</v>
      </c>
      <c r="J571" s="414">
        <f t="shared" si="39"/>
        <v>0</v>
      </c>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row>
    <row r="572" spans="1:43">
      <c r="A572" s="407">
        <f>Input!B565</f>
        <v>38530</v>
      </c>
      <c r="B572" s="419">
        <f t="shared" si="40"/>
        <v>78</v>
      </c>
      <c r="C572" s="411">
        <f>IF(Input!I565&lt;=0,"",Input!I565)</f>
        <v>4.4419396786312708</v>
      </c>
      <c r="D572" s="412" t="str">
        <f>IF(G572="","",Input!Q565)</f>
        <v/>
      </c>
      <c r="E572" s="412" t="str">
        <f>IF(ISERROR(Input!AA565),"",Input!AA565)</f>
        <v/>
      </c>
      <c r="F572" s="412" t="str">
        <f>IF(E572="","",Input!AQ565)</f>
        <v/>
      </c>
      <c r="G572" s="413" t="str">
        <f t="shared" si="37"/>
        <v/>
      </c>
      <c r="H572" s="413" t="str">
        <f t="shared" si="38"/>
        <v/>
      </c>
      <c r="I572" s="414">
        <f t="shared" si="39"/>
        <v>0</v>
      </c>
      <c r="J572" s="414">
        <f t="shared" si="39"/>
        <v>0</v>
      </c>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row>
    <row r="573" spans="1:43">
      <c r="A573" s="407">
        <f>Input!B566</f>
        <v>38531</v>
      </c>
      <c r="B573" s="419">
        <f t="shared" si="40"/>
        <v>78</v>
      </c>
      <c r="C573" s="411">
        <f>IF(Input!I566&lt;=0,"",Input!I566)</f>
        <v>3.9969408725133637</v>
      </c>
      <c r="D573" s="412" t="str">
        <f>IF(G573="","",Input!Q566)</f>
        <v/>
      </c>
      <c r="E573" s="412" t="str">
        <f>IF(ISERROR(Input!AA566),"",Input!AA566)</f>
        <v/>
      </c>
      <c r="F573" s="412" t="str">
        <f>IF(E573="","",Input!AQ566)</f>
        <v/>
      </c>
      <c r="G573" s="413" t="str">
        <f t="shared" si="37"/>
        <v/>
      </c>
      <c r="H573" s="413" t="str">
        <f t="shared" si="38"/>
        <v/>
      </c>
      <c r="I573" s="414">
        <f t="shared" si="39"/>
        <v>0</v>
      </c>
      <c r="J573" s="414">
        <f t="shared" si="39"/>
        <v>0</v>
      </c>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row>
    <row r="574" spans="1:43">
      <c r="A574" s="407">
        <f>Input!B567</f>
        <v>38532</v>
      </c>
      <c r="B574" s="419">
        <f t="shared" si="40"/>
        <v>78</v>
      </c>
      <c r="C574" s="411">
        <f>IF(Input!I567&lt;=0,"",Input!I567)</f>
        <v>3.6508180022650345</v>
      </c>
      <c r="D574" s="412" t="str">
        <f>IF(G574="","",Input!Q567)</f>
        <v/>
      </c>
      <c r="E574" s="412" t="str">
        <f>IF(ISERROR(Input!AA567),"",Input!AA567)</f>
        <v/>
      </c>
      <c r="F574" s="412" t="str">
        <f>IF(E574="","",Input!AQ567)</f>
        <v/>
      </c>
      <c r="G574" s="413" t="str">
        <f t="shared" si="37"/>
        <v/>
      </c>
      <c r="H574" s="413" t="str">
        <f t="shared" si="38"/>
        <v/>
      </c>
      <c r="I574" s="414">
        <f t="shared" si="39"/>
        <v>0</v>
      </c>
      <c r="J574" s="414">
        <f t="shared" si="39"/>
        <v>0</v>
      </c>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row>
    <row r="575" spans="1:43">
      <c r="A575" s="407">
        <f>Input!B568</f>
        <v>38533</v>
      </c>
      <c r="B575" s="419">
        <f t="shared" si="40"/>
        <v>79</v>
      </c>
      <c r="C575" s="411">
        <f>IF(Input!I568&lt;=0,"",Input!I568)</f>
        <v>5.0784150259928538</v>
      </c>
      <c r="D575" s="412" t="str">
        <f>IF(G575="","",Input!Q568)</f>
        <v/>
      </c>
      <c r="E575" s="412" t="str">
        <f>IF(ISERROR(Input!AA568),"",Input!AA568)</f>
        <v/>
      </c>
      <c r="F575" s="412" t="str">
        <f>IF(E575="","",Input!AQ568)</f>
        <v/>
      </c>
      <c r="G575" s="413" t="str">
        <f t="shared" si="37"/>
        <v/>
      </c>
      <c r="H575" s="413" t="str">
        <f t="shared" si="38"/>
        <v/>
      </c>
      <c r="I575" s="414">
        <f t="shared" si="39"/>
        <v>0</v>
      </c>
      <c r="J575" s="414">
        <f t="shared" si="39"/>
        <v>0</v>
      </c>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row>
    <row r="576" spans="1:43">
      <c r="A576" s="407">
        <f>Input!B569</f>
        <v>38534</v>
      </c>
      <c r="B576" s="419">
        <f t="shared" si="40"/>
        <v>79</v>
      </c>
      <c r="C576" s="411">
        <f>IF(Input!I569&lt;=0,"",Input!I569)</f>
        <v>5.1603088288052135</v>
      </c>
      <c r="D576" s="412" t="str">
        <f>IF(G576="","",Input!Q569)</f>
        <v/>
      </c>
      <c r="E576" s="412" t="str">
        <f>IF(ISERROR(Input!AA569),"",Input!AA569)</f>
        <v/>
      </c>
      <c r="F576" s="412" t="str">
        <f>IF(E576="","",Input!AQ569)</f>
        <v/>
      </c>
      <c r="G576" s="413" t="str">
        <f t="shared" si="37"/>
        <v/>
      </c>
      <c r="H576" s="413" t="str">
        <f t="shared" si="38"/>
        <v/>
      </c>
      <c r="I576" s="414">
        <f t="shared" si="39"/>
        <v>0</v>
      </c>
      <c r="J576" s="414">
        <f t="shared" si="39"/>
        <v>0</v>
      </c>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row>
    <row r="577" spans="1:43">
      <c r="A577" s="407">
        <f>Input!B570</f>
        <v>38535</v>
      </c>
      <c r="B577" s="419">
        <f t="shared" si="40"/>
        <v>79</v>
      </c>
      <c r="C577" s="411">
        <f>IF(Input!I570&lt;=0,"",Input!I570)</f>
        <v>5.3632519936455187</v>
      </c>
      <c r="D577" s="412" t="str">
        <f>IF(G577="","",Input!Q570)</f>
        <v/>
      </c>
      <c r="E577" s="412" t="str">
        <f>IF(ISERROR(Input!AA570),"",Input!AA570)</f>
        <v/>
      </c>
      <c r="F577" s="412" t="str">
        <f>IF(E577="","",Input!AQ570)</f>
        <v/>
      </c>
      <c r="G577" s="413" t="str">
        <f t="shared" si="37"/>
        <v/>
      </c>
      <c r="H577" s="413" t="str">
        <f t="shared" si="38"/>
        <v/>
      </c>
      <c r="I577" s="414">
        <f t="shared" si="39"/>
        <v>0</v>
      </c>
      <c r="J577" s="414">
        <f t="shared" si="39"/>
        <v>0</v>
      </c>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row>
    <row r="578" spans="1:43">
      <c r="A578" s="407">
        <f>Input!B571</f>
        <v>38536</v>
      </c>
      <c r="B578" s="419">
        <f t="shared" si="40"/>
        <v>79</v>
      </c>
      <c r="C578" s="411">
        <f>IF(Input!I571&lt;=0,"",Input!I571)</f>
        <v>5.5388845439925944</v>
      </c>
      <c r="D578" s="412" t="str">
        <f>IF(G578="","",Input!Q571)</f>
        <v/>
      </c>
      <c r="E578" s="412" t="str">
        <f>IF(ISERROR(Input!AA571),"",Input!AA571)</f>
        <v/>
      </c>
      <c r="F578" s="412" t="str">
        <f>IF(E578="","",Input!AQ571)</f>
        <v/>
      </c>
      <c r="G578" s="413" t="str">
        <f t="shared" si="37"/>
        <v/>
      </c>
      <c r="H578" s="413" t="str">
        <f t="shared" si="38"/>
        <v/>
      </c>
      <c r="I578" s="414">
        <f t="shared" si="39"/>
        <v>0</v>
      </c>
      <c r="J578" s="414">
        <f t="shared" si="39"/>
        <v>0</v>
      </c>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row>
    <row r="579" spans="1:43">
      <c r="A579" s="407">
        <f>Input!B572</f>
        <v>38537</v>
      </c>
      <c r="B579" s="419">
        <f t="shared" si="40"/>
        <v>79</v>
      </c>
      <c r="C579" s="411">
        <f>IF(Input!I572&lt;=0,"",Input!I572)</f>
        <v>5.0489004426417008</v>
      </c>
      <c r="D579" s="412" t="str">
        <f>IF(G579="","",Input!Q572)</f>
        <v/>
      </c>
      <c r="E579" s="412" t="str">
        <f>IF(ISERROR(Input!AA572),"",Input!AA572)</f>
        <v/>
      </c>
      <c r="F579" s="412" t="str">
        <f>IF(E579="","",Input!AQ572)</f>
        <v/>
      </c>
      <c r="G579" s="413" t="str">
        <f t="shared" si="37"/>
        <v/>
      </c>
      <c r="H579" s="413" t="str">
        <f t="shared" si="38"/>
        <v/>
      </c>
      <c r="I579" s="414">
        <f t="shared" si="39"/>
        <v>0</v>
      </c>
      <c r="J579" s="414">
        <f t="shared" si="39"/>
        <v>0</v>
      </c>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row>
    <row r="580" spans="1:43">
      <c r="A580" s="407">
        <f>Input!B573</f>
        <v>38538</v>
      </c>
      <c r="B580" s="419">
        <f t="shared" si="40"/>
        <v>79</v>
      </c>
      <c r="C580" s="411">
        <f>IF(Input!I573&lt;=0,"",Input!I573)</f>
        <v>5.1819685613911384</v>
      </c>
      <c r="D580" s="412" t="str">
        <f>IF(G580="","",Input!Q573)</f>
        <v/>
      </c>
      <c r="E580" s="412" t="str">
        <f>IF(ISERROR(Input!AA573),"",Input!AA573)</f>
        <v/>
      </c>
      <c r="F580" s="412" t="str">
        <f>IF(E580="","",Input!AQ573)</f>
        <v/>
      </c>
      <c r="G580" s="413" t="str">
        <f t="shared" si="37"/>
        <v/>
      </c>
      <c r="H580" s="413" t="str">
        <f t="shared" si="38"/>
        <v/>
      </c>
      <c r="I580" s="414">
        <f t="shared" si="39"/>
        <v>0</v>
      </c>
      <c r="J580" s="414">
        <f t="shared" si="39"/>
        <v>0</v>
      </c>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row>
    <row r="581" spans="1:43">
      <c r="A581" s="407">
        <f>Input!B574</f>
        <v>38539</v>
      </c>
      <c r="B581" s="419">
        <f t="shared" si="40"/>
        <v>79</v>
      </c>
      <c r="C581" s="411">
        <f>IF(Input!I574&lt;=0,"",Input!I574)</f>
        <v>3.4769314126585869</v>
      </c>
      <c r="D581" s="412" t="str">
        <f>IF(G581="","",Input!Q574)</f>
        <v/>
      </c>
      <c r="E581" s="412" t="str">
        <f>IF(ISERROR(Input!AA574),"",Input!AA574)</f>
        <v/>
      </c>
      <c r="F581" s="412" t="str">
        <f>IF(E581="","",Input!AQ574)</f>
        <v/>
      </c>
      <c r="G581" s="413" t="str">
        <f t="shared" si="37"/>
        <v/>
      </c>
      <c r="H581" s="413" t="str">
        <f t="shared" si="38"/>
        <v/>
      </c>
      <c r="I581" s="414">
        <f t="shared" si="39"/>
        <v>0</v>
      </c>
      <c r="J581" s="414">
        <f t="shared" si="39"/>
        <v>0</v>
      </c>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row>
    <row r="582" spans="1:43">
      <c r="A582" s="407">
        <f>Input!B575</f>
        <v>38540</v>
      </c>
      <c r="B582" s="419">
        <f t="shared" si="40"/>
        <v>80</v>
      </c>
      <c r="C582" s="411">
        <f>IF(Input!I575&lt;=0,"",Input!I575)</f>
        <v>3.3390863812371721</v>
      </c>
      <c r="D582" s="412" t="str">
        <f>IF(G582="","",Input!Q575)</f>
        <v/>
      </c>
      <c r="E582" s="412" t="str">
        <f>IF(ISERROR(Input!AA575),"",Input!AA575)</f>
        <v/>
      </c>
      <c r="F582" s="412" t="str">
        <f>IF(E582="","",Input!AQ575)</f>
        <v/>
      </c>
      <c r="G582" s="413" t="str">
        <f t="shared" si="37"/>
        <v/>
      </c>
      <c r="H582" s="413" t="str">
        <f t="shared" si="38"/>
        <v/>
      </c>
      <c r="I582" s="414">
        <f t="shared" si="39"/>
        <v>0</v>
      </c>
      <c r="J582" s="414">
        <f t="shared" si="39"/>
        <v>0</v>
      </c>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row>
    <row r="583" spans="1:43">
      <c r="A583" s="407">
        <f>Input!B576</f>
        <v>38541</v>
      </c>
      <c r="B583" s="419">
        <f t="shared" si="40"/>
        <v>80</v>
      </c>
      <c r="C583" s="411">
        <f>IF(Input!I576&lt;=0,"",Input!I576)</f>
        <v>4.4509781454770909</v>
      </c>
      <c r="D583" s="412" t="str">
        <f>IF(G583="","",Input!Q576)</f>
        <v/>
      </c>
      <c r="E583" s="412" t="str">
        <f>IF(ISERROR(Input!AA576),"",Input!AA576)</f>
        <v/>
      </c>
      <c r="F583" s="412" t="str">
        <f>IF(E583="","",Input!AQ576)</f>
        <v/>
      </c>
      <c r="G583" s="413" t="str">
        <f t="shared" si="37"/>
        <v/>
      </c>
      <c r="H583" s="413" t="str">
        <f t="shared" si="38"/>
        <v/>
      </c>
      <c r="I583" s="414">
        <f t="shared" si="39"/>
        <v>0</v>
      </c>
      <c r="J583" s="414">
        <f t="shared" si="39"/>
        <v>0</v>
      </c>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row>
    <row r="584" spans="1:43">
      <c r="A584" s="407">
        <f>Input!B577</f>
        <v>38542</v>
      </c>
      <c r="B584" s="419">
        <f t="shared" si="40"/>
        <v>80</v>
      </c>
      <c r="C584" s="411">
        <f>IF(Input!I577&lt;=0,"",Input!I577)</f>
        <v>4.4175903643995147</v>
      </c>
      <c r="D584" s="412" t="str">
        <f>IF(G584="","",Input!Q577)</f>
        <v/>
      </c>
      <c r="E584" s="412" t="str">
        <f>IF(ISERROR(Input!AA577),"",Input!AA577)</f>
        <v/>
      </c>
      <c r="F584" s="412" t="str">
        <f>IF(E584="","",Input!AQ577)</f>
        <v/>
      </c>
      <c r="G584" s="413" t="str">
        <f t="shared" si="37"/>
        <v/>
      </c>
      <c r="H584" s="413" t="str">
        <f t="shared" si="38"/>
        <v/>
      </c>
      <c r="I584" s="414">
        <f t="shared" si="39"/>
        <v>0</v>
      </c>
      <c r="J584" s="414">
        <f t="shared" si="39"/>
        <v>0</v>
      </c>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row>
    <row r="585" spans="1:43">
      <c r="A585" s="407">
        <f>Input!B578</f>
        <v>38543</v>
      </c>
      <c r="B585" s="419">
        <f t="shared" si="40"/>
        <v>80</v>
      </c>
      <c r="C585" s="411">
        <f>IF(Input!I578&lt;=0,"",Input!I578)</f>
        <v>4.7621015055229519</v>
      </c>
      <c r="D585" s="412" t="str">
        <f>IF(G585="","",Input!Q578)</f>
        <v/>
      </c>
      <c r="E585" s="412" t="str">
        <f>IF(ISERROR(Input!AA578),"",Input!AA578)</f>
        <v/>
      </c>
      <c r="F585" s="412" t="str">
        <f>IF(E585="","",Input!AQ578)</f>
        <v/>
      </c>
      <c r="G585" s="413" t="str">
        <f t="shared" si="37"/>
        <v/>
      </c>
      <c r="H585" s="413" t="str">
        <f t="shared" si="38"/>
        <v/>
      </c>
      <c r="I585" s="414">
        <f t="shared" si="39"/>
        <v>0</v>
      </c>
      <c r="J585" s="414">
        <f t="shared" si="39"/>
        <v>0</v>
      </c>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row>
    <row r="586" spans="1:43">
      <c r="A586" s="407">
        <f>Input!B579</f>
        <v>38544</v>
      </c>
      <c r="B586" s="419">
        <f t="shared" si="40"/>
        <v>80</v>
      </c>
      <c r="C586" s="411">
        <f>IF(Input!I579&lt;=0,"",Input!I579)</f>
        <v>4.8331833809099534</v>
      </c>
      <c r="D586" s="412" t="str">
        <f>IF(G586="","",Input!Q579)</f>
        <v/>
      </c>
      <c r="E586" s="412" t="str">
        <f>IF(ISERROR(Input!AA579),"",Input!AA579)</f>
        <v/>
      </c>
      <c r="F586" s="412" t="str">
        <f>IF(E586="","",Input!AQ579)</f>
        <v/>
      </c>
      <c r="G586" s="413" t="str">
        <f t="shared" si="37"/>
        <v/>
      </c>
      <c r="H586" s="413" t="str">
        <f t="shared" si="38"/>
        <v/>
      </c>
      <c r="I586" s="414">
        <f t="shared" si="39"/>
        <v>0</v>
      </c>
      <c r="J586" s="414">
        <f t="shared" si="39"/>
        <v>0</v>
      </c>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row>
    <row r="587" spans="1:43">
      <c r="A587" s="407">
        <f>Input!B580</f>
        <v>38545</v>
      </c>
      <c r="B587" s="419">
        <f t="shared" si="40"/>
        <v>80</v>
      </c>
      <c r="C587" s="411">
        <f>IF(Input!I580&lt;=0,"",Input!I580)</f>
        <v>5.1474550835259034</v>
      </c>
      <c r="D587" s="412" t="str">
        <f>IF(G587="","",Input!Q580)</f>
        <v/>
      </c>
      <c r="E587" s="412" t="str">
        <f>IF(ISERROR(Input!AA580),"",Input!AA580)</f>
        <v/>
      </c>
      <c r="F587" s="412" t="str">
        <f>IF(E587="","",Input!AQ580)</f>
        <v/>
      </c>
      <c r="G587" s="413" t="str">
        <f t="shared" si="37"/>
        <v/>
      </c>
      <c r="H587" s="413" t="str">
        <f t="shared" si="38"/>
        <v/>
      </c>
      <c r="I587" s="414">
        <f t="shared" si="39"/>
        <v>0</v>
      </c>
      <c r="J587" s="414">
        <f t="shared" si="39"/>
        <v>0</v>
      </c>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row>
    <row r="588" spans="1:43">
      <c r="A588" s="407">
        <f>Input!B581</f>
        <v>38546</v>
      </c>
      <c r="B588" s="419">
        <f t="shared" si="40"/>
        <v>80</v>
      </c>
      <c r="C588" s="411">
        <f>IF(Input!I581&lt;=0,"",Input!I581)</f>
        <v>4.4444365747997825</v>
      </c>
      <c r="D588" s="412" t="str">
        <f>IF(G588="","",Input!Q581)</f>
        <v/>
      </c>
      <c r="E588" s="412" t="str">
        <f>IF(ISERROR(Input!AA581),"",Input!AA581)</f>
        <v/>
      </c>
      <c r="F588" s="412" t="str">
        <f>IF(E588="","",Input!AQ581)</f>
        <v/>
      </c>
      <c r="G588" s="413" t="str">
        <f t="shared" si="37"/>
        <v/>
      </c>
      <c r="H588" s="413" t="str">
        <f t="shared" si="38"/>
        <v/>
      </c>
      <c r="I588" s="414">
        <f t="shared" si="39"/>
        <v>0</v>
      </c>
      <c r="J588" s="414">
        <f t="shared" si="39"/>
        <v>0</v>
      </c>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row>
    <row r="589" spans="1:43">
      <c r="A589" s="407">
        <f>Input!B582</f>
        <v>38547</v>
      </c>
      <c r="B589" s="419">
        <f t="shared" si="40"/>
        <v>81</v>
      </c>
      <c r="C589" s="411">
        <f>IF(Input!I582&lt;=0,"",Input!I582)</f>
        <v>4.154374970844211</v>
      </c>
      <c r="D589" s="412" t="str">
        <f>IF(G589="","",Input!Q582)</f>
        <v/>
      </c>
      <c r="E589" s="412" t="str">
        <f>IF(ISERROR(Input!AA582),"",Input!AA582)</f>
        <v/>
      </c>
      <c r="F589" s="412" t="str">
        <f>IF(E589="","",Input!AQ582)</f>
        <v/>
      </c>
      <c r="G589" s="413" t="str">
        <f t="shared" si="37"/>
        <v/>
      </c>
      <c r="H589" s="413" t="str">
        <f t="shared" si="38"/>
        <v/>
      </c>
      <c r="I589" s="414">
        <f t="shared" si="39"/>
        <v>0</v>
      </c>
      <c r="J589" s="414">
        <f t="shared" si="39"/>
        <v>0</v>
      </c>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row>
    <row r="590" spans="1:43">
      <c r="A590" s="407">
        <f>Input!B583</f>
        <v>38548</v>
      </c>
      <c r="B590" s="419">
        <f t="shared" si="40"/>
        <v>81</v>
      </c>
      <c r="C590" s="411">
        <f>IF(Input!I583&lt;=0,"",Input!I583)</f>
        <v>4.3856695518355373</v>
      </c>
      <c r="D590" s="412" t="str">
        <f>IF(G590="","",Input!Q583)</f>
        <v/>
      </c>
      <c r="E590" s="412" t="str">
        <f>IF(ISERROR(Input!AA583),"",Input!AA583)</f>
        <v/>
      </c>
      <c r="F590" s="412" t="str">
        <f>IF(E590="","",Input!AQ583)</f>
        <v/>
      </c>
      <c r="G590" s="413" t="str">
        <f t="shared" si="37"/>
        <v/>
      </c>
      <c r="H590" s="413" t="str">
        <f t="shared" si="38"/>
        <v/>
      </c>
      <c r="I590" s="414">
        <f t="shared" si="39"/>
        <v>0</v>
      </c>
      <c r="J590" s="414">
        <f t="shared" si="39"/>
        <v>0</v>
      </c>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row>
    <row r="591" spans="1:43">
      <c r="A591" s="407">
        <f>Input!B584</f>
        <v>38549</v>
      </c>
      <c r="B591" s="419">
        <f t="shared" si="40"/>
        <v>81</v>
      </c>
      <c r="C591" s="411">
        <f>IF(Input!I584&lt;=0,"",Input!I584)</f>
        <v>4.3782405218811054</v>
      </c>
      <c r="D591" s="412" t="str">
        <f>IF(G591="","",Input!Q584)</f>
        <v/>
      </c>
      <c r="E591" s="412" t="str">
        <f>IF(ISERROR(Input!AA584),"",Input!AA584)</f>
        <v/>
      </c>
      <c r="F591" s="412" t="str">
        <f>IF(E591="","",Input!AQ584)</f>
        <v/>
      </c>
      <c r="G591" s="413" t="str">
        <f t="shared" si="37"/>
        <v/>
      </c>
      <c r="H591" s="413" t="str">
        <f t="shared" si="38"/>
        <v/>
      </c>
      <c r="I591" s="414">
        <f t="shared" si="39"/>
        <v>0</v>
      </c>
      <c r="J591" s="414">
        <f t="shared" si="39"/>
        <v>0</v>
      </c>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row>
    <row r="592" spans="1:43">
      <c r="A592" s="407">
        <f>Input!B585</f>
        <v>38550</v>
      </c>
      <c r="B592" s="419">
        <f t="shared" si="40"/>
        <v>81</v>
      </c>
      <c r="C592" s="411">
        <f>IF(Input!I585&lt;=0,"",Input!I585)</f>
        <v>4.6146636278569044</v>
      </c>
      <c r="D592" s="412" t="str">
        <f>IF(G592="","",Input!Q585)</f>
        <v/>
      </c>
      <c r="E592" s="412" t="str">
        <f>IF(ISERROR(Input!AA585),"",Input!AA585)</f>
        <v/>
      </c>
      <c r="F592" s="412" t="str">
        <f>IF(E592="","",Input!AQ585)</f>
        <v/>
      </c>
      <c r="G592" s="413" t="str">
        <f t="shared" si="37"/>
        <v/>
      </c>
      <c r="H592" s="413" t="str">
        <f t="shared" si="38"/>
        <v/>
      </c>
      <c r="I592" s="414">
        <f t="shared" si="39"/>
        <v>0</v>
      </c>
      <c r="J592" s="414">
        <f t="shared" si="39"/>
        <v>0</v>
      </c>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row>
    <row r="593" spans="1:43">
      <c r="A593" s="407">
        <f>Input!B586</f>
        <v>38551</v>
      </c>
      <c r="B593" s="419">
        <f t="shared" si="40"/>
        <v>81</v>
      </c>
      <c r="C593" s="411">
        <f>IF(Input!I586&lt;=0,"",Input!I586)</f>
        <v>4.4565907017106809</v>
      </c>
      <c r="D593" s="412" t="str">
        <f>IF(G593="","",Input!Q586)</f>
        <v/>
      </c>
      <c r="E593" s="412" t="str">
        <f>IF(ISERROR(Input!AA586),"",Input!AA586)</f>
        <v/>
      </c>
      <c r="F593" s="412" t="str">
        <f>IF(E593="","",Input!AQ586)</f>
        <v/>
      </c>
      <c r="G593" s="413" t="str">
        <f t="shared" si="37"/>
        <v/>
      </c>
      <c r="H593" s="413" t="str">
        <f t="shared" si="38"/>
        <v/>
      </c>
      <c r="I593" s="414">
        <f t="shared" si="39"/>
        <v>0</v>
      </c>
      <c r="J593" s="414">
        <f t="shared" si="39"/>
        <v>0</v>
      </c>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row>
    <row r="594" spans="1:43">
      <c r="A594" s="407">
        <f>Input!B587</f>
        <v>38552</v>
      </c>
      <c r="B594" s="419">
        <f t="shared" si="40"/>
        <v>81</v>
      </c>
      <c r="C594" s="411">
        <f>IF(Input!I587&lt;=0,"",Input!I587)</f>
        <v>4.3856661721297474</v>
      </c>
      <c r="D594" s="412" t="str">
        <f>IF(G594="","",Input!Q587)</f>
        <v/>
      </c>
      <c r="E594" s="412" t="str">
        <f>IF(ISERROR(Input!AA587),"",Input!AA587)</f>
        <v/>
      </c>
      <c r="F594" s="412" t="str">
        <f>IF(E594="","",Input!AQ587)</f>
        <v/>
      </c>
      <c r="G594" s="413" t="str">
        <f t="shared" si="37"/>
        <v/>
      </c>
      <c r="H594" s="413" t="str">
        <f t="shared" si="38"/>
        <v/>
      </c>
      <c r="I594" s="414">
        <f t="shared" si="39"/>
        <v>0</v>
      </c>
      <c r="J594" s="414">
        <f t="shared" si="39"/>
        <v>0</v>
      </c>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row>
    <row r="595" spans="1:43">
      <c r="A595" s="407">
        <f>Input!B588</f>
        <v>38553</v>
      </c>
      <c r="B595" s="419">
        <f t="shared" si="40"/>
        <v>81</v>
      </c>
      <c r="C595" s="411">
        <f>IF(Input!I588&lt;=0,"",Input!I588)</f>
        <v>4.5585086386905456</v>
      </c>
      <c r="D595" s="412" t="str">
        <f>IF(G595="","",Input!Q588)</f>
        <v/>
      </c>
      <c r="E595" s="412" t="str">
        <f>IF(ISERROR(Input!AA588),"",Input!AA588)</f>
        <v/>
      </c>
      <c r="F595" s="412" t="str">
        <f>IF(E595="","",Input!AQ588)</f>
        <v/>
      </c>
      <c r="G595" s="413" t="str">
        <f t="shared" si="37"/>
        <v/>
      </c>
      <c r="H595" s="413" t="str">
        <f t="shared" si="38"/>
        <v/>
      </c>
      <c r="I595" s="414">
        <f t="shared" si="39"/>
        <v>0</v>
      </c>
      <c r="J595" s="414">
        <f t="shared" si="39"/>
        <v>0</v>
      </c>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row>
    <row r="596" spans="1:43">
      <c r="A596" s="407">
        <f>Input!B589</f>
        <v>38554</v>
      </c>
      <c r="B596" s="419">
        <f t="shared" si="40"/>
        <v>82</v>
      </c>
      <c r="C596" s="411">
        <f>IF(Input!I589&lt;=0,"",Input!I589)</f>
        <v>5.0131309788816969</v>
      </c>
      <c r="D596" s="412" t="str">
        <f>IF(G596="","",Input!Q589)</f>
        <v/>
      </c>
      <c r="E596" s="412" t="str">
        <f>IF(ISERROR(Input!AA589),"",Input!AA589)</f>
        <v/>
      </c>
      <c r="F596" s="412" t="str">
        <f>IF(E596="","",Input!AQ589)</f>
        <v/>
      </c>
      <c r="G596" s="413" t="str">
        <f t="shared" si="37"/>
        <v/>
      </c>
      <c r="H596" s="413" t="str">
        <f t="shared" si="38"/>
        <v/>
      </c>
      <c r="I596" s="414">
        <f t="shared" si="39"/>
        <v>0</v>
      </c>
      <c r="J596" s="414">
        <f t="shared" si="39"/>
        <v>0</v>
      </c>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row>
    <row r="597" spans="1:43">
      <c r="A597" s="407">
        <f>Input!B590</f>
        <v>38555</v>
      </c>
      <c r="B597" s="419">
        <f t="shared" si="40"/>
        <v>82</v>
      </c>
      <c r="C597" s="411">
        <f>IF(Input!I590&lt;=0,"",Input!I590)</f>
        <v>4.3086235392401058</v>
      </c>
      <c r="D597" s="412" t="str">
        <f>IF(G597="","",Input!Q590)</f>
        <v/>
      </c>
      <c r="E597" s="412" t="str">
        <f>IF(ISERROR(Input!AA590),"",Input!AA590)</f>
        <v/>
      </c>
      <c r="F597" s="412" t="str">
        <f>IF(E597="","",Input!AQ590)</f>
        <v/>
      </c>
      <c r="G597" s="413" t="str">
        <f t="shared" si="37"/>
        <v/>
      </c>
      <c r="H597" s="413" t="str">
        <f t="shared" si="38"/>
        <v/>
      </c>
      <c r="I597" s="414">
        <f t="shared" si="39"/>
        <v>0</v>
      </c>
      <c r="J597" s="414">
        <f t="shared" si="39"/>
        <v>0</v>
      </c>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row>
    <row r="598" spans="1:43">
      <c r="A598" s="407">
        <f>Input!B591</f>
        <v>38556</v>
      </c>
      <c r="B598" s="419">
        <f t="shared" si="40"/>
        <v>82</v>
      </c>
      <c r="C598" s="411">
        <f>IF(Input!I591&lt;=0,"",Input!I591)</f>
        <v>3.9753833592271319</v>
      </c>
      <c r="D598" s="412" t="str">
        <f>IF(G598="","",Input!Q591)</f>
        <v/>
      </c>
      <c r="E598" s="412" t="str">
        <f>IF(ISERROR(Input!AA591),"",Input!AA591)</f>
        <v/>
      </c>
      <c r="F598" s="412" t="str">
        <f>IF(E598="","",Input!AQ591)</f>
        <v/>
      </c>
      <c r="G598" s="413" t="str">
        <f t="shared" si="37"/>
        <v/>
      </c>
      <c r="H598" s="413" t="str">
        <f t="shared" si="38"/>
        <v/>
      </c>
      <c r="I598" s="414">
        <f t="shared" si="39"/>
        <v>0</v>
      </c>
      <c r="J598" s="414">
        <f t="shared" si="39"/>
        <v>0</v>
      </c>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row>
    <row r="599" spans="1:43">
      <c r="A599" s="407">
        <f>Input!B592</f>
        <v>38557</v>
      </c>
      <c r="B599" s="419">
        <f t="shared" si="40"/>
        <v>82</v>
      </c>
      <c r="C599" s="411">
        <f>IF(Input!I592&lt;=0,"",Input!I592)</f>
        <v>4.0457230402672915</v>
      </c>
      <c r="D599" s="412" t="str">
        <f>IF(G599="","",Input!Q592)</f>
        <v/>
      </c>
      <c r="E599" s="412" t="str">
        <f>IF(ISERROR(Input!AA592),"",Input!AA592)</f>
        <v/>
      </c>
      <c r="F599" s="412" t="str">
        <f>IF(E599="","",Input!AQ592)</f>
        <v/>
      </c>
      <c r="G599" s="413" t="str">
        <f t="shared" si="37"/>
        <v/>
      </c>
      <c r="H599" s="413" t="str">
        <f t="shared" si="38"/>
        <v/>
      </c>
      <c r="I599" s="414">
        <f t="shared" si="39"/>
        <v>0</v>
      </c>
      <c r="J599" s="414">
        <f t="shared" si="39"/>
        <v>0</v>
      </c>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row>
    <row r="600" spans="1:43">
      <c r="A600" s="407">
        <f>Input!B593</f>
        <v>38558</v>
      </c>
      <c r="B600" s="419">
        <f t="shared" si="40"/>
        <v>82</v>
      </c>
      <c r="C600" s="411">
        <f>IF(Input!I593&lt;=0,"",Input!I593)</f>
        <v>4.087687667829055</v>
      </c>
      <c r="D600" s="412" t="str">
        <f>IF(G600="","",Input!Q593)</f>
        <v/>
      </c>
      <c r="E600" s="412" t="str">
        <f>IF(ISERROR(Input!AA593),"",Input!AA593)</f>
        <v/>
      </c>
      <c r="F600" s="412" t="str">
        <f>IF(E600="","",Input!AQ593)</f>
        <v/>
      </c>
      <c r="G600" s="413" t="str">
        <f t="shared" si="37"/>
        <v/>
      </c>
      <c r="H600" s="413" t="str">
        <f t="shared" si="38"/>
        <v/>
      </c>
      <c r="I600" s="414">
        <f t="shared" si="39"/>
        <v>0</v>
      </c>
      <c r="J600" s="414">
        <f t="shared" si="39"/>
        <v>0</v>
      </c>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row>
    <row r="601" spans="1:43">
      <c r="A601" s="407">
        <f>Input!B594</f>
        <v>38559</v>
      </c>
      <c r="B601" s="419">
        <f t="shared" si="40"/>
        <v>82</v>
      </c>
      <c r="C601" s="411">
        <f>IF(Input!I594&lt;=0,"",Input!I594)</f>
        <v>3.7454392842547892</v>
      </c>
      <c r="D601" s="412" t="str">
        <f>IF(G601="","",Input!Q594)</f>
        <v/>
      </c>
      <c r="E601" s="412" t="str">
        <f>IF(ISERROR(Input!AA594),"",Input!AA594)</f>
        <v/>
      </c>
      <c r="F601" s="412" t="str">
        <f>IF(E601="","",Input!AQ594)</f>
        <v/>
      </c>
      <c r="G601" s="413" t="str">
        <f t="shared" si="37"/>
        <v/>
      </c>
      <c r="H601" s="413" t="str">
        <f t="shared" si="38"/>
        <v/>
      </c>
      <c r="I601" s="414">
        <f t="shared" si="39"/>
        <v>0</v>
      </c>
      <c r="J601" s="414">
        <f t="shared" si="39"/>
        <v>0</v>
      </c>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row>
    <row r="602" spans="1:43">
      <c r="A602" s="407">
        <f>Input!B595</f>
        <v>38560</v>
      </c>
      <c r="B602" s="419">
        <f t="shared" si="40"/>
        <v>82</v>
      </c>
      <c r="C602" s="411">
        <f>IF(Input!I595&lt;=0,"",Input!I595)</f>
        <v>4.4864865244293437</v>
      </c>
      <c r="D602" s="412" t="str">
        <f>IF(G602="","",Input!Q595)</f>
        <v/>
      </c>
      <c r="E602" s="412" t="str">
        <f>IF(ISERROR(Input!AA595),"",Input!AA595)</f>
        <v/>
      </c>
      <c r="F602" s="412" t="str">
        <f>IF(E602="","",Input!AQ595)</f>
        <v/>
      </c>
      <c r="G602" s="413" t="str">
        <f t="shared" si="37"/>
        <v/>
      </c>
      <c r="H602" s="413" t="str">
        <f t="shared" si="38"/>
        <v/>
      </c>
      <c r="I602" s="414">
        <f t="shared" si="39"/>
        <v>0</v>
      </c>
      <c r="J602" s="414">
        <f t="shared" si="39"/>
        <v>0</v>
      </c>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row>
    <row r="603" spans="1:43">
      <c r="A603" s="407">
        <f>Input!B596</f>
        <v>38561</v>
      </c>
      <c r="B603" s="419">
        <f t="shared" si="40"/>
        <v>83</v>
      </c>
      <c r="C603" s="411">
        <f>IF(Input!I596&lt;=0,"",Input!I596)</f>
        <v>3.6827022385919621</v>
      </c>
      <c r="D603" s="412" t="str">
        <f>IF(G603="","",Input!Q596)</f>
        <v/>
      </c>
      <c r="E603" s="412" t="str">
        <f>IF(ISERROR(Input!AA596),"",Input!AA596)</f>
        <v/>
      </c>
      <c r="F603" s="412" t="str">
        <f>IF(E603="","",Input!AQ596)</f>
        <v/>
      </c>
      <c r="G603" s="413" t="str">
        <f t="shared" si="37"/>
        <v/>
      </c>
      <c r="H603" s="413" t="str">
        <f t="shared" si="38"/>
        <v/>
      </c>
      <c r="I603" s="414">
        <f t="shared" si="39"/>
        <v>0</v>
      </c>
      <c r="J603" s="414">
        <f t="shared" si="39"/>
        <v>0</v>
      </c>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row>
    <row r="604" spans="1:43">
      <c r="A604" s="407">
        <f>Input!B597</f>
        <v>38562</v>
      </c>
      <c r="B604" s="419">
        <f t="shared" si="40"/>
        <v>83</v>
      </c>
      <c r="C604" s="411">
        <f>IF(Input!I597&lt;=0,"",Input!I597)</f>
        <v>4.5469371783869423</v>
      </c>
      <c r="D604" s="412" t="str">
        <f>IF(G604="","",Input!Q597)</f>
        <v/>
      </c>
      <c r="E604" s="412" t="str">
        <f>IF(ISERROR(Input!AA597),"",Input!AA597)</f>
        <v/>
      </c>
      <c r="F604" s="412" t="str">
        <f>IF(E604="","",Input!AQ597)</f>
        <v/>
      </c>
      <c r="G604" s="413" t="str">
        <f t="shared" si="37"/>
        <v/>
      </c>
      <c r="H604" s="413" t="str">
        <f t="shared" si="38"/>
        <v/>
      </c>
      <c r="I604" s="414">
        <f t="shared" si="39"/>
        <v>0</v>
      </c>
      <c r="J604" s="414">
        <f t="shared" si="39"/>
        <v>0</v>
      </c>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row>
    <row r="605" spans="1:43">
      <c r="A605" s="407">
        <f>Input!B598</f>
        <v>38563</v>
      </c>
      <c r="B605" s="419">
        <f t="shared" si="40"/>
        <v>83</v>
      </c>
      <c r="C605" s="411">
        <f>IF(Input!I598&lt;=0,"",Input!I598)</f>
        <v>4.4553960861591095</v>
      </c>
      <c r="D605" s="412" t="str">
        <f>IF(G605="","",Input!Q598)</f>
        <v/>
      </c>
      <c r="E605" s="412" t="str">
        <f>IF(ISERROR(Input!AA598),"",Input!AA598)</f>
        <v/>
      </c>
      <c r="F605" s="412" t="str">
        <f>IF(E605="","",Input!AQ598)</f>
        <v/>
      </c>
      <c r="G605" s="413" t="str">
        <f t="shared" si="37"/>
        <v/>
      </c>
      <c r="H605" s="413" t="str">
        <f t="shared" si="38"/>
        <v/>
      </c>
      <c r="I605" s="414">
        <f t="shared" si="39"/>
        <v>0</v>
      </c>
      <c r="J605" s="414">
        <f t="shared" si="39"/>
        <v>0</v>
      </c>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row>
    <row r="606" spans="1:43">
      <c r="A606" s="407">
        <f>Input!B599</f>
        <v>38564</v>
      </c>
      <c r="B606" s="419">
        <f t="shared" si="40"/>
        <v>83</v>
      </c>
      <c r="C606" s="411">
        <f>IF(Input!I599&lt;=0,"",Input!I599)</f>
        <v>3.8584668114409286</v>
      </c>
      <c r="D606" s="412" t="str">
        <f>IF(G606="","",Input!Q599)</f>
        <v/>
      </c>
      <c r="E606" s="412" t="str">
        <f>IF(ISERROR(Input!AA599),"",Input!AA599)</f>
        <v/>
      </c>
      <c r="F606" s="412" t="str">
        <f>IF(E606="","",Input!AQ599)</f>
        <v/>
      </c>
      <c r="G606" s="413" t="str">
        <f>IF(E606="","",E606*C606)</f>
        <v/>
      </c>
      <c r="H606" s="413" t="str">
        <f>IF(F606="","",F606*C606)</f>
        <v/>
      </c>
      <c r="I606" s="414">
        <f>IF(G606="",0,IF(I605="",G606,I605+G606))</f>
        <v>0</v>
      </c>
      <c r="J606" s="414">
        <f>IF(H606="",0,IF(J605="",H606,J605+H606))</f>
        <v>0</v>
      </c>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row>
  </sheetData>
  <phoneticPr fontId="61"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sheetPr>
    <tabColor theme="1" tint="4.9989318521683403E-2"/>
  </sheetPr>
  <dimension ref="A1:AM285"/>
  <sheetViews>
    <sheetView workbookViewId="0">
      <pane xSplit="1" ySplit="6" topLeftCell="B10" activePane="bottomRight" state="frozen"/>
      <selection activeCell="C382" sqref="C382"/>
      <selection pane="topRight" activeCell="C382" sqref="C382"/>
      <selection pane="bottomLeft" activeCell="C382" sqref="C382"/>
      <selection pane="bottomRight" activeCell="L11" sqref="L11"/>
    </sheetView>
  </sheetViews>
  <sheetFormatPr defaultColWidth="9.140625" defaultRowHeight="12.75"/>
  <cols>
    <col min="1" max="1" width="9.140625" style="141" customWidth="1"/>
    <col min="2" max="2" width="9.7109375" style="141" bestFit="1" customWidth="1"/>
    <col min="3" max="16384" width="9.140625" style="141"/>
  </cols>
  <sheetData>
    <row r="1" spans="1:39">
      <c r="A1" s="406"/>
      <c r="B1" s="403"/>
      <c r="C1" s="403"/>
      <c r="D1" s="403"/>
      <c r="E1" s="403"/>
      <c r="F1" s="403"/>
      <c r="G1" s="403"/>
      <c r="H1" s="403"/>
      <c r="I1" s="403"/>
      <c r="J1" s="403"/>
      <c r="K1" s="403"/>
      <c r="L1" s="403"/>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row>
    <row r="2" spans="1:39">
      <c r="A2" s="406"/>
      <c r="B2" s="403"/>
      <c r="C2" s="403"/>
      <c r="D2" s="403"/>
      <c r="E2" s="403"/>
      <c r="F2" s="403"/>
      <c r="G2" s="403"/>
      <c r="H2" s="403"/>
      <c r="I2" s="403"/>
      <c r="J2" s="403"/>
      <c r="K2" s="403"/>
      <c r="L2" s="403"/>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row>
    <row r="3" spans="1:39">
      <c r="A3" s="406"/>
      <c r="B3" s="403" t="s">
        <v>468</v>
      </c>
      <c r="C3" s="403"/>
      <c r="D3" s="403"/>
      <c r="E3" s="403" t="s">
        <v>228</v>
      </c>
      <c r="F3" s="403" t="s">
        <v>228</v>
      </c>
      <c r="G3" s="403" t="s">
        <v>228</v>
      </c>
      <c r="H3" s="403" t="s">
        <v>123</v>
      </c>
      <c r="I3" s="403" t="s">
        <v>228</v>
      </c>
      <c r="J3" s="403"/>
      <c r="K3" s="403"/>
      <c r="L3" s="403"/>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row>
    <row r="4" spans="1:39">
      <c r="A4" s="406"/>
      <c r="B4" s="403" t="s">
        <v>469</v>
      </c>
      <c r="C4" s="403" t="s">
        <v>468</v>
      </c>
      <c r="D4" s="403"/>
      <c r="E4" s="403"/>
      <c r="F4" s="403" t="s">
        <v>298</v>
      </c>
      <c r="G4" s="403" t="s">
        <v>286</v>
      </c>
      <c r="H4" s="403" t="s">
        <v>298</v>
      </c>
      <c r="I4" s="403" t="s">
        <v>286</v>
      </c>
      <c r="J4" s="403" t="s">
        <v>298</v>
      </c>
      <c r="K4" s="403" t="s">
        <v>304</v>
      </c>
      <c r="L4" s="403" t="s">
        <v>470</v>
      </c>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row>
    <row r="5" spans="1:39">
      <c r="A5" s="406"/>
      <c r="B5" s="403" t="s">
        <v>198</v>
      </c>
      <c r="C5" s="403" t="s">
        <v>472</v>
      </c>
      <c r="D5" s="403" t="s">
        <v>65</v>
      </c>
      <c r="E5" s="408" t="s">
        <v>232</v>
      </c>
      <c r="F5" s="408" t="s">
        <v>285</v>
      </c>
      <c r="G5" s="408" t="s">
        <v>285</v>
      </c>
      <c r="H5" s="408" t="s">
        <v>201</v>
      </c>
      <c r="I5" s="408" t="s">
        <v>201</v>
      </c>
      <c r="J5" s="408" t="s">
        <v>202</v>
      </c>
      <c r="K5" s="408" t="s">
        <v>202</v>
      </c>
      <c r="L5" s="403" t="s">
        <v>473</v>
      </c>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row>
    <row r="6" spans="1:39">
      <c r="A6" s="406"/>
      <c r="B6" s="168"/>
      <c r="C6" s="420" t="s">
        <v>151</v>
      </c>
      <c r="D6" s="420" t="s">
        <v>474</v>
      </c>
      <c r="E6" s="168"/>
      <c r="F6" s="168"/>
      <c r="G6" s="168"/>
      <c r="H6" s="420" t="s">
        <v>474</v>
      </c>
      <c r="I6" s="420" t="s">
        <v>474</v>
      </c>
      <c r="J6" s="420" t="s">
        <v>152</v>
      </c>
      <c r="K6" s="420" t="s">
        <v>152</v>
      </c>
      <c r="L6" s="403" t="s">
        <v>152</v>
      </c>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row>
    <row r="7" spans="1:39">
      <c r="A7" s="406"/>
      <c r="B7" s="421">
        <f>Daily!L29</f>
        <v>37993</v>
      </c>
      <c r="C7" s="414">
        <f>Daily!M29</f>
        <v>1</v>
      </c>
      <c r="D7" s="413">
        <f>Daily!N29</f>
        <v>0.32953894794162908</v>
      </c>
      <c r="E7" s="412" t="str">
        <f>Daily!O29</f>
        <v/>
      </c>
      <c r="F7" s="412" t="str">
        <f>Daily!P29</f>
        <v/>
      </c>
      <c r="G7" s="412" t="str">
        <f>Daily!Q29</f>
        <v/>
      </c>
      <c r="H7" s="413" t="str">
        <f>Daily!R29</f>
        <v/>
      </c>
      <c r="I7" s="413" t="str">
        <f>Daily!S29</f>
        <v/>
      </c>
      <c r="J7" s="414" t="str">
        <f>IF(Daily!T29=0,"",Daily!T29)</f>
        <v/>
      </c>
      <c r="K7" s="414" t="str">
        <f>IF(Daily!U29=0,"",Daily!U29)</f>
        <v/>
      </c>
      <c r="L7" s="414" t="str">
        <f>IF(Daily!V29=0,"",Daily!V29)</f>
        <v/>
      </c>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row>
    <row r="8" spans="1:39">
      <c r="A8" s="406"/>
      <c r="B8" s="421">
        <f>Daily!L30</f>
        <v>38000</v>
      </c>
      <c r="C8" s="414">
        <f>Daily!M30</f>
        <v>2</v>
      </c>
      <c r="D8" s="413">
        <f>Daily!N30</f>
        <v>0.2335232279594715</v>
      </c>
      <c r="E8" s="412" t="str">
        <f>Daily!O30</f>
        <v/>
      </c>
      <c r="F8" s="412" t="str">
        <f>Daily!P30</f>
        <v/>
      </c>
      <c r="G8" s="412" t="str">
        <f>Daily!Q30</f>
        <v/>
      </c>
      <c r="H8" s="413" t="str">
        <f>Daily!R30</f>
        <v/>
      </c>
      <c r="I8" s="413" t="str">
        <f>Daily!S30</f>
        <v/>
      </c>
      <c r="J8" s="414" t="str">
        <f>IF(Daily!T30=0,"",Daily!T30)</f>
        <v/>
      </c>
      <c r="K8" s="414" t="str">
        <f>IF(Daily!U30=0,"",Daily!U30)</f>
        <v/>
      </c>
      <c r="L8" s="414" t="str">
        <f>IF(Daily!V30=0,"",Daily!V30)</f>
        <v/>
      </c>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row>
    <row r="9" spans="1:39">
      <c r="A9" s="406"/>
      <c r="B9" s="421">
        <f>Daily!L31</f>
        <v>38007</v>
      </c>
      <c r="C9" s="414">
        <f>Daily!M31</f>
        <v>3</v>
      </c>
      <c r="D9" s="413">
        <f>Daily!N31</f>
        <v>0.23838584076240185</v>
      </c>
      <c r="E9" s="412" t="str">
        <f>Daily!O31</f>
        <v/>
      </c>
      <c r="F9" s="412" t="str">
        <f>Daily!P31</f>
        <v/>
      </c>
      <c r="G9" s="412" t="str">
        <f>Daily!Q31</f>
        <v/>
      </c>
      <c r="H9" s="413" t="str">
        <f>Daily!R31</f>
        <v/>
      </c>
      <c r="I9" s="413" t="str">
        <f>Daily!S31</f>
        <v/>
      </c>
      <c r="J9" s="414" t="str">
        <f>IF(Daily!T31=0,"",Daily!T31)</f>
        <v/>
      </c>
      <c r="K9" s="414" t="str">
        <f>IF(Daily!U31=0,"",Daily!U31)</f>
        <v/>
      </c>
      <c r="L9" s="414" t="str">
        <f>IF(Daily!V31=0,"",Daily!V31)</f>
        <v/>
      </c>
      <c r="M9" s="406"/>
      <c r="N9" s="406"/>
      <c r="O9" s="406"/>
      <c r="P9" s="406"/>
      <c r="Q9" s="406"/>
      <c r="R9" s="406"/>
      <c r="S9" s="406"/>
      <c r="T9" s="406"/>
      <c r="U9" s="406"/>
      <c r="V9" s="406"/>
      <c r="W9" s="406"/>
      <c r="X9" s="406"/>
      <c r="Y9" s="406"/>
      <c r="Z9" s="406"/>
      <c r="AA9" s="406"/>
      <c r="AB9" s="406"/>
      <c r="AC9" s="406"/>
      <c r="AD9" s="406"/>
      <c r="AE9" s="406"/>
      <c r="AF9" s="406"/>
      <c r="AG9" s="406"/>
      <c r="AH9" s="406"/>
      <c r="AI9" s="406"/>
      <c r="AJ9" s="406"/>
      <c r="AK9" s="406"/>
      <c r="AL9" s="406"/>
      <c r="AM9" s="406"/>
    </row>
    <row r="10" spans="1:39">
      <c r="A10" s="406"/>
      <c r="B10" s="421">
        <f>Daily!L32</f>
        <v>38014</v>
      </c>
      <c r="C10" s="414">
        <f>Daily!M32</f>
        <v>4</v>
      </c>
      <c r="D10" s="413">
        <f>Daily!N32</f>
        <v>0.2769268726741726</v>
      </c>
      <c r="E10" s="412" t="str">
        <f>Daily!O32</f>
        <v/>
      </c>
      <c r="F10" s="412" t="str">
        <f>Daily!P32</f>
        <v/>
      </c>
      <c r="G10" s="412" t="str">
        <f>Daily!Q32</f>
        <v/>
      </c>
      <c r="H10" s="413" t="str">
        <f>Daily!R32</f>
        <v/>
      </c>
      <c r="I10" s="413" t="str">
        <f>Daily!S32</f>
        <v/>
      </c>
      <c r="J10" s="414" t="str">
        <f>IF(Daily!T32=0,"",Daily!T32)</f>
        <v/>
      </c>
      <c r="K10" s="414" t="str">
        <f>IF(Daily!U32=0,"",Daily!U32)</f>
        <v/>
      </c>
      <c r="L10" s="414" t="str">
        <f>IF(Daily!V32=0,"",Daily!V32)</f>
        <v/>
      </c>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row>
    <row r="11" spans="1:39">
      <c r="A11" s="406"/>
      <c r="B11" s="421">
        <f>Daily!L33</f>
        <v>38021</v>
      </c>
      <c r="C11" s="414">
        <f>Daily!M33</f>
        <v>5</v>
      </c>
      <c r="D11" s="413">
        <f>Daily!N33</f>
        <v>0.47919868579135422</v>
      </c>
      <c r="E11" s="412" t="str">
        <f>Daily!O33</f>
        <v/>
      </c>
      <c r="F11" s="412" t="str">
        <f>Daily!P33</f>
        <v/>
      </c>
      <c r="G11" s="412" t="str">
        <f>Daily!Q33</f>
        <v/>
      </c>
      <c r="H11" s="413" t="str">
        <f>Daily!R33</f>
        <v/>
      </c>
      <c r="I11" s="413" t="str">
        <f>Daily!S33</f>
        <v/>
      </c>
      <c r="J11" s="414" t="str">
        <f>IF(Daily!T33=0,"",Daily!T33)</f>
        <v/>
      </c>
      <c r="K11" s="414" t="str">
        <f>IF(Daily!U33=0,"",Daily!U33)</f>
        <v/>
      </c>
      <c r="L11" s="414" t="str">
        <f>IF(Daily!V33=0,"",Daily!V33)</f>
        <v/>
      </c>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row>
    <row r="12" spans="1:39">
      <c r="A12" s="406"/>
      <c r="B12" s="421">
        <f>Daily!L34</f>
        <v>38028</v>
      </c>
      <c r="C12" s="414">
        <f>Daily!M34</f>
        <v>6</v>
      </c>
      <c r="D12" s="413">
        <f>Daily!N34</f>
        <v>0.37601788696857291</v>
      </c>
      <c r="E12" s="412" t="str">
        <f>Daily!O34</f>
        <v/>
      </c>
      <c r="F12" s="412" t="str">
        <f>Daily!P34</f>
        <v/>
      </c>
      <c r="G12" s="412" t="str">
        <f>Daily!Q34</f>
        <v/>
      </c>
      <c r="H12" s="413" t="str">
        <f>Daily!R34</f>
        <v/>
      </c>
      <c r="I12" s="413" t="str">
        <f>Daily!S34</f>
        <v/>
      </c>
      <c r="J12" s="414" t="str">
        <f>IF(Daily!T34=0,"",Daily!T34)</f>
        <v/>
      </c>
      <c r="K12" s="414" t="str">
        <f>IF(Daily!U34=0,"",Daily!U34)</f>
        <v/>
      </c>
      <c r="L12" s="414" t="str">
        <f>IF(Daily!V34=0,"",Daily!V34)</f>
        <v/>
      </c>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row>
    <row r="13" spans="1:39">
      <c r="A13" s="406"/>
      <c r="B13" s="421">
        <f>Daily!L35</f>
        <v>38035</v>
      </c>
      <c r="C13" s="414">
        <f>Daily!M35</f>
        <v>7</v>
      </c>
      <c r="D13" s="413">
        <f>Daily!N35</f>
        <v>0.32116837071810794</v>
      </c>
      <c r="E13" s="412" t="str">
        <f>Daily!O35</f>
        <v/>
      </c>
      <c r="F13" s="412" t="str">
        <f>Daily!P35</f>
        <v/>
      </c>
      <c r="G13" s="412" t="str">
        <f>Daily!Q35</f>
        <v/>
      </c>
      <c r="H13" s="413" t="str">
        <f>Daily!R35</f>
        <v/>
      </c>
      <c r="I13" s="413" t="str">
        <f>Daily!S35</f>
        <v/>
      </c>
      <c r="J13" s="414" t="str">
        <f>IF(Daily!T35=0,"",Daily!T35)</f>
        <v/>
      </c>
      <c r="K13" s="414" t="str">
        <f>IF(Daily!U35=0,"",Daily!U35)</f>
        <v/>
      </c>
      <c r="L13" s="414" t="str">
        <f>IF(Daily!V35=0,"",Daily!V35)</f>
        <v/>
      </c>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row>
    <row r="14" spans="1:39">
      <c r="A14" s="406"/>
      <c r="B14" s="421">
        <f>Daily!L36</f>
        <v>38042</v>
      </c>
      <c r="C14" s="414">
        <f>Daily!M36</f>
        <v>8</v>
      </c>
      <c r="D14" s="413">
        <f>Daily!N36</f>
        <v>0.51732735105393324</v>
      </c>
      <c r="E14" s="412" t="str">
        <f>Daily!O36</f>
        <v/>
      </c>
      <c r="F14" s="412" t="str">
        <f>Daily!P36</f>
        <v/>
      </c>
      <c r="G14" s="412" t="str">
        <f>Daily!Q36</f>
        <v/>
      </c>
      <c r="H14" s="413" t="str">
        <f>Daily!R36</f>
        <v/>
      </c>
      <c r="I14" s="413" t="str">
        <f>Daily!S36</f>
        <v/>
      </c>
      <c r="J14" s="414" t="str">
        <f>IF(Daily!T36=0,"",Daily!T36)</f>
        <v/>
      </c>
      <c r="K14" s="414" t="str">
        <f>IF(Daily!U36=0,"",Daily!U36)</f>
        <v/>
      </c>
      <c r="L14" s="414" t="str">
        <f>IF(Daily!V36=0,"",Daily!V36)</f>
        <v/>
      </c>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row>
    <row r="15" spans="1:39">
      <c r="A15" s="406"/>
      <c r="B15" s="421">
        <f>Daily!L37</f>
        <v>38049</v>
      </c>
      <c r="C15" s="414">
        <f>Daily!M37</f>
        <v>9</v>
      </c>
      <c r="D15" s="413">
        <f>Daily!N37</f>
        <v>0.91062982554549698</v>
      </c>
      <c r="E15" s="412" t="str">
        <f>Daily!O37</f>
        <v/>
      </c>
      <c r="F15" s="412" t="str">
        <f>Daily!P37</f>
        <v/>
      </c>
      <c r="G15" s="412" t="str">
        <f>Daily!Q37</f>
        <v/>
      </c>
      <c r="H15" s="413" t="str">
        <f>Daily!R37</f>
        <v/>
      </c>
      <c r="I15" s="413" t="str">
        <f>Daily!S37</f>
        <v/>
      </c>
      <c r="J15" s="414" t="str">
        <f>IF(Daily!T37=0,"",Daily!T37)</f>
        <v/>
      </c>
      <c r="K15" s="414" t="str">
        <f>IF(Daily!U37=0,"",Daily!U37)</f>
        <v/>
      </c>
      <c r="L15" s="414" t="str">
        <f>IF(Daily!V37=0,"",Daily!V37)</f>
        <v/>
      </c>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row>
    <row r="16" spans="1:39">
      <c r="A16" s="406"/>
      <c r="B16" s="421">
        <f>Daily!L38</f>
        <v>38056</v>
      </c>
      <c r="C16" s="414">
        <f>Daily!M38</f>
        <v>10</v>
      </c>
      <c r="D16" s="413">
        <f>Daily!N38</f>
        <v>1.2190365367154343</v>
      </c>
      <c r="E16" s="412" t="str">
        <f>Daily!O38</f>
        <v/>
      </c>
      <c r="F16" s="412" t="str">
        <f>Daily!P38</f>
        <v/>
      </c>
      <c r="G16" s="412" t="str">
        <f>Daily!Q38</f>
        <v/>
      </c>
      <c r="H16" s="413" t="str">
        <f>Daily!R38</f>
        <v/>
      </c>
      <c r="I16" s="413" t="str">
        <f>Daily!S38</f>
        <v/>
      </c>
      <c r="J16" s="414" t="str">
        <f>IF(Daily!T38=0,"",Daily!T38)</f>
        <v/>
      </c>
      <c r="K16" s="414" t="str">
        <f>IF(Daily!U38=0,"",Daily!U38)</f>
        <v/>
      </c>
      <c r="L16" s="414" t="str">
        <f>IF(Daily!V38=0,"",Daily!V38)</f>
        <v/>
      </c>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row>
    <row r="17" spans="1:39">
      <c r="A17" s="406"/>
      <c r="B17" s="421">
        <f>Daily!L39</f>
        <v>38063</v>
      </c>
      <c r="C17" s="414">
        <f>Daily!M39</f>
        <v>11</v>
      </c>
      <c r="D17" s="413">
        <f>Daily!N39</f>
        <v>1.3882139668733031</v>
      </c>
      <c r="E17" s="412" t="str">
        <f>Daily!O39</f>
        <v/>
      </c>
      <c r="F17" s="412" t="str">
        <f>Daily!P39</f>
        <v/>
      </c>
      <c r="G17" s="412" t="str">
        <f>Daily!Q39</f>
        <v/>
      </c>
      <c r="H17" s="413" t="str">
        <f>Daily!R39</f>
        <v/>
      </c>
      <c r="I17" s="413" t="str">
        <f>Daily!S39</f>
        <v/>
      </c>
      <c r="J17" s="414" t="str">
        <f>IF(Daily!T39=0,"",Daily!T39)</f>
        <v/>
      </c>
      <c r="K17" s="414" t="str">
        <f>IF(Daily!U39=0,"",Daily!U39)</f>
        <v/>
      </c>
      <c r="L17" s="414" t="str">
        <f>IF(Daily!V39=0,"",Daily!V39)</f>
        <v/>
      </c>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row>
    <row r="18" spans="1:39">
      <c r="A18" s="406"/>
      <c r="B18" s="421">
        <f>Daily!L40</f>
        <v>38070</v>
      </c>
      <c r="C18" s="414">
        <f>Daily!M40</f>
        <v>12</v>
      </c>
      <c r="D18" s="413">
        <f>Daily!N40</f>
        <v>1.2195229552576161</v>
      </c>
      <c r="E18" s="412" t="str">
        <f>Daily!O40</f>
        <v/>
      </c>
      <c r="F18" s="412" t="str">
        <f>Daily!P40</f>
        <v/>
      </c>
      <c r="G18" s="412" t="str">
        <f>Daily!Q40</f>
        <v/>
      </c>
      <c r="H18" s="413" t="str">
        <f>Daily!R40</f>
        <v/>
      </c>
      <c r="I18" s="413" t="str">
        <f>Daily!S40</f>
        <v/>
      </c>
      <c r="J18" s="414" t="str">
        <f>IF(Daily!T40=0,"",Daily!T40)</f>
        <v/>
      </c>
      <c r="K18" s="414" t="str">
        <f>IF(Daily!U40=0,"",Daily!U40)</f>
        <v/>
      </c>
      <c r="L18" s="414" t="str">
        <f>IF(Daily!V40=0,"",Daily!V40)</f>
        <v/>
      </c>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row>
    <row r="19" spans="1:39">
      <c r="A19" s="406"/>
      <c r="B19" s="421">
        <f>Daily!L41</f>
        <v>38077</v>
      </c>
      <c r="C19" s="414">
        <f>Daily!M41</f>
        <v>13</v>
      </c>
      <c r="D19" s="413">
        <f>Daily!N41</f>
        <v>1.6501905606635876</v>
      </c>
      <c r="E19" s="412" t="str">
        <f>Daily!O41</f>
        <v/>
      </c>
      <c r="F19" s="412" t="str">
        <f>Daily!P41</f>
        <v/>
      </c>
      <c r="G19" s="412" t="str">
        <f>Daily!Q41</f>
        <v/>
      </c>
      <c r="H19" s="413" t="str">
        <f>Daily!R41</f>
        <v/>
      </c>
      <c r="I19" s="413" t="str">
        <f>Daily!S41</f>
        <v/>
      </c>
      <c r="J19" s="414" t="str">
        <f>IF(Daily!T41=0,"",Daily!T41)</f>
        <v/>
      </c>
      <c r="K19" s="414" t="str">
        <f>IF(Daily!U41=0,"",Daily!U41)</f>
        <v/>
      </c>
      <c r="L19" s="414" t="str">
        <f>IF(Daily!V41=0,"",Daily!V41)</f>
        <v/>
      </c>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row>
    <row r="20" spans="1:39">
      <c r="A20" s="406"/>
      <c r="B20" s="421">
        <f>Daily!L42</f>
        <v>38084</v>
      </c>
      <c r="C20" s="414">
        <f>Daily!M42</f>
        <v>14</v>
      </c>
      <c r="D20" s="413">
        <f>Daily!N42</f>
        <v>1.6684388399231747</v>
      </c>
      <c r="E20" s="412" t="str">
        <f>Daily!O42</f>
        <v/>
      </c>
      <c r="F20" s="412" t="str">
        <f>Daily!P42</f>
        <v/>
      </c>
      <c r="G20" s="412" t="str">
        <f>Daily!Q42</f>
        <v/>
      </c>
      <c r="H20" s="413" t="str">
        <f>Daily!R42</f>
        <v/>
      </c>
      <c r="I20" s="413" t="str">
        <f>Daily!S42</f>
        <v/>
      </c>
      <c r="J20" s="414" t="str">
        <f>IF(Daily!T42=0,"",Daily!T42)</f>
        <v/>
      </c>
      <c r="K20" s="414" t="str">
        <f>IF(Daily!U42=0,"",Daily!U42)</f>
        <v/>
      </c>
      <c r="L20" s="414" t="str">
        <f>IF(Daily!V42=0,"",Daily!V42)</f>
        <v/>
      </c>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row>
    <row r="21" spans="1:39">
      <c r="A21" s="406"/>
      <c r="B21" s="421">
        <f>Daily!L43</f>
        <v>38091</v>
      </c>
      <c r="C21" s="414">
        <f>Daily!M43</f>
        <v>15</v>
      </c>
      <c r="D21" s="413">
        <f>Daily!N43</f>
        <v>1.4241033951809439</v>
      </c>
      <c r="E21" s="412" t="str">
        <f>Daily!O43</f>
        <v/>
      </c>
      <c r="F21" s="412" t="str">
        <f>Daily!P43</f>
        <v/>
      </c>
      <c r="G21" s="412" t="str">
        <f>Daily!Q43</f>
        <v/>
      </c>
      <c r="H21" s="413" t="str">
        <f>Daily!R43</f>
        <v/>
      </c>
      <c r="I21" s="413" t="str">
        <f>Daily!S43</f>
        <v/>
      </c>
      <c r="J21" s="414" t="str">
        <f>IF(Daily!T43=0,"",Daily!T43)</f>
        <v/>
      </c>
      <c r="K21" s="414" t="str">
        <f>IF(Daily!U43=0,"",Daily!U43)</f>
        <v/>
      </c>
      <c r="L21" s="414" t="str">
        <f>IF(Daily!V43=0,"",Daily!V43)</f>
        <v/>
      </c>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row>
    <row r="22" spans="1:39">
      <c r="A22" s="406"/>
      <c r="B22" s="421">
        <f>Daily!L44</f>
        <v>38098</v>
      </c>
      <c r="C22" s="414">
        <f>Daily!M44</f>
        <v>16</v>
      </c>
      <c r="D22" s="413">
        <f>Daily!N44</f>
        <v>1.9367075326344974</v>
      </c>
      <c r="E22" s="412">
        <f>Daily!O44</f>
        <v>1.0613852130459331</v>
      </c>
      <c r="F22" s="412">
        <f>Daily!P44</f>
        <v>1.0613852130459331</v>
      </c>
      <c r="G22" s="412">
        <f>Daily!Q44</f>
        <v>0.81029621401614649</v>
      </c>
      <c r="H22" s="413">
        <f>Daily!R44</f>
        <v>1.9891868749302506</v>
      </c>
      <c r="I22" s="413">
        <f>Daily!S44</f>
        <v>1.5693067813502861</v>
      </c>
      <c r="J22" s="414">
        <f>IF(Daily!T44=0,"",Daily!T44)</f>
        <v>13.924308124511754</v>
      </c>
      <c r="K22" s="414">
        <f>IF(Daily!U44=0,"",Daily!U44)</f>
        <v>10.985147469452002</v>
      </c>
      <c r="L22" s="414">
        <f>IF(Daily!V44=0,"",Daily!V44)</f>
        <v>7</v>
      </c>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row>
    <row r="23" spans="1:39">
      <c r="A23" s="406"/>
      <c r="B23" s="421">
        <f>Daily!L45</f>
        <v>38105</v>
      </c>
      <c r="C23" s="414">
        <f>Daily!M45</f>
        <v>17</v>
      </c>
      <c r="D23" s="413">
        <f>Daily!N45</f>
        <v>1.0815925331795271</v>
      </c>
      <c r="E23" s="412">
        <f>Daily!O45</f>
        <v>0.61437725897774853</v>
      </c>
      <c r="F23" s="412">
        <f>Daily!P45</f>
        <v>0.61437725897774853</v>
      </c>
      <c r="G23" s="412">
        <f>Daily!Q45</f>
        <v>0.81029621401614649</v>
      </c>
      <c r="H23" s="413">
        <f>Daily!R45</f>
        <v>0.69323872447687351</v>
      </c>
      <c r="I23" s="413">
        <f>Daily!S45</f>
        <v>0.87641033474350394</v>
      </c>
      <c r="J23" s="414">
        <f>IF(Daily!T45=0,"",Daily!T45)</f>
        <v>18.776979195849869</v>
      </c>
      <c r="K23" s="414">
        <f>IF(Daily!U45=0,"",Daily!U45)</f>
        <v>17.120019812656533</v>
      </c>
      <c r="L23" s="414">
        <f>IF(Daily!V45=0,"",Daily!V45)</f>
        <v>7</v>
      </c>
      <c r="M23" s="406"/>
      <c r="N23" s="406"/>
      <c r="O23" s="406"/>
      <c r="P23" s="406"/>
      <c r="Q23" s="406"/>
      <c r="R23" s="406"/>
      <c r="S23" s="406"/>
      <c r="T23" s="406"/>
      <c r="U23" s="406"/>
      <c r="V23" s="406"/>
      <c r="W23" s="406"/>
      <c r="X23" s="406"/>
      <c r="Y23" s="406"/>
      <c r="Z23" s="406"/>
      <c r="AA23" s="406"/>
      <c r="AB23" s="406"/>
      <c r="AC23" s="406"/>
      <c r="AD23" s="406"/>
      <c r="AE23" s="406"/>
      <c r="AF23" s="406"/>
      <c r="AG23" s="406"/>
      <c r="AH23" s="406"/>
      <c r="AI23" s="406"/>
      <c r="AJ23" s="406"/>
      <c r="AK23" s="406"/>
      <c r="AL23" s="406"/>
      <c r="AM23" s="406"/>
    </row>
    <row r="24" spans="1:39">
      <c r="A24" s="406"/>
      <c r="B24" s="421">
        <f>Daily!L46</f>
        <v>38112</v>
      </c>
      <c r="C24" s="414">
        <f>Daily!M46</f>
        <v>18</v>
      </c>
      <c r="D24" s="413">
        <f>Daily!N46</f>
        <v>1.6284701124061718</v>
      </c>
      <c r="E24" s="412">
        <f>Daily!O46</f>
        <v>1.0825567418989779</v>
      </c>
      <c r="F24" s="412">
        <f>Daily!P46</f>
        <v>1.0825567418989779</v>
      </c>
      <c r="G24" s="412">
        <f>Daily!Q46</f>
        <v>0.81029621401614649</v>
      </c>
      <c r="H24" s="413">
        <f>Daily!R46</f>
        <v>1.6396583656134729</v>
      </c>
      <c r="I24" s="413">
        <f>Daily!S46</f>
        <v>1.3195431667211694</v>
      </c>
      <c r="J24" s="414">
        <f>IF(Daily!T46=0,"",Daily!T46)</f>
        <v>30.254587755144183</v>
      </c>
      <c r="K24" s="414">
        <f>IF(Daily!U46=0,"",Daily!U46)</f>
        <v>26.356821979704723</v>
      </c>
      <c r="L24" s="414">
        <f>IF(Daily!V46=0,"",Daily!V46)</f>
        <v>7</v>
      </c>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6"/>
      <c r="AM24" s="406"/>
    </row>
    <row r="25" spans="1:39">
      <c r="A25" s="406"/>
      <c r="B25" s="421">
        <f>Daily!L47</f>
        <v>38119</v>
      </c>
      <c r="C25" s="414">
        <f>Daily!M47</f>
        <v>19</v>
      </c>
      <c r="D25" s="413">
        <f>Daily!N47</f>
        <v>3.0433047506969282</v>
      </c>
      <c r="E25" s="412">
        <f>Daily!O47</f>
        <v>0.56751455119848704</v>
      </c>
      <c r="F25" s="412">
        <f>Daily!P47</f>
        <v>0.56751455119848704</v>
      </c>
      <c r="G25" s="412">
        <f>Daily!Q47</f>
        <v>0.81029621401614649</v>
      </c>
      <c r="H25" s="413">
        <f>Daily!R47</f>
        <v>1.6817200236458867</v>
      </c>
      <c r="I25" s="413">
        <f>Daily!S47</f>
        <v>2.4659783175870738</v>
      </c>
      <c r="J25" s="414">
        <f>IF(Daily!T47=0,"",Daily!T47)</f>
        <v>42.026627920665383</v>
      </c>
      <c r="K25" s="414">
        <f>IF(Daily!U47=0,"",Daily!U47)</f>
        <v>43.618670202814243</v>
      </c>
      <c r="L25" s="414">
        <f>IF(Daily!V47=0,"",Daily!V47)</f>
        <v>7</v>
      </c>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row>
    <row r="26" spans="1:39">
      <c r="A26" s="406"/>
      <c r="B26" s="421">
        <f>Daily!L48</f>
        <v>38126</v>
      </c>
      <c r="C26" s="414">
        <f>Daily!M48</f>
        <v>20</v>
      </c>
      <c r="D26" s="413">
        <f>Daily!N48</f>
        <v>2.6037386898113906</v>
      </c>
      <c r="E26" s="412">
        <f>Daily!O48</f>
        <v>0.86936377123346342</v>
      </c>
      <c r="F26" s="412">
        <f>Daily!P48</f>
        <v>0.86936377123346342</v>
      </c>
      <c r="G26" s="412">
        <f>Daily!Q48</f>
        <v>0.81112893241418715</v>
      </c>
      <c r="H26" s="413">
        <f>Daily!R48</f>
        <v>2.2720188204435572</v>
      </c>
      <c r="I26" s="413">
        <f>Daily!S48</f>
        <v>2.1116911116594181</v>
      </c>
      <c r="J26" s="414">
        <f>IF(Daily!T48=0,"",Daily!T48)</f>
        <v>57.930759663770282</v>
      </c>
      <c r="K26" s="414">
        <f>IF(Daily!U48=0,"",Daily!U48)</f>
        <v>58.400507984430178</v>
      </c>
      <c r="L26" s="414">
        <f>IF(Daily!V48=0,"",Daily!V48)</f>
        <v>7</v>
      </c>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row>
    <row r="27" spans="1:39">
      <c r="A27" s="406"/>
      <c r="B27" s="421">
        <f>Daily!L49</f>
        <v>38133</v>
      </c>
      <c r="C27" s="414">
        <f>Daily!M49</f>
        <v>21</v>
      </c>
      <c r="D27" s="413">
        <f>Daily!N49</f>
        <v>2.9316530284012323</v>
      </c>
      <c r="E27" s="412">
        <f>Daily!O49</f>
        <v>0.48688189175433466</v>
      </c>
      <c r="F27" s="412">
        <f>Daily!P49</f>
        <v>0.48688189175433466</v>
      </c>
      <c r="G27" s="412">
        <f>Daily!Q49</f>
        <v>0.83944135794756769</v>
      </c>
      <c r="H27" s="413">
        <f>Daily!R49</f>
        <v>1.404474128980624</v>
      </c>
      <c r="I27" s="413">
        <f>Daily!S49</f>
        <v>2.4656512592907829</v>
      </c>
      <c r="J27" s="414">
        <f>IF(Daily!T49=0,"",Daily!T49)</f>
        <v>67.762078566634656</v>
      </c>
      <c r="K27" s="414">
        <f>IF(Daily!U49=0,"",Daily!U49)</f>
        <v>75.660066799465667</v>
      </c>
      <c r="L27" s="414">
        <f>IF(Daily!V49=0,"",Daily!V49)</f>
        <v>7</v>
      </c>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row>
    <row r="28" spans="1:39">
      <c r="A28" s="406"/>
      <c r="B28" s="421">
        <f>Daily!L50</f>
        <v>38140</v>
      </c>
      <c r="C28" s="414">
        <f>Daily!M50</f>
        <v>22</v>
      </c>
      <c r="D28" s="413">
        <f>Daily!N50</f>
        <v>3.7248146158928175</v>
      </c>
      <c r="E28" s="412">
        <f>Daily!O50</f>
        <v>0.35473733545257069</v>
      </c>
      <c r="F28" s="412">
        <f>Daily!P50</f>
        <v>0.44513208582585617</v>
      </c>
      <c r="G28" s="412">
        <f>Daily!Q50</f>
        <v>0.88024455945155733</v>
      </c>
      <c r="H28" s="413">
        <f>Daily!R50</f>
        <v>1.6715891417719893</v>
      </c>
      <c r="I28" s="413">
        <f>Daily!S50</f>
        <v>3.2832287215800506</v>
      </c>
      <c r="J28" s="414">
        <f>IF(Daily!T50=0,"",Daily!T50)</f>
        <v>79.463202559038606</v>
      </c>
      <c r="K28" s="414">
        <f>IF(Daily!U50=0,"",Daily!U50)</f>
        <v>98.642667850526024</v>
      </c>
      <c r="L28" s="414">
        <f>IF(Daily!V50=0,"",Daily!V50)</f>
        <v>7</v>
      </c>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row>
    <row r="29" spans="1:39">
      <c r="A29" s="406"/>
      <c r="B29" s="421">
        <f>Daily!L51</f>
        <v>38147</v>
      </c>
      <c r="C29" s="414">
        <f>Daily!M51</f>
        <v>23</v>
      </c>
      <c r="D29" s="413">
        <f>Daily!N51</f>
        <v>4.1971515181780372</v>
      </c>
      <c r="E29" s="412">
        <f>Daily!O51</f>
        <v>0.28222899391709139</v>
      </c>
      <c r="F29" s="412">
        <f>Daily!P51</f>
        <v>0.58452380952380956</v>
      </c>
      <c r="G29" s="412">
        <f>Daily!Q51</f>
        <v>0.92104776095554663</v>
      </c>
      <c r="H29" s="413">
        <f>Daily!R51</f>
        <v>2.4529425328523091</v>
      </c>
      <c r="I29" s="413">
        <f>Daily!S51</f>
        <v>3.8656639703697642</v>
      </c>
      <c r="J29" s="414">
        <f>IF(Daily!T51=0,"",Daily!T51)</f>
        <v>96.633800289004768</v>
      </c>
      <c r="K29" s="414">
        <f>IF(Daily!U51=0,"",Daily!U51)</f>
        <v>125.70231564311437</v>
      </c>
      <c r="L29" s="414">
        <f>IF(Daily!V51=0,"",Daily!V51)</f>
        <v>7</v>
      </c>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6"/>
      <c r="AL29" s="406"/>
      <c r="AM29" s="406"/>
    </row>
    <row r="30" spans="1:39">
      <c r="A30" s="406"/>
      <c r="B30" s="421">
        <f>Daily!L52</f>
        <v>38154</v>
      </c>
      <c r="C30" s="414">
        <f>Daily!M52</f>
        <v>24</v>
      </c>
      <c r="D30" s="413">
        <f>Daily!N52</f>
        <v>3.9398840140568221</v>
      </c>
      <c r="E30" s="412">
        <f>Daily!O52</f>
        <v>0.24075750635802309</v>
      </c>
      <c r="F30" s="412">
        <f>Daily!P52</f>
        <v>0.72619047619047639</v>
      </c>
      <c r="G30" s="412">
        <f>Daily!Q52</f>
        <v>0.96185096245953616</v>
      </c>
      <c r="H30" s="413">
        <f>Daily!R52</f>
        <v>2.8476937539962486</v>
      </c>
      <c r="I30" s="413">
        <f>Daily!S52</f>
        <v>3.7857181294321323</v>
      </c>
      <c r="J30" s="414">
        <f>IF(Daily!T52=0,"",Daily!T52)</f>
        <v>116.5676565669785</v>
      </c>
      <c r="K30" s="414">
        <f>IF(Daily!U52=0,"",Daily!U52)</f>
        <v>152.20234254913933</v>
      </c>
      <c r="L30" s="414">
        <f>IF(Daily!V52=0,"",Daily!V52)</f>
        <v>7</v>
      </c>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row>
    <row r="31" spans="1:39">
      <c r="A31" s="406"/>
      <c r="B31" s="421">
        <f>Daily!L53</f>
        <v>38161</v>
      </c>
      <c r="C31" s="414">
        <f>Daily!M53</f>
        <v>25</v>
      </c>
      <c r="D31" s="413">
        <f>Daily!N53</f>
        <v>4.3991346893713414</v>
      </c>
      <c r="E31" s="412">
        <f>Daily!O53</f>
        <v>0.2140862806097974</v>
      </c>
      <c r="F31" s="412">
        <f>Daily!P53</f>
        <v>0.91241496598639493</v>
      </c>
      <c r="G31" s="412">
        <f>Daily!Q53</f>
        <v>1.0026541639635256</v>
      </c>
      <c r="H31" s="413">
        <f>Daily!R53</f>
        <v>4.0436095439605069</v>
      </c>
      <c r="I31" s="413">
        <f>Daily!S53</f>
        <v>4.4140428000275449</v>
      </c>
      <c r="J31" s="414">
        <f>IF(Daily!T53=0,"",Daily!T53)</f>
        <v>144.87292337470205</v>
      </c>
      <c r="K31" s="414">
        <f>IF(Daily!U53=0,"",Daily!U53)</f>
        <v>183.10064214933215</v>
      </c>
      <c r="L31" s="414">
        <f>IF(Daily!V53=0,"",Daily!V53)</f>
        <v>7</v>
      </c>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row>
    <row r="32" spans="1:39">
      <c r="A32" s="406"/>
      <c r="B32" s="421">
        <f>Daily!L54</f>
        <v>38168</v>
      </c>
      <c r="C32" s="414">
        <f>Daily!M54</f>
        <v>26</v>
      </c>
      <c r="D32" s="413">
        <f>Daily!N54</f>
        <v>4.4194524109615916</v>
      </c>
      <c r="E32" s="412">
        <f>Daily!O54</f>
        <v>0.19289890217663089</v>
      </c>
      <c r="F32" s="412">
        <f>Daily!P54</f>
        <v>1.0066326530612253</v>
      </c>
      <c r="G32" s="412">
        <f>Daily!Q54</f>
        <v>1.0426246470694738</v>
      </c>
      <c r="H32" s="413">
        <f>Daily!R54</f>
        <v>4.4580552021187456</v>
      </c>
      <c r="I32" s="413">
        <f>Daily!S54</f>
        <v>4.6105057679839385</v>
      </c>
      <c r="J32" s="414">
        <f>IF(Daily!T54=0,"",Daily!T54)</f>
        <v>176.07930978953331</v>
      </c>
      <c r="K32" s="414">
        <f>IF(Daily!U54=0,"",Daily!U54)</f>
        <v>215.37418252521974</v>
      </c>
      <c r="L32" s="414">
        <f>IF(Daily!V54=0,"",Daily!V54)</f>
        <v>7</v>
      </c>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row>
    <row r="33" spans="1:39">
      <c r="A33" s="406"/>
      <c r="B33" s="421">
        <f>Daily!L55</f>
        <v>38175</v>
      </c>
      <c r="C33" s="414">
        <f>Daily!M55</f>
        <v>27</v>
      </c>
      <c r="D33" s="413">
        <f>Daily!N55</f>
        <v>4.6285716401491142</v>
      </c>
      <c r="E33" s="412">
        <f>Daily!O55</f>
        <v>0.43319771780387012</v>
      </c>
      <c r="F33" s="412">
        <f>Daily!P55</f>
        <v>1.0714285714285721</v>
      </c>
      <c r="G33" s="412">
        <f>Daily!Q55</f>
        <v>1.0551154230400821</v>
      </c>
      <c r="H33" s="413">
        <f>Daily!R55</f>
        <v>4.9315520731830844</v>
      </c>
      <c r="I33" s="413">
        <f>Daily!S55</f>
        <v>4.8836773241672589</v>
      </c>
      <c r="J33" s="414">
        <f>IF(Daily!T55=0,"",Daily!T55)</f>
        <v>210.60017430181489</v>
      </c>
      <c r="K33" s="414">
        <f>IF(Daily!U55=0,"",Daily!U55)</f>
        <v>249.55992379439053</v>
      </c>
      <c r="L33" s="414">
        <f>IF(Daily!V55=0,"",Daily!V55)</f>
        <v>7</v>
      </c>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row>
    <row r="34" spans="1:39">
      <c r="A34" s="406"/>
      <c r="B34" s="421">
        <f>Daily!L56</f>
        <v>38182</v>
      </c>
      <c r="C34" s="414">
        <f>Daily!M56</f>
        <v>28</v>
      </c>
      <c r="D34" s="413">
        <f>Daily!N56</f>
        <v>4.5921159188339784</v>
      </c>
      <c r="E34" s="412">
        <f>Daily!O56</f>
        <v>0.53334187284878276</v>
      </c>
      <c r="F34" s="412">
        <f>Daily!P56</f>
        <v>1.0500000000000007</v>
      </c>
      <c r="G34" s="412">
        <f>Daily!Q56</f>
        <v>1.0551154230400821</v>
      </c>
      <c r="H34" s="413">
        <f>Daily!R56</f>
        <v>4.8217217147756815</v>
      </c>
      <c r="I34" s="413">
        <f>Daily!S56</f>
        <v>4.84521233034961</v>
      </c>
      <c r="J34" s="414">
        <f>IF(Daily!T56=0,"",Daily!T56)</f>
        <v>244.35222630524467</v>
      </c>
      <c r="K34" s="414">
        <f>IF(Daily!U56=0,"",Daily!U56)</f>
        <v>283.4764101068377</v>
      </c>
      <c r="L34" s="414">
        <f>IF(Daily!V56=0,"",Daily!V56)</f>
        <v>7</v>
      </c>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row>
    <row r="35" spans="1:39">
      <c r="A35" s="406"/>
      <c r="B35" s="421">
        <f>Daily!L57</f>
        <v>38189</v>
      </c>
      <c r="C35" s="414">
        <f>Daily!M57</f>
        <v>29</v>
      </c>
      <c r="D35" s="413">
        <f>Daily!N57</f>
        <v>4.5307748829129695</v>
      </c>
      <c r="E35" s="412">
        <f>Daily!O57</f>
        <v>0.33877873972300909</v>
      </c>
      <c r="F35" s="412">
        <f>Daily!P57</f>
        <v>1.0500000000000007</v>
      </c>
      <c r="G35" s="412">
        <f>Daily!Q57</f>
        <v>1.0551154230400821</v>
      </c>
      <c r="H35" s="413">
        <f>Daily!R57</f>
        <v>4.7573136270586218</v>
      </c>
      <c r="I35" s="413">
        <f>Daily!S57</f>
        <v>4.7804904572840963</v>
      </c>
      <c r="J35" s="414">
        <f>IF(Daily!T57=0,"",Daily!T57)</f>
        <v>277.65342169465504</v>
      </c>
      <c r="K35" s="414">
        <f>IF(Daily!U57=0,"",Daily!U57)</f>
        <v>316.93984330782638</v>
      </c>
      <c r="L35" s="414">
        <f>IF(Daily!V57=0,"",Daily!V57)</f>
        <v>7</v>
      </c>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row>
    <row r="36" spans="1:39">
      <c r="A36" s="406"/>
      <c r="B36" s="421">
        <f>Daily!L58</f>
        <v>38196</v>
      </c>
      <c r="C36" s="414">
        <f>Daily!M58</f>
        <v>30</v>
      </c>
      <c r="D36" s="413">
        <f>Daily!N58</f>
        <v>4.0814798989980741</v>
      </c>
      <c r="E36" s="412">
        <f>Daily!O58</f>
        <v>0.27167740649124222</v>
      </c>
      <c r="F36" s="412">
        <f>Daily!P58</f>
        <v>1.0714285714285721</v>
      </c>
      <c r="G36" s="412">
        <f>Daily!Q58</f>
        <v>1.0551154230400821</v>
      </c>
      <c r="H36" s="413">
        <f>Daily!R58</f>
        <v>4.3731472011157448</v>
      </c>
      <c r="I36" s="413">
        <f>Daily!S58</f>
        <v>4.3064323902609436</v>
      </c>
      <c r="J36" s="414">
        <f>IF(Daily!T58=0,"",Daily!T58)</f>
        <v>308.26545210246525</v>
      </c>
      <c r="K36" s="414">
        <f>IF(Daily!U58=0,"",Daily!U58)</f>
        <v>347.08487003965303</v>
      </c>
      <c r="L36" s="414">
        <f>IF(Daily!V58=0,"",Daily!V58)</f>
        <v>7</v>
      </c>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row>
    <row r="37" spans="1:39">
      <c r="A37" s="406"/>
      <c r="B37" s="421">
        <f>Daily!L59</f>
        <v>38203</v>
      </c>
      <c r="C37" s="414">
        <f>Daily!M59</f>
        <v>31</v>
      </c>
      <c r="D37" s="413">
        <f>Daily!N59</f>
        <v>4.0415768827901584</v>
      </c>
      <c r="E37" s="412">
        <f>Daily!O59</f>
        <v>0.23450491622124567</v>
      </c>
      <c r="F37" s="412">
        <f>Daily!P59</f>
        <v>1.0500000000000007</v>
      </c>
      <c r="G37" s="412">
        <f>Daily!Q59</f>
        <v>1.0551154230400821</v>
      </c>
      <c r="H37" s="413">
        <f>Daily!R59</f>
        <v>4.2436557269296689</v>
      </c>
      <c r="I37" s="413">
        <f>Daily!S59</f>
        <v>4.2643301024341538</v>
      </c>
      <c r="J37" s="414">
        <f>IF(Daily!T59=0,"",Daily!T59)</f>
        <v>337.97104219097298</v>
      </c>
      <c r="K37" s="414">
        <f>IF(Daily!U59=0,"",Daily!U59)</f>
        <v>376.93518075669215</v>
      </c>
      <c r="L37" s="414">
        <f>IF(Daily!V59=0,"",Daily!V59)</f>
        <v>7</v>
      </c>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row>
    <row r="38" spans="1:39">
      <c r="A38" s="406"/>
      <c r="B38" s="421">
        <f>Daily!L60</f>
        <v>38210</v>
      </c>
      <c r="C38" s="414">
        <f>Daily!M60</f>
        <v>32</v>
      </c>
      <c r="D38" s="413">
        <f>Daily!N60</f>
        <v>4.0303422164915874</v>
      </c>
      <c r="E38" s="412">
        <f>Daily!O60</f>
        <v>0.20911484283303935</v>
      </c>
      <c r="F38" s="412">
        <f>Daily!P60</f>
        <v>1.0500000000000007</v>
      </c>
      <c r="G38" s="412">
        <f>Daily!Q60</f>
        <v>1.0551154230400821</v>
      </c>
      <c r="H38" s="413">
        <f>Daily!R60</f>
        <v>4.2318593273161698</v>
      </c>
      <c r="I38" s="413">
        <f>Daily!S60</f>
        <v>4.2524762327498244</v>
      </c>
      <c r="J38" s="414">
        <f>IF(Daily!T60=0,"",Daily!T60)</f>
        <v>367.59405748218609</v>
      </c>
      <c r="K38" s="414">
        <f>IF(Daily!U60=0,"",Daily!U60)</f>
        <v>406.7025143859409</v>
      </c>
      <c r="L38" s="414">
        <f>IF(Daily!V60=0,"",Daily!V60)</f>
        <v>7</v>
      </c>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c r="AM38" s="406"/>
    </row>
    <row r="39" spans="1:39">
      <c r="A39" s="406"/>
      <c r="B39" s="421">
        <f>Daily!L61</f>
        <v>38217</v>
      </c>
      <c r="C39" s="414">
        <f>Daily!M61</f>
        <v>33</v>
      </c>
      <c r="D39" s="413">
        <f>Daily!N61</f>
        <v>3.1612424051377546</v>
      </c>
      <c r="E39" s="412">
        <f>Daily!O61</f>
        <v>0.19281586918812713</v>
      </c>
      <c r="F39" s="412">
        <f>Daily!P61</f>
        <v>1.0500000000000007</v>
      </c>
      <c r="G39" s="412">
        <f>Daily!Q61</f>
        <v>1.0551154230400821</v>
      </c>
      <c r="H39" s="413">
        <f>Daily!R61</f>
        <v>3.3193045253946449</v>
      </c>
      <c r="I39" s="413">
        <f>Daily!S61</f>
        <v>3.3354756176291684</v>
      </c>
      <c r="J39" s="414">
        <f>IF(Daily!T61=0,"",Daily!T61)</f>
        <v>390.82918915994856</v>
      </c>
      <c r="K39" s="414">
        <f>IF(Daily!U61=0,"",Daily!U61)</f>
        <v>430.05084370934503</v>
      </c>
      <c r="L39" s="414">
        <f>IF(Daily!V61=0,"",Daily!V61)</f>
        <v>7</v>
      </c>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row>
    <row r="40" spans="1:39">
      <c r="A40" s="406"/>
      <c r="B40" s="421">
        <f>Daily!L62</f>
        <v>38224</v>
      </c>
      <c r="C40" s="414">
        <f>Daily!M62</f>
        <v>34</v>
      </c>
      <c r="D40" s="413">
        <f>Daily!N62</f>
        <v>3.9041587806736682</v>
      </c>
      <c r="E40" s="412">
        <f>Daily!O62</f>
        <v>0.17951919828899784</v>
      </c>
      <c r="F40" s="412">
        <f>Daily!P62</f>
        <v>1.0178571428571437</v>
      </c>
      <c r="G40" s="412">
        <f>Daily!Q62</f>
        <v>1.0329436130276395</v>
      </c>
      <c r="H40" s="413">
        <f>Daily!R62</f>
        <v>3.9782735934597642</v>
      </c>
      <c r="I40" s="413">
        <f>Daily!S62</f>
        <v>4.0358093589402806</v>
      </c>
      <c r="J40" s="414">
        <f>IF(Daily!T62=0,"",Daily!T62)</f>
        <v>418.67710431416691</v>
      </c>
      <c r="K40" s="414">
        <f>IF(Daily!U62=0,"",Daily!U62)</f>
        <v>458.30150922192701</v>
      </c>
      <c r="L40" s="414">
        <f>IF(Daily!V62=0,"",Daily!V62)</f>
        <v>7</v>
      </c>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row>
    <row r="41" spans="1:39">
      <c r="A41" s="406"/>
      <c r="B41" s="421">
        <f>Daily!L63</f>
        <v>38231</v>
      </c>
      <c r="C41" s="414">
        <f>Daily!M63</f>
        <v>35</v>
      </c>
      <c r="D41" s="413">
        <f>Daily!N63</f>
        <v>3.1410985750512692</v>
      </c>
      <c r="E41" s="412">
        <f>Daily!O63</f>
        <v>0.31686678752532099</v>
      </c>
      <c r="F41" s="412">
        <f>Daily!P63</f>
        <v>0.98418367346938862</v>
      </c>
      <c r="G41" s="412">
        <f>Daily!Q63</f>
        <v>0.98120938966527338</v>
      </c>
      <c r="H41" s="413">
        <f>Daily!R63</f>
        <v>3.065819818326367</v>
      </c>
      <c r="I41" s="413">
        <f>Daily!S63</f>
        <v>3.0824664449124799</v>
      </c>
      <c r="J41" s="414">
        <f>IF(Daily!T63=0,"",Daily!T63)</f>
        <v>440.13784304245155</v>
      </c>
      <c r="K41" s="414">
        <f>IF(Daily!U63=0,"",Daily!U63)</f>
        <v>479.87877433631434</v>
      </c>
      <c r="L41" s="414">
        <f>IF(Daily!V63=0,"",Daily!V63)</f>
        <v>7</v>
      </c>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row>
    <row r="42" spans="1:39">
      <c r="A42" s="406"/>
      <c r="B42" s="421">
        <f>Daily!L64</f>
        <v>38238</v>
      </c>
      <c r="C42" s="414">
        <f>Daily!M64</f>
        <v>36</v>
      </c>
      <c r="D42" s="413">
        <f>Daily!N64</f>
        <v>2.6481151215118501</v>
      </c>
      <c r="E42" s="412">
        <f>Daily!O64</f>
        <v>1.0263944490397081</v>
      </c>
      <c r="F42" s="412">
        <f>Daily!P64</f>
        <v>1.0450941597177916</v>
      </c>
      <c r="G42" s="412">
        <f>Daily!Q64</f>
        <v>0.92947516630290727</v>
      </c>
      <c r="H42" s="413">
        <f>Daily!R64</f>
        <v>2.7846481693539347</v>
      </c>
      <c r="I42" s="413">
        <f>Daily!S64</f>
        <v>2.4624436230273514</v>
      </c>
      <c r="J42" s="414">
        <f>IF(Daily!T64=0,"",Daily!T64)</f>
        <v>459.63038022792915</v>
      </c>
      <c r="K42" s="414">
        <f>IF(Daily!U64=0,"",Daily!U64)</f>
        <v>497.11587969750576</v>
      </c>
      <c r="L42" s="414">
        <f>IF(Daily!V64=0,"",Daily!V64)</f>
        <v>7</v>
      </c>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row>
    <row r="43" spans="1:39">
      <c r="A43" s="406"/>
      <c r="B43" s="421">
        <f>Daily!L65</f>
        <v>38245</v>
      </c>
      <c r="C43" s="414">
        <f>Daily!M65</f>
        <v>37</v>
      </c>
      <c r="D43" s="413">
        <f>Daily!N65</f>
        <v>2.1362383321474554</v>
      </c>
      <c r="E43" s="412">
        <f>Daily!O65</f>
        <v>0.92238106373800421</v>
      </c>
      <c r="F43" s="412">
        <f>Daily!P65</f>
        <v>1.0119389496601061</v>
      </c>
      <c r="G43" s="412">
        <f>Daily!Q65</f>
        <v>0.87774094294054117</v>
      </c>
      <c r="H43" s="413">
        <f>Daily!R65</f>
        <v>2.055626150709577</v>
      </c>
      <c r="I43" s="413">
        <f>Daily!S65</f>
        <v>1.8833323877350454</v>
      </c>
      <c r="J43" s="414">
        <f>IF(Daily!T65=0,"",Daily!T65)</f>
        <v>474.01976328289618</v>
      </c>
      <c r="K43" s="414">
        <f>IF(Daily!U65=0,"",Daily!U65)</f>
        <v>510.29920641165114</v>
      </c>
      <c r="L43" s="414">
        <f>IF(Daily!V65=0,"",Daily!V65)</f>
        <v>7</v>
      </c>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row>
    <row r="44" spans="1:39">
      <c r="A44" s="406"/>
      <c r="B44" s="421">
        <f>Daily!L66</f>
        <v>38252</v>
      </c>
      <c r="C44" s="414">
        <f>Daily!M66</f>
        <v>38</v>
      </c>
      <c r="D44" s="413">
        <f>Daily!N66</f>
        <v>1.7776328040439957</v>
      </c>
      <c r="E44" s="412">
        <f>Daily!O66</f>
        <v>0.72991620363562271</v>
      </c>
      <c r="F44" s="412">
        <f>Daily!P66</f>
        <v>0.76183116344204005</v>
      </c>
      <c r="G44" s="412">
        <f>Daily!Q66</f>
        <v>0.82600671957817506</v>
      </c>
      <c r="H44" s="413">
        <f>Daily!R66</f>
        <v>1.351731658992795</v>
      </c>
      <c r="I44" s="413">
        <f>Daily!S66</f>
        <v>1.4688750055672852</v>
      </c>
      <c r="J44" s="414">
        <f>IF(Daily!T66=0,"",Daily!T66)</f>
        <v>483.48188489584578</v>
      </c>
      <c r="K44" s="414">
        <f>IF(Daily!U66=0,"",Daily!U66)</f>
        <v>520.58133145062232</v>
      </c>
      <c r="L44" s="414">
        <f>IF(Daily!V66=0,"",Daily!V66)</f>
        <v>7</v>
      </c>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row>
    <row r="45" spans="1:39">
      <c r="A45" s="406"/>
      <c r="B45" s="421">
        <f>Daily!L67</f>
        <v>38259</v>
      </c>
      <c r="C45" s="414">
        <f>Daily!M67</f>
        <v>39</v>
      </c>
      <c r="D45" s="413">
        <f>Daily!N67</f>
        <v>1.6411841720419322</v>
      </c>
      <c r="E45" s="412">
        <f>Daily!O67</f>
        <v>0.51968445812345043</v>
      </c>
      <c r="F45" s="412">
        <f>Daily!P67</f>
        <v>0.64285714285714501</v>
      </c>
      <c r="G45" s="412">
        <f>Daily!Q67</f>
        <v>0.77427249621580896</v>
      </c>
      <c r="H45" s="413">
        <f>Daily!R67</f>
        <v>1.051875823937181</v>
      </c>
      <c r="I45" s="413">
        <f>Daily!S67</f>
        <v>1.2685363434784669</v>
      </c>
      <c r="J45" s="414">
        <f>IF(Daily!T67=0,"",Daily!T67)</f>
        <v>490.84501566340606</v>
      </c>
      <c r="K45" s="414">
        <f>IF(Daily!U67=0,"",Daily!U67)</f>
        <v>529.46108585497154</v>
      </c>
      <c r="L45" s="414">
        <f>IF(Daily!V67=0,"",Daily!V67)</f>
        <v>7</v>
      </c>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row>
    <row r="46" spans="1:39">
      <c r="A46" s="406"/>
      <c r="B46" s="421">
        <f>Daily!L68</f>
        <v>38266</v>
      </c>
      <c r="C46" s="414">
        <f>Daily!M68</f>
        <v>40</v>
      </c>
      <c r="D46" s="413">
        <f>Daily!N68</f>
        <v>1.3159428399078756</v>
      </c>
      <c r="E46" s="412">
        <f>Daily!O68</f>
        <v>0.46206968344766386</v>
      </c>
      <c r="F46" s="412">
        <f>Daily!P68</f>
        <v>0.60000000000000231</v>
      </c>
      <c r="G46" s="412">
        <f>Daily!Q68</f>
        <v>0.74471008286588547</v>
      </c>
      <c r="H46" s="413">
        <f>Daily!R68</f>
        <v>0.45864790422924573</v>
      </c>
      <c r="I46" s="413">
        <f>Daily!S68</f>
        <v>0.56926619794137501</v>
      </c>
      <c r="J46" s="414">
        <f>IF(Daily!T68=0,"",Daily!T68)</f>
        <v>491.30366356763528</v>
      </c>
      <c r="K46" s="414">
        <f>IF(Daily!U68=0,"",Daily!U68)</f>
        <v>530.03035205291292</v>
      </c>
      <c r="L46" s="414">
        <f>IF(Daily!V68=0,"",Daily!V68)</f>
        <v>1</v>
      </c>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row>
    <row r="47" spans="1:39">
      <c r="A47" s="406"/>
      <c r="B47" s="421">
        <f>Daily!L69</f>
        <v>38273</v>
      </c>
      <c r="C47" s="414">
        <f>Daily!M69</f>
        <v>41</v>
      </c>
      <c r="D47" s="413">
        <f>Daily!N69</f>
        <v>1.3644894005509494</v>
      </c>
      <c r="E47" s="412" t="str">
        <f>Daily!O69</f>
        <v/>
      </c>
      <c r="F47" s="412" t="str">
        <f>Daily!P69</f>
        <v/>
      </c>
      <c r="G47" s="412" t="str">
        <f>Daily!Q69</f>
        <v/>
      </c>
      <c r="H47" s="413" t="str">
        <f>Daily!R69</f>
        <v/>
      </c>
      <c r="I47" s="413" t="str">
        <f>Daily!S69</f>
        <v/>
      </c>
      <c r="J47" s="414" t="str">
        <f>IF(Daily!T69=0,"",Daily!T69)</f>
        <v/>
      </c>
      <c r="K47" s="414" t="str">
        <f>IF(Daily!U69=0,"",Daily!U69)</f>
        <v/>
      </c>
      <c r="L47" s="414" t="str">
        <f>IF(Daily!V69=0,"",Daily!V69)</f>
        <v/>
      </c>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row>
    <row r="48" spans="1:39">
      <c r="A48" s="406"/>
      <c r="B48" s="421">
        <f>Daily!L70</f>
        <v>38280</v>
      </c>
      <c r="C48" s="414">
        <f>Daily!M70</f>
        <v>42</v>
      </c>
      <c r="D48" s="413">
        <f>Daily!N70</f>
        <v>0.83266480510092222</v>
      </c>
      <c r="E48" s="412" t="str">
        <f>Daily!O70</f>
        <v/>
      </c>
      <c r="F48" s="412" t="str">
        <f>Daily!P70</f>
        <v/>
      </c>
      <c r="G48" s="412" t="str">
        <f>Daily!Q70</f>
        <v/>
      </c>
      <c r="H48" s="413" t="str">
        <f>Daily!R70</f>
        <v/>
      </c>
      <c r="I48" s="413" t="str">
        <f>Daily!S70</f>
        <v/>
      </c>
      <c r="J48" s="414" t="str">
        <f>IF(Daily!T70=0,"",Daily!T70)</f>
        <v/>
      </c>
      <c r="K48" s="414" t="str">
        <f>IF(Daily!U70=0,"",Daily!U70)</f>
        <v/>
      </c>
      <c r="L48" s="414" t="str">
        <f>IF(Daily!V70=0,"",Daily!V70)</f>
        <v/>
      </c>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row>
    <row r="49" spans="1:39">
      <c r="A49" s="406"/>
      <c r="B49" s="421">
        <f>Daily!L71</f>
        <v>38287</v>
      </c>
      <c r="C49" s="414">
        <f>Daily!M71</f>
        <v>43</v>
      </c>
      <c r="D49" s="413">
        <f>Daily!N71</f>
        <v>0.64855129067016193</v>
      </c>
      <c r="E49" s="412" t="str">
        <f>Daily!O71</f>
        <v/>
      </c>
      <c r="F49" s="412" t="str">
        <f>Daily!P71</f>
        <v/>
      </c>
      <c r="G49" s="412" t="str">
        <f>Daily!Q71</f>
        <v/>
      </c>
      <c r="H49" s="413" t="str">
        <f>Daily!R71</f>
        <v/>
      </c>
      <c r="I49" s="413" t="str">
        <f>Daily!S71</f>
        <v/>
      </c>
      <c r="J49" s="414" t="str">
        <f>IF(Daily!T71=0,"",Daily!T71)</f>
        <v/>
      </c>
      <c r="K49" s="414" t="str">
        <f>IF(Daily!U71=0,"",Daily!U71)</f>
        <v/>
      </c>
      <c r="L49" s="414" t="str">
        <f>IF(Daily!V71=0,"",Daily!V71)</f>
        <v/>
      </c>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row>
    <row r="50" spans="1:39">
      <c r="A50" s="406"/>
      <c r="B50" s="421">
        <f>Daily!L72</f>
        <v>38294</v>
      </c>
      <c r="C50" s="414">
        <f>Daily!M72</f>
        <v>44</v>
      </c>
      <c r="D50" s="413">
        <f>Daily!N72</f>
        <v>0.67833331111382356</v>
      </c>
      <c r="E50" s="412" t="str">
        <f>Daily!O72</f>
        <v/>
      </c>
      <c r="F50" s="412" t="str">
        <f>Daily!P72</f>
        <v/>
      </c>
      <c r="G50" s="412" t="str">
        <f>Daily!Q72</f>
        <v/>
      </c>
      <c r="H50" s="413" t="str">
        <f>Daily!R72</f>
        <v/>
      </c>
      <c r="I50" s="413" t="str">
        <f>Daily!S72</f>
        <v/>
      </c>
      <c r="J50" s="414" t="str">
        <f>IF(Daily!T72=0,"",Daily!T72)</f>
        <v/>
      </c>
      <c r="K50" s="414" t="str">
        <f>IF(Daily!U72=0,"",Daily!U72)</f>
        <v/>
      </c>
      <c r="L50" s="414" t="str">
        <f>IF(Daily!V72=0,"",Daily!V72)</f>
        <v/>
      </c>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row>
    <row r="51" spans="1:39">
      <c r="A51" s="406"/>
      <c r="B51" s="421">
        <f>Daily!L73</f>
        <v>38301</v>
      </c>
      <c r="C51" s="414">
        <f>Daily!M73</f>
        <v>45</v>
      </c>
      <c r="D51" s="413">
        <f>Daily!N73</f>
        <v>0.53212742712859451</v>
      </c>
      <c r="E51" s="412" t="str">
        <f>Daily!O73</f>
        <v/>
      </c>
      <c r="F51" s="412" t="str">
        <f>Daily!P73</f>
        <v/>
      </c>
      <c r="G51" s="412" t="str">
        <f>Daily!Q73</f>
        <v/>
      </c>
      <c r="H51" s="413" t="str">
        <f>Daily!R73</f>
        <v/>
      </c>
      <c r="I51" s="413" t="str">
        <f>Daily!S73</f>
        <v/>
      </c>
      <c r="J51" s="414" t="str">
        <f>IF(Daily!T73=0,"",Daily!T73)</f>
        <v/>
      </c>
      <c r="K51" s="414" t="str">
        <f>IF(Daily!U73=0,"",Daily!U73)</f>
        <v/>
      </c>
      <c r="L51" s="414" t="str">
        <f>IF(Daily!V73=0,"",Daily!V73)</f>
        <v/>
      </c>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row>
    <row r="52" spans="1:39">
      <c r="A52" s="406"/>
      <c r="B52" s="421">
        <f>Daily!L74</f>
        <v>38308</v>
      </c>
      <c r="C52" s="414">
        <f>Daily!M74</f>
        <v>46</v>
      </c>
      <c r="D52" s="413">
        <f>Daily!N74</f>
        <v>0.3836331601892583</v>
      </c>
      <c r="E52" s="412" t="str">
        <f>Daily!O74</f>
        <v/>
      </c>
      <c r="F52" s="412" t="str">
        <f>Daily!P74</f>
        <v/>
      </c>
      <c r="G52" s="412" t="str">
        <f>Daily!Q74</f>
        <v/>
      </c>
      <c r="H52" s="413" t="str">
        <f>Daily!R74</f>
        <v/>
      </c>
      <c r="I52" s="413" t="str">
        <f>Daily!S74</f>
        <v/>
      </c>
      <c r="J52" s="414" t="str">
        <f>IF(Daily!T74=0,"",Daily!T74)</f>
        <v/>
      </c>
      <c r="K52" s="414" t="str">
        <f>IF(Daily!U74=0,"",Daily!U74)</f>
        <v/>
      </c>
      <c r="L52" s="414" t="str">
        <f>IF(Daily!V74=0,"",Daily!V74)</f>
        <v/>
      </c>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row>
    <row r="53" spans="1:39">
      <c r="A53" s="406"/>
      <c r="B53" s="421">
        <f>Daily!L75</f>
        <v>38315</v>
      </c>
      <c r="C53" s="414">
        <f>Daily!M75</f>
        <v>47</v>
      </c>
      <c r="D53" s="413">
        <f>Daily!N75</f>
        <v>0.33394958755873</v>
      </c>
      <c r="E53" s="412" t="str">
        <f>Daily!O75</f>
        <v/>
      </c>
      <c r="F53" s="412" t="str">
        <f>Daily!P75</f>
        <v/>
      </c>
      <c r="G53" s="412" t="str">
        <f>Daily!Q75</f>
        <v/>
      </c>
      <c r="H53" s="413" t="str">
        <f>Daily!R75</f>
        <v/>
      </c>
      <c r="I53" s="413" t="str">
        <f>Daily!S75</f>
        <v/>
      </c>
      <c r="J53" s="414" t="str">
        <f>IF(Daily!T75=0,"",Daily!T75)</f>
        <v/>
      </c>
      <c r="K53" s="414" t="str">
        <f>IF(Daily!U75=0,"",Daily!U75)</f>
        <v/>
      </c>
      <c r="L53" s="414" t="str">
        <f>IF(Daily!V75=0,"",Daily!V75)</f>
        <v/>
      </c>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row>
    <row r="54" spans="1:39">
      <c r="A54" s="406"/>
      <c r="B54" s="421">
        <f>Daily!L76</f>
        <v>38322</v>
      </c>
      <c r="C54" s="414">
        <f>Daily!M76</f>
        <v>48</v>
      </c>
      <c r="D54" s="413">
        <f>Daily!N76</f>
        <v>0.34914906396827278</v>
      </c>
      <c r="E54" s="412" t="str">
        <f>Daily!O76</f>
        <v/>
      </c>
      <c r="F54" s="412" t="str">
        <f>Daily!P76</f>
        <v/>
      </c>
      <c r="G54" s="412" t="str">
        <f>Daily!Q76</f>
        <v/>
      </c>
      <c r="H54" s="413" t="str">
        <f>Daily!R76</f>
        <v/>
      </c>
      <c r="I54" s="413" t="str">
        <f>Daily!S76</f>
        <v/>
      </c>
      <c r="J54" s="414" t="str">
        <f>IF(Daily!T76=0,"",Daily!T76)</f>
        <v/>
      </c>
      <c r="K54" s="414" t="str">
        <f>IF(Daily!U76=0,"",Daily!U76)</f>
        <v/>
      </c>
      <c r="L54" s="414" t="str">
        <f>IF(Daily!V76=0,"",Daily!V76)</f>
        <v/>
      </c>
      <c r="M54" s="406"/>
      <c r="N54" s="406"/>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row>
    <row r="55" spans="1:39">
      <c r="A55" s="406"/>
      <c r="B55" s="421">
        <f>Daily!L77</f>
        <v>38329</v>
      </c>
      <c r="C55" s="414">
        <f>Daily!M77</f>
        <v>49</v>
      </c>
      <c r="D55" s="413">
        <f>Daily!N77</f>
        <v>0.22717102883217932</v>
      </c>
      <c r="E55" s="412" t="str">
        <f>Daily!O77</f>
        <v/>
      </c>
      <c r="F55" s="412" t="str">
        <f>Daily!P77</f>
        <v/>
      </c>
      <c r="G55" s="412" t="str">
        <f>Daily!Q77</f>
        <v/>
      </c>
      <c r="H55" s="413" t="str">
        <f>Daily!R77</f>
        <v/>
      </c>
      <c r="I55" s="413" t="str">
        <f>Daily!S77</f>
        <v/>
      </c>
      <c r="J55" s="414" t="str">
        <f>IF(Daily!T77=0,"",Daily!T77)</f>
        <v/>
      </c>
      <c r="K55" s="414" t="str">
        <f>IF(Daily!U77=0,"",Daily!U77)</f>
        <v/>
      </c>
      <c r="L55" s="414" t="str">
        <f>IF(Daily!V77=0,"",Daily!V77)</f>
        <v/>
      </c>
      <c r="M55" s="406"/>
      <c r="N55" s="406"/>
      <c r="O55" s="406"/>
      <c r="P55" s="406"/>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row>
    <row r="56" spans="1:39">
      <c r="A56" s="406"/>
      <c r="B56" s="421">
        <f>Daily!L78</f>
        <v>38336</v>
      </c>
      <c r="C56" s="414">
        <f>Daily!M78</f>
        <v>50</v>
      </c>
      <c r="D56" s="413">
        <f>Daily!N78</f>
        <v>0.17189521765499755</v>
      </c>
      <c r="E56" s="412" t="str">
        <f>Daily!O78</f>
        <v/>
      </c>
      <c r="F56" s="412" t="str">
        <f>Daily!P78</f>
        <v/>
      </c>
      <c r="G56" s="412" t="str">
        <f>Daily!Q78</f>
        <v/>
      </c>
      <c r="H56" s="413" t="str">
        <f>Daily!R78</f>
        <v/>
      </c>
      <c r="I56" s="413" t="str">
        <f>Daily!S78</f>
        <v/>
      </c>
      <c r="J56" s="414" t="str">
        <f>IF(Daily!T78=0,"",Daily!T78)</f>
        <v/>
      </c>
      <c r="K56" s="414" t="str">
        <f>IF(Daily!U78=0,"",Daily!U78)</f>
        <v/>
      </c>
      <c r="L56" s="414" t="str">
        <f>IF(Daily!V78=0,"",Daily!V78)</f>
        <v/>
      </c>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row>
    <row r="57" spans="1:39">
      <c r="A57" s="406"/>
      <c r="B57" s="421">
        <f>Daily!L79</f>
        <v>38343</v>
      </c>
      <c r="C57" s="414">
        <f>Daily!M79</f>
        <v>51</v>
      </c>
      <c r="D57" s="413">
        <f>Daily!N79</f>
        <v>0.17139550235636886</v>
      </c>
      <c r="E57" s="412" t="str">
        <f>Daily!O79</f>
        <v/>
      </c>
      <c r="F57" s="412" t="str">
        <f>Daily!P79</f>
        <v/>
      </c>
      <c r="G57" s="412" t="str">
        <f>Daily!Q79</f>
        <v/>
      </c>
      <c r="H57" s="413" t="str">
        <f>Daily!R79</f>
        <v/>
      </c>
      <c r="I57" s="413" t="str">
        <f>Daily!S79</f>
        <v/>
      </c>
      <c r="J57" s="414" t="str">
        <f>IF(Daily!T79=0,"",Daily!T79)</f>
        <v/>
      </c>
      <c r="K57" s="414" t="str">
        <f>IF(Daily!U79=0,"",Daily!U79)</f>
        <v/>
      </c>
      <c r="L57" s="414" t="str">
        <f>IF(Daily!V79=0,"",Daily!V79)</f>
        <v/>
      </c>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row>
    <row r="58" spans="1:39">
      <c r="A58" s="406"/>
      <c r="B58" s="421">
        <f>Daily!L80</f>
        <v>38350</v>
      </c>
      <c r="C58" s="414">
        <f>Daily!M80</f>
        <v>52</v>
      </c>
      <c r="D58" s="413">
        <f>Daily!N80</f>
        <v>0.21235192509066261</v>
      </c>
      <c r="E58" s="412" t="str">
        <f>Daily!O80</f>
        <v/>
      </c>
      <c r="F58" s="412" t="str">
        <f>Daily!P80</f>
        <v/>
      </c>
      <c r="G58" s="412" t="str">
        <f>Daily!Q80</f>
        <v/>
      </c>
      <c r="H58" s="413" t="str">
        <f>Daily!R80</f>
        <v/>
      </c>
      <c r="I58" s="413" t="str">
        <f>Daily!S80</f>
        <v/>
      </c>
      <c r="J58" s="414" t="str">
        <f>IF(Daily!T80=0,"",Daily!T80)</f>
        <v/>
      </c>
      <c r="K58" s="414" t="str">
        <f>IF(Daily!U80=0,"",Daily!U80)</f>
        <v/>
      </c>
      <c r="L58" s="414" t="str">
        <f>IF(Daily!V80=0,"",Daily!V80)</f>
        <v/>
      </c>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row>
    <row r="59" spans="1:39">
      <c r="A59" s="406"/>
      <c r="B59" s="421">
        <f>Daily!L81</f>
        <v>38357</v>
      </c>
      <c r="C59" s="414">
        <f>Daily!M81</f>
        <v>53</v>
      </c>
      <c r="D59" s="413">
        <f>Daily!N81</f>
        <v>0.23293138696199986</v>
      </c>
      <c r="E59" s="412" t="str">
        <f>Daily!O81</f>
        <v/>
      </c>
      <c r="F59" s="412" t="str">
        <f>Daily!P81</f>
        <v/>
      </c>
      <c r="G59" s="412" t="str">
        <f>Daily!Q81</f>
        <v/>
      </c>
      <c r="H59" s="413" t="str">
        <f>Daily!R81</f>
        <v/>
      </c>
      <c r="I59" s="413" t="str">
        <f>Daily!S81</f>
        <v/>
      </c>
      <c r="J59" s="414" t="str">
        <f>IF(Daily!T81=0,"",Daily!T81)</f>
        <v/>
      </c>
      <c r="K59" s="414" t="str">
        <f>IF(Daily!U81=0,"",Daily!U81)</f>
        <v/>
      </c>
      <c r="L59" s="414" t="str">
        <f>IF(Daily!V81=0,"",Daily!V81)</f>
        <v/>
      </c>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row>
    <row r="60" spans="1:39">
      <c r="A60" s="406"/>
      <c r="B60" s="421">
        <f>Daily!L82</f>
        <v>38364</v>
      </c>
      <c r="C60" s="414">
        <f>Daily!M82</f>
        <v>54</v>
      </c>
      <c r="D60" s="413">
        <f>Daily!N82</f>
        <v>0.33860247506136493</v>
      </c>
      <c r="E60" s="412" t="str">
        <f>Daily!O82</f>
        <v/>
      </c>
      <c r="F60" s="412" t="str">
        <f>Daily!P82</f>
        <v/>
      </c>
      <c r="G60" s="412" t="str">
        <f>Daily!Q82</f>
        <v/>
      </c>
      <c r="H60" s="413" t="str">
        <f>Daily!R82</f>
        <v/>
      </c>
      <c r="I60" s="413" t="str">
        <f>Daily!S82</f>
        <v/>
      </c>
      <c r="J60" s="414" t="str">
        <f>IF(Daily!T82=0,"",Daily!T82)</f>
        <v/>
      </c>
      <c r="K60" s="414" t="str">
        <f>IF(Daily!U82=0,"",Daily!U82)</f>
        <v/>
      </c>
      <c r="L60" s="414" t="str">
        <f>IF(Daily!V82=0,"",Daily!V82)</f>
        <v/>
      </c>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row>
    <row r="61" spans="1:39">
      <c r="A61" s="406"/>
      <c r="B61" s="421">
        <f>Daily!L83</f>
        <v>38371</v>
      </c>
      <c r="C61" s="414">
        <f>Daily!M83</f>
        <v>55</v>
      </c>
      <c r="D61" s="413">
        <f>Daily!N83</f>
        <v>0.21010787350124244</v>
      </c>
      <c r="E61" s="412" t="str">
        <f>Daily!O83</f>
        <v/>
      </c>
      <c r="F61" s="412" t="str">
        <f>Daily!P83</f>
        <v/>
      </c>
      <c r="G61" s="412" t="str">
        <f>Daily!Q83</f>
        <v/>
      </c>
      <c r="H61" s="413" t="str">
        <f>Daily!R83</f>
        <v/>
      </c>
      <c r="I61" s="413" t="str">
        <f>Daily!S83</f>
        <v/>
      </c>
      <c r="J61" s="414" t="str">
        <f>IF(Daily!T83=0,"",Daily!T83)</f>
        <v/>
      </c>
      <c r="K61" s="414" t="str">
        <f>IF(Daily!U83=0,"",Daily!U83)</f>
        <v/>
      </c>
      <c r="L61" s="414" t="str">
        <f>IF(Daily!V83=0,"",Daily!V83)</f>
        <v/>
      </c>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row>
    <row r="62" spans="1:39">
      <c r="A62" s="406"/>
      <c r="B62" s="421">
        <f>Daily!L84</f>
        <v>38378</v>
      </c>
      <c r="C62" s="414">
        <f>Daily!M84</f>
        <v>56</v>
      </c>
      <c r="D62" s="413">
        <f>Daily!N84</f>
        <v>0.2725169337748547</v>
      </c>
      <c r="E62" s="412" t="str">
        <f>Daily!O84</f>
        <v/>
      </c>
      <c r="F62" s="412" t="str">
        <f>Daily!P84</f>
        <v/>
      </c>
      <c r="G62" s="412" t="str">
        <f>Daily!Q84</f>
        <v/>
      </c>
      <c r="H62" s="413" t="str">
        <f>Daily!R84</f>
        <v/>
      </c>
      <c r="I62" s="413" t="str">
        <f>Daily!S84</f>
        <v/>
      </c>
      <c r="J62" s="414" t="str">
        <f>IF(Daily!T84=0,"",Daily!T84)</f>
        <v/>
      </c>
      <c r="K62" s="414" t="str">
        <f>IF(Daily!U84=0,"",Daily!U84)</f>
        <v/>
      </c>
      <c r="L62" s="414" t="str">
        <f>IF(Daily!V84=0,"",Daily!V84)</f>
        <v/>
      </c>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row>
    <row r="63" spans="1:39">
      <c r="A63" s="406"/>
      <c r="B63" s="421">
        <f>Daily!L85</f>
        <v>38385</v>
      </c>
      <c r="C63" s="414">
        <f>Daily!M85</f>
        <v>57</v>
      </c>
      <c r="D63" s="413">
        <f>Daily!N85</f>
        <v>0.45852699524430268</v>
      </c>
      <c r="E63" s="412" t="str">
        <f>Daily!O85</f>
        <v/>
      </c>
      <c r="F63" s="412" t="str">
        <f>Daily!P85</f>
        <v/>
      </c>
      <c r="G63" s="412" t="str">
        <f>Daily!Q85</f>
        <v/>
      </c>
      <c r="H63" s="413" t="str">
        <f>Daily!R85</f>
        <v/>
      </c>
      <c r="I63" s="413" t="str">
        <f>Daily!S85</f>
        <v/>
      </c>
      <c r="J63" s="414" t="str">
        <f>IF(Daily!T85=0,"",Daily!T85)</f>
        <v/>
      </c>
      <c r="K63" s="414" t="str">
        <f>IF(Daily!U85=0,"",Daily!U85)</f>
        <v/>
      </c>
      <c r="L63" s="414" t="str">
        <f>IF(Daily!V85=0,"",Daily!V85)</f>
        <v/>
      </c>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row>
    <row r="64" spans="1:39">
      <c r="A64" s="406"/>
      <c r="B64" s="421">
        <f>Daily!L86</f>
        <v>38392</v>
      </c>
      <c r="C64" s="414">
        <f>Daily!M86</f>
        <v>58</v>
      </c>
      <c r="D64" s="413">
        <f>Daily!N86</f>
        <v>0.34871877817846458</v>
      </c>
      <c r="E64" s="412" t="str">
        <f>Daily!O86</f>
        <v/>
      </c>
      <c r="F64" s="412" t="str">
        <f>Daily!P86</f>
        <v/>
      </c>
      <c r="G64" s="412" t="str">
        <f>Daily!Q86</f>
        <v/>
      </c>
      <c r="H64" s="413" t="str">
        <f>Daily!R86</f>
        <v/>
      </c>
      <c r="I64" s="413" t="str">
        <f>Daily!S86</f>
        <v/>
      </c>
      <c r="J64" s="414" t="str">
        <f>IF(Daily!T86=0,"",Daily!T86)</f>
        <v/>
      </c>
      <c r="K64" s="414" t="str">
        <f>IF(Daily!U86=0,"",Daily!U86)</f>
        <v/>
      </c>
      <c r="L64" s="414" t="str">
        <f>IF(Daily!V86=0,"",Daily!V86)</f>
        <v/>
      </c>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row>
    <row r="65" spans="1:39">
      <c r="A65" s="406"/>
      <c r="B65" s="421">
        <f>Daily!L87</f>
        <v>38399</v>
      </c>
      <c r="C65" s="414">
        <f>Daily!M87</f>
        <v>59</v>
      </c>
      <c r="D65" s="413">
        <f>Daily!N87</f>
        <v>0.35327966254863924</v>
      </c>
      <c r="E65" s="412" t="str">
        <f>Daily!O87</f>
        <v/>
      </c>
      <c r="F65" s="412" t="str">
        <f>Daily!P87</f>
        <v/>
      </c>
      <c r="G65" s="412" t="str">
        <f>Daily!Q87</f>
        <v/>
      </c>
      <c r="H65" s="413" t="str">
        <f>Daily!R87</f>
        <v/>
      </c>
      <c r="I65" s="413" t="str">
        <f>Daily!S87</f>
        <v/>
      </c>
      <c r="J65" s="414" t="str">
        <f>IF(Daily!T87=0,"",Daily!T87)</f>
        <v/>
      </c>
      <c r="K65" s="414" t="str">
        <f>IF(Daily!U87=0,"",Daily!U87)</f>
        <v/>
      </c>
      <c r="L65" s="414" t="str">
        <f>IF(Daily!V87=0,"",Daily!V87)</f>
        <v/>
      </c>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row>
    <row r="66" spans="1:39">
      <c r="A66" s="406"/>
      <c r="B66" s="421">
        <f>Daily!L88</f>
        <v>38406</v>
      </c>
      <c r="C66" s="414">
        <f>Daily!M88</f>
        <v>60</v>
      </c>
      <c r="D66" s="413">
        <f>Daily!N88</f>
        <v>0.43190870303039092</v>
      </c>
      <c r="E66" s="412" t="str">
        <f>Daily!O88</f>
        <v/>
      </c>
      <c r="F66" s="412" t="str">
        <f>Daily!P88</f>
        <v/>
      </c>
      <c r="G66" s="412" t="str">
        <f>Daily!Q88</f>
        <v/>
      </c>
      <c r="H66" s="413" t="str">
        <f>Daily!R88</f>
        <v/>
      </c>
      <c r="I66" s="413" t="str">
        <f>Daily!S88</f>
        <v/>
      </c>
      <c r="J66" s="414" t="str">
        <f>IF(Daily!T88=0,"",Daily!T88)</f>
        <v/>
      </c>
      <c r="K66" s="414" t="str">
        <f>IF(Daily!U88=0,"",Daily!U88)</f>
        <v/>
      </c>
      <c r="L66" s="414" t="str">
        <f>IF(Daily!V88=0,"",Daily!V88)</f>
        <v/>
      </c>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row>
    <row r="67" spans="1:39">
      <c r="A67" s="406"/>
      <c r="B67" s="421">
        <f>Daily!L89</f>
        <v>38413</v>
      </c>
      <c r="C67" s="414">
        <f>Daily!M89</f>
        <v>61</v>
      </c>
      <c r="D67" s="413">
        <f>Daily!N89</f>
        <v>0.80599056682012071</v>
      </c>
      <c r="E67" s="412" t="str">
        <f>Daily!O89</f>
        <v/>
      </c>
      <c r="F67" s="412" t="str">
        <f>Daily!P89</f>
        <v/>
      </c>
      <c r="G67" s="412" t="str">
        <f>Daily!Q89</f>
        <v/>
      </c>
      <c r="H67" s="413" t="str">
        <f>Daily!R89</f>
        <v/>
      </c>
      <c r="I67" s="413" t="str">
        <f>Daily!S89</f>
        <v/>
      </c>
      <c r="J67" s="414" t="str">
        <f>IF(Daily!T89=0,"",Daily!T89)</f>
        <v/>
      </c>
      <c r="K67" s="414" t="str">
        <f>IF(Daily!U89=0,"",Daily!U89)</f>
        <v/>
      </c>
      <c r="L67" s="414" t="str">
        <f>IF(Daily!V89=0,"",Daily!V89)</f>
        <v/>
      </c>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row>
    <row r="68" spans="1:39">
      <c r="A68" s="406"/>
      <c r="B68" s="421">
        <f>Daily!L90</f>
        <v>38420</v>
      </c>
      <c r="C68" s="414">
        <f>Daily!M90</f>
        <v>62</v>
      </c>
      <c r="D68" s="413">
        <f>Daily!N90</f>
        <v>1.1580218943003362</v>
      </c>
      <c r="E68" s="412" t="str">
        <f>Daily!O90</f>
        <v/>
      </c>
      <c r="F68" s="412" t="str">
        <f>Daily!P90</f>
        <v/>
      </c>
      <c r="G68" s="412" t="str">
        <f>Daily!Q90</f>
        <v/>
      </c>
      <c r="H68" s="413" t="str">
        <f>Daily!R90</f>
        <v/>
      </c>
      <c r="I68" s="413" t="str">
        <f>Daily!S90</f>
        <v/>
      </c>
      <c r="J68" s="414" t="str">
        <f>IF(Daily!T90=0,"",Daily!T90)</f>
        <v/>
      </c>
      <c r="K68" s="414" t="str">
        <f>IF(Daily!U90=0,"",Daily!U90)</f>
        <v/>
      </c>
      <c r="L68" s="414" t="str">
        <f>IF(Daily!V90=0,"",Daily!V90)</f>
        <v/>
      </c>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row>
    <row r="69" spans="1:39">
      <c r="A69" s="406"/>
      <c r="B69" s="421">
        <f>Daily!L91</f>
        <v>38427</v>
      </c>
      <c r="C69" s="414">
        <f>Daily!M91</f>
        <v>63</v>
      </c>
      <c r="D69" s="413">
        <f>Daily!N91</f>
        <v>1.3521871363587308</v>
      </c>
      <c r="E69" s="412" t="str">
        <f>Daily!O91</f>
        <v/>
      </c>
      <c r="F69" s="412" t="str">
        <f>Daily!P91</f>
        <v/>
      </c>
      <c r="G69" s="412" t="str">
        <f>Daily!Q91</f>
        <v/>
      </c>
      <c r="H69" s="413" t="str">
        <f>Daily!R91</f>
        <v/>
      </c>
      <c r="I69" s="413" t="str">
        <f>Daily!S91</f>
        <v/>
      </c>
      <c r="J69" s="414" t="str">
        <f>IF(Daily!T91=0,"",Daily!T91)</f>
        <v/>
      </c>
      <c r="K69" s="414" t="str">
        <f>IF(Daily!U91=0,"",Daily!U91)</f>
        <v/>
      </c>
      <c r="L69" s="414" t="str">
        <f>IF(Daily!V91=0,"",Daily!V91)</f>
        <v/>
      </c>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row>
    <row r="70" spans="1:39">
      <c r="A70" s="406"/>
      <c r="B70" s="421">
        <f>Daily!L92</f>
        <v>38434</v>
      </c>
      <c r="C70" s="414">
        <f>Daily!M92</f>
        <v>64</v>
      </c>
      <c r="D70" s="413">
        <f>Daily!N92</f>
        <v>1.3161786274559919</v>
      </c>
      <c r="E70" s="412" t="str">
        <f>Daily!O92</f>
        <v/>
      </c>
      <c r="F70" s="412" t="str">
        <f>Daily!P92</f>
        <v/>
      </c>
      <c r="G70" s="412" t="str">
        <f>Daily!Q92</f>
        <v/>
      </c>
      <c r="H70" s="413" t="str">
        <f>Daily!R92</f>
        <v/>
      </c>
      <c r="I70" s="413" t="str">
        <f>Daily!S92</f>
        <v/>
      </c>
      <c r="J70" s="414" t="str">
        <f>IF(Daily!T92=0,"",Daily!T92)</f>
        <v/>
      </c>
      <c r="K70" s="414" t="str">
        <f>IF(Daily!U92=0,"",Daily!U92)</f>
        <v/>
      </c>
      <c r="L70" s="414" t="str">
        <f>IF(Daily!V92=0,"",Daily!V92)</f>
        <v/>
      </c>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row>
    <row r="71" spans="1:39">
      <c r="A71" s="406"/>
      <c r="B71" s="421">
        <f>Daily!L93</f>
        <v>38441</v>
      </c>
      <c r="C71" s="414">
        <f>Daily!M93</f>
        <v>65</v>
      </c>
      <c r="D71" s="413">
        <f>Daily!N93</f>
        <v>1.4476610993895158</v>
      </c>
      <c r="E71" s="412" t="str">
        <f>Daily!O93</f>
        <v/>
      </c>
      <c r="F71" s="412" t="str">
        <f>Daily!P93</f>
        <v/>
      </c>
      <c r="G71" s="412" t="str">
        <f>Daily!Q93</f>
        <v/>
      </c>
      <c r="H71" s="413" t="str">
        <f>Daily!R93</f>
        <v/>
      </c>
      <c r="I71" s="413" t="str">
        <f>Daily!S93</f>
        <v/>
      </c>
      <c r="J71" s="414" t="str">
        <f>IF(Daily!T93=0,"",Daily!T93)</f>
        <v/>
      </c>
      <c r="K71" s="414" t="str">
        <f>IF(Daily!U93=0,"",Daily!U93)</f>
        <v/>
      </c>
      <c r="L71" s="414" t="str">
        <f>IF(Daily!V93=0,"",Daily!V93)</f>
        <v/>
      </c>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row>
    <row r="72" spans="1:39">
      <c r="A72" s="406"/>
      <c r="B72" s="421">
        <f>Daily!L94</f>
        <v>38448</v>
      </c>
      <c r="C72" s="414">
        <f>Daily!M94</f>
        <v>66</v>
      </c>
      <c r="D72" s="413">
        <f>Daily!N94</f>
        <v>1.5441140035836629</v>
      </c>
      <c r="E72" s="412" t="str">
        <f>Daily!O94</f>
        <v/>
      </c>
      <c r="F72" s="412" t="str">
        <f>Daily!P94</f>
        <v/>
      </c>
      <c r="G72" s="412" t="str">
        <f>Daily!Q94</f>
        <v/>
      </c>
      <c r="H72" s="413" t="str">
        <f>Daily!R94</f>
        <v/>
      </c>
      <c r="I72" s="413" t="str">
        <f>Daily!S94</f>
        <v/>
      </c>
      <c r="J72" s="414" t="str">
        <f>IF(Daily!T94=0,"",Daily!T94)</f>
        <v/>
      </c>
      <c r="K72" s="414" t="str">
        <f>IF(Daily!U94=0,"",Daily!U94)</f>
        <v/>
      </c>
      <c r="L72" s="414" t="str">
        <f>IF(Daily!V94=0,"",Daily!V94)</f>
        <v/>
      </c>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row>
    <row r="73" spans="1:39">
      <c r="A73" s="406"/>
      <c r="B73" s="421">
        <f>Daily!L95</f>
        <v>38455</v>
      </c>
      <c r="C73" s="414">
        <f>Daily!M95</f>
        <v>67</v>
      </c>
      <c r="D73" s="413">
        <f>Daily!N95</f>
        <v>1.5188529376006923</v>
      </c>
      <c r="E73" s="412" t="str">
        <f>Daily!O95</f>
        <v/>
      </c>
      <c r="F73" s="412" t="str">
        <f>Daily!P95</f>
        <v/>
      </c>
      <c r="G73" s="412" t="str">
        <f>Daily!Q95</f>
        <v/>
      </c>
      <c r="H73" s="413" t="str">
        <f>Daily!R95</f>
        <v/>
      </c>
      <c r="I73" s="413" t="str">
        <f>Daily!S95</f>
        <v/>
      </c>
      <c r="J73" s="414" t="str">
        <f>IF(Daily!T95=0,"",Daily!T95)</f>
        <v/>
      </c>
      <c r="K73" s="414" t="str">
        <f>IF(Daily!U95=0,"",Daily!U95)</f>
        <v/>
      </c>
      <c r="L73" s="414" t="str">
        <f>IF(Daily!V95=0,"",Daily!V95)</f>
        <v/>
      </c>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row>
    <row r="74" spans="1:39">
      <c r="A74" s="406"/>
      <c r="B74" s="421">
        <f>Daily!L96</f>
        <v>38462</v>
      </c>
      <c r="C74" s="414">
        <f>Daily!M96</f>
        <v>68</v>
      </c>
      <c r="D74" s="413">
        <f>Daily!N96</f>
        <v>1.7513629045232186</v>
      </c>
      <c r="E74" s="412" t="str">
        <f>Daily!O96</f>
        <v/>
      </c>
      <c r="F74" s="412" t="str">
        <f>Daily!P96</f>
        <v/>
      </c>
      <c r="G74" s="412" t="str">
        <f>Daily!Q96</f>
        <v/>
      </c>
      <c r="H74" s="413" t="str">
        <f>Daily!R96</f>
        <v/>
      </c>
      <c r="I74" s="413" t="str">
        <f>Daily!S96</f>
        <v/>
      </c>
      <c r="J74" s="414" t="str">
        <f>IF(Daily!T96=0,"",Daily!T96)</f>
        <v/>
      </c>
      <c r="K74" s="414" t="str">
        <f>IF(Daily!U96=0,"",Daily!U96)</f>
        <v/>
      </c>
      <c r="L74" s="414" t="str">
        <f>IF(Daily!V96=0,"",Daily!V96)</f>
        <v/>
      </c>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row>
    <row r="75" spans="1:39">
      <c r="A75" s="406"/>
      <c r="B75" s="421">
        <f>Daily!L97</f>
        <v>38469</v>
      </c>
      <c r="C75" s="414">
        <f>Daily!M97</f>
        <v>69</v>
      </c>
      <c r="D75" s="413">
        <f>Daily!N97</f>
        <v>1.7386516207561515</v>
      </c>
      <c r="E75" s="412" t="str">
        <f>Daily!O97</f>
        <v/>
      </c>
      <c r="F75" s="412" t="str">
        <f>Daily!P97</f>
        <v/>
      </c>
      <c r="G75" s="412" t="str">
        <f>Daily!Q97</f>
        <v/>
      </c>
      <c r="H75" s="413" t="str">
        <f>Daily!R97</f>
        <v/>
      </c>
      <c r="I75" s="413" t="str">
        <f>Daily!S97</f>
        <v/>
      </c>
      <c r="J75" s="414" t="str">
        <f>IF(Daily!T97=0,"",Daily!T97)</f>
        <v/>
      </c>
      <c r="K75" s="414" t="str">
        <f>IF(Daily!U97=0,"",Daily!U97)</f>
        <v/>
      </c>
      <c r="L75" s="414" t="str">
        <f>IF(Daily!V97=0,"",Daily!V97)</f>
        <v/>
      </c>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row>
    <row r="76" spans="1:39">
      <c r="A76" s="406"/>
      <c r="B76" s="421">
        <f>Daily!L98</f>
        <v>38476</v>
      </c>
      <c r="C76" s="414">
        <f>Daily!M98</f>
        <v>70</v>
      </c>
      <c r="D76" s="413">
        <f>Daily!N98</f>
        <v>0.97477175924038284</v>
      </c>
      <c r="E76" s="412" t="str">
        <f>Daily!O98</f>
        <v/>
      </c>
      <c r="F76" s="412" t="str">
        <f>Daily!P98</f>
        <v/>
      </c>
      <c r="G76" s="412" t="str">
        <f>Daily!Q98</f>
        <v/>
      </c>
      <c r="H76" s="413" t="str">
        <f>Daily!R98</f>
        <v/>
      </c>
      <c r="I76" s="413" t="str">
        <f>Daily!S98</f>
        <v/>
      </c>
      <c r="J76" s="414" t="str">
        <f>IF(Daily!T98=0,"",Daily!T98)</f>
        <v/>
      </c>
      <c r="K76" s="414" t="str">
        <f>IF(Daily!U98=0,"",Daily!U98)</f>
        <v/>
      </c>
      <c r="L76" s="414" t="str">
        <f>IF(Daily!V98=0,"",Daily!V98)</f>
        <v/>
      </c>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row>
    <row r="77" spans="1:39">
      <c r="A77" s="406"/>
      <c r="B77" s="421">
        <f>Daily!L99</f>
        <v>38483</v>
      </c>
      <c r="C77" s="414">
        <f>Daily!M99</f>
        <v>71</v>
      </c>
      <c r="D77" s="413">
        <f>Daily!N99</f>
        <v>2.6560386379887109</v>
      </c>
      <c r="E77" s="412" t="str">
        <f>Daily!O99</f>
        <v/>
      </c>
      <c r="F77" s="412" t="str">
        <f>Daily!P99</f>
        <v/>
      </c>
      <c r="G77" s="412" t="str">
        <f>Daily!Q99</f>
        <v/>
      </c>
      <c r="H77" s="413" t="str">
        <f>Daily!R99</f>
        <v/>
      </c>
      <c r="I77" s="413" t="str">
        <f>Daily!S99</f>
        <v/>
      </c>
      <c r="J77" s="414" t="str">
        <f>IF(Daily!T99=0,"",Daily!T99)</f>
        <v/>
      </c>
      <c r="K77" s="414" t="str">
        <f>IF(Daily!U99=0,"",Daily!U99)</f>
        <v/>
      </c>
      <c r="L77" s="414" t="str">
        <f>IF(Daily!V99=0,"",Daily!V99)</f>
        <v/>
      </c>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row>
    <row r="78" spans="1:39">
      <c r="A78" s="406"/>
      <c r="B78" s="421">
        <f>Daily!L100</f>
        <v>38490</v>
      </c>
      <c r="C78" s="414">
        <f>Daily!M100</f>
        <v>72</v>
      </c>
      <c r="D78" s="413">
        <f>Daily!N100</f>
        <v>2.9199274619261084</v>
      </c>
      <c r="E78" s="412" t="str">
        <f>Daily!O100</f>
        <v/>
      </c>
      <c r="F78" s="412" t="str">
        <f>Daily!P100</f>
        <v/>
      </c>
      <c r="G78" s="412" t="str">
        <f>Daily!Q100</f>
        <v/>
      </c>
      <c r="H78" s="413" t="str">
        <f>Daily!R100</f>
        <v/>
      </c>
      <c r="I78" s="413" t="str">
        <f>Daily!S100</f>
        <v/>
      </c>
      <c r="J78" s="414" t="str">
        <f>IF(Daily!T100=0,"",Daily!T100)</f>
        <v/>
      </c>
      <c r="K78" s="414" t="str">
        <f>IF(Daily!U100=0,"",Daily!U100)</f>
        <v/>
      </c>
      <c r="L78" s="414" t="str">
        <f>IF(Daily!V100=0,"",Daily!V100)</f>
        <v/>
      </c>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row>
    <row r="79" spans="1:39">
      <c r="A79" s="406"/>
      <c r="B79" s="421">
        <f>Daily!L101</f>
        <v>38497</v>
      </c>
      <c r="C79" s="414">
        <f>Daily!M101</f>
        <v>73</v>
      </c>
      <c r="D79" s="413">
        <f>Daily!N101</f>
        <v>2.7769121257677765</v>
      </c>
      <c r="E79" s="412" t="str">
        <f>Daily!O101</f>
        <v/>
      </c>
      <c r="F79" s="412" t="str">
        <f>Daily!P101</f>
        <v/>
      </c>
      <c r="G79" s="412" t="str">
        <f>Daily!Q101</f>
        <v/>
      </c>
      <c r="H79" s="413" t="str">
        <f>Daily!R101</f>
        <v/>
      </c>
      <c r="I79" s="413" t="str">
        <f>Daily!S101</f>
        <v/>
      </c>
      <c r="J79" s="414" t="str">
        <f>IF(Daily!T101=0,"",Daily!T101)</f>
        <v/>
      </c>
      <c r="K79" s="414" t="str">
        <f>IF(Daily!U101=0,"",Daily!U101)</f>
        <v/>
      </c>
      <c r="L79" s="414" t="str">
        <f>IF(Daily!V101=0,"",Daily!V101)</f>
        <v/>
      </c>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row>
    <row r="80" spans="1:39">
      <c r="A80" s="406"/>
      <c r="B80" s="421">
        <f>Daily!L102</f>
        <v>38504</v>
      </c>
      <c r="C80" s="414">
        <f>Daily!M102</f>
        <v>74</v>
      </c>
      <c r="D80" s="413">
        <f>Daily!N102</f>
        <v>3.4672382478536794</v>
      </c>
      <c r="E80" s="412" t="str">
        <f>Daily!O102</f>
        <v/>
      </c>
      <c r="F80" s="412" t="str">
        <f>Daily!P102</f>
        <v/>
      </c>
      <c r="G80" s="412" t="str">
        <f>Daily!Q102</f>
        <v/>
      </c>
      <c r="H80" s="413" t="str">
        <f>Daily!R102</f>
        <v/>
      </c>
      <c r="I80" s="413" t="str">
        <f>Daily!S102</f>
        <v/>
      </c>
      <c r="J80" s="414" t="str">
        <f>IF(Daily!T102=0,"",Daily!T102)</f>
        <v/>
      </c>
      <c r="K80" s="414" t="str">
        <f>IF(Daily!U102=0,"",Daily!U102)</f>
        <v/>
      </c>
      <c r="L80" s="414" t="str">
        <f>IF(Daily!V102=0,"",Daily!V102)</f>
        <v/>
      </c>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row>
    <row r="81" spans="1:39">
      <c r="A81" s="406"/>
      <c r="B81" s="421">
        <f>Daily!L103</f>
        <v>38511</v>
      </c>
      <c r="C81" s="414">
        <f>Daily!M103</f>
        <v>75</v>
      </c>
      <c r="D81" s="413">
        <f>Daily!N103</f>
        <v>4.1702805134339753</v>
      </c>
      <c r="E81" s="412" t="str">
        <f>Daily!O103</f>
        <v/>
      </c>
      <c r="F81" s="412" t="str">
        <f>Daily!P103</f>
        <v/>
      </c>
      <c r="G81" s="412" t="str">
        <f>Daily!Q103</f>
        <v/>
      </c>
      <c r="H81" s="413" t="str">
        <f>Daily!R103</f>
        <v/>
      </c>
      <c r="I81" s="413" t="str">
        <f>Daily!S103</f>
        <v/>
      </c>
      <c r="J81" s="414" t="str">
        <f>IF(Daily!T103=0,"",Daily!T103)</f>
        <v/>
      </c>
      <c r="K81" s="414" t="str">
        <f>IF(Daily!U103=0,"",Daily!U103)</f>
        <v/>
      </c>
      <c r="L81" s="414" t="str">
        <f>IF(Daily!V103=0,"",Daily!V103)</f>
        <v/>
      </c>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row>
    <row r="82" spans="1:39">
      <c r="A82" s="406"/>
      <c r="B82" s="421">
        <f>Daily!L104</f>
        <v>38518</v>
      </c>
      <c r="C82" s="414">
        <f>Daily!M104</f>
        <v>76</v>
      </c>
      <c r="D82" s="413">
        <f>Daily!N104</f>
        <v>4.1980681885972171</v>
      </c>
      <c r="E82" s="412" t="str">
        <f>Daily!O104</f>
        <v/>
      </c>
      <c r="F82" s="412" t="str">
        <f>Daily!P104</f>
        <v/>
      </c>
      <c r="G82" s="412" t="str">
        <f>Daily!Q104</f>
        <v/>
      </c>
      <c r="H82" s="413" t="str">
        <f>Daily!R104</f>
        <v/>
      </c>
      <c r="I82" s="413" t="str">
        <f>Daily!S104</f>
        <v/>
      </c>
      <c r="J82" s="414" t="str">
        <f>IF(Daily!T104=0,"",Daily!T104)</f>
        <v/>
      </c>
      <c r="K82" s="414" t="str">
        <f>IF(Daily!U104=0,"",Daily!U104)</f>
        <v/>
      </c>
      <c r="L82" s="414" t="str">
        <f>IF(Daily!V104=0,"",Daily!V104)</f>
        <v/>
      </c>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row>
    <row r="83" spans="1:39">
      <c r="A83" s="406"/>
      <c r="B83" s="421">
        <f>Daily!L105</f>
        <v>38525</v>
      </c>
      <c r="C83" s="414">
        <f>Daily!M105</f>
        <v>77</v>
      </c>
      <c r="D83" s="413">
        <f>Daily!N105</f>
        <v>4.0079274181593334</v>
      </c>
      <c r="E83" s="412" t="str">
        <f>Daily!O105</f>
        <v/>
      </c>
      <c r="F83" s="412" t="str">
        <f>Daily!P105</f>
        <v/>
      </c>
      <c r="G83" s="412" t="str">
        <f>Daily!Q105</f>
        <v/>
      </c>
      <c r="H83" s="413" t="str">
        <f>Daily!R105</f>
        <v/>
      </c>
      <c r="I83" s="413" t="str">
        <f>Daily!S105</f>
        <v/>
      </c>
      <c r="J83" s="414" t="str">
        <f>IF(Daily!T105=0,"",Daily!T105)</f>
        <v/>
      </c>
      <c r="K83" s="414" t="str">
        <f>IF(Daily!U105=0,"",Daily!U105)</f>
        <v/>
      </c>
      <c r="L83" s="414" t="str">
        <f>IF(Daily!V105=0,"",Daily!V105)</f>
        <v/>
      </c>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row>
    <row r="84" spans="1:39">
      <c r="A84" s="406"/>
      <c r="B84" s="421">
        <f>Daily!L106</f>
        <v>38532</v>
      </c>
      <c r="C84" s="414">
        <f>Daily!M106</f>
        <v>78</v>
      </c>
      <c r="D84" s="413">
        <f>Daily!N106</f>
        <v>4.3043943936943725</v>
      </c>
      <c r="E84" s="412" t="str">
        <f>Daily!O106</f>
        <v/>
      </c>
      <c r="F84" s="412" t="str">
        <f>Daily!P106</f>
        <v/>
      </c>
      <c r="G84" s="412" t="str">
        <f>Daily!Q106</f>
        <v/>
      </c>
      <c r="H84" s="413" t="str">
        <f>Daily!R106</f>
        <v/>
      </c>
      <c r="I84" s="413" t="str">
        <f>Daily!S106</f>
        <v/>
      </c>
      <c r="J84" s="414" t="str">
        <f>IF(Daily!T106=0,"",Daily!T106)</f>
        <v/>
      </c>
      <c r="K84" s="414" t="str">
        <f>IF(Daily!U106=0,"",Daily!U106)</f>
        <v/>
      </c>
      <c r="L84" s="414" t="str">
        <f>IF(Daily!V106=0,"",Daily!V106)</f>
        <v/>
      </c>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row>
    <row r="85" spans="1:39">
      <c r="A85" s="406"/>
      <c r="B85" s="421">
        <f>Daily!L107</f>
        <v>38539</v>
      </c>
      <c r="C85" s="414">
        <f>Daily!M107</f>
        <v>79</v>
      </c>
      <c r="D85" s="413">
        <f>Daily!N107</f>
        <v>4.9783801155896583</v>
      </c>
      <c r="E85" s="412" t="str">
        <f>Daily!O107</f>
        <v/>
      </c>
      <c r="F85" s="412" t="str">
        <f>Daily!P107</f>
        <v/>
      </c>
      <c r="G85" s="412" t="str">
        <f>Daily!Q107</f>
        <v/>
      </c>
      <c r="H85" s="413" t="str">
        <f>Daily!R107</f>
        <v/>
      </c>
      <c r="I85" s="413" t="str">
        <f>Daily!S107</f>
        <v/>
      </c>
      <c r="J85" s="414" t="str">
        <f>IF(Daily!T107=0,"",Daily!T107)</f>
        <v/>
      </c>
      <c r="K85" s="414" t="str">
        <f>IF(Daily!U107=0,"",Daily!U107)</f>
        <v/>
      </c>
      <c r="L85" s="414" t="str">
        <f>IF(Daily!V107=0,"",Daily!V107)</f>
        <v/>
      </c>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row>
    <row r="86" spans="1:39">
      <c r="A86" s="406"/>
      <c r="B86" s="421">
        <f>Daily!L108</f>
        <v>38546</v>
      </c>
      <c r="C86" s="414">
        <f>Daily!M108</f>
        <v>80</v>
      </c>
      <c r="D86" s="413">
        <f>Daily!N108</f>
        <v>4.4849759194103385</v>
      </c>
      <c r="E86" s="412" t="str">
        <f>Daily!O108</f>
        <v/>
      </c>
      <c r="F86" s="412" t="str">
        <f>Daily!P108</f>
        <v/>
      </c>
      <c r="G86" s="412" t="str">
        <f>Daily!Q108</f>
        <v/>
      </c>
      <c r="H86" s="413" t="str">
        <f>Daily!R108</f>
        <v/>
      </c>
      <c r="I86" s="413" t="str">
        <f>Daily!S108</f>
        <v/>
      </c>
      <c r="J86" s="414" t="str">
        <f>IF(Daily!T108=0,"",Daily!T108)</f>
        <v/>
      </c>
      <c r="K86" s="414" t="str">
        <f>IF(Daily!U108=0,"",Daily!U108)</f>
        <v/>
      </c>
      <c r="L86" s="414" t="str">
        <f>IF(Daily!V108=0,"",Daily!V108)</f>
        <v/>
      </c>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row>
    <row r="87" spans="1:39">
      <c r="A87" s="406"/>
      <c r="B87" s="421">
        <f>Daily!L109</f>
        <v>38553</v>
      </c>
      <c r="C87" s="414">
        <f>Daily!M109</f>
        <v>81</v>
      </c>
      <c r="D87" s="413">
        <f>Daily!N109</f>
        <v>4.4191020264212479</v>
      </c>
      <c r="E87" s="412" t="str">
        <f>Daily!O109</f>
        <v/>
      </c>
      <c r="F87" s="412" t="str">
        <f>Daily!P109</f>
        <v/>
      </c>
      <c r="G87" s="412" t="str">
        <f>Daily!Q109</f>
        <v/>
      </c>
      <c r="H87" s="413" t="str">
        <f>Daily!R109</f>
        <v/>
      </c>
      <c r="I87" s="413" t="str">
        <f>Daily!S109</f>
        <v/>
      </c>
      <c r="J87" s="414" t="str">
        <f>IF(Daily!T109=0,"",Daily!T109)</f>
        <v/>
      </c>
      <c r="K87" s="414" t="str">
        <f>IF(Daily!U109=0,"",Daily!U109)</f>
        <v/>
      </c>
      <c r="L87" s="414" t="str">
        <f>IF(Daily!V109=0,"",Daily!V109)</f>
        <v/>
      </c>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row>
    <row r="88" spans="1:39">
      <c r="A88" s="406"/>
      <c r="B88" s="421">
        <f>Daily!L110</f>
        <v>38560</v>
      </c>
      <c r="C88" s="414">
        <f>Daily!M110</f>
        <v>82</v>
      </c>
      <c r="D88" s="413">
        <f>Daily!N110</f>
        <v>4.2374963420184883</v>
      </c>
      <c r="E88" s="412" t="str">
        <f>Daily!O110</f>
        <v/>
      </c>
      <c r="F88" s="412" t="str">
        <f>Daily!P110</f>
        <v/>
      </c>
      <c r="G88" s="412" t="str">
        <f>Daily!Q110</f>
        <v/>
      </c>
      <c r="H88" s="413" t="str">
        <f>Daily!R110</f>
        <v/>
      </c>
      <c r="I88" s="413" t="str">
        <f>Daily!S110</f>
        <v/>
      </c>
      <c r="J88" s="414" t="str">
        <f>IF(Daily!T110=0,"",Daily!T110)</f>
        <v/>
      </c>
      <c r="K88" s="414" t="str">
        <f>IF(Daily!U110=0,"",Daily!U110)</f>
        <v/>
      </c>
      <c r="L88" s="414" t="str">
        <f>IF(Daily!V110=0,"",Daily!V110)</f>
        <v/>
      </c>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row>
    <row r="89" spans="1:39">
      <c r="A89" s="406"/>
      <c r="B89" s="406"/>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row>
    <row r="90" spans="1:39">
      <c r="A90" s="406"/>
      <c r="B90" s="406"/>
      <c r="C90" s="406"/>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row>
    <row r="91" spans="1:39">
      <c r="A91" s="406"/>
      <c r="B91" s="406"/>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row>
    <row r="92" spans="1:39">
      <c r="A92" s="406"/>
      <c r="B92" s="406"/>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row>
    <row r="93" spans="1:39">
      <c r="A93" s="406"/>
      <c r="B93" s="406"/>
      <c r="C93" s="406"/>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row>
    <row r="94" spans="1:39">
      <c r="A94" s="406"/>
      <c r="B94" s="406"/>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row>
    <row r="95" spans="1:39">
      <c r="A95" s="406"/>
      <c r="B95" s="406"/>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row>
    <row r="96" spans="1:39">
      <c r="A96" s="406"/>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6"/>
    </row>
    <row r="97" spans="1:39">
      <c r="A97" s="406"/>
      <c r="B97" s="406"/>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c r="AK97" s="406"/>
      <c r="AL97" s="406"/>
      <c r="AM97" s="406"/>
    </row>
    <row r="98" spans="1:39">
      <c r="A98" s="406"/>
      <c r="B98" s="406"/>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row>
    <row r="99" spans="1:39">
      <c r="A99" s="406"/>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row>
    <row r="100" spans="1:39">
      <c r="A100" s="406"/>
      <c r="B100" s="406"/>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row>
    <row r="101" spans="1:39">
      <c r="A101" s="406"/>
      <c r="B101" s="406"/>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row>
    <row r="102" spans="1:39">
      <c r="A102" s="406"/>
      <c r="B102" s="406"/>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row>
    <row r="103" spans="1:39">
      <c r="A103" s="406"/>
      <c r="B103" s="40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row>
    <row r="104" spans="1:39">
      <c r="A104" s="406"/>
      <c r="B104" s="406"/>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row>
    <row r="105" spans="1:39">
      <c r="A105" s="406"/>
      <c r="B105" s="406"/>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row>
    <row r="106" spans="1:39">
      <c r="A106" s="406"/>
      <c r="B106" s="406"/>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row>
    <row r="107" spans="1:39">
      <c r="A107" s="406"/>
      <c r="B107" s="406"/>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row>
    <row r="108" spans="1:39">
      <c r="A108" s="406"/>
      <c r="B108" s="406"/>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c r="A109" s="406"/>
      <c r="B109" s="406"/>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row>
    <row r="110" spans="1:39">
      <c r="A110" s="406"/>
      <c r="B110" s="406"/>
      <c r="C110" s="406"/>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row>
    <row r="111" spans="1:39">
      <c r="A111" s="406"/>
      <c r="B111" s="406"/>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row>
    <row r="112" spans="1:39">
      <c r="A112" s="406"/>
      <c r="B112" s="406"/>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row>
    <row r="113" spans="1:39">
      <c r="A113" s="406"/>
      <c r="B113" s="406"/>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row>
    <row r="114" spans="1:39">
      <c r="A114" s="406"/>
      <c r="B114" s="406"/>
      <c r="C114" s="406"/>
      <c r="D114" s="406"/>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row>
    <row r="115" spans="1:39">
      <c r="A115" s="406"/>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row>
    <row r="116" spans="1:39">
      <c r="A116" s="406"/>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row>
    <row r="117" spans="1:39">
      <c r="A117" s="406"/>
      <c r="B117" s="406"/>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row>
    <row r="118" spans="1:39">
      <c r="A118" s="406"/>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row>
    <row r="119" spans="1:39">
      <c r="A119" s="406"/>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row>
    <row r="120" spans="1:39">
      <c r="A120" s="406"/>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row>
    <row r="121" spans="1:39">
      <c r="A121" s="406"/>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row>
    <row r="122" spans="1:39">
      <c r="A122" s="406"/>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row>
    <row r="123" spans="1:39">
      <c r="A123" s="406"/>
      <c r="B123" s="406"/>
      <c r="C123" s="406"/>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row>
    <row r="124" spans="1:39">
      <c r="A124" s="406"/>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row>
    <row r="125" spans="1:39">
      <c r="A125" s="406"/>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row>
    <row r="126" spans="1:39">
      <c r="A126" s="406"/>
      <c r="B126" s="406"/>
      <c r="C126" s="406"/>
      <c r="D126" s="406"/>
      <c r="E126" s="406"/>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row>
    <row r="127" spans="1:39">
      <c r="A127" s="406"/>
      <c r="B127" s="406"/>
      <c r="C127" s="406"/>
      <c r="D127" s="406"/>
      <c r="E127" s="406"/>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row>
    <row r="128" spans="1:39">
      <c r="A128" s="406"/>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row>
    <row r="129" spans="1:39">
      <c r="A129" s="406"/>
      <c r="B129" s="406"/>
      <c r="C129" s="406"/>
      <c r="D129" s="406"/>
      <c r="E129" s="406"/>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row>
    <row r="130" spans="1:39">
      <c r="A130" s="406"/>
      <c r="B130" s="406"/>
      <c r="C130" s="406"/>
      <c r="D130" s="406"/>
      <c r="E130" s="406"/>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row>
    <row r="131" spans="1:39">
      <c r="A131" s="406"/>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row>
    <row r="132" spans="1:39">
      <c r="A132" s="406"/>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row>
    <row r="133" spans="1:39">
      <c r="A133" s="406"/>
      <c r="B133" s="406"/>
      <c r="C133" s="406"/>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row>
    <row r="134" spans="1:39">
      <c r="A134" s="406"/>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row>
    <row r="135" spans="1:39">
      <c r="A135" s="406"/>
      <c r="B135" s="406"/>
      <c r="C135" s="406"/>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row>
    <row r="136" spans="1:39">
      <c r="A136" s="406"/>
      <c r="B136" s="406"/>
      <c r="C136" s="406"/>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row>
    <row r="137" spans="1:39">
      <c r="A137" s="406"/>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row>
    <row r="138" spans="1:39">
      <c r="A138" s="406"/>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row>
    <row r="139" spans="1:39">
      <c r="A139" s="406"/>
      <c r="B139" s="406"/>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row>
    <row r="140" spans="1:39">
      <c r="A140" s="406"/>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row>
    <row r="141" spans="1:39">
      <c r="A141" s="406"/>
      <c r="B141" s="406"/>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row>
    <row r="142" spans="1:39">
      <c r="A142" s="406"/>
      <c r="B142" s="406"/>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row>
    <row r="143" spans="1:39">
      <c r="A143" s="406"/>
      <c r="B143" s="406"/>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row>
    <row r="144" spans="1:39">
      <c r="A144" s="406"/>
      <c r="B144" s="406"/>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row>
    <row r="145" spans="1:39">
      <c r="A145" s="406"/>
      <c r="B145" s="406"/>
      <c r="C145" s="406"/>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row>
    <row r="146" spans="1:39">
      <c r="A146" s="406"/>
      <c r="B146" s="406"/>
      <c r="C146" s="406"/>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row>
    <row r="147" spans="1:39">
      <c r="A147" s="406"/>
      <c r="B147" s="406"/>
      <c r="C147" s="406"/>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row>
    <row r="148" spans="1:39">
      <c r="A148" s="406"/>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row>
    <row r="149" spans="1:39">
      <c r="A149" s="406"/>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row>
    <row r="150" spans="1:39">
      <c r="A150" s="406"/>
      <c r="B150" s="406"/>
      <c r="C150" s="406"/>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row>
    <row r="151" spans="1:39">
      <c r="A151" s="406"/>
      <c r="B151" s="406"/>
      <c r="C151" s="406"/>
      <c r="D151" s="406"/>
      <c r="E151" s="406"/>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row>
    <row r="152" spans="1:39">
      <c r="A152" s="406"/>
      <c r="B152" s="406"/>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row>
    <row r="153" spans="1:39">
      <c r="A153" s="406"/>
      <c r="B153" s="406"/>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row>
    <row r="154" spans="1:39">
      <c r="A154" s="406"/>
      <c r="B154" s="406"/>
      <c r="C154" s="406"/>
      <c r="D154" s="406"/>
      <c r="E154" s="406"/>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row>
    <row r="155" spans="1:39">
      <c r="A155" s="406"/>
      <c r="B155" s="406"/>
      <c r="C155" s="406"/>
      <c r="D155" s="406"/>
      <c r="E155" s="406"/>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row>
    <row r="156" spans="1:39">
      <c r="A156" s="406"/>
      <c r="B156" s="406"/>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row>
    <row r="157" spans="1:39">
      <c r="A157" s="406"/>
      <c r="B157" s="406"/>
      <c r="C157" s="406"/>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row>
    <row r="158" spans="1:39">
      <c r="A158" s="406"/>
      <c r="B158" s="406"/>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row>
    <row r="159" spans="1:39">
      <c r="A159" s="406"/>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row>
    <row r="160" spans="1:39">
      <c r="A160" s="406"/>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row>
    <row r="161" spans="1:39">
      <c r="A161" s="406"/>
      <c r="B161" s="406"/>
      <c r="C161" s="406"/>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row>
    <row r="162" spans="1:39">
      <c r="A162" s="406"/>
      <c r="B162" s="406"/>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row>
    <row r="163" spans="1:39">
      <c r="A163" s="406"/>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row>
    <row r="164" spans="1:39">
      <c r="A164" s="406"/>
      <c r="B164" s="406"/>
      <c r="C164" s="406"/>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row>
    <row r="165" spans="1:39">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row>
    <row r="166" spans="1:39">
      <c r="A166" s="406"/>
      <c r="B166" s="406"/>
      <c r="C166" s="406"/>
      <c r="D166" s="406"/>
      <c r="E166" s="406"/>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row>
    <row r="167" spans="1:39">
      <c r="A167" s="406"/>
      <c r="B167" s="406"/>
      <c r="C167" s="406"/>
      <c r="D167" s="406"/>
      <c r="E167" s="406"/>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row>
    <row r="168" spans="1:39">
      <c r="A168" s="406"/>
      <c r="B168" s="406"/>
      <c r="C168" s="406"/>
      <c r="D168" s="406"/>
      <c r="E168" s="406"/>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row>
    <row r="169" spans="1:39">
      <c r="A169" s="406"/>
      <c r="B169" s="406"/>
      <c r="C169" s="406"/>
      <c r="D169" s="406"/>
      <c r="E169" s="406"/>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row>
    <row r="170" spans="1:39">
      <c r="A170" s="406"/>
      <c r="B170" s="406"/>
      <c r="C170" s="406"/>
      <c r="D170" s="406"/>
      <c r="E170" s="406"/>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row>
    <row r="171" spans="1:39">
      <c r="A171" s="406"/>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row>
    <row r="172" spans="1:39">
      <c r="A172" s="406"/>
      <c r="B172" s="406"/>
      <c r="C172" s="406"/>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row>
    <row r="173" spans="1:39">
      <c r="A173" s="406"/>
      <c r="B173" s="406"/>
      <c r="C173" s="406"/>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row>
    <row r="174" spans="1:39">
      <c r="A174" s="406"/>
      <c r="B174" s="406"/>
      <c r="C174" s="406"/>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row>
    <row r="175" spans="1:39">
      <c r="A175" s="406"/>
      <c r="B175" s="406"/>
      <c r="C175" s="406"/>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row>
    <row r="176" spans="1:39">
      <c r="A176" s="406"/>
      <c r="B176" s="406"/>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row>
    <row r="177" spans="1:39">
      <c r="A177" s="406"/>
      <c r="B177" s="406"/>
      <c r="C177" s="406"/>
      <c r="D177" s="406"/>
      <c r="E177" s="406"/>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row>
    <row r="178" spans="1:39">
      <c r="A178" s="406"/>
      <c r="B178" s="406"/>
      <c r="C178" s="406"/>
      <c r="D178" s="406"/>
      <c r="E178" s="406"/>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row>
    <row r="179" spans="1:39">
      <c r="A179" s="406"/>
      <c r="B179" s="406"/>
      <c r="C179" s="406"/>
      <c r="D179" s="406"/>
      <c r="E179" s="406"/>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row>
    <row r="180" spans="1:39">
      <c r="A180" s="406"/>
      <c r="B180" s="406"/>
      <c r="C180" s="406"/>
      <c r="D180" s="406"/>
      <c r="E180" s="406"/>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row>
    <row r="181" spans="1:39">
      <c r="A181" s="406"/>
      <c r="B181" s="406"/>
      <c r="C181" s="406"/>
      <c r="D181" s="406"/>
      <c r="E181" s="406"/>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row>
    <row r="182" spans="1:39">
      <c r="A182" s="406"/>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row>
    <row r="183" spans="1:39">
      <c r="A183" s="406"/>
      <c r="B183" s="406"/>
      <c r="C183" s="406"/>
      <c r="D183" s="406"/>
      <c r="E183" s="406"/>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row>
    <row r="184" spans="1:39">
      <c r="A184" s="406"/>
      <c r="B184" s="406"/>
      <c r="C184" s="406"/>
      <c r="D184" s="406"/>
      <c r="E184" s="406"/>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row>
    <row r="185" spans="1:39">
      <c r="A185" s="406"/>
      <c r="B185" s="406"/>
      <c r="C185" s="406"/>
      <c r="D185" s="406"/>
      <c r="E185" s="406"/>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row>
    <row r="186" spans="1:39">
      <c r="A186" s="406"/>
      <c r="B186" s="406"/>
      <c r="C186" s="406"/>
      <c r="D186" s="406"/>
      <c r="E186" s="406"/>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row>
    <row r="187" spans="1:39">
      <c r="A187" s="406"/>
      <c r="B187" s="406"/>
      <c r="C187" s="406"/>
      <c r="D187" s="406"/>
      <c r="E187" s="406"/>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row>
    <row r="188" spans="1:39">
      <c r="A188" s="406"/>
      <c r="B188" s="406"/>
      <c r="C188" s="406"/>
      <c r="D188" s="406"/>
      <c r="E188" s="406"/>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row>
    <row r="189" spans="1:39">
      <c r="A189" s="406"/>
      <c r="B189" s="406"/>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row>
    <row r="190" spans="1:39">
      <c r="A190" s="406"/>
      <c r="B190" s="406"/>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row>
    <row r="191" spans="1:39">
      <c r="A191" s="406"/>
      <c r="B191" s="406"/>
      <c r="C191" s="406"/>
      <c r="D191" s="406"/>
      <c r="E191" s="406"/>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row>
    <row r="192" spans="1:39">
      <c r="A192" s="406"/>
      <c r="B192" s="406"/>
      <c r="C192" s="406"/>
      <c r="D192" s="406"/>
      <c r="E192" s="406"/>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row>
    <row r="193" spans="1:39">
      <c r="A193" s="406"/>
      <c r="B193" s="406"/>
      <c r="C193" s="406"/>
      <c r="D193" s="406"/>
      <c r="E193" s="406"/>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row>
    <row r="194" spans="1:39">
      <c r="A194" s="406"/>
      <c r="B194" s="406"/>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row>
    <row r="195" spans="1:39">
      <c r="A195" s="406"/>
      <c r="B195" s="406"/>
      <c r="C195" s="406"/>
      <c r="D195" s="406"/>
      <c r="E195" s="406"/>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row>
    <row r="196" spans="1:39">
      <c r="A196" s="406"/>
      <c r="B196" s="406"/>
      <c r="C196" s="406"/>
      <c r="D196" s="406"/>
      <c r="E196" s="406"/>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row>
    <row r="197" spans="1:39">
      <c r="A197" s="406"/>
      <c r="B197" s="406"/>
      <c r="C197" s="406"/>
      <c r="D197" s="406"/>
      <c r="E197" s="406"/>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row>
    <row r="198" spans="1:39">
      <c r="A198" s="406"/>
      <c r="B198" s="406"/>
      <c r="C198" s="406"/>
      <c r="D198" s="406"/>
      <c r="E198" s="406"/>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row>
    <row r="199" spans="1:39">
      <c r="A199" s="406"/>
      <c r="B199" s="406"/>
      <c r="C199" s="406"/>
      <c r="D199" s="406"/>
      <c r="E199" s="406"/>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row>
    <row r="200" spans="1:39">
      <c r="A200" s="406"/>
      <c r="B200" s="406"/>
      <c r="C200" s="406"/>
      <c r="D200" s="406"/>
      <c r="E200" s="406"/>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row>
    <row r="201" spans="1:39">
      <c r="A201" s="406"/>
      <c r="B201" s="406"/>
      <c r="C201" s="406"/>
      <c r="D201" s="406"/>
      <c r="E201" s="406"/>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row>
    <row r="202" spans="1:39">
      <c r="A202" s="406"/>
      <c r="B202" s="406"/>
      <c r="C202" s="406"/>
      <c r="D202" s="406"/>
      <c r="E202" s="406"/>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row>
    <row r="203" spans="1:39">
      <c r="A203" s="406"/>
      <c r="B203" s="406"/>
      <c r="C203" s="406"/>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row>
    <row r="204" spans="1:39">
      <c r="A204" s="406"/>
      <c r="B204" s="406"/>
      <c r="C204" s="406"/>
      <c r="D204" s="406"/>
      <c r="E204" s="406"/>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row>
    <row r="205" spans="1:39">
      <c r="A205" s="406"/>
      <c r="B205" s="406"/>
      <c r="C205" s="406"/>
      <c r="D205" s="406"/>
      <c r="E205" s="406"/>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row>
    <row r="206" spans="1:39">
      <c r="A206" s="406"/>
      <c r="B206" s="406"/>
      <c r="C206" s="406"/>
      <c r="D206" s="406"/>
      <c r="E206" s="406"/>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row>
    <row r="207" spans="1:39">
      <c r="A207" s="406"/>
      <c r="B207" s="406"/>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row>
    <row r="208" spans="1:39">
      <c r="A208" s="406"/>
      <c r="B208" s="406"/>
      <c r="C208" s="406"/>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row>
    <row r="209" spans="1:39">
      <c r="A209" s="406"/>
      <c r="B209" s="406"/>
      <c r="C209" s="406"/>
      <c r="D209" s="406"/>
      <c r="E209" s="406"/>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row>
    <row r="210" spans="1:39">
      <c r="A210" s="406"/>
      <c r="B210" s="406"/>
      <c r="C210" s="406"/>
      <c r="D210" s="406"/>
      <c r="E210" s="406"/>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row>
    <row r="211" spans="1:39">
      <c r="A211" s="406"/>
      <c r="B211" s="406"/>
      <c r="C211" s="406"/>
      <c r="D211" s="406"/>
      <c r="E211" s="406"/>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row>
    <row r="212" spans="1:39">
      <c r="A212" s="406"/>
      <c r="B212" s="406"/>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row>
    <row r="213" spans="1:39">
      <c r="A213" s="406"/>
      <c r="B213" s="406"/>
      <c r="C213" s="406"/>
      <c r="D213" s="406"/>
      <c r="E213" s="406"/>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row>
    <row r="214" spans="1:39">
      <c r="A214" s="406"/>
      <c r="B214" s="406"/>
      <c r="C214" s="406"/>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row>
    <row r="215" spans="1:39">
      <c r="A215" s="406"/>
      <c r="B215" s="406"/>
      <c r="C215" s="406"/>
      <c r="D215" s="406"/>
      <c r="E215" s="406"/>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row>
    <row r="216" spans="1:39">
      <c r="A216" s="406"/>
      <c r="B216" s="406"/>
      <c r="C216" s="406"/>
      <c r="D216" s="406"/>
      <c r="E216" s="406"/>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row>
    <row r="217" spans="1:39">
      <c r="A217" s="406"/>
      <c r="B217" s="406"/>
      <c r="C217" s="406"/>
      <c r="D217" s="406"/>
      <c r="E217" s="406"/>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row>
    <row r="218" spans="1:39">
      <c r="A218" s="406"/>
      <c r="B218" s="406"/>
      <c r="C218" s="406"/>
      <c r="D218" s="406"/>
      <c r="E218" s="406"/>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row>
    <row r="219" spans="1:39">
      <c r="A219" s="406"/>
      <c r="B219" s="406"/>
      <c r="C219" s="406"/>
      <c r="D219" s="406"/>
      <c r="E219" s="406"/>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row>
    <row r="220" spans="1:39">
      <c r="A220" s="406"/>
      <c r="B220" s="406"/>
      <c r="C220" s="406"/>
      <c r="D220" s="406"/>
      <c r="E220" s="406"/>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row>
    <row r="221" spans="1:39">
      <c r="A221" s="406"/>
      <c r="B221" s="406"/>
      <c r="C221" s="406"/>
      <c r="D221" s="406"/>
      <c r="E221" s="406"/>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row>
    <row r="222" spans="1:39">
      <c r="A222" s="406"/>
      <c r="B222" s="406"/>
      <c r="C222" s="406"/>
      <c r="D222" s="406"/>
      <c r="E222" s="406"/>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row>
    <row r="223" spans="1:39">
      <c r="A223" s="406"/>
      <c r="B223" s="406"/>
      <c r="C223" s="406"/>
      <c r="D223" s="406"/>
      <c r="E223" s="406"/>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row>
    <row r="224" spans="1:39">
      <c r="A224" s="406"/>
      <c r="B224" s="406"/>
      <c r="C224" s="406"/>
      <c r="D224" s="406"/>
      <c r="E224" s="406"/>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row>
    <row r="225" spans="1:39">
      <c r="A225" s="406"/>
      <c r="B225" s="406"/>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row>
    <row r="226" spans="1:39">
      <c r="A226" s="406"/>
      <c r="B226" s="406"/>
      <c r="C226" s="406"/>
      <c r="D226" s="406"/>
      <c r="E226" s="406"/>
      <c r="F226" s="406"/>
      <c r="G226" s="406"/>
      <c r="H226" s="406"/>
      <c r="I226" s="406"/>
      <c r="J226" s="406"/>
      <c r="K226" s="406"/>
      <c r="L226" s="406"/>
      <c r="M226" s="406"/>
      <c r="N226" s="406"/>
      <c r="O226" s="406"/>
      <c r="P226" s="406"/>
      <c r="Q226" s="406"/>
      <c r="R226" s="406"/>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row>
    <row r="227" spans="1:39">
      <c r="A227" s="406"/>
      <c r="B227" s="406"/>
      <c r="C227" s="406"/>
      <c r="D227" s="406"/>
      <c r="E227" s="406"/>
      <c r="F227" s="406"/>
      <c r="G227" s="406"/>
      <c r="H227" s="406"/>
      <c r="I227" s="406"/>
      <c r="J227" s="406"/>
      <c r="K227" s="406"/>
      <c r="L227" s="406"/>
      <c r="M227" s="406"/>
      <c r="N227" s="406"/>
      <c r="O227" s="406"/>
      <c r="P227" s="406"/>
      <c r="Q227" s="406"/>
      <c r="R227" s="406"/>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row>
    <row r="228" spans="1:39">
      <c r="A228" s="406"/>
      <c r="B228" s="406"/>
      <c r="C228" s="406"/>
      <c r="D228" s="406"/>
      <c r="E228" s="406"/>
      <c r="F228" s="406"/>
      <c r="G228" s="406"/>
      <c r="H228" s="406"/>
      <c r="I228" s="406"/>
      <c r="J228" s="406"/>
      <c r="K228" s="406"/>
      <c r="L228" s="406"/>
      <c r="M228" s="406"/>
      <c r="N228" s="406"/>
      <c r="O228" s="406"/>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row>
    <row r="229" spans="1:39">
      <c r="A229" s="406"/>
      <c r="B229" s="406"/>
      <c r="C229" s="406"/>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row>
    <row r="230" spans="1:39">
      <c r="A230" s="406"/>
      <c r="B230" s="406"/>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row>
    <row r="231" spans="1:39">
      <c r="A231" s="406"/>
      <c r="B231" s="406"/>
      <c r="C231" s="406"/>
      <c r="D231" s="406"/>
      <c r="E231" s="406"/>
      <c r="F231" s="406"/>
      <c r="G231" s="406"/>
      <c r="H231" s="406"/>
      <c r="I231" s="406"/>
      <c r="J231" s="406"/>
      <c r="K231" s="406"/>
      <c r="L231" s="406"/>
      <c r="M231" s="406"/>
      <c r="N231" s="406"/>
      <c r="O231" s="406"/>
      <c r="P231" s="406"/>
      <c r="Q231" s="406"/>
      <c r="R231" s="406"/>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row>
    <row r="232" spans="1:39">
      <c r="A232" s="406"/>
      <c r="B232" s="406"/>
      <c r="C232" s="406"/>
      <c r="D232" s="406"/>
      <c r="E232" s="406"/>
      <c r="F232" s="406"/>
      <c r="G232" s="406"/>
      <c r="H232" s="406"/>
      <c r="I232" s="406"/>
      <c r="J232" s="406"/>
      <c r="K232" s="406"/>
      <c r="L232" s="406"/>
      <c r="M232" s="406"/>
      <c r="N232" s="406"/>
      <c r="O232" s="406"/>
      <c r="P232" s="406"/>
      <c r="Q232" s="406"/>
      <c r="R232" s="406"/>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row>
    <row r="233" spans="1:39">
      <c r="A233" s="406"/>
      <c r="B233" s="406"/>
      <c r="C233" s="406"/>
      <c r="D233" s="406"/>
      <c r="E233" s="406"/>
      <c r="F233" s="406"/>
      <c r="G233" s="406"/>
      <c r="H233" s="406"/>
      <c r="I233" s="406"/>
      <c r="J233" s="406"/>
      <c r="K233" s="406"/>
      <c r="L233" s="406"/>
      <c r="M233" s="406"/>
      <c r="N233" s="406"/>
      <c r="O233" s="406"/>
      <c r="P233" s="406"/>
      <c r="Q233" s="406"/>
      <c r="R233" s="406"/>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row>
    <row r="234" spans="1:39">
      <c r="A234" s="406"/>
      <c r="B234" s="406"/>
      <c r="C234" s="406"/>
      <c r="D234" s="406"/>
      <c r="E234" s="406"/>
      <c r="F234" s="406"/>
      <c r="G234" s="406"/>
      <c r="H234" s="406"/>
      <c r="I234" s="406"/>
      <c r="J234" s="406"/>
      <c r="K234" s="406"/>
      <c r="L234" s="406"/>
      <c r="M234" s="406"/>
      <c r="N234" s="406"/>
      <c r="O234" s="406"/>
      <c r="P234" s="406"/>
      <c r="Q234" s="406"/>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row>
    <row r="235" spans="1:39">
      <c r="A235" s="406"/>
      <c r="B235" s="406"/>
      <c r="C235" s="406"/>
      <c r="D235" s="406"/>
      <c r="E235" s="406"/>
      <c r="F235" s="406"/>
      <c r="G235" s="406"/>
      <c r="H235" s="406"/>
      <c r="I235" s="406"/>
      <c r="J235" s="406"/>
      <c r="K235" s="406"/>
      <c r="L235" s="406"/>
      <c r="M235" s="406"/>
      <c r="N235" s="406"/>
      <c r="O235" s="406"/>
      <c r="P235" s="406"/>
      <c r="Q235" s="406"/>
      <c r="R235" s="406"/>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row>
    <row r="236" spans="1:39">
      <c r="A236" s="406"/>
      <c r="B236" s="406"/>
      <c r="C236" s="406"/>
      <c r="D236" s="406"/>
      <c r="E236" s="406"/>
      <c r="F236" s="406"/>
      <c r="G236" s="406"/>
      <c r="H236" s="406"/>
      <c r="I236" s="406"/>
      <c r="J236" s="406"/>
      <c r="K236" s="406"/>
      <c r="L236" s="406"/>
      <c r="M236" s="406"/>
      <c r="N236" s="406"/>
      <c r="O236" s="406"/>
      <c r="P236" s="406"/>
      <c r="Q236" s="406"/>
      <c r="R236" s="406"/>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row>
    <row r="237" spans="1:39">
      <c r="A237" s="406"/>
      <c r="B237" s="406"/>
      <c r="C237" s="406"/>
      <c r="D237" s="406"/>
      <c r="E237" s="406"/>
      <c r="F237" s="406"/>
      <c r="G237" s="406"/>
      <c r="H237" s="406"/>
      <c r="I237" s="406"/>
      <c r="J237" s="406"/>
      <c r="K237" s="406"/>
      <c r="L237" s="406"/>
      <c r="M237" s="406"/>
      <c r="N237" s="406"/>
      <c r="O237" s="406"/>
      <c r="P237" s="406"/>
      <c r="Q237" s="406"/>
      <c r="R237" s="406"/>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row>
    <row r="238" spans="1:39">
      <c r="A238" s="406"/>
      <c r="B238" s="406"/>
      <c r="C238" s="406"/>
      <c r="D238" s="406"/>
      <c r="E238" s="406"/>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row>
    <row r="239" spans="1:39">
      <c r="A239" s="406"/>
      <c r="B239" s="406"/>
      <c r="C239" s="406"/>
      <c r="D239" s="406"/>
      <c r="E239" s="406"/>
      <c r="F239" s="406"/>
      <c r="G239" s="406"/>
      <c r="H239" s="406"/>
      <c r="I239" s="406"/>
      <c r="J239" s="406"/>
      <c r="K239" s="406"/>
      <c r="L239" s="406"/>
      <c r="M239" s="406"/>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row>
    <row r="240" spans="1:39">
      <c r="A240" s="406"/>
      <c r="B240" s="406"/>
      <c r="C240" s="406"/>
      <c r="D240" s="406"/>
      <c r="E240" s="406"/>
      <c r="F240" s="406"/>
      <c r="G240" s="406"/>
      <c r="H240" s="406"/>
      <c r="I240" s="406"/>
      <c r="J240" s="406"/>
      <c r="K240" s="406"/>
      <c r="L240" s="406"/>
      <c r="M240" s="406"/>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row>
    <row r="241" spans="1:39">
      <c r="A241" s="406"/>
      <c r="B241" s="406"/>
      <c r="C241" s="406"/>
      <c r="D241" s="406"/>
      <c r="E241" s="406"/>
      <c r="F241" s="406"/>
      <c r="G241" s="406"/>
      <c r="H241" s="406"/>
      <c r="I241" s="406"/>
      <c r="J241" s="406"/>
      <c r="K241" s="406"/>
      <c r="L241" s="406"/>
      <c r="M241" s="406"/>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row>
    <row r="242" spans="1:39">
      <c r="A242" s="406"/>
      <c r="B242" s="406"/>
      <c r="C242" s="406"/>
      <c r="D242" s="406"/>
      <c r="E242" s="406"/>
      <c r="F242" s="406"/>
      <c r="G242" s="406"/>
      <c r="H242" s="406"/>
      <c r="I242" s="406"/>
      <c r="J242" s="406"/>
      <c r="K242" s="406"/>
      <c r="L242" s="406"/>
      <c r="M242" s="406"/>
      <c r="N242" s="406"/>
      <c r="O242" s="406"/>
      <c r="P242" s="406"/>
      <c r="Q242" s="406"/>
      <c r="R242" s="406"/>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row>
    <row r="243" spans="1:39">
      <c r="A243" s="406"/>
      <c r="B243" s="406"/>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row>
    <row r="244" spans="1:39">
      <c r="A244" s="406"/>
      <c r="B244" s="406"/>
      <c r="C244" s="406"/>
      <c r="D244" s="406"/>
      <c r="E244" s="406"/>
      <c r="F244" s="406"/>
      <c r="G244" s="406"/>
      <c r="H244" s="406"/>
      <c r="I244" s="406"/>
      <c r="J244" s="406"/>
      <c r="K244" s="406"/>
      <c r="L244" s="406"/>
      <c r="M244" s="406"/>
      <c r="N244" s="406"/>
      <c r="O244" s="406"/>
      <c r="P244" s="406"/>
      <c r="Q244" s="406"/>
      <c r="R244" s="406"/>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row>
    <row r="245" spans="1:39">
      <c r="A245" s="406"/>
      <c r="B245" s="406"/>
      <c r="C245" s="406"/>
      <c r="D245" s="406"/>
      <c r="E245" s="406"/>
      <c r="F245" s="406"/>
      <c r="G245" s="406"/>
      <c r="H245" s="406"/>
      <c r="I245" s="406"/>
      <c r="J245" s="406"/>
      <c r="K245" s="406"/>
      <c r="L245" s="406"/>
      <c r="M245" s="406"/>
      <c r="N245" s="406"/>
      <c r="O245" s="406"/>
      <c r="P245" s="406"/>
      <c r="Q245" s="406"/>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row>
    <row r="246" spans="1:39">
      <c r="A246" s="406"/>
      <c r="B246" s="406"/>
      <c r="C246" s="406"/>
      <c r="D246" s="406"/>
      <c r="E246" s="406"/>
      <c r="F246" s="406"/>
      <c r="G246" s="406"/>
      <c r="H246" s="406"/>
      <c r="I246" s="406"/>
      <c r="J246" s="406"/>
      <c r="K246" s="406"/>
      <c r="L246" s="406"/>
      <c r="M246" s="406"/>
      <c r="N246" s="406"/>
      <c r="O246" s="406"/>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row>
    <row r="247" spans="1:39">
      <c r="A247" s="406"/>
      <c r="B247" s="406"/>
      <c r="C247" s="406"/>
      <c r="D247" s="406"/>
      <c r="E247" s="406"/>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row>
    <row r="248" spans="1:39">
      <c r="A248" s="406"/>
      <c r="B248" s="406"/>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row>
    <row r="249" spans="1:39">
      <c r="A249" s="406"/>
      <c r="B249" s="406"/>
      <c r="C249" s="406"/>
      <c r="D249" s="406"/>
      <c r="E249" s="406"/>
      <c r="F249" s="406"/>
      <c r="G249" s="406"/>
      <c r="H249" s="406"/>
      <c r="I249" s="406"/>
      <c r="J249" s="406"/>
      <c r="K249" s="406"/>
      <c r="L249" s="406"/>
      <c r="M249" s="406"/>
      <c r="N249" s="406"/>
      <c r="O249" s="406"/>
      <c r="P249" s="406"/>
      <c r="Q249" s="406"/>
      <c r="R249" s="406"/>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row>
    <row r="250" spans="1:39">
      <c r="A250" s="406"/>
      <c r="B250" s="406"/>
      <c r="C250" s="406"/>
      <c r="D250" s="406"/>
      <c r="E250" s="406"/>
      <c r="F250" s="406"/>
      <c r="G250" s="406"/>
      <c r="H250" s="406"/>
      <c r="I250" s="406"/>
      <c r="J250" s="406"/>
      <c r="K250" s="406"/>
      <c r="L250" s="406"/>
      <c r="M250" s="406"/>
      <c r="N250" s="406"/>
      <c r="O250" s="406"/>
      <c r="P250" s="406"/>
      <c r="Q250" s="406"/>
      <c r="R250" s="406"/>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row>
    <row r="251" spans="1:39">
      <c r="A251" s="406"/>
      <c r="B251" s="406"/>
      <c r="C251" s="406"/>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row>
    <row r="252" spans="1:39">
      <c r="A252" s="406"/>
      <c r="B252" s="406"/>
      <c r="C252" s="406"/>
      <c r="D252" s="406"/>
      <c r="E252" s="406"/>
      <c r="F252" s="406"/>
      <c r="G252" s="406"/>
      <c r="H252" s="406"/>
      <c r="I252" s="406"/>
      <c r="J252" s="406"/>
      <c r="K252" s="406"/>
      <c r="L252" s="406"/>
      <c r="M252" s="406"/>
      <c r="N252" s="406"/>
      <c r="O252" s="406"/>
      <c r="P252" s="406"/>
      <c r="Q252" s="406"/>
      <c r="R252" s="406"/>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row>
    <row r="253" spans="1:39">
      <c r="A253" s="406"/>
      <c r="B253" s="406"/>
      <c r="C253" s="406"/>
      <c r="D253" s="406"/>
      <c r="E253" s="406"/>
      <c r="F253" s="406"/>
      <c r="G253" s="406"/>
      <c r="H253" s="406"/>
      <c r="I253" s="406"/>
      <c r="J253" s="406"/>
      <c r="K253" s="406"/>
      <c r="L253" s="406"/>
      <c r="M253" s="406"/>
      <c r="N253" s="406"/>
      <c r="O253" s="406"/>
      <c r="P253" s="406"/>
      <c r="Q253" s="406"/>
      <c r="R253" s="406"/>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row>
    <row r="254" spans="1:39">
      <c r="A254" s="406"/>
      <c r="B254" s="406"/>
      <c r="C254" s="406"/>
      <c r="D254" s="406"/>
      <c r="E254" s="406"/>
      <c r="F254" s="406"/>
      <c r="G254" s="406"/>
      <c r="H254" s="406"/>
      <c r="I254" s="406"/>
      <c r="J254" s="406"/>
      <c r="K254" s="406"/>
      <c r="L254" s="406"/>
      <c r="M254" s="406"/>
      <c r="N254" s="406"/>
      <c r="O254" s="406"/>
      <c r="P254" s="406"/>
      <c r="Q254" s="406"/>
      <c r="R254" s="406"/>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row>
    <row r="255" spans="1:39">
      <c r="A255" s="406"/>
      <c r="B255" s="406"/>
      <c r="C255" s="406"/>
      <c r="D255" s="406"/>
      <c r="E255" s="406"/>
      <c r="F255" s="406"/>
      <c r="G255" s="406"/>
      <c r="H255" s="406"/>
      <c r="I255" s="406"/>
      <c r="J255" s="406"/>
      <c r="K255" s="406"/>
      <c r="L255" s="406"/>
      <c r="M255" s="406"/>
      <c r="N255" s="406"/>
      <c r="O255" s="406"/>
      <c r="P255" s="406"/>
      <c r="Q255" s="406"/>
      <c r="R255" s="406"/>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row>
    <row r="256" spans="1:39">
      <c r="A256" s="406"/>
      <c r="B256" s="406"/>
      <c r="C256" s="406"/>
      <c r="D256" s="406"/>
      <c r="E256" s="406"/>
      <c r="F256" s="406"/>
      <c r="G256" s="406"/>
      <c r="H256" s="406"/>
      <c r="I256" s="406"/>
      <c r="J256" s="406"/>
      <c r="K256" s="406"/>
      <c r="L256" s="406"/>
      <c r="M256" s="406"/>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row>
    <row r="257" spans="1:39">
      <c r="A257" s="406"/>
      <c r="B257" s="406"/>
      <c r="C257" s="406"/>
      <c r="D257" s="406"/>
      <c r="E257" s="406"/>
      <c r="F257" s="406"/>
      <c r="G257" s="406"/>
      <c r="H257" s="406"/>
      <c r="I257" s="406"/>
      <c r="J257" s="406"/>
      <c r="K257" s="406"/>
      <c r="L257" s="406"/>
      <c r="M257" s="406"/>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row>
    <row r="258" spans="1:39">
      <c r="A258" s="406"/>
      <c r="B258" s="406"/>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row>
    <row r="259" spans="1:39">
      <c r="A259" s="406"/>
      <c r="B259" s="406"/>
      <c r="C259" s="406"/>
      <c r="D259" s="406"/>
      <c r="E259" s="406"/>
      <c r="F259" s="406"/>
      <c r="G259" s="406"/>
      <c r="H259" s="406"/>
      <c r="I259" s="406"/>
      <c r="J259" s="406"/>
      <c r="K259" s="406"/>
      <c r="L259" s="406"/>
      <c r="M259" s="406"/>
      <c r="N259" s="406"/>
      <c r="O259" s="406"/>
      <c r="P259" s="406"/>
      <c r="Q259" s="406"/>
      <c r="R259" s="406"/>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row>
    <row r="260" spans="1:39">
      <c r="A260" s="406"/>
      <c r="B260" s="406"/>
      <c r="C260" s="406"/>
      <c r="D260" s="406"/>
      <c r="E260" s="406"/>
      <c r="F260" s="406"/>
      <c r="G260" s="406"/>
      <c r="H260" s="406"/>
      <c r="I260" s="406"/>
      <c r="J260" s="406"/>
      <c r="K260" s="406"/>
      <c r="L260" s="406"/>
      <c r="M260" s="406"/>
      <c r="N260" s="406"/>
      <c r="O260" s="406"/>
      <c r="P260" s="406"/>
      <c r="Q260" s="406"/>
      <c r="R260" s="406"/>
      <c r="S260" s="406"/>
      <c r="T260" s="406"/>
      <c r="U260" s="406"/>
      <c r="V260" s="406"/>
      <c r="W260" s="406"/>
      <c r="X260" s="406"/>
      <c r="Y260" s="406"/>
      <c r="Z260" s="406"/>
      <c r="AA260" s="406"/>
      <c r="AB260" s="406"/>
      <c r="AC260" s="406"/>
      <c r="AD260" s="406"/>
      <c r="AE260" s="406"/>
      <c r="AF260" s="406"/>
      <c r="AG260" s="406"/>
      <c r="AH260" s="406"/>
      <c r="AI260" s="406"/>
      <c r="AJ260" s="406"/>
      <c r="AK260" s="406"/>
      <c r="AL260" s="406"/>
      <c r="AM260" s="406"/>
    </row>
    <row r="261" spans="1:39">
      <c r="A261" s="406"/>
      <c r="B261" s="406"/>
      <c r="C261" s="406"/>
      <c r="D261" s="406"/>
      <c r="E261" s="406"/>
      <c r="F261" s="406"/>
      <c r="G261" s="406"/>
      <c r="H261" s="406"/>
      <c r="I261" s="406"/>
      <c r="J261" s="406"/>
      <c r="K261" s="406"/>
      <c r="L261" s="406"/>
      <c r="M261" s="406"/>
      <c r="N261" s="406"/>
      <c r="O261" s="406"/>
      <c r="P261" s="406"/>
      <c r="Q261" s="406"/>
      <c r="R261" s="406"/>
      <c r="S261" s="406"/>
      <c r="T261" s="406"/>
      <c r="U261" s="406"/>
      <c r="V261" s="406"/>
      <c r="W261" s="406"/>
      <c r="X261" s="406"/>
      <c r="Y261" s="406"/>
      <c r="Z261" s="406"/>
      <c r="AA261" s="406"/>
      <c r="AB261" s="406"/>
      <c r="AC261" s="406"/>
      <c r="AD261" s="406"/>
      <c r="AE261" s="406"/>
      <c r="AF261" s="406"/>
      <c r="AG261" s="406"/>
      <c r="AH261" s="406"/>
      <c r="AI261" s="406"/>
      <c r="AJ261" s="406"/>
      <c r="AK261" s="406"/>
      <c r="AL261" s="406"/>
      <c r="AM261" s="406"/>
    </row>
    <row r="262" spans="1:39">
      <c r="A262" s="406"/>
      <c r="B262" s="406"/>
      <c r="C262" s="406"/>
      <c r="D262" s="406"/>
      <c r="E262" s="406"/>
      <c r="F262" s="406"/>
      <c r="G262" s="406"/>
      <c r="H262" s="406"/>
      <c r="I262" s="406"/>
      <c r="J262" s="406"/>
      <c r="K262" s="406"/>
      <c r="L262" s="406"/>
      <c r="M262" s="406"/>
      <c r="N262" s="406"/>
      <c r="O262" s="406"/>
      <c r="P262" s="406"/>
      <c r="Q262" s="406"/>
      <c r="R262" s="406"/>
      <c r="S262" s="406"/>
      <c r="T262" s="406"/>
      <c r="U262" s="406"/>
      <c r="V262" s="406"/>
      <c r="W262" s="406"/>
      <c r="X262" s="406"/>
      <c r="Y262" s="406"/>
      <c r="Z262" s="406"/>
      <c r="AA262" s="406"/>
      <c r="AB262" s="406"/>
      <c r="AC262" s="406"/>
      <c r="AD262" s="406"/>
      <c r="AE262" s="406"/>
      <c r="AF262" s="406"/>
      <c r="AG262" s="406"/>
      <c r="AH262" s="406"/>
      <c r="AI262" s="406"/>
      <c r="AJ262" s="406"/>
      <c r="AK262" s="406"/>
      <c r="AL262" s="406"/>
      <c r="AM262" s="406"/>
    </row>
    <row r="263" spans="1:39">
      <c r="A263" s="406"/>
      <c r="B263" s="406"/>
      <c r="C263" s="406"/>
      <c r="D263" s="406"/>
      <c r="E263" s="406"/>
      <c r="F263" s="406"/>
      <c r="G263" s="406"/>
      <c r="H263" s="406"/>
      <c r="I263" s="406"/>
      <c r="J263" s="406"/>
      <c r="K263" s="406"/>
      <c r="L263" s="406"/>
      <c r="M263" s="406"/>
      <c r="N263" s="406"/>
      <c r="O263" s="406"/>
      <c r="P263" s="406"/>
      <c r="Q263" s="406"/>
      <c r="R263" s="406"/>
      <c r="S263" s="406"/>
      <c r="T263" s="406"/>
      <c r="U263" s="406"/>
      <c r="V263" s="406"/>
      <c r="W263" s="406"/>
      <c r="X263" s="406"/>
      <c r="Y263" s="406"/>
      <c r="Z263" s="406"/>
      <c r="AA263" s="406"/>
      <c r="AB263" s="406"/>
      <c r="AC263" s="406"/>
      <c r="AD263" s="406"/>
      <c r="AE263" s="406"/>
      <c r="AF263" s="406"/>
      <c r="AG263" s="406"/>
      <c r="AH263" s="406"/>
      <c r="AI263" s="406"/>
      <c r="AJ263" s="406"/>
      <c r="AK263" s="406"/>
      <c r="AL263" s="406"/>
      <c r="AM263" s="406"/>
    </row>
    <row r="264" spans="1:39">
      <c r="A264" s="406"/>
      <c r="B264" s="406"/>
      <c r="C264" s="406"/>
      <c r="D264" s="406"/>
      <c r="E264" s="406"/>
      <c r="F264" s="406"/>
      <c r="G264" s="406"/>
      <c r="H264" s="406"/>
      <c r="I264" s="406"/>
      <c r="J264" s="406"/>
      <c r="K264" s="406"/>
      <c r="L264" s="406"/>
      <c r="M264" s="406"/>
      <c r="N264" s="406"/>
      <c r="O264" s="406"/>
      <c r="P264" s="406"/>
      <c r="Q264" s="406"/>
      <c r="R264" s="406"/>
      <c r="S264" s="406"/>
      <c r="T264" s="406"/>
      <c r="U264" s="406"/>
      <c r="V264" s="406"/>
      <c r="W264" s="406"/>
      <c r="X264" s="406"/>
      <c r="Y264" s="406"/>
      <c r="Z264" s="406"/>
      <c r="AA264" s="406"/>
      <c r="AB264" s="406"/>
      <c r="AC264" s="406"/>
      <c r="AD264" s="406"/>
      <c r="AE264" s="406"/>
      <c r="AF264" s="406"/>
      <c r="AG264" s="406"/>
      <c r="AH264" s="406"/>
      <c r="AI264" s="406"/>
      <c r="AJ264" s="406"/>
      <c r="AK264" s="406"/>
      <c r="AL264" s="406"/>
      <c r="AM264" s="406"/>
    </row>
    <row r="265" spans="1:39">
      <c r="A265" s="406"/>
      <c r="B265" s="406"/>
      <c r="C265" s="406"/>
      <c r="D265" s="406"/>
      <c r="E265" s="406"/>
      <c r="F265" s="406"/>
      <c r="G265" s="406"/>
      <c r="H265" s="406"/>
      <c r="I265" s="406"/>
      <c r="J265" s="406"/>
      <c r="K265" s="406"/>
      <c r="L265" s="406"/>
      <c r="M265" s="406"/>
      <c r="N265" s="406"/>
      <c r="O265" s="406"/>
      <c r="P265" s="406"/>
      <c r="Q265" s="406"/>
      <c r="R265" s="406"/>
      <c r="S265" s="406"/>
      <c r="T265" s="406"/>
      <c r="U265" s="406"/>
      <c r="V265" s="406"/>
      <c r="W265" s="406"/>
      <c r="X265" s="406"/>
      <c r="Y265" s="406"/>
      <c r="Z265" s="406"/>
      <c r="AA265" s="406"/>
      <c r="AB265" s="406"/>
      <c r="AC265" s="406"/>
      <c r="AD265" s="406"/>
      <c r="AE265" s="406"/>
      <c r="AF265" s="406"/>
      <c r="AG265" s="406"/>
      <c r="AH265" s="406"/>
      <c r="AI265" s="406"/>
      <c r="AJ265" s="406"/>
      <c r="AK265" s="406"/>
      <c r="AL265" s="406"/>
      <c r="AM265" s="406"/>
    </row>
    <row r="266" spans="1:39">
      <c r="A266" s="406"/>
      <c r="B266" s="406"/>
      <c r="C266" s="406"/>
      <c r="D266" s="406"/>
      <c r="E266" s="406"/>
      <c r="F266" s="406"/>
      <c r="G266" s="406"/>
      <c r="H266" s="406"/>
      <c r="I266" s="406"/>
      <c r="J266" s="406"/>
      <c r="K266" s="406"/>
      <c r="L266" s="406"/>
      <c r="M266" s="406"/>
      <c r="N266" s="406"/>
      <c r="O266" s="406"/>
      <c r="P266" s="406"/>
      <c r="Q266" s="406"/>
      <c r="R266" s="406"/>
      <c r="S266" s="406"/>
      <c r="T266" s="406"/>
      <c r="U266" s="406"/>
      <c r="V266" s="406"/>
      <c r="W266" s="406"/>
      <c r="X266" s="406"/>
      <c r="Y266" s="406"/>
      <c r="Z266" s="406"/>
      <c r="AA266" s="406"/>
      <c r="AB266" s="406"/>
      <c r="AC266" s="406"/>
      <c r="AD266" s="406"/>
      <c r="AE266" s="406"/>
      <c r="AF266" s="406"/>
      <c r="AG266" s="406"/>
      <c r="AH266" s="406"/>
      <c r="AI266" s="406"/>
      <c r="AJ266" s="406"/>
      <c r="AK266" s="406"/>
      <c r="AL266" s="406"/>
      <c r="AM266" s="406"/>
    </row>
    <row r="267" spans="1:39">
      <c r="A267" s="406"/>
      <c r="B267" s="406"/>
      <c r="C267" s="406"/>
      <c r="D267" s="406"/>
      <c r="E267" s="406"/>
      <c r="F267" s="406"/>
      <c r="G267" s="406"/>
      <c r="H267" s="406"/>
      <c r="I267" s="406"/>
      <c r="J267" s="406"/>
      <c r="K267" s="406"/>
      <c r="L267" s="406"/>
      <c r="M267" s="406"/>
      <c r="N267" s="406"/>
      <c r="O267" s="406"/>
      <c r="P267" s="406"/>
      <c r="Q267" s="406"/>
      <c r="R267" s="406"/>
      <c r="S267" s="406"/>
      <c r="T267" s="406"/>
      <c r="U267" s="406"/>
      <c r="V267" s="406"/>
      <c r="W267" s="406"/>
      <c r="X267" s="406"/>
      <c r="Y267" s="406"/>
      <c r="Z267" s="406"/>
      <c r="AA267" s="406"/>
      <c r="AB267" s="406"/>
      <c r="AC267" s="406"/>
      <c r="AD267" s="406"/>
      <c r="AE267" s="406"/>
      <c r="AF267" s="406"/>
      <c r="AG267" s="406"/>
      <c r="AH267" s="406"/>
      <c r="AI267" s="406"/>
      <c r="AJ267" s="406"/>
      <c r="AK267" s="406"/>
      <c r="AL267" s="406"/>
      <c r="AM267" s="406"/>
    </row>
    <row r="268" spans="1:39">
      <c r="A268" s="406"/>
      <c r="B268" s="406"/>
      <c r="C268" s="406"/>
      <c r="D268" s="406"/>
      <c r="E268" s="406"/>
      <c r="F268" s="406"/>
      <c r="G268" s="406"/>
      <c r="H268" s="406"/>
      <c r="I268" s="406"/>
      <c r="J268" s="406"/>
      <c r="K268" s="406"/>
      <c r="L268" s="406"/>
      <c r="M268" s="406"/>
      <c r="N268" s="406"/>
      <c r="O268" s="406"/>
      <c r="P268" s="406"/>
      <c r="Q268" s="406"/>
      <c r="R268" s="406"/>
      <c r="S268" s="406"/>
      <c r="T268" s="406"/>
      <c r="U268" s="406"/>
      <c r="V268" s="406"/>
      <c r="W268" s="406"/>
      <c r="X268" s="406"/>
      <c r="Y268" s="406"/>
      <c r="Z268" s="406"/>
      <c r="AA268" s="406"/>
      <c r="AB268" s="406"/>
      <c r="AC268" s="406"/>
      <c r="AD268" s="406"/>
      <c r="AE268" s="406"/>
      <c r="AF268" s="406"/>
      <c r="AG268" s="406"/>
      <c r="AH268" s="406"/>
      <c r="AI268" s="406"/>
      <c r="AJ268" s="406"/>
      <c r="AK268" s="406"/>
      <c r="AL268" s="406"/>
      <c r="AM268" s="406"/>
    </row>
    <row r="269" spans="1:39">
      <c r="A269" s="406"/>
      <c r="B269" s="406"/>
      <c r="C269" s="406"/>
      <c r="D269" s="406"/>
      <c r="E269" s="406"/>
      <c r="F269" s="406"/>
      <c r="G269" s="406"/>
      <c r="H269" s="406"/>
      <c r="I269" s="406"/>
      <c r="J269" s="406"/>
      <c r="K269" s="406"/>
      <c r="L269" s="406"/>
      <c r="M269" s="406"/>
      <c r="N269" s="406"/>
      <c r="O269" s="406"/>
      <c r="P269" s="406"/>
      <c r="Q269" s="406"/>
      <c r="R269" s="406"/>
      <c r="S269" s="406"/>
      <c r="T269" s="406"/>
      <c r="U269" s="406"/>
      <c r="V269" s="406"/>
      <c r="W269" s="406"/>
      <c r="X269" s="406"/>
      <c r="Y269" s="406"/>
      <c r="Z269" s="406"/>
      <c r="AA269" s="406"/>
      <c r="AB269" s="406"/>
      <c r="AC269" s="406"/>
      <c r="AD269" s="406"/>
      <c r="AE269" s="406"/>
      <c r="AF269" s="406"/>
      <c r="AG269" s="406"/>
      <c r="AH269" s="406"/>
      <c r="AI269" s="406"/>
      <c r="AJ269" s="406"/>
      <c r="AK269" s="406"/>
      <c r="AL269" s="406"/>
      <c r="AM269" s="406"/>
    </row>
    <row r="270" spans="1:39">
      <c r="A270" s="406"/>
      <c r="B270" s="406"/>
      <c r="C270" s="406"/>
      <c r="D270" s="406"/>
      <c r="E270" s="406"/>
      <c r="F270" s="406"/>
      <c r="G270" s="406"/>
      <c r="H270" s="406"/>
      <c r="I270" s="406"/>
      <c r="J270" s="406"/>
      <c r="K270" s="406"/>
      <c r="L270" s="406"/>
      <c r="M270" s="406"/>
      <c r="N270" s="406"/>
      <c r="O270" s="406"/>
      <c r="P270" s="406"/>
      <c r="Q270" s="406"/>
      <c r="R270" s="406"/>
      <c r="S270" s="406"/>
      <c r="T270" s="406"/>
      <c r="U270" s="406"/>
      <c r="V270" s="406"/>
      <c r="W270" s="406"/>
      <c r="X270" s="406"/>
      <c r="Y270" s="406"/>
      <c r="Z270" s="406"/>
      <c r="AA270" s="406"/>
      <c r="AB270" s="406"/>
      <c r="AC270" s="406"/>
      <c r="AD270" s="406"/>
      <c r="AE270" s="406"/>
      <c r="AF270" s="406"/>
      <c r="AG270" s="406"/>
      <c r="AH270" s="406"/>
      <c r="AI270" s="406"/>
      <c r="AJ270" s="406"/>
      <c r="AK270" s="406"/>
      <c r="AL270" s="406"/>
      <c r="AM270" s="406"/>
    </row>
    <row r="271" spans="1:39">
      <c r="A271" s="406"/>
      <c r="B271" s="406"/>
      <c r="C271" s="406"/>
      <c r="D271" s="406"/>
      <c r="E271" s="406"/>
      <c r="F271" s="406"/>
      <c r="G271" s="406"/>
      <c r="H271" s="406"/>
      <c r="I271" s="406"/>
      <c r="J271" s="406"/>
      <c r="K271" s="406"/>
      <c r="L271" s="406"/>
      <c r="M271" s="406"/>
      <c r="N271" s="406"/>
      <c r="O271" s="406"/>
      <c r="P271" s="406"/>
      <c r="Q271" s="406"/>
      <c r="R271" s="406"/>
      <c r="S271" s="406"/>
      <c r="T271" s="406"/>
      <c r="U271" s="406"/>
      <c r="V271" s="406"/>
      <c r="W271" s="406"/>
      <c r="X271" s="406"/>
      <c r="Y271" s="406"/>
      <c r="Z271" s="406"/>
      <c r="AA271" s="406"/>
      <c r="AB271" s="406"/>
      <c r="AC271" s="406"/>
      <c r="AD271" s="406"/>
      <c r="AE271" s="406"/>
      <c r="AF271" s="406"/>
      <c r="AG271" s="406"/>
      <c r="AH271" s="406"/>
      <c r="AI271" s="406"/>
      <c r="AJ271" s="406"/>
      <c r="AK271" s="406"/>
      <c r="AL271" s="406"/>
      <c r="AM271" s="406"/>
    </row>
    <row r="272" spans="1:39">
      <c r="A272" s="406"/>
      <c r="B272" s="406"/>
      <c r="C272" s="406"/>
      <c r="D272" s="406"/>
      <c r="E272" s="406"/>
      <c r="F272" s="406"/>
      <c r="G272" s="406"/>
      <c r="H272" s="406"/>
      <c r="I272" s="406"/>
      <c r="J272" s="406"/>
      <c r="K272" s="406"/>
      <c r="L272" s="406"/>
      <c r="M272" s="406"/>
      <c r="N272" s="406"/>
      <c r="O272" s="406"/>
      <c r="P272" s="406"/>
      <c r="Q272" s="406"/>
      <c r="R272" s="406"/>
      <c r="S272" s="406"/>
      <c r="T272" s="406"/>
      <c r="U272" s="406"/>
      <c r="V272" s="406"/>
      <c r="W272" s="406"/>
      <c r="X272" s="406"/>
      <c r="Y272" s="406"/>
      <c r="Z272" s="406"/>
      <c r="AA272" s="406"/>
      <c r="AB272" s="406"/>
      <c r="AC272" s="406"/>
      <c r="AD272" s="406"/>
      <c r="AE272" s="406"/>
      <c r="AF272" s="406"/>
      <c r="AG272" s="406"/>
      <c r="AH272" s="406"/>
      <c r="AI272" s="406"/>
      <c r="AJ272" s="406"/>
      <c r="AK272" s="406"/>
      <c r="AL272" s="406"/>
      <c r="AM272" s="406"/>
    </row>
    <row r="273" spans="1:39">
      <c r="A273" s="406"/>
      <c r="B273" s="406"/>
      <c r="C273" s="406"/>
      <c r="D273" s="406"/>
      <c r="E273" s="406"/>
      <c r="F273" s="406"/>
      <c r="G273" s="406"/>
      <c r="H273" s="406"/>
      <c r="I273" s="406"/>
      <c r="J273" s="406"/>
      <c r="K273" s="406"/>
      <c r="L273" s="406"/>
      <c r="M273" s="406"/>
      <c r="N273" s="406"/>
      <c r="O273" s="406"/>
      <c r="P273" s="406"/>
      <c r="Q273" s="406"/>
      <c r="R273" s="406"/>
      <c r="S273" s="406"/>
      <c r="T273" s="406"/>
      <c r="U273" s="406"/>
      <c r="V273" s="406"/>
      <c r="W273" s="406"/>
      <c r="X273" s="406"/>
      <c r="Y273" s="406"/>
      <c r="Z273" s="406"/>
      <c r="AA273" s="406"/>
      <c r="AB273" s="406"/>
      <c r="AC273" s="406"/>
      <c r="AD273" s="406"/>
      <c r="AE273" s="406"/>
      <c r="AF273" s="406"/>
      <c r="AG273" s="406"/>
      <c r="AH273" s="406"/>
      <c r="AI273" s="406"/>
      <c r="AJ273" s="406"/>
      <c r="AK273" s="406"/>
      <c r="AL273" s="406"/>
      <c r="AM273" s="406"/>
    </row>
    <row r="274" spans="1:39">
      <c r="A274" s="406"/>
      <c r="B274" s="406"/>
      <c r="C274" s="406"/>
      <c r="D274" s="406"/>
      <c r="E274" s="406"/>
      <c r="F274" s="406"/>
      <c r="G274" s="406"/>
      <c r="H274" s="406"/>
      <c r="I274" s="406"/>
      <c r="J274" s="406"/>
      <c r="K274" s="406"/>
      <c r="L274" s="406"/>
      <c r="M274" s="406"/>
      <c r="N274" s="406"/>
      <c r="O274" s="406"/>
      <c r="P274" s="406"/>
      <c r="Q274" s="406"/>
      <c r="R274" s="406"/>
      <c r="S274" s="406"/>
      <c r="T274" s="406"/>
      <c r="U274" s="406"/>
      <c r="V274" s="406"/>
      <c r="W274" s="406"/>
      <c r="X274" s="406"/>
      <c r="Y274" s="406"/>
      <c r="Z274" s="406"/>
      <c r="AA274" s="406"/>
      <c r="AB274" s="406"/>
      <c r="AC274" s="406"/>
      <c r="AD274" s="406"/>
      <c r="AE274" s="406"/>
      <c r="AF274" s="406"/>
      <c r="AG274" s="406"/>
      <c r="AH274" s="406"/>
      <c r="AI274" s="406"/>
      <c r="AJ274" s="406"/>
      <c r="AK274" s="406"/>
      <c r="AL274" s="406"/>
      <c r="AM274" s="406"/>
    </row>
    <row r="275" spans="1:39">
      <c r="A275" s="406"/>
      <c r="B275" s="406"/>
      <c r="C275" s="406"/>
      <c r="D275" s="406"/>
      <c r="E275" s="406"/>
      <c r="F275" s="406"/>
      <c r="G275" s="406"/>
      <c r="H275" s="406"/>
      <c r="I275" s="406"/>
      <c r="J275" s="406"/>
      <c r="K275" s="406"/>
      <c r="L275" s="406"/>
      <c r="M275" s="406"/>
      <c r="N275" s="406"/>
      <c r="O275" s="406"/>
      <c r="P275" s="406"/>
      <c r="Q275" s="406"/>
      <c r="R275" s="406"/>
      <c r="S275" s="406"/>
      <c r="T275" s="406"/>
      <c r="U275" s="406"/>
      <c r="V275" s="406"/>
      <c r="W275" s="406"/>
      <c r="X275" s="406"/>
      <c r="Y275" s="406"/>
      <c r="Z275" s="406"/>
      <c r="AA275" s="406"/>
      <c r="AB275" s="406"/>
      <c r="AC275" s="406"/>
      <c r="AD275" s="406"/>
      <c r="AE275" s="406"/>
      <c r="AF275" s="406"/>
      <c r="AG275" s="406"/>
      <c r="AH275" s="406"/>
      <c r="AI275" s="406"/>
      <c r="AJ275" s="406"/>
      <c r="AK275" s="406"/>
      <c r="AL275" s="406"/>
      <c r="AM275" s="406"/>
    </row>
    <row r="276" spans="1:39">
      <c r="A276" s="406"/>
      <c r="B276" s="406"/>
      <c r="C276" s="406"/>
      <c r="D276" s="406"/>
      <c r="E276" s="406"/>
      <c r="F276" s="406"/>
      <c r="G276" s="406"/>
      <c r="H276" s="406"/>
      <c r="I276" s="406"/>
      <c r="J276" s="406"/>
      <c r="K276" s="406"/>
      <c r="L276" s="406"/>
      <c r="M276" s="406"/>
      <c r="N276" s="406"/>
      <c r="O276" s="406"/>
      <c r="P276" s="406"/>
      <c r="Q276" s="406"/>
      <c r="R276" s="406"/>
      <c r="S276" s="406"/>
      <c r="T276" s="406"/>
      <c r="U276" s="406"/>
      <c r="V276" s="406"/>
      <c r="W276" s="406"/>
      <c r="X276" s="406"/>
      <c r="Y276" s="406"/>
      <c r="Z276" s="406"/>
      <c r="AA276" s="406"/>
      <c r="AB276" s="406"/>
      <c r="AC276" s="406"/>
      <c r="AD276" s="406"/>
      <c r="AE276" s="406"/>
      <c r="AF276" s="406"/>
      <c r="AG276" s="406"/>
      <c r="AH276" s="406"/>
      <c r="AI276" s="406"/>
      <c r="AJ276" s="406"/>
      <c r="AK276" s="406"/>
      <c r="AL276" s="406"/>
      <c r="AM276" s="406"/>
    </row>
    <row r="277" spans="1:39">
      <c r="A277" s="406"/>
      <c r="B277" s="406"/>
      <c r="C277" s="406"/>
      <c r="D277" s="406"/>
      <c r="E277" s="406"/>
      <c r="F277" s="406"/>
      <c r="G277" s="406"/>
      <c r="H277" s="406"/>
      <c r="I277" s="406"/>
      <c r="J277" s="406"/>
      <c r="K277" s="406"/>
      <c r="L277" s="406"/>
      <c r="M277" s="406"/>
      <c r="N277" s="406"/>
      <c r="O277" s="406"/>
      <c r="P277" s="406"/>
      <c r="Q277" s="406"/>
      <c r="R277" s="406"/>
      <c r="S277" s="406"/>
      <c r="T277" s="406"/>
      <c r="U277" s="406"/>
      <c r="V277" s="406"/>
      <c r="W277" s="406"/>
      <c r="X277" s="406"/>
      <c r="Y277" s="406"/>
      <c r="Z277" s="406"/>
      <c r="AA277" s="406"/>
      <c r="AB277" s="406"/>
      <c r="AC277" s="406"/>
      <c r="AD277" s="406"/>
      <c r="AE277" s="406"/>
      <c r="AF277" s="406"/>
      <c r="AG277" s="406"/>
      <c r="AH277" s="406"/>
      <c r="AI277" s="406"/>
      <c r="AJ277" s="406"/>
      <c r="AK277" s="406"/>
      <c r="AL277" s="406"/>
      <c r="AM277" s="406"/>
    </row>
    <row r="278" spans="1:39">
      <c r="A278" s="406"/>
      <c r="B278" s="406"/>
      <c r="C278" s="406"/>
      <c r="D278" s="406"/>
      <c r="E278" s="406"/>
      <c r="F278" s="406"/>
      <c r="G278" s="406"/>
      <c r="H278" s="406"/>
      <c r="I278" s="406"/>
      <c r="J278" s="406"/>
      <c r="K278" s="406"/>
      <c r="L278" s="406"/>
      <c r="M278" s="406"/>
      <c r="N278" s="406"/>
      <c r="O278" s="406"/>
      <c r="P278" s="406"/>
      <c r="Q278" s="406"/>
      <c r="R278" s="406"/>
      <c r="S278" s="406"/>
      <c r="T278" s="406"/>
      <c r="U278" s="406"/>
      <c r="V278" s="406"/>
      <c r="W278" s="406"/>
      <c r="X278" s="406"/>
      <c r="Y278" s="406"/>
      <c r="Z278" s="406"/>
      <c r="AA278" s="406"/>
      <c r="AB278" s="406"/>
      <c r="AC278" s="406"/>
      <c r="AD278" s="406"/>
      <c r="AE278" s="406"/>
      <c r="AF278" s="406"/>
      <c r="AG278" s="406"/>
      <c r="AH278" s="406"/>
      <c r="AI278" s="406"/>
      <c r="AJ278" s="406"/>
      <c r="AK278" s="406"/>
      <c r="AL278" s="406"/>
      <c r="AM278" s="406"/>
    </row>
    <row r="279" spans="1:39">
      <c r="A279" s="406"/>
      <c r="B279" s="406"/>
      <c r="C279" s="406"/>
      <c r="D279" s="406"/>
      <c r="E279" s="406"/>
      <c r="F279" s="406"/>
      <c r="G279" s="406"/>
      <c r="H279" s="406"/>
      <c r="I279" s="406"/>
      <c r="J279" s="406"/>
      <c r="K279" s="406"/>
      <c r="L279" s="406"/>
      <c r="M279" s="406"/>
      <c r="N279" s="406"/>
      <c r="O279" s="406"/>
      <c r="P279" s="406"/>
      <c r="Q279" s="406"/>
      <c r="R279" s="406"/>
      <c r="S279" s="406"/>
      <c r="T279" s="406"/>
      <c r="U279" s="406"/>
      <c r="V279" s="406"/>
      <c r="W279" s="406"/>
      <c r="X279" s="406"/>
      <c r="Y279" s="406"/>
      <c r="Z279" s="406"/>
      <c r="AA279" s="406"/>
      <c r="AB279" s="406"/>
      <c r="AC279" s="406"/>
      <c r="AD279" s="406"/>
      <c r="AE279" s="406"/>
      <c r="AF279" s="406"/>
      <c r="AG279" s="406"/>
      <c r="AH279" s="406"/>
      <c r="AI279" s="406"/>
      <c r="AJ279" s="406"/>
      <c r="AK279" s="406"/>
      <c r="AL279" s="406"/>
      <c r="AM279" s="406"/>
    </row>
    <row r="280" spans="1:39">
      <c r="A280" s="406"/>
      <c r="B280" s="406"/>
      <c r="C280" s="406"/>
      <c r="D280" s="406"/>
      <c r="E280" s="406"/>
      <c r="F280" s="406"/>
      <c r="G280" s="406"/>
      <c r="H280" s="406"/>
      <c r="I280" s="406"/>
      <c r="J280" s="406"/>
      <c r="K280" s="406"/>
      <c r="L280" s="406"/>
      <c r="M280" s="406"/>
      <c r="N280" s="406"/>
      <c r="O280" s="406"/>
      <c r="P280" s="406"/>
      <c r="Q280" s="406"/>
      <c r="R280" s="406"/>
      <c r="S280" s="406"/>
      <c r="T280" s="406"/>
      <c r="U280" s="406"/>
      <c r="V280" s="406"/>
      <c r="W280" s="406"/>
      <c r="X280" s="406"/>
      <c r="Y280" s="406"/>
      <c r="Z280" s="406"/>
      <c r="AA280" s="406"/>
      <c r="AB280" s="406"/>
      <c r="AC280" s="406"/>
      <c r="AD280" s="406"/>
      <c r="AE280" s="406"/>
      <c r="AF280" s="406"/>
      <c r="AG280" s="406"/>
      <c r="AH280" s="406"/>
      <c r="AI280" s="406"/>
      <c r="AJ280" s="406"/>
      <c r="AK280" s="406"/>
      <c r="AL280" s="406"/>
      <c r="AM280" s="406"/>
    </row>
    <row r="281" spans="1:39">
      <c r="A281" s="406"/>
      <c r="B281" s="406"/>
      <c r="C281" s="406"/>
      <c r="D281" s="406"/>
      <c r="E281" s="406"/>
      <c r="F281" s="406"/>
      <c r="G281" s="406"/>
      <c r="H281" s="406"/>
      <c r="I281" s="406"/>
      <c r="J281" s="406"/>
      <c r="K281" s="406"/>
      <c r="L281" s="406"/>
      <c r="M281" s="406"/>
      <c r="N281" s="406"/>
      <c r="O281" s="406"/>
      <c r="P281" s="406"/>
      <c r="Q281" s="406"/>
      <c r="R281" s="406"/>
      <c r="S281" s="406"/>
      <c r="T281" s="406"/>
      <c r="U281" s="406"/>
      <c r="V281" s="406"/>
      <c r="W281" s="406"/>
      <c r="X281" s="406"/>
      <c r="Y281" s="406"/>
      <c r="Z281" s="406"/>
      <c r="AA281" s="406"/>
      <c r="AB281" s="406"/>
      <c r="AC281" s="406"/>
      <c r="AD281" s="406"/>
      <c r="AE281" s="406"/>
      <c r="AF281" s="406"/>
      <c r="AG281" s="406"/>
      <c r="AH281" s="406"/>
      <c r="AI281" s="406"/>
      <c r="AJ281" s="406"/>
      <c r="AK281" s="406"/>
      <c r="AL281" s="406"/>
      <c r="AM281" s="406"/>
    </row>
    <row r="282" spans="1:39">
      <c r="A282" s="406"/>
      <c r="B282" s="406"/>
      <c r="C282" s="406"/>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c r="AB282" s="406"/>
      <c r="AC282" s="406"/>
      <c r="AD282" s="406"/>
      <c r="AE282" s="406"/>
      <c r="AF282" s="406"/>
      <c r="AG282" s="406"/>
      <c r="AH282" s="406"/>
      <c r="AI282" s="406"/>
      <c r="AJ282" s="406"/>
      <c r="AK282" s="406"/>
      <c r="AL282" s="406"/>
      <c r="AM282" s="406"/>
    </row>
    <row r="283" spans="1:39">
      <c r="A283" s="406"/>
      <c r="B283" s="406"/>
      <c r="C283" s="406"/>
      <c r="D283" s="406"/>
      <c r="E283" s="406"/>
      <c r="F283" s="406"/>
      <c r="G283" s="406"/>
      <c r="H283" s="406"/>
      <c r="I283" s="406"/>
      <c r="J283" s="406"/>
      <c r="K283" s="406"/>
      <c r="L283" s="406"/>
      <c r="M283" s="406"/>
      <c r="N283" s="406"/>
      <c r="O283" s="406"/>
      <c r="P283" s="406"/>
      <c r="Q283" s="406"/>
      <c r="R283" s="406"/>
      <c r="S283" s="406"/>
      <c r="T283" s="406"/>
      <c r="U283" s="406"/>
      <c r="V283" s="406"/>
      <c r="W283" s="406"/>
      <c r="X283" s="406"/>
      <c r="Y283" s="406"/>
      <c r="Z283" s="406"/>
      <c r="AA283" s="406"/>
      <c r="AB283" s="406"/>
      <c r="AC283" s="406"/>
      <c r="AD283" s="406"/>
      <c r="AE283" s="406"/>
      <c r="AF283" s="406"/>
      <c r="AG283" s="406"/>
      <c r="AH283" s="406"/>
      <c r="AI283" s="406"/>
      <c r="AJ283" s="406"/>
      <c r="AK283" s="406"/>
      <c r="AL283" s="406"/>
      <c r="AM283" s="406"/>
    </row>
    <row r="284" spans="1:39">
      <c r="A284" s="406"/>
      <c r="B284" s="406"/>
      <c r="C284" s="406"/>
      <c r="D284" s="406"/>
      <c r="E284" s="406"/>
      <c r="F284" s="406"/>
      <c r="G284" s="406"/>
      <c r="H284" s="406"/>
      <c r="I284" s="406"/>
      <c r="J284" s="406"/>
      <c r="K284" s="406"/>
      <c r="L284" s="406"/>
      <c r="M284" s="406"/>
      <c r="N284" s="406"/>
      <c r="O284" s="406"/>
      <c r="P284" s="406"/>
      <c r="Q284" s="406"/>
      <c r="R284" s="406"/>
      <c r="S284" s="406"/>
      <c r="T284" s="406"/>
      <c r="U284" s="406"/>
      <c r="V284" s="406"/>
      <c r="W284" s="406"/>
      <c r="X284" s="406"/>
      <c r="Y284" s="406"/>
      <c r="Z284" s="406"/>
      <c r="AA284" s="406"/>
      <c r="AB284" s="406"/>
      <c r="AC284" s="406"/>
      <c r="AD284" s="406"/>
      <c r="AE284" s="406"/>
      <c r="AF284" s="406"/>
      <c r="AG284" s="406"/>
      <c r="AH284" s="406"/>
      <c r="AI284" s="406"/>
      <c r="AJ284" s="406"/>
      <c r="AK284" s="406"/>
      <c r="AL284" s="406"/>
      <c r="AM284" s="406"/>
    </row>
    <row r="285" spans="1:39">
      <c r="A285" s="406"/>
      <c r="B285" s="406"/>
      <c r="C285" s="406"/>
      <c r="D285" s="406"/>
      <c r="E285" s="406"/>
      <c r="F285" s="406"/>
      <c r="G285" s="406"/>
      <c r="H285" s="406"/>
      <c r="I285" s="406"/>
      <c r="J285" s="406"/>
      <c r="K285" s="406"/>
      <c r="L285" s="406"/>
      <c r="M285" s="406"/>
      <c r="N285" s="406"/>
      <c r="O285" s="406"/>
      <c r="P285" s="406"/>
      <c r="Q285" s="406"/>
      <c r="R285" s="406"/>
      <c r="S285" s="406"/>
      <c r="T285" s="406"/>
      <c r="U285" s="406"/>
      <c r="V285" s="406"/>
      <c r="W285" s="406"/>
      <c r="X285" s="406"/>
      <c r="Y285" s="406"/>
      <c r="Z285" s="406"/>
      <c r="AA285" s="406"/>
      <c r="AB285" s="406"/>
      <c r="AC285" s="406"/>
      <c r="AD285" s="406"/>
      <c r="AE285" s="406"/>
      <c r="AF285" s="406"/>
      <c r="AG285" s="406"/>
      <c r="AH285" s="406"/>
      <c r="AI285" s="406"/>
      <c r="AJ285" s="406"/>
      <c r="AK285" s="406"/>
      <c r="AL285" s="406"/>
      <c r="AM285" s="406"/>
    </row>
  </sheetData>
  <phoneticPr fontId="6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1"/>
  </sheetPr>
  <dimension ref="A1:FM83"/>
  <sheetViews>
    <sheetView zoomScale="75" workbookViewId="0">
      <selection activeCell="U41" sqref="U41"/>
    </sheetView>
  </sheetViews>
  <sheetFormatPr defaultColWidth="9.140625" defaultRowHeight="18"/>
  <cols>
    <col min="1" max="1" width="3.5703125" style="354" customWidth="1"/>
    <col min="2" max="2" width="8.5703125" style="354" bestFit="1" customWidth="1"/>
    <col min="3" max="18" width="6.7109375" style="354" customWidth="1"/>
    <col min="19" max="21" width="10.42578125" style="354" bestFit="1" customWidth="1"/>
    <col min="22" max="22" width="3.5703125" style="354" customWidth="1"/>
    <col min="23" max="23" width="8.5703125" style="354" bestFit="1" customWidth="1"/>
    <col min="24" max="39" width="6.7109375" style="354" customWidth="1"/>
    <col min="40" max="40" width="6.85546875" style="354" bestFit="1" customWidth="1"/>
    <col min="41" max="42" width="6.85546875" style="354" customWidth="1"/>
    <col min="43" max="43" width="3.5703125" style="354" customWidth="1"/>
    <col min="44" max="44" width="8.5703125" style="354" bestFit="1" customWidth="1"/>
    <col min="45" max="59" width="6.7109375" style="354" customWidth="1"/>
    <col min="60" max="61" width="7.28515625" style="354" bestFit="1" customWidth="1"/>
    <col min="62" max="63" width="7.28515625" style="354" customWidth="1"/>
    <col min="64" max="64" width="3.5703125" style="354" customWidth="1"/>
    <col min="65" max="65" width="8.5703125" style="354" bestFit="1" customWidth="1"/>
    <col min="66" max="84" width="6.7109375" style="354" customWidth="1"/>
    <col min="85" max="85" width="3.5703125" style="354" customWidth="1"/>
    <col min="86" max="86" width="8.5703125" style="354" bestFit="1" customWidth="1"/>
    <col min="87" max="105" width="8.7109375" style="354" customWidth="1"/>
    <col min="106" max="106" width="3.85546875" style="354" customWidth="1"/>
    <col min="107" max="107" width="8.5703125" style="354" bestFit="1" customWidth="1"/>
    <col min="108" max="126" width="6.7109375" style="354" customWidth="1"/>
    <col min="127" max="127" width="3.85546875" style="354" customWidth="1"/>
    <col min="128" max="128" width="8.5703125" style="354" bestFit="1" customWidth="1"/>
    <col min="129" max="147" width="7.7109375" style="354" customWidth="1"/>
    <col min="148" max="148" width="4.42578125" style="354" customWidth="1"/>
    <col min="149" max="149" width="9.140625" style="354" customWidth="1"/>
    <col min="150" max="168" width="8.7109375" style="354" customWidth="1"/>
    <col min="169" max="16384" width="9.140625" style="354"/>
  </cols>
  <sheetData>
    <row r="1" spans="1:169">
      <c r="A1" s="349"/>
      <c r="B1" s="350"/>
      <c r="C1" s="351"/>
      <c r="D1" s="351"/>
      <c r="E1" s="351"/>
      <c r="F1" s="351"/>
      <c r="G1" s="352"/>
      <c r="H1" s="352" t="s">
        <v>256</v>
      </c>
      <c r="I1" s="352"/>
      <c r="J1" s="352"/>
      <c r="K1" s="351"/>
      <c r="L1" s="351"/>
      <c r="M1" s="353"/>
      <c r="N1" s="353"/>
      <c r="O1" s="353"/>
      <c r="P1" s="353"/>
      <c r="Q1" s="353"/>
      <c r="R1" s="353"/>
      <c r="S1" s="353"/>
      <c r="T1" s="353"/>
      <c r="U1" s="353"/>
      <c r="V1" s="349"/>
      <c r="W1" s="350"/>
      <c r="X1" s="351"/>
      <c r="Y1" s="351"/>
      <c r="Z1" s="351"/>
      <c r="AA1" s="351"/>
      <c r="AB1" s="352"/>
      <c r="AC1" s="352" t="s">
        <v>462</v>
      </c>
      <c r="AD1" s="352"/>
      <c r="AE1" s="352"/>
      <c r="AF1" s="351"/>
      <c r="AG1" s="351"/>
      <c r="AH1" s="353"/>
      <c r="AI1" s="353"/>
      <c r="AJ1" s="353"/>
      <c r="AK1" s="353"/>
      <c r="AL1" s="353"/>
      <c r="AM1" s="353"/>
      <c r="AN1" s="353"/>
      <c r="AO1" s="353"/>
      <c r="AP1" s="353"/>
      <c r="AQ1" s="349"/>
      <c r="AR1" s="350"/>
      <c r="AS1" s="351"/>
      <c r="AT1" s="351"/>
      <c r="AU1" s="351"/>
      <c r="AV1" s="351"/>
      <c r="AW1" s="352"/>
      <c r="AX1" s="352" t="s">
        <v>457</v>
      </c>
      <c r="AY1" s="352"/>
      <c r="AZ1" s="352"/>
      <c r="BA1" s="351"/>
      <c r="BB1" s="351"/>
      <c r="BC1" s="353"/>
      <c r="BD1" s="353"/>
      <c r="BE1" s="353"/>
      <c r="BF1" s="353"/>
      <c r="BG1" s="353"/>
      <c r="BH1" s="353"/>
      <c r="BI1" s="353"/>
      <c r="BJ1" s="353"/>
      <c r="BK1" s="353"/>
      <c r="BL1" s="349"/>
      <c r="BM1" s="350"/>
      <c r="BN1" s="351"/>
      <c r="BO1" s="351"/>
      <c r="BP1" s="351"/>
      <c r="BQ1" s="351"/>
      <c r="BR1" s="352"/>
      <c r="BS1" s="352" t="s">
        <v>458</v>
      </c>
      <c r="BT1" s="352"/>
      <c r="BU1" s="352"/>
      <c r="BV1" s="351"/>
      <c r="BW1" s="351"/>
      <c r="BX1" s="353"/>
      <c r="BY1" s="353"/>
      <c r="BZ1" s="353"/>
      <c r="CA1" s="353"/>
      <c r="CB1" s="353"/>
      <c r="CC1" s="353"/>
      <c r="CD1" s="353"/>
      <c r="CE1" s="353"/>
      <c r="CF1" s="353"/>
      <c r="CG1" s="349"/>
      <c r="CH1" s="350"/>
      <c r="CI1" s="351"/>
      <c r="CJ1" s="351"/>
      <c r="CK1" s="351"/>
      <c r="CL1" s="351"/>
      <c r="CM1" s="352"/>
      <c r="CN1" s="352" t="s">
        <v>459</v>
      </c>
      <c r="CO1" s="352"/>
      <c r="CP1" s="352"/>
      <c r="CQ1" s="351"/>
      <c r="CR1" s="351"/>
      <c r="CS1" s="353"/>
      <c r="CT1" s="353"/>
      <c r="CU1" s="353"/>
      <c r="CV1" s="353"/>
      <c r="CW1" s="353"/>
      <c r="CX1" s="353"/>
      <c r="CY1" s="353"/>
      <c r="CZ1" s="353"/>
      <c r="DA1" s="353"/>
      <c r="DB1" s="349"/>
      <c r="DC1" s="350"/>
      <c r="DD1" s="351"/>
      <c r="DE1" s="351"/>
      <c r="DF1" s="351"/>
      <c r="DG1" s="351"/>
      <c r="DH1" s="352"/>
      <c r="DI1" s="352" t="s">
        <v>311</v>
      </c>
      <c r="DJ1" s="352"/>
      <c r="DK1" s="352"/>
      <c r="DL1" s="351"/>
      <c r="DM1" s="351"/>
      <c r="DN1" s="353"/>
      <c r="DO1" s="353"/>
      <c r="DP1" s="353"/>
      <c r="DQ1" s="353"/>
      <c r="DR1" s="353"/>
      <c r="DS1" s="353"/>
      <c r="DT1" s="353"/>
      <c r="DU1" s="353"/>
      <c r="DV1" s="353"/>
      <c r="DW1" s="349"/>
      <c r="DX1" s="350"/>
      <c r="DY1" s="351"/>
      <c r="DZ1" s="351"/>
      <c r="EA1" s="351"/>
      <c r="EB1" s="351"/>
      <c r="EC1" s="352"/>
      <c r="ED1" s="352" t="s">
        <v>460</v>
      </c>
      <c r="EE1" s="352"/>
      <c r="EF1" s="352"/>
      <c r="EG1" s="351"/>
      <c r="EH1" s="351"/>
      <c r="EI1" s="353"/>
      <c r="EJ1" s="353"/>
      <c r="EK1" s="353"/>
      <c r="EL1" s="353"/>
      <c r="EM1" s="353"/>
      <c r="EN1" s="353"/>
      <c r="EO1" s="353"/>
      <c r="EP1" s="353"/>
      <c r="EQ1" s="353"/>
      <c r="ER1" s="349"/>
      <c r="ES1" s="350"/>
      <c r="ET1" s="351"/>
      <c r="EU1" s="351"/>
      <c r="EV1" s="351"/>
      <c r="EW1" s="351"/>
      <c r="EX1" s="352"/>
      <c r="EY1" s="352" t="s">
        <v>461</v>
      </c>
      <c r="EZ1" s="352"/>
      <c r="FA1" s="352"/>
      <c r="FB1" s="351"/>
      <c r="FC1" s="351"/>
      <c r="FD1" s="353"/>
      <c r="FE1" s="353"/>
      <c r="FF1" s="353"/>
      <c r="FG1" s="353"/>
      <c r="FH1" s="353"/>
      <c r="FI1" s="353"/>
      <c r="FJ1" s="353"/>
      <c r="FK1" s="353"/>
      <c r="FL1" s="353"/>
      <c r="FM1" s="349"/>
    </row>
    <row r="2" spans="1:169" ht="18.75" thickBot="1">
      <c r="A2" s="349"/>
      <c r="B2" s="355" t="s">
        <v>60</v>
      </c>
      <c r="C2" s="355" t="s">
        <v>161</v>
      </c>
      <c r="D2" s="355" t="s">
        <v>162</v>
      </c>
      <c r="E2" s="355" t="s">
        <v>163</v>
      </c>
      <c r="F2" s="355" t="s">
        <v>164</v>
      </c>
      <c r="G2" s="355" t="s">
        <v>165</v>
      </c>
      <c r="H2" s="355" t="s">
        <v>166</v>
      </c>
      <c r="I2" s="355" t="s">
        <v>167</v>
      </c>
      <c r="J2" s="355" t="s">
        <v>168</v>
      </c>
      <c r="K2" s="355" t="s">
        <v>169</v>
      </c>
      <c r="L2" s="355" t="s">
        <v>170</v>
      </c>
      <c r="M2" s="355" t="s">
        <v>171</v>
      </c>
      <c r="N2" s="355" t="s">
        <v>172</v>
      </c>
      <c r="O2" s="355" t="s">
        <v>161</v>
      </c>
      <c r="P2" s="355" t="s">
        <v>162</v>
      </c>
      <c r="Q2" s="355" t="s">
        <v>163</v>
      </c>
      <c r="R2" s="355" t="s">
        <v>164</v>
      </c>
      <c r="S2" s="355" t="s">
        <v>165</v>
      </c>
      <c r="T2" s="355" t="s">
        <v>166</v>
      </c>
      <c r="U2" s="355" t="s">
        <v>167</v>
      </c>
      <c r="V2" s="349"/>
      <c r="W2" s="355" t="s">
        <v>60</v>
      </c>
      <c r="X2" s="355" t="s">
        <v>161</v>
      </c>
      <c r="Y2" s="355" t="s">
        <v>162</v>
      </c>
      <c r="Z2" s="355" t="s">
        <v>163</v>
      </c>
      <c r="AA2" s="355" t="s">
        <v>164</v>
      </c>
      <c r="AB2" s="355" t="s">
        <v>165</v>
      </c>
      <c r="AC2" s="355" t="s">
        <v>166</v>
      </c>
      <c r="AD2" s="355" t="s">
        <v>167</v>
      </c>
      <c r="AE2" s="355" t="s">
        <v>168</v>
      </c>
      <c r="AF2" s="355" t="s">
        <v>169</v>
      </c>
      <c r="AG2" s="355" t="s">
        <v>170</v>
      </c>
      <c r="AH2" s="355" t="s">
        <v>171</v>
      </c>
      <c r="AI2" s="355" t="s">
        <v>172</v>
      </c>
      <c r="AJ2" s="355" t="s">
        <v>161</v>
      </c>
      <c r="AK2" s="355" t="s">
        <v>162</v>
      </c>
      <c r="AL2" s="355" t="s">
        <v>163</v>
      </c>
      <c r="AM2" s="355" t="s">
        <v>164</v>
      </c>
      <c r="AN2" s="355" t="s">
        <v>165</v>
      </c>
      <c r="AO2" s="355" t="s">
        <v>166</v>
      </c>
      <c r="AP2" s="355" t="s">
        <v>167</v>
      </c>
      <c r="AQ2" s="349"/>
      <c r="AR2" s="355" t="s">
        <v>60</v>
      </c>
      <c r="AS2" s="355" t="s">
        <v>161</v>
      </c>
      <c r="AT2" s="355" t="s">
        <v>162</v>
      </c>
      <c r="AU2" s="355" t="s">
        <v>163</v>
      </c>
      <c r="AV2" s="355" t="s">
        <v>164</v>
      </c>
      <c r="AW2" s="355" t="s">
        <v>165</v>
      </c>
      <c r="AX2" s="355" t="s">
        <v>166</v>
      </c>
      <c r="AY2" s="355" t="s">
        <v>167</v>
      </c>
      <c r="AZ2" s="355" t="s">
        <v>168</v>
      </c>
      <c r="BA2" s="355" t="s">
        <v>169</v>
      </c>
      <c r="BB2" s="355" t="s">
        <v>170</v>
      </c>
      <c r="BC2" s="355" t="s">
        <v>171</v>
      </c>
      <c r="BD2" s="355" t="s">
        <v>172</v>
      </c>
      <c r="BE2" s="355" t="s">
        <v>161</v>
      </c>
      <c r="BF2" s="355" t="s">
        <v>162</v>
      </c>
      <c r="BG2" s="355" t="s">
        <v>163</v>
      </c>
      <c r="BH2" s="355" t="s">
        <v>164</v>
      </c>
      <c r="BI2" s="355" t="s">
        <v>165</v>
      </c>
      <c r="BJ2" s="355" t="s">
        <v>166</v>
      </c>
      <c r="BK2" s="355" t="s">
        <v>167</v>
      </c>
      <c r="BL2" s="349"/>
      <c r="BM2" s="355" t="s">
        <v>60</v>
      </c>
      <c r="BN2" s="355" t="s">
        <v>161</v>
      </c>
      <c r="BO2" s="355" t="s">
        <v>162</v>
      </c>
      <c r="BP2" s="355" t="s">
        <v>163</v>
      </c>
      <c r="BQ2" s="355" t="s">
        <v>164</v>
      </c>
      <c r="BR2" s="355" t="s">
        <v>165</v>
      </c>
      <c r="BS2" s="355" t="s">
        <v>166</v>
      </c>
      <c r="BT2" s="355" t="s">
        <v>167</v>
      </c>
      <c r="BU2" s="355" t="s">
        <v>168</v>
      </c>
      <c r="BV2" s="355" t="s">
        <v>169</v>
      </c>
      <c r="BW2" s="355" t="s">
        <v>170</v>
      </c>
      <c r="BX2" s="355" t="s">
        <v>171</v>
      </c>
      <c r="BY2" s="355" t="s">
        <v>172</v>
      </c>
      <c r="BZ2" s="355" t="s">
        <v>161</v>
      </c>
      <c r="CA2" s="355" t="s">
        <v>162</v>
      </c>
      <c r="CB2" s="355" t="s">
        <v>163</v>
      </c>
      <c r="CC2" s="355" t="s">
        <v>164</v>
      </c>
      <c r="CD2" s="355" t="s">
        <v>165</v>
      </c>
      <c r="CE2" s="355" t="s">
        <v>166</v>
      </c>
      <c r="CF2" s="355" t="s">
        <v>167</v>
      </c>
      <c r="CG2" s="349"/>
      <c r="CH2" s="355" t="s">
        <v>60</v>
      </c>
      <c r="CI2" s="355" t="s">
        <v>161</v>
      </c>
      <c r="CJ2" s="355" t="s">
        <v>162</v>
      </c>
      <c r="CK2" s="355" t="s">
        <v>163</v>
      </c>
      <c r="CL2" s="355" t="s">
        <v>164</v>
      </c>
      <c r="CM2" s="355" t="s">
        <v>165</v>
      </c>
      <c r="CN2" s="355" t="s">
        <v>166</v>
      </c>
      <c r="CO2" s="355" t="s">
        <v>167</v>
      </c>
      <c r="CP2" s="355" t="s">
        <v>168</v>
      </c>
      <c r="CQ2" s="355" t="s">
        <v>169</v>
      </c>
      <c r="CR2" s="355" t="s">
        <v>170</v>
      </c>
      <c r="CS2" s="355" t="s">
        <v>171</v>
      </c>
      <c r="CT2" s="355" t="s">
        <v>172</v>
      </c>
      <c r="CU2" s="355" t="s">
        <v>161</v>
      </c>
      <c r="CV2" s="355" t="s">
        <v>162</v>
      </c>
      <c r="CW2" s="355" t="s">
        <v>163</v>
      </c>
      <c r="CX2" s="355" t="s">
        <v>164</v>
      </c>
      <c r="CY2" s="355" t="s">
        <v>165</v>
      </c>
      <c r="CZ2" s="355" t="s">
        <v>166</v>
      </c>
      <c r="DA2" s="355" t="s">
        <v>167</v>
      </c>
      <c r="DB2" s="349"/>
      <c r="DC2" s="355" t="s">
        <v>60</v>
      </c>
      <c r="DD2" s="355" t="s">
        <v>161</v>
      </c>
      <c r="DE2" s="355" t="s">
        <v>162</v>
      </c>
      <c r="DF2" s="355" t="s">
        <v>163</v>
      </c>
      <c r="DG2" s="355" t="s">
        <v>164</v>
      </c>
      <c r="DH2" s="355" t="s">
        <v>165</v>
      </c>
      <c r="DI2" s="355" t="s">
        <v>166</v>
      </c>
      <c r="DJ2" s="355" t="s">
        <v>167</v>
      </c>
      <c r="DK2" s="355" t="s">
        <v>168</v>
      </c>
      <c r="DL2" s="355" t="s">
        <v>169</v>
      </c>
      <c r="DM2" s="355" t="s">
        <v>170</v>
      </c>
      <c r="DN2" s="355" t="s">
        <v>171</v>
      </c>
      <c r="DO2" s="355" t="s">
        <v>172</v>
      </c>
      <c r="DP2" s="355" t="s">
        <v>161</v>
      </c>
      <c r="DQ2" s="355" t="s">
        <v>162</v>
      </c>
      <c r="DR2" s="355" t="s">
        <v>163</v>
      </c>
      <c r="DS2" s="355" t="s">
        <v>164</v>
      </c>
      <c r="DT2" s="355" t="s">
        <v>165</v>
      </c>
      <c r="DU2" s="355" t="s">
        <v>166</v>
      </c>
      <c r="DV2" s="355" t="s">
        <v>167</v>
      </c>
      <c r="DW2" s="349"/>
      <c r="DX2" s="355" t="s">
        <v>60</v>
      </c>
      <c r="DY2" s="355" t="s">
        <v>161</v>
      </c>
      <c r="DZ2" s="355" t="s">
        <v>162</v>
      </c>
      <c r="EA2" s="355" t="s">
        <v>163</v>
      </c>
      <c r="EB2" s="355" t="s">
        <v>164</v>
      </c>
      <c r="EC2" s="355" t="s">
        <v>165</v>
      </c>
      <c r="ED2" s="355" t="s">
        <v>166</v>
      </c>
      <c r="EE2" s="355" t="s">
        <v>167</v>
      </c>
      <c r="EF2" s="355" t="s">
        <v>168</v>
      </c>
      <c r="EG2" s="355" t="s">
        <v>169</v>
      </c>
      <c r="EH2" s="355" t="s">
        <v>170</v>
      </c>
      <c r="EI2" s="355" t="s">
        <v>171</v>
      </c>
      <c r="EJ2" s="355" t="s">
        <v>172</v>
      </c>
      <c r="EK2" s="355" t="s">
        <v>161</v>
      </c>
      <c r="EL2" s="355" t="s">
        <v>162</v>
      </c>
      <c r="EM2" s="355" t="s">
        <v>163</v>
      </c>
      <c r="EN2" s="355" t="s">
        <v>164</v>
      </c>
      <c r="EO2" s="355" t="s">
        <v>165</v>
      </c>
      <c r="EP2" s="355" t="s">
        <v>166</v>
      </c>
      <c r="EQ2" s="355" t="s">
        <v>167</v>
      </c>
      <c r="ER2" s="349"/>
      <c r="ES2" s="355" t="s">
        <v>60</v>
      </c>
      <c r="ET2" s="355" t="s">
        <v>161</v>
      </c>
      <c r="EU2" s="355" t="s">
        <v>162</v>
      </c>
      <c r="EV2" s="355" t="s">
        <v>163</v>
      </c>
      <c r="EW2" s="355" t="s">
        <v>164</v>
      </c>
      <c r="EX2" s="355" t="s">
        <v>165</v>
      </c>
      <c r="EY2" s="355" t="s">
        <v>166</v>
      </c>
      <c r="EZ2" s="355" t="s">
        <v>167</v>
      </c>
      <c r="FA2" s="355" t="s">
        <v>168</v>
      </c>
      <c r="FB2" s="355" t="s">
        <v>169</v>
      </c>
      <c r="FC2" s="355" t="s">
        <v>170</v>
      </c>
      <c r="FD2" s="355" t="s">
        <v>171</v>
      </c>
      <c r="FE2" s="355" t="s">
        <v>172</v>
      </c>
      <c r="FF2" s="355" t="s">
        <v>161</v>
      </c>
      <c r="FG2" s="355" t="s">
        <v>162</v>
      </c>
      <c r="FH2" s="355" t="s">
        <v>163</v>
      </c>
      <c r="FI2" s="355" t="s">
        <v>164</v>
      </c>
      <c r="FJ2" s="355" t="s">
        <v>165</v>
      </c>
      <c r="FK2" s="355" t="s">
        <v>166</v>
      </c>
      <c r="FL2" s="355" t="s">
        <v>167</v>
      </c>
      <c r="FM2" s="349"/>
    </row>
    <row r="3" spans="1:169">
      <c r="A3" s="349"/>
      <c r="B3" s="356">
        <v>1</v>
      </c>
      <c r="C3" s="357" t="str">
        <f>Daily!D29</f>
        <v/>
      </c>
      <c r="D3" s="357" t="str">
        <f>Daily!D60</f>
        <v/>
      </c>
      <c r="E3" s="357" t="str">
        <f>Daily!D89</f>
        <v/>
      </c>
      <c r="F3" s="357" t="str">
        <f>Daily!D120</f>
        <v/>
      </c>
      <c r="G3" s="357">
        <f>Daily!D150</f>
        <v>1.2</v>
      </c>
      <c r="H3" s="357">
        <f>Daily!D181</f>
        <v>0.32710678946778371</v>
      </c>
      <c r="I3" s="357">
        <f>Daily!D211</f>
        <v>0.18233145507011891</v>
      </c>
      <c r="J3" s="357">
        <f>Daily!D242</f>
        <v>0.23380121427771575</v>
      </c>
      <c r="K3" s="357">
        <f>Daily!D273</f>
        <v>1.2</v>
      </c>
      <c r="L3" s="357" t="str">
        <f>Daily!D303</f>
        <v/>
      </c>
      <c r="M3" s="357" t="str">
        <f>Daily!D334</f>
        <v/>
      </c>
      <c r="N3" s="357" t="str">
        <f>Daily!D364</f>
        <v/>
      </c>
      <c r="O3" s="357" t="str">
        <f>Daily!D395</f>
        <v/>
      </c>
      <c r="P3" s="357" t="str">
        <f>Daily!D426</f>
        <v/>
      </c>
      <c r="Q3" s="357" t="str">
        <f>Daily!D454</f>
        <v/>
      </c>
      <c r="R3" s="357" t="str">
        <f>Daily!D485</f>
        <v/>
      </c>
      <c r="S3" s="357" t="str">
        <f>Daily!D515</f>
        <v/>
      </c>
      <c r="T3" s="357" t="str">
        <f>Daily!D546</f>
        <v/>
      </c>
      <c r="U3" s="357" t="str">
        <f>Daily!D576</f>
        <v/>
      </c>
      <c r="V3" s="349"/>
      <c r="W3" s="356">
        <v>1</v>
      </c>
      <c r="X3" s="357">
        <f>Daily!C29</f>
        <v>0.24825455305211253</v>
      </c>
      <c r="Y3" s="357">
        <f>Daily!C60</f>
        <v>0.34063662232689529</v>
      </c>
      <c r="Z3" s="357">
        <f>Daily!C89</f>
        <v>0.92411704693883201</v>
      </c>
      <c r="AA3" s="357">
        <f>Daily!C120</f>
        <v>1.6167318103592816</v>
      </c>
      <c r="AB3" s="357">
        <f>Daily!C150</f>
        <v>0.1468710709433419</v>
      </c>
      <c r="AC3" s="357">
        <f>Daily!C181</f>
        <v>4.342203995140836</v>
      </c>
      <c r="AD3" s="357">
        <f>Daily!C211</f>
        <v>5.3632519936455187</v>
      </c>
      <c r="AE3" s="357">
        <f>Daily!C242</f>
        <v>4.4242680611832448</v>
      </c>
      <c r="AF3" s="357">
        <f>Daily!C273</f>
        <v>2.5079702328575904</v>
      </c>
      <c r="AG3" s="357">
        <f>Daily!C303</f>
        <v>1.2283871496208394</v>
      </c>
      <c r="AH3" s="357">
        <f>Daily!C334</f>
        <v>1.1745537432415922</v>
      </c>
      <c r="AI3" s="357">
        <f>Daily!C364</f>
        <v>0.35825075999220179</v>
      </c>
      <c r="AJ3" s="357">
        <f>Daily!C395</f>
        <v>0.24825455305211253</v>
      </c>
      <c r="AK3" s="357">
        <f>Daily!C426</f>
        <v>0.34063662232689529</v>
      </c>
      <c r="AL3" s="357">
        <f>Daily!C454</f>
        <v>1.2856834746038537</v>
      </c>
      <c r="AM3" s="357">
        <f>Daily!C485</f>
        <v>0.93869359143232689</v>
      </c>
      <c r="AN3" s="357">
        <f>Daily!C515</f>
        <v>0.12965692950090307</v>
      </c>
      <c r="AO3" s="357">
        <f>Daily!C546</f>
        <v>3.9641089845261237</v>
      </c>
      <c r="AP3" s="357">
        <f>Daily!C576</f>
        <v>5.1603088288052135</v>
      </c>
      <c r="AQ3" s="349"/>
      <c r="AR3" s="356">
        <v>1</v>
      </c>
      <c r="AS3" s="357" t="str">
        <f>IF(ISNA(Daily!E29),"",Daily!E29)</f>
        <v/>
      </c>
      <c r="AT3" s="357" t="str">
        <f>IF(ISNA(Daily!E60),"",Daily!E60)</f>
        <v/>
      </c>
      <c r="AU3" s="357" t="str">
        <f>IF(ISNA(Daily!E89),"",Daily!E89)</f>
        <v/>
      </c>
      <c r="AV3" s="357" t="str">
        <f>IF(ISNA(Daily!E120),"",Daily!E120)</f>
        <v/>
      </c>
      <c r="AW3" s="357">
        <f>IF(ISNA(Daily!E150),"",Daily!E150)</f>
        <v>1.2</v>
      </c>
      <c r="AX3" s="357">
        <f>IF(ISNA(Daily!E181),"",Daily!E181)</f>
        <v>0.48333333333333317</v>
      </c>
      <c r="AY3" s="357">
        <f>IF(ISNA(Daily!E211),"",Daily!E211)</f>
        <v>1.0500000000000007</v>
      </c>
      <c r="AZ3" s="357">
        <f>IF(ISNA(Daily!E242),"",Daily!E242)</f>
        <v>1.0500000000000007</v>
      </c>
      <c r="BA3" s="357">
        <f>IF(ISNA(Daily!E273),"",Daily!E273)</f>
        <v>1.2</v>
      </c>
      <c r="BB3" s="357" t="str">
        <f>IF(ISNA(Daily!E303),"",Daily!E303)</f>
        <v/>
      </c>
      <c r="BC3" s="357" t="str">
        <f>IF(ISNA(Daily!E334),"",Daily!E334)</f>
        <v/>
      </c>
      <c r="BD3" s="357" t="str">
        <f>IF(ISNA(Daily!E364),"",Daily!E364)</f>
        <v/>
      </c>
      <c r="BE3" s="357" t="str">
        <f>IF(ISNA(Daily!E395),"",Daily!E395)</f>
        <v/>
      </c>
      <c r="BF3" s="357" t="str">
        <f>IF(ISNA(Daily!E426),"",Daily!E426)</f>
        <v/>
      </c>
      <c r="BG3" s="357" t="str">
        <f>IF(ISNA(Daily!E454),"",Daily!E454)</f>
        <v/>
      </c>
      <c r="BH3" s="357" t="str">
        <f>IF(ISNA(Daily!E485),"",Daily!E485)</f>
        <v/>
      </c>
      <c r="BI3" s="357" t="str">
        <f>IF(ISNA(Daily!E515),"",Daily!E515)</f>
        <v/>
      </c>
      <c r="BJ3" s="357" t="str">
        <f>IF(ISNA(Daily!E546),"",Daily!E546)</f>
        <v/>
      </c>
      <c r="BK3" s="357" t="str">
        <f>IF(ISNA(Daily!E576),"",Daily!E576)</f>
        <v/>
      </c>
      <c r="BL3" s="349"/>
      <c r="BM3" s="356">
        <v>1</v>
      </c>
      <c r="BN3" s="357" t="str">
        <f>Daily!G29</f>
        <v/>
      </c>
      <c r="BO3" s="357" t="str">
        <f>Daily!G60</f>
        <v/>
      </c>
      <c r="BP3" s="357" t="str">
        <f>Daily!G89</f>
        <v/>
      </c>
      <c r="BQ3" s="357" t="str">
        <f>Daily!G120</f>
        <v/>
      </c>
      <c r="BR3" s="357">
        <f>Daily!G150</f>
        <v>0.17624528513201027</v>
      </c>
      <c r="BS3" s="357">
        <f>Daily!G181</f>
        <v>2.0987319309847368</v>
      </c>
      <c r="BT3" s="357">
        <f>Daily!G211</f>
        <v>5.6314145933277988</v>
      </c>
      <c r="BU3" s="357">
        <f>Daily!G242</f>
        <v>4.64548146424241</v>
      </c>
      <c r="BV3" s="357">
        <f>Daily!G273</f>
        <v>3.0095642794291084</v>
      </c>
      <c r="BW3" s="357" t="str">
        <f>Daily!G303</f>
        <v/>
      </c>
      <c r="BX3" s="357" t="str">
        <f>Daily!G334</f>
        <v/>
      </c>
      <c r="BY3" s="357" t="str">
        <f>Daily!G364</f>
        <v/>
      </c>
      <c r="BZ3" s="357" t="str">
        <f>Daily!G395</f>
        <v/>
      </c>
      <c r="CA3" s="357" t="str">
        <f>Daily!G426</f>
        <v/>
      </c>
      <c r="CB3" s="357" t="str">
        <f>Daily!G454</f>
        <v/>
      </c>
      <c r="CC3" s="357" t="str">
        <f>Daily!G485</f>
        <v/>
      </c>
      <c r="CD3" s="357" t="str">
        <f>Daily!G515</f>
        <v/>
      </c>
      <c r="CE3" s="357" t="str">
        <f>Daily!G546</f>
        <v/>
      </c>
      <c r="CF3" s="357" t="str">
        <f>Daily!G576</f>
        <v/>
      </c>
      <c r="CG3" s="349"/>
      <c r="CH3" s="356">
        <v>1</v>
      </c>
      <c r="CI3" s="358" t="str">
        <f>IF(Daily!I29=0,"",Daily!I29)</f>
        <v/>
      </c>
      <c r="CJ3" s="358" t="str">
        <f>IF(Daily!I60=0,"",Daily!I60)</f>
        <v/>
      </c>
      <c r="CK3" s="358" t="str">
        <f>IF(Daily!I89=0,"",Daily!I89)</f>
        <v/>
      </c>
      <c r="CL3" s="358" t="str">
        <f>IF(Daily!I120=0,"",Daily!I120)</f>
        <v/>
      </c>
      <c r="CM3" s="358" t="str">
        <f>IF(Daily!I1500=0,"",Daily!I150)</f>
        <v/>
      </c>
      <c r="CN3" s="358">
        <f>IF(Daily!I181=0,"",Daily!I181)</f>
        <v>77.463089848068407</v>
      </c>
      <c r="CO3" s="358">
        <f>IF(Daily!I211=0,"",Daily!I211)</f>
        <v>181.71072438286112</v>
      </c>
      <c r="CP3" s="358">
        <f>IF(Daily!I242=0,"",Daily!I242)</f>
        <v>325.52020417455321</v>
      </c>
      <c r="CQ3" s="358">
        <f>IF(Daily!I273=0,"",Daily!I273)</f>
        <v>440.13784304245155</v>
      </c>
      <c r="CR3" s="358" t="str">
        <f>IF(Daily!I303=0,"",Daily!I303)</f>
        <v/>
      </c>
      <c r="CS3" s="358" t="str">
        <f>IF(Daily!I334=0,"",Daily!I334)</f>
        <v/>
      </c>
      <c r="CT3" s="358" t="str">
        <f>IF(Daily!I364=0,"",Daily!I364)</f>
        <v/>
      </c>
      <c r="CU3" s="358" t="str">
        <f>IF(Daily!I395=0,"",Daily!I395)</f>
        <v/>
      </c>
      <c r="CV3" s="358" t="str">
        <f>IF(Daily!I426=0,"",Daily!I426)</f>
        <v/>
      </c>
      <c r="CW3" s="358" t="str">
        <f>IF(Daily!I454=0,"",Daily!I454)</f>
        <v/>
      </c>
      <c r="CX3" s="358" t="str">
        <f>IF(Daily!I485=0,"",Daily!I485)</f>
        <v/>
      </c>
      <c r="CY3" s="358" t="str">
        <f>IF(Daily!I515=0,"",Daily!I515)</f>
        <v/>
      </c>
      <c r="CZ3" s="358" t="str">
        <f>IF(Daily!I546=0,"",Daily!I546)</f>
        <v/>
      </c>
      <c r="DA3" s="358" t="str">
        <f>IF(Daily!I576=0,"",Daily!I576)</f>
        <v/>
      </c>
      <c r="DB3" s="349"/>
      <c r="DC3" s="356">
        <v>1</v>
      </c>
      <c r="DD3" s="357" t="str">
        <f>IF(ISNA(Daily!F29),"",Daily!F29)</f>
        <v/>
      </c>
      <c r="DE3" s="357" t="str">
        <f>IF(ISNA(Daily!F60),"",Daily!F60)</f>
        <v/>
      </c>
      <c r="DF3" s="357" t="str">
        <f>IF(ISNA(Daily!F89),"",Daily!F89)</f>
        <v/>
      </c>
      <c r="DG3" s="357" t="str">
        <f>IF(ISNA(Daily!F120),"",Daily!F120)</f>
        <v/>
      </c>
      <c r="DH3" s="357">
        <f>IF(ISNA(Daily!F150),"",Daily!F150)</f>
        <v>0.8102962140161466</v>
      </c>
      <c r="DI3" s="357">
        <f>IF(ISNA(Daily!F181),"",Daily!F181)</f>
        <v>0.89190261702412565</v>
      </c>
      <c r="DJ3" s="357">
        <f>IF(ISNA(Daily!F211),"",Daily!F211)</f>
        <v>1.0551154230400821</v>
      </c>
      <c r="DK3" s="357">
        <f>IF(ISNA(Daily!F242),"",Daily!F242)</f>
        <v>1.0551154230400821</v>
      </c>
      <c r="DL3" s="357">
        <f>IF(ISNA(Daily!F273),"",Daily!F273)</f>
        <v>0.95903757965283076</v>
      </c>
      <c r="DM3" s="357" t="str">
        <f>IF(ISNA(Daily!F303),"",Daily!F303)</f>
        <v/>
      </c>
      <c r="DN3" s="357" t="str">
        <f>IF(ISNA(Daily!F334),"",Daily!F334)</f>
        <v/>
      </c>
      <c r="DO3" s="357" t="str">
        <f>IF(ISNA(Daily!F364),"",Daily!F364)</f>
        <v/>
      </c>
      <c r="DP3" s="357" t="str">
        <f>IF(ISNA(Daily!F395),"",Daily!F395)</f>
        <v/>
      </c>
      <c r="DQ3" s="357" t="str">
        <f>IF(ISNA(Daily!F426),"",Daily!F426)</f>
        <v/>
      </c>
      <c r="DR3" s="357" t="str">
        <f>IF(ISNA(Daily!F454),"",Daily!F454)</f>
        <v/>
      </c>
      <c r="DS3" s="357" t="str">
        <f>IF(ISNA(Daily!F485),"",Daily!F485)</f>
        <v/>
      </c>
      <c r="DT3" s="357" t="str">
        <f>IF(ISNA(Daily!F515),"",Daily!F515)</f>
        <v/>
      </c>
      <c r="DU3" s="357" t="str">
        <f>IF(ISNA(Daily!F546),"",Daily!F546)</f>
        <v/>
      </c>
      <c r="DV3" s="357" t="str">
        <f>IF(ISNA(Daily!F576),"",Daily!G576)</f>
        <v/>
      </c>
      <c r="DW3" s="349"/>
      <c r="DX3" s="356">
        <v>1</v>
      </c>
      <c r="DY3" s="357" t="str">
        <f>Daily!H29</f>
        <v/>
      </c>
      <c r="DZ3" s="357" t="str">
        <f>Daily!H60</f>
        <v/>
      </c>
      <c r="EA3" s="357" t="str">
        <f>Daily!H89</f>
        <v/>
      </c>
      <c r="EB3" s="357" t="str">
        <f>Daily!H120</f>
        <v/>
      </c>
      <c r="EC3" s="357">
        <f>Daily!H150</f>
        <v>0.11900907273388682</v>
      </c>
      <c r="ED3" s="357">
        <f>Daily!H181</f>
        <v>3.8728231069187253</v>
      </c>
      <c r="EE3" s="357">
        <f>Daily!H211</f>
        <v>5.6588498961458553</v>
      </c>
      <c r="EF3" s="357">
        <f>Daily!H242</f>
        <v>4.6681134670180828</v>
      </c>
      <c r="EG3" s="357">
        <f>Daily!H273</f>
        <v>2.4052377019610898</v>
      </c>
      <c r="EH3" s="357" t="str">
        <f>Daily!H303</f>
        <v/>
      </c>
      <c r="EI3" s="357" t="str">
        <f>Daily!H334</f>
        <v/>
      </c>
      <c r="EJ3" s="357" t="str">
        <f>Daily!H364</f>
        <v/>
      </c>
      <c r="EK3" s="357" t="str">
        <f>Daily!H395</f>
        <v/>
      </c>
      <c r="EL3" s="357" t="str">
        <f>Daily!H426</f>
        <v/>
      </c>
      <c r="EM3" s="357" t="str">
        <f>Daily!H454</f>
        <v/>
      </c>
      <c r="EN3" s="357" t="str">
        <f>Daily!H485</f>
        <v/>
      </c>
      <c r="EO3" s="357" t="str">
        <f>Daily!H515</f>
        <v/>
      </c>
      <c r="EP3" s="357" t="str">
        <f>Daily!H546</f>
        <v/>
      </c>
      <c r="EQ3" s="357" t="str">
        <f>Daily!H576</f>
        <v/>
      </c>
      <c r="ER3" s="349"/>
      <c r="ES3" s="356">
        <v>1</v>
      </c>
      <c r="ET3" s="358" t="str">
        <f>IF(Daily!J29=0,"",Daily!J29)</f>
        <v/>
      </c>
      <c r="EU3" s="358" t="str">
        <f>IF(Daily!J60=0,"",Daily!J60)</f>
        <v/>
      </c>
      <c r="EV3" s="358" t="str">
        <f>IF(Daily!J89=0,"",Daily!J89)</f>
        <v/>
      </c>
      <c r="EW3" s="358" t="str">
        <f>IF(Daily!J120=0,"",Daily!J120)</f>
        <v/>
      </c>
      <c r="EX3" s="358">
        <f>IF(Daily!J150=0,"",Daily!J150)</f>
        <v>17.493249849997042</v>
      </c>
      <c r="EY3" s="358">
        <f>IF(Daily!J181=0,"",Daily!J181)</f>
        <v>95.077007898531946</v>
      </c>
      <c r="EZ3" s="358">
        <f>IF(Daily!J211=0,"",Daily!J211)</f>
        <v>221.03303242136559</v>
      </c>
      <c r="FA3" s="358">
        <f>IF(Daily!J242=0,"",Daily!J242)</f>
        <v>364.42368435583666</v>
      </c>
      <c r="FB3" s="358">
        <f>IF(Daily!J273=0,"",Daily!J273)</f>
        <v>479.87877433631434</v>
      </c>
      <c r="FC3" s="358" t="str">
        <f>IF(Daily!J303=0,"",Daily!J303)</f>
        <v/>
      </c>
      <c r="FD3" s="358" t="str">
        <f>IF(Daily!J334=0,"",Daily!J334)</f>
        <v/>
      </c>
      <c r="FE3" s="358" t="str">
        <f>IF(Daily!J364=0,"",Daily!J364)</f>
        <v/>
      </c>
      <c r="FF3" s="358" t="str">
        <f>IF(Daily!J395=0,"",Daily!J395)</f>
        <v/>
      </c>
      <c r="FG3" s="358" t="str">
        <f>IF(Daily!J426=0,"",Daily!J426)</f>
        <v/>
      </c>
      <c r="FH3" s="358" t="str">
        <f>IF(Daily!J454=0,"",Daily!J454)</f>
        <v/>
      </c>
      <c r="FI3" s="358" t="str">
        <f>IF(Daily!J485=0,"",Daily!J485)</f>
        <v/>
      </c>
      <c r="FJ3" s="358" t="str">
        <f>IF(Daily!J515=0,"",Daily!J515)</f>
        <v/>
      </c>
      <c r="FK3" s="358" t="str">
        <f>IF(Daily!J546=0,"",Daily!J546)</f>
        <v/>
      </c>
      <c r="FL3" s="358" t="str">
        <f>IF(Daily!J576=0,"",Daily!J576)</f>
        <v/>
      </c>
      <c r="FM3" s="349"/>
    </row>
    <row r="4" spans="1:169">
      <c r="A4" s="349"/>
      <c r="B4" s="356">
        <v>2</v>
      </c>
      <c r="C4" s="357" t="str">
        <f>Daily!D30</f>
        <v/>
      </c>
      <c r="D4" s="357" t="str">
        <f>Daily!D61</f>
        <v/>
      </c>
      <c r="E4" s="357" t="str">
        <f>Daily!D90</f>
        <v/>
      </c>
      <c r="F4" s="357" t="str">
        <f>Daily!D121</f>
        <v/>
      </c>
      <c r="G4" s="357">
        <f>Daily!D151</f>
        <v>1.2</v>
      </c>
      <c r="H4" s="357">
        <f>Daily!D182</f>
        <v>0.31660637515065854</v>
      </c>
      <c r="I4" s="357">
        <f>Daily!D212</f>
        <v>0.17963225456947426</v>
      </c>
      <c r="J4" s="357">
        <f>Daily!D243</f>
        <v>0.23064050518903428</v>
      </c>
      <c r="K4" s="357">
        <f>Daily!D274</f>
        <v>1.164971072166771</v>
      </c>
      <c r="L4" s="357" t="str">
        <f>Daily!D304</f>
        <v/>
      </c>
      <c r="M4" s="357" t="str">
        <f>Daily!D335</f>
        <v/>
      </c>
      <c r="N4" s="357" t="str">
        <f>Daily!D365</f>
        <v/>
      </c>
      <c r="O4" s="357" t="str">
        <f>Daily!D396</f>
        <v/>
      </c>
      <c r="P4" s="357" t="str">
        <f>Daily!D427</f>
        <v/>
      </c>
      <c r="Q4" s="357" t="str">
        <f>Daily!D455</f>
        <v/>
      </c>
      <c r="R4" s="357" t="str">
        <f>Daily!D486</f>
        <v/>
      </c>
      <c r="S4" s="357" t="str">
        <f>Daily!D516</f>
        <v/>
      </c>
      <c r="T4" s="357" t="str">
        <f>Daily!D547</f>
        <v/>
      </c>
      <c r="U4" s="357" t="str">
        <f>Daily!D577</f>
        <v/>
      </c>
      <c r="V4" s="349"/>
      <c r="W4" s="356">
        <v>2</v>
      </c>
      <c r="X4" s="357">
        <f>Daily!C30</f>
        <v>0.26135759193647401</v>
      </c>
      <c r="Y4" s="357">
        <f>Daily!C61</f>
        <v>0.58582927143330044</v>
      </c>
      <c r="Z4" s="357">
        <f>Daily!C90</f>
        <v>1.0608928706242404</v>
      </c>
      <c r="AA4" s="357">
        <f>Daily!C121</f>
        <v>1.8984918973670475</v>
      </c>
      <c r="AB4" s="357">
        <f>Daily!C151</f>
        <v>2.7175793432871416</v>
      </c>
      <c r="AC4" s="357">
        <f>Daily!C182</f>
        <v>3.9718550288769805</v>
      </c>
      <c r="AD4" s="357">
        <f>Daily!C212</f>
        <v>5.5388845439925944</v>
      </c>
      <c r="AE4" s="357">
        <f>Daily!C243</f>
        <v>3.118024395994059</v>
      </c>
      <c r="AF4" s="357">
        <f>Daily!C274</f>
        <v>2.6826089915955298</v>
      </c>
      <c r="AG4" s="357">
        <f>Daily!C304</f>
        <v>1.0207438910208613</v>
      </c>
      <c r="AH4" s="357">
        <f>Daily!C335</f>
        <v>0.64569523710979271</v>
      </c>
      <c r="AI4" s="357">
        <f>Daily!C365</f>
        <v>0.26485704367748769</v>
      </c>
      <c r="AJ4" s="357">
        <f>Daily!C396</f>
        <v>0.26135759193647401</v>
      </c>
      <c r="AK4" s="357">
        <f>Daily!C427</f>
        <v>0.58582927143330044</v>
      </c>
      <c r="AL4" s="357">
        <f>Daily!C455</f>
        <v>0.92411704693883201</v>
      </c>
      <c r="AM4" s="357">
        <f>Daily!C486</f>
        <v>1.6167318103592816</v>
      </c>
      <c r="AN4" s="357">
        <f>Daily!C516</f>
        <v>0.1468710709433419</v>
      </c>
      <c r="AO4" s="357">
        <f>Daily!C547</f>
        <v>4.342203995140836</v>
      </c>
      <c r="AP4" s="357">
        <f>Daily!C577</f>
        <v>5.3632519936455187</v>
      </c>
      <c r="AQ4" s="349"/>
      <c r="AR4" s="356">
        <v>2</v>
      </c>
      <c r="AS4" s="357" t="str">
        <f>IF(ISNA(Daily!E30),"",Daily!E30)</f>
        <v/>
      </c>
      <c r="AT4" s="357" t="str">
        <f>IF(ISNA(Daily!E61),"",Daily!E61)</f>
        <v/>
      </c>
      <c r="AU4" s="357" t="str">
        <f>IF(ISNA(Daily!E90),"",Daily!E90)</f>
        <v/>
      </c>
      <c r="AV4" s="357" t="str">
        <f>IF(ISNA(Daily!E121),"",Daily!E121)</f>
        <v/>
      </c>
      <c r="AW4" s="357">
        <f>IF(ISNA(Daily!E151),"",Daily!E151)</f>
        <v>1.2</v>
      </c>
      <c r="AX4" s="357">
        <f>IF(ISNA(Daily!E182),"",Daily!E182)</f>
        <v>0.50357142857142845</v>
      </c>
      <c r="AY4" s="357">
        <f>IF(ISNA(Daily!E212),"",Daily!E212)</f>
        <v>1.0500000000000007</v>
      </c>
      <c r="AZ4" s="357">
        <f>IF(ISNA(Daily!E243),"",Daily!E243)</f>
        <v>1.0500000000000007</v>
      </c>
      <c r="BA4" s="357">
        <f>IF(ISNA(Daily!E274),"",Daily!E274)</f>
        <v>1.164971072166771</v>
      </c>
      <c r="BB4" s="357" t="str">
        <f>IF(ISNA(Daily!E304),"",Daily!E304)</f>
        <v/>
      </c>
      <c r="BC4" s="357" t="str">
        <f>IF(ISNA(Daily!E335),"",Daily!E335)</f>
        <v/>
      </c>
      <c r="BD4" s="357" t="str">
        <f>IF(ISNA(Daily!E365),"",Daily!E365)</f>
        <v/>
      </c>
      <c r="BE4" s="357" t="str">
        <f>IF(ISNA(Daily!E396),"",Daily!E396)</f>
        <v/>
      </c>
      <c r="BF4" s="357" t="str">
        <f>IF(ISNA(Daily!E427),"",Daily!E427)</f>
        <v/>
      </c>
      <c r="BG4" s="357" t="str">
        <f>IF(ISNA(Daily!E455),"",Daily!E455)</f>
        <v/>
      </c>
      <c r="BH4" s="357" t="str">
        <f>IF(ISNA(Daily!E486),"",Daily!E486)</f>
        <v/>
      </c>
      <c r="BI4" s="357" t="str">
        <f>IF(ISNA(Daily!E516),"",Daily!E516)</f>
        <v/>
      </c>
      <c r="BJ4" s="357" t="str">
        <f>IF(ISNA(Daily!E547),"",Daily!E547)</f>
        <v/>
      </c>
      <c r="BK4" s="357" t="str">
        <f>IF(ISNA(Daily!E577),"",Daily!E577)</f>
        <v/>
      </c>
      <c r="BL4" s="349"/>
      <c r="BM4" s="356">
        <v>2</v>
      </c>
      <c r="BN4" s="357" t="str">
        <f>Daily!G30</f>
        <v/>
      </c>
      <c r="BO4" s="357" t="str">
        <f>Daily!G61</f>
        <v/>
      </c>
      <c r="BP4" s="357" t="str">
        <f>Daily!G90</f>
        <v/>
      </c>
      <c r="BQ4" s="357" t="str">
        <f>Daily!G121</f>
        <v/>
      </c>
      <c r="BR4" s="357">
        <f>Daily!G151</f>
        <v>3.26109521194457</v>
      </c>
      <c r="BS4" s="357">
        <f>Daily!G182</f>
        <v>2.0001127109701931</v>
      </c>
      <c r="BT4" s="357">
        <f>Daily!G212</f>
        <v>5.8158287711922281</v>
      </c>
      <c r="BU4" s="357">
        <f>Daily!G243</f>
        <v>3.2739256157937642</v>
      </c>
      <c r="BV4" s="357">
        <f>Daily!G274</f>
        <v>3.1251618731432647</v>
      </c>
      <c r="BW4" s="357" t="str">
        <f>Daily!G304</f>
        <v/>
      </c>
      <c r="BX4" s="357" t="str">
        <f>Daily!G335</f>
        <v/>
      </c>
      <c r="BY4" s="357" t="str">
        <f>Daily!G365</f>
        <v/>
      </c>
      <c r="BZ4" s="357" t="str">
        <f>Daily!G396</f>
        <v/>
      </c>
      <c r="CA4" s="357" t="str">
        <f>Daily!G427</f>
        <v/>
      </c>
      <c r="CB4" s="357" t="str">
        <f>Daily!G455</f>
        <v/>
      </c>
      <c r="CC4" s="357" t="str">
        <f>Daily!G486</f>
        <v/>
      </c>
      <c r="CD4" s="357" t="str">
        <f>Daily!G516</f>
        <v/>
      </c>
      <c r="CE4" s="357" t="str">
        <f>Daily!G547</f>
        <v/>
      </c>
      <c r="CF4" s="357" t="str">
        <f>Daily!G577</f>
        <v/>
      </c>
      <c r="CG4" s="349"/>
      <c r="CH4" s="356">
        <v>2</v>
      </c>
      <c r="CI4" s="358" t="str">
        <f>IF(Daily!I30=0,"",Daily!I30)</f>
        <v/>
      </c>
      <c r="CJ4" s="358" t="str">
        <f>IF(Daily!I61=0,"",Daily!I61)</f>
        <v/>
      </c>
      <c r="CK4" s="358" t="str">
        <f>IF(Daily!I90=0,"",Daily!I90)</f>
        <v/>
      </c>
      <c r="CL4" s="358" t="str">
        <f>IF(Daily!I121=0,"",Daily!I121)</f>
        <v/>
      </c>
      <c r="CM4" s="358" t="str">
        <f>IF(Daily!I1501=0,"",Daily!I151)</f>
        <v/>
      </c>
      <c r="CN4" s="358">
        <f>IF(Daily!I182=0,"",Daily!I182)</f>
        <v>79.463202559038606</v>
      </c>
      <c r="CO4" s="358">
        <f>IF(Daily!I212=0,"",Daily!I212)</f>
        <v>187.52655315405335</v>
      </c>
      <c r="CP4" s="358">
        <f>IF(Daily!I243=0,"",Daily!I243)</f>
        <v>328.79412979034697</v>
      </c>
      <c r="CQ4" s="358">
        <f>IF(Daily!I274=0,"",Daily!I274)</f>
        <v>443.26300491559482</v>
      </c>
      <c r="CR4" s="358" t="str">
        <f>IF(Daily!I304=0,"",Daily!I304)</f>
        <v/>
      </c>
      <c r="CS4" s="358" t="str">
        <f>IF(Daily!I335=0,"",Daily!I335)</f>
        <v/>
      </c>
      <c r="CT4" s="358" t="str">
        <f>IF(Daily!I365=0,"",Daily!I365)</f>
        <v/>
      </c>
      <c r="CU4" s="358" t="str">
        <f>IF(Daily!I396=0,"",Daily!I396)</f>
        <v/>
      </c>
      <c r="CV4" s="358" t="str">
        <f>IF(Daily!I427=0,"",Daily!I427)</f>
        <v/>
      </c>
      <c r="CW4" s="358" t="str">
        <f>IF(Daily!I455=0,"",Daily!I455)</f>
        <v/>
      </c>
      <c r="CX4" s="358" t="str">
        <f>IF(Daily!I486=0,"",Daily!I486)</f>
        <v/>
      </c>
      <c r="CY4" s="358" t="str">
        <f>IF(Daily!I516=0,"",Daily!I516)</f>
        <v/>
      </c>
      <c r="CZ4" s="358" t="str">
        <f>IF(Daily!I547=0,"",Daily!I547)</f>
        <v/>
      </c>
      <c r="DA4" s="358" t="str">
        <f>IF(Daily!I577=0,"",Daily!I577)</f>
        <v/>
      </c>
      <c r="DB4" s="349"/>
      <c r="DC4" s="356">
        <v>2</v>
      </c>
      <c r="DD4" s="357" t="str">
        <f>IF(ISNA(Daily!F30),"",Daily!F30)</f>
        <v/>
      </c>
      <c r="DE4" s="357" t="str">
        <f>IF(ISNA(Daily!F61),"",Daily!F61)</f>
        <v/>
      </c>
      <c r="DF4" s="357" t="str">
        <f>IF(ISNA(Daily!F90),"",Daily!F90)</f>
        <v/>
      </c>
      <c r="DG4" s="357" t="str">
        <f>IF(ISNA(Daily!F121),"",Daily!F121)</f>
        <v/>
      </c>
      <c r="DH4" s="357">
        <f>IF(ISNA(Daily!F151),"",Daily!F151)</f>
        <v>0.8102962140161466</v>
      </c>
      <c r="DI4" s="357">
        <f>IF(ISNA(Daily!F182),"",Daily!F182)</f>
        <v>0.89773164581040987</v>
      </c>
      <c r="DJ4" s="357">
        <f>IF(ISNA(Daily!F212),"",Daily!F212)</f>
        <v>1.0551154230400821</v>
      </c>
      <c r="DK4" s="357">
        <f>IF(ISNA(Daily!F243),"",Daily!F243)</f>
        <v>1.0551154230400821</v>
      </c>
      <c r="DL4" s="357">
        <f>IF(ISNA(Daily!F274),"",Daily!F274)</f>
        <v>0.95164697631534989</v>
      </c>
      <c r="DM4" s="357" t="str">
        <f>IF(ISNA(Daily!F304),"",Daily!F304)</f>
        <v/>
      </c>
      <c r="DN4" s="357" t="str">
        <f>IF(ISNA(Daily!F335),"",Daily!F335)</f>
        <v/>
      </c>
      <c r="DO4" s="357" t="str">
        <f>IF(ISNA(Daily!F365),"",Daily!F365)</f>
        <v/>
      </c>
      <c r="DP4" s="357" t="str">
        <f>IF(ISNA(Daily!F396),"",Daily!F396)</f>
        <v/>
      </c>
      <c r="DQ4" s="357" t="str">
        <f>IF(ISNA(Daily!F427),"",Daily!F427)</f>
        <v/>
      </c>
      <c r="DR4" s="357" t="str">
        <f>IF(ISNA(Daily!F456),"",Daily!F456)</f>
        <v/>
      </c>
      <c r="DS4" s="357" t="str">
        <f>IF(ISNA(Daily!F486),"",Daily!F486)</f>
        <v/>
      </c>
      <c r="DT4" s="357" t="str">
        <f>IF(ISNA(Daily!F516),"",Daily!F516)</f>
        <v/>
      </c>
      <c r="DU4" s="357" t="str">
        <f>IF(ISNA(Daily!F547),"",Daily!F547)</f>
        <v/>
      </c>
      <c r="DV4" s="357" t="str">
        <f>IF(ISNA(Daily!F577),"",Daily!G577)</f>
        <v/>
      </c>
      <c r="DW4" s="349"/>
      <c r="DX4" s="356">
        <v>2</v>
      </c>
      <c r="DY4" s="357" t="str">
        <f>Daily!H30</f>
        <v/>
      </c>
      <c r="DZ4" s="357" t="str">
        <f>Daily!H61</f>
        <v/>
      </c>
      <c r="EA4" s="357" t="str">
        <f>Daily!H90</f>
        <v/>
      </c>
      <c r="EB4" s="357" t="str">
        <f>Daily!H121</f>
        <v/>
      </c>
      <c r="EC4" s="357">
        <f>Daily!H151</f>
        <v>2.2020442531540567</v>
      </c>
      <c r="ED4" s="357">
        <f>Daily!H182</f>
        <v>3.5656599519940846</v>
      </c>
      <c r="EE4" s="357">
        <f>Daily!H212</f>
        <v>5.8441625088049189</v>
      </c>
      <c r="EF4" s="357">
        <f>Daily!H243</f>
        <v>3.2898756296285678</v>
      </c>
      <c r="EG4" s="357">
        <f>Daily!H274</f>
        <v>2.5528967354882557</v>
      </c>
      <c r="EH4" s="357" t="str">
        <f>Daily!H304</f>
        <v/>
      </c>
      <c r="EI4" s="357" t="str">
        <f>Daily!H335</f>
        <v/>
      </c>
      <c r="EJ4" s="357" t="str">
        <f>Daily!H365</f>
        <v/>
      </c>
      <c r="EK4" s="357" t="str">
        <f>Daily!H396</f>
        <v/>
      </c>
      <c r="EL4" s="357" t="str">
        <f>Daily!H427</f>
        <v/>
      </c>
      <c r="EM4" s="357" t="str">
        <f>Daily!H455</f>
        <v/>
      </c>
      <c r="EN4" s="357" t="str">
        <f>Daily!H486</f>
        <v/>
      </c>
      <c r="EO4" s="357" t="str">
        <f>Daily!H516</f>
        <v/>
      </c>
      <c r="EP4" s="357" t="str">
        <f>Daily!H547</f>
        <v/>
      </c>
      <c r="EQ4" s="357" t="str">
        <f>Daily!H577</f>
        <v/>
      </c>
      <c r="ER4" s="349"/>
      <c r="ES4" s="356">
        <v>2</v>
      </c>
      <c r="ET4" s="358" t="str">
        <f>IF(Daily!J30=0,"",Daily!J30)</f>
        <v/>
      </c>
      <c r="EU4" s="358" t="str">
        <f>IF(Daily!J61=0,"",Daily!J61)</f>
        <v/>
      </c>
      <c r="EV4" s="358" t="str">
        <f>IF(Daily!J90=0,"",Daily!J90)</f>
        <v/>
      </c>
      <c r="EW4" s="358" t="str">
        <f>IF(Daily!J121=0,"",Daily!J121)</f>
        <v/>
      </c>
      <c r="EX4" s="358">
        <f>IF(Daily!J151=0,"",Daily!J151)</f>
        <v>19.695294103151099</v>
      </c>
      <c r="EY4" s="358">
        <f>IF(Daily!J182=0,"",Daily!J182)</f>
        <v>98.642667850526024</v>
      </c>
      <c r="EZ4" s="358">
        <f>IF(Daily!J212=0,"",Daily!J212)</f>
        <v>226.8771949301705</v>
      </c>
      <c r="FA4" s="358">
        <f>IF(Daily!J243=0,"",Daily!J243)</f>
        <v>367.71355998546522</v>
      </c>
      <c r="FB4" s="358">
        <f>IF(Daily!J274=0,"",Daily!J274)</f>
        <v>482.43167107180261</v>
      </c>
      <c r="FC4" s="358" t="str">
        <f>IF(Daily!J304=0,"",Daily!J304)</f>
        <v/>
      </c>
      <c r="FD4" s="358" t="str">
        <f>IF(Daily!J335=0,"",Daily!J335)</f>
        <v/>
      </c>
      <c r="FE4" s="358" t="str">
        <f>IF(Daily!J365=0,"",Daily!J365)</f>
        <v/>
      </c>
      <c r="FF4" s="358" t="str">
        <f>IF(Daily!J396=0,"",Daily!J396)</f>
        <v/>
      </c>
      <c r="FG4" s="358" t="str">
        <f>IF(Daily!J427=0,"",Daily!J427)</f>
        <v/>
      </c>
      <c r="FH4" s="358" t="str">
        <f>IF(Daily!J455=0,"",Daily!J455)</f>
        <v/>
      </c>
      <c r="FI4" s="358" t="str">
        <f>IF(Daily!J486=0,"",Daily!J486)</f>
        <v/>
      </c>
      <c r="FJ4" s="358" t="str">
        <f>IF(Daily!J516=0,"",Daily!J516)</f>
        <v/>
      </c>
      <c r="FK4" s="358" t="str">
        <f>IF(Daily!J547=0,"",Daily!J547)</f>
        <v/>
      </c>
      <c r="FL4" s="358" t="str">
        <f>IF(Daily!J577=0,"",Daily!J577)</f>
        <v/>
      </c>
      <c r="FM4" s="349"/>
    </row>
    <row r="5" spans="1:169">
      <c r="A5" s="349"/>
      <c r="B5" s="356">
        <v>3</v>
      </c>
      <c r="C5" s="357" t="str">
        <f>Daily!D31</f>
        <v/>
      </c>
      <c r="D5" s="357" t="str">
        <f>Daily!D62</f>
        <v/>
      </c>
      <c r="E5" s="357" t="str">
        <f>Daily!D91</f>
        <v/>
      </c>
      <c r="F5" s="357" t="str">
        <f>Daily!D122</f>
        <v/>
      </c>
      <c r="G5" s="357">
        <f>Daily!D152</f>
        <v>1.0668798638098937</v>
      </c>
      <c r="H5" s="357">
        <f>Daily!D183</f>
        <v>0.30525969344097004</v>
      </c>
      <c r="I5" s="357">
        <f>Daily!D213</f>
        <v>0.17727146722900947</v>
      </c>
      <c r="J5" s="357">
        <f>Daily!D244</f>
        <v>0.22625898281538345</v>
      </c>
      <c r="K5" s="357">
        <f>Daily!D275</f>
        <v>1.2</v>
      </c>
      <c r="L5" s="357" t="str">
        <f>Daily!D305</f>
        <v/>
      </c>
      <c r="M5" s="357" t="str">
        <f>Daily!D336</f>
        <v/>
      </c>
      <c r="N5" s="357" t="str">
        <f>Daily!D366</f>
        <v/>
      </c>
      <c r="O5" s="357" t="str">
        <f>Daily!D397</f>
        <v/>
      </c>
      <c r="P5" s="357" t="str">
        <f>Daily!D428</f>
        <v/>
      </c>
      <c r="Q5" s="357" t="str">
        <f>Daily!D456</f>
        <v/>
      </c>
      <c r="R5" s="357" t="str">
        <f>Daily!D487</f>
        <v/>
      </c>
      <c r="S5" s="357" t="str">
        <f>Daily!D517</f>
        <v/>
      </c>
      <c r="T5" s="357" t="str">
        <f>Daily!D548</f>
        <v/>
      </c>
      <c r="U5" s="357" t="str">
        <f>Daily!D578</f>
        <v/>
      </c>
      <c r="V5" s="349"/>
      <c r="W5" s="356">
        <v>3</v>
      </c>
      <c r="X5" s="357">
        <f>Daily!C31</f>
        <v>0.24892768940826782</v>
      </c>
      <c r="Y5" s="357">
        <f>Daily!C62</f>
        <v>0.43557071163111061</v>
      </c>
      <c r="Z5" s="357">
        <f>Daily!C91</f>
        <v>0.96808272715190891</v>
      </c>
      <c r="AA5" s="357">
        <f>Daily!C122</f>
        <v>2.1128725013730758</v>
      </c>
      <c r="AB5" s="357">
        <f>Daily!C152</f>
        <v>3.2908053176774832</v>
      </c>
      <c r="AC5" s="357">
        <f>Daily!C183</f>
        <v>4.7508185916955172</v>
      </c>
      <c r="AD5" s="357">
        <f>Daily!C213</f>
        <v>5.0489004426417008</v>
      </c>
      <c r="AE5" s="357">
        <f>Daily!C244</f>
        <v>4.5357482562597031</v>
      </c>
      <c r="AF5" s="357">
        <f>Daily!C275</f>
        <v>2.8397308044820977</v>
      </c>
      <c r="AG5" s="357">
        <f>Daily!C305</f>
        <v>1.6491328487668226</v>
      </c>
      <c r="AH5" s="357">
        <f>Daily!C336</f>
        <v>0.5802325534970274</v>
      </c>
      <c r="AI5" s="357">
        <f>Daily!C366</f>
        <v>0.30545285076975481</v>
      </c>
      <c r="AJ5" s="357">
        <f>Daily!C397</f>
        <v>0.24892768940826782</v>
      </c>
      <c r="AK5" s="357">
        <f>Daily!C428</f>
        <v>0.43557071163111061</v>
      </c>
      <c r="AL5" s="357">
        <f>Daily!C456</f>
        <v>1.0608928706242404</v>
      </c>
      <c r="AM5" s="357">
        <f>Daily!C487</f>
        <v>1.8984918973670475</v>
      </c>
      <c r="AN5" s="357">
        <f>Daily!C517</f>
        <v>2.7175793432871416</v>
      </c>
      <c r="AO5" s="357">
        <f>Daily!C548</f>
        <v>3.9718550288769805</v>
      </c>
      <c r="AP5" s="357">
        <f>Daily!C578</f>
        <v>5.5388845439925944</v>
      </c>
      <c r="AQ5" s="349"/>
      <c r="AR5" s="356">
        <v>3</v>
      </c>
      <c r="AS5" s="357" t="str">
        <f>IF(ISNA(Daily!E31),"",Daily!E31)</f>
        <v/>
      </c>
      <c r="AT5" s="357" t="str">
        <f>IF(ISNA(Daily!E62),"",Daily!E62)</f>
        <v/>
      </c>
      <c r="AU5" s="357" t="str">
        <f>IF(ISNA(Daily!E91),"",Daily!E91)</f>
        <v/>
      </c>
      <c r="AV5" s="357" t="str">
        <f>IF(ISNA(Daily!E122),"",Daily!E122)</f>
        <v/>
      </c>
      <c r="AW5" s="357">
        <f>IF(ISNA(Daily!E152),"",Daily!E152)</f>
        <v>1.0668798638098937</v>
      </c>
      <c r="AX5" s="357">
        <f>IF(ISNA(Daily!E183),"",Daily!E183)</f>
        <v>0.52380952380952372</v>
      </c>
      <c r="AY5" s="357">
        <f>IF(ISNA(Daily!E213),"",Daily!E213)</f>
        <v>1.0500000000000007</v>
      </c>
      <c r="AZ5" s="357">
        <f>IF(ISNA(Daily!E244),"",Daily!E244)</f>
        <v>1.0500000000000007</v>
      </c>
      <c r="BA5" s="357">
        <f>IF(ISNA(Daily!E275),"",Daily!E275)</f>
        <v>1.2</v>
      </c>
      <c r="BB5" s="357" t="str">
        <f>IF(ISNA(Daily!E305),"",Daily!E305)</f>
        <v/>
      </c>
      <c r="BC5" s="357" t="str">
        <f>IF(ISNA(Daily!E336),"",Daily!E336)</f>
        <v/>
      </c>
      <c r="BD5" s="357" t="str">
        <f>IF(ISNA(Daily!E366),"",Daily!E366)</f>
        <v/>
      </c>
      <c r="BE5" s="357" t="str">
        <f>IF(ISNA(Daily!E397),"",Daily!E397)</f>
        <v/>
      </c>
      <c r="BF5" s="357" t="str">
        <f>IF(ISNA(Daily!E428),"",Daily!E428)</f>
        <v/>
      </c>
      <c r="BG5" s="357" t="str">
        <f>IF(ISNA(Daily!E456),"",Daily!E456)</f>
        <v/>
      </c>
      <c r="BH5" s="357" t="str">
        <f>IF(ISNA(Daily!E487),"",Daily!E487)</f>
        <v/>
      </c>
      <c r="BI5" s="357" t="str">
        <f>IF(ISNA(Daily!E517),"",Daily!E517)</f>
        <v/>
      </c>
      <c r="BJ5" s="357" t="str">
        <f>IF(ISNA(Daily!E548),"",Daily!E548)</f>
        <v/>
      </c>
      <c r="BK5" s="357" t="str">
        <f>IF(ISNA(Daily!E578),"",Daily!E578)</f>
        <v/>
      </c>
      <c r="BL5" s="349"/>
      <c r="BM5" s="356">
        <v>3</v>
      </c>
      <c r="BN5" s="357" t="str">
        <f>Daily!G31</f>
        <v/>
      </c>
      <c r="BO5" s="357" t="str">
        <f>Daily!G62</f>
        <v/>
      </c>
      <c r="BP5" s="357" t="str">
        <f>Daily!G91</f>
        <v/>
      </c>
      <c r="BQ5" s="357" t="str">
        <f>Daily!G122</f>
        <v/>
      </c>
      <c r="BR5" s="357">
        <f>Daily!G152</f>
        <v>3.5108939291486272</v>
      </c>
      <c r="BS5" s="357">
        <f>Daily!G183</f>
        <v>2.4885240242214608</v>
      </c>
      <c r="BT5" s="357">
        <f>Daily!G213</f>
        <v>5.3013454647737897</v>
      </c>
      <c r="BU5" s="357">
        <f>Daily!G244</f>
        <v>4.7625356690726912</v>
      </c>
      <c r="BV5" s="357">
        <f>Daily!G275</f>
        <v>3.4076769653785171</v>
      </c>
      <c r="BW5" s="357" t="str">
        <f>Daily!G305</f>
        <v/>
      </c>
      <c r="BX5" s="357" t="str">
        <f>Daily!G336</f>
        <v/>
      </c>
      <c r="BY5" s="357" t="str">
        <f>Daily!G366</f>
        <v/>
      </c>
      <c r="BZ5" s="357" t="str">
        <f>Daily!G397</f>
        <v/>
      </c>
      <c r="CA5" s="357" t="str">
        <f>Daily!G428</f>
        <v/>
      </c>
      <c r="CB5" s="357" t="str">
        <f>Daily!G456</f>
        <v/>
      </c>
      <c r="CC5" s="357" t="str">
        <f>Daily!G487</f>
        <v/>
      </c>
      <c r="CD5" s="357" t="str">
        <f>Daily!G517</f>
        <v/>
      </c>
      <c r="CE5" s="357" t="str">
        <f>Daily!G548</f>
        <v/>
      </c>
      <c r="CF5" s="357" t="str">
        <f>Daily!G578</f>
        <v/>
      </c>
      <c r="CG5" s="349"/>
      <c r="CH5" s="356">
        <v>3</v>
      </c>
      <c r="CI5" s="358" t="str">
        <f>IF(Daily!I31=0,"",Daily!I31)</f>
        <v/>
      </c>
      <c r="CJ5" s="358" t="str">
        <f>IF(Daily!I62=0,"",Daily!I62)</f>
        <v/>
      </c>
      <c r="CK5" s="358" t="str">
        <f>IF(Daily!I91=0,"",Daily!I91)</f>
        <v/>
      </c>
      <c r="CL5" s="358" t="str">
        <f>IF(Daily!I122=0,"",Daily!I122)</f>
        <v/>
      </c>
      <c r="CM5" s="358" t="str">
        <f>IF(Daily!I1502=0,"",Daily!I152)</f>
        <v/>
      </c>
      <c r="CN5" s="358">
        <f>IF(Daily!I183=0,"",Daily!I183)</f>
        <v>81.951726583260069</v>
      </c>
      <c r="CO5" s="358">
        <f>IF(Daily!I213=0,"",Daily!I213)</f>
        <v>192.82789861882713</v>
      </c>
      <c r="CP5" s="358">
        <f>IF(Daily!I244=0,"",Daily!I244)</f>
        <v>333.55666545941966</v>
      </c>
      <c r="CQ5" s="358">
        <f>IF(Daily!I275=0,"",Daily!I275)</f>
        <v>446.67068188097335</v>
      </c>
      <c r="CR5" s="358" t="str">
        <f>IF(Daily!I305=0,"",Daily!I305)</f>
        <v/>
      </c>
      <c r="CS5" s="358" t="str">
        <f>IF(Daily!I336=0,"",Daily!I336)</f>
        <v/>
      </c>
      <c r="CT5" s="358" t="str">
        <f>IF(Daily!I366=0,"",Daily!I366)</f>
        <v/>
      </c>
      <c r="CU5" s="358" t="str">
        <f>IF(Daily!I397=0,"",Daily!I397)</f>
        <v/>
      </c>
      <c r="CV5" s="358" t="str">
        <f>IF(Daily!I428=0,"",Daily!I428)</f>
        <v/>
      </c>
      <c r="CW5" s="358" t="str">
        <f>IF(Daily!I456=0,"",Daily!I456)</f>
        <v/>
      </c>
      <c r="CX5" s="358" t="str">
        <f>IF(Daily!I487=0,"",Daily!I487)</f>
        <v/>
      </c>
      <c r="CY5" s="358" t="str">
        <f>IF(Daily!I517=0,"",Daily!I517)</f>
        <v/>
      </c>
      <c r="CZ5" s="358" t="str">
        <f>IF(Daily!I548=0,"",Daily!I548)</f>
        <v/>
      </c>
      <c r="DA5" s="358" t="str">
        <f>IF(Daily!I578=0,"",Daily!I578)</f>
        <v/>
      </c>
      <c r="DB5" s="349"/>
      <c r="DC5" s="356">
        <v>3</v>
      </c>
      <c r="DD5" s="357" t="str">
        <f>IF(ISNA(Daily!F31),"",Daily!F31)</f>
        <v/>
      </c>
      <c r="DE5" s="357" t="str">
        <f>IF(ISNA(Daily!F62),"",Daily!F62)</f>
        <v/>
      </c>
      <c r="DF5" s="357" t="str">
        <f>IF(ISNA(Daily!F91),"",Daily!F91)</f>
        <v/>
      </c>
      <c r="DG5" s="357" t="str">
        <f>IF(ISNA(Daily!F122),"",Daily!F122)</f>
        <v/>
      </c>
      <c r="DH5" s="357">
        <f>IF(ISNA(Daily!F152),"",Daily!F152)</f>
        <v>0.8102962140161466</v>
      </c>
      <c r="DI5" s="357">
        <f>IF(ISNA(Daily!F183),"",Daily!F183)</f>
        <v>0.90356067459669409</v>
      </c>
      <c r="DJ5" s="357">
        <f>IF(ISNA(Daily!F213),"",Daily!F213)</f>
        <v>1.0551154230400821</v>
      </c>
      <c r="DK5" s="357">
        <f>IF(ISNA(Daily!F244),"",Daily!F244)</f>
        <v>1.0551154230400821</v>
      </c>
      <c r="DL5" s="357">
        <f>IF(ISNA(Daily!F275),"",Daily!F275)</f>
        <v>0.94425637297786902</v>
      </c>
      <c r="DM5" s="357" t="str">
        <f>IF(ISNA(Daily!F305),"",Daily!F305)</f>
        <v/>
      </c>
      <c r="DN5" s="357" t="str">
        <f>IF(ISNA(Daily!F336),"",Daily!F336)</f>
        <v/>
      </c>
      <c r="DO5" s="357" t="str">
        <f>IF(ISNA(Daily!F366),"",Daily!F366)</f>
        <v/>
      </c>
      <c r="DP5" s="357" t="str">
        <f>IF(ISNA(Daily!F397),"",Daily!F397)</f>
        <v/>
      </c>
      <c r="DQ5" s="357" t="str">
        <f>IF(ISNA(Daily!F428),"",Daily!F428)</f>
        <v/>
      </c>
      <c r="DR5" s="357" t="str">
        <f>IF(ISNA(Daily!F457),"",Daily!F457)</f>
        <v/>
      </c>
      <c r="DS5" s="357" t="str">
        <f>IF(ISNA(Daily!F487),"",Daily!F487)</f>
        <v/>
      </c>
      <c r="DT5" s="357" t="str">
        <f>IF(ISNA(Daily!F517),"",Daily!F517)</f>
        <v/>
      </c>
      <c r="DU5" s="357" t="str">
        <f>IF(ISNA(Daily!F548),"",Daily!F548)</f>
        <v/>
      </c>
      <c r="DV5" s="357" t="str">
        <f>IF(ISNA(Daily!F578),"",Daily!G578)</f>
        <v/>
      </c>
      <c r="DW5" s="349"/>
      <c r="DX5" s="356">
        <v>3</v>
      </c>
      <c r="DY5" s="357" t="str">
        <f>Daily!H31</f>
        <v/>
      </c>
      <c r="DZ5" s="357" t="str">
        <f>Daily!H62</f>
        <v/>
      </c>
      <c r="EA5" s="357" t="str">
        <f>Daily!H91</f>
        <v/>
      </c>
      <c r="EB5" s="357" t="str">
        <f>Daily!H122</f>
        <v/>
      </c>
      <c r="EC5" s="357">
        <f>Daily!H152</f>
        <v>2.6665270899782674</v>
      </c>
      <c r="ED5" s="357">
        <f>Daily!H183</f>
        <v>4.292652851598918</v>
      </c>
      <c r="EE5" s="357">
        <f>Daily!H213</f>
        <v>5.3271727264251556</v>
      </c>
      <c r="EF5" s="357">
        <f>Daily!H244</f>
        <v>4.7857379402067712</v>
      </c>
      <c r="EG5" s="357">
        <f>Daily!H275</f>
        <v>2.6814339096737916</v>
      </c>
      <c r="EH5" s="357" t="str">
        <f>Daily!H305</f>
        <v/>
      </c>
      <c r="EI5" s="357" t="str">
        <f>Daily!H336</f>
        <v/>
      </c>
      <c r="EJ5" s="357" t="str">
        <f>Daily!H366</f>
        <v/>
      </c>
      <c r="EK5" s="357" t="str">
        <f>Daily!H397</f>
        <v/>
      </c>
      <c r="EL5" s="357" t="str">
        <f>Daily!H428</f>
        <v/>
      </c>
      <c r="EM5" s="357" t="str">
        <f>Daily!H456</f>
        <v/>
      </c>
      <c r="EN5" s="357" t="str">
        <f>Daily!H487</f>
        <v/>
      </c>
      <c r="EO5" s="357" t="str">
        <f>Daily!H517</f>
        <v/>
      </c>
      <c r="EP5" s="357" t="str">
        <f>Daily!H548</f>
        <v/>
      </c>
      <c r="EQ5" s="357" t="str">
        <f>Daily!H578</f>
        <v/>
      </c>
      <c r="ER5" s="349"/>
      <c r="ES5" s="356">
        <v>3</v>
      </c>
      <c r="ET5" s="358" t="str">
        <f>IF(Daily!J31=0,"",Daily!J31)</f>
        <v/>
      </c>
      <c r="EU5" s="358" t="str">
        <f>IF(Daily!J62=0,"",Daily!J62)</f>
        <v/>
      </c>
      <c r="EV5" s="358" t="str">
        <f>IF(Daily!J91=0,"",Daily!J91)</f>
        <v/>
      </c>
      <c r="EW5" s="358" t="str">
        <f>IF(Daily!J122=0,"",Daily!J122)</f>
        <v/>
      </c>
      <c r="EX5" s="358">
        <f>IF(Daily!J152=0,"",Daily!J152)</f>
        <v>22.361821193129366</v>
      </c>
      <c r="EY5" s="358">
        <f>IF(Daily!J183=0,"",Daily!J183)</f>
        <v>102.93532070212494</v>
      </c>
      <c r="EZ5" s="358">
        <f>IF(Daily!J213=0,"",Daily!J213)</f>
        <v>232.20436765659565</v>
      </c>
      <c r="FA5" s="358">
        <f>IF(Daily!J244=0,"",Daily!J244)</f>
        <v>372.49929792567201</v>
      </c>
      <c r="FB5" s="358">
        <f>IF(Daily!J275=0,"",Daily!J275)</f>
        <v>485.1131049814764</v>
      </c>
      <c r="FC5" s="358" t="str">
        <f>IF(Daily!J305=0,"",Daily!J305)</f>
        <v/>
      </c>
      <c r="FD5" s="358" t="str">
        <f>IF(Daily!J336=0,"",Daily!J336)</f>
        <v/>
      </c>
      <c r="FE5" s="358" t="str">
        <f>IF(Daily!J366=0,"",Daily!J366)</f>
        <v/>
      </c>
      <c r="FF5" s="358" t="str">
        <f>IF(Daily!J397=0,"",Daily!J397)</f>
        <v/>
      </c>
      <c r="FG5" s="358" t="str">
        <f>IF(Daily!J428=0,"",Daily!J428)</f>
        <v/>
      </c>
      <c r="FH5" s="358" t="str">
        <f>IF(Daily!J456=0,"",Daily!J456)</f>
        <v/>
      </c>
      <c r="FI5" s="358" t="str">
        <f>IF(Daily!J487=0,"",Daily!J487)</f>
        <v/>
      </c>
      <c r="FJ5" s="358" t="str">
        <f>IF(Daily!J517=0,"",Daily!J517)</f>
        <v/>
      </c>
      <c r="FK5" s="358" t="str">
        <f>IF(Daily!J548=0,"",Daily!J548)</f>
        <v/>
      </c>
      <c r="FL5" s="358" t="str">
        <f>IF(Daily!J578=0,"",Daily!J578)</f>
        <v/>
      </c>
      <c r="FM5" s="349"/>
    </row>
    <row r="6" spans="1:169">
      <c r="A6" s="349"/>
      <c r="B6" s="356">
        <v>4</v>
      </c>
      <c r="C6" s="357" t="str">
        <f>Daily!D32</f>
        <v/>
      </c>
      <c r="D6" s="357" t="str">
        <f>Daily!D63</f>
        <v/>
      </c>
      <c r="E6" s="357" t="str">
        <f>Daily!D92</f>
        <v/>
      </c>
      <c r="F6" s="357" t="str">
        <f>Daily!D123</f>
        <v/>
      </c>
      <c r="G6" s="357">
        <f>Daily!D153</f>
        <v>0.92347896741995372</v>
      </c>
      <c r="H6" s="357">
        <f>Daily!D184</f>
        <v>0.29673005456743906</v>
      </c>
      <c r="I6" s="357">
        <f>Daily!D214</f>
        <v>0.1749408467502018</v>
      </c>
      <c r="J6" s="357">
        <f>Daily!D245</f>
        <v>0.22240886497661472</v>
      </c>
      <c r="K6" s="357">
        <f>Daily!D276</f>
        <v>1.2</v>
      </c>
      <c r="L6" s="357" t="str">
        <f>Daily!D306</f>
        <v/>
      </c>
      <c r="M6" s="357" t="str">
        <f>Daily!D337</f>
        <v/>
      </c>
      <c r="N6" s="357" t="str">
        <f>Daily!D367</f>
        <v/>
      </c>
      <c r="O6" s="357" t="str">
        <f>Daily!D398</f>
        <v/>
      </c>
      <c r="P6" s="357" t="str">
        <f>Daily!D429</f>
        <v/>
      </c>
      <c r="Q6" s="357" t="str">
        <f>Daily!D457</f>
        <v/>
      </c>
      <c r="R6" s="357" t="str">
        <f>Daily!D488</f>
        <v/>
      </c>
      <c r="S6" s="357" t="str">
        <f>Daily!D518</f>
        <v/>
      </c>
      <c r="T6" s="357" t="str">
        <f>Daily!D549</f>
        <v/>
      </c>
      <c r="U6" s="357" t="str">
        <f>Daily!D579</f>
        <v/>
      </c>
      <c r="V6" s="349"/>
      <c r="W6" s="356">
        <v>4</v>
      </c>
      <c r="X6" s="357">
        <f>Daily!C32</f>
        <v>0.15123086696486165</v>
      </c>
      <c r="Y6" s="357">
        <f>Daily!C63</f>
        <v>0.29668482018556935</v>
      </c>
      <c r="Z6" s="357">
        <f>Daily!C92</f>
        <v>0.98359335507564682</v>
      </c>
      <c r="AA6" s="357">
        <f>Daily!C123</f>
        <v>0.44427184411836929</v>
      </c>
      <c r="AB6" s="357">
        <f>Daily!C153</f>
        <v>1.9868260661321759</v>
      </c>
      <c r="AC6" s="357">
        <f>Daily!C184</f>
        <v>3.9279677078967485</v>
      </c>
      <c r="AD6" s="357">
        <f>Daily!C214</f>
        <v>5.1819685613911384</v>
      </c>
      <c r="AE6" s="357">
        <f>Daily!C245</f>
        <v>4.20416831576504</v>
      </c>
      <c r="AF6" s="357">
        <f>Daily!C276</f>
        <v>2.7938136612243123</v>
      </c>
      <c r="AG6" s="357">
        <f>Daily!C306</f>
        <v>1.7470272988959599</v>
      </c>
      <c r="AH6" s="357">
        <f>Daily!C337</f>
        <v>0.68650360193677984</v>
      </c>
      <c r="AI6" s="357">
        <f>Daily!C367</f>
        <v>0.23728039005273585</v>
      </c>
      <c r="AJ6" s="357">
        <f>Daily!C398</f>
        <v>0.15123086696486165</v>
      </c>
      <c r="AK6" s="357">
        <f>Daily!C429</f>
        <v>0.29668482018556935</v>
      </c>
      <c r="AL6" s="357">
        <f>Daily!C457</f>
        <v>0.96808272715190891</v>
      </c>
      <c r="AM6" s="357">
        <f>Daily!C488</f>
        <v>2.1128725013730758</v>
      </c>
      <c r="AN6" s="357">
        <f>Daily!C518</f>
        <v>3.2908053176774832</v>
      </c>
      <c r="AO6" s="357">
        <f>Daily!C549</f>
        <v>4.7508185916955172</v>
      </c>
      <c r="AP6" s="357">
        <f>Daily!C579</f>
        <v>5.0489004426417008</v>
      </c>
      <c r="AQ6" s="349"/>
      <c r="AR6" s="356">
        <v>4</v>
      </c>
      <c r="AS6" s="357" t="str">
        <f>IF(ISNA(Daily!E32),"",Daily!E32)</f>
        <v/>
      </c>
      <c r="AT6" s="357" t="str">
        <f>IF(ISNA(Daily!E63),"",Daily!E63)</f>
        <v/>
      </c>
      <c r="AU6" s="357" t="str">
        <f>IF(ISNA(Daily!E92),"",Daily!E92)</f>
        <v/>
      </c>
      <c r="AV6" s="357" t="str">
        <f>IF(ISNA(Daily!E123),"",Daily!E123)</f>
        <v/>
      </c>
      <c r="AW6" s="357">
        <f>IF(ISNA(Daily!E153),"",Daily!E153)</f>
        <v>0.92347896741995372</v>
      </c>
      <c r="AX6" s="357">
        <f>IF(ISNA(Daily!E184),"",Daily!E184)</f>
        <v>0.544047619047619</v>
      </c>
      <c r="AY6" s="357">
        <f>IF(ISNA(Daily!E214),"",Daily!E214)</f>
        <v>1.0500000000000007</v>
      </c>
      <c r="AZ6" s="357">
        <f>IF(ISNA(Daily!E245),"",Daily!E245)</f>
        <v>1.0500000000000007</v>
      </c>
      <c r="BA6" s="357">
        <f>IF(ISNA(Daily!E276),"",Daily!E276)</f>
        <v>1.2</v>
      </c>
      <c r="BB6" s="357" t="str">
        <f>IF(ISNA(Daily!E306),"",Daily!E306)</f>
        <v/>
      </c>
      <c r="BC6" s="357" t="str">
        <f>IF(ISNA(Daily!E337),"",Daily!E337)</f>
        <v/>
      </c>
      <c r="BD6" s="357" t="str">
        <f>IF(ISNA(Daily!E367),"",Daily!E367)</f>
        <v/>
      </c>
      <c r="BE6" s="357" t="str">
        <f>IF(ISNA(Daily!E398),"",Daily!E398)</f>
        <v/>
      </c>
      <c r="BF6" s="357" t="str">
        <f>IF(ISNA(Daily!E429),"",Daily!E429)</f>
        <v/>
      </c>
      <c r="BG6" s="357" t="str">
        <f>IF(ISNA(Daily!E457),"",Daily!E457)</f>
        <v/>
      </c>
      <c r="BH6" s="357" t="str">
        <f>IF(ISNA(Daily!E488),"",Daily!E488)</f>
        <v/>
      </c>
      <c r="BI6" s="357" t="str">
        <f>IF(ISNA(Daily!E518),"",Daily!E518)</f>
        <v/>
      </c>
      <c r="BJ6" s="357" t="str">
        <f>IF(ISNA(Daily!E549),"",Daily!E549)</f>
        <v/>
      </c>
      <c r="BK6" s="357" t="str">
        <f>IF(ISNA(Daily!E579),"",Daily!E579)</f>
        <v/>
      </c>
      <c r="BL6" s="349"/>
      <c r="BM6" s="356">
        <v>4</v>
      </c>
      <c r="BN6" s="357" t="str">
        <f>Daily!G32</f>
        <v/>
      </c>
      <c r="BO6" s="357" t="str">
        <f>Daily!G63</f>
        <v/>
      </c>
      <c r="BP6" s="357" t="str">
        <f>Daily!G92</f>
        <v/>
      </c>
      <c r="BQ6" s="357" t="str">
        <f>Daily!G123</f>
        <v/>
      </c>
      <c r="BR6" s="357">
        <f>Daily!G153</f>
        <v>1.8347920839947904</v>
      </c>
      <c r="BS6" s="357">
        <f>Daily!G184</f>
        <v>2.1370014791771594</v>
      </c>
      <c r="BT6" s="357">
        <f>Daily!G214</f>
        <v>5.4410669894606993</v>
      </c>
      <c r="BU6" s="357">
        <f>Daily!G245</f>
        <v>4.4143767315532951</v>
      </c>
      <c r="BV6" s="357">
        <f>Daily!G276</f>
        <v>3.3525763934691746</v>
      </c>
      <c r="BW6" s="357" t="str">
        <f>Daily!G306</f>
        <v/>
      </c>
      <c r="BX6" s="357" t="str">
        <f>Daily!G337</f>
        <v/>
      </c>
      <c r="BY6" s="357" t="str">
        <f>Daily!G367</f>
        <v/>
      </c>
      <c r="BZ6" s="357" t="str">
        <f>Daily!G398</f>
        <v/>
      </c>
      <c r="CA6" s="357" t="str">
        <f>Daily!G429</f>
        <v/>
      </c>
      <c r="CB6" s="357" t="str">
        <f>Daily!G457</f>
        <v/>
      </c>
      <c r="CC6" s="357" t="str">
        <f>Daily!G488</f>
        <v/>
      </c>
      <c r="CD6" s="357" t="str">
        <f>Daily!G518</f>
        <v/>
      </c>
      <c r="CE6" s="357" t="str">
        <f>Daily!G549</f>
        <v/>
      </c>
      <c r="CF6" s="357" t="str">
        <f>Daily!G579</f>
        <v/>
      </c>
      <c r="CG6" s="349"/>
      <c r="CH6" s="356">
        <v>4</v>
      </c>
      <c r="CI6" s="358" t="str">
        <f>IF(Daily!I32=0,"",Daily!I32)</f>
        <v/>
      </c>
      <c r="CJ6" s="358" t="str">
        <f>IF(Daily!I63=0,"",Daily!I63)</f>
        <v/>
      </c>
      <c r="CK6" s="358" t="str">
        <f>IF(Daily!I92=0,"",Daily!I92)</f>
        <v/>
      </c>
      <c r="CL6" s="358" t="str">
        <f>IF(Daily!I123=0,"",Daily!I123)</f>
        <v/>
      </c>
      <c r="CM6" s="358" t="str">
        <f>IF(Daily!I1503=0,"",Daily!I153)</f>
        <v/>
      </c>
      <c r="CN6" s="358">
        <f>IF(Daily!I184=0,"",Daily!I184)</f>
        <v>84.088728062437227</v>
      </c>
      <c r="CO6" s="358">
        <f>IF(Daily!I214=0,"",Daily!I214)</f>
        <v>198.26896560828783</v>
      </c>
      <c r="CP6" s="358">
        <f>IF(Daily!I245=0,"",Daily!I245)</f>
        <v>337.97104219097298</v>
      </c>
      <c r="CQ6" s="358">
        <f>IF(Daily!I276=0,"",Daily!I276)</f>
        <v>450.02325827444253</v>
      </c>
      <c r="CR6" s="358" t="str">
        <f>IF(Daily!I306=0,"",Daily!I306)</f>
        <v/>
      </c>
      <c r="CS6" s="358" t="str">
        <f>IF(Daily!I337=0,"",Daily!I337)</f>
        <v/>
      </c>
      <c r="CT6" s="358" t="str">
        <f>IF(Daily!I367=0,"",Daily!I367)</f>
        <v/>
      </c>
      <c r="CU6" s="358" t="str">
        <f>IF(Daily!I398=0,"",Daily!I398)</f>
        <v/>
      </c>
      <c r="CV6" s="358" t="str">
        <f>IF(Daily!I429=0,"",Daily!I429)</f>
        <v/>
      </c>
      <c r="CW6" s="358" t="str">
        <f>IF(Daily!I457=0,"",Daily!I457)</f>
        <v/>
      </c>
      <c r="CX6" s="358" t="str">
        <f>IF(Daily!I488=0,"",Daily!I488)</f>
        <v/>
      </c>
      <c r="CY6" s="358" t="str">
        <f>IF(Daily!I518=0,"",Daily!I518)</f>
        <v/>
      </c>
      <c r="CZ6" s="358" t="str">
        <f>IF(Daily!I549=0,"",Daily!I549)</f>
        <v/>
      </c>
      <c r="DA6" s="358" t="str">
        <f>IF(Daily!I579=0,"",Daily!I579)</f>
        <v/>
      </c>
      <c r="DB6" s="349"/>
      <c r="DC6" s="356">
        <v>4</v>
      </c>
      <c r="DD6" s="357" t="str">
        <f>IF(ISNA(Daily!F32),"",Daily!F32)</f>
        <v/>
      </c>
      <c r="DE6" s="357" t="str">
        <f>IF(ISNA(Daily!F63),"",Daily!F63)</f>
        <v/>
      </c>
      <c r="DF6" s="357" t="str">
        <f>IF(ISNA(Daily!F92),"",Daily!F92)</f>
        <v/>
      </c>
      <c r="DG6" s="357" t="str">
        <f>IF(ISNA(Daily!F123),"",Daily!F123)</f>
        <v/>
      </c>
      <c r="DH6" s="357">
        <f>IF(ISNA(Daily!F153),"",Daily!F153)</f>
        <v>0.8102962140161466</v>
      </c>
      <c r="DI6" s="357">
        <f>IF(ISNA(Daily!F184),"",Daily!F184)</f>
        <v>0.90938970338297831</v>
      </c>
      <c r="DJ6" s="357">
        <f>IF(ISNA(Daily!F214),"",Daily!F214)</f>
        <v>1.0551154230400821</v>
      </c>
      <c r="DK6" s="357">
        <f>IF(ISNA(Daily!F245),"",Daily!F245)</f>
        <v>1.0551154230400821</v>
      </c>
      <c r="DL6" s="357">
        <f>IF(ISNA(Daily!F276),"",Daily!F276)</f>
        <v>0.93686576964038815</v>
      </c>
      <c r="DM6" s="357" t="str">
        <f>IF(ISNA(Daily!F306),"",Daily!F306)</f>
        <v/>
      </c>
      <c r="DN6" s="357" t="str">
        <f>IF(ISNA(Daily!F337),"",Daily!F337)</f>
        <v/>
      </c>
      <c r="DO6" s="357" t="str">
        <f>IF(ISNA(Daily!F367),"",Daily!F367)</f>
        <v/>
      </c>
      <c r="DP6" s="357" t="str">
        <f>IF(ISNA(Daily!F398),"",Daily!F398)</f>
        <v/>
      </c>
      <c r="DQ6" s="357" t="str">
        <f>IF(ISNA(Daily!F429),"",Daily!F429)</f>
        <v/>
      </c>
      <c r="DR6" s="357" t="str">
        <f>IF(ISNA(Daily!F458),"",Daily!F458)</f>
        <v/>
      </c>
      <c r="DS6" s="357" t="str">
        <f>IF(ISNA(Daily!F488),"",Daily!F488)</f>
        <v/>
      </c>
      <c r="DT6" s="357" t="str">
        <f>IF(ISNA(Daily!F518),"",Daily!F518)</f>
        <v/>
      </c>
      <c r="DU6" s="357" t="str">
        <f>IF(ISNA(Daily!F549),"",Daily!F549)</f>
        <v/>
      </c>
      <c r="DV6" s="357" t="str">
        <f>IF(ISNA(Daily!F579),"",Daily!G579)</f>
        <v/>
      </c>
      <c r="DW6" s="349"/>
      <c r="DX6" s="356">
        <v>4</v>
      </c>
      <c r="DY6" s="357" t="str">
        <f>Daily!H32</f>
        <v/>
      </c>
      <c r="DZ6" s="357" t="str">
        <f>Daily!H63</f>
        <v/>
      </c>
      <c r="EA6" s="357" t="str">
        <f>Daily!H92</f>
        <v/>
      </c>
      <c r="EB6" s="357" t="str">
        <f>Daily!H123</f>
        <v/>
      </c>
      <c r="EC6" s="357">
        <f>Daily!H153</f>
        <v>1.6099176392954964</v>
      </c>
      <c r="ED6" s="357">
        <f>Daily!H184</f>
        <v>3.5720533887821415</v>
      </c>
      <c r="EE6" s="357">
        <f>Daily!H214</f>
        <v>5.467574950832617</v>
      </c>
      <c r="EF6" s="357">
        <f>Daily!H245</f>
        <v>4.4358828310201392</v>
      </c>
      <c r="EG6" s="357">
        <f>Daily!H276</f>
        <v>2.6174283859547458</v>
      </c>
      <c r="EH6" s="357" t="str">
        <f>Daily!H306</f>
        <v/>
      </c>
      <c r="EI6" s="357" t="str">
        <f>Daily!H337</f>
        <v/>
      </c>
      <c r="EJ6" s="357" t="str">
        <f>Daily!H367</f>
        <v/>
      </c>
      <c r="EK6" s="357" t="str">
        <f>Daily!H398</f>
        <v/>
      </c>
      <c r="EL6" s="357" t="str">
        <f>Daily!H429</f>
        <v/>
      </c>
      <c r="EM6" s="357" t="str">
        <f>Daily!H457</f>
        <v/>
      </c>
      <c r="EN6" s="357" t="str">
        <f>Daily!H488</f>
        <v/>
      </c>
      <c r="EO6" s="357" t="str">
        <f>Daily!H518</f>
        <v/>
      </c>
      <c r="EP6" s="357" t="str">
        <f>Daily!H549</f>
        <v/>
      </c>
      <c r="EQ6" s="357" t="str">
        <f>Daily!H579</f>
        <v/>
      </c>
      <c r="ER6" s="349"/>
      <c r="ES6" s="356">
        <v>4</v>
      </c>
      <c r="ET6" s="358" t="str">
        <f>IF(Daily!J32=0,"",Daily!J32)</f>
        <v/>
      </c>
      <c r="EU6" s="358" t="str">
        <f>IF(Daily!J63=0,"",Daily!J63)</f>
        <v/>
      </c>
      <c r="EV6" s="358" t="str">
        <f>IF(Daily!J92=0,"",Daily!J92)</f>
        <v/>
      </c>
      <c r="EW6" s="358" t="str">
        <f>IF(Daily!J123=0,"",Daily!J123)</f>
        <v/>
      </c>
      <c r="EX6" s="358">
        <f>IF(Daily!J153=0,"",Daily!J153)</f>
        <v>23.971738832424862</v>
      </c>
      <c r="EY6" s="358">
        <f>IF(Daily!J184=0,"",Daily!J184)</f>
        <v>106.50737409090708</v>
      </c>
      <c r="EZ6" s="358">
        <f>IF(Daily!J214=0,"",Daily!J214)</f>
        <v>237.67194260742826</v>
      </c>
      <c r="FA6" s="358">
        <f>IF(Daily!J245=0,"",Daily!J245)</f>
        <v>376.93518075669215</v>
      </c>
      <c r="FB6" s="358">
        <f>IF(Daily!J276=0,"",Daily!J276)</f>
        <v>487.73053336743112</v>
      </c>
      <c r="FC6" s="358" t="str">
        <f>IF(Daily!J306=0,"",Daily!J306)</f>
        <v/>
      </c>
      <c r="FD6" s="358" t="str">
        <f>IF(Daily!J337=0,"",Daily!J337)</f>
        <v/>
      </c>
      <c r="FE6" s="358" t="str">
        <f>IF(Daily!J367=0,"",Daily!J367)</f>
        <v/>
      </c>
      <c r="FF6" s="358" t="str">
        <f>IF(Daily!J398=0,"",Daily!J398)</f>
        <v/>
      </c>
      <c r="FG6" s="358" t="str">
        <f>IF(Daily!J429=0,"",Daily!J429)</f>
        <v/>
      </c>
      <c r="FH6" s="358" t="str">
        <f>IF(Daily!J457=0,"",Daily!J457)</f>
        <v/>
      </c>
      <c r="FI6" s="358" t="str">
        <f>IF(Daily!J488=0,"",Daily!J488)</f>
        <v/>
      </c>
      <c r="FJ6" s="358" t="str">
        <f>IF(Daily!J518=0,"",Daily!J518)</f>
        <v/>
      </c>
      <c r="FK6" s="358" t="str">
        <f>IF(Daily!J549=0,"",Daily!J549)</f>
        <v/>
      </c>
      <c r="FL6" s="358" t="str">
        <f>IF(Daily!J579=0,"",Daily!J579)</f>
        <v/>
      </c>
      <c r="FM6" s="349"/>
    </row>
    <row r="7" spans="1:169">
      <c r="A7" s="349"/>
      <c r="B7" s="356">
        <v>5</v>
      </c>
      <c r="C7" s="357" t="str">
        <f>Daily!D33</f>
        <v/>
      </c>
      <c r="D7" s="357" t="str">
        <f>Daily!D64</f>
        <v/>
      </c>
      <c r="E7" s="357" t="str">
        <f>Daily!D93</f>
        <v/>
      </c>
      <c r="F7" s="357" t="str">
        <f>Daily!D124</f>
        <v/>
      </c>
      <c r="G7" s="357">
        <f>Daily!D154</f>
        <v>0.78753836206299899</v>
      </c>
      <c r="H7" s="357">
        <f>Daily!D185</f>
        <v>0.28945201136159576</v>
      </c>
      <c r="I7" s="357">
        <f>Daily!D215</f>
        <v>0.17342662815905818</v>
      </c>
      <c r="J7" s="357">
        <f>Daily!D246</f>
        <v>0.21892896360654909</v>
      </c>
      <c r="K7" s="357">
        <f>Daily!D277</f>
        <v>1.1375015013948462</v>
      </c>
      <c r="L7" s="357" t="str">
        <f>Daily!D307</f>
        <v/>
      </c>
      <c r="M7" s="357" t="str">
        <f>Daily!D338</f>
        <v/>
      </c>
      <c r="N7" s="357" t="str">
        <f>Daily!D368</f>
        <v/>
      </c>
      <c r="O7" s="357" t="str">
        <f>Daily!D399</f>
        <v/>
      </c>
      <c r="P7" s="357" t="str">
        <f>Daily!D430</f>
        <v/>
      </c>
      <c r="Q7" s="357" t="str">
        <f>Daily!D458</f>
        <v/>
      </c>
      <c r="R7" s="357" t="str">
        <f>Daily!D489</f>
        <v/>
      </c>
      <c r="S7" s="357" t="str">
        <f>Daily!D519</f>
        <v/>
      </c>
      <c r="T7" s="357" t="str">
        <f>Daily!D550</f>
        <v/>
      </c>
      <c r="U7" s="357" t="str">
        <f>Daily!D580</f>
        <v/>
      </c>
      <c r="V7" s="349"/>
      <c r="W7" s="356">
        <v>5</v>
      </c>
      <c r="X7" s="357">
        <f>Daily!C33</f>
        <v>0.30270884965245604</v>
      </c>
      <c r="Y7" s="357">
        <f>Daily!C64</f>
        <v>0.29163966521745566</v>
      </c>
      <c r="Z7" s="357">
        <f>Daily!C93</f>
        <v>1.2950054322307294</v>
      </c>
      <c r="AA7" s="357">
        <f>Daily!C124</f>
        <v>1.2870475400541517</v>
      </c>
      <c r="AB7" s="357">
        <f>Daily!C154</f>
        <v>2.9434706790229859</v>
      </c>
      <c r="AC7" s="357">
        <f>Daily!C185</f>
        <v>3.6238138037089076</v>
      </c>
      <c r="AD7" s="357">
        <f>Daily!C215</f>
        <v>3.4769314126585869</v>
      </c>
      <c r="AE7" s="357">
        <f>Daily!C246</f>
        <v>3.9882386942261037</v>
      </c>
      <c r="AF7" s="357">
        <f>Daily!C277</f>
        <v>2.6424369934627041</v>
      </c>
      <c r="AG7" s="357">
        <f>Daily!C307</f>
        <v>1.686918001811976</v>
      </c>
      <c r="AH7" s="357">
        <f>Daily!C338</f>
        <v>0.64603852585092369</v>
      </c>
      <c r="AI7" s="357">
        <f>Daily!C368</f>
        <v>0.11819204647909157</v>
      </c>
      <c r="AJ7" s="357">
        <f>Daily!C399</f>
        <v>0.30270884965245604</v>
      </c>
      <c r="AK7" s="357">
        <f>Daily!C430</f>
        <v>0.29163966521745566</v>
      </c>
      <c r="AL7" s="357">
        <f>Daily!C458</f>
        <v>0.98359335507564682</v>
      </c>
      <c r="AM7" s="357">
        <f>Daily!C489</f>
        <v>0.44427184411836929</v>
      </c>
      <c r="AN7" s="357">
        <f>Daily!C519</f>
        <v>1.9868260661321759</v>
      </c>
      <c r="AO7" s="357">
        <f>Daily!C550</f>
        <v>3.9279677078967485</v>
      </c>
      <c r="AP7" s="357">
        <f>Daily!C580</f>
        <v>5.1819685613911384</v>
      </c>
      <c r="AQ7" s="349"/>
      <c r="AR7" s="356">
        <v>5</v>
      </c>
      <c r="AS7" s="357" t="str">
        <f>IF(ISNA(Daily!E33),"",Daily!E33)</f>
        <v/>
      </c>
      <c r="AT7" s="357" t="str">
        <f>IF(ISNA(Daily!E64),"",Daily!E64)</f>
        <v/>
      </c>
      <c r="AU7" s="357" t="str">
        <f>IF(ISNA(Daily!E93),"",Daily!E93)</f>
        <v/>
      </c>
      <c r="AV7" s="357" t="str">
        <f>IF(ISNA(Daily!E124),"",Daily!E124)</f>
        <v/>
      </c>
      <c r="AW7" s="357">
        <f>IF(ISNA(Daily!E154),"",Daily!E154)</f>
        <v>0.78753836206299899</v>
      </c>
      <c r="AX7" s="357">
        <f>IF(ISNA(Daily!E185),"",Daily!E185)</f>
        <v>0.56428571428571428</v>
      </c>
      <c r="AY7" s="357">
        <f>IF(ISNA(Daily!E215),"",Daily!E215)</f>
        <v>1.0500000000000007</v>
      </c>
      <c r="AZ7" s="357">
        <f>IF(ISNA(Daily!E246),"",Daily!E246)</f>
        <v>1.0500000000000007</v>
      </c>
      <c r="BA7" s="357">
        <f>IF(ISNA(Daily!E277),"",Daily!E277)</f>
        <v>1.1375015013948462</v>
      </c>
      <c r="BB7" s="357" t="str">
        <f>IF(ISNA(Daily!E307),"",Daily!E307)</f>
        <v/>
      </c>
      <c r="BC7" s="357" t="str">
        <f>IF(ISNA(Daily!E338),"",Daily!E338)</f>
        <v/>
      </c>
      <c r="BD7" s="357" t="str">
        <f>IF(ISNA(Daily!E368),"",Daily!E368)</f>
        <v/>
      </c>
      <c r="BE7" s="357" t="str">
        <f>IF(ISNA(Daily!E399),"",Daily!E399)</f>
        <v/>
      </c>
      <c r="BF7" s="357" t="str">
        <f>IF(ISNA(Daily!E430),"",Daily!E430)</f>
        <v/>
      </c>
      <c r="BG7" s="357" t="str">
        <f>IF(ISNA(Daily!E458),"",Daily!E458)</f>
        <v/>
      </c>
      <c r="BH7" s="357" t="str">
        <f>IF(ISNA(Daily!E489),"",Daily!E489)</f>
        <v/>
      </c>
      <c r="BI7" s="357" t="str">
        <f>IF(ISNA(Daily!E519),"",Daily!E519)</f>
        <v/>
      </c>
      <c r="BJ7" s="357" t="str">
        <f>IF(ISNA(Daily!E550),"",Daily!E550)</f>
        <v/>
      </c>
      <c r="BK7" s="357" t="str">
        <f>IF(ISNA(Daily!E580),"",Daily!E580)</f>
        <v/>
      </c>
      <c r="BL7" s="349"/>
      <c r="BM7" s="356">
        <v>5</v>
      </c>
      <c r="BN7" s="357" t="str">
        <f>Daily!G33</f>
        <v/>
      </c>
      <c r="BO7" s="357" t="str">
        <f>Daily!G64</f>
        <v/>
      </c>
      <c r="BP7" s="357" t="str">
        <f>Daily!G93</f>
        <v/>
      </c>
      <c r="BQ7" s="357" t="str">
        <f>Daily!G124</f>
        <v/>
      </c>
      <c r="BR7" s="357">
        <f>Daily!G154</f>
        <v>2.3180960773382258</v>
      </c>
      <c r="BS7" s="357">
        <f>Daily!G185</f>
        <v>2.044866360664312</v>
      </c>
      <c r="BT7" s="357">
        <f>Daily!G215</f>
        <v>3.6507779832915186</v>
      </c>
      <c r="BU7" s="357">
        <f>Daily!G246</f>
        <v>4.187650628937412</v>
      </c>
      <c r="BV7" s="357">
        <f>Daily!G277</f>
        <v>3.0057760474051092</v>
      </c>
      <c r="BW7" s="357" t="str">
        <f>Daily!G307</f>
        <v/>
      </c>
      <c r="BX7" s="357" t="str">
        <f>Daily!G338</f>
        <v/>
      </c>
      <c r="BY7" s="357" t="str">
        <f>Daily!G368</f>
        <v/>
      </c>
      <c r="BZ7" s="357" t="str">
        <f>Daily!G399</f>
        <v/>
      </c>
      <c r="CA7" s="357" t="str">
        <f>Daily!G430</f>
        <v/>
      </c>
      <c r="CB7" s="357" t="str">
        <f>Daily!G458</f>
        <v/>
      </c>
      <c r="CC7" s="357" t="str">
        <f>Daily!G489</f>
        <v/>
      </c>
      <c r="CD7" s="357" t="str">
        <f>Daily!G519</f>
        <v/>
      </c>
      <c r="CE7" s="357" t="str">
        <f>Daily!G550</f>
        <v/>
      </c>
      <c r="CF7" s="357" t="str">
        <f>Daily!G580</f>
        <v/>
      </c>
      <c r="CG7" s="349"/>
      <c r="CH7" s="356">
        <v>5</v>
      </c>
      <c r="CI7" s="358" t="str">
        <f>IF(Daily!I33=0,"",Daily!I33)</f>
        <v/>
      </c>
      <c r="CJ7" s="358" t="str">
        <f>IF(Daily!I64=0,"",Daily!I64)</f>
        <v/>
      </c>
      <c r="CK7" s="358" t="str">
        <f>IF(Daily!I93=0,"",Daily!I93)</f>
        <v/>
      </c>
      <c r="CL7" s="358" t="str">
        <f>IF(Daily!I124=0,"",Daily!I124)</f>
        <v/>
      </c>
      <c r="CM7" s="358" t="str">
        <f>IF(Daily!I1504=0,"",Daily!I154)</f>
        <v/>
      </c>
      <c r="CN7" s="358">
        <f>IF(Daily!I185=0,"",Daily!I185)</f>
        <v>86.133594423101542</v>
      </c>
      <c r="CO7" s="358">
        <f>IF(Daily!I215=0,"",Daily!I215)</f>
        <v>201.91974359157933</v>
      </c>
      <c r="CP7" s="358">
        <f>IF(Daily!I246=0,"",Daily!I246)</f>
        <v>342.15869281991041</v>
      </c>
      <c r="CQ7" s="358">
        <f>IF(Daily!I277=0,"",Daily!I277)</f>
        <v>453.02903432184763</v>
      </c>
      <c r="CR7" s="358" t="str">
        <f>IF(Daily!I307=0,"",Daily!I307)</f>
        <v/>
      </c>
      <c r="CS7" s="358" t="str">
        <f>IF(Daily!I338=0,"",Daily!I338)</f>
        <v/>
      </c>
      <c r="CT7" s="358" t="str">
        <f>IF(Daily!I368=0,"",Daily!I368)</f>
        <v/>
      </c>
      <c r="CU7" s="358" t="str">
        <f>IF(Daily!I399=0,"",Daily!I399)</f>
        <v/>
      </c>
      <c r="CV7" s="358" t="str">
        <f>IF(Daily!I430=0,"",Daily!I430)</f>
        <v/>
      </c>
      <c r="CW7" s="358" t="str">
        <f>IF(Daily!I458=0,"",Daily!I458)</f>
        <v/>
      </c>
      <c r="CX7" s="358" t="str">
        <f>IF(Daily!I489=0,"",Daily!I489)</f>
        <v/>
      </c>
      <c r="CY7" s="358" t="str">
        <f>IF(Daily!I519=0,"",Daily!I519)</f>
        <v/>
      </c>
      <c r="CZ7" s="358" t="str">
        <f>IF(Daily!I550=0,"",Daily!I550)</f>
        <v/>
      </c>
      <c r="DA7" s="358" t="str">
        <f>IF(Daily!I580=0,"",Daily!I580)</f>
        <v/>
      </c>
      <c r="DB7" s="349"/>
      <c r="DC7" s="356">
        <v>5</v>
      </c>
      <c r="DD7" s="357" t="str">
        <f>IF(ISNA(Daily!F33),"",Daily!F33)</f>
        <v/>
      </c>
      <c r="DE7" s="357" t="str">
        <f>IF(ISNA(Daily!F64),"",Daily!F64)</f>
        <v/>
      </c>
      <c r="DF7" s="357" t="str">
        <f>IF(ISNA(Daily!F93),"",Daily!F93)</f>
        <v/>
      </c>
      <c r="DG7" s="357" t="str">
        <f>IF(ISNA(Daily!F124),"",Daily!F124)</f>
        <v/>
      </c>
      <c r="DH7" s="357">
        <f>IF(ISNA(Daily!F154),"",Daily!F154)</f>
        <v>0.8102962140161466</v>
      </c>
      <c r="DI7" s="357">
        <f>IF(ISNA(Daily!F185),"",Daily!F185)</f>
        <v>0.91521873216926253</v>
      </c>
      <c r="DJ7" s="357">
        <f>IF(ISNA(Daily!F215),"",Daily!F215)</f>
        <v>1.0551154230400821</v>
      </c>
      <c r="DK7" s="357">
        <f>IF(ISNA(Daily!F246),"",Daily!F246)</f>
        <v>1.0551154230400821</v>
      </c>
      <c r="DL7" s="357">
        <f>IF(ISNA(Daily!F277),"",Daily!F277)</f>
        <v>0.92947516630290727</v>
      </c>
      <c r="DM7" s="357" t="str">
        <f>IF(ISNA(Daily!F307),"",Daily!F307)</f>
        <v/>
      </c>
      <c r="DN7" s="357" t="str">
        <f>IF(ISNA(Daily!F338),"",Daily!F338)</f>
        <v/>
      </c>
      <c r="DO7" s="357" t="str">
        <f>IF(ISNA(Daily!F368),"",Daily!F368)</f>
        <v/>
      </c>
      <c r="DP7" s="357" t="str">
        <f>IF(ISNA(Daily!F399),"",Daily!F399)</f>
        <v/>
      </c>
      <c r="DQ7" s="357" t="str">
        <f>IF(ISNA(Daily!F430),"",Daily!F430)</f>
        <v/>
      </c>
      <c r="DR7" s="357" t="str">
        <f>IF(ISNA(Daily!F459),"",Daily!F459)</f>
        <v/>
      </c>
      <c r="DS7" s="357" t="str">
        <f>IF(ISNA(Daily!F489),"",Daily!F489)</f>
        <v/>
      </c>
      <c r="DT7" s="357" t="str">
        <f>IF(ISNA(Daily!F519),"",Daily!F519)</f>
        <v/>
      </c>
      <c r="DU7" s="357" t="str">
        <f>IF(ISNA(Daily!F550),"",Daily!F550)</f>
        <v/>
      </c>
      <c r="DV7" s="357" t="str">
        <f>IF(ISNA(Daily!F580),"",Daily!G580)</f>
        <v/>
      </c>
      <c r="DW7" s="349"/>
      <c r="DX7" s="356">
        <v>5</v>
      </c>
      <c r="DY7" s="357" t="str">
        <f>Daily!H33</f>
        <v/>
      </c>
      <c r="DZ7" s="357" t="str">
        <f>Daily!H64</f>
        <v/>
      </c>
      <c r="EA7" s="357" t="str">
        <f>Daily!H93</f>
        <v/>
      </c>
      <c r="EB7" s="357" t="str">
        <f>Daily!H124</f>
        <v/>
      </c>
      <c r="EC7" s="357">
        <f>Daily!H154</f>
        <v>2.3850831472798619</v>
      </c>
      <c r="ED7" s="357">
        <f>Daily!H185</f>
        <v>3.316582275047939</v>
      </c>
      <c r="EE7" s="357">
        <f>Daily!H215</f>
        <v>3.6685639583486149</v>
      </c>
      <c r="EF7" s="357">
        <f>Daily!H246</f>
        <v>4.2080521570432001</v>
      </c>
      <c r="EG7" s="357">
        <f>Daily!H277</f>
        <v>2.4560795639437014</v>
      </c>
      <c r="EH7" s="357" t="str">
        <f>Daily!H307</f>
        <v/>
      </c>
      <c r="EI7" s="357" t="str">
        <f>Daily!H338</f>
        <v/>
      </c>
      <c r="EJ7" s="357" t="str">
        <f>Daily!H368</f>
        <v/>
      </c>
      <c r="EK7" s="357" t="str">
        <f>Daily!H399</f>
        <v/>
      </c>
      <c r="EL7" s="357" t="str">
        <f>Daily!H430</f>
        <v/>
      </c>
      <c r="EM7" s="357" t="str">
        <f>Daily!H458</f>
        <v/>
      </c>
      <c r="EN7" s="357" t="str">
        <f>Daily!H489</f>
        <v/>
      </c>
      <c r="EO7" s="357" t="str">
        <f>Daily!H519</f>
        <v/>
      </c>
      <c r="EP7" s="357" t="str">
        <f>Daily!H550</f>
        <v/>
      </c>
      <c r="EQ7" s="357" t="str">
        <f>Daily!H580</f>
        <v/>
      </c>
      <c r="ER7" s="349"/>
      <c r="ES7" s="356">
        <v>5</v>
      </c>
      <c r="ET7" s="358" t="str">
        <f>IF(Daily!J33=0,"",Daily!J33)</f>
        <v/>
      </c>
      <c r="EU7" s="358" t="str">
        <f>IF(Daily!J64=0,"",Daily!J64)</f>
        <v/>
      </c>
      <c r="EV7" s="358" t="str">
        <f>IF(Daily!J93=0,"",Daily!J93)</f>
        <v/>
      </c>
      <c r="EW7" s="358" t="str">
        <f>IF(Daily!J124=0,"",Daily!J124)</f>
        <v/>
      </c>
      <c r="EX7" s="358">
        <f>IF(Daily!J154=0,"",Daily!J154)</f>
        <v>26.356821979704723</v>
      </c>
      <c r="EY7" s="358">
        <f>IF(Daily!J185=0,"",Daily!J185)</f>
        <v>109.82395636595501</v>
      </c>
      <c r="EZ7" s="358">
        <f>IF(Daily!J215=0,"",Daily!J215)</f>
        <v>241.34050656577688</v>
      </c>
      <c r="FA7" s="358">
        <f>IF(Daily!J246=0,"",Daily!J246)</f>
        <v>381.14323291373535</v>
      </c>
      <c r="FB7" s="358">
        <f>IF(Daily!J277=0,"",Daily!J277)</f>
        <v>490.18661293137484</v>
      </c>
      <c r="FC7" s="358" t="str">
        <f>IF(Daily!J307=0,"",Daily!J307)</f>
        <v/>
      </c>
      <c r="FD7" s="358" t="str">
        <f>IF(Daily!J338=0,"",Daily!J338)</f>
        <v/>
      </c>
      <c r="FE7" s="358" t="str">
        <f>IF(Daily!J368=0,"",Daily!J368)</f>
        <v/>
      </c>
      <c r="FF7" s="358" t="str">
        <f>IF(Daily!J399=0,"",Daily!J399)</f>
        <v/>
      </c>
      <c r="FG7" s="358" t="str">
        <f>IF(Daily!J430=0,"",Daily!J430)</f>
        <v/>
      </c>
      <c r="FH7" s="358" t="str">
        <f>IF(Daily!J458=0,"",Daily!J458)</f>
        <v/>
      </c>
      <c r="FI7" s="358" t="str">
        <f>IF(Daily!J489=0,"",Daily!J489)</f>
        <v/>
      </c>
      <c r="FJ7" s="358" t="str">
        <f>IF(Daily!J519=0,"",Daily!J519)</f>
        <v/>
      </c>
      <c r="FK7" s="358" t="str">
        <f>IF(Daily!J550=0,"",Daily!J550)</f>
        <v/>
      </c>
      <c r="FL7" s="358" t="str">
        <f>IF(Daily!J580=0,"",Daily!J580)</f>
        <v/>
      </c>
      <c r="FM7" s="349"/>
    </row>
    <row r="8" spans="1:169">
      <c r="A8" s="349"/>
      <c r="B8" s="356">
        <v>6</v>
      </c>
      <c r="C8" s="357" t="str">
        <f>Daily!D34</f>
        <v/>
      </c>
      <c r="D8" s="357" t="str">
        <f>Daily!D65</f>
        <v/>
      </c>
      <c r="E8" s="357" t="str">
        <f>Daily!D94</f>
        <v/>
      </c>
      <c r="F8" s="357" t="str">
        <f>Daily!D125</f>
        <v/>
      </c>
      <c r="G8" s="357">
        <f>Daily!D155</f>
        <v>0.68691257685441853</v>
      </c>
      <c r="H8" s="357">
        <f>Daily!D186</f>
        <v>0.28176629546315574</v>
      </c>
      <c r="I8" s="357">
        <f>Daily!D216</f>
        <v>1.2</v>
      </c>
      <c r="J8" s="357">
        <f>Daily!D247</f>
        <v>0.21519568785508258</v>
      </c>
      <c r="K8" s="357">
        <f>Daily!D278</f>
        <v>0.93104368732006482</v>
      </c>
      <c r="L8" s="357" t="str">
        <f>Daily!D308</f>
        <v/>
      </c>
      <c r="M8" s="357" t="str">
        <f>Daily!D339</f>
        <v/>
      </c>
      <c r="N8" s="357" t="str">
        <f>Daily!D369</f>
        <v/>
      </c>
      <c r="O8" s="357" t="str">
        <f>Daily!D400</f>
        <v/>
      </c>
      <c r="P8" s="357" t="str">
        <f>Daily!D431</f>
        <v/>
      </c>
      <c r="Q8" s="357" t="str">
        <f>Daily!D459</f>
        <v/>
      </c>
      <c r="R8" s="357" t="str">
        <f>Daily!D490</f>
        <v/>
      </c>
      <c r="S8" s="357" t="str">
        <f>Daily!D520</f>
        <v/>
      </c>
      <c r="T8" s="357" t="str">
        <f>Daily!D551</f>
        <v/>
      </c>
      <c r="U8" s="357" t="str">
        <f>Daily!D581</f>
        <v/>
      </c>
      <c r="V8" s="349"/>
      <c r="W8" s="356">
        <v>6</v>
      </c>
      <c r="X8" s="357">
        <f>Daily!C34</f>
        <v>0.34935131767173</v>
      </c>
      <c r="Y8" s="357">
        <f>Daily!C65</f>
        <v>0.28112812573389639</v>
      </c>
      <c r="Z8" s="357">
        <f>Daily!C94</f>
        <v>1.5724939236484043</v>
      </c>
      <c r="AA8" s="357">
        <f>Daily!C125</f>
        <v>1.8718532351116166</v>
      </c>
      <c r="AB8" s="357">
        <f>Daily!C155</f>
        <v>3.3627214264420116</v>
      </c>
      <c r="AC8" s="357">
        <f>Daily!C186</f>
        <v>4.1290757913512</v>
      </c>
      <c r="AD8" s="357">
        <f>Daily!C216</f>
        <v>3.3390863812371721</v>
      </c>
      <c r="AE8" s="357">
        <f>Daily!C247</f>
        <v>4.4909729125824436</v>
      </c>
      <c r="AF8" s="357">
        <f>Daily!C278</f>
        <v>2.578113702697407</v>
      </c>
      <c r="AG8" s="357">
        <f>Daily!C308</f>
        <v>1.1149775155232635</v>
      </c>
      <c r="AH8" s="357">
        <f>Daily!C339</f>
        <v>0.56075474160637206</v>
      </c>
      <c r="AI8" s="357">
        <f>Daily!C369</f>
        <v>0.27091712366785692</v>
      </c>
      <c r="AJ8" s="357">
        <f>Daily!C400</f>
        <v>0.34935131767173</v>
      </c>
      <c r="AK8" s="357">
        <f>Daily!C431</f>
        <v>0.28112812573389639</v>
      </c>
      <c r="AL8" s="357">
        <f>Daily!C459</f>
        <v>1.2950054322307294</v>
      </c>
      <c r="AM8" s="357">
        <f>Daily!C490</f>
        <v>1.2870475400541517</v>
      </c>
      <c r="AN8" s="357">
        <f>Daily!C520</f>
        <v>2.9434706790229859</v>
      </c>
      <c r="AO8" s="357">
        <f>Daily!C551</f>
        <v>3.6238138037089076</v>
      </c>
      <c r="AP8" s="357">
        <f>Daily!C581</f>
        <v>3.4769314126585869</v>
      </c>
      <c r="AQ8" s="349"/>
      <c r="AR8" s="356">
        <v>6</v>
      </c>
      <c r="AS8" s="357" t="str">
        <f>IF(ISNA(Daily!E34),"",Daily!E34)</f>
        <v/>
      </c>
      <c r="AT8" s="357" t="str">
        <f>IF(ISNA(Daily!E65),"",Daily!E65)</f>
        <v/>
      </c>
      <c r="AU8" s="357" t="str">
        <f>IF(ISNA(Daily!E94),"",Daily!E94)</f>
        <v/>
      </c>
      <c r="AV8" s="357" t="str">
        <f>IF(ISNA(Daily!E125),"",Daily!E125)</f>
        <v/>
      </c>
      <c r="AW8" s="357">
        <f>IF(ISNA(Daily!E155),"",Daily!E155)</f>
        <v>0.68691257685441853</v>
      </c>
      <c r="AX8" s="357">
        <f>IF(ISNA(Daily!E186),"",Daily!E186)</f>
        <v>0.58452380952380956</v>
      </c>
      <c r="AY8" s="357">
        <f>IF(ISNA(Daily!E216),"",Daily!E216)</f>
        <v>1.2</v>
      </c>
      <c r="AZ8" s="357">
        <f>IF(ISNA(Daily!E247),"",Daily!E247)</f>
        <v>1.0500000000000007</v>
      </c>
      <c r="BA8" s="357">
        <f>IF(ISNA(Daily!E278),"",Daily!E278)</f>
        <v>0.93104368732006482</v>
      </c>
      <c r="BB8" s="357" t="str">
        <f>IF(ISNA(Daily!E308),"",Daily!E308)</f>
        <v/>
      </c>
      <c r="BC8" s="357" t="str">
        <f>IF(ISNA(Daily!E339),"",Daily!E339)</f>
        <v/>
      </c>
      <c r="BD8" s="357" t="str">
        <f>IF(ISNA(Daily!E369),"",Daily!E369)</f>
        <v/>
      </c>
      <c r="BE8" s="357" t="str">
        <f>IF(ISNA(Daily!E400),"",Daily!E400)</f>
        <v/>
      </c>
      <c r="BF8" s="357" t="str">
        <f>IF(ISNA(Daily!E431),"",Daily!E431)</f>
        <v/>
      </c>
      <c r="BG8" s="357" t="str">
        <f>IF(ISNA(Daily!E459),"",Daily!E459)</f>
        <v/>
      </c>
      <c r="BH8" s="357" t="str">
        <f>IF(ISNA(Daily!E490),"",Daily!E490)</f>
        <v/>
      </c>
      <c r="BI8" s="357" t="str">
        <f>IF(ISNA(Daily!E520),"",Daily!E520)</f>
        <v/>
      </c>
      <c r="BJ8" s="357" t="str">
        <f>IF(ISNA(Daily!E551),"",Daily!E551)</f>
        <v/>
      </c>
      <c r="BK8" s="357" t="str">
        <f>IF(ISNA(Daily!E581),"",Daily!E581)</f>
        <v/>
      </c>
      <c r="BL8" s="349"/>
      <c r="BM8" s="356">
        <v>6</v>
      </c>
      <c r="BN8" s="357" t="str">
        <f>Daily!G34</f>
        <v/>
      </c>
      <c r="BO8" s="357" t="str">
        <f>Daily!G65</f>
        <v/>
      </c>
      <c r="BP8" s="357" t="str">
        <f>Daily!G94</f>
        <v/>
      </c>
      <c r="BQ8" s="357" t="str">
        <f>Daily!G125</f>
        <v/>
      </c>
      <c r="BR8" s="357">
        <f>Daily!G155</f>
        <v>2.3098956402808484</v>
      </c>
      <c r="BS8" s="357">
        <f>Daily!G186</f>
        <v>2.413543111373142</v>
      </c>
      <c r="BT8" s="357">
        <f>Daily!G216</f>
        <v>4.0069036574846066</v>
      </c>
      <c r="BU8" s="357">
        <f>Daily!G247</f>
        <v>4.7155215582115693</v>
      </c>
      <c r="BV8" s="357">
        <f>Daily!G278</f>
        <v>2.4003364880897791</v>
      </c>
      <c r="BW8" s="357" t="str">
        <f>Daily!G308</f>
        <v/>
      </c>
      <c r="BX8" s="357" t="str">
        <f>Daily!G339</f>
        <v/>
      </c>
      <c r="BY8" s="357" t="str">
        <f>Daily!G369</f>
        <v/>
      </c>
      <c r="BZ8" s="357" t="str">
        <f>Daily!G400</f>
        <v/>
      </c>
      <c r="CA8" s="357" t="str">
        <f>Daily!G431</f>
        <v/>
      </c>
      <c r="CB8" s="357" t="str">
        <f>Daily!G459</f>
        <v/>
      </c>
      <c r="CC8" s="357" t="str">
        <f>Daily!G490</f>
        <v/>
      </c>
      <c r="CD8" s="357" t="str">
        <f>Daily!G520</f>
        <v/>
      </c>
      <c r="CE8" s="357" t="str">
        <f>Daily!G551</f>
        <v/>
      </c>
      <c r="CF8" s="357" t="str">
        <f>Daily!G581</f>
        <v/>
      </c>
      <c r="CG8" s="349"/>
      <c r="CH8" s="356">
        <v>6</v>
      </c>
      <c r="CI8" s="358" t="str">
        <f>IF(Daily!I34=0,"",Daily!I34)</f>
        <v/>
      </c>
      <c r="CJ8" s="358" t="str">
        <f>IF(Daily!I65=0,"",Daily!I65)</f>
        <v/>
      </c>
      <c r="CK8" s="358" t="str">
        <f>IF(Daily!I94=0,"",Daily!I94)</f>
        <v/>
      </c>
      <c r="CL8" s="358" t="str">
        <f>IF(Daily!I125=0,"",Daily!I125)</f>
        <v/>
      </c>
      <c r="CM8" s="358" t="str">
        <f>IF(Daily!I1505=0,"",Daily!I155)</f>
        <v/>
      </c>
      <c r="CN8" s="358">
        <f>IF(Daily!I186=0,"",Daily!I186)</f>
        <v>88.547137534474686</v>
      </c>
      <c r="CO8" s="358">
        <f>IF(Daily!I216=0,"",Daily!I216)</f>
        <v>205.92664724906393</v>
      </c>
      <c r="CP8" s="358">
        <f>IF(Daily!I247=0,"",Daily!I247)</f>
        <v>346.87421437812196</v>
      </c>
      <c r="CQ8" s="358">
        <f>IF(Daily!I278=0,"",Daily!I278)</f>
        <v>455.42937080993744</v>
      </c>
      <c r="CR8" s="358" t="str">
        <f>IF(Daily!I308=0,"",Daily!I308)</f>
        <v/>
      </c>
      <c r="CS8" s="358" t="str">
        <f>IF(Daily!I339=0,"",Daily!I339)</f>
        <v/>
      </c>
      <c r="CT8" s="358" t="str">
        <f>IF(Daily!I369=0,"",Daily!I369)</f>
        <v/>
      </c>
      <c r="CU8" s="358" t="str">
        <f>IF(Daily!I400=0,"",Daily!I400)</f>
        <v/>
      </c>
      <c r="CV8" s="358" t="str">
        <f>IF(Daily!I431=0,"",Daily!I431)</f>
        <v/>
      </c>
      <c r="CW8" s="358" t="str">
        <f>IF(Daily!I459=0,"",Daily!I459)</f>
        <v/>
      </c>
      <c r="CX8" s="358" t="str">
        <f>IF(Daily!I490=0,"",Daily!I490)</f>
        <v/>
      </c>
      <c r="CY8" s="358" t="str">
        <f>IF(Daily!I520=0,"",Daily!I520)</f>
        <v/>
      </c>
      <c r="CZ8" s="358" t="str">
        <f>IF(Daily!I551=0,"",Daily!I551)</f>
        <v/>
      </c>
      <c r="DA8" s="358" t="str">
        <f>IF(Daily!I581=0,"",Daily!I581)</f>
        <v/>
      </c>
      <c r="DB8" s="349"/>
      <c r="DC8" s="356">
        <v>6</v>
      </c>
      <c r="DD8" s="357" t="str">
        <f>IF(ISNA(Daily!F34),"",Daily!F34)</f>
        <v/>
      </c>
      <c r="DE8" s="357" t="str">
        <f>IF(ISNA(Daily!F65),"",Daily!F65)</f>
        <v/>
      </c>
      <c r="DF8" s="357" t="str">
        <f>IF(ISNA(Daily!F94),"",Daily!F94)</f>
        <v/>
      </c>
      <c r="DG8" s="357" t="str">
        <f>IF(ISNA(Daily!F125),"",Daily!F125)</f>
        <v/>
      </c>
      <c r="DH8" s="357">
        <f>IF(ISNA(Daily!F155),"",Daily!F155)</f>
        <v>0.8102962140161466</v>
      </c>
      <c r="DI8" s="357">
        <f>IF(ISNA(Daily!F186),"",Daily!F186)</f>
        <v>0.92104776095554675</v>
      </c>
      <c r="DJ8" s="357">
        <f>IF(ISNA(Daily!F216),"",Daily!F216)</f>
        <v>1.0551154230400821</v>
      </c>
      <c r="DK8" s="357">
        <f>IF(ISNA(Daily!F247),"",Daily!F247)</f>
        <v>1.0551154230400821</v>
      </c>
      <c r="DL8" s="357">
        <f>IF(ISNA(Daily!F278),"",Daily!F278)</f>
        <v>0.9220845629654264</v>
      </c>
      <c r="DM8" s="357" t="str">
        <f>IF(ISNA(Daily!F308),"",Daily!F308)</f>
        <v/>
      </c>
      <c r="DN8" s="357" t="str">
        <f>IF(ISNA(Daily!F339),"",Daily!F339)</f>
        <v/>
      </c>
      <c r="DO8" s="357" t="str">
        <f>IF(ISNA(Daily!F369),"",Daily!F369)</f>
        <v/>
      </c>
      <c r="DP8" s="357" t="str">
        <f>IF(ISNA(Daily!F400),"",Daily!F400)</f>
        <v/>
      </c>
      <c r="DQ8" s="357" t="str">
        <f>IF(ISNA(Daily!F431),"",Daily!F431)</f>
        <v/>
      </c>
      <c r="DR8" s="357" t="str">
        <f>IF(ISNA(Daily!F460),"",Daily!F460)</f>
        <v/>
      </c>
      <c r="DS8" s="357" t="str">
        <f>IF(ISNA(Daily!F490),"",Daily!F490)</f>
        <v/>
      </c>
      <c r="DT8" s="357" t="str">
        <f>IF(ISNA(Daily!F520),"",Daily!F520)</f>
        <v/>
      </c>
      <c r="DU8" s="357" t="str">
        <f>IF(ISNA(Daily!F551),"",Daily!F551)</f>
        <v/>
      </c>
      <c r="DV8" s="357" t="str">
        <f>IF(ISNA(Daily!F581),"",Daily!G581)</f>
        <v/>
      </c>
      <c r="DW8" s="349"/>
      <c r="DX8" s="356">
        <v>6</v>
      </c>
      <c r="DY8" s="357" t="str">
        <f>Daily!H34</f>
        <v/>
      </c>
      <c r="DZ8" s="357" t="str">
        <f>Daily!H65</f>
        <v/>
      </c>
      <c r="EA8" s="357" t="str">
        <f>Daily!H94</f>
        <v/>
      </c>
      <c r="EB8" s="357" t="str">
        <f>Daily!H125</f>
        <v/>
      </c>
      <c r="EC8" s="357">
        <f>Daily!H155</f>
        <v>2.7248004406369382</v>
      </c>
      <c r="ED8" s="357">
        <f>Daily!H186</f>
        <v>3.8030760124397749</v>
      </c>
      <c r="EE8" s="357">
        <f>Daily!H216</f>
        <v>3.5231215397064357</v>
      </c>
      <c r="EF8" s="357">
        <f>Daily!H247</f>
        <v>4.7384947845209746</v>
      </c>
      <c r="EG8" s="357">
        <f>Daily!H278</f>
        <v>2.3772388468269159</v>
      </c>
      <c r="EH8" s="357" t="str">
        <f>Daily!H308</f>
        <v/>
      </c>
      <c r="EI8" s="357" t="str">
        <f>Daily!H339</f>
        <v/>
      </c>
      <c r="EJ8" s="357" t="str">
        <f>Daily!H369</f>
        <v/>
      </c>
      <c r="EK8" s="357" t="str">
        <f>Daily!H400</f>
        <v/>
      </c>
      <c r="EL8" s="357" t="str">
        <f>Daily!H431</f>
        <v/>
      </c>
      <c r="EM8" s="357" t="str">
        <f>Daily!H459</f>
        <v/>
      </c>
      <c r="EN8" s="357" t="str">
        <f>Daily!H490</f>
        <v/>
      </c>
      <c r="EO8" s="357" t="str">
        <f>Daily!H520</f>
        <v/>
      </c>
      <c r="EP8" s="357" t="str">
        <f>Daily!H551</f>
        <v/>
      </c>
      <c r="EQ8" s="357" t="str">
        <f>Daily!H581</f>
        <v/>
      </c>
      <c r="ER8" s="349"/>
      <c r="ES8" s="356">
        <v>6</v>
      </c>
      <c r="ET8" s="358" t="str">
        <f>IF(Daily!J34=0,"",Daily!J34)</f>
        <v/>
      </c>
      <c r="EU8" s="358" t="str">
        <f>IF(Daily!J65=0,"",Daily!J65)</f>
        <v/>
      </c>
      <c r="EV8" s="358" t="str">
        <f>IF(Daily!J94=0,"",Daily!J94)</f>
        <v/>
      </c>
      <c r="EW8" s="358" t="str">
        <f>IF(Daily!J125=0,"",Daily!J125)</f>
        <v/>
      </c>
      <c r="EX8" s="358">
        <f>IF(Daily!J155=0,"",Daily!J155)</f>
        <v>29.08162242034166</v>
      </c>
      <c r="EY8" s="358">
        <f>IF(Daily!J186=0,"",Daily!J186)</f>
        <v>113.62703237839479</v>
      </c>
      <c r="EZ8" s="358">
        <f>IF(Daily!J216=0,"",Daily!J216)</f>
        <v>244.86362810548331</v>
      </c>
      <c r="FA8" s="358">
        <f>IF(Daily!J247=0,"",Daily!J247)</f>
        <v>385.88172769825633</v>
      </c>
      <c r="FB8" s="358">
        <f>IF(Daily!J278=0,"",Daily!J278)</f>
        <v>492.56385177820175</v>
      </c>
      <c r="FC8" s="358" t="str">
        <f>IF(Daily!J308=0,"",Daily!J308)</f>
        <v/>
      </c>
      <c r="FD8" s="358" t="str">
        <f>IF(Daily!J339=0,"",Daily!J339)</f>
        <v/>
      </c>
      <c r="FE8" s="358" t="str">
        <f>IF(Daily!J369=0,"",Daily!J369)</f>
        <v/>
      </c>
      <c r="FF8" s="358" t="str">
        <f>IF(Daily!J400=0,"",Daily!J400)</f>
        <v/>
      </c>
      <c r="FG8" s="358" t="str">
        <f>IF(Daily!J431=0,"",Daily!J431)</f>
        <v/>
      </c>
      <c r="FH8" s="358" t="str">
        <f>IF(Daily!J459=0,"",Daily!J459)</f>
        <v/>
      </c>
      <c r="FI8" s="358" t="str">
        <f>IF(Daily!J490=0,"",Daily!J490)</f>
        <v/>
      </c>
      <c r="FJ8" s="358" t="str">
        <f>IF(Daily!J520=0,"",Daily!J520)</f>
        <v/>
      </c>
      <c r="FK8" s="358" t="str">
        <f>IF(Daily!J551=0,"",Daily!J551)</f>
        <v/>
      </c>
      <c r="FL8" s="358" t="str">
        <f>IF(Daily!J581=0,"",Daily!J581)</f>
        <v/>
      </c>
      <c r="FM8" s="349"/>
    </row>
    <row r="9" spans="1:169">
      <c r="A9" s="349"/>
      <c r="B9" s="356">
        <v>7</v>
      </c>
      <c r="C9" s="357" t="str">
        <f>Daily!D35</f>
        <v/>
      </c>
      <c r="D9" s="357" t="str">
        <f>Daily!D66</f>
        <v/>
      </c>
      <c r="E9" s="357" t="str">
        <f>Daily!D95</f>
        <v/>
      </c>
      <c r="F9" s="357" t="str">
        <f>Daily!D126</f>
        <v/>
      </c>
      <c r="G9" s="357">
        <f>Daily!D156</f>
        <v>0.64566815223773377</v>
      </c>
      <c r="H9" s="357">
        <f>Daily!D187</f>
        <v>0.27412592177024614</v>
      </c>
      <c r="I9" s="357">
        <f>Daily!D217</f>
        <v>0.94478137284922836</v>
      </c>
      <c r="J9" s="357">
        <f>Daily!D248</f>
        <v>0.21143652877284819</v>
      </c>
      <c r="K9" s="357">
        <f>Daily!D279</f>
        <v>0.82627075577701126</v>
      </c>
      <c r="L9" s="357" t="str">
        <f>Daily!D309</f>
        <v/>
      </c>
      <c r="M9" s="357" t="str">
        <f>Daily!D340</f>
        <v/>
      </c>
      <c r="N9" s="357" t="str">
        <f>Daily!D370</f>
        <v/>
      </c>
      <c r="O9" s="357" t="str">
        <f>Daily!D401</f>
        <v/>
      </c>
      <c r="P9" s="357" t="str">
        <f>Daily!D432</f>
        <v/>
      </c>
      <c r="Q9" s="357" t="str">
        <f>Daily!D460</f>
        <v/>
      </c>
      <c r="R9" s="357" t="str">
        <f>Daily!D491</f>
        <v/>
      </c>
      <c r="S9" s="357" t="str">
        <f>Daily!D521</f>
        <v/>
      </c>
      <c r="T9" s="357" t="str">
        <f>Daily!D552</f>
        <v/>
      </c>
      <c r="U9" s="357" t="str">
        <f>Daily!D582</f>
        <v/>
      </c>
      <c r="V9" s="349"/>
      <c r="W9" s="356">
        <v>7</v>
      </c>
      <c r="X9" s="357">
        <f>Daily!C35</f>
        <v>0.74494176690550129</v>
      </c>
      <c r="Y9" s="357">
        <f>Daily!C66</f>
        <v>0.37718204673649641</v>
      </c>
      <c r="Z9" s="357">
        <f>Daily!C95</f>
        <v>1.0836619209021265</v>
      </c>
      <c r="AA9" s="357">
        <f>Daily!C126</f>
        <v>2.4478030510786795</v>
      </c>
      <c r="AB9" s="357">
        <f>Daily!C156</f>
        <v>1.8421522137245261</v>
      </c>
      <c r="AC9" s="357">
        <f>Daily!C187</f>
        <v>4.4462286753676405</v>
      </c>
      <c r="AD9" s="357">
        <f>Daily!C217</f>
        <v>4.4509781454770909</v>
      </c>
      <c r="AE9" s="357">
        <f>Daily!C248</f>
        <v>4.7594598896694214</v>
      </c>
      <c r="AF9" s="357">
        <f>Daily!C279</f>
        <v>2.0862799704609447</v>
      </c>
      <c r="AG9" s="357">
        <f>Daily!C309</f>
        <v>1.8464129891664798</v>
      </c>
      <c r="AH9" s="357">
        <f>Daily!C340</f>
        <v>0.41608921674286758</v>
      </c>
      <c r="AI9" s="357">
        <f>Daily!C370</f>
        <v>0.16740153746264114</v>
      </c>
      <c r="AJ9" s="357">
        <f>Daily!C401</f>
        <v>0.74494176690550129</v>
      </c>
      <c r="AK9" s="357">
        <f>Daily!C432</f>
        <v>0.37718204673649641</v>
      </c>
      <c r="AL9" s="357">
        <f>Daily!C460</f>
        <v>1.5724939236484043</v>
      </c>
      <c r="AM9" s="357">
        <f>Daily!C491</f>
        <v>1.8718532351116166</v>
      </c>
      <c r="AN9" s="357">
        <f>Daily!C521</f>
        <v>3.3627214264420116</v>
      </c>
      <c r="AO9" s="357">
        <f>Daily!C552</f>
        <v>4.1290757913512</v>
      </c>
      <c r="AP9" s="357">
        <f>Daily!C582</f>
        <v>3.3390863812371721</v>
      </c>
      <c r="AQ9" s="349"/>
      <c r="AR9" s="356">
        <v>7</v>
      </c>
      <c r="AS9" s="357" t="str">
        <f>IF(ISNA(Daily!E35),"",Daily!E35)</f>
        <v/>
      </c>
      <c r="AT9" s="357" t="str">
        <f>IF(ISNA(Daily!E66),"",Daily!E66)</f>
        <v/>
      </c>
      <c r="AU9" s="357" t="str">
        <f>IF(ISNA(Daily!E95),"",Daily!E95)</f>
        <v/>
      </c>
      <c r="AV9" s="357" t="str">
        <f>IF(ISNA(Daily!E126),"",Daily!E126)</f>
        <v/>
      </c>
      <c r="AW9" s="357">
        <f>IF(ISNA(Daily!E156),"",Daily!E156)</f>
        <v>0.64566815223773377</v>
      </c>
      <c r="AX9" s="357">
        <f>IF(ISNA(Daily!E187),"",Daily!E187)</f>
        <v>0.60476190476190483</v>
      </c>
      <c r="AY9" s="357">
        <f>IF(ISNA(Daily!E217),"",Daily!E217)</f>
        <v>1.0500000000000007</v>
      </c>
      <c r="AZ9" s="357">
        <f>IF(ISNA(Daily!E248),"",Daily!E248)</f>
        <v>1.0500000000000007</v>
      </c>
      <c r="BA9" s="357">
        <f>IF(ISNA(Daily!E279),"",Daily!E279)</f>
        <v>0.84642857142857286</v>
      </c>
      <c r="BB9" s="357" t="str">
        <f>IF(ISNA(Daily!E309),"",Daily!E309)</f>
        <v/>
      </c>
      <c r="BC9" s="357" t="str">
        <f>IF(ISNA(Daily!E340),"",Daily!E340)</f>
        <v/>
      </c>
      <c r="BD9" s="357" t="str">
        <f>IF(ISNA(Daily!E370),"",Daily!E370)</f>
        <v/>
      </c>
      <c r="BE9" s="357" t="str">
        <f>IF(ISNA(Daily!E401),"",Daily!E401)</f>
        <v/>
      </c>
      <c r="BF9" s="357" t="str">
        <f>IF(ISNA(Daily!E432),"",Daily!E432)</f>
        <v/>
      </c>
      <c r="BG9" s="357" t="str">
        <f>IF(ISNA(Daily!E460),"",Daily!E460)</f>
        <v/>
      </c>
      <c r="BH9" s="357" t="str">
        <f>IF(ISNA(Daily!E491),"",Daily!E491)</f>
        <v/>
      </c>
      <c r="BI9" s="357" t="str">
        <f>IF(ISNA(Daily!E521),"",Daily!E521)</f>
        <v/>
      </c>
      <c r="BJ9" s="357" t="str">
        <f>IF(ISNA(Daily!E552),"",Daily!E552)</f>
        <v/>
      </c>
      <c r="BK9" s="357" t="str">
        <f>IF(ISNA(Daily!E582),"",Daily!E582)</f>
        <v/>
      </c>
      <c r="BL9" s="349"/>
      <c r="BM9" s="356">
        <v>7</v>
      </c>
      <c r="BN9" s="357" t="str">
        <f>Daily!G35</f>
        <v/>
      </c>
      <c r="BO9" s="357" t="str">
        <f>Daily!G66</f>
        <v/>
      </c>
      <c r="BP9" s="357" t="str">
        <f>Daily!G95</f>
        <v/>
      </c>
      <c r="BQ9" s="357" t="str">
        <f>Daily!G126</f>
        <v/>
      </c>
      <c r="BR9" s="357">
        <f>Daily!G156</f>
        <v>1.1894190159761655</v>
      </c>
      <c r="BS9" s="357">
        <f>Daily!G187</f>
        <v>2.6889097227223355</v>
      </c>
      <c r="BT9" s="357">
        <f>Daily!G217</f>
        <v>4.6735270527509485</v>
      </c>
      <c r="BU9" s="357">
        <f>Daily!G248</f>
        <v>4.9974328841528957</v>
      </c>
      <c r="BV9" s="357">
        <f>Daily!G279</f>
        <v>1.7658869749973025</v>
      </c>
      <c r="BW9" s="357" t="str">
        <f>Daily!G309</f>
        <v/>
      </c>
      <c r="BX9" s="357" t="str">
        <f>Daily!G340</f>
        <v/>
      </c>
      <c r="BY9" s="357" t="str">
        <f>Daily!G370</f>
        <v/>
      </c>
      <c r="BZ9" s="357" t="str">
        <f>Daily!G401</f>
        <v/>
      </c>
      <c r="CA9" s="357" t="str">
        <f>Daily!G432</f>
        <v/>
      </c>
      <c r="CB9" s="357" t="str">
        <f>Daily!G460</f>
        <v/>
      </c>
      <c r="CC9" s="357" t="str">
        <f>Daily!G491</f>
        <v/>
      </c>
      <c r="CD9" s="357" t="str">
        <f>Daily!G521</f>
        <v/>
      </c>
      <c r="CE9" s="357" t="str">
        <f>Daily!G552</f>
        <v/>
      </c>
      <c r="CF9" s="357" t="str">
        <f>Daily!G582</f>
        <v/>
      </c>
      <c r="CG9" s="349"/>
      <c r="CH9" s="356">
        <v>7</v>
      </c>
      <c r="CI9" s="358" t="str">
        <f>IF(Daily!I35=0,"",Daily!I35)</f>
        <v/>
      </c>
      <c r="CJ9" s="358" t="str">
        <f>IF(Daily!I66=0,"",Daily!I66)</f>
        <v/>
      </c>
      <c r="CK9" s="358" t="str">
        <f>IF(Daily!I95=0,"",Daily!I95)</f>
        <v/>
      </c>
      <c r="CL9" s="358" t="str">
        <f>IF(Daily!I126=0,"",Daily!I126)</f>
        <v/>
      </c>
      <c r="CM9" s="358" t="str">
        <f>IF(Daily!I1506=0,"",Daily!I156)</f>
        <v/>
      </c>
      <c r="CN9" s="358">
        <f>IF(Daily!I187=0,"",Daily!I187)</f>
        <v>91.236047257197015</v>
      </c>
      <c r="CO9" s="358">
        <f>IF(Daily!I217=0,"",Daily!I217)</f>
        <v>210.60017430181489</v>
      </c>
      <c r="CP9" s="358">
        <f>IF(Daily!I248=0,"",Daily!I248)</f>
        <v>351.87164726227485</v>
      </c>
      <c r="CQ9" s="358">
        <f>IF(Daily!I279=0,"",Daily!I279)</f>
        <v>457.19525778493477</v>
      </c>
      <c r="CR9" s="358" t="str">
        <f>IF(Daily!I309=0,"",Daily!I309)</f>
        <v/>
      </c>
      <c r="CS9" s="358" t="str">
        <f>IF(Daily!I340=0,"",Daily!I340)</f>
        <v/>
      </c>
      <c r="CT9" s="358" t="str">
        <f>IF(Daily!I370=0,"",Daily!I370)</f>
        <v/>
      </c>
      <c r="CU9" s="358" t="str">
        <f>IF(Daily!I401=0,"",Daily!I401)</f>
        <v/>
      </c>
      <c r="CV9" s="358" t="str">
        <f>IF(Daily!I432=0,"",Daily!I432)</f>
        <v/>
      </c>
      <c r="CW9" s="358" t="str">
        <f>IF(Daily!I460=0,"",Daily!I460)</f>
        <v/>
      </c>
      <c r="CX9" s="358" t="str">
        <f>IF(Daily!I491=0,"",Daily!I491)</f>
        <v/>
      </c>
      <c r="CY9" s="358" t="str">
        <f>IF(Daily!I521=0,"",Daily!I521)</f>
        <v/>
      </c>
      <c r="CZ9" s="358" t="str">
        <f>IF(Daily!I552=0,"",Daily!I552)</f>
        <v/>
      </c>
      <c r="DA9" s="358" t="str">
        <f>IF(Daily!I582=0,"",Daily!I582)</f>
        <v/>
      </c>
      <c r="DB9" s="349"/>
      <c r="DC9" s="356">
        <v>7</v>
      </c>
      <c r="DD9" s="357" t="str">
        <f>IF(ISNA(Daily!F35),"",Daily!F35)</f>
        <v/>
      </c>
      <c r="DE9" s="357" t="str">
        <f>IF(ISNA(Daily!F66),"",Daily!F66)</f>
        <v/>
      </c>
      <c r="DF9" s="357" t="str">
        <f>IF(ISNA(Daily!F95),"",Daily!F95)</f>
        <v/>
      </c>
      <c r="DG9" s="357" t="str">
        <f>IF(ISNA(Daily!F126),"",Daily!F126)</f>
        <v/>
      </c>
      <c r="DH9" s="357">
        <f>IF(ISNA(Daily!F156),"",Daily!F156)</f>
        <v>0.8102962140161466</v>
      </c>
      <c r="DI9" s="357">
        <f>IF(ISNA(Daily!F187),"",Daily!F187)</f>
        <v>0.92687678974183096</v>
      </c>
      <c r="DJ9" s="357">
        <f>IF(ISNA(Daily!F217),"",Daily!F217)</f>
        <v>1.0551154230400821</v>
      </c>
      <c r="DK9" s="357">
        <f>IF(ISNA(Daily!F248),"",Daily!F248)</f>
        <v>1.0551154230400821</v>
      </c>
      <c r="DL9" s="357">
        <f>IF(ISNA(Daily!F279),"",Daily!F279)</f>
        <v>0.91469395962794553</v>
      </c>
      <c r="DM9" s="357" t="str">
        <f>IF(ISNA(Daily!F309),"",Daily!F309)</f>
        <v/>
      </c>
      <c r="DN9" s="357" t="str">
        <f>IF(ISNA(Daily!F340),"",Daily!F340)</f>
        <v/>
      </c>
      <c r="DO9" s="357" t="str">
        <f>IF(ISNA(Daily!F370),"",Daily!F370)</f>
        <v/>
      </c>
      <c r="DP9" s="357" t="str">
        <f>IF(ISNA(Daily!F401),"",Daily!F401)</f>
        <v/>
      </c>
      <c r="DQ9" s="357" t="str">
        <f>IF(ISNA(Daily!F432),"",Daily!F432)</f>
        <v/>
      </c>
      <c r="DR9" s="357" t="str">
        <f>IF(ISNA(Daily!F461),"",Daily!F461)</f>
        <v/>
      </c>
      <c r="DS9" s="357" t="str">
        <f>IF(ISNA(Daily!F491),"",Daily!F491)</f>
        <v/>
      </c>
      <c r="DT9" s="357" t="str">
        <f>IF(ISNA(Daily!F521),"",Daily!F521)</f>
        <v/>
      </c>
      <c r="DU9" s="357" t="str">
        <f>IF(ISNA(Daily!F552),"",Daily!F552)</f>
        <v/>
      </c>
      <c r="DV9" s="357" t="str">
        <f>IF(ISNA(Daily!F582),"",Daily!G582)</f>
        <v/>
      </c>
      <c r="DW9" s="349"/>
      <c r="DX9" s="356">
        <v>7</v>
      </c>
      <c r="DY9" s="357" t="str">
        <f>Daily!H35</f>
        <v/>
      </c>
      <c r="DZ9" s="357" t="str">
        <f>Daily!H66</f>
        <v/>
      </c>
      <c r="EA9" s="357" t="str">
        <f>Daily!H95</f>
        <v/>
      </c>
      <c r="EB9" s="357" t="str">
        <f>Daily!H126</f>
        <v/>
      </c>
      <c r="EC9" s="357">
        <f>Daily!H156</f>
        <v>1.4926889644224468</v>
      </c>
      <c r="ED9" s="357">
        <f>Daily!H187</f>
        <v>4.1211061610828326</v>
      </c>
      <c r="EE9" s="357">
        <f>Daily!H217</f>
        <v>4.6962956889072212</v>
      </c>
      <c r="EF9" s="357">
        <f>Daily!H248</f>
        <v>5.0217795349308538</v>
      </c>
      <c r="EG9" s="357">
        <f>Daily!H279</f>
        <v>1.9083076870733948</v>
      </c>
      <c r="EH9" s="357" t="str">
        <f>Daily!H309</f>
        <v/>
      </c>
      <c r="EI9" s="357" t="str">
        <f>Daily!H340</f>
        <v/>
      </c>
      <c r="EJ9" s="357" t="str">
        <f>Daily!H370</f>
        <v/>
      </c>
      <c r="EK9" s="357" t="str">
        <f>Daily!H401</f>
        <v/>
      </c>
      <c r="EL9" s="357" t="str">
        <f>Daily!H432</f>
        <v/>
      </c>
      <c r="EM9" s="357" t="str">
        <f>Daily!H460</f>
        <v/>
      </c>
      <c r="EN9" s="357" t="str">
        <f>Daily!H491</f>
        <v/>
      </c>
      <c r="EO9" s="357" t="str">
        <f>Daily!H521</f>
        <v/>
      </c>
      <c r="EP9" s="357" t="str">
        <f>Daily!H552</f>
        <v/>
      </c>
      <c r="EQ9" s="357" t="str">
        <f>Daily!H582</f>
        <v/>
      </c>
      <c r="ER9" s="349"/>
      <c r="ES9" s="356">
        <v>7</v>
      </c>
      <c r="ET9" s="358" t="str">
        <f>IF(Daily!J35=0,"",Daily!J35)</f>
        <v/>
      </c>
      <c r="EU9" s="358" t="str">
        <f>IF(Daily!J66=0,"",Daily!J66)</f>
        <v/>
      </c>
      <c r="EV9" s="358" t="str">
        <f>IF(Daily!J95=0,"",Daily!J95)</f>
        <v/>
      </c>
      <c r="EW9" s="358" t="str">
        <f>IF(Daily!J126=0,"",Daily!J126)</f>
        <v/>
      </c>
      <c r="EX9" s="358">
        <f>IF(Daily!J156=0,"",Daily!J156)</f>
        <v>30.574311384764105</v>
      </c>
      <c r="EY9" s="358">
        <f>IF(Daily!J187=0,"",Daily!J187)</f>
        <v>117.74813853947762</v>
      </c>
      <c r="EZ9" s="358">
        <f>IF(Daily!J217=0,"",Daily!J217)</f>
        <v>249.55992379439053</v>
      </c>
      <c r="FA9" s="358">
        <f>IF(Daily!J248=0,"",Daily!J248)</f>
        <v>390.90350723318716</v>
      </c>
      <c r="FB9" s="358">
        <f>IF(Daily!J279=0,"",Daily!J279)</f>
        <v>494.47215946527513</v>
      </c>
      <c r="FC9" s="358" t="str">
        <f>IF(Daily!J309=0,"",Daily!J309)</f>
        <v/>
      </c>
      <c r="FD9" s="358" t="str">
        <f>IF(Daily!J340=0,"",Daily!J340)</f>
        <v/>
      </c>
      <c r="FE9" s="358" t="str">
        <f>IF(Daily!J370=0,"",Daily!J370)</f>
        <v/>
      </c>
      <c r="FF9" s="358" t="str">
        <f>IF(Daily!J401=0,"",Daily!J401)</f>
        <v/>
      </c>
      <c r="FG9" s="358" t="str">
        <f>IF(Daily!J432=0,"",Daily!J432)</f>
        <v/>
      </c>
      <c r="FH9" s="358" t="str">
        <f>IF(Daily!J460=0,"",Daily!J460)</f>
        <v/>
      </c>
      <c r="FI9" s="358" t="str">
        <f>IF(Daily!J491=0,"",Daily!J491)</f>
        <v/>
      </c>
      <c r="FJ9" s="358" t="str">
        <f>IF(Daily!J521=0,"",Daily!J521)</f>
        <v/>
      </c>
      <c r="FK9" s="358" t="str">
        <f>IF(Daily!J552=0,"",Daily!J552)</f>
        <v/>
      </c>
      <c r="FL9" s="358" t="str">
        <f>IF(Daily!J582=0,"",Daily!J582)</f>
        <v/>
      </c>
      <c r="FM9" s="349"/>
    </row>
    <row r="10" spans="1:169">
      <c r="A10" s="349"/>
      <c r="B10" s="356">
        <v>8</v>
      </c>
      <c r="C10" s="357" t="str">
        <f>Daily!D36</f>
        <v/>
      </c>
      <c r="D10" s="357" t="str">
        <f>Daily!D67</f>
        <v/>
      </c>
      <c r="E10" s="357" t="str">
        <f>Daily!D96</f>
        <v/>
      </c>
      <c r="F10" s="357" t="str">
        <f>Daily!D127</f>
        <v/>
      </c>
      <c r="G10" s="357">
        <f>Daily!D157</f>
        <v>0.61433339725239178</v>
      </c>
      <c r="H10" s="357">
        <f>Daily!D188</f>
        <v>0.26720157085103119</v>
      </c>
      <c r="I10" s="357">
        <f>Daily!D218</f>
        <v>0.74931472832037815</v>
      </c>
      <c r="J10" s="357">
        <f>Daily!D249</f>
        <v>0.20872829480712593</v>
      </c>
      <c r="K10" s="357">
        <f>Daily!D280</f>
        <v>0.72497412661926508</v>
      </c>
      <c r="L10" s="357" t="str">
        <f>Daily!D310</f>
        <v/>
      </c>
      <c r="M10" s="357" t="str">
        <f>Daily!D341</f>
        <v/>
      </c>
      <c r="N10" s="357" t="str">
        <f>Daily!D371</f>
        <v/>
      </c>
      <c r="O10" s="357" t="str">
        <f>Daily!D402</f>
        <v/>
      </c>
      <c r="P10" s="357" t="str">
        <f>Daily!D433</f>
        <v/>
      </c>
      <c r="Q10" s="357" t="str">
        <f>Daily!D461</f>
        <v/>
      </c>
      <c r="R10" s="357" t="str">
        <f>Daily!D492</f>
        <v/>
      </c>
      <c r="S10" s="357" t="str">
        <f>Daily!D522</f>
        <v/>
      </c>
      <c r="T10" s="357" t="str">
        <f>Daily!D553</f>
        <v/>
      </c>
      <c r="U10" s="357" t="str">
        <f>Daily!D583</f>
        <v/>
      </c>
      <c r="V10" s="349"/>
      <c r="W10" s="356">
        <v>8</v>
      </c>
      <c r="X10" s="357">
        <f>Daily!C36</f>
        <v>0.26305806961331835</v>
      </c>
      <c r="Y10" s="357">
        <f>Daily!C67</f>
        <v>0.40184909694054805</v>
      </c>
      <c r="Z10" s="357">
        <f>Daily!C96</f>
        <v>1.1424230304692966</v>
      </c>
      <c r="AA10" s="357">
        <f>Daily!C127</f>
        <v>0.46595535146604128</v>
      </c>
      <c r="AB10" s="357">
        <f>Daily!C157</f>
        <v>1.6487735550847691</v>
      </c>
      <c r="AC10" s="357">
        <f>Daily!C188</f>
        <v>4.3562374293007231</v>
      </c>
      <c r="AD10" s="357">
        <f>Daily!C218</f>
        <v>4.4175903643995147</v>
      </c>
      <c r="AE10" s="357">
        <f>Daily!C249</f>
        <v>3.5860255885033321</v>
      </c>
      <c r="AF10" s="357">
        <f>Daily!C280</f>
        <v>2.9138217266599553</v>
      </c>
      <c r="AG10" s="357">
        <f>Daily!C310</f>
        <v>1.5303036358472843</v>
      </c>
      <c r="AH10" s="357">
        <f>Daily!C341</f>
        <v>0.44859811428674301</v>
      </c>
      <c r="AI10" s="357">
        <f>Daily!C371</f>
        <v>0.22609620971568736</v>
      </c>
      <c r="AJ10" s="357">
        <f>Daily!C402</f>
        <v>0.26305806961331835</v>
      </c>
      <c r="AK10" s="357">
        <f>Daily!C433</f>
        <v>0.40184909694054805</v>
      </c>
      <c r="AL10" s="357">
        <f>Daily!C461</f>
        <v>1.0836619209021265</v>
      </c>
      <c r="AM10" s="357">
        <f>Daily!C492</f>
        <v>2.4478030510786795</v>
      </c>
      <c r="AN10" s="357">
        <f>Daily!C522</f>
        <v>1.8421522137245261</v>
      </c>
      <c r="AO10" s="357">
        <f>Daily!C553</f>
        <v>4.4462286753676405</v>
      </c>
      <c r="AP10" s="357">
        <f>Daily!C583</f>
        <v>4.4509781454770909</v>
      </c>
      <c r="AQ10" s="349"/>
      <c r="AR10" s="356">
        <v>8</v>
      </c>
      <c r="AS10" s="357" t="str">
        <f>IF(ISNA(Daily!E36),"",Daily!E36)</f>
        <v/>
      </c>
      <c r="AT10" s="357" t="str">
        <f>IF(ISNA(Daily!E67),"",Daily!E67)</f>
        <v/>
      </c>
      <c r="AU10" s="357" t="str">
        <f>IF(ISNA(Daily!E96),"",Daily!E96)</f>
        <v/>
      </c>
      <c r="AV10" s="357" t="str">
        <f>IF(ISNA(Daily!E127),"",Daily!E127)</f>
        <v/>
      </c>
      <c r="AW10" s="357">
        <f>IF(ISNA(Daily!E157),"",Daily!E157)</f>
        <v>0.61433339725239178</v>
      </c>
      <c r="AX10" s="357">
        <f>IF(ISNA(Daily!E188),"",Daily!E188)</f>
        <v>0.62500000000000011</v>
      </c>
      <c r="AY10" s="357">
        <f>IF(ISNA(Daily!E218),"",Daily!E218)</f>
        <v>1.0500000000000007</v>
      </c>
      <c r="AZ10" s="357">
        <f>IF(ISNA(Daily!E249),"",Daily!E249)</f>
        <v>1.0500000000000007</v>
      </c>
      <c r="BA10" s="357">
        <f>IF(ISNA(Daily!E280),"",Daily!E280)</f>
        <v>0.83571428571428719</v>
      </c>
      <c r="BB10" s="357" t="str">
        <f>IF(ISNA(Daily!E310),"",Daily!E310)</f>
        <v/>
      </c>
      <c r="BC10" s="357" t="str">
        <f>IF(ISNA(Daily!E341),"",Daily!E341)</f>
        <v/>
      </c>
      <c r="BD10" s="357" t="str">
        <f>IF(ISNA(Daily!E371),"",Daily!E371)</f>
        <v/>
      </c>
      <c r="BE10" s="357" t="str">
        <f>IF(ISNA(Daily!E402),"",Daily!E402)</f>
        <v/>
      </c>
      <c r="BF10" s="357" t="str">
        <f>IF(ISNA(Daily!E433),"",Daily!E433)</f>
        <v/>
      </c>
      <c r="BG10" s="357" t="str">
        <f>IF(ISNA(Daily!E461),"",Daily!E461)</f>
        <v/>
      </c>
      <c r="BH10" s="357" t="str">
        <f>IF(ISNA(Daily!E492),"",Daily!E492)</f>
        <v/>
      </c>
      <c r="BI10" s="357" t="str">
        <f>IF(ISNA(Daily!E522),"",Daily!E522)</f>
        <v/>
      </c>
      <c r="BJ10" s="357" t="str">
        <f>IF(ISNA(Daily!E553),"",Daily!E553)</f>
        <v/>
      </c>
      <c r="BK10" s="357" t="str">
        <f>IF(ISNA(Daily!E583),"",Daily!E583)</f>
        <v/>
      </c>
      <c r="BL10" s="349"/>
      <c r="BM10" s="356">
        <v>8</v>
      </c>
      <c r="BN10" s="357" t="str">
        <f>Daily!G36</f>
        <v/>
      </c>
      <c r="BO10" s="357" t="str">
        <f>Daily!G67</f>
        <v/>
      </c>
      <c r="BP10" s="357" t="str">
        <f>Daily!G96</f>
        <v/>
      </c>
      <c r="BQ10" s="357" t="str">
        <f>Daily!G127</f>
        <v/>
      </c>
      <c r="BR10" s="357">
        <f>Daily!G157</f>
        <v>1.0128966593951296</v>
      </c>
      <c r="BS10" s="357">
        <f>Daily!G188</f>
        <v>2.7226483933129524</v>
      </c>
      <c r="BT10" s="357">
        <f>Daily!G218</f>
        <v>4.6384698826194937</v>
      </c>
      <c r="BU10" s="357">
        <f>Daily!G249</f>
        <v>3.765326867928501</v>
      </c>
      <c r="BV10" s="357">
        <f>Daily!G280</f>
        <v>2.4351224429943956</v>
      </c>
      <c r="BW10" s="357" t="str">
        <f>Daily!G310</f>
        <v/>
      </c>
      <c r="BX10" s="357" t="str">
        <f>Daily!G341</f>
        <v/>
      </c>
      <c r="BY10" s="357" t="str">
        <f>Daily!G371</f>
        <v/>
      </c>
      <c r="BZ10" s="357" t="str">
        <f>Daily!G402</f>
        <v/>
      </c>
      <c r="CA10" s="357" t="str">
        <f>Daily!G433</f>
        <v/>
      </c>
      <c r="CB10" s="357" t="str">
        <f>Daily!G461</f>
        <v/>
      </c>
      <c r="CC10" s="357" t="str">
        <f>Daily!G492</f>
        <v/>
      </c>
      <c r="CD10" s="357" t="str">
        <f>Daily!G522</f>
        <v/>
      </c>
      <c r="CE10" s="357" t="str">
        <f>Daily!G553</f>
        <v/>
      </c>
      <c r="CF10" s="357" t="str">
        <f>Daily!G583</f>
        <v/>
      </c>
      <c r="CG10" s="349"/>
      <c r="CH10" s="356">
        <v>8</v>
      </c>
      <c r="CI10" s="358" t="str">
        <f>IF(Daily!I36=0,"",Daily!I36)</f>
        <v/>
      </c>
      <c r="CJ10" s="358" t="str">
        <f>IF(Daily!I67=0,"",Daily!I67)</f>
        <v/>
      </c>
      <c r="CK10" s="358" t="str">
        <f>IF(Daily!I96=0,"",Daily!I96)</f>
        <v/>
      </c>
      <c r="CL10" s="358" t="str">
        <f>IF(Daily!I127=0,"",Daily!I127)</f>
        <v/>
      </c>
      <c r="CM10" s="358" t="str">
        <f>IF(Daily!I1507=0,"",Daily!I157)</f>
        <v/>
      </c>
      <c r="CN10" s="358">
        <f>IF(Daily!I188=0,"",Daily!I188)</f>
        <v>93.958695650509966</v>
      </c>
      <c r="CO10" s="358">
        <f>IF(Daily!I218=0,"",Daily!I218)</f>
        <v>215.23864418443438</v>
      </c>
      <c r="CP10" s="358">
        <f>IF(Daily!I249=0,"",Daily!I249)</f>
        <v>355.63697413020333</v>
      </c>
      <c r="CQ10" s="358">
        <f>IF(Daily!I280=0,"",Daily!I280)</f>
        <v>459.63038022792915</v>
      </c>
      <c r="CR10" s="358" t="str">
        <f>IF(Daily!I310=0,"",Daily!I310)</f>
        <v/>
      </c>
      <c r="CS10" s="358" t="str">
        <f>IF(Daily!I341=0,"",Daily!I341)</f>
        <v/>
      </c>
      <c r="CT10" s="358" t="str">
        <f>IF(Daily!I371=0,"",Daily!I371)</f>
        <v/>
      </c>
      <c r="CU10" s="358" t="str">
        <f>IF(Daily!I402=0,"",Daily!I402)</f>
        <v/>
      </c>
      <c r="CV10" s="358" t="str">
        <f>IF(Daily!I433=0,"",Daily!I433)</f>
        <v/>
      </c>
      <c r="CW10" s="358" t="str">
        <f>IF(Daily!I461=0,"",Daily!I461)</f>
        <v/>
      </c>
      <c r="CX10" s="358" t="str">
        <f>IF(Daily!I492=0,"",Daily!I492)</f>
        <v/>
      </c>
      <c r="CY10" s="358" t="str">
        <f>IF(Daily!I522=0,"",Daily!I522)</f>
        <v/>
      </c>
      <c r="CZ10" s="358" t="str">
        <f>IF(Daily!I553=0,"",Daily!I553)</f>
        <v/>
      </c>
      <c r="DA10" s="358" t="str">
        <f>IF(Daily!I583=0,"",Daily!I583)</f>
        <v/>
      </c>
      <c r="DB10" s="349"/>
      <c r="DC10" s="356">
        <v>8</v>
      </c>
      <c r="DD10" s="357" t="str">
        <f>IF(ISNA(Daily!F36),"",Daily!F36)</f>
        <v/>
      </c>
      <c r="DE10" s="357" t="str">
        <f>IF(ISNA(Daily!F67),"",Daily!F67)</f>
        <v/>
      </c>
      <c r="DF10" s="357" t="str">
        <f>IF(ISNA(Daily!F96),"",Daily!F96)</f>
        <v/>
      </c>
      <c r="DG10" s="357" t="str">
        <f>IF(ISNA(Daily!F127),"",Daily!F127)</f>
        <v/>
      </c>
      <c r="DH10" s="357">
        <f>IF(ISNA(Daily!F157),"",Daily!F157)</f>
        <v>0.8102962140161466</v>
      </c>
      <c r="DI10" s="357">
        <f>IF(ISNA(Daily!F188),"",Daily!F188)</f>
        <v>0.93270581852811518</v>
      </c>
      <c r="DJ10" s="357">
        <f>IF(ISNA(Daily!F218),"",Daily!F218)</f>
        <v>1.0551154230400821</v>
      </c>
      <c r="DK10" s="357">
        <f>IF(ISNA(Daily!F249),"",Daily!F249)</f>
        <v>1.0551154230400821</v>
      </c>
      <c r="DL10" s="357">
        <f>IF(ISNA(Daily!F280),"",Daily!F280)</f>
        <v>0.90730335629046466</v>
      </c>
      <c r="DM10" s="357" t="str">
        <f>IF(ISNA(Daily!F310),"",Daily!F310)</f>
        <v/>
      </c>
      <c r="DN10" s="357" t="str">
        <f>IF(ISNA(Daily!F341),"",Daily!F341)</f>
        <v/>
      </c>
      <c r="DO10" s="357" t="str">
        <f>IF(ISNA(Daily!F371),"",Daily!F371)</f>
        <v/>
      </c>
      <c r="DP10" s="357" t="str">
        <f>IF(ISNA(Daily!F402),"",Daily!F402)</f>
        <v/>
      </c>
      <c r="DQ10" s="357" t="str">
        <f>IF(ISNA(Daily!F433),"",Daily!F433)</f>
        <v/>
      </c>
      <c r="DR10" s="357" t="str">
        <f>IF(ISNA(Daily!F462),"",Daily!F462)</f>
        <v/>
      </c>
      <c r="DS10" s="357" t="str">
        <f>IF(ISNA(Daily!F492),"",Daily!F492)</f>
        <v/>
      </c>
      <c r="DT10" s="357" t="str">
        <f>IF(ISNA(Daily!F522),"",Daily!F522)</f>
        <v/>
      </c>
      <c r="DU10" s="357" t="str">
        <f>IF(ISNA(Daily!F553),"",Daily!F553)</f>
        <v/>
      </c>
      <c r="DV10" s="357" t="str">
        <f>IF(ISNA(Daily!F583),"",Daily!G583)</f>
        <v/>
      </c>
      <c r="DW10" s="349"/>
      <c r="DX10" s="356">
        <v>8</v>
      </c>
      <c r="DY10" s="357" t="str">
        <f>Daily!H36</f>
        <v/>
      </c>
      <c r="DZ10" s="357" t="str">
        <f>Daily!H67</f>
        <v/>
      </c>
      <c r="EA10" s="357" t="str">
        <f>Daily!H96</f>
        <v/>
      </c>
      <c r="EB10" s="357" t="str">
        <f>Daily!H127</f>
        <v/>
      </c>
      <c r="EC10" s="357">
        <f>Daily!H157</f>
        <v>1.335994969455131</v>
      </c>
      <c r="ED10" s="357">
        <f>Daily!H188</f>
        <v>4.0630879971987435</v>
      </c>
      <c r="EE10" s="357">
        <f>Daily!H218</f>
        <v>4.6610677261511846</v>
      </c>
      <c r="EF10" s="357">
        <f>Daily!H249</f>
        <v>3.7836709058462525</v>
      </c>
      <c r="EG10" s="357">
        <f>Daily!H280</f>
        <v>2.6437202322306543</v>
      </c>
      <c r="EH10" s="357" t="str">
        <f>Daily!H310</f>
        <v/>
      </c>
      <c r="EI10" s="357" t="str">
        <f>Daily!H341</f>
        <v/>
      </c>
      <c r="EJ10" s="357" t="str">
        <f>Daily!H371</f>
        <v/>
      </c>
      <c r="EK10" s="357" t="str">
        <f>Daily!H402</f>
        <v/>
      </c>
      <c r="EL10" s="357" t="str">
        <f>Daily!H433</f>
        <v/>
      </c>
      <c r="EM10" s="357" t="str">
        <f>Daily!H461</f>
        <v/>
      </c>
      <c r="EN10" s="357" t="str">
        <f>Daily!H492</f>
        <v/>
      </c>
      <c r="EO10" s="357" t="str">
        <f>Daily!H522</f>
        <v/>
      </c>
      <c r="EP10" s="357" t="str">
        <f>Daily!H553</f>
        <v/>
      </c>
      <c r="EQ10" s="357" t="str">
        <f>Daily!H583</f>
        <v/>
      </c>
      <c r="ER10" s="349"/>
      <c r="ES10" s="356">
        <v>8</v>
      </c>
      <c r="ET10" s="358" t="str">
        <f>IF(Daily!J36=0,"",Daily!J36)</f>
        <v/>
      </c>
      <c r="EU10" s="358" t="str">
        <f>IF(Daily!J67=0,"",Daily!J67)</f>
        <v/>
      </c>
      <c r="EV10" s="358" t="str">
        <f>IF(Daily!J96=0,"",Daily!J96)</f>
        <v/>
      </c>
      <c r="EW10" s="358" t="str">
        <f>IF(Daily!J127=0,"",Daily!J127)</f>
        <v/>
      </c>
      <c r="EX10" s="358">
        <f>IF(Daily!J157=0,"",Daily!J157)</f>
        <v>31.910306354219237</v>
      </c>
      <c r="EY10" s="358">
        <f>IF(Daily!J188=0,"",Daily!J188)</f>
        <v>121.81122653667637</v>
      </c>
      <c r="EZ10" s="358">
        <f>IF(Daily!J218=0,"",Daily!J218)</f>
        <v>254.2209915205417</v>
      </c>
      <c r="FA10" s="358">
        <f>IF(Daily!J249=0,"",Daily!J249)</f>
        <v>394.68717813903339</v>
      </c>
      <c r="FB10" s="358">
        <f>IF(Daily!J280=0,"",Daily!J280)</f>
        <v>497.11587969750576</v>
      </c>
      <c r="FC10" s="358" t="str">
        <f>IF(Daily!J310=0,"",Daily!J310)</f>
        <v/>
      </c>
      <c r="FD10" s="358" t="str">
        <f>IF(Daily!J341=0,"",Daily!J341)</f>
        <v/>
      </c>
      <c r="FE10" s="358" t="str">
        <f>IF(Daily!J371=0,"",Daily!J371)</f>
        <v/>
      </c>
      <c r="FF10" s="358" t="str">
        <f>IF(Daily!J402=0,"",Daily!J402)</f>
        <v/>
      </c>
      <c r="FG10" s="358" t="str">
        <f>IF(Daily!J433=0,"",Daily!J433)</f>
        <v/>
      </c>
      <c r="FH10" s="358" t="str">
        <f>IF(Daily!J461=0,"",Daily!J461)</f>
        <v/>
      </c>
      <c r="FI10" s="358" t="str">
        <f>IF(Daily!J492=0,"",Daily!J492)</f>
        <v/>
      </c>
      <c r="FJ10" s="358" t="str">
        <f>IF(Daily!J522=0,"",Daily!J522)</f>
        <v/>
      </c>
      <c r="FK10" s="358" t="str">
        <f>IF(Daily!J553=0,"",Daily!J553)</f>
        <v/>
      </c>
      <c r="FL10" s="358" t="str">
        <f>IF(Daily!J583=0,"",Daily!J583)</f>
        <v/>
      </c>
      <c r="FM10" s="349"/>
    </row>
    <row r="11" spans="1:169">
      <c r="A11" s="349"/>
      <c r="B11" s="356">
        <v>9</v>
      </c>
      <c r="C11" s="357" t="str">
        <f>Daily!D37</f>
        <v/>
      </c>
      <c r="D11" s="357" t="str">
        <f>Daily!D68</f>
        <v/>
      </c>
      <c r="E11" s="357" t="str">
        <f>Daily!D97</f>
        <v/>
      </c>
      <c r="F11" s="357" t="str">
        <f>Daily!D128</f>
        <v/>
      </c>
      <c r="G11" s="357">
        <f>Daily!D158</f>
        <v>0.56792238279984364</v>
      </c>
      <c r="H11" s="357">
        <f>Daily!D189</f>
        <v>0.26106740996520228</v>
      </c>
      <c r="I11" s="357">
        <f>Daily!D219</f>
        <v>0.63219912859381167</v>
      </c>
      <c r="J11" s="357">
        <f>Daily!D250</f>
        <v>0.20572785803280524</v>
      </c>
      <c r="K11" s="357">
        <f>Daily!D281</f>
        <v>0.65302984032757672</v>
      </c>
      <c r="L11" s="357" t="str">
        <f>Daily!D311</f>
        <v/>
      </c>
      <c r="M11" s="357" t="str">
        <f>Daily!D342</f>
        <v/>
      </c>
      <c r="N11" s="357" t="str">
        <f>Daily!D372</f>
        <v/>
      </c>
      <c r="O11" s="357" t="str">
        <f>Daily!D403</f>
        <v/>
      </c>
      <c r="P11" s="357" t="str">
        <f>Daily!D434</f>
        <v/>
      </c>
      <c r="Q11" s="357" t="str">
        <f>Daily!D462</f>
        <v/>
      </c>
      <c r="R11" s="357" t="str">
        <f>Daily!D493</f>
        <v/>
      </c>
      <c r="S11" s="357" t="str">
        <f>Daily!D523</f>
        <v/>
      </c>
      <c r="T11" s="357" t="str">
        <f>Daily!D554</f>
        <v/>
      </c>
      <c r="U11" s="357" t="str">
        <f>Daily!D584</f>
        <v/>
      </c>
      <c r="V11" s="349"/>
      <c r="W11" s="356">
        <v>9</v>
      </c>
      <c r="X11" s="357">
        <f>Daily!C37</f>
        <v>0.33856750769321325</v>
      </c>
      <c r="Y11" s="357">
        <f>Daily!C68</f>
        <v>0.35697698080417573</v>
      </c>
      <c r="Z11" s="357">
        <f>Daily!C97</f>
        <v>1.3410329982487244</v>
      </c>
      <c r="AA11" s="357">
        <f>Daily!C128</f>
        <v>0.54789851191428862</v>
      </c>
      <c r="AB11" s="357">
        <f>Daily!C158</f>
        <v>2.9498016282126498</v>
      </c>
      <c r="AC11" s="357">
        <f>Daily!C189</f>
        <v>4.1459186279255205</v>
      </c>
      <c r="AD11" s="357">
        <f>Daily!C219</f>
        <v>4.7621015055229519</v>
      </c>
      <c r="AE11" s="357">
        <f>Daily!C250</f>
        <v>4.1359534061889187</v>
      </c>
      <c r="AF11" s="357">
        <f>Daily!C281</f>
        <v>2.9219428494973703</v>
      </c>
      <c r="AG11" s="357">
        <f>Daily!C311</f>
        <v>1.3902745849596458</v>
      </c>
      <c r="AH11" s="357">
        <f>Daily!C342</f>
        <v>0.49556397787198192</v>
      </c>
      <c r="AI11" s="357">
        <f>Daily!C372</f>
        <v>0.15022959251795459</v>
      </c>
      <c r="AJ11" s="357">
        <f>Daily!C403</f>
        <v>0.33856750769321325</v>
      </c>
      <c r="AK11" s="357">
        <f>Daily!C434</f>
        <v>0.35697698080417573</v>
      </c>
      <c r="AL11" s="357">
        <f>Daily!C462</f>
        <v>1.1424230304692966</v>
      </c>
      <c r="AM11" s="357">
        <f>Daily!C493</f>
        <v>0.46595535146604128</v>
      </c>
      <c r="AN11" s="357">
        <f>Daily!C523</f>
        <v>1.6487735550847691</v>
      </c>
      <c r="AO11" s="357">
        <f>Daily!C554</f>
        <v>4.3562374293007231</v>
      </c>
      <c r="AP11" s="357">
        <f>Daily!C584</f>
        <v>4.4175903643995147</v>
      </c>
      <c r="AQ11" s="349"/>
      <c r="AR11" s="356">
        <v>9</v>
      </c>
      <c r="AS11" s="357" t="str">
        <f>IF(ISNA(Daily!E37),"",Daily!E37)</f>
        <v/>
      </c>
      <c r="AT11" s="357" t="str">
        <f>IF(ISNA(Daily!E68),"",Daily!E68)</f>
        <v/>
      </c>
      <c r="AU11" s="357" t="str">
        <f>IF(ISNA(Daily!E97),"",Daily!E97)</f>
        <v/>
      </c>
      <c r="AV11" s="357" t="str">
        <f>IF(ISNA(Daily!E128),"",Daily!E128)</f>
        <v/>
      </c>
      <c r="AW11" s="357">
        <f>IF(ISNA(Daily!E158),"",Daily!E158)</f>
        <v>0.56792238279984364</v>
      </c>
      <c r="AX11" s="357">
        <f>IF(ISNA(Daily!E189),"",Daily!E189)</f>
        <v>0.64523809523809539</v>
      </c>
      <c r="AY11" s="357">
        <f>IF(ISNA(Daily!E219),"",Daily!E219)</f>
        <v>1.0500000000000007</v>
      </c>
      <c r="AZ11" s="357">
        <f>IF(ISNA(Daily!E250),"",Daily!E250)</f>
        <v>1.0500000000000007</v>
      </c>
      <c r="BA11" s="357">
        <f>IF(ISNA(Daily!E281),"",Daily!E281)</f>
        <v>0.82500000000000151</v>
      </c>
      <c r="BB11" s="357" t="str">
        <f>IF(ISNA(Daily!E311),"",Daily!E311)</f>
        <v/>
      </c>
      <c r="BC11" s="357" t="str">
        <f>IF(ISNA(Daily!E342),"",Daily!E342)</f>
        <v/>
      </c>
      <c r="BD11" s="357" t="str">
        <f>IF(ISNA(Daily!E372),"",Daily!E372)</f>
        <v/>
      </c>
      <c r="BE11" s="357" t="str">
        <f>IF(ISNA(Daily!E403),"",Daily!E403)</f>
        <v/>
      </c>
      <c r="BF11" s="357" t="str">
        <f>IF(ISNA(Daily!E434),"",Daily!E434)</f>
        <v/>
      </c>
      <c r="BG11" s="357" t="str">
        <f>IF(ISNA(Daily!E462),"",Daily!E462)</f>
        <v/>
      </c>
      <c r="BH11" s="357" t="str">
        <f>IF(ISNA(Daily!E493),"",Daily!E493)</f>
        <v/>
      </c>
      <c r="BI11" s="357" t="str">
        <f>IF(ISNA(Daily!E523),"",Daily!E523)</f>
        <v/>
      </c>
      <c r="BJ11" s="357" t="str">
        <f>IF(ISNA(Daily!E554),"",Daily!E554)</f>
        <v/>
      </c>
      <c r="BK11" s="357" t="str">
        <f>IF(ISNA(Daily!E584),"",Daily!E584)</f>
        <v/>
      </c>
      <c r="BL11" s="349"/>
      <c r="BM11" s="356">
        <v>9</v>
      </c>
      <c r="BN11" s="357" t="str">
        <f>Daily!G37</f>
        <v/>
      </c>
      <c r="BO11" s="357" t="str">
        <f>Daily!G68</f>
        <v/>
      </c>
      <c r="BP11" s="357" t="str">
        <f>Daily!G97</f>
        <v/>
      </c>
      <c r="BQ11" s="357" t="str">
        <f>Daily!G128</f>
        <v/>
      </c>
      <c r="BR11" s="357">
        <f>Daily!G158</f>
        <v>1.6752583694813865</v>
      </c>
      <c r="BS11" s="357">
        <f>Daily!G189</f>
        <v>2.6751046384948007</v>
      </c>
      <c r="BT11" s="357">
        <f>Daily!G219</f>
        <v>5.0002065807991025</v>
      </c>
      <c r="BU11" s="357">
        <f>Daily!G250</f>
        <v>4.3427510764983674</v>
      </c>
      <c r="BV11" s="357">
        <f>Daily!G281</f>
        <v>2.410602850835335</v>
      </c>
      <c r="BW11" s="357" t="str">
        <f>Daily!G311</f>
        <v/>
      </c>
      <c r="BX11" s="357" t="str">
        <f>Daily!G342</f>
        <v/>
      </c>
      <c r="BY11" s="357" t="str">
        <f>Daily!G372</f>
        <v/>
      </c>
      <c r="BZ11" s="357" t="str">
        <f>Daily!G403</f>
        <v/>
      </c>
      <c r="CA11" s="357" t="str">
        <f>Daily!G434</f>
        <v/>
      </c>
      <c r="CB11" s="357" t="str">
        <f>Daily!G462</f>
        <v/>
      </c>
      <c r="CC11" s="357" t="str">
        <f>Daily!G493</f>
        <v/>
      </c>
      <c r="CD11" s="357" t="str">
        <f>Daily!G523</f>
        <v/>
      </c>
      <c r="CE11" s="357" t="str">
        <f>Daily!G554</f>
        <v/>
      </c>
      <c r="CF11" s="357" t="str">
        <f>Daily!G584</f>
        <v/>
      </c>
      <c r="CG11" s="349"/>
      <c r="CH11" s="356">
        <v>9</v>
      </c>
      <c r="CI11" s="358" t="str">
        <f>IF(Daily!I37=0,"",Daily!I37)</f>
        <v/>
      </c>
      <c r="CJ11" s="358" t="str">
        <f>IF(Daily!I68=0,"",Daily!I68)</f>
        <v/>
      </c>
      <c r="CK11" s="358" t="str">
        <f>IF(Daily!I97=0,"",Daily!I97)</f>
        <v/>
      </c>
      <c r="CL11" s="358" t="str">
        <f>IF(Daily!I128=0,"",Daily!I128)</f>
        <v/>
      </c>
      <c r="CM11" s="358" t="str">
        <f>IF(Daily!I1508=0,"",Daily!I158)</f>
        <v/>
      </c>
      <c r="CN11" s="358">
        <f>IF(Daily!I189=0,"",Daily!I189)</f>
        <v>96.633800289004768</v>
      </c>
      <c r="CO11" s="358">
        <f>IF(Daily!I219=0,"",Daily!I219)</f>
        <v>220.23885076523348</v>
      </c>
      <c r="CP11" s="358">
        <f>IF(Daily!I250=0,"",Daily!I250)</f>
        <v>359.97972520670169</v>
      </c>
      <c r="CQ11" s="358">
        <f>IF(Daily!I281=0,"",Daily!I281)</f>
        <v>462.0409830787645</v>
      </c>
      <c r="CR11" s="358" t="str">
        <f>IF(Daily!I311=0,"",Daily!I311)</f>
        <v/>
      </c>
      <c r="CS11" s="358" t="str">
        <f>IF(Daily!I342=0,"",Daily!I342)</f>
        <v/>
      </c>
      <c r="CT11" s="358" t="str">
        <f>IF(Daily!I372=0,"",Daily!I372)</f>
        <v/>
      </c>
      <c r="CU11" s="358" t="str">
        <f>IF(Daily!I403=0,"",Daily!I403)</f>
        <v/>
      </c>
      <c r="CV11" s="358" t="str">
        <f>IF(Daily!I434=0,"",Daily!I434)</f>
        <v/>
      </c>
      <c r="CW11" s="358" t="str">
        <f>IF(Daily!I462=0,"",Daily!I462)</f>
        <v/>
      </c>
      <c r="CX11" s="358" t="str">
        <f>IF(Daily!I493=0,"",Daily!I493)</f>
        <v/>
      </c>
      <c r="CY11" s="358" t="str">
        <f>IF(Daily!I523=0,"",Daily!I523)</f>
        <v/>
      </c>
      <c r="CZ11" s="358" t="str">
        <f>IF(Daily!I554=0,"",Daily!I554)</f>
        <v/>
      </c>
      <c r="DA11" s="358" t="str">
        <f>IF(Daily!I584=0,"",Daily!I584)</f>
        <v/>
      </c>
      <c r="DB11" s="349"/>
      <c r="DC11" s="356">
        <v>9</v>
      </c>
      <c r="DD11" s="357" t="str">
        <f>IF(ISNA(Daily!F37),"",Daily!F37)</f>
        <v/>
      </c>
      <c r="DE11" s="357" t="str">
        <f>IF(ISNA(Daily!F68),"",Daily!F68)</f>
        <v/>
      </c>
      <c r="DF11" s="357" t="str">
        <f>IF(ISNA(Daily!F97),"",Daily!F97)</f>
        <v/>
      </c>
      <c r="DG11" s="357" t="str">
        <f>IF(ISNA(Daily!F128),"",Daily!F128)</f>
        <v/>
      </c>
      <c r="DH11" s="357">
        <f>IF(ISNA(Daily!F158),"",Daily!F158)</f>
        <v>0.8102962140161466</v>
      </c>
      <c r="DI11" s="357">
        <f>IF(ISNA(Daily!F189),"",Daily!F189)</f>
        <v>0.9385348473143994</v>
      </c>
      <c r="DJ11" s="357">
        <f>IF(ISNA(Daily!F219),"",Daily!F219)</f>
        <v>1.0551154230400821</v>
      </c>
      <c r="DK11" s="357">
        <f>IF(ISNA(Daily!F250),"",Daily!F250)</f>
        <v>1.0551154230400821</v>
      </c>
      <c r="DL11" s="357">
        <f>IF(ISNA(Daily!F281),"",Daily!F281)</f>
        <v>0.89991275295298379</v>
      </c>
      <c r="DM11" s="357" t="str">
        <f>IF(ISNA(Daily!F311),"",Daily!F311)</f>
        <v/>
      </c>
      <c r="DN11" s="357" t="str">
        <f>IF(ISNA(Daily!F342),"",Daily!F342)</f>
        <v/>
      </c>
      <c r="DO11" s="357" t="str">
        <f>IF(ISNA(Daily!F372),"",Daily!F372)</f>
        <v/>
      </c>
      <c r="DP11" s="357" t="str">
        <f>IF(ISNA(Daily!F403),"",Daily!F403)</f>
        <v/>
      </c>
      <c r="DQ11" s="357" t="str">
        <f>IF(ISNA(Daily!F434),"",Daily!F434)</f>
        <v/>
      </c>
      <c r="DR11" s="357" t="str">
        <f>IF(ISNA(Daily!F463),"",Daily!F463)</f>
        <v/>
      </c>
      <c r="DS11" s="357" t="str">
        <f>IF(ISNA(Daily!F493),"",Daily!F493)</f>
        <v/>
      </c>
      <c r="DT11" s="357" t="str">
        <f>IF(ISNA(Daily!F523),"",Daily!F523)</f>
        <v/>
      </c>
      <c r="DU11" s="357" t="str">
        <f>IF(ISNA(Daily!F554),"",Daily!F554)</f>
        <v/>
      </c>
      <c r="DV11" s="357" t="str">
        <f>IF(ISNA(Daily!F584),"",Daily!G584)</f>
        <v/>
      </c>
      <c r="DW11" s="349"/>
      <c r="DX11" s="356">
        <v>9</v>
      </c>
      <c r="DY11" s="357" t="str">
        <f>Daily!H37</f>
        <v/>
      </c>
      <c r="DZ11" s="357" t="str">
        <f>Daily!H68</f>
        <v/>
      </c>
      <c r="EA11" s="357" t="str">
        <f>Daily!H97</f>
        <v/>
      </c>
      <c r="EB11" s="357" t="str">
        <f>Daily!H128</f>
        <v/>
      </c>
      <c r="EC11" s="357">
        <f>Daily!H158</f>
        <v>2.3902130914393749</v>
      </c>
      <c r="ED11" s="357">
        <f>Daily!H189</f>
        <v>3.8910891064380024</v>
      </c>
      <c r="EE11" s="357">
        <f>Daily!H219</f>
        <v>5.0245667445596611</v>
      </c>
      <c r="EF11" s="357">
        <f>Daily!H250</f>
        <v>4.3639082278450898</v>
      </c>
      <c r="EG11" s="357">
        <f>Daily!H281</f>
        <v>2.6294936336624644</v>
      </c>
      <c r="EH11" s="357" t="str">
        <f>Daily!H311</f>
        <v/>
      </c>
      <c r="EI11" s="357" t="str">
        <f>Daily!H342</f>
        <v/>
      </c>
      <c r="EJ11" s="357" t="str">
        <f>Daily!H372</f>
        <v/>
      </c>
      <c r="EK11" s="357" t="str">
        <f>Daily!H403</f>
        <v/>
      </c>
      <c r="EL11" s="357" t="str">
        <f>Daily!H434</f>
        <v/>
      </c>
      <c r="EM11" s="357" t="str">
        <f>Daily!H462</f>
        <v/>
      </c>
      <c r="EN11" s="357" t="str">
        <f>Daily!H493</f>
        <v/>
      </c>
      <c r="EO11" s="357" t="str">
        <f>Daily!H523</f>
        <v/>
      </c>
      <c r="EP11" s="357" t="str">
        <f>Daily!H554</f>
        <v/>
      </c>
      <c r="EQ11" s="357" t="str">
        <f>Daily!H584</f>
        <v/>
      </c>
      <c r="ER11" s="349"/>
      <c r="ES11" s="356">
        <v>9</v>
      </c>
      <c r="ET11" s="358" t="str">
        <f>IF(Daily!J37=0,"",Daily!J37)</f>
        <v/>
      </c>
      <c r="EU11" s="358" t="str">
        <f>IF(Daily!J68=0,"",Daily!J68)</f>
        <v/>
      </c>
      <c r="EV11" s="358" t="str">
        <f>IF(Daily!J97=0,"",Daily!J97)</f>
        <v/>
      </c>
      <c r="EW11" s="358" t="str">
        <f>IF(Daily!J128=0,"",Daily!J128)</f>
        <v/>
      </c>
      <c r="EX11" s="358">
        <f>IF(Daily!J158=0,"",Daily!J158)</f>
        <v>34.300519445658615</v>
      </c>
      <c r="EY11" s="358">
        <f>IF(Daily!J189=0,"",Daily!J189)</f>
        <v>125.70231564311437</v>
      </c>
      <c r="EZ11" s="358">
        <f>IF(Daily!J219=0,"",Daily!J219)</f>
        <v>259.24555826510135</v>
      </c>
      <c r="FA11" s="358">
        <f>IF(Daily!J250=0,"",Daily!J250)</f>
        <v>399.05108636687851</v>
      </c>
      <c r="FB11" s="358">
        <f>IF(Daily!J281=0,"",Daily!J281)</f>
        <v>499.74537333116825</v>
      </c>
      <c r="FC11" s="358" t="str">
        <f>IF(Daily!J311=0,"",Daily!J311)</f>
        <v/>
      </c>
      <c r="FD11" s="358" t="str">
        <f>IF(Daily!J342=0,"",Daily!J342)</f>
        <v/>
      </c>
      <c r="FE11" s="358" t="str">
        <f>IF(Daily!J372=0,"",Daily!J372)</f>
        <v/>
      </c>
      <c r="FF11" s="358" t="str">
        <f>IF(Daily!J403=0,"",Daily!J403)</f>
        <v/>
      </c>
      <c r="FG11" s="358" t="str">
        <f>IF(Daily!J434=0,"",Daily!J434)</f>
        <v/>
      </c>
      <c r="FH11" s="358" t="str">
        <f>IF(Daily!J462=0,"",Daily!J462)</f>
        <v/>
      </c>
      <c r="FI11" s="358" t="str">
        <f>IF(Daily!J493=0,"",Daily!J493)</f>
        <v/>
      </c>
      <c r="FJ11" s="358" t="str">
        <f>IF(Daily!J523=0,"",Daily!J523)</f>
        <v/>
      </c>
      <c r="FK11" s="358" t="str">
        <f>IF(Daily!J554=0,"",Daily!J554)</f>
        <v/>
      </c>
      <c r="FL11" s="358" t="str">
        <f>IF(Daily!J584=0,"",Daily!J584)</f>
        <v/>
      </c>
      <c r="FM11" s="349"/>
    </row>
    <row r="12" spans="1:169">
      <c r="A12" s="349"/>
      <c r="B12" s="356">
        <v>10</v>
      </c>
      <c r="C12" s="357" t="str">
        <f>Daily!D38</f>
        <v/>
      </c>
      <c r="D12" s="357" t="str">
        <f>Daily!D69</f>
        <v/>
      </c>
      <c r="E12" s="357" t="str">
        <f>Daily!D98</f>
        <v/>
      </c>
      <c r="F12" s="357" t="str">
        <f>Daily!D129</f>
        <v/>
      </c>
      <c r="G12" s="357">
        <f>Daily!D159</f>
        <v>0.52036023553432464</v>
      </c>
      <c r="H12" s="357">
        <f>Daily!D190</f>
        <v>0.25497410228495532</v>
      </c>
      <c r="I12" s="357">
        <f>Daily!D220</f>
        <v>0.55551109598408521</v>
      </c>
      <c r="J12" s="357">
        <f>Daily!D251</f>
        <v>0.20302690670637175</v>
      </c>
      <c r="K12" s="357">
        <f>Daily!D282</f>
        <v>0.60351261222789609</v>
      </c>
      <c r="L12" s="357" t="str">
        <f>Daily!D312</f>
        <v/>
      </c>
      <c r="M12" s="357" t="str">
        <f>Daily!D343</f>
        <v/>
      </c>
      <c r="N12" s="357" t="str">
        <f>Daily!D373</f>
        <v/>
      </c>
      <c r="O12" s="357" t="str">
        <f>Daily!D404</f>
        <v/>
      </c>
      <c r="P12" s="357" t="str">
        <f>Daily!D435</f>
        <v/>
      </c>
      <c r="Q12" s="357" t="str">
        <f>Daily!D463</f>
        <v/>
      </c>
      <c r="R12" s="357" t="str">
        <f>Daily!D494</f>
        <v/>
      </c>
      <c r="S12" s="357" t="str">
        <f>Daily!D524</f>
        <v/>
      </c>
      <c r="T12" s="357" t="str">
        <f>Daily!D555</f>
        <v/>
      </c>
      <c r="U12" s="357" t="str">
        <f>Daily!D585</f>
        <v/>
      </c>
      <c r="V12" s="349"/>
      <c r="W12" s="356">
        <v>10</v>
      </c>
      <c r="X12" s="357">
        <f>Daily!C38</f>
        <v>0.26807099555554398</v>
      </c>
      <c r="Y12" s="357">
        <f>Daily!C69</f>
        <v>0.40150119165400022</v>
      </c>
      <c r="Z12" s="357">
        <f>Daily!C98</f>
        <v>1.1150450964331124</v>
      </c>
      <c r="AA12" s="357">
        <f>Daily!C129</f>
        <v>1.5021347877701818</v>
      </c>
      <c r="AB12" s="357">
        <f>Daily!C159</f>
        <v>3.8585248973018555</v>
      </c>
      <c r="AC12" s="357">
        <f>Daily!C190</f>
        <v>4.411672347114922</v>
      </c>
      <c r="AD12" s="357">
        <f>Daily!C220</f>
        <v>4.8331833809099534</v>
      </c>
      <c r="AE12" s="357">
        <f>Daily!C251</f>
        <v>3.8777053791530784</v>
      </c>
      <c r="AF12" s="357">
        <f>Daily!C282</f>
        <v>2.6313715600740846</v>
      </c>
      <c r="AG12" s="357">
        <f>Daily!C312</f>
        <v>1.3337837455308192</v>
      </c>
      <c r="AH12" s="357">
        <f>Daily!C343</f>
        <v>0.47134381160449357</v>
      </c>
      <c r="AI12" s="357">
        <f>Daily!C373</f>
        <v>0.15350220716630447</v>
      </c>
      <c r="AJ12" s="357">
        <f>Daily!C404</f>
        <v>0.26807099555554398</v>
      </c>
      <c r="AK12" s="357">
        <f>Daily!C435</f>
        <v>0.40150119165400022</v>
      </c>
      <c r="AL12" s="357">
        <f>Daily!C463</f>
        <v>1.3410329982487244</v>
      </c>
      <c r="AM12" s="357">
        <f>Daily!C494</f>
        <v>0.54789851191428862</v>
      </c>
      <c r="AN12" s="357">
        <f>Daily!C524</f>
        <v>2.9498016282126498</v>
      </c>
      <c r="AO12" s="357">
        <f>Daily!C555</f>
        <v>4.1459186279255205</v>
      </c>
      <c r="AP12" s="357">
        <f>Daily!C585</f>
        <v>4.7621015055229519</v>
      </c>
      <c r="AQ12" s="349"/>
      <c r="AR12" s="356">
        <v>10</v>
      </c>
      <c r="AS12" s="357" t="str">
        <f>IF(ISNA(Daily!E38),"",Daily!E38)</f>
        <v/>
      </c>
      <c r="AT12" s="357" t="str">
        <f>IF(ISNA(Daily!E69),"",Daily!E69)</f>
        <v/>
      </c>
      <c r="AU12" s="357" t="str">
        <f>IF(ISNA(Daily!E98),"",Daily!E98)</f>
        <v/>
      </c>
      <c r="AV12" s="357" t="str">
        <f>IF(ISNA(Daily!E129),"",Daily!E129)</f>
        <v/>
      </c>
      <c r="AW12" s="357">
        <f>IF(ISNA(Daily!E159),"",Daily!E159)</f>
        <v>0.52036023553432464</v>
      </c>
      <c r="AX12" s="357">
        <f>IF(ISNA(Daily!E190),"",Daily!E190)</f>
        <v>0.66547619047619067</v>
      </c>
      <c r="AY12" s="357">
        <f>IF(ISNA(Daily!E220),"",Daily!E220)</f>
        <v>1.0500000000000007</v>
      </c>
      <c r="AZ12" s="357">
        <f>IF(ISNA(Daily!E251),"",Daily!E251)</f>
        <v>1.0500000000000007</v>
      </c>
      <c r="BA12" s="357">
        <f>IF(ISNA(Daily!E282),"",Daily!E282)</f>
        <v>0.81428571428571583</v>
      </c>
      <c r="BB12" s="357" t="str">
        <f>IF(ISNA(Daily!E312),"",Daily!E312)</f>
        <v/>
      </c>
      <c r="BC12" s="357" t="str">
        <f>IF(ISNA(Daily!E343),"",Daily!E343)</f>
        <v/>
      </c>
      <c r="BD12" s="357" t="str">
        <f>IF(ISNA(Daily!E373),"",Daily!E373)</f>
        <v/>
      </c>
      <c r="BE12" s="357" t="str">
        <f>IF(ISNA(Daily!E404),"",Daily!E404)</f>
        <v/>
      </c>
      <c r="BF12" s="357" t="str">
        <f>IF(ISNA(Daily!E435),"",Daily!E435)</f>
        <v/>
      </c>
      <c r="BG12" s="357" t="str">
        <f>IF(ISNA(Daily!E463),"",Daily!E463)</f>
        <v/>
      </c>
      <c r="BH12" s="357" t="str">
        <f>IF(ISNA(Daily!E494),"",Daily!E494)</f>
        <v/>
      </c>
      <c r="BI12" s="357" t="str">
        <f>IF(ISNA(Daily!E524),"",Daily!E524)</f>
        <v/>
      </c>
      <c r="BJ12" s="357" t="str">
        <f>IF(ISNA(Daily!E555),"",Daily!E555)</f>
        <v/>
      </c>
      <c r="BK12" s="357" t="str">
        <f>IF(ISNA(Daily!E585),"",Daily!E585)</f>
        <v/>
      </c>
      <c r="BL12" s="349"/>
      <c r="BM12" s="356">
        <v>10</v>
      </c>
      <c r="BN12" s="357" t="str">
        <f>Daily!G38</f>
        <v/>
      </c>
      <c r="BO12" s="357" t="str">
        <f>Daily!G69</f>
        <v/>
      </c>
      <c r="BP12" s="357" t="str">
        <f>Daily!G98</f>
        <v/>
      </c>
      <c r="BQ12" s="357" t="str">
        <f>Daily!G129</f>
        <v/>
      </c>
      <c r="BR12" s="357">
        <f>Daily!G159</f>
        <v>2.0078229243750494</v>
      </c>
      <c r="BS12" s="357">
        <f>Daily!G190</f>
        <v>2.9358629071871931</v>
      </c>
      <c r="BT12" s="357">
        <f>Daily!G220</f>
        <v>5.0748425499554548</v>
      </c>
      <c r="BU12" s="357">
        <f>Daily!G251</f>
        <v>4.0715906481107353</v>
      </c>
      <c r="BV12" s="357">
        <f>Daily!G282</f>
        <v>2.1426882703460444</v>
      </c>
      <c r="BW12" s="357" t="str">
        <f>Daily!G312</f>
        <v/>
      </c>
      <c r="BX12" s="357" t="str">
        <f>Daily!G343</f>
        <v/>
      </c>
      <c r="BY12" s="357" t="str">
        <f>Daily!G373</f>
        <v/>
      </c>
      <c r="BZ12" s="357" t="str">
        <f>Daily!G404</f>
        <v/>
      </c>
      <c r="CA12" s="357" t="str">
        <f>Daily!G435</f>
        <v/>
      </c>
      <c r="CB12" s="357" t="str">
        <f>Daily!G463</f>
        <v/>
      </c>
      <c r="CC12" s="357" t="str">
        <f>Daily!G494</f>
        <v/>
      </c>
      <c r="CD12" s="357" t="str">
        <f>Daily!G524</f>
        <v/>
      </c>
      <c r="CE12" s="357" t="str">
        <f>Daily!G555</f>
        <v/>
      </c>
      <c r="CF12" s="357" t="str">
        <f>Daily!G585</f>
        <v/>
      </c>
      <c r="CG12" s="349"/>
      <c r="CH12" s="356">
        <v>10</v>
      </c>
      <c r="CI12" s="358" t="str">
        <f>IF(Daily!I38=0,"",Daily!I38)</f>
        <v/>
      </c>
      <c r="CJ12" s="358" t="str">
        <f>IF(Daily!I69=0,"",Daily!I69)</f>
        <v/>
      </c>
      <c r="CK12" s="358" t="str">
        <f>IF(Daily!I98=0,"",Daily!I98)</f>
        <v/>
      </c>
      <c r="CL12" s="358" t="str">
        <f>IF(Daily!I129=0,"",Daily!I129)</f>
        <v/>
      </c>
      <c r="CM12" s="358" t="str">
        <f>IF(Daily!I1509=0,"",Daily!I159)</f>
        <v/>
      </c>
      <c r="CN12" s="358">
        <f>IF(Daily!I190=0,"",Daily!I190)</f>
        <v>99.569663196191954</v>
      </c>
      <c r="CO12" s="358">
        <f>IF(Daily!I220=0,"",Daily!I220)</f>
        <v>225.31369331518894</v>
      </c>
      <c r="CP12" s="358">
        <f>IF(Daily!I251=0,"",Daily!I251)</f>
        <v>364.0513158548124</v>
      </c>
      <c r="CQ12" s="358">
        <f>IF(Daily!I282=0,"",Daily!I282)</f>
        <v>464.18367134911057</v>
      </c>
      <c r="CR12" s="358" t="str">
        <f>IF(Daily!I312=0,"",Daily!I312)</f>
        <v/>
      </c>
      <c r="CS12" s="358" t="str">
        <f>IF(Daily!I343=0,"",Daily!I343)</f>
        <v/>
      </c>
      <c r="CT12" s="358" t="str">
        <f>IF(Daily!I373=0,"",Daily!I373)</f>
        <v/>
      </c>
      <c r="CU12" s="358" t="str">
        <f>IF(Daily!I404=0,"",Daily!I404)</f>
        <v/>
      </c>
      <c r="CV12" s="358" t="str">
        <f>IF(Daily!I435=0,"",Daily!I435)</f>
        <v/>
      </c>
      <c r="CW12" s="358" t="str">
        <f>IF(Daily!I463=0,"",Daily!I463)</f>
        <v/>
      </c>
      <c r="CX12" s="358" t="str">
        <f>IF(Daily!I494=0,"",Daily!I494)</f>
        <v/>
      </c>
      <c r="CY12" s="358" t="str">
        <f>IF(Daily!I524=0,"",Daily!I524)</f>
        <v/>
      </c>
      <c r="CZ12" s="358" t="str">
        <f>IF(Daily!I555=0,"",Daily!I555)</f>
        <v/>
      </c>
      <c r="DA12" s="358" t="str">
        <f>IF(Daily!I585=0,"",Daily!I585)</f>
        <v/>
      </c>
      <c r="DB12" s="349"/>
      <c r="DC12" s="356">
        <v>10</v>
      </c>
      <c r="DD12" s="357" t="str">
        <f>IF(ISNA(Daily!F38),"",Daily!F38)</f>
        <v/>
      </c>
      <c r="DE12" s="357" t="str">
        <f>IF(ISNA(Daily!F69),"",Daily!F69)</f>
        <v/>
      </c>
      <c r="DF12" s="357" t="str">
        <f>IF(ISNA(Daily!F98),"",Daily!F98)</f>
        <v/>
      </c>
      <c r="DG12" s="357" t="str">
        <f>IF(ISNA(Daily!F129),"",Daily!F129)</f>
        <v/>
      </c>
      <c r="DH12" s="357">
        <f>IF(ISNA(Daily!F159),"",Daily!F159)</f>
        <v>0.8102962140161466</v>
      </c>
      <c r="DI12" s="357">
        <f>IF(ISNA(Daily!F190),"",Daily!F190)</f>
        <v>0.94436387610068362</v>
      </c>
      <c r="DJ12" s="357">
        <f>IF(ISNA(Daily!F220),"",Daily!F220)</f>
        <v>1.0551154230400821</v>
      </c>
      <c r="DK12" s="357">
        <f>IF(ISNA(Daily!F251),"",Daily!F251)</f>
        <v>1.0551154230400821</v>
      </c>
      <c r="DL12" s="357">
        <f>IF(ISNA(Daily!F282),"",Daily!F282)</f>
        <v>0.89252214961550291</v>
      </c>
      <c r="DM12" s="357" t="str">
        <f>IF(ISNA(Daily!F312),"",Daily!F312)</f>
        <v/>
      </c>
      <c r="DN12" s="357" t="str">
        <f>IF(ISNA(Daily!F343),"",Daily!F343)</f>
        <v/>
      </c>
      <c r="DO12" s="357" t="str">
        <f>IF(ISNA(Daily!F373),"",Daily!F373)</f>
        <v/>
      </c>
      <c r="DP12" s="357" t="str">
        <f>IF(ISNA(Daily!F404),"",Daily!F404)</f>
        <v/>
      </c>
      <c r="DQ12" s="357" t="str">
        <f>IF(ISNA(Daily!F435),"",Daily!F435)</f>
        <v/>
      </c>
      <c r="DR12" s="357" t="str">
        <f>IF(ISNA(Daily!F464),"",Daily!F464)</f>
        <v/>
      </c>
      <c r="DS12" s="357" t="str">
        <f>IF(ISNA(Daily!F494),"",Daily!F494)</f>
        <v/>
      </c>
      <c r="DT12" s="357" t="str">
        <f>IF(ISNA(Daily!F524),"",Daily!F524)</f>
        <v/>
      </c>
      <c r="DU12" s="357" t="str">
        <f>IF(ISNA(Daily!F555),"",Daily!F555)</f>
        <v/>
      </c>
      <c r="DV12" s="357" t="str">
        <f>IF(ISNA(Daily!F585),"",Daily!G585)</f>
        <v/>
      </c>
      <c r="DW12" s="349"/>
      <c r="DX12" s="356">
        <v>10</v>
      </c>
      <c r="DY12" s="357" t="str">
        <f>Daily!H38</f>
        <v/>
      </c>
      <c r="DZ12" s="357" t="str">
        <f>Daily!H69</f>
        <v/>
      </c>
      <c r="EA12" s="357" t="str">
        <f>Daily!H98</f>
        <v/>
      </c>
      <c r="EB12" s="357" t="str">
        <f>Daily!H129</f>
        <v/>
      </c>
      <c r="EC12" s="357">
        <f>Daily!H159</f>
        <v>3.1265481159707345</v>
      </c>
      <c r="ED12" s="357">
        <f>Daily!H190</f>
        <v>4.1662239978076485</v>
      </c>
      <c r="EE12" s="357">
        <f>Daily!H220</f>
        <v>5.0995663275791001</v>
      </c>
      <c r="EF12" s="357">
        <f>Daily!H251</f>
        <v>4.0914267515499025</v>
      </c>
      <c r="EG12" s="357">
        <f>Daily!H282</f>
        <v>2.3485574012344212</v>
      </c>
      <c r="EH12" s="357" t="str">
        <f>Daily!H312</f>
        <v/>
      </c>
      <c r="EI12" s="357" t="str">
        <f>Daily!H343</f>
        <v/>
      </c>
      <c r="EJ12" s="357" t="str">
        <f>Daily!H373</f>
        <v/>
      </c>
      <c r="EK12" s="357" t="str">
        <f>Daily!H404</f>
        <v/>
      </c>
      <c r="EL12" s="357" t="str">
        <f>Daily!H435</f>
        <v/>
      </c>
      <c r="EM12" s="357" t="str">
        <f>Daily!H463</f>
        <v/>
      </c>
      <c r="EN12" s="357" t="str">
        <f>Daily!H494</f>
        <v/>
      </c>
      <c r="EO12" s="357" t="str">
        <f>Daily!H524</f>
        <v/>
      </c>
      <c r="EP12" s="357" t="str">
        <f>Daily!H555</f>
        <v/>
      </c>
      <c r="EQ12" s="357" t="str">
        <f>Daily!H585</f>
        <v/>
      </c>
      <c r="ER12" s="349"/>
      <c r="ES12" s="356">
        <v>10</v>
      </c>
      <c r="ET12" s="358" t="str">
        <f>IF(Daily!J38=0,"",Daily!J38)</f>
        <v/>
      </c>
      <c r="EU12" s="358" t="str">
        <f>IF(Daily!J69=0,"",Daily!J69)</f>
        <v/>
      </c>
      <c r="EV12" s="358" t="str">
        <f>IF(Daily!J98=0,"",Daily!J98)</f>
        <v/>
      </c>
      <c r="EW12" s="358" t="str">
        <f>IF(Daily!J129=0,"",Daily!J129)</f>
        <v/>
      </c>
      <c r="EX12" s="358">
        <f>IF(Daily!J159=0,"",Daily!J159)</f>
        <v>37.42706756162935</v>
      </c>
      <c r="EY12" s="358">
        <f>IF(Daily!J190=0,"",Daily!J190)</f>
        <v>129.86853964092202</v>
      </c>
      <c r="EZ12" s="358">
        <f>IF(Daily!J220=0,"",Daily!J220)</f>
        <v>264.34512459268046</v>
      </c>
      <c r="FA12" s="358">
        <f>IF(Daily!J251=0,"",Daily!J251)</f>
        <v>403.14251311842838</v>
      </c>
      <c r="FB12" s="358">
        <f>IF(Daily!J282=0,"",Daily!J282)</f>
        <v>502.09393073240267</v>
      </c>
      <c r="FC12" s="358" t="str">
        <f>IF(Daily!J312=0,"",Daily!J312)</f>
        <v/>
      </c>
      <c r="FD12" s="358" t="str">
        <f>IF(Daily!J343=0,"",Daily!J343)</f>
        <v/>
      </c>
      <c r="FE12" s="358" t="str">
        <f>IF(Daily!J373=0,"",Daily!J373)</f>
        <v/>
      </c>
      <c r="FF12" s="358" t="str">
        <f>IF(Daily!J404=0,"",Daily!J404)</f>
        <v/>
      </c>
      <c r="FG12" s="358" t="str">
        <f>IF(Daily!J435=0,"",Daily!J435)</f>
        <v/>
      </c>
      <c r="FH12" s="358" t="str">
        <f>IF(Daily!J463=0,"",Daily!J463)</f>
        <v/>
      </c>
      <c r="FI12" s="358" t="str">
        <f>IF(Daily!J494=0,"",Daily!J494)</f>
        <v/>
      </c>
      <c r="FJ12" s="358" t="str">
        <f>IF(Daily!J524=0,"",Daily!J524)</f>
        <v/>
      </c>
      <c r="FK12" s="358" t="str">
        <f>IF(Daily!J555=0,"",Daily!J555)</f>
        <v/>
      </c>
      <c r="FL12" s="358" t="str">
        <f>IF(Daily!J585=0,"",Daily!J585)</f>
        <v/>
      </c>
      <c r="FM12" s="349"/>
    </row>
    <row r="13" spans="1:169">
      <c r="A13" s="349"/>
      <c r="B13" s="356">
        <v>11</v>
      </c>
      <c r="C13" s="357" t="str">
        <f>Daily!D39</f>
        <v/>
      </c>
      <c r="D13" s="357" t="str">
        <f>Daily!D70</f>
        <v/>
      </c>
      <c r="E13" s="357" t="str">
        <f>Daily!D99</f>
        <v/>
      </c>
      <c r="F13" s="357" t="str">
        <f>Daily!D130</f>
        <v/>
      </c>
      <c r="G13" s="357">
        <f>Daily!D160</f>
        <v>0.48450383108008277</v>
      </c>
      <c r="H13" s="357">
        <f>Daily!D191</f>
        <v>0.24931391225934901</v>
      </c>
      <c r="I13" s="357">
        <f>Daily!D221</f>
        <v>0.4979605044186447</v>
      </c>
      <c r="J13" s="357">
        <f>Daily!D252</f>
        <v>0.20075966005049278</v>
      </c>
      <c r="K13" s="357">
        <f>Daily!D283</f>
        <v>0.55940948884696218</v>
      </c>
      <c r="L13" s="357" t="str">
        <f>Daily!D313</f>
        <v/>
      </c>
      <c r="M13" s="357" t="str">
        <f>Daily!D344</f>
        <v/>
      </c>
      <c r="N13" s="357" t="str">
        <f>Daily!D374</f>
        <v/>
      </c>
      <c r="O13" s="357" t="str">
        <f>Daily!D405</f>
        <v/>
      </c>
      <c r="P13" s="357" t="str">
        <f>Daily!D436</f>
        <v/>
      </c>
      <c r="Q13" s="357" t="str">
        <f>Daily!D464</f>
        <v/>
      </c>
      <c r="R13" s="357" t="str">
        <f>Daily!D495</f>
        <v/>
      </c>
      <c r="S13" s="357" t="str">
        <f>Daily!D525</f>
        <v/>
      </c>
      <c r="T13" s="357" t="str">
        <f>Daily!D556</f>
        <v/>
      </c>
      <c r="U13" s="357" t="str">
        <f>Daily!D586</f>
        <v/>
      </c>
      <c r="V13" s="349"/>
      <c r="W13" s="356">
        <v>11</v>
      </c>
      <c r="X13" s="357">
        <f>Daily!C39</f>
        <v>0.16986159983607474</v>
      </c>
      <c r="Y13" s="357">
        <f>Daily!C70</f>
        <v>0.52184810169343809</v>
      </c>
      <c r="Z13" s="357">
        <f>Daily!C99</f>
        <v>1.6884894294026032</v>
      </c>
      <c r="AA13" s="357">
        <f>Daily!C130</f>
        <v>1.4775161847336267</v>
      </c>
      <c r="AB13" s="357">
        <f>Daily!C160</f>
        <v>3.672381118675212</v>
      </c>
      <c r="AC13" s="357">
        <f>Daily!C191</f>
        <v>4.3849772680391643</v>
      </c>
      <c r="AD13" s="357">
        <f>Daily!C221</f>
        <v>5.1474550835259034</v>
      </c>
      <c r="AE13" s="357">
        <f>Daily!C252</f>
        <v>3.3740396451178154</v>
      </c>
      <c r="AF13" s="357">
        <f>Daily!C283</f>
        <v>2.9416653353000819</v>
      </c>
      <c r="AG13" s="357">
        <f>Daily!C313</f>
        <v>1.2083903019037199</v>
      </c>
      <c r="AH13" s="357">
        <f>Daily!C344</f>
        <v>0.59694829900351776</v>
      </c>
      <c r="AI13" s="357">
        <f>Daily!C374</f>
        <v>0.25571221462424665</v>
      </c>
      <c r="AJ13" s="357">
        <f>Daily!C405</f>
        <v>0.16986159983607474</v>
      </c>
      <c r="AK13" s="357">
        <f>Daily!C436</f>
        <v>0.52184810169343809</v>
      </c>
      <c r="AL13" s="357">
        <f>Daily!C464</f>
        <v>1.1150450964331124</v>
      </c>
      <c r="AM13" s="357">
        <f>Daily!C495</f>
        <v>1.5021347877701818</v>
      </c>
      <c r="AN13" s="357">
        <f>Daily!C525</f>
        <v>3.8585248973018555</v>
      </c>
      <c r="AO13" s="357">
        <f>Daily!C556</f>
        <v>4.411672347114922</v>
      </c>
      <c r="AP13" s="357">
        <f>Daily!C586</f>
        <v>4.8331833809099534</v>
      </c>
      <c r="AQ13" s="349"/>
      <c r="AR13" s="356">
        <v>11</v>
      </c>
      <c r="AS13" s="357" t="str">
        <f>IF(ISNA(Daily!E39),"",Daily!E39)</f>
        <v/>
      </c>
      <c r="AT13" s="357" t="str">
        <f>IF(ISNA(Daily!E70),"",Daily!E70)</f>
        <v/>
      </c>
      <c r="AU13" s="357" t="str">
        <f>IF(ISNA(Daily!E99),"",Daily!E99)</f>
        <v/>
      </c>
      <c r="AV13" s="357" t="str">
        <f>IF(ISNA(Daily!E130),"",Daily!E130)</f>
        <v/>
      </c>
      <c r="AW13" s="357">
        <f>IF(ISNA(Daily!E160),"",Daily!E160)</f>
        <v>0.48450383108008277</v>
      </c>
      <c r="AX13" s="357">
        <f>IF(ISNA(Daily!E191),"",Daily!E191)</f>
        <v>0.68571428571428594</v>
      </c>
      <c r="AY13" s="357">
        <f>IF(ISNA(Daily!E221),"",Daily!E221)</f>
        <v>1.0500000000000007</v>
      </c>
      <c r="AZ13" s="357">
        <f>IF(ISNA(Daily!E252),"",Daily!E252)</f>
        <v>1.0500000000000007</v>
      </c>
      <c r="BA13" s="357">
        <f>IF(ISNA(Daily!E283),"",Daily!E283)</f>
        <v>0.80357142857143016</v>
      </c>
      <c r="BB13" s="357" t="str">
        <f>IF(ISNA(Daily!E313),"",Daily!E313)</f>
        <v/>
      </c>
      <c r="BC13" s="357" t="str">
        <f>IF(ISNA(Daily!E344),"",Daily!E344)</f>
        <v/>
      </c>
      <c r="BD13" s="357" t="str">
        <f>IF(ISNA(Daily!E374),"",Daily!E374)</f>
        <v/>
      </c>
      <c r="BE13" s="357" t="str">
        <f>IF(ISNA(Daily!E405),"",Daily!E405)</f>
        <v/>
      </c>
      <c r="BF13" s="357" t="str">
        <f>IF(ISNA(Daily!E436),"",Daily!E436)</f>
        <v/>
      </c>
      <c r="BG13" s="357" t="str">
        <f>IF(ISNA(Daily!E464),"",Daily!E464)</f>
        <v/>
      </c>
      <c r="BH13" s="357" t="str">
        <f>IF(ISNA(Daily!E495),"",Daily!E495)</f>
        <v/>
      </c>
      <c r="BI13" s="357" t="str">
        <f>IF(ISNA(Daily!E525),"",Daily!E525)</f>
        <v/>
      </c>
      <c r="BJ13" s="357" t="str">
        <f>IF(ISNA(Daily!E556),"",Daily!E556)</f>
        <v/>
      </c>
      <c r="BK13" s="357" t="str">
        <f>IF(ISNA(Daily!E586),"",Daily!E586)</f>
        <v/>
      </c>
      <c r="BL13" s="349"/>
      <c r="BM13" s="356">
        <v>11</v>
      </c>
      <c r="BN13" s="357" t="str">
        <f>Daily!G39</f>
        <v/>
      </c>
      <c r="BO13" s="357" t="str">
        <f>Daily!G70</f>
        <v/>
      </c>
      <c r="BP13" s="357" t="str">
        <f>Daily!G99</f>
        <v/>
      </c>
      <c r="BQ13" s="357" t="str">
        <f>Daily!G130</f>
        <v/>
      </c>
      <c r="BR13" s="357">
        <f>Daily!G160</f>
        <v>1.7792827211843003</v>
      </c>
      <c r="BS13" s="357">
        <f>Daily!G191</f>
        <v>3.0068415552268566</v>
      </c>
      <c r="BT13" s="357">
        <f>Daily!G221</f>
        <v>5.4048278377022019</v>
      </c>
      <c r="BU13" s="357">
        <f>Daily!G252</f>
        <v>3.5427416273737085</v>
      </c>
      <c r="BV13" s="357">
        <f>Daily!G283</f>
        <v>2.3638382158661417</v>
      </c>
      <c r="BW13" s="357" t="str">
        <f>Daily!G313</f>
        <v/>
      </c>
      <c r="BX13" s="357" t="str">
        <f>Daily!G344</f>
        <v/>
      </c>
      <c r="BY13" s="357" t="str">
        <f>Daily!G374</f>
        <v/>
      </c>
      <c r="BZ13" s="357" t="str">
        <f>Daily!G405</f>
        <v/>
      </c>
      <c r="CA13" s="357" t="str">
        <f>Daily!G436</f>
        <v/>
      </c>
      <c r="CB13" s="357" t="str">
        <f>Daily!G464</f>
        <v/>
      </c>
      <c r="CC13" s="357" t="str">
        <f>Daily!G495</f>
        <v/>
      </c>
      <c r="CD13" s="357" t="str">
        <f>Daily!G525</f>
        <v/>
      </c>
      <c r="CE13" s="357" t="str">
        <f>Daily!G556</f>
        <v/>
      </c>
      <c r="CF13" s="357" t="str">
        <f>Daily!G586</f>
        <v/>
      </c>
      <c r="CG13" s="349"/>
      <c r="CH13" s="356">
        <v>11</v>
      </c>
      <c r="CI13" s="358" t="str">
        <f>IF(Daily!I39=0,"",Daily!I39)</f>
        <v/>
      </c>
      <c r="CJ13" s="358" t="str">
        <f>IF(Daily!I70=0,"",Daily!I70)</f>
        <v/>
      </c>
      <c r="CK13" s="358" t="str">
        <f>IF(Daily!I99=0,"",Daily!I99)</f>
        <v/>
      </c>
      <c r="CL13" s="358" t="str">
        <f>IF(Daily!I130=0,"",Daily!I130)</f>
        <v/>
      </c>
      <c r="CM13" s="358" t="str">
        <f>IF(Daily!I1510=0,"",Daily!I160)</f>
        <v/>
      </c>
      <c r="CN13" s="358">
        <f>IF(Daily!I191=0,"",Daily!I191)</f>
        <v>102.57650475141881</v>
      </c>
      <c r="CO13" s="358">
        <f>IF(Daily!I221=0,"",Daily!I221)</f>
        <v>230.71852115289116</v>
      </c>
      <c r="CP13" s="358">
        <f>IF(Daily!I252=0,"",Daily!I252)</f>
        <v>367.59405748218609</v>
      </c>
      <c r="CQ13" s="358">
        <f>IF(Daily!I283=0,"",Daily!I283)</f>
        <v>466.54750956497674</v>
      </c>
      <c r="CR13" s="358" t="str">
        <f>IF(Daily!I313=0,"",Daily!I313)</f>
        <v/>
      </c>
      <c r="CS13" s="358" t="str">
        <f>IF(Daily!I344=0,"",Daily!I344)</f>
        <v/>
      </c>
      <c r="CT13" s="358" t="str">
        <f>IF(Daily!I374=0,"",Daily!I374)</f>
        <v/>
      </c>
      <c r="CU13" s="358" t="str">
        <f>IF(Daily!I405=0,"",Daily!I405)</f>
        <v/>
      </c>
      <c r="CV13" s="358" t="str">
        <f>IF(Daily!I436=0,"",Daily!I436)</f>
        <v/>
      </c>
      <c r="CW13" s="358" t="str">
        <f>IF(Daily!I464=0,"",Daily!I464)</f>
        <v/>
      </c>
      <c r="CX13" s="358" t="str">
        <f>IF(Daily!I495=0,"",Daily!I495)</f>
        <v/>
      </c>
      <c r="CY13" s="358" t="str">
        <f>IF(Daily!I525=0,"",Daily!I525)</f>
        <v/>
      </c>
      <c r="CZ13" s="358" t="str">
        <f>IF(Daily!I556=0,"",Daily!I556)</f>
        <v/>
      </c>
      <c r="DA13" s="358" t="str">
        <f>IF(Daily!I586=0,"",Daily!I586)</f>
        <v/>
      </c>
      <c r="DB13" s="349"/>
      <c r="DC13" s="356">
        <v>11</v>
      </c>
      <c r="DD13" s="357" t="str">
        <f>IF(ISNA(Daily!F39),"",Daily!F39)</f>
        <v/>
      </c>
      <c r="DE13" s="357" t="str">
        <f>IF(ISNA(Daily!F70),"",Daily!F70)</f>
        <v/>
      </c>
      <c r="DF13" s="357" t="str">
        <f>IF(ISNA(Daily!F99),"",Daily!F99)</f>
        <v/>
      </c>
      <c r="DG13" s="357" t="str">
        <f>IF(ISNA(Daily!F130),"",Daily!F130)</f>
        <v/>
      </c>
      <c r="DH13" s="357">
        <f>IF(ISNA(Daily!F160),"",Daily!F160)</f>
        <v>0.8102962140161466</v>
      </c>
      <c r="DI13" s="357">
        <f>IF(ISNA(Daily!F191),"",Daily!F191)</f>
        <v>0.95019290488696784</v>
      </c>
      <c r="DJ13" s="357">
        <f>IF(ISNA(Daily!F221),"",Daily!F221)</f>
        <v>1.0551154230400821</v>
      </c>
      <c r="DK13" s="357">
        <f>IF(ISNA(Daily!F252),"",Daily!F252)</f>
        <v>1.0551154230400821</v>
      </c>
      <c r="DL13" s="357">
        <f>IF(ISNA(Daily!F283),"",Daily!F283)</f>
        <v>0.88513154627802204</v>
      </c>
      <c r="DM13" s="357" t="str">
        <f>IF(ISNA(Daily!F313),"",Daily!F313)</f>
        <v/>
      </c>
      <c r="DN13" s="357" t="str">
        <f>IF(ISNA(Daily!F344),"",Daily!F344)</f>
        <v/>
      </c>
      <c r="DO13" s="357" t="str">
        <f>IF(ISNA(Daily!F374),"",Daily!F374)</f>
        <v/>
      </c>
      <c r="DP13" s="357" t="str">
        <f>IF(ISNA(Daily!F405),"",Daily!F405)</f>
        <v/>
      </c>
      <c r="DQ13" s="357" t="str">
        <f>IF(ISNA(Daily!F436),"",Daily!F436)</f>
        <v/>
      </c>
      <c r="DR13" s="357" t="str">
        <f>IF(ISNA(Daily!F465),"",Daily!F465)</f>
        <v/>
      </c>
      <c r="DS13" s="357" t="str">
        <f>IF(ISNA(Daily!F495),"",Daily!F495)</f>
        <v/>
      </c>
      <c r="DT13" s="357" t="str">
        <f>IF(ISNA(Daily!F525),"",Daily!F525)</f>
        <v/>
      </c>
      <c r="DU13" s="357" t="str">
        <f>IF(ISNA(Daily!F556),"",Daily!F556)</f>
        <v/>
      </c>
      <c r="DV13" s="357" t="str">
        <f>IF(ISNA(Daily!F586),"",Daily!G586)</f>
        <v/>
      </c>
      <c r="DW13" s="349"/>
      <c r="DX13" s="356">
        <v>11</v>
      </c>
      <c r="DY13" s="357" t="str">
        <f>Daily!H39</f>
        <v/>
      </c>
      <c r="DZ13" s="357" t="str">
        <f>Daily!H70</f>
        <v/>
      </c>
      <c r="EA13" s="357" t="str">
        <f>Daily!H99</f>
        <v/>
      </c>
      <c r="EB13" s="357" t="str">
        <f>Daily!H130</f>
        <v/>
      </c>
      <c r="EC13" s="357">
        <f>Daily!H160</f>
        <v>2.9757165168869055</v>
      </c>
      <c r="ED13" s="357">
        <f>Daily!H191</f>
        <v>4.1665742881814536</v>
      </c>
      <c r="EE13" s="357">
        <f>Daily!H221</f>
        <v>5.4311592480342545</v>
      </c>
      <c r="EF13" s="357">
        <f>Daily!H252</f>
        <v>3.5600012675124924</v>
      </c>
      <c r="EG13" s="357">
        <f>Daily!H283</f>
        <v>2.6037607868666175</v>
      </c>
      <c r="EH13" s="357" t="str">
        <f>Daily!H313</f>
        <v/>
      </c>
      <c r="EI13" s="357" t="str">
        <f>Daily!H344</f>
        <v/>
      </c>
      <c r="EJ13" s="357" t="str">
        <f>Daily!H374</f>
        <v/>
      </c>
      <c r="EK13" s="357" t="str">
        <f>Daily!H405</f>
        <v/>
      </c>
      <c r="EL13" s="357" t="str">
        <f>Daily!H436</f>
        <v/>
      </c>
      <c r="EM13" s="357" t="str">
        <f>Daily!H464</f>
        <v/>
      </c>
      <c r="EN13" s="357" t="str">
        <f>Daily!H495</f>
        <v/>
      </c>
      <c r="EO13" s="357" t="str">
        <f>Daily!H525</f>
        <v/>
      </c>
      <c r="EP13" s="357" t="str">
        <f>Daily!H556</f>
        <v/>
      </c>
      <c r="EQ13" s="357" t="str">
        <f>Daily!H586</f>
        <v/>
      </c>
      <c r="ER13" s="349"/>
      <c r="ES13" s="356">
        <v>11</v>
      </c>
      <c r="ET13" s="358" t="str">
        <f>IF(Daily!J39=0,"",Daily!J39)</f>
        <v/>
      </c>
      <c r="EU13" s="358" t="str">
        <f>IF(Daily!J70=0,"",Daily!J70)</f>
        <v/>
      </c>
      <c r="EV13" s="358" t="str">
        <f>IF(Daily!J99=0,"",Daily!J99)</f>
        <v/>
      </c>
      <c r="EW13" s="358" t="str">
        <f>IF(Daily!J130=0,"",Daily!J130)</f>
        <v/>
      </c>
      <c r="EX13" s="358">
        <f>IF(Daily!J160=0,"",Daily!J160)</f>
        <v>40.402784078516255</v>
      </c>
      <c r="EY13" s="358">
        <f>IF(Daily!J191=0,"",Daily!J191)</f>
        <v>134.03511392910349</v>
      </c>
      <c r="EZ13" s="358">
        <f>IF(Daily!J221=0,"",Daily!J221)</f>
        <v>269.77628384071471</v>
      </c>
      <c r="FA13" s="358">
        <f>IF(Daily!J252=0,"",Daily!J252)</f>
        <v>406.7025143859409</v>
      </c>
      <c r="FB13" s="358">
        <f>IF(Daily!J283=0,"",Daily!J283)</f>
        <v>504.69769151926931</v>
      </c>
      <c r="FC13" s="358" t="str">
        <f>IF(Daily!J313=0,"",Daily!J313)</f>
        <v/>
      </c>
      <c r="FD13" s="358" t="str">
        <f>IF(Daily!J344=0,"",Daily!J344)</f>
        <v/>
      </c>
      <c r="FE13" s="358" t="str">
        <f>IF(Daily!J374=0,"",Daily!J374)</f>
        <v/>
      </c>
      <c r="FF13" s="358" t="str">
        <f>IF(Daily!J405=0,"",Daily!J405)</f>
        <v/>
      </c>
      <c r="FG13" s="358" t="str">
        <f>IF(Daily!J436=0,"",Daily!J436)</f>
        <v/>
      </c>
      <c r="FH13" s="358" t="str">
        <f>IF(Daily!J464=0,"",Daily!J464)</f>
        <v/>
      </c>
      <c r="FI13" s="358" t="str">
        <f>IF(Daily!J495=0,"",Daily!J495)</f>
        <v/>
      </c>
      <c r="FJ13" s="358" t="str">
        <f>IF(Daily!J525=0,"",Daily!J525)</f>
        <v/>
      </c>
      <c r="FK13" s="358" t="str">
        <f>IF(Daily!J556=0,"",Daily!J556)</f>
        <v/>
      </c>
      <c r="FL13" s="358" t="str">
        <f>IF(Daily!J586=0,"",Daily!J586)</f>
        <v/>
      </c>
      <c r="FM13" s="349"/>
    </row>
    <row r="14" spans="1:169">
      <c r="A14" s="349"/>
      <c r="B14" s="356">
        <v>12</v>
      </c>
      <c r="C14" s="357" t="str">
        <f>Daily!D40</f>
        <v/>
      </c>
      <c r="D14" s="357" t="str">
        <f>Daily!D71</f>
        <v/>
      </c>
      <c r="E14" s="357" t="str">
        <f>Daily!D100</f>
        <v/>
      </c>
      <c r="F14" s="357" t="str">
        <f>Daily!D131</f>
        <v/>
      </c>
      <c r="G14" s="357">
        <f>Daily!D161</f>
        <v>0.45290128263061408</v>
      </c>
      <c r="H14" s="357">
        <f>Daily!D192</f>
        <v>0.24468555043668466</v>
      </c>
      <c r="I14" s="357">
        <f>Daily!D222</f>
        <v>0.46024353669543</v>
      </c>
      <c r="J14" s="357">
        <f>Daily!D253</f>
        <v>0.19860237479840998</v>
      </c>
      <c r="K14" s="357">
        <f>Daily!D284</f>
        <v>1.2</v>
      </c>
      <c r="L14" s="357" t="str">
        <f>Daily!D314</f>
        <v/>
      </c>
      <c r="M14" s="357" t="str">
        <f>Daily!D345</f>
        <v/>
      </c>
      <c r="N14" s="357" t="str">
        <f>Daily!D375</f>
        <v/>
      </c>
      <c r="O14" s="357" t="str">
        <f>Daily!D406</f>
        <v/>
      </c>
      <c r="P14" s="357" t="str">
        <f>Daily!D437</f>
        <v/>
      </c>
      <c r="Q14" s="357" t="str">
        <f>Daily!D465</f>
        <v/>
      </c>
      <c r="R14" s="357" t="str">
        <f>Daily!D496</f>
        <v/>
      </c>
      <c r="S14" s="357" t="str">
        <f>Daily!D526</f>
        <v/>
      </c>
      <c r="T14" s="357" t="str">
        <f>Daily!D557</f>
        <v/>
      </c>
      <c r="U14" s="357" t="str">
        <f>Daily!D587</f>
        <v/>
      </c>
      <c r="V14" s="349"/>
      <c r="W14" s="356">
        <v>12</v>
      </c>
      <c r="X14" s="357">
        <f>Daily!C40</f>
        <v>0.23636606815417283</v>
      </c>
      <c r="Y14" s="357">
        <f>Daily!C71</f>
        <v>0.36790181555226631</v>
      </c>
      <c r="Z14" s="357">
        <f>Daily!C100</f>
        <v>1.5557057936289045</v>
      </c>
      <c r="AA14" s="357">
        <f>Daily!C131</f>
        <v>2.3188094411304103</v>
      </c>
      <c r="AB14" s="357">
        <f>Daily!C161</f>
        <v>3.9687784154374723</v>
      </c>
      <c r="AC14" s="357">
        <f>Daily!C192</f>
        <v>3.8091930190969734</v>
      </c>
      <c r="AD14" s="357">
        <f>Daily!C222</f>
        <v>4.4444365747997825</v>
      </c>
      <c r="AE14" s="357">
        <f>Daily!C253</f>
        <v>3.3160077738536158</v>
      </c>
      <c r="AF14" s="357">
        <f>Daily!C284</f>
        <v>2.4586716698177891</v>
      </c>
      <c r="AG14" s="357">
        <f>Daily!C314</f>
        <v>1.1288149993848837</v>
      </c>
      <c r="AH14" s="357">
        <f>Daily!C345</f>
        <v>0.52054953591609565</v>
      </c>
      <c r="AI14" s="357">
        <f>Daily!C375</f>
        <v>0.14007117407982622</v>
      </c>
      <c r="AJ14" s="357">
        <f>Daily!C406</f>
        <v>0.23636606815417283</v>
      </c>
      <c r="AK14" s="357">
        <f>Daily!C437</f>
        <v>0.36790181555226631</v>
      </c>
      <c r="AL14" s="357">
        <f>Daily!C465</f>
        <v>1.6884894294026032</v>
      </c>
      <c r="AM14" s="357">
        <f>Daily!C496</f>
        <v>1.4775161847336267</v>
      </c>
      <c r="AN14" s="357">
        <f>Daily!C526</f>
        <v>3.672381118675212</v>
      </c>
      <c r="AO14" s="357">
        <f>Daily!C557</f>
        <v>4.3849772680391643</v>
      </c>
      <c r="AP14" s="357">
        <f>Daily!C587</f>
        <v>5.1474550835259034</v>
      </c>
      <c r="AQ14" s="349"/>
      <c r="AR14" s="356">
        <v>12</v>
      </c>
      <c r="AS14" s="357" t="str">
        <f>IF(ISNA(Daily!E40),"",Daily!E40)</f>
        <v/>
      </c>
      <c r="AT14" s="357" t="str">
        <f>IF(ISNA(Daily!E71),"",Daily!E71)</f>
        <v/>
      </c>
      <c r="AU14" s="357" t="str">
        <f>IF(ISNA(Daily!E100),"",Daily!E100)</f>
        <v/>
      </c>
      <c r="AV14" s="357" t="str">
        <f>IF(ISNA(Daily!E131),"",Daily!E131)</f>
        <v/>
      </c>
      <c r="AW14" s="357">
        <f>IF(ISNA(Daily!E161),"",Daily!E161)</f>
        <v>0.45290128263061408</v>
      </c>
      <c r="AX14" s="357">
        <f>IF(ISNA(Daily!E192),"",Daily!E192)</f>
        <v>0.70595238095238122</v>
      </c>
      <c r="AY14" s="357">
        <f>IF(ISNA(Daily!E222),"",Daily!E222)</f>
        <v>1.0500000000000007</v>
      </c>
      <c r="AZ14" s="357">
        <f>IF(ISNA(Daily!E253),"",Daily!E253)</f>
        <v>1.0500000000000007</v>
      </c>
      <c r="BA14" s="357">
        <f>IF(ISNA(Daily!E284),"",Daily!E284)</f>
        <v>1.2</v>
      </c>
      <c r="BB14" s="357" t="str">
        <f>IF(ISNA(Daily!E314),"",Daily!E314)</f>
        <v/>
      </c>
      <c r="BC14" s="357" t="str">
        <f>IF(ISNA(Daily!E345),"",Daily!E345)</f>
        <v/>
      </c>
      <c r="BD14" s="357" t="str">
        <f>IF(ISNA(Daily!E375),"",Daily!E375)</f>
        <v/>
      </c>
      <c r="BE14" s="357" t="str">
        <f>IF(ISNA(Daily!E406),"",Daily!E406)</f>
        <v/>
      </c>
      <c r="BF14" s="357" t="str">
        <f>IF(ISNA(Daily!E437),"",Daily!E437)</f>
        <v/>
      </c>
      <c r="BG14" s="357" t="str">
        <f>IF(ISNA(Daily!E465),"",Daily!E465)</f>
        <v/>
      </c>
      <c r="BH14" s="357" t="str">
        <f>IF(ISNA(Daily!E496),"",Daily!E496)</f>
        <v/>
      </c>
      <c r="BI14" s="357" t="str">
        <f>IF(ISNA(Daily!E526),"",Daily!E526)</f>
        <v/>
      </c>
      <c r="BJ14" s="357" t="str">
        <f>IF(ISNA(Daily!E557),"",Daily!E557)</f>
        <v/>
      </c>
      <c r="BK14" s="357" t="str">
        <f>IF(ISNA(Daily!E587),"",Daily!E587)</f>
        <v/>
      </c>
      <c r="BL14" s="349"/>
      <c r="BM14" s="356">
        <v>12</v>
      </c>
      <c r="BN14" s="357" t="str">
        <f>Daily!G40</f>
        <v/>
      </c>
      <c r="BO14" s="357" t="str">
        <f>Daily!G71</f>
        <v/>
      </c>
      <c r="BP14" s="357" t="str">
        <f>Daily!G100</f>
        <v/>
      </c>
      <c r="BQ14" s="357" t="str">
        <f>Daily!G131</f>
        <v/>
      </c>
      <c r="BR14" s="357">
        <f>Daily!G161</f>
        <v>1.7974648348283273</v>
      </c>
      <c r="BS14" s="357">
        <f>Daily!G192</f>
        <v>2.6891088813386976</v>
      </c>
      <c r="BT14" s="357">
        <f>Daily!G222</f>
        <v>4.6666584035397749</v>
      </c>
      <c r="BU14" s="357">
        <f>Daily!G253</f>
        <v>3.4818081625462991</v>
      </c>
      <c r="BV14" s="357">
        <f>Daily!G284</f>
        <v>2.9504060037813469</v>
      </c>
      <c r="BW14" s="357" t="str">
        <f>Daily!G314</f>
        <v/>
      </c>
      <c r="BX14" s="357" t="str">
        <f>Daily!G345</f>
        <v/>
      </c>
      <c r="BY14" s="357" t="str">
        <f>Daily!G375</f>
        <v/>
      </c>
      <c r="BZ14" s="357" t="str">
        <f>Daily!G406</f>
        <v/>
      </c>
      <c r="CA14" s="357" t="str">
        <f>Daily!G437</f>
        <v/>
      </c>
      <c r="CB14" s="357" t="str">
        <f>Daily!G465</f>
        <v/>
      </c>
      <c r="CC14" s="357" t="str">
        <f>Daily!G496</f>
        <v/>
      </c>
      <c r="CD14" s="357" t="str">
        <f>Daily!G526</f>
        <v/>
      </c>
      <c r="CE14" s="357" t="str">
        <f>Daily!G557</f>
        <v/>
      </c>
      <c r="CF14" s="357" t="str">
        <f>Daily!G587</f>
        <v/>
      </c>
      <c r="CG14" s="349"/>
      <c r="CH14" s="356">
        <v>12</v>
      </c>
      <c r="CI14" s="358" t="str">
        <f>IF(Daily!I40=0,"",Daily!I40)</f>
        <v/>
      </c>
      <c r="CJ14" s="358" t="str">
        <f>IF(Daily!I71=0,"",Daily!I71)</f>
        <v/>
      </c>
      <c r="CK14" s="358" t="str">
        <f>IF(Daily!I100=0,"",Daily!I100)</f>
        <v/>
      </c>
      <c r="CL14" s="358" t="str">
        <f>IF(Daily!I131=0,"",Daily!I131)</f>
        <v/>
      </c>
      <c r="CM14" s="358" t="str">
        <f>IF(Daily!I1511=0,"",Daily!I161)</f>
        <v/>
      </c>
      <c r="CN14" s="358">
        <f>IF(Daily!I192=0,"",Daily!I192)</f>
        <v>105.26561363275751</v>
      </c>
      <c r="CO14" s="358">
        <f>IF(Daily!I222=0,"",Daily!I222)</f>
        <v>235.38517955643093</v>
      </c>
      <c r="CP14" s="358">
        <f>IF(Daily!I253=0,"",Daily!I253)</f>
        <v>371.0758656447324</v>
      </c>
      <c r="CQ14" s="358">
        <f>IF(Daily!I284=0,"",Daily!I284)</f>
        <v>469.49791556875806</v>
      </c>
      <c r="CR14" s="358" t="str">
        <f>IF(Daily!I314=0,"",Daily!I314)</f>
        <v/>
      </c>
      <c r="CS14" s="358" t="str">
        <f>IF(Daily!I345=0,"",Daily!I345)</f>
        <v/>
      </c>
      <c r="CT14" s="358" t="str">
        <f>IF(Daily!I375=0,"",Daily!I375)</f>
        <v/>
      </c>
      <c r="CU14" s="358" t="str">
        <f>IF(Daily!I406=0,"",Daily!I406)</f>
        <v/>
      </c>
      <c r="CV14" s="358" t="str">
        <f>IF(Daily!I437=0,"",Daily!I437)</f>
        <v/>
      </c>
      <c r="CW14" s="358" t="str">
        <f>IF(Daily!I465=0,"",Daily!I465)</f>
        <v/>
      </c>
      <c r="CX14" s="358" t="str">
        <f>IF(Daily!I496=0,"",Daily!I496)</f>
        <v/>
      </c>
      <c r="CY14" s="358" t="str">
        <f>IF(Daily!I526=0,"",Daily!I526)</f>
        <v/>
      </c>
      <c r="CZ14" s="358" t="str">
        <f>IF(Daily!I557=0,"",Daily!I557)</f>
        <v/>
      </c>
      <c r="DA14" s="358" t="str">
        <f>IF(Daily!I587=0,"",Daily!I587)</f>
        <v/>
      </c>
      <c r="DB14" s="349"/>
      <c r="DC14" s="356">
        <v>12</v>
      </c>
      <c r="DD14" s="357" t="str">
        <f>IF(ISNA(Daily!F40),"",Daily!F40)</f>
        <v/>
      </c>
      <c r="DE14" s="357" t="str">
        <f>IF(ISNA(Daily!F71),"",Daily!F71)</f>
        <v/>
      </c>
      <c r="DF14" s="357" t="str">
        <f>IF(ISNA(Daily!F100),"",Daily!F100)</f>
        <v/>
      </c>
      <c r="DG14" s="357" t="str">
        <f>IF(ISNA(Daily!F131),"",Daily!F131)</f>
        <v/>
      </c>
      <c r="DH14" s="357">
        <f>IF(ISNA(Daily!F161),"",Daily!F161)</f>
        <v>0.8102962140161466</v>
      </c>
      <c r="DI14" s="357">
        <f>IF(ISNA(Daily!F192),"",Daily!F192)</f>
        <v>0.95602193367325206</v>
      </c>
      <c r="DJ14" s="357">
        <f>IF(ISNA(Daily!F222),"",Daily!F222)</f>
        <v>1.0551154230400821</v>
      </c>
      <c r="DK14" s="357">
        <f>IF(ISNA(Daily!F253),"",Daily!F253)</f>
        <v>1.0551154230400821</v>
      </c>
      <c r="DL14" s="357">
        <f>IF(ISNA(Daily!F284),"",Daily!F284)</f>
        <v>0.87774094294054117</v>
      </c>
      <c r="DM14" s="357" t="str">
        <f>IF(ISNA(Daily!F314),"",Daily!F314)</f>
        <v/>
      </c>
      <c r="DN14" s="357" t="str">
        <f>IF(ISNA(Daily!F345),"",Daily!F345)</f>
        <v/>
      </c>
      <c r="DO14" s="357" t="str">
        <f>IF(ISNA(Daily!F375),"",Daily!F375)</f>
        <v/>
      </c>
      <c r="DP14" s="357" t="str">
        <f>IF(ISNA(Daily!F406),"",Daily!F406)</f>
        <v/>
      </c>
      <c r="DQ14" s="357" t="str">
        <f>IF(ISNA(Daily!F437),"",Daily!F437)</f>
        <v/>
      </c>
      <c r="DR14" s="357" t="str">
        <f>IF(ISNA(Daily!F466),"",Daily!F466)</f>
        <v/>
      </c>
      <c r="DS14" s="357" t="str">
        <f>IF(ISNA(Daily!F496),"",Daily!F496)</f>
        <v/>
      </c>
      <c r="DT14" s="357" t="str">
        <f>IF(ISNA(Daily!F526),"",Daily!F526)</f>
        <v/>
      </c>
      <c r="DU14" s="357" t="str">
        <f>IF(ISNA(Daily!F557),"",Daily!F557)</f>
        <v/>
      </c>
      <c r="DV14" s="357" t="str">
        <f>IF(ISNA(Daily!F587),"",Daily!G587)</f>
        <v/>
      </c>
      <c r="DW14" s="349"/>
      <c r="DX14" s="356">
        <v>12</v>
      </c>
      <c r="DY14" s="357" t="str">
        <f>Daily!H40</f>
        <v/>
      </c>
      <c r="DZ14" s="357" t="str">
        <f>Daily!H71</f>
        <v/>
      </c>
      <c r="EA14" s="357" t="str">
        <f>Daily!H100</f>
        <v/>
      </c>
      <c r="EB14" s="357" t="str">
        <f>Daily!H131</f>
        <v/>
      </c>
      <c r="EC14" s="357">
        <f>Daily!H161</f>
        <v>3.2158861242979855</v>
      </c>
      <c r="ED14" s="357">
        <f>Daily!H192</f>
        <v>3.6416720758517416</v>
      </c>
      <c r="EE14" s="357">
        <f>Daily!H222</f>
        <v>4.6893935767946857</v>
      </c>
      <c r="EF14" s="357">
        <f>Daily!H253</f>
        <v>3.4987709451137587</v>
      </c>
      <c r="EG14" s="357">
        <f>Daily!H284</f>
        <v>2.158076789847061</v>
      </c>
      <c r="EH14" s="357" t="str">
        <f>Daily!H314</f>
        <v/>
      </c>
      <c r="EI14" s="357" t="str">
        <f>Daily!H345</f>
        <v/>
      </c>
      <c r="EJ14" s="357" t="str">
        <f>Daily!H375</f>
        <v/>
      </c>
      <c r="EK14" s="357" t="str">
        <f>Daily!H406</f>
        <v/>
      </c>
      <c r="EL14" s="357" t="str">
        <f>Daily!H437</f>
        <v/>
      </c>
      <c r="EM14" s="357" t="str">
        <f>Daily!H465</f>
        <v/>
      </c>
      <c r="EN14" s="357" t="str">
        <f>Daily!H496</f>
        <v/>
      </c>
      <c r="EO14" s="357" t="str">
        <f>Daily!H526</f>
        <v/>
      </c>
      <c r="EP14" s="357" t="str">
        <f>Daily!H557</f>
        <v/>
      </c>
      <c r="EQ14" s="357" t="str">
        <f>Daily!H587</f>
        <v/>
      </c>
      <c r="ER14" s="349"/>
      <c r="ES14" s="356">
        <v>12</v>
      </c>
      <c r="ET14" s="358" t="str">
        <f>IF(Daily!J40=0,"",Daily!J40)</f>
        <v/>
      </c>
      <c r="EU14" s="358" t="str">
        <f>IF(Daily!J71=0,"",Daily!J71)</f>
        <v/>
      </c>
      <c r="EV14" s="358" t="str">
        <f>IF(Daily!J100=0,"",Daily!J100)</f>
        <v/>
      </c>
      <c r="EW14" s="358" t="str">
        <f>IF(Daily!J131=0,"",Daily!J131)</f>
        <v/>
      </c>
      <c r="EX14" s="358">
        <f>IF(Daily!J161=0,"",Daily!J161)</f>
        <v>43.618670202814243</v>
      </c>
      <c r="EY14" s="358">
        <f>IF(Daily!J192=0,"",Daily!J192)</f>
        <v>137.67678600495523</v>
      </c>
      <c r="EZ14" s="358">
        <f>IF(Daily!J222=0,"",Daily!J222)</f>
        <v>274.46567741750937</v>
      </c>
      <c r="FA14" s="358">
        <f>IF(Daily!J253=0,"",Daily!J253)</f>
        <v>410.20128533105463</v>
      </c>
      <c r="FB14" s="358">
        <f>IF(Daily!J284=0,"",Daily!J284)</f>
        <v>506.8557683091164</v>
      </c>
      <c r="FC14" s="358" t="str">
        <f>IF(Daily!J314=0,"",Daily!J314)</f>
        <v/>
      </c>
      <c r="FD14" s="358" t="str">
        <f>IF(Daily!J345=0,"",Daily!J345)</f>
        <v/>
      </c>
      <c r="FE14" s="358" t="str">
        <f>IF(Daily!J375=0,"",Daily!J375)</f>
        <v/>
      </c>
      <c r="FF14" s="358" t="str">
        <f>IF(Daily!J406=0,"",Daily!J406)</f>
        <v/>
      </c>
      <c r="FG14" s="358" t="str">
        <f>IF(Daily!J437=0,"",Daily!J437)</f>
        <v/>
      </c>
      <c r="FH14" s="358" t="str">
        <f>IF(Daily!J465=0,"",Daily!J465)</f>
        <v/>
      </c>
      <c r="FI14" s="358" t="str">
        <f>IF(Daily!J496=0,"",Daily!J496)</f>
        <v/>
      </c>
      <c r="FJ14" s="358" t="str">
        <f>IF(Daily!J526=0,"",Daily!J526)</f>
        <v/>
      </c>
      <c r="FK14" s="358" t="str">
        <f>IF(Daily!J557=0,"",Daily!J557)</f>
        <v/>
      </c>
      <c r="FL14" s="358" t="str">
        <f>IF(Daily!J587=0,"",Daily!J587)</f>
        <v/>
      </c>
      <c r="FM14" s="349"/>
    </row>
    <row r="15" spans="1:169">
      <c r="A15" s="349"/>
      <c r="B15" s="356">
        <v>13</v>
      </c>
      <c r="C15" s="357" t="str">
        <f>Daily!D41</f>
        <v/>
      </c>
      <c r="D15" s="357" t="str">
        <f>Daily!D72</f>
        <v/>
      </c>
      <c r="E15" s="357" t="str">
        <f>Daily!D101</f>
        <v/>
      </c>
      <c r="F15" s="357" t="str">
        <f>Daily!D132</f>
        <v/>
      </c>
      <c r="G15" s="357">
        <f>Daily!D162</f>
        <v>1.2</v>
      </c>
      <c r="H15" s="357">
        <f>Daily!D193</f>
        <v>0.23997679560559929</v>
      </c>
      <c r="I15" s="357">
        <f>Daily!D223</f>
        <v>0.43165648806859297</v>
      </c>
      <c r="J15" s="357">
        <f>Daily!D254</f>
        <v>0.19610366740831761</v>
      </c>
      <c r="K15" s="357">
        <f>Daily!D285</f>
        <v>1.2</v>
      </c>
      <c r="L15" s="357" t="str">
        <f>Daily!D315</f>
        <v/>
      </c>
      <c r="M15" s="357" t="str">
        <f>Daily!D346</f>
        <v/>
      </c>
      <c r="N15" s="357" t="str">
        <f>Daily!D376</f>
        <v/>
      </c>
      <c r="O15" s="357" t="str">
        <f>Daily!D407</f>
        <v/>
      </c>
      <c r="P15" s="357" t="str">
        <f>Daily!D438</f>
        <v/>
      </c>
      <c r="Q15" s="357" t="str">
        <f>Daily!D466</f>
        <v/>
      </c>
      <c r="R15" s="357" t="str">
        <f>Daily!D497</f>
        <v/>
      </c>
      <c r="S15" s="357" t="str">
        <f>Daily!D527</f>
        <v/>
      </c>
      <c r="T15" s="357" t="str">
        <f>Daily!D558</f>
        <v/>
      </c>
      <c r="U15" s="357" t="str">
        <f>Daily!D588</f>
        <v/>
      </c>
      <c r="V15" s="349"/>
      <c r="W15" s="356">
        <v>13</v>
      </c>
      <c r="X15" s="357">
        <f>Daily!C41</f>
        <v>0.19150336319124778</v>
      </c>
      <c r="Y15" s="357">
        <f>Daily!C72</f>
        <v>0.41322020685184946</v>
      </c>
      <c r="Z15" s="357">
        <f>Daily!C101</f>
        <v>1.3808451880317716</v>
      </c>
      <c r="AA15" s="357">
        <f>Daily!C132</f>
        <v>2.3817274499732548</v>
      </c>
      <c r="AB15" s="357">
        <f>Daily!C162</f>
        <v>2.7737374970843311</v>
      </c>
      <c r="AC15" s="357">
        <f>Daily!C193</f>
        <v>4.0988775716802071</v>
      </c>
      <c r="AD15" s="357">
        <f>Daily!C223</f>
        <v>4.154374970844211</v>
      </c>
      <c r="AE15" s="357">
        <f>Daily!C254</f>
        <v>3.9755356514785003</v>
      </c>
      <c r="AF15" s="357">
        <f>Daily!C285</f>
        <v>0.60772138538312692</v>
      </c>
      <c r="AG15" s="357">
        <f>Daily!C315</f>
        <v>1.1134455470638116</v>
      </c>
      <c r="AH15" s="357">
        <f>Daily!C346</f>
        <v>0.52595066517111921</v>
      </c>
      <c r="AI15" s="357">
        <f>Daily!C376</f>
        <v>0.11457279942072622</v>
      </c>
      <c r="AJ15" s="357">
        <f>Daily!C407</f>
        <v>0.19150336319124778</v>
      </c>
      <c r="AK15" s="357">
        <f>Daily!C438</f>
        <v>0.41322020685184946</v>
      </c>
      <c r="AL15" s="357">
        <f>Daily!C466</f>
        <v>1.5557057936289045</v>
      </c>
      <c r="AM15" s="357">
        <f>Daily!C497</f>
        <v>2.3188094411304103</v>
      </c>
      <c r="AN15" s="357">
        <f>Daily!C527</f>
        <v>3.9687784154374723</v>
      </c>
      <c r="AO15" s="357">
        <f>Daily!C558</f>
        <v>3.8091930190969734</v>
      </c>
      <c r="AP15" s="357">
        <f>Daily!C588</f>
        <v>4.4444365747997825</v>
      </c>
      <c r="AQ15" s="349"/>
      <c r="AR15" s="356">
        <v>13</v>
      </c>
      <c r="AS15" s="357" t="str">
        <f>IF(ISNA(Daily!E41),"",Daily!E41)</f>
        <v/>
      </c>
      <c r="AT15" s="357" t="str">
        <f>IF(ISNA(Daily!E72),"",Daily!E72)</f>
        <v/>
      </c>
      <c r="AU15" s="357" t="str">
        <f>IF(ISNA(Daily!E101),"",Daily!E101)</f>
        <v/>
      </c>
      <c r="AV15" s="357" t="str">
        <f>IF(ISNA(Daily!E132),"",Daily!E132)</f>
        <v/>
      </c>
      <c r="AW15" s="357">
        <f>IF(ISNA(Daily!E162),"",Daily!E162)</f>
        <v>1.2</v>
      </c>
      <c r="AX15" s="357">
        <f>IF(ISNA(Daily!E193),"",Daily!E193)</f>
        <v>0.7261904761904765</v>
      </c>
      <c r="AY15" s="357">
        <f>IF(ISNA(Daily!E223),"",Daily!E223)</f>
        <v>1.0500000000000007</v>
      </c>
      <c r="AZ15" s="357">
        <f>IF(ISNA(Daily!E254),"",Daily!E254)</f>
        <v>1.0500000000000007</v>
      </c>
      <c r="BA15" s="357">
        <f>IF(ISNA(Daily!E285),"",Daily!E285)</f>
        <v>1.2</v>
      </c>
      <c r="BB15" s="357" t="str">
        <f>IF(ISNA(Daily!E315),"",Daily!E315)</f>
        <v/>
      </c>
      <c r="BC15" s="357" t="str">
        <f>IF(ISNA(Daily!E346),"",Daily!E346)</f>
        <v/>
      </c>
      <c r="BD15" s="357" t="str">
        <f>IF(ISNA(Daily!E376),"",Daily!E376)</f>
        <v/>
      </c>
      <c r="BE15" s="357" t="str">
        <f>IF(ISNA(Daily!E407),"",Daily!E407)</f>
        <v/>
      </c>
      <c r="BF15" s="357" t="str">
        <f>IF(ISNA(Daily!E438),"",Daily!E438)</f>
        <v/>
      </c>
      <c r="BG15" s="357" t="str">
        <f>IF(ISNA(Daily!E466),"",Daily!E466)</f>
        <v/>
      </c>
      <c r="BH15" s="357" t="str">
        <f>IF(ISNA(Daily!E497),"",Daily!E497)</f>
        <v/>
      </c>
      <c r="BI15" s="357" t="str">
        <f>IF(ISNA(Daily!E527),"",Daily!E527)</f>
        <v/>
      </c>
      <c r="BJ15" s="357" t="str">
        <f>IF(ISNA(Daily!E558),"",Daily!E558)</f>
        <v/>
      </c>
      <c r="BK15" s="357" t="str">
        <f>IF(ISNA(Daily!E588),"",Daily!E588)</f>
        <v/>
      </c>
      <c r="BL15" s="349"/>
      <c r="BM15" s="356">
        <v>13</v>
      </c>
      <c r="BN15" s="357" t="str">
        <f>Daily!G41</f>
        <v/>
      </c>
      <c r="BO15" s="357" t="str">
        <f>Daily!G72</f>
        <v/>
      </c>
      <c r="BP15" s="357" t="str">
        <f>Daily!G101</f>
        <v/>
      </c>
      <c r="BQ15" s="357" t="str">
        <f>Daily!G132</f>
        <v/>
      </c>
      <c r="BR15" s="357">
        <f>Daily!G162</f>
        <v>3.3284849965011971</v>
      </c>
      <c r="BS15" s="357">
        <f>Daily!G193</f>
        <v>2.9765658556249135</v>
      </c>
      <c r="BT15" s="357">
        <f>Daily!G223</f>
        <v>4.3620937193864249</v>
      </c>
      <c r="BU15" s="357">
        <f>Daily!G254</f>
        <v>4.1743124340524282</v>
      </c>
      <c r="BV15" s="357">
        <f>Daily!G285</f>
        <v>0.72926566245975233</v>
      </c>
      <c r="BW15" s="357" t="str">
        <f>Daily!G315</f>
        <v/>
      </c>
      <c r="BX15" s="357" t="str">
        <f>Daily!G346</f>
        <v/>
      </c>
      <c r="BY15" s="357" t="str">
        <f>Daily!G376</f>
        <v/>
      </c>
      <c r="BZ15" s="357" t="str">
        <f>Daily!G407</f>
        <v/>
      </c>
      <c r="CA15" s="357" t="str">
        <f>Daily!G438</f>
        <v/>
      </c>
      <c r="CB15" s="357" t="str">
        <f>Daily!G466</f>
        <v/>
      </c>
      <c r="CC15" s="357" t="str">
        <f>Daily!G497</f>
        <v/>
      </c>
      <c r="CD15" s="357" t="str">
        <f>Daily!G527</f>
        <v/>
      </c>
      <c r="CE15" s="357" t="str">
        <f>Daily!G558</f>
        <v/>
      </c>
      <c r="CF15" s="357" t="str">
        <f>Daily!G588</f>
        <v/>
      </c>
      <c r="CG15" s="349"/>
      <c r="CH15" s="356">
        <v>13</v>
      </c>
      <c r="CI15" s="358" t="str">
        <f>IF(Daily!I41=0,"",Daily!I41)</f>
        <v/>
      </c>
      <c r="CJ15" s="358" t="str">
        <f>IF(Daily!I72=0,"",Daily!I72)</f>
        <v/>
      </c>
      <c r="CK15" s="358" t="str">
        <f>IF(Daily!I101=0,"",Daily!I101)</f>
        <v/>
      </c>
      <c r="CL15" s="358" t="str">
        <f>IF(Daily!I132=0,"",Daily!I132)</f>
        <v/>
      </c>
      <c r="CM15" s="358" t="str">
        <f>IF(Daily!I1512=0,"",Daily!I162)</f>
        <v/>
      </c>
      <c r="CN15" s="358">
        <f>IF(Daily!I193=0,"",Daily!I193)</f>
        <v>108.24217948838242</v>
      </c>
      <c r="CO15" s="358">
        <f>IF(Daily!I223=0,"",Daily!I223)</f>
        <v>239.74727327581735</v>
      </c>
      <c r="CP15" s="358">
        <f>IF(Daily!I254=0,"",Daily!I254)</f>
        <v>375.25017807878481</v>
      </c>
      <c r="CQ15" s="358">
        <f>IF(Daily!I285=0,"",Daily!I285)</f>
        <v>470.2271812312178</v>
      </c>
      <c r="CR15" s="358" t="str">
        <f>IF(Daily!I315=0,"",Daily!I315)</f>
        <v/>
      </c>
      <c r="CS15" s="358" t="str">
        <f>IF(Daily!I346=0,"",Daily!I346)</f>
        <v/>
      </c>
      <c r="CT15" s="358" t="str">
        <f>IF(Daily!I376=0,"",Daily!I376)</f>
        <v/>
      </c>
      <c r="CU15" s="358" t="str">
        <f>IF(Daily!I407=0,"",Daily!I407)</f>
        <v/>
      </c>
      <c r="CV15" s="358" t="str">
        <f>IF(Daily!I438=0,"",Daily!I438)</f>
        <v/>
      </c>
      <c r="CW15" s="358" t="str">
        <f>IF(Daily!I466=0,"",Daily!I466)</f>
        <v/>
      </c>
      <c r="CX15" s="358" t="str">
        <f>IF(Daily!I497=0,"",Daily!I497)</f>
        <v/>
      </c>
      <c r="CY15" s="358" t="str">
        <f>IF(Daily!I527=0,"",Daily!I527)</f>
        <v/>
      </c>
      <c r="CZ15" s="358" t="str">
        <f>IF(Daily!I558=0,"",Daily!I558)</f>
        <v/>
      </c>
      <c r="DA15" s="358" t="str">
        <f>IF(Daily!I588=0,"",Daily!I588)</f>
        <v/>
      </c>
      <c r="DB15" s="349"/>
      <c r="DC15" s="356">
        <v>13</v>
      </c>
      <c r="DD15" s="357" t="str">
        <f>IF(ISNA(Daily!F41),"",Daily!F41)</f>
        <v/>
      </c>
      <c r="DE15" s="357" t="str">
        <f>IF(ISNA(Daily!F72),"",Daily!F72)</f>
        <v/>
      </c>
      <c r="DF15" s="357" t="str">
        <f>IF(ISNA(Daily!F101),"",Daily!F101)</f>
        <v/>
      </c>
      <c r="DG15" s="357" t="str">
        <f>IF(ISNA(Daily!F132),"",Daily!F132)</f>
        <v/>
      </c>
      <c r="DH15" s="357">
        <f>IF(ISNA(Daily!F162),"",Daily!F162)</f>
        <v>0.8102962140161466</v>
      </c>
      <c r="DI15" s="357">
        <f>IF(ISNA(Daily!F193),"",Daily!F193)</f>
        <v>0.96185096245953627</v>
      </c>
      <c r="DJ15" s="357">
        <f>IF(ISNA(Daily!F223),"",Daily!F223)</f>
        <v>1.0551154230400821</v>
      </c>
      <c r="DK15" s="357">
        <f>IF(ISNA(Daily!F254),"",Daily!F254)</f>
        <v>1.0551154230400821</v>
      </c>
      <c r="DL15" s="357">
        <f>IF(ISNA(Daily!F285),"",Daily!F285)</f>
        <v>0.8703503396030603</v>
      </c>
      <c r="DM15" s="357" t="str">
        <f>IF(ISNA(Daily!F315),"",Daily!F315)</f>
        <v/>
      </c>
      <c r="DN15" s="357" t="str">
        <f>IF(ISNA(Daily!F346),"",Daily!F346)</f>
        <v/>
      </c>
      <c r="DO15" s="357" t="str">
        <f>IF(ISNA(Daily!F376),"",Daily!F376)</f>
        <v/>
      </c>
      <c r="DP15" s="357" t="str">
        <f>IF(ISNA(Daily!F407),"",Daily!F407)</f>
        <v/>
      </c>
      <c r="DQ15" s="357" t="str">
        <f>IF(ISNA(Daily!F438),"",Daily!F438)</f>
        <v/>
      </c>
      <c r="DR15" s="357" t="str">
        <f>IF(ISNA(Daily!F467),"",Daily!F467)</f>
        <v/>
      </c>
      <c r="DS15" s="357" t="str">
        <f>IF(ISNA(Daily!F497),"",Daily!F497)</f>
        <v/>
      </c>
      <c r="DT15" s="357" t="str">
        <f>IF(ISNA(Daily!F527),"",Daily!F527)</f>
        <v/>
      </c>
      <c r="DU15" s="357" t="str">
        <f>IF(ISNA(Daily!F558),"",Daily!F558)</f>
        <v/>
      </c>
      <c r="DV15" s="357" t="str">
        <f>IF(ISNA(Daily!F588),"",Daily!G588)</f>
        <v/>
      </c>
      <c r="DW15" s="349"/>
      <c r="DX15" s="356">
        <v>13</v>
      </c>
      <c r="DY15" s="357" t="str">
        <f>Daily!H41</f>
        <v/>
      </c>
      <c r="DZ15" s="357" t="str">
        <f>Daily!H72</f>
        <v/>
      </c>
      <c r="EA15" s="357" t="str">
        <f>Daily!H101</f>
        <v/>
      </c>
      <c r="EB15" s="357" t="str">
        <f>Daily!H132</f>
        <v/>
      </c>
      <c r="EC15" s="357">
        <f>Daily!H162</f>
        <v>2.2475489925620562</v>
      </c>
      <c r="ED15" s="357">
        <f>Daily!H193</f>
        <v>3.942509337324414</v>
      </c>
      <c r="EE15" s="357">
        <f>Daily!H223</f>
        <v>4.3833451048294183</v>
      </c>
      <c r="EF15" s="357">
        <f>Daily!H254</f>
        <v>4.1946489807206664</v>
      </c>
      <c r="EG15" s="357">
        <f>Daily!H285</f>
        <v>0.52893051415224679</v>
      </c>
      <c r="EH15" s="357" t="str">
        <f>Daily!H315</f>
        <v/>
      </c>
      <c r="EI15" s="357" t="str">
        <f>Daily!H346</f>
        <v/>
      </c>
      <c r="EJ15" s="357" t="str">
        <f>Daily!H376</f>
        <v/>
      </c>
      <c r="EK15" s="357" t="str">
        <f>Daily!H407</f>
        <v/>
      </c>
      <c r="EL15" s="357" t="str">
        <f>Daily!H438</f>
        <v/>
      </c>
      <c r="EM15" s="357" t="str">
        <f>Daily!H466</f>
        <v/>
      </c>
      <c r="EN15" s="357" t="str">
        <f>Daily!H497</f>
        <v/>
      </c>
      <c r="EO15" s="357" t="str">
        <f>Daily!H527</f>
        <v/>
      </c>
      <c r="EP15" s="357" t="str">
        <f>Daily!H558</f>
        <v/>
      </c>
      <c r="EQ15" s="357" t="str">
        <f>Daily!H588</f>
        <v/>
      </c>
      <c r="ER15" s="349"/>
      <c r="ES15" s="356">
        <v>13</v>
      </c>
      <c r="ET15" s="358" t="str">
        <f>IF(Daily!J41=0,"",Daily!J41)</f>
        <v/>
      </c>
      <c r="EU15" s="358" t="str">
        <f>IF(Daily!J72=0,"",Daily!J72)</f>
        <v/>
      </c>
      <c r="EV15" s="358" t="str">
        <f>IF(Daily!J101=0,"",Daily!J101)</f>
        <v/>
      </c>
      <c r="EW15" s="358" t="str">
        <f>IF(Daily!J132=0,"",Daily!J132)</f>
        <v/>
      </c>
      <c r="EX15" s="358">
        <f>IF(Daily!J162=0,"",Daily!J162)</f>
        <v>45.866219195376303</v>
      </c>
      <c r="EY15" s="358">
        <f>IF(Daily!J193=0,"",Daily!J193)</f>
        <v>141.61929534227966</v>
      </c>
      <c r="EZ15" s="358">
        <f>IF(Daily!J223=0,"",Daily!J223)</f>
        <v>278.84902252233877</v>
      </c>
      <c r="FA15" s="358">
        <f>IF(Daily!J254=0,"",Daily!J254)</f>
        <v>414.39593431177531</v>
      </c>
      <c r="FB15" s="358">
        <f>IF(Daily!J285=0,"",Daily!J285)</f>
        <v>507.38469882326865</v>
      </c>
      <c r="FC15" s="358" t="str">
        <f>IF(Daily!J315=0,"",Daily!J315)</f>
        <v/>
      </c>
      <c r="FD15" s="358" t="str">
        <f>IF(Daily!J346=0,"",Daily!J346)</f>
        <v/>
      </c>
      <c r="FE15" s="358" t="str">
        <f>IF(Daily!J376=0,"",Daily!J376)</f>
        <v/>
      </c>
      <c r="FF15" s="358" t="str">
        <f>IF(Daily!J407=0,"",Daily!J407)</f>
        <v/>
      </c>
      <c r="FG15" s="358" t="str">
        <f>IF(Daily!J438=0,"",Daily!J438)</f>
        <v/>
      </c>
      <c r="FH15" s="358" t="str">
        <f>IF(Daily!J466=0,"",Daily!J466)</f>
        <v/>
      </c>
      <c r="FI15" s="358" t="str">
        <f>IF(Daily!J497=0,"",Daily!J497)</f>
        <v/>
      </c>
      <c r="FJ15" s="358" t="str">
        <f>IF(Daily!J527=0,"",Daily!J527)</f>
        <v/>
      </c>
      <c r="FK15" s="358" t="str">
        <f>IF(Daily!J558=0,"",Daily!J558)</f>
        <v/>
      </c>
      <c r="FL15" s="358" t="str">
        <f>IF(Daily!J588=0,"",Daily!J588)</f>
        <v/>
      </c>
      <c r="FM15" s="349"/>
    </row>
    <row r="16" spans="1:169">
      <c r="A16" s="349"/>
      <c r="B16" s="356">
        <v>14</v>
      </c>
      <c r="C16" s="357" t="str">
        <f>Daily!D42</f>
        <v/>
      </c>
      <c r="D16" s="357" t="str">
        <f>Daily!D73</f>
        <v/>
      </c>
      <c r="E16" s="357" t="str">
        <f>Daily!D102</f>
        <v/>
      </c>
      <c r="F16" s="357" t="str">
        <f>Daily!D133</f>
        <v/>
      </c>
      <c r="G16" s="357">
        <f>Daily!D163</f>
        <v>1.154070925876401</v>
      </c>
      <c r="H16" s="357">
        <f>Daily!D194</f>
        <v>0.23543945142778899</v>
      </c>
      <c r="I16" s="357">
        <f>Daily!D224</f>
        <v>0.40650762786053624</v>
      </c>
      <c r="J16" s="357">
        <f>Daily!D255</f>
        <v>0.19379981147686801</v>
      </c>
      <c r="K16" s="357">
        <f>Daily!D286</f>
        <v>1.2</v>
      </c>
      <c r="L16" s="357" t="str">
        <f>Daily!D316</f>
        <v/>
      </c>
      <c r="M16" s="357" t="str">
        <f>Daily!D347</f>
        <v/>
      </c>
      <c r="N16" s="357" t="str">
        <f>Daily!D377</f>
        <v/>
      </c>
      <c r="O16" s="357" t="str">
        <f>Daily!D408</f>
        <v/>
      </c>
      <c r="P16" s="357" t="str">
        <f>Daily!D439</f>
        <v/>
      </c>
      <c r="Q16" s="357" t="str">
        <f>Daily!D467</f>
        <v/>
      </c>
      <c r="R16" s="357" t="str">
        <f>Daily!D498</f>
        <v/>
      </c>
      <c r="S16" s="357" t="str">
        <f>Daily!D528</f>
        <v/>
      </c>
      <c r="T16" s="357" t="str">
        <f>Daily!D559</f>
        <v/>
      </c>
      <c r="U16" s="357" t="str">
        <f>Daily!D589</f>
        <v/>
      </c>
      <c r="V16" s="349"/>
      <c r="W16" s="356">
        <v>14</v>
      </c>
      <c r="X16" s="357">
        <f>Daily!C42</f>
        <v>0.16723499167272959</v>
      </c>
      <c r="Y16" s="357">
        <f>Daily!C73</f>
        <v>0.39576125991328082</v>
      </c>
      <c r="Z16" s="357">
        <f>Daily!C102</f>
        <v>1.4003264529478212</v>
      </c>
      <c r="AA16" s="357">
        <f>Daily!C133</f>
        <v>1.2746820392788025</v>
      </c>
      <c r="AB16" s="357">
        <f>Daily!C163</f>
        <v>2.5122717623350574</v>
      </c>
      <c r="AC16" s="357">
        <f>Daily!C194</f>
        <v>4.1796010570230111</v>
      </c>
      <c r="AD16" s="357">
        <f>Daily!C224</f>
        <v>4.3856695518355373</v>
      </c>
      <c r="AE16" s="357">
        <f>Daily!C255</f>
        <v>3.7997193760539565</v>
      </c>
      <c r="AF16" s="357">
        <f>Daily!C286</f>
        <v>1.6459072285947327</v>
      </c>
      <c r="AG16" s="357">
        <f>Daily!C316</f>
        <v>1.1510967075143896</v>
      </c>
      <c r="AH16" s="357">
        <f>Daily!C347</f>
        <v>0.3836576772264001</v>
      </c>
      <c r="AI16" s="357">
        <f>Daily!C377</f>
        <v>0.19213352452024041</v>
      </c>
      <c r="AJ16" s="357">
        <f>Daily!C408</f>
        <v>0.16723499167272959</v>
      </c>
      <c r="AK16" s="357">
        <f>Daily!C439</f>
        <v>0.39576125991328082</v>
      </c>
      <c r="AL16" s="357">
        <f>Daily!C467</f>
        <v>1.3808451880317716</v>
      </c>
      <c r="AM16" s="357">
        <f>Daily!C498</f>
        <v>2.3817274499732548</v>
      </c>
      <c r="AN16" s="357">
        <f>Daily!C528</f>
        <v>2.7737374970843311</v>
      </c>
      <c r="AO16" s="357">
        <f>Daily!C559</f>
        <v>4.0988775716802071</v>
      </c>
      <c r="AP16" s="357">
        <f>Daily!C589</f>
        <v>4.154374970844211</v>
      </c>
      <c r="AQ16" s="349"/>
      <c r="AR16" s="356">
        <v>14</v>
      </c>
      <c r="AS16" s="357" t="str">
        <f>IF(ISNA(Daily!E42),"",Daily!E42)</f>
        <v/>
      </c>
      <c r="AT16" s="357" t="str">
        <f>IF(ISNA(Daily!E73),"",Daily!E73)</f>
        <v/>
      </c>
      <c r="AU16" s="357" t="str">
        <f>IF(ISNA(Daily!E102),"",Daily!E102)</f>
        <v/>
      </c>
      <c r="AV16" s="357" t="str">
        <f>IF(ISNA(Daily!E133),"",Daily!E133)</f>
        <v/>
      </c>
      <c r="AW16" s="357">
        <f>IF(ISNA(Daily!E163),"",Daily!E163)</f>
        <v>1.154070925876401</v>
      </c>
      <c r="AX16" s="357">
        <f>IF(ISNA(Daily!E194),"",Daily!E194)</f>
        <v>0.74642857142857177</v>
      </c>
      <c r="AY16" s="357">
        <f>IF(ISNA(Daily!E224),"",Daily!E224)</f>
        <v>1.0500000000000007</v>
      </c>
      <c r="AZ16" s="357">
        <f>IF(ISNA(Daily!E255),"",Daily!E255)</f>
        <v>1.0500000000000007</v>
      </c>
      <c r="BA16" s="357">
        <f>IF(ISNA(Daily!E286),"",Daily!E286)</f>
        <v>1.2</v>
      </c>
      <c r="BB16" s="357" t="str">
        <f>IF(ISNA(Daily!E316),"",Daily!E316)</f>
        <v/>
      </c>
      <c r="BC16" s="357" t="str">
        <f>IF(ISNA(Daily!E347),"",Daily!E347)</f>
        <v/>
      </c>
      <c r="BD16" s="357" t="str">
        <f>IF(ISNA(Daily!E377),"",Daily!E377)</f>
        <v/>
      </c>
      <c r="BE16" s="357" t="str">
        <f>IF(ISNA(Daily!E408),"",Daily!E408)</f>
        <v/>
      </c>
      <c r="BF16" s="357" t="str">
        <f>IF(ISNA(Daily!E439),"",Daily!E439)</f>
        <v/>
      </c>
      <c r="BG16" s="357" t="str">
        <f>IF(ISNA(Daily!E467),"",Daily!E467)</f>
        <v/>
      </c>
      <c r="BH16" s="357" t="str">
        <f>IF(ISNA(Daily!E498),"",Daily!E498)</f>
        <v/>
      </c>
      <c r="BI16" s="357" t="str">
        <f>IF(ISNA(Daily!E528),"",Daily!E528)</f>
        <v/>
      </c>
      <c r="BJ16" s="357" t="str">
        <f>IF(ISNA(Daily!E559),"",Daily!E559)</f>
        <v/>
      </c>
      <c r="BK16" s="357" t="str">
        <f>IF(ISNA(Daily!E589),"",Daily!E589)</f>
        <v/>
      </c>
      <c r="BL16" s="349"/>
      <c r="BM16" s="356">
        <v>14</v>
      </c>
      <c r="BN16" s="357" t="str">
        <f>Daily!G42</f>
        <v/>
      </c>
      <c r="BO16" s="357" t="str">
        <f>Daily!G73</f>
        <v/>
      </c>
      <c r="BP16" s="357" t="str">
        <f>Daily!G102</f>
        <v/>
      </c>
      <c r="BQ16" s="357" t="str">
        <f>Daily!G133</f>
        <v/>
      </c>
      <c r="BR16" s="357">
        <f>Daily!G163</f>
        <v>2.8993397988111576</v>
      </c>
      <c r="BS16" s="357">
        <f>Daily!G194</f>
        <v>3.1197736461350347</v>
      </c>
      <c r="BT16" s="357">
        <f>Daily!G224</f>
        <v>4.6049530294273175</v>
      </c>
      <c r="BU16" s="357">
        <f>Daily!G255</f>
        <v>3.9897053448566568</v>
      </c>
      <c r="BV16" s="357">
        <f>Daily!G286</f>
        <v>1.9750886743136791</v>
      </c>
      <c r="BW16" s="357" t="str">
        <f>Daily!G316</f>
        <v/>
      </c>
      <c r="BX16" s="357" t="str">
        <f>Daily!G347</f>
        <v/>
      </c>
      <c r="BY16" s="357" t="str">
        <f>Daily!G377</f>
        <v/>
      </c>
      <c r="BZ16" s="357" t="str">
        <f>Daily!G408</f>
        <v/>
      </c>
      <c r="CA16" s="357" t="str">
        <f>Daily!G439</f>
        <v/>
      </c>
      <c r="CB16" s="357" t="str">
        <f>Daily!G467</f>
        <v/>
      </c>
      <c r="CC16" s="357" t="str">
        <f>Daily!G498</f>
        <v/>
      </c>
      <c r="CD16" s="357" t="str">
        <f>Daily!G528</f>
        <v/>
      </c>
      <c r="CE16" s="357" t="str">
        <f>Daily!G559</f>
        <v/>
      </c>
      <c r="CF16" s="357" t="str">
        <f>Daily!G589</f>
        <v/>
      </c>
      <c r="CG16" s="349"/>
      <c r="CH16" s="356">
        <v>14</v>
      </c>
      <c r="CI16" s="358" t="str">
        <f>IF(Daily!I42=0,"",Daily!I42)</f>
        <v/>
      </c>
      <c r="CJ16" s="358" t="str">
        <f>IF(Daily!I73=0,"",Daily!I73)</f>
        <v/>
      </c>
      <c r="CK16" s="358" t="str">
        <f>IF(Daily!I102=0,"",Daily!I102)</f>
        <v/>
      </c>
      <c r="CL16" s="358" t="str">
        <f>IF(Daily!I133=0,"",Daily!I133)</f>
        <v/>
      </c>
      <c r="CM16" s="358" t="str">
        <f>IF(Daily!I1513=0,"",Daily!I163)</f>
        <v/>
      </c>
      <c r="CN16" s="358">
        <f>IF(Daily!I194=0,"",Daily!I194)</f>
        <v>111.36195313451745</v>
      </c>
      <c r="CO16" s="358">
        <f>IF(Daily!I224=0,"",Daily!I224)</f>
        <v>244.35222630524467</v>
      </c>
      <c r="CP16" s="358">
        <f>IF(Daily!I255=0,"",Daily!I255)</f>
        <v>379.23988342364146</v>
      </c>
      <c r="CQ16" s="358">
        <f>IF(Daily!I286=0,"",Daily!I286)</f>
        <v>472.20226990553147</v>
      </c>
      <c r="CR16" s="358" t="str">
        <f>IF(Daily!I316=0,"",Daily!I316)</f>
        <v/>
      </c>
      <c r="CS16" s="358" t="str">
        <f>IF(Daily!I347=0,"",Daily!I347)</f>
        <v/>
      </c>
      <c r="CT16" s="358" t="str">
        <f>IF(Daily!I377=0,"",Daily!I377)</f>
        <v/>
      </c>
      <c r="CU16" s="358" t="str">
        <f>IF(Daily!I408=0,"",Daily!I408)</f>
        <v/>
      </c>
      <c r="CV16" s="358" t="str">
        <f>IF(Daily!I439=0,"",Daily!I439)</f>
        <v/>
      </c>
      <c r="CW16" s="358" t="str">
        <f>IF(Daily!I467=0,"",Daily!I467)</f>
        <v/>
      </c>
      <c r="CX16" s="358" t="str">
        <f>IF(Daily!I498=0,"",Daily!I498)</f>
        <v/>
      </c>
      <c r="CY16" s="358" t="str">
        <f>IF(Daily!I528=0,"",Daily!I528)</f>
        <v/>
      </c>
      <c r="CZ16" s="358" t="str">
        <f>IF(Daily!I559=0,"",Daily!I559)</f>
        <v/>
      </c>
      <c r="DA16" s="358" t="str">
        <f>IF(Daily!I589=0,"",Daily!I589)</f>
        <v/>
      </c>
      <c r="DB16" s="349"/>
      <c r="DC16" s="356">
        <v>14</v>
      </c>
      <c r="DD16" s="357" t="str">
        <f>IF(ISNA(Daily!F42),"",Daily!F42)</f>
        <v/>
      </c>
      <c r="DE16" s="357" t="str">
        <f>IF(ISNA(Daily!F73),"",Daily!F73)</f>
        <v/>
      </c>
      <c r="DF16" s="357" t="str">
        <f>IF(ISNA(Daily!F102),"",Daily!F102)</f>
        <v/>
      </c>
      <c r="DG16" s="357" t="str">
        <f>IF(ISNA(Daily!F133),"",Daily!F133)</f>
        <v/>
      </c>
      <c r="DH16" s="357">
        <f>IF(ISNA(Daily!F163),"",Daily!F163)</f>
        <v>0.8102962140161466</v>
      </c>
      <c r="DI16" s="357">
        <f>IF(ISNA(Daily!F194),"",Daily!F194)</f>
        <v>0.96767999124582049</v>
      </c>
      <c r="DJ16" s="357">
        <f>IF(ISNA(Daily!F224),"",Daily!F224)</f>
        <v>1.0551154230400821</v>
      </c>
      <c r="DK16" s="357">
        <f>IF(ISNA(Daily!F255),"",Daily!F255)</f>
        <v>1.0551154230400821</v>
      </c>
      <c r="DL16" s="357">
        <f>IF(ISNA(Daily!F286),"",Daily!F286)</f>
        <v>0.86295973626557942</v>
      </c>
      <c r="DM16" s="357" t="str">
        <f>IF(ISNA(Daily!F316),"",Daily!F316)</f>
        <v/>
      </c>
      <c r="DN16" s="357" t="str">
        <f>IF(ISNA(Daily!F347),"",Daily!F347)</f>
        <v/>
      </c>
      <c r="DO16" s="357" t="str">
        <f>IF(ISNA(Daily!F377),"",Daily!F377)</f>
        <v/>
      </c>
      <c r="DP16" s="357" t="str">
        <f>IF(ISNA(Daily!F408),"",Daily!F408)</f>
        <v/>
      </c>
      <c r="DQ16" s="357" t="str">
        <f>IF(ISNA(Daily!F439),"",Daily!F439)</f>
        <v/>
      </c>
      <c r="DR16" s="357" t="str">
        <f>IF(ISNA(Daily!F468),"",Daily!F468)</f>
        <v/>
      </c>
      <c r="DS16" s="357" t="str">
        <f>IF(ISNA(Daily!F498),"",Daily!F498)</f>
        <v/>
      </c>
      <c r="DT16" s="357" t="str">
        <f>IF(ISNA(Daily!F528),"",Daily!F528)</f>
        <v/>
      </c>
      <c r="DU16" s="357" t="str">
        <f>IF(ISNA(Daily!F559),"",Daily!F559)</f>
        <v/>
      </c>
      <c r="DV16" s="357" t="str">
        <f>IF(ISNA(Daily!F589),"",Daily!G589)</f>
        <v/>
      </c>
      <c r="DW16" s="349"/>
      <c r="DX16" s="356">
        <v>14</v>
      </c>
      <c r="DY16" s="357" t="str">
        <f>Daily!H42</f>
        <v/>
      </c>
      <c r="DZ16" s="357" t="str">
        <f>Daily!H73</f>
        <v/>
      </c>
      <c r="EA16" s="357" t="str">
        <f>Daily!H102</f>
        <v/>
      </c>
      <c r="EB16" s="357" t="str">
        <f>Daily!H133</f>
        <v/>
      </c>
      <c r="EC16" s="357">
        <f>Daily!H163</f>
        <v>2.0356842975997695</v>
      </c>
      <c r="ED16" s="357">
        <f>Daily!H194</f>
        <v>4.0445163142710499</v>
      </c>
      <c r="EE16" s="357">
        <f>Daily!H224</f>
        <v>4.62738758449896</v>
      </c>
      <c r="EF16" s="357">
        <f>Daily!H255</f>
        <v>4.0091425168987671</v>
      </c>
      <c r="EG16" s="357">
        <f>Daily!H286</f>
        <v>1.4203516679057213</v>
      </c>
      <c r="EH16" s="357" t="str">
        <f>Daily!H316</f>
        <v/>
      </c>
      <c r="EI16" s="357" t="str">
        <f>Daily!H347</f>
        <v/>
      </c>
      <c r="EJ16" s="357" t="str">
        <f>Daily!H377</f>
        <v/>
      </c>
      <c r="EK16" s="357" t="str">
        <f>Daily!H408</f>
        <v/>
      </c>
      <c r="EL16" s="357" t="str">
        <f>Daily!H439</f>
        <v/>
      </c>
      <c r="EM16" s="357" t="str">
        <f>Daily!H467</f>
        <v/>
      </c>
      <c r="EN16" s="357" t="str">
        <f>Daily!H498</f>
        <v/>
      </c>
      <c r="EO16" s="357" t="str">
        <f>Daily!H528</f>
        <v/>
      </c>
      <c r="EP16" s="357" t="str">
        <f>Daily!H559</f>
        <v/>
      </c>
      <c r="EQ16" s="357" t="str">
        <f>Daily!H589</f>
        <v/>
      </c>
      <c r="ER16" s="349"/>
      <c r="ES16" s="356">
        <v>14</v>
      </c>
      <c r="ET16" s="358" t="str">
        <f>IF(Daily!J42=0,"",Daily!J42)</f>
        <v/>
      </c>
      <c r="EU16" s="358" t="str">
        <f>IF(Daily!J73=0,"",Daily!J73)</f>
        <v/>
      </c>
      <c r="EV16" s="358" t="str">
        <f>IF(Daily!J102=0,"",Daily!J102)</f>
        <v/>
      </c>
      <c r="EW16" s="358" t="str">
        <f>IF(Daily!J133=0,"",Daily!J133)</f>
        <v/>
      </c>
      <c r="EX16" s="358">
        <f>IF(Daily!J163=0,"",Daily!J163)</f>
        <v>47.901903492976075</v>
      </c>
      <c r="EY16" s="358">
        <f>IF(Daily!J194=0,"",Daily!J194)</f>
        <v>145.66381165655071</v>
      </c>
      <c r="EZ16" s="358">
        <f>IF(Daily!J224=0,"",Daily!J224)</f>
        <v>283.4764101068377</v>
      </c>
      <c r="FA16" s="358">
        <f>IF(Daily!J255=0,"",Daily!J255)</f>
        <v>418.40507682867405</v>
      </c>
      <c r="FB16" s="358">
        <f>IF(Daily!J286=0,"",Daily!J286)</f>
        <v>508.80505049117437</v>
      </c>
      <c r="FC16" s="358" t="str">
        <f>IF(Daily!J316=0,"",Daily!J316)</f>
        <v/>
      </c>
      <c r="FD16" s="358" t="str">
        <f>IF(Daily!J347=0,"",Daily!J347)</f>
        <v/>
      </c>
      <c r="FE16" s="358" t="str">
        <f>IF(Daily!J377=0,"",Daily!J377)</f>
        <v/>
      </c>
      <c r="FF16" s="358" t="str">
        <f>IF(Daily!J408=0,"",Daily!J408)</f>
        <v/>
      </c>
      <c r="FG16" s="358" t="str">
        <f>IF(Daily!J439=0,"",Daily!J439)</f>
        <v/>
      </c>
      <c r="FH16" s="358" t="str">
        <f>IF(Daily!J467=0,"",Daily!J467)</f>
        <v/>
      </c>
      <c r="FI16" s="358" t="str">
        <f>IF(Daily!J498=0,"",Daily!J498)</f>
        <v/>
      </c>
      <c r="FJ16" s="358" t="str">
        <f>IF(Daily!J528=0,"",Daily!J528)</f>
        <v/>
      </c>
      <c r="FK16" s="358" t="str">
        <f>IF(Daily!J559=0,"",Daily!J559)</f>
        <v/>
      </c>
      <c r="FL16" s="358" t="str">
        <f>IF(Daily!J589=0,"",Daily!J589)</f>
        <v/>
      </c>
      <c r="FM16" s="349"/>
    </row>
    <row r="17" spans="1:169">
      <c r="A17" s="349"/>
      <c r="B17" s="356">
        <v>15</v>
      </c>
      <c r="C17" s="357" t="str">
        <f>Daily!D43</f>
        <v/>
      </c>
      <c r="D17" s="357" t="str">
        <f>Daily!D74</f>
        <v/>
      </c>
      <c r="E17" s="357" t="str">
        <f>Daily!D103</f>
        <v/>
      </c>
      <c r="F17" s="357">
        <f>Daily!D134</f>
        <v>1.2</v>
      </c>
      <c r="G17" s="357">
        <f>Daily!D164</f>
        <v>0.93352100589607068</v>
      </c>
      <c r="H17" s="357">
        <f>Daily!D195</f>
        <v>0.23224334373123465</v>
      </c>
      <c r="I17" s="357">
        <f>Daily!D225</f>
        <v>0.38526170533750487</v>
      </c>
      <c r="J17" s="357">
        <f>Daily!D256</f>
        <v>0.19292346557313289</v>
      </c>
      <c r="K17" s="357">
        <f>Daily!D287</f>
        <v>1.0407155047635945</v>
      </c>
      <c r="L17" s="357" t="str">
        <f>Daily!D317</f>
        <v/>
      </c>
      <c r="M17" s="357" t="str">
        <f>Daily!D348</f>
        <v/>
      </c>
      <c r="N17" s="357" t="str">
        <f>Daily!D378</f>
        <v/>
      </c>
      <c r="O17" s="357" t="str">
        <f>Daily!D409</f>
        <v/>
      </c>
      <c r="P17" s="357" t="str">
        <f>Daily!D440</f>
        <v/>
      </c>
      <c r="Q17" s="357" t="str">
        <f>Daily!D468</f>
        <v/>
      </c>
      <c r="R17" s="357" t="str">
        <f>Daily!D499</f>
        <v/>
      </c>
      <c r="S17" s="357" t="str">
        <f>Daily!D529</f>
        <v/>
      </c>
      <c r="T17" s="357" t="str">
        <f>Daily!D560</f>
        <v/>
      </c>
      <c r="U17" s="357" t="str">
        <f>Daily!D590</f>
        <v/>
      </c>
      <c r="V17" s="349"/>
      <c r="W17" s="356">
        <v>15</v>
      </c>
      <c r="X17" s="357">
        <f>Daily!C43</f>
        <v>0.18422309026983519</v>
      </c>
      <c r="Y17" s="357">
        <f>Daily!C74</f>
        <v>0.2110792416261621</v>
      </c>
      <c r="Z17" s="357">
        <f>Daily!C103</f>
        <v>0.98386499581817932</v>
      </c>
      <c r="AA17" s="357">
        <f>Daily!C134</f>
        <v>1.7042348255788369</v>
      </c>
      <c r="AB17" s="357">
        <f>Daily!C164</f>
        <v>2.6871893259664557</v>
      </c>
      <c r="AC17" s="357">
        <f>Daily!C195</f>
        <v>3.089182056521572</v>
      </c>
      <c r="AD17" s="357">
        <f>Daily!C225</f>
        <v>4.3782405218811054</v>
      </c>
      <c r="AE17" s="357">
        <f>Daily!C256</f>
        <v>1.4804598800034643</v>
      </c>
      <c r="AF17" s="357">
        <f>Daily!C287</f>
        <v>1.7463882963650035</v>
      </c>
      <c r="AG17" s="357">
        <f>Daily!C317</f>
        <v>1.1727987746997555</v>
      </c>
      <c r="AH17" s="357">
        <f>Daily!C348</f>
        <v>0.21566560420843345</v>
      </c>
      <c r="AI17" s="357">
        <f>Daily!C378</f>
        <v>0.19704501125568424</v>
      </c>
      <c r="AJ17" s="357">
        <f>Daily!C409</f>
        <v>0.18422309026983519</v>
      </c>
      <c r="AK17" s="357">
        <f>Daily!C440</f>
        <v>0.2110792416261621</v>
      </c>
      <c r="AL17" s="357">
        <f>Daily!C468</f>
        <v>1.4003264529478212</v>
      </c>
      <c r="AM17" s="357">
        <f>Daily!C499</f>
        <v>1.2746820392788025</v>
      </c>
      <c r="AN17" s="357">
        <f>Daily!C529</f>
        <v>2.5122717623350574</v>
      </c>
      <c r="AO17" s="357">
        <f>Daily!C560</f>
        <v>4.1796010570230111</v>
      </c>
      <c r="AP17" s="357">
        <f>Daily!C590</f>
        <v>4.3856695518355373</v>
      </c>
      <c r="AQ17" s="349"/>
      <c r="AR17" s="356">
        <v>15</v>
      </c>
      <c r="AS17" s="357" t="str">
        <f>IF(ISNA(Daily!E43),"",Daily!E43)</f>
        <v/>
      </c>
      <c r="AT17" s="357" t="str">
        <f>IF(ISNA(Daily!E74),"",Daily!E74)</f>
        <v/>
      </c>
      <c r="AU17" s="357" t="str">
        <f>IF(ISNA(Daily!E103),"",Daily!E103)</f>
        <v/>
      </c>
      <c r="AV17" s="357">
        <f>IF(ISNA(Daily!E134),"",Daily!E134)</f>
        <v>1.2</v>
      </c>
      <c r="AW17" s="357">
        <f>IF(ISNA(Daily!E164),"",Daily!E164)</f>
        <v>0.93352100589607068</v>
      </c>
      <c r="AX17" s="357">
        <f>IF(ISNA(Daily!E195),"",Daily!E195)</f>
        <v>0.76666666666666705</v>
      </c>
      <c r="AY17" s="357">
        <f>IF(ISNA(Daily!E225),"",Daily!E225)</f>
        <v>1.0500000000000007</v>
      </c>
      <c r="AZ17" s="357">
        <f>IF(ISNA(Daily!E256),"",Daily!E256)</f>
        <v>1.0500000000000007</v>
      </c>
      <c r="BA17" s="357">
        <f>IF(ISNA(Daily!E287),"",Daily!E287)</f>
        <v>1.0407155047635945</v>
      </c>
      <c r="BB17" s="357" t="str">
        <f>IF(ISNA(Daily!E317),"",Daily!E317)</f>
        <v/>
      </c>
      <c r="BC17" s="357" t="str">
        <f>IF(ISNA(Daily!E348),"",Daily!E348)</f>
        <v/>
      </c>
      <c r="BD17" s="357" t="str">
        <f>IF(ISNA(Daily!E378),"",Daily!E378)</f>
        <v/>
      </c>
      <c r="BE17" s="357" t="str">
        <f>IF(ISNA(Daily!E409),"",Daily!E409)</f>
        <v/>
      </c>
      <c r="BF17" s="357" t="str">
        <f>IF(ISNA(Daily!E440),"",Daily!E440)</f>
        <v/>
      </c>
      <c r="BG17" s="357" t="str">
        <f>IF(ISNA(Daily!E468),"",Daily!E468)</f>
        <v/>
      </c>
      <c r="BH17" s="357" t="str">
        <f>IF(ISNA(Daily!E499),"",Daily!E499)</f>
        <v/>
      </c>
      <c r="BI17" s="357" t="str">
        <f>IF(ISNA(Daily!E529),"",Daily!E529)</f>
        <v/>
      </c>
      <c r="BJ17" s="357" t="str">
        <f>IF(ISNA(Daily!E560),"",Daily!E560)</f>
        <v/>
      </c>
      <c r="BK17" s="357" t="str">
        <f>IF(ISNA(Daily!E590),"",Daily!E590)</f>
        <v/>
      </c>
      <c r="BL17" s="349"/>
      <c r="BM17" s="356">
        <v>15</v>
      </c>
      <c r="BN17" s="357" t="str">
        <f>Daily!G43</f>
        <v/>
      </c>
      <c r="BO17" s="357" t="str">
        <f>Daily!G74</f>
        <v/>
      </c>
      <c r="BP17" s="357" t="str">
        <f>Daily!G103</f>
        <v/>
      </c>
      <c r="BQ17" s="357">
        <f>Daily!G134</f>
        <v>2.0450817906946042</v>
      </c>
      <c r="BR17" s="357">
        <f>Daily!G164</f>
        <v>2.50854768260939</v>
      </c>
      <c r="BS17" s="357">
        <f>Daily!G195</f>
        <v>2.3683729099998732</v>
      </c>
      <c r="BT17" s="357">
        <f>Daily!G225</f>
        <v>4.5971525479751634</v>
      </c>
      <c r="BU17" s="357">
        <f>Daily!G256</f>
        <v>1.5544828740036385</v>
      </c>
      <c r="BV17" s="357">
        <f>Daily!G287</f>
        <v>1.8174933773647386</v>
      </c>
      <c r="BW17" s="357" t="str">
        <f>Daily!G317</f>
        <v/>
      </c>
      <c r="BX17" s="357" t="str">
        <f>Daily!G348</f>
        <v/>
      </c>
      <c r="BY17" s="357" t="str">
        <f>Daily!G378</f>
        <v/>
      </c>
      <c r="BZ17" s="357" t="str">
        <f>Daily!G409</f>
        <v/>
      </c>
      <c r="CA17" s="357" t="str">
        <f>Daily!G440</f>
        <v/>
      </c>
      <c r="CB17" s="357" t="str">
        <f>Daily!G468</f>
        <v/>
      </c>
      <c r="CC17" s="357" t="str">
        <f>Daily!G499</f>
        <v/>
      </c>
      <c r="CD17" s="357" t="str">
        <f>Daily!G529</f>
        <v/>
      </c>
      <c r="CE17" s="357" t="str">
        <f>Daily!G560</f>
        <v/>
      </c>
      <c r="CF17" s="357" t="str">
        <f>Daily!G590</f>
        <v/>
      </c>
      <c r="CG17" s="349"/>
      <c r="CH17" s="356">
        <v>15</v>
      </c>
      <c r="CI17" s="358" t="str">
        <f>IF(Daily!I43=0,"",Daily!I43)</f>
        <v/>
      </c>
      <c r="CJ17" s="358" t="str">
        <f>IF(Daily!I74=0,"",Daily!I74)</f>
        <v/>
      </c>
      <c r="CK17" s="358" t="str">
        <f>IF(Daily!I103=0,"",Daily!I103)</f>
        <v/>
      </c>
      <c r="CL17" s="358">
        <f>IF(Daily!I134=0,"",Daily!I134)</f>
        <v>2.0450817906946042</v>
      </c>
      <c r="CM17" s="358" t="str">
        <f>IF(Daily!I1514=0,"",Daily!I164)</f>
        <v/>
      </c>
      <c r="CN17" s="358">
        <f>IF(Daily!I195=0,"",Daily!I195)</f>
        <v>113.73032604451733</v>
      </c>
      <c r="CO17" s="358">
        <f>IF(Daily!I225=0,"",Daily!I225)</f>
        <v>248.94937885321983</v>
      </c>
      <c r="CP17" s="358">
        <f>IF(Daily!I256=0,"",Daily!I256)</f>
        <v>380.79436629764507</v>
      </c>
      <c r="CQ17" s="358">
        <f>IF(Daily!I287=0,"",Daily!I287)</f>
        <v>474.01976328289618</v>
      </c>
      <c r="CR17" s="358" t="str">
        <f>IF(Daily!I317=0,"",Daily!I317)</f>
        <v/>
      </c>
      <c r="CS17" s="358" t="str">
        <f>IF(Daily!I348=0,"",Daily!I348)</f>
        <v/>
      </c>
      <c r="CT17" s="358" t="str">
        <f>IF(Daily!I378=0,"",Daily!I378)</f>
        <v/>
      </c>
      <c r="CU17" s="358" t="str">
        <f>IF(Daily!I409=0,"",Daily!I409)</f>
        <v/>
      </c>
      <c r="CV17" s="358" t="str">
        <f>IF(Daily!I440=0,"",Daily!I440)</f>
        <v/>
      </c>
      <c r="CW17" s="358" t="str">
        <f>IF(Daily!I468=0,"",Daily!I468)</f>
        <v/>
      </c>
      <c r="CX17" s="358" t="str">
        <f>IF(Daily!I499=0,"",Daily!I499)</f>
        <v/>
      </c>
      <c r="CY17" s="358" t="str">
        <f>IF(Daily!I529=0,"",Daily!I529)</f>
        <v/>
      </c>
      <c r="CZ17" s="358" t="str">
        <f>IF(Daily!I560=0,"",Daily!I560)</f>
        <v/>
      </c>
      <c r="DA17" s="358" t="str">
        <f>IF(Daily!I590=0,"",Daily!I590)</f>
        <v/>
      </c>
      <c r="DB17" s="349"/>
      <c r="DC17" s="356">
        <v>15</v>
      </c>
      <c r="DD17" s="357" t="str">
        <f>IF(ISNA(Daily!F43),"",Daily!F43)</f>
        <v/>
      </c>
      <c r="DE17" s="357" t="str">
        <f>IF(ISNA(Daily!F74),"",Daily!F74)</f>
        <v/>
      </c>
      <c r="DF17" s="357" t="str">
        <f>IF(ISNA(Daily!F103),"",Daily!F103)</f>
        <v/>
      </c>
      <c r="DG17" s="357">
        <f>IF(ISNA(Daily!F134),"",Daily!F134)</f>
        <v>0.8102962140161466</v>
      </c>
      <c r="DH17" s="357">
        <f>IF(ISNA(Daily!F164),"",Daily!F164)</f>
        <v>0.8102962140161466</v>
      </c>
      <c r="DI17" s="357">
        <f>IF(ISNA(Daily!F195),"",Daily!F195)</f>
        <v>0.97350902003210471</v>
      </c>
      <c r="DJ17" s="357">
        <f>IF(ISNA(Daily!F225),"",Daily!F225)</f>
        <v>1.0551154230400821</v>
      </c>
      <c r="DK17" s="357">
        <f>IF(ISNA(Daily!F256),"",Daily!F256)</f>
        <v>1.0551154230400821</v>
      </c>
      <c r="DL17" s="357">
        <f>IF(ISNA(Daily!F287),"",Daily!F287)</f>
        <v>0.85556913292809855</v>
      </c>
      <c r="DM17" s="357" t="str">
        <f>IF(ISNA(Daily!F317),"",Daily!F317)</f>
        <v/>
      </c>
      <c r="DN17" s="357" t="str">
        <f>IF(ISNA(Daily!F348),"",Daily!F348)</f>
        <v/>
      </c>
      <c r="DO17" s="357" t="str">
        <f>IF(ISNA(Daily!F378),"",Daily!F378)</f>
        <v/>
      </c>
      <c r="DP17" s="357" t="str">
        <f>IF(ISNA(Daily!F409),"",Daily!F409)</f>
        <v/>
      </c>
      <c r="DQ17" s="357" t="str">
        <f>IF(ISNA(Daily!F440),"",Daily!F440)</f>
        <v/>
      </c>
      <c r="DR17" s="357" t="str">
        <f>IF(ISNA(Daily!F469),"",Daily!F469)</f>
        <v/>
      </c>
      <c r="DS17" s="357" t="str">
        <f>IF(ISNA(Daily!F499),"",Daily!F499)</f>
        <v/>
      </c>
      <c r="DT17" s="357" t="str">
        <f>IF(ISNA(Daily!F529),"",Daily!F529)</f>
        <v/>
      </c>
      <c r="DU17" s="357" t="str">
        <f>IF(ISNA(Daily!F560),"",Daily!F560)</f>
        <v/>
      </c>
      <c r="DV17" s="357" t="str">
        <f>IF(ISNA(Daily!F590),"",Daily!G590)</f>
        <v/>
      </c>
      <c r="DW17" s="349"/>
      <c r="DX17" s="356">
        <v>15</v>
      </c>
      <c r="DY17" s="357" t="str">
        <f>Daily!H43</f>
        <v/>
      </c>
      <c r="DZ17" s="357" t="str">
        <f>Daily!H74</f>
        <v/>
      </c>
      <c r="EA17" s="357" t="str">
        <f>Daily!H103</f>
        <v/>
      </c>
      <c r="EB17" s="357">
        <f>Daily!H134</f>
        <v>1.3809350269609995</v>
      </c>
      <c r="EC17" s="357">
        <f>Daily!H164</f>
        <v>2.1774193371752197</v>
      </c>
      <c r="ED17" s="357">
        <f>Daily!H195</f>
        <v>3.0073465965450774</v>
      </c>
      <c r="EE17" s="357">
        <f>Daily!H225</f>
        <v>4.6195491004158127</v>
      </c>
      <c r="EF17" s="357">
        <f>Daily!H256</f>
        <v>1.5620560525837244</v>
      </c>
      <c r="EG17" s="357">
        <f>Daily!H287</f>
        <v>1.4941559204767851</v>
      </c>
      <c r="EH17" s="357" t="str">
        <f>Daily!H317</f>
        <v/>
      </c>
      <c r="EI17" s="357" t="str">
        <f>Daily!H348</f>
        <v/>
      </c>
      <c r="EJ17" s="357" t="str">
        <f>Daily!H378</f>
        <v/>
      </c>
      <c r="EK17" s="357" t="str">
        <f>Daily!H409</f>
        <v/>
      </c>
      <c r="EL17" s="357" t="str">
        <f>Daily!H440</f>
        <v/>
      </c>
      <c r="EM17" s="357" t="str">
        <f>Daily!H468</f>
        <v/>
      </c>
      <c r="EN17" s="357" t="str">
        <f>Daily!H499</f>
        <v/>
      </c>
      <c r="EO17" s="357" t="str">
        <f>Daily!H529</f>
        <v/>
      </c>
      <c r="EP17" s="357" t="str">
        <f>Daily!H560</f>
        <v/>
      </c>
      <c r="EQ17" s="357" t="str">
        <f>Daily!H590</f>
        <v/>
      </c>
      <c r="ER17" s="349"/>
      <c r="ES17" s="356">
        <v>15</v>
      </c>
      <c r="ET17" s="358" t="str">
        <f>IF(Daily!J43=0,"",Daily!J43)</f>
        <v/>
      </c>
      <c r="EU17" s="358" t="str">
        <f>IF(Daily!J74=0,"",Daily!J74)</f>
        <v/>
      </c>
      <c r="EV17" s="358" t="str">
        <f>IF(Daily!J103=0,"",Daily!J103)</f>
        <v/>
      </c>
      <c r="EW17" s="358">
        <f>IF(Daily!J134=0,"",Daily!J134)</f>
        <v>1.3809350269609995</v>
      </c>
      <c r="EX17" s="358">
        <f>IF(Daily!J164=0,"",Daily!J164)</f>
        <v>50.079322830151298</v>
      </c>
      <c r="EY17" s="358">
        <f>IF(Daily!J195=0,"",Daily!J195)</f>
        <v>148.6711582530958</v>
      </c>
      <c r="EZ17" s="358">
        <f>IF(Daily!J225=0,"",Daily!J225)</f>
        <v>288.09595920725354</v>
      </c>
      <c r="FA17" s="358">
        <f>IF(Daily!J256=0,"",Daily!J256)</f>
        <v>419.96713288125778</v>
      </c>
      <c r="FB17" s="358">
        <f>IF(Daily!J287=0,"",Daily!J287)</f>
        <v>510.29920641165114</v>
      </c>
      <c r="FC17" s="358" t="str">
        <f>IF(Daily!J317=0,"",Daily!J317)</f>
        <v/>
      </c>
      <c r="FD17" s="358" t="str">
        <f>IF(Daily!J348=0,"",Daily!J348)</f>
        <v/>
      </c>
      <c r="FE17" s="358" t="str">
        <f>IF(Daily!J378=0,"",Daily!J378)</f>
        <v/>
      </c>
      <c r="FF17" s="358" t="str">
        <f>IF(Daily!J409=0,"",Daily!J409)</f>
        <v/>
      </c>
      <c r="FG17" s="358" t="str">
        <f>IF(Daily!J440=0,"",Daily!J440)</f>
        <v/>
      </c>
      <c r="FH17" s="358" t="str">
        <f>IF(Daily!J468=0,"",Daily!J468)</f>
        <v/>
      </c>
      <c r="FI17" s="358" t="str">
        <f>IF(Daily!J499=0,"",Daily!J499)</f>
        <v/>
      </c>
      <c r="FJ17" s="358" t="str">
        <f>IF(Daily!J529=0,"",Daily!J529)</f>
        <v/>
      </c>
      <c r="FK17" s="358" t="str">
        <f>IF(Daily!J560=0,"",Daily!J560)</f>
        <v/>
      </c>
      <c r="FL17" s="358" t="str">
        <f>IF(Daily!J590=0,"",Daily!J590)</f>
        <v/>
      </c>
      <c r="FM17" s="349"/>
    </row>
    <row r="18" spans="1:169">
      <c r="A18" s="349"/>
      <c r="B18" s="356">
        <v>16</v>
      </c>
      <c r="C18" s="357" t="str">
        <f>Daily!D44</f>
        <v/>
      </c>
      <c r="D18" s="357" t="str">
        <f>Daily!D75</f>
        <v/>
      </c>
      <c r="E18" s="357" t="str">
        <f>Daily!D104</f>
        <v/>
      </c>
      <c r="F18" s="357">
        <f>Daily!D135</f>
        <v>1.2</v>
      </c>
      <c r="G18" s="357">
        <f>Daily!D165</f>
        <v>0.80472162016369475</v>
      </c>
      <c r="H18" s="357">
        <f>Daily!D196</f>
        <v>0.22866938876054976</v>
      </c>
      <c r="I18" s="357">
        <f>Daily!D226</f>
        <v>0.36606302350823255</v>
      </c>
      <c r="J18" s="357">
        <f>Daily!D257</f>
        <v>0.19155449075610292</v>
      </c>
      <c r="K18" s="357">
        <f>Daily!D288</f>
        <v>0.92007475769731828</v>
      </c>
      <c r="L18" s="357" t="str">
        <f>Daily!D318</f>
        <v/>
      </c>
      <c r="M18" s="357" t="str">
        <f>Daily!D349</f>
        <v/>
      </c>
      <c r="N18" s="357" t="str">
        <f>Daily!D379</f>
        <v/>
      </c>
      <c r="O18" s="357" t="str">
        <f>Daily!D410</f>
        <v/>
      </c>
      <c r="P18" s="357" t="str">
        <f>Daily!D441</f>
        <v/>
      </c>
      <c r="Q18" s="357" t="str">
        <f>Daily!D469</f>
        <v/>
      </c>
      <c r="R18" s="357" t="str">
        <f>Daily!D500</f>
        <v/>
      </c>
      <c r="S18" s="357" t="str">
        <f>Daily!D530</f>
        <v/>
      </c>
      <c r="T18" s="357" t="str">
        <f>Daily!D561</f>
        <v/>
      </c>
      <c r="U18" s="357" t="str">
        <f>Daily!D591</f>
        <v/>
      </c>
      <c r="V18" s="349"/>
      <c r="W18" s="356">
        <v>16</v>
      </c>
      <c r="X18" s="357">
        <f>Daily!C44</f>
        <v>0.27350161522473587</v>
      </c>
      <c r="Y18" s="357">
        <f>Daily!C75</f>
        <v>0.16164582054947796</v>
      </c>
      <c r="Z18" s="357">
        <f>Daily!C104</f>
        <v>1.3348911220504578</v>
      </c>
      <c r="AA18" s="357">
        <f>Daily!C135</f>
        <v>0.75456294317937433</v>
      </c>
      <c r="AB18" s="357">
        <f>Daily!C165</f>
        <v>2.6582090288371689</v>
      </c>
      <c r="AC18" s="357">
        <f>Daily!C196</f>
        <v>3.6056847789219049</v>
      </c>
      <c r="AD18" s="357">
        <f>Daily!C226</f>
        <v>4.6146636278569044</v>
      </c>
      <c r="AE18" s="357">
        <f>Daily!C257</f>
        <v>2.3526245965089925</v>
      </c>
      <c r="AF18" s="357">
        <f>Daily!C288</f>
        <v>1.7418765144277353</v>
      </c>
      <c r="AG18" s="357">
        <f>Daily!C318</f>
        <v>1.0443698197165927</v>
      </c>
      <c r="AH18" s="357">
        <f>Daily!C349</f>
        <v>0.16215468248416967</v>
      </c>
      <c r="AI18" s="357">
        <f>Daily!C379</f>
        <v>0.20794462418624898</v>
      </c>
      <c r="AJ18" s="357">
        <f>Daily!C410</f>
        <v>0.27350161522473587</v>
      </c>
      <c r="AK18" s="357">
        <f>Daily!C441</f>
        <v>0.16164582054947796</v>
      </c>
      <c r="AL18" s="357">
        <f>Daily!C469</f>
        <v>0.98386499581817932</v>
      </c>
      <c r="AM18" s="357">
        <f>Daily!C500</f>
        <v>1.7042348255788369</v>
      </c>
      <c r="AN18" s="357">
        <f>Daily!C530</f>
        <v>2.6871893259664557</v>
      </c>
      <c r="AO18" s="357">
        <f>Daily!C561</f>
        <v>3.089182056521572</v>
      </c>
      <c r="AP18" s="357">
        <f>Daily!C591</f>
        <v>4.3782405218811054</v>
      </c>
      <c r="AQ18" s="349"/>
      <c r="AR18" s="356">
        <v>16</v>
      </c>
      <c r="AS18" s="357" t="str">
        <f>IF(ISNA(Daily!E44),"",Daily!E44)</f>
        <v/>
      </c>
      <c r="AT18" s="357" t="str">
        <f>IF(ISNA(Daily!E75),"",Daily!E75)</f>
        <v/>
      </c>
      <c r="AU18" s="357" t="str">
        <f>IF(ISNA(Daily!E104),"",Daily!E104)</f>
        <v/>
      </c>
      <c r="AV18" s="357">
        <f>IF(ISNA(Daily!E135),"",Daily!E135)</f>
        <v>1.2</v>
      </c>
      <c r="AW18" s="357">
        <f>IF(ISNA(Daily!E165),"",Daily!E165)</f>
        <v>0.80472162016369475</v>
      </c>
      <c r="AX18" s="357">
        <f>IF(ISNA(Daily!E196),"",Daily!E196)</f>
        <v>0.78690476190476233</v>
      </c>
      <c r="AY18" s="357">
        <f>IF(ISNA(Daily!E226),"",Daily!E226)</f>
        <v>1.0500000000000007</v>
      </c>
      <c r="AZ18" s="357">
        <f>IF(ISNA(Daily!E257),"",Daily!E257)</f>
        <v>1.0500000000000007</v>
      </c>
      <c r="BA18" s="357">
        <f>IF(ISNA(Daily!E288),"",Daily!E288)</f>
        <v>0.92007475769731828</v>
      </c>
      <c r="BB18" s="357" t="str">
        <f>IF(ISNA(Daily!E318),"",Daily!E318)</f>
        <v/>
      </c>
      <c r="BC18" s="357" t="str">
        <f>IF(ISNA(Daily!E349),"",Daily!E349)</f>
        <v/>
      </c>
      <c r="BD18" s="357" t="str">
        <f>IF(ISNA(Daily!E379),"",Daily!E379)</f>
        <v/>
      </c>
      <c r="BE18" s="357" t="str">
        <f>IF(ISNA(Daily!E410),"",Daily!E410)</f>
        <v/>
      </c>
      <c r="BF18" s="357" t="str">
        <f>IF(ISNA(Daily!E441),"",Daily!E441)</f>
        <v/>
      </c>
      <c r="BG18" s="357" t="str">
        <f>IF(ISNA(Daily!E469),"",Daily!E469)</f>
        <v/>
      </c>
      <c r="BH18" s="357" t="str">
        <f>IF(ISNA(Daily!E500),"",Daily!E500)</f>
        <v/>
      </c>
      <c r="BI18" s="357" t="str">
        <f>IF(ISNA(Daily!E530),"",Daily!E530)</f>
        <v/>
      </c>
      <c r="BJ18" s="357" t="str">
        <f>IF(ISNA(Daily!E561),"",Daily!E561)</f>
        <v/>
      </c>
      <c r="BK18" s="357" t="str">
        <f>IF(ISNA(Daily!E591),"",Daily!E591)</f>
        <v/>
      </c>
      <c r="BL18" s="349"/>
      <c r="BM18" s="356">
        <v>16</v>
      </c>
      <c r="BN18" s="357" t="str">
        <f>Daily!G44</f>
        <v/>
      </c>
      <c r="BO18" s="357" t="str">
        <f>Daily!G75</f>
        <v/>
      </c>
      <c r="BP18" s="357" t="str">
        <f>Daily!G104</f>
        <v/>
      </c>
      <c r="BQ18" s="357">
        <f>Daily!G135</f>
        <v>0.9054755318152492</v>
      </c>
      <c r="BR18" s="357">
        <f>Daily!G165</f>
        <v>2.1391182764196079</v>
      </c>
      <c r="BS18" s="357">
        <f>Daily!G196</f>
        <v>2.8373305224611673</v>
      </c>
      <c r="BT18" s="357">
        <f>Daily!G226</f>
        <v>4.8453968092497526</v>
      </c>
      <c r="BU18" s="357">
        <f>Daily!G257</f>
        <v>2.4702558263344438</v>
      </c>
      <c r="BV18" s="357">
        <f>Daily!G288</f>
        <v>1.6026566119507479</v>
      </c>
      <c r="BW18" s="357" t="str">
        <f>Daily!G318</f>
        <v/>
      </c>
      <c r="BX18" s="357" t="str">
        <f>Daily!G349</f>
        <v/>
      </c>
      <c r="BY18" s="357" t="str">
        <f>Daily!G379</f>
        <v/>
      </c>
      <c r="BZ18" s="357" t="str">
        <f>Daily!G410</f>
        <v/>
      </c>
      <c r="CA18" s="357" t="str">
        <f>Daily!G441</f>
        <v/>
      </c>
      <c r="CB18" s="357" t="str">
        <f>Daily!G469</f>
        <v/>
      </c>
      <c r="CC18" s="357" t="str">
        <f>Daily!G500</f>
        <v/>
      </c>
      <c r="CD18" s="357" t="str">
        <f>Daily!G530</f>
        <v/>
      </c>
      <c r="CE18" s="357" t="str">
        <f>Daily!G561</f>
        <v/>
      </c>
      <c r="CF18" s="357" t="str">
        <f>Daily!G591</f>
        <v/>
      </c>
      <c r="CG18" s="349"/>
      <c r="CH18" s="356">
        <v>16</v>
      </c>
      <c r="CI18" s="358" t="str">
        <f>IF(Daily!I44=0,"",Daily!I44)</f>
        <v/>
      </c>
      <c r="CJ18" s="358" t="str">
        <f>IF(Daily!I75=0,"",Daily!I75)</f>
        <v/>
      </c>
      <c r="CK18" s="358" t="str">
        <f>IF(Daily!I104=0,"",Daily!I104)</f>
        <v/>
      </c>
      <c r="CL18" s="358">
        <f>IF(Daily!I135=0,"",Daily!I135)</f>
        <v>2.9505573225098534</v>
      </c>
      <c r="CM18" s="358" t="str">
        <f>IF(Daily!I1515=0,"",Daily!I165)</f>
        <v/>
      </c>
      <c r="CN18" s="358">
        <f>IF(Daily!I196=0,"",Daily!I196)</f>
        <v>116.5676565669785</v>
      </c>
      <c r="CO18" s="358">
        <f>IF(Daily!I226=0,"",Daily!I226)</f>
        <v>253.79477566246959</v>
      </c>
      <c r="CP18" s="358">
        <f>IF(Daily!I257=0,"",Daily!I257)</f>
        <v>383.26462212397951</v>
      </c>
      <c r="CQ18" s="358">
        <f>IF(Daily!I288=0,"",Daily!I288)</f>
        <v>475.62241989484693</v>
      </c>
      <c r="CR18" s="358" t="str">
        <f>IF(Daily!I318=0,"",Daily!I318)</f>
        <v/>
      </c>
      <c r="CS18" s="358" t="str">
        <f>IF(Daily!I349=0,"",Daily!I349)</f>
        <v/>
      </c>
      <c r="CT18" s="358" t="str">
        <f>IF(Daily!I379=0,"",Daily!I379)</f>
        <v/>
      </c>
      <c r="CU18" s="358" t="str">
        <f>IF(Daily!I410=0,"",Daily!I410)</f>
        <v/>
      </c>
      <c r="CV18" s="358" t="str">
        <f>IF(Daily!I441=0,"",Daily!I441)</f>
        <v/>
      </c>
      <c r="CW18" s="358" t="str">
        <f>IF(Daily!I469=0,"",Daily!I469)</f>
        <v/>
      </c>
      <c r="CX18" s="358" t="str">
        <f>IF(Daily!I500=0,"",Daily!I500)</f>
        <v/>
      </c>
      <c r="CY18" s="358" t="str">
        <f>IF(Daily!I530=0,"",Daily!I530)</f>
        <v/>
      </c>
      <c r="CZ18" s="358" t="str">
        <f>IF(Daily!I561=0,"",Daily!I561)</f>
        <v/>
      </c>
      <c r="DA18" s="358" t="str">
        <f>IF(Daily!I591=0,"",Daily!I591)</f>
        <v/>
      </c>
      <c r="DB18" s="349"/>
      <c r="DC18" s="356">
        <v>16</v>
      </c>
      <c r="DD18" s="357" t="str">
        <f>IF(ISNA(Daily!F44),"",Daily!F44)</f>
        <v/>
      </c>
      <c r="DE18" s="357" t="str">
        <f>IF(ISNA(Daily!F75),"",Daily!F75)</f>
        <v/>
      </c>
      <c r="DF18" s="357" t="str">
        <f>IF(ISNA(Daily!F104),"",Daily!F104)</f>
        <v/>
      </c>
      <c r="DG18" s="357">
        <f>IF(ISNA(Daily!F135),"",Daily!F135)</f>
        <v>0.8102962140161466</v>
      </c>
      <c r="DH18" s="357">
        <f>IF(ISNA(Daily!F165),"",Daily!F165)</f>
        <v>0.8102962140161466</v>
      </c>
      <c r="DI18" s="357">
        <f>IF(ISNA(Daily!F196),"",Daily!F196)</f>
        <v>0.97933804881838893</v>
      </c>
      <c r="DJ18" s="357">
        <f>IF(ISNA(Daily!F226),"",Daily!F226)</f>
        <v>1.0551154230400821</v>
      </c>
      <c r="DK18" s="357">
        <f>IF(ISNA(Daily!F257),"",Daily!F257)</f>
        <v>1.0551154230400821</v>
      </c>
      <c r="DL18" s="357">
        <f>IF(ISNA(Daily!F288),"",Daily!F288)</f>
        <v>0.84817852959061768</v>
      </c>
      <c r="DM18" s="357" t="str">
        <f>IF(ISNA(Daily!F318),"",Daily!F318)</f>
        <v/>
      </c>
      <c r="DN18" s="357" t="str">
        <f>IF(ISNA(Daily!F349),"",Daily!F349)</f>
        <v/>
      </c>
      <c r="DO18" s="357" t="str">
        <f>IF(ISNA(Daily!F379),"",Daily!F379)</f>
        <v/>
      </c>
      <c r="DP18" s="357" t="str">
        <f>IF(ISNA(Daily!F410),"",Daily!F410)</f>
        <v/>
      </c>
      <c r="DQ18" s="357" t="str">
        <f>IF(ISNA(Daily!F441),"",Daily!F441)</f>
        <v/>
      </c>
      <c r="DR18" s="357" t="str">
        <f>IF(ISNA(Daily!F470),"",Daily!F470)</f>
        <v/>
      </c>
      <c r="DS18" s="357" t="str">
        <f>IF(ISNA(Daily!F500),"",Daily!F500)</f>
        <v/>
      </c>
      <c r="DT18" s="357" t="str">
        <f>IF(ISNA(Daily!F530),"",Daily!F530)</f>
        <v/>
      </c>
      <c r="DU18" s="357" t="str">
        <f>IF(ISNA(Daily!F561),"",Daily!F561)</f>
        <v/>
      </c>
      <c r="DV18" s="357" t="str">
        <f>IF(ISNA(Daily!F591),"",Daily!G591)</f>
        <v/>
      </c>
      <c r="DW18" s="349"/>
      <c r="DX18" s="356">
        <v>16</v>
      </c>
      <c r="DY18" s="357" t="str">
        <f>Daily!H44</f>
        <v/>
      </c>
      <c r="DZ18" s="357" t="str">
        <f>Daily!H75</f>
        <v/>
      </c>
      <c r="EA18" s="357" t="str">
        <f>Daily!H104</f>
        <v/>
      </c>
      <c r="EB18" s="357">
        <f>Daily!H135</f>
        <v>0.6114194960951278</v>
      </c>
      <c r="EC18" s="357">
        <f>Daily!H165</f>
        <v>2.1539367121302959</v>
      </c>
      <c r="ED18" s="357">
        <f>Daily!H196</f>
        <v>3.5311842960435422</v>
      </c>
      <c r="EE18" s="357">
        <f>Daily!H226</f>
        <v>4.8690027658939181</v>
      </c>
      <c r="EF18" s="357">
        <f>Daily!H257</f>
        <v>2.482290496400088</v>
      </c>
      <c r="EG18" s="357">
        <f>Daily!H288</f>
        <v>1.4774222607357468</v>
      </c>
      <c r="EH18" s="357" t="str">
        <f>Daily!H318</f>
        <v/>
      </c>
      <c r="EI18" s="357" t="str">
        <f>Daily!H349</f>
        <v/>
      </c>
      <c r="EJ18" s="357" t="str">
        <f>Daily!H379</f>
        <v/>
      </c>
      <c r="EK18" s="357" t="str">
        <f>Daily!H410</f>
        <v/>
      </c>
      <c r="EL18" s="357" t="str">
        <f>Daily!H441</f>
        <v/>
      </c>
      <c r="EM18" s="357" t="str">
        <f>Daily!H469</f>
        <v/>
      </c>
      <c r="EN18" s="357" t="str">
        <f>Daily!H500</f>
        <v/>
      </c>
      <c r="EO18" s="357" t="str">
        <f>Daily!H530</f>
        <v/>
      </c>
      <c r="EP18" s="357" t="str">
        <f>Daily!H561</f>
        <v/>
      </c>
      <c r="EQ18" s="357" t="str">
        <f>Daily!H591</f>
        <v/>
      </c>
      <c r="ER18" s="349"/>
      <c r="ES18" s="356">
        <v>16</v>
      </c>
      <c r="ET18" s="358" t="str">
        <f>IF(Daily!J44=0,"",Daily!J44)</f>
        <v/>
      </c>
      <c r="EU18" s="358" t="str">
        <f>IF(Daily!J75=0,"",Daily!J75)</f>
        <v/>
      </c>
      <c r="EV18" s="358" t="str">
        <f>IF(Daily!J104=0,"",Daily!J104)</f>
        <v/>
      </c>
      <c r="EW18" s="358">
        <f>IF(Daily!J135=0,"",Daily!J135)</f>
        <v>1.9923545230561273</v>
      </c>
      <c r="EX18" s="358">
        <f>IF(Daily!J165=0,"",Daily!J165)</f>
        <v>52.233259542281594</v>
      </c>
      <c r="EY18" s="358">
        <f>IF(Daily!J196=0,"",Daily!J196)</f>
        <v>152.20234254913933</v>
      </c>
      <c r="EZ18" s="358">
        <f>IF(Daily!J226=0,"",Daily!J226)</f>
        <v>292.96496197314747</v>
      </c>
      <c r="FA18" s="358">
        <f>IF(Daily!J257=0,"",Daily!J257)</f>
        <v>422.44942337765787</v>
      </c>
      <c r="FB18" s="358">
        <f>IF(Daily!J288=0,"",Daily!J288)</f>
        <v>511.77662867238689</v>
      </c>
      <c r="FC18" s="358" t="str">
        <f>IF(Daily!J318=0,"",Daily!J318)</f>
        <v/>
      </c>
      <c r="FD18" s="358" t="str">
        <f>IF(Daily!J349=0,"",Daily!J349)</f>
        <v/>
      </c>
      <c r="FE18" s="358" t="str">
        <f>IF(Daily!J379=0,"",Daily!J379)</f>
        <v/>
      </c>
      <c r="FF18" s="358" t="str">
        <f>IF(Daily!J410=0,"",Daily!J410)</f>
        <v/>
      </c>
      <c r="FG18" s="358" t="str">
        <f>IF(Daily!J441=0,"",Daily!J441)</f>
        <v/>
      </c>
      <c r="FH18" s="358" t="str">
        <f>IF(Daily!J469=0,"",Daily!J469)</f>
        <v/>
      </c>
      <c r="FI18" s="358" t="str">
        <f>IF(Daily!J500=0,"",Daily!J500)</f>
        <v/>
      </c>
      <c r="FJ18" s="358" t="str">
        <f>IF(Daily!J530=0,"",Daily!J530)</f>
        <v/>
      </c>
      <c r="FK18" s="358" t="str">
        <f>IF(Daily!J561=0,"",Daily!J561)</f>
        <v/>
      </c>
      <c r="FL18" s="358" t="str">
        <f>IF(Daily!J591=0,"",Daily!J591)</f>
        <v/>
      </c>
      <c r="FM18" s="349"/>
    </row>
    <row r="19" spans="1:169">
      <c r="A19" s="349"/>
      <c r="B19" s="356">
        <v>17</v>
      </c>
      <c r="C19" s="357" t="str">
        <f>Daily!D45</f>
        <v/>
      </c>
      <c r="D19" s="357" t="str">
        <f>Daily!D76</f>
        <v/>
      </c>
      <c r="E19" s="357" t="str">
        <f>Daily!D105</f>
        <v/>
      </c>
      <c r="F19" s="357">
        <f>Daily!D136</f>
        <v>1.2</v>
      </c>
      <c r="G19" s="357">
        <f>Daily!D166</f>
        <v>0.73126595443168185</v>
      </c>
      <c r="H19" s="357">
        <f>Daily!D197</f>
        <v>0.22514879129494822</v>
      </c>
      <c r="I19" s="357">
        <f>Daily!D227</f>
        <v>0.34996194077143877</v>
      </c>
      <c r="J19" s="357">
        <f>Daily!D258</f>
        <v>0.18919383629916686</v>
      </c>
      <c r="K19" s="357">
        <f>Daily!D289</f>
        <v>0.84320726572590232</v>
      </c>
      <c r="L19" s="357" t="str">
        <f>Daily!D319</f>
        <v/>
      </c>
      <c r="M19" s="357" t="str">
        <f>Daily!D350</f>
        <v/>
      </c>
      <c r="N19" s="357" t="str">
        <f>Daily!D380</f>
        <v/>
      </c>
      <c r="O19" s="357" t="str">
        <f>Daily!D411</f>
        <v/>
      </c>
      <c r="P19" s="357" t="str">
        <f>Daily!D442</f>
        <v/>
      </c>
      <c r="Q19" s="357" t="str">
        <f>Daily!D470</f>
        <v/>
      </c>
      <c r="R19" s="357" t="str">
        <f>Daily!D501</f>
        <v/>
      </c>
      <c r="S19" s="357" t="str">
        <f>Daily!D531</f>
        <v/>
      </c>
      <c r="T19" s="357" t="str">
        <f>Daily!D562</f>
        <v/>
      </c>
      <c r="U19" s="357" t="str">
        <f>Daily!D592</f>
        <v/>
      </c>
      <c r="V19" s="349"/>
      <c r="W19" s="356">
        <v>17</v>
      </c>
      <c r="X19" s="357">
        <f>Daily!C45</f>
        <v>0.20161528149186347</v>
      </c>
      <c r="Y19" s="357">
        <f>Daily!C76</f>
        <v>0.42844195262703466</v>
      </c>
      <c r="Z19" s="357">
        <f>Daily!C105</f>
        <v>1.3733747862333849</v>
      </c>
      <c r="AA19" s="357">
        <f>Daily!C136</f>
        <v>1.6714663384207553</v>
      </c>
      <c r="AB19" s="357">
        <f>Daily!C166</f>
        <v>2.1669250851470583</v>
      </c>
      <c r="AC19" s="357">
        <f>Daily!C197</f>
        <v>3.7174724563255186</v>
      </c>
      <c r="AD19" s="357">
        <f>Daily!C227</f>
        <v>4.4565907017106809</v>
      </c>
      <c r="AE19" s="357">
        <f>Daily!C258</f>
        <v>4.1749276666966058</v>
      </c>
      <c r="AF19" s="357">
        <f>Daily!C289</f>
        <v>1.510606778004419</v>
      </c>
      <c r="AG19" s="357">
        <f>Daily!C319</f>
        <v>0.92688630504524805</v>
      </c>
      <c r="AH19" s="357">
        <f>Daily!C350</f>
        <v>0.28050565731507188</v>
      </c>
      <c r="AI19" s="357">
        <f>Daily!C380</f>
        <v>0.20734524609866151</v>
      </c>
      <c r="AJ19" s="357">
        <f>Daily!C411</f>
        <v>0.20161528149186347</v>
      </c>
      <c r="AK19" s="357">
        <f>Daily!C442</f>
        <v>0.42844195262703466</v>
      </c>
      <c r="AL19" s="357">
        <f>Daily!C470</f>
        <v>1.3348911220504578</v>
      </c>
      <c r="AM19" s="357">
        <f>Daily!C501</f>
        <v>0.75456294317937433</v>
      </c>
      <c r="AN19" s="357">
        <f>Daily!C531</f>
        <v>2.6582090288371689</v>
      </c>
      <c r="AO19" s="357">
        <f>Daily!C562</f>
        <v>3.6056847789219049</v>
      </c>
      <c r="AP19" s="357">
        <f>Daily!C592</f>
        <v>4.6146636278569044</v>
      </c>
      <c r="AQ19" s="349"/>
      <c r="AR19" s="356">
        <v>17</v>
      </c>
      <c r="AS19" s="357" t="str">
        <f>IF(ISNA(Daily!E45),"",Daily!E45)</f>
        <v/>
      </c>
      <c r="AT19" s="357" t="str">
        <f>IF(ISNA(Daily!E76),"",Daily!E76)</f>
        <v/>
      </c>
      <c r="AU19" s="357" t="str">
        <f>IF(ISNA(Daily!E105),"",Daily!E105)</f>
        <v/>
      </c>
      <c r="AV19" s="357">
        <f>IF(ISNA(Daily!E136),"",Daily!E136)</f>
        <v>1.2</v>
      </c>
      <c r="AW19" s="357">
        <f>IF(ISNA(Daily!E166),"",Daily!E166)</f>
        <v>0.73126595443168185</v>
      </c>
      <c r="AX19" s="357">
        <f>IF(ISNA(Daily!E197),"",Daily!E197)</f>
        <v>0.80714285714285761</v>
      </c>
      <c r="AY19" s="357">
        <f>IF(ISNA(Daily!E227),"",Daily!E227)</f>
        <v>1.0500000000000007</v>
      </c>
      <c r="AZ19" s="357">
        <f>IF(ISNA(Daily!E258),"",Daily!E258)</f>
        <v>1.0500000000000007</v>
      </c>
      <c r="BA19" s="357">
        <f>IF(ISNA(Daily!E289),"",Daily!E289)</f>
        <v>0.84320726572590232</v>
      </c>
      <c r="BB19" s="357" t="str">
        <f>IF(ISNA(Daily!E319),"",Daily!E319)</f>
        <v/>
      </c>
      <c r="BC19" s="357" t="str">
        <f>IF(ISNA(Daily!E350),"",Daily!E350)</f>
        <v/>
      </c>
      <c r="BD19" s="357" t="str">
        <f>IF(ISNA(Daily!E380),"",Daily!E380)</f>
        <v/>
      </c>
      <c r="BE19" s="357" t="str">
        <f>IF(ISNA(Daily!E411),"",Daily!E411)</f>
        <v/>
      </c>
      <c r="BF19" s="357" t="str">
        <f>IF(ISNA(Daily!E442),"",Daily!E442)</f>
        <v/>
      </c>
      <c r="BG19" s="357" t="str">
        <f>IF(ISNA(Daily!E470),"",Daily!E470)</f>
        <v/>
      </c>
      <c r="BH19" s="357" t="str">
        <f>IF(ISNA(Daily!E501),"",Daily!E501)</f>
        <v/>
      </c>
      <c r="BI19" s="357" t="str">
        <f>IF(ISNA(Daily!E531),"",Daily!E531)</f>
        <v/>
      </c>
      <c r="BJ19" s="357" t="str">
        <f>IF(ISNA(Daily!E562),"",Daily!E562)</f>
        <v/>
      </c>
      <c r="BK19" s="357" t="str">
        <f>IF(ISNA(Daily!E592),"",Daily!E592)</f>
        <v/>
      </c>
      <c r="BL19" s="349"/>
      <c r="BM19" s="356">
        <v>17</v>
      </c>
      <c r="BN19" s="357" t="str">
        <f>Daily!G45</f>
        <v/>
      </c>
      <c r="BO19" s="357" t="str">
        <f>Daily!G76</f>
        <v/>
      </c>
      <c r="BP19" s="357" t="str">
        <f>Daily!G105</f>
        <v/>
      </c>
      <c r="BQ19" s="357">
        <f>Daily!G136</f>
        <v>2.0057596061049061</v>
      </c>
      <c r="BR19" s="357">
        <f>Daily!G166</f>
        <v>1.5845985405720171</v>
      </c>
      <c r="BS19" s="357">
        <f>Daily!G197</f>
        <v>3.0005313397484561</v>
      </c>
      <c r="BT19" s="357">
        <f>Daily!G227</f>
        <v>4.6794202367962185</v>
      </c>
      <c r="BU19" s="357">
        <f>Daily!G258</f>
        <v>4.3836740500314386</v>
      </c>
      <c r="BV19" s="357">
        <f>Daily!G289</f>
        <v>1.2737546108681213</v>
      </c>
      <c r="BW19" s="357" t="str">
        <f>Daily!G319</f>
        <v/>
      </c>
      <c r="BX19" s="357" t="str">
        <f>Daily!G350</f>
        <v/>
      </c>
      <c r="BY19" s="357" t="str">
        <f>Daily!G380</f>
        <v/>
      </c>
      <c r="BZ19" s="357" t="str">
        <f>Daily!G411</f>
        <v/>
      </c>
      <c r="CA19" s="357" t="str">
        <f>Daily!G442</f>
        <v/>
      </c>
      <c r="CB19" s="357" t="str">
        <f>Daily!G470</f>
        <v/>
      </c>
      <c r="CC19" s="357" t="str">
        <f>Daily!G501</f>
        <v/>
      </c>
      <c r="CD19" s="357" t="str">
        <f>Daily!G531</f>
        <v/>
      </c>
      <c r="CE19" s="357" t="str">
        <f>Daily!G562</f>
        <v/>
      </c>
      <c r="CF19" s="357" t="str">
        <f>Daily!G592</f>
        <v/>
      </c>
      <c r="CG19" s="349"/>
      <c r="CH19" s="356">
        <v>17</v>
      </c>
      <c r="CI19" s="358" t="str">
        <f>IF(Daily!I45=0,"",Daily!I45)</f>
        <v/>
      </c>
      <c r="CJ19" s="358" t="str">
        <f>IF(Daily!I76=0,"",Daily!I76)</f>
        <v/>
      </c>
      <c r="CK19" s="358" t="str">
        <f>IF(Daily!I105=0,"",Daily!I105)</f>
        <v/>
      </c>
      <c r="CL19" s="358">
        <f>IF(Daily!I136=0,"",Daily!I136)</f>
        <v>4.9563169286147595</v>
      </c>
      <c r="CM19" s="358" t="str">
        <f>IF(Daily!I1516=0,"",Daily!I166)</f>
        <v/>
      </c>
      <c r="CN19" s="358">
        <f>IF(Daily!I197=0,"",Daily!I197)</f>
        <v>119.56818790672696</v>
      </c>
      <c r="CO19" s="358">
        <f>IF(Daily!I227=0,"",Daily!I227)</f>
        <v>258.47419589926579</v>
      </c>
      <c r="CP19" s="358">
        <f>IF(Daily!I258=0,"",Daily!I258)</f>
        <v>387.64829617401097</v>
      </c>
      <c r="CQ19" s="358">
        <f>IF(Daily!I289=0,"",Daily!I289)</f>
        <v>476.89617450571507</v>
      </c>
      <c r="CR19" s="358" t="str">
        <f>IF(Daily!I319=0,"",Daily!I319)</f>
        <v/>
      </c>
      <c r="CS19" s="358" t="str">
        <f>IF(Daily!I350=0,"",Daily!I350)</f>
        <v/>
      </c>
      <c r="CT19" s="358" t="str">
        <f>IF(Daily!I380=0,"",Daily!I380)</f>
        <v/>
      </c>
      <c r="CU19" s="358" t="str">
        <f>IF(Daily!I411=0,"",Daily!I411)</f>
        <v/>
      </c>
      <c r="CV19" s="358" t="str">
        <f>IF(Daily!I442=0,"",Daily!I442)</f>
        <v/>
      </c>
      <c r="CW19" s="358" t="str">
        <f>IF(Daily!I470=0,"",Daily!I470)</f>
        <v/>
      </c>
      <c r="CX19" s="358" t="str">
        <f>IF(Daily!I501=0,"",Daily!I501)</f>
        <v/>
      </c>
      <c r="CY19" s="358" t="str">
        <f>IF(Daily!I531=0,"",Daily!I531)</f>
        <v/>
      </c>
      <c r="CZ19" s="358" t="str">
        <f>IF(Daily!I562=0,"",Daily!I562)</f>
        <v/>
      </c>
      <c r="DA19" s="358" t="str">
        <f>IF(Daily!I592=0,"",Daily!I592)</f>
        <v/>
      </c>
      <c r="DB19" s="349"/>
      <c r="DC19" s="356">
        <v>17</v>
      </c>
      <c r="DD19" s="357" t="str">
        <f>IF(ISNA(Daily!F45),"",Daily!F45)</f>
        <v/>
      </c>
      <c r="DE19" s="357" t="str">
        <f>IF(ISNA(Daily!F76),"",Daily!F76)</f>
        <v/>
      </c>
      <c r="DF19" s="357" t="str">
        <f>IF(ISNA(Daily!F105),"",Daily!F105)</f>
        <v/>
      </c>
      <c r="DG19" s="357">
        <f>IF(ISNA(Daily!F136),"",Daily!F136)</f>
        <v>0.8102962140161466</v>
      </c>
      <c r="DH19" s="357">
        <f>IF(ISNA(Daily!F166),"",Daily!F166)</f>
        <v>0.8102962140161466</v>
      </c>
      <c r="DI19" s="357">
        <f>IF(ISNA(Daily!F197),"",Daily!F197)</f>
        <v>0.98516707760467315</v>
      </c>
      <c r="DJ19" s="357">
        <f>IF(ISNA(Daily!F227),"",Daily!F227)</f>
        <v>1.0551154230400821</v>
      </c>
      <c r="DK19" s="357">
        <f>IF(ISNA(Daily!F258),"",Daily!F258)</f>
        <v>1.0551154230400821</v>
      </c>
      <c r="DL19" s="357">
        <f>IF(ISNA(Daily!F289),"",Daily!F289)</f>
        <v>0.84078792625313681</v>
      </c>
      <c r="DM19" s="357" t="str">
        <f>IF(ISNA(Daily!F319),"",Daily!F319)</f>
        <v/>
      </c>
      <c r="DN19" s="357" t="str">
        <f>IF(ISNA(Daily!F350),"",Daily!F350)</f>
        <v/>
      </c>
      <c r="DO19" s="357" t="str">
        <f>IF(ISNA(Daily!F380),"",Daily!F380)</f>
        <v/>
      </c>
      <c r="DP19" s="357" t="str">
        <f>IF(ISNA(Daily!F411),"",Daily!F411)</f>
        <v/>
      </c>
      <c r="DQ19" s="357" t="str">
        <f>IF(ISNA(Daily!F442),"",Daily!F442)</f>
        <v/>
      </c>
      <c r="DR19" s="357" t="str">
        <f>IF(ISNA(Daily!F471),"",Daily!F471)</f>
        <v/>
      </c>
      <c r="DS19" s="357" t="str">
        <f>IF(ISNA(Daily!F501),"",Daily!F501)</f>
        <v/>
      </c>
      <c r="DT19" s="357" t="str">
        <f>IF(ISNA(Daily!F531),"",Daily!F531)</f>
        <v/>
      </c>
      <c r="DU19" s="357" t="str">
        <f>IF(ISNA(Daily!F562),"",Daily!F562)</f>
        <v/>
      </c>
      <c r="DV19" s="357" t="str">
        <f>IF(ISNA(Daily!F592),"",Daily!G592)</f>
        <v/>
      </c>
      <c r="DW19" s="349"/>
      <c r="DX19" s="356">
        <v>17</v>
      </c>
      <c r="DY19" s="357" t="str">
        <f>Daily!H45</f>
        <v/>
      </c>
      <c r="DZ19" s="357" t="str">
        <f>Daily!H76</f>
        <v/>
      </c>
      <c r="EA19" s="357" t="str">
        <f>Daily!H105</f>
        <v/>
      </c>
      <c r="EB19" s="357">
        <f>Daily!H136</f>
        <v>1.3543828458777694</v>
      </c>
      <c r="EC19" s="357">
        <f>Daily!H166</f>
        <v>1.7558511925512774</v>
      </c>
      <c r="ED19" s="357">
        <f>Daily!H197</f>
        <v>3.662331475874077</v>
      </c>
      <c r="EE19" s="357">
        <f>Daily!H227</f>
        <v>4.7022175835519615</v>
      </c>
      <c r="EF19" s="357">
        <f>Daily!H258</f>
        <v>4.4050305712083322</v>
      </c>
      <c r="EG19" s="357">
        <f>Daily!H289</f>
        <v>1.2700999402622681</v>
      </c>
      <c r="EH19" s="357" t="str">
        <f>Daily!H319</f>
        <v/>
      </c>
      <c r="EI19" s="357" t="str">
        <f>Daily!H350</f>
        <v/>
      </c>
      <c r="EJ19" s="357" t="str">
        <f>Daily!H380</f>
        <v/>
      </c>
      <c r="EK19" s="357" t="str">
        <f>Daily!H411</f>
        <v/>
      </c>
      <c r="EL19" s="357" t="str">
        <f>Daily!H442</f>
        <v/>
      </c>
      <c r="EM19" s="357" t="str">
        <f>Daily!H470</f>
        <v/>
      </c>
      <c r="EN19" s="357" t="str">
        <f>Daily!H501</f>
        <v/>
      </c>
      <c r="EO19" s="357" t="str">
        <f>Daily!H531</f>
        <v/>
      </c>
      <c r="EP19" s="357" t="str">
        <f>Daily!H562</f>
        <v/>
      </c>
      <c r="EQ19" s="357" t="str">
        <f>Daily!H592</f>
        <v/>
      </c>
      <c r="ER19" s="349"/>
      <c r="ES19" s="356">
        <v>17</v>
      </c>
      <c r="ET19" s="358" t="str">
        <f>IF(Daily!J45=0,"",Daily!J45)</f>
        <v/>
      </c>
      <c r="EU19" s="358" t="str">
        <f>IF(Daily!J76=0,"",Daily!J76)</f>
        <v/>
      </c>
      <c r="EV19" s="358" t="str">
        <f>IF(Daily!J105=0,"",Daily!J105)</f>
        <v/>
      </c>
      <c r="EW19" s="358">
        <f>IF(Daily!J136=0,"",Daily!J136)</f>
        <v>3.3467373689338968</v>
      </c>
      <c r="EX19" s="358">
        <f>IF(Daily!J166=0,"",Daily!J166)</f>
        <v>53.98911073483287</v>
      </c>
      <c r="EY19" s="358">
        <f>IF(Daily!J197=0,"",Daily!J197)</f>
        <v>155.86467402501341</v>
      </c>
      <c r="EZ19" s="358">
        <f>IF(Daily!J227=0,"",Daily!J227)</f>
        <v>297.66717955669941</v>
      </c>
      <c r="FA19" s="358">
        <f>IF(Daily!J258=0,"",Daily!J258)</f>
        <v>426.85445394886619</v>
      </c>
      <c r="FB19" s="358">
        <f>IF(Daily!J289=0,"",Daily!J289)</f>
        <v>513.04672861264919</v>
      </c>
      <c r="FC19" s="358" t="str">
        <f>IF(Daily!J319=0,"",Daily!J319)</f>
        <v/>
      </c>
      <c r="FD19" s="358" t="str">
        <f>IF(Daily!J350=0,"",Daily!J350)</f>
        <v/>
      </c>
      <c r="FE19" s="358" t="str">
        <f>IF(Daily!J380=0,"",Daily!J380)</f>
        <v/>
      </c>
      <c r="FF19" s="358" t="str">
        <f>IF(Daily!J411=0,"",Daily!J411)</f>
        <v/>
      </c>
      <c r="FG19" s="358" t="str">
        <f>IF(Daily!J442=0,"",Daily!J442)</f>
        <v/>
      </c>
      <c r="FH19" s="358" t="str">
        <f>IF(Daily!J470=0,"",Daily!J470)</f>
        <v/>
      </c>
      <c r="FI19" s="358" t="str">
        <f>IF(Daily!J501=0,"",Daily!J501)</f>
        <v/>
      </c>
      <c r="FJ19" s="358" t="str">
        <f>IF(Daily!J531=0,"",Daily!J531)</f>
        <v/>
      </c>
      <c r="FK19" s="358" t="str">
        <f>IF(Daily!J562=0,"",Daily!J562)</f>
        <v/>
      </c>
      <c r="FL19" s="358" t="str">
        <f>IF(Daily!J592=0,"",Daily!J592)</f>
        <v/>
      </c>
      <c r="FM19" s="349"/>
    </row>
    <row r="20" spans="1:169">
      <c r="A20" s="349"/>
      <c r="B20" s="356">
        <v>18</v>
      </c>
      <c r="C20" s="357" t="str">
        <f>Daily!D46</f>
        <v/>
      </c>
      <c r="D20" s="357" t="str">
        <f>Daily!D77</f>
        <v/>
      </c>
      <c r="E20" s="357" t="str">
        <f>Daily!D106</f>
        <v/>
      </c>
      <c r="F20" s="357">
        <f>Daily!D137</f>
        <v>1.2</v>
      </c>
      <c r="G20" s="357">
        <f>Daily!D167</f>
        <v>0.65264376637865895</v>
      </c>
      <c r="H20" s="357">
        <f>Daily!D198</f>
        <v>0.22130048212665185</v>
      </c>
      <c r="I20" s="357">
        <f>Daily!D228</f>
        <v>0.33599122989542146</v>
      </c>
      <c r="J20" s="357">
        <f>Daily!D259</f>
        <v>0.18753343800489136</v>
      </c>
      <c r="K20" s="357">
        <f>Daily!D290</f>
        <v>0.76239326352819414</v>
      </c>
      <c r="L20" s="357" t="str">
        <f>Daily!D320</f>
        <v/>
      </c>
      <c r="M20" s="357" t="str">
        <f>Daily!D351</f>
        <v/>
      </c>
      <c r="N20" s="357" t="str">
        <f>Daily!D381</f>
        <v/>
      </c>
      <c r="O20" s="357" t="str">
        <f>Daily!D412</f>
        <v/>
      </c>
      <c r="P20" s="357" t="str">
        <f>Daily!D443</f>
        <v/>
      </c>
      <c r="Q20" s="357" t="str">
        <f>Daily!D471</f>
        <v/>
      </c>
      <c r="R20" s="357" t="str">
        <f>Daily!D502</f>
        <v/>
      </c>
      <c r="S20" s="357" t="str">
        <f>Daily!D532</f>
        <v/>
      </c>
      <c r="T20" s="357" t="str">
        <f>Daily!D563</f>
        <v/>
      </c>
      <c r="U20" s="357" t="str">
        <f>Daily!D593</f>
        <v/>
      </c>
      <c r="V20" s="349"/>
      <c r="W20" s="356">
        <v>18</v>
      </c>
      <c r="X20" s="357">
        <f>Daily!C46</f>
        <v>0.2290955615783985</v>
      </c>
      <c r="Y20" s="357">
        <f>Daily!C77</f>
        <v>0.27012829790668447</v>
      </c>
      <c r="Z20" s="357">
        <f>Daily!C106</f>
        <v>1.5527441502753514</v>
      </c>
      <c r="AA20" s="357">
        <f>Daily!C137</f>
        <v>2.3496203991815219</v>
      </c>
      <c r="AB20" s="357">
        <f>Daily!C167</f>
        <v>3.1563511268161637</v>
      </c>
      <c r="AC20" s="357">
        <f>Daily!C198</f>
        <v>4.2638464795477748</v>
      </c>
      <c r="AD20" s="357">
        <f>Daily!C228</f>
        <v>4.3856661721297474</v>
      </c>
      <c r="AE20" s="357">
        <f>Daily!C259</f>
        <v>3.0294218913691475</v>
      </c>
      <c r="AF20" s="357">
        <f>Daily!C290</f>
        <v>2.0939021302323595</v>
      </c>
      <c r="AG20" s="357">
        <f>Daily!C320</f>
        <v>0.40507062756410828</v>
      </c>
      <c r="AH20" s="357">
        <f>Daily!C351</f>
        <v>0.39071399091212361</v>
      </c>
      <c r="AI20" s="357">
        <f>Daily!C381</f>
        <v>0.28715428488928374</v>
      </c>
      <c r="AJ20" s="357">
        <f>Daily!C412</f>
        <v>0.2290955615783985</v>
      </c>
      <c r="AK20" s="357">
        <f>Daily!C443</f>
        <v>0.27012829790668447</v>
      </c>
      <c r="AL20" s="357">
        <f>Daily!C471</f>
        <v>1.3733747862333849</v>
      </c>
      <c r="AM20" s="357">
        <f>Daily!C502</f>
        <v>1.6714663384207553</v>
      </c>
      <c r="AN20" s="357">
        <f>Daily!C532</f>
        <v>2.1669250851470583</v>
      </c>
      <c r="AO20" s="357">
        <f>Daily!C563</f>
        <v>3.7174724563255186</v>
      </c>
      <c r="AP20" s="357">
        <f>Daily!C593</f>
        <v>4.4565907017106809</v>
      </c>
      <c r="AQ20" s="349"/>
      <c r="AR20" s="356">
        <v>18</v>
      </c>
      <c r="AS20" s="357" t="str">
        <f>IF(ISNA(Daily!E46),"",Daily!E46)</f>
        <v/>
      </c>
      <c r="AT20" s="357" t="str">
        <f>IF(ISNA(Daily!E77),"",Daily!E77)</f>
        <v/>
      </c>
      <c r="AU20" s="357" t="str">
        <f>IF(ISNA(Daily!E106),"",Daily!E106)</f>
        <v/>
      </c>
      <c r="AV20" s="357">
        <f>IF(ISNA(Daily!E137),"",Daily!E137)</f>
        <v>1.2</v>
      </c>
      <c r="AW20" s="357">
        <f>IF(ISNA(Daily!E167),"",Daily!E167)</f>
        <v>0.65264376637865895</v>
      </c>
      <c r="AX20" s="357">
        <f>IF(ISNA(Daily!E198),"",Daily!E198)</f>
        <v>0.82738095238095288</v>
      </c>
      <c r="AY20" s="357">
        <f>IF(ISNA(Daily!E228),"",Daily!E228)</f>
        <v>1.0500000000000007</v>
      </c>
      <c r="AZ20" s="357">
        <f>IF(ISNA(Daily!E259),"",Daily!E259)</f>
        <v>1.0500000000000007</v>
      </c>
      <c r="BA20" s="357">
        <f>IF(ISNA(Daily!E290),"",Daily!E290)</f>
        <v>0.76239326352819414</v>
      </c>
      <c r="BB20" s="357" t="str">
        <f>IF(ISNA(Daily!E320),"",Daily!E320)</f>
        <v/>
      </c>
      <c r="BC20" s="357" t="str">
        <f>IF(ISNA(Daily!E351),"",Daily!E351)</f>
        <v/>
      </c>
      <c r="BD20" s="357" t="str">
        <f>IF(ISNA(Daily!E381),"",Daily!E381)</f>
        <v/>
      </c>
      <c r="BE20" s="357" t="str">
        <f>IF(ISNA(Daily!E412),"",Daily!E412)</f>
        <v/>
      </c>
      <c r="BF20" s="357" t="str">
        <f>IF(ISNA(Daily!E443),"",Daily!E443)</f>
        <v/>
      </c>
      <c r="BG20" s="357" t="str">
        <f>IF(ISNA(Daily!E471),"",Daily!E471)</f>
        <v/>
      </c>
      <c r="BH20" s="357" t="str">
        <f>IF(ISNA(Daily!E502),"",Daily!E502)</f>
        <v/>
      </c>
      <c r="BI20" s="357" t="str">
        <f>IF(ISNA(Daily!E532),"",Daily!E532)</f>
        <v/>
      </c>
      <c r="BJ20" s="357" t="str">
        <f>IF(ISNA(Daily!E563),"",Daily!E563)</f>
        <v/>
      </c>
      <c r="BK20" s="357" t="str">
        <f>IF(ISNA(Daily!E593),"",Daily!E593)</f>
        <v/>
      </c>
      <c r="BL20" s="349"/>
      <c r="BM20" s="356">
        <v>18</v>
      </c>
      <c r="BN20" s="357" t="str">
        <f>Daily!G46</f>
        <v/>
      </c>
      <c r="BO20" s="357" t="str">
        <f>Daily!G77</f>
        <v/>
      </c>
      <c r="BP20" s="357" t="str">
        <f>Daily!G106</f>
        <v/>
      </c>
      <c r="BQ20" s="357">
        <f>Daily!G137</f>
        <v>2.8195444790178263</v>
      </c>
      <c r="BR20" s="357">
        <f>Daily!G167</f>
        <v>2.0599728874188252</v>
      </c>
      <c r="BS20" s="357">
        <f>Daily!G198</f>
        <v>3.5278253610544112</v>
      </c>
      <c r="BT20" s="357">
        <f>Daily!G228</f>
        <v>4.6049494807362379</v>
      </c>
      <c r="BU20" s="357">
        <f>Daily!G259</f>
        <v>3.1808929859376072</v>
      </c>
      <c r="BV20" s="357">
        <f>Daily!G290</f>
        <v>1.5963768785764862</v>
      </c>
      <c r="BW20" s="357" t="str">
        <f>Daily!G320</f>
        <v/>
      </c>
      <c r="BX20" s="357" t="str">
        <f>Daily!G351</f>
        <v/>
      </c>
      <c r="BY20" s="357" t="str">
        <f>Daily!G381</f>
        <v/>
      </c>
      <c r="BZ20" s="357" t="str">
        <f>Daily!G412</f>
        <v/>
      </c>
      <c r="CA20" s="357" t="str">
        <f>Daily!G443</f>
        <v/>
      </c>
      <c r="CB20" s="357" t="str">
        <f>Daily!G471</f>
        <v/>
      </c>
      <c r="CC20" s="357" t="str">
        <f>Daily!G502</f>
        <v/>
      </c>
      <c r="CD20" s="357" t="str">
        <f>Daily!G532</f>
        <v/>
      </c>
      <c r="CE20" s="357" t="str">
        <f>Daily!G563</f>
        <v/>
      </c>
      <c r="CF20" s="357" t="str">
        <f>Daily!G593</f>
        <v/>
      </c>
      <c r="CG20" s="349"/>
      <c r="CH20" s="356">
        <v>18</v>
      </c>
      <c r="CI20" s="358" t="str">
        <f>IF(Daily!I46=0,"",Daily!I46)</f>
        <v/>
      </c>
      <c r="CJ20" s="358" t="str">
        <f>IF(Daily!I77=0,"",Daily!I77)</f>
        <v/>
      </c>
      <c r="CK20" s="358" t="str">
        <f>IF(Daily!I106=0,"",Daily!I106)</f>
        <v/>
      </c>
      <c r="CL20" s="358">
        <f>IF(Daily!I137=0,"",Daily!I137)</f>
        <v>7.7758614076325863</v>
      </c>
      <c r="CM20" s="358" t="str">
        <f>IF(Daily!I1517=0,"",Daily!I167)</f>
        <v/>
      </c>
      <c r="CN20" s="358">
        <f>IF(Daily!I198=0,"",Daily!I198)</f>
        <v>123.09601326778137</v>
      </c>
      <c r="CO20" s="358">
        <f>IF(Daily!I228=0,"",Daily!I228)</f>
        <v>263.07914538000205</v>
      </c>
      <c r="CP20" s="358">
        <f>IF(Daily!I259=0,"",Daily!I259)</f>
        <v>390.82918915994856</v>
      </c>
      <c r="CQ20" s="358">
        <f>IF(Daily!I290=0,"",Daily!I290)</f>
        <v>478.49255138429157</v>
      </c>
      <c r="CR20" s="358" t="str">
        <f>IF(Daily!I320=0,"",Daily!I320)</f>
        <v/>
      </c>
      <c r="CS20" s="358" t="str">
        <f>IF(Daily!I351=0,"",Daily!I351)</f>
        <v/>
      </c>
      <c r="CT20" s="358" t="str">
        <f>IF(Daily!I381=0,"",Daily!I381)</f>
        <v/>
      </c>
      <c r="CU20" s="358" t="str">
        <f>IF(Daily!I412=0,"",Daily!I412)</f>
        <v/>
      </c>
      <c r="CV20" s="358" t="str">
        <f>IF(Daily!I443=0,"",Daily!I443)</f>
        <v/>
      </c>
      <c r="CW20" s="358" t="str">
        <f>IF(Daily!I471=0,"",Daily!I471)</f>
        <v/>
      </c>
      <c r="CX20" s="358" t="str">
        <f>IF(Daily!I502=0,"",Daily!I502)</f>
        <v/>
      </c>
      <c r="CY20" s="358" t="str">
        <f>IF(Daily!I532=0,"",Daily!I532)</f>
        <v/>
      </c>
      <c r="CZ20" s="358" t="str">
        <f>IF(Daily!I563=0,"",Daily!I563)</f>
        <v/>
      </c>
      <c r="DA20" s="358" t="str">
        <f>IF(Daily!I593=0,"",Daily!I593)</f>
        <v/>
      </c>
      <c r="DB20" s="349"/>
      <c r="DC20" s="356">
        <v>18</v>
      </c>
      <c r="DD20" s="357" t="str">
        <f>IF(ISNA(Daily!F46),"",Daily!F46)</f>
        <v/>
      </c>
      <c r="DE20" s="357" t="str">
        <f>IF(ISNA(Daily!F77),"",Daily!F77)</f>
        <v/>
      </c>
      <c r="DF20" s="357" t="str">
        <f>IF(ISNA(Daily!F106),"",Daily!F106)</f>
        <v/>
      </c>
      <c r="DG20" s="357">
        <f>IF(ISNA(Daily!F137),"",Daily!F137)</f>
        <v>0.8102962140161466</v>
      </c>
      <c r="DH20" s="357">
        <f>IF(ISNA(Daily!F167),"",Daily!F167)</f>
        <v>0.8102962140161466</v>
      </c>
      <c r="DI20" s="357">
        <f>IF(ISNA(Daily!F198),"",Daily!F198)</f>
        <v>0.99099610639095737</v>
      </c>
      <c r="DJ20" s="357">
        <f>IF(ISNA(Daily!F228),"",Daily!F228)</f>
        <v>1.0551154230400821</v>
      </c>
      <c r="DK20" s="357">
        <f>IF(ISNA(Daily!F259),"",Daily!F259)</f>
        <v>1.0551154230400821</v>
      </c>
      <c r="DL20" s="357">
        <f>IF(ISNA(Daily!F290),"",Daily!F290)</f>
        <v>0.83339732291565594</v>
      </c>
      <c r="DM20" s="357" t="str">
        <f>IF(ISNA(Daily!F320),"",Daily!F320)</f>
        <v/>
      </c>
      <c r="DN20" s="357" t="str">
        <f>IF(ISNA(Daily!F351),"",Daily!F351)</f>
        <v/>
      </c>
      <c r="DO20" s="357" t="str">
        <f>IF(ISNA(Daily!F381),"",Daily!F381)</f>
        <v/>
      </c>
      <c r="DP20" s="357" t="str">
        <f>IF(ISNA(Daily!F412),"",Daily!F412)</f>
        <v/>
      </c>
      <c r="DQ20" s="357" t="str">
        <f>IF(ISNA(Daily!F443),"",Daily!F443)</f>
        <v/>
      </c>
      <c r="DR20" s="357" t="str">
        <f>IF(ISNA(Daily!F472),"",Daily!F472)</f>
        <v/>
      </c>
      <c r="DS20" s="357" t="str">
        <f>IF(ISNA(Daily!F502),"",Daily!F502)</f>
        <v/>
      </c>
      <c r="DT20" s="357" t="str">
        <f>IF(ISNA(Daily!F532),"",Daily!F532)</f>
        <v/>
      </c>
      <c r="DU20" s="357" t="str">
        <f>IF(ISNA(Daily!F563),"",Daily!F563)</f>
        <v/>
      </c>
      <c r="DV20" s="357" t="str">
        <f>IF(ISNA(Daily!F593),"",Daily!G593)</f>
        <v/>
      </c>
      <c r="DW20" s="349"/>
      <c r="DX20" s="356">
        <v>18</v>
      </c>
      <c r="DY20" s="357" t="str">
        <f>Daily!H46</f>
        <v/>
      </c>
      <c r="DZ20" s="357" t="str">
        <f>Daily!H77</f>
        <v/>
      </c>
      <c r="EA20" s="357" t="str">
        <f>Daily!H106</f>
        <v/>
      </c>
      <c r="EB20" s="357">
        <f>Daily!H137</f>
        <v>1.9038885138318942</v>
      </c>
      <c r="EC20" s="357">
        <f>Daily!H167</f>
        <v>2.5575793681647356</v>
      </c>
      <c r="ED20" s="357">
        <f>Daily!H198</f>
        <v>4.2254552594806354</v>
      </c>
      <c r="EE20" s="357">
        <f>Daily!H228</f>
        <v>4.6273840185192556</v>
      </c>
      <c r="EF20" s="357">
        <f>Daily!H259</f>
        <v>3.1963897604788438</v>
      </c>
      <c r="EG20" s="357">
        <f>Daily!H290</f>
        <v>1.7450524297830377</v>
      </c>
      <c r="EH20" s="357" t="str">
        <f>Daily!H320</f>
        <v/>
      </c>
      <c r="EI20" s="357" t="str">
        <f>Daily!H351</f>
        <v/>
      </c>
      <c r="EJ20" s="357" t="str">
        <f>Daily!H381</f>
        <v/>
      </c>
      <c r="EK20" s="357" t="str">
        <f>Daily!H412</f>
        <v/>
      </c>
      <c r="EL20" s="357" t="str">
        <f>Daily!H443</f>
        <v/>
      </c>
      <c r="EM20" s="357" t="str">
        <f>Daily!H471</f>
        <v/>
      </c>
      <c r="EN20" s="357" t="str">
        <f>Daily!H502</f>
        <v/>
      </c>
      <c r="EO20" s="357" t="str">
        <f>Daily!H532</f>
        <v/>
      </c>
      <c r="EP20" s="357" t="str">
        <f>Daily!H563</f>
        <v/>
      </c>
      <c r="EQ20" s="357" t="str">
        <f>Daily!H593</f>
        <v/>
      </c>
      <c r="ER20" s="349"/>
      <c r="ES20" s="356">
        <v>18</v>
      </c>
      <c r="ET20" s="358" t="str">
        <f>IF(Daily!J46=0,"",Daily!J46)</f>
        <v/>
      </c>
      <c r="EU20" s="358" t="str">
        <f>IF(Daily!J77=0,"",Daily!J77)</f>
        <v/>
      </c>
      <c r="EV20" s="358" t="str">
        <f>IF(Daily!J106=0,"",Daily!J106)</f>
        <v/>
      </c>
      <c r="EW20" s="358">
        <f>IF(Daily!J137=0,"",Daily!J137)</f>
        <v>5.2506258827657906</v>
      </c>
      <c r="EX20" s="358">
        <f>IF(Daily!J167=0,"",Daily!J167)</f>
        <v>56.546690102997609</v>
      </c>
      <c r="EY20" s="358">
        <f>IF(Daily!J198=0,"",Daily!J198)</f>
        <v>160.09012928449405</v>
      </c>
      <c r="EZ20" s="358">
        <f>IF(Daily!J228=0,"",Daily!J228)</f>
        <v>302.29456357521866</v>
      </c>
      <c r="FA20" s="358">
        <f>IF(Daily!J259=0,"",Daily!J259)</f>
        <v>430.05084370934503</v>
      </c>
      <c r="FB20" s="358">
        <f>IF(Daily!J290=0,"",Daily!J290)</f>
        <v>514.79178104243226</v>
      </c>
      <c r="FC20" s="358" t="str">
        <f>IF(Daily!J320=0,"",Daily!J320)</f>
        <v/>
      </c>
      <c r="FD20" s="358" t="str">
        <f>IF(Daily!J351=0,"",Daily!J351)</f>
        <v/>
      </c>
      <c r="FE20" s="358" t="str">
        <f>IF(Daily!J381=0,"",Daily!J381)</f>
        <v/>
      </c>
      <c r="FF20" s="358" t="str">
        <f>IF(Daily!J412=0,"",Daily!J412)</f>
        <v/>
      </c>
      <c r="FG20" s="358" t="str">
        <f>IF(Daily!J443=0,"",Daily!J443)</f>
        <v/>
      </c>
      <c r="FH20" s="358" t="str">
        <f>IF(Daily!J471=0,"",Daily!J471)</f>
        <v/>
      </c>
      <c r="FI20" s="358" t="str">
        <f>IF(Daily!J502=0,"",Daily!J502)</f>
        <v/>
      </c>
      <c r="FJ20" s="358" t="str">
        <f>IF(Daily!J532=0,"",Daily!J532)</f>
        <v/>
      </c>
      <c r="FK20" s="358" t="str">
        <f>IF(Daily!J563=0,"",Daily!J563)</f>
        <v/>
      </c>
      <c r="FL20" s="358" t="str">
        <f>IF(Daily!J593=0,"",Daily!J593)</f>
        <v/>
      </c>
      <c r="FM20" s="349"/>
    </row>
    <row r="21" spans="1:169">
      <c r="A21" s="349"/>
      <c r="B21" s="356">
        <v>19</v>
      </c>
      <c r="C21" s="357" t="str">
        <f>Daily!D47</f>
        <v/>
      </c>
      <c r="D21" s="357" t="str">
        <f>Daily!D78</f>
        <v/>
      </c>
      <c r="E21" s="357" t="str">
        <f>Daily!D107</f>
        <v/>
      </c>
      <c r="F21" s="357">
        <f>Daily!D138</f>
        <v>1.0059033012851073</v>
      </c>
      <c r="G21" s="357">
        <f>Daily!D168</f>
        <v>0.60932312588773763</v>
      </c>
      <c r="H21" s="357">
        <f>Daily!D199</f>
        <v>0.21757136953814696</v>
      </c>
      <c r="I21" s="357">
        <f>Daily!D229</f>
        <v>0.32307847046012461</v>
      </c>
      <c r="J21" s="357">
        <f>Daily!D260</f>
        <v>0.18536630905038032</v>
      </c>
      <c r="K21" s="357">
        <f>Daily!D291</f>
        <v>0.70178387622993943</v>
      </c>
      <c r="L21" s="357" t="str">
        <f>Daily!D321</f>
        <v/>
      </c>
      <c r="M21" s="357" t="str">
        <f>Daily!D352</f>
        <v/>
      </c>
      <c r="N21" s="357" t="str">
        <f>Daily!D382</f>
        <v/>
      </c>
      <c r="O21" s="357" t="str">
        <f>Daily!D413</f>
        <v/>
      </c>
      <c r="P21" s="357" t="str">
        <f>Daily!D444</f>
        <v/>
      </c>
      <c r="Q21" s="357" t="str">
        <f>Daily!D472</f>
        <v/>
      </c>
      <c r="R21" s="357" t="str">
        <f>Daily!D503</f>
        <v/>
      </c>
      <c r="S21" s="357" t="str">
        <f>Daily!D533</f>
        <v/>
      </c>
      <c r="T21" s="357" t="str">
        <f>Daily!D564</f>
        <v/>
      </c>
      <c r="U21" s="357" t="str">
        <f>Daily!D594</f>
        <v/>
      </c>
      <c r="V21" s="349"/>
      <c r="W21" s="356">
        <v>19</v>
      </c>
      <c r="X21" s="357">
        <f>Daily!C47</f>
        <v>0.22358121107988677</v>
      </c>
      <c r="Y21" s="357">
        <f>Daily!C78</f>
        <v>0.20151220317447621</v>
      </c>
      <c r="Z21" s="357">
        <f>Daily!C107</f>
        <v>1.2539160732494974</v>
      </c>
      <c r="AA21" s="357">
        <f>Daily!C138</f>
        <v>2.1232463360499847</v>
      </c>
      <c r="AB21" s="357">
        <f>Daily!C168</f>
        <v>2.2714870024934979</v>
      </c>
      <c r="AC21" s="357">
        <f>Daily!C199</f>
        <v>4.3448768618195519</v>
      </c>
      <c r="AD21" s="357">
        <f>Daily!C229</f>
        <v>4.5585086386905456</v>
      </c>
      <c r="AE21" s="357">
        <f>Daily!C260</f>
        <v>4.0744982807337342</v>
      </c>
      <c r="AF21" s="357">
        <f>Daily!C291</f>
        <v>2.0557482287284605</v>
      </c>
      <c r="AG21" s="357">
        <f>Daily!C321</f>
        <v>0.51944233409834339</v>
      </c>
      <c r="AH21" s="357">
        <f>Daily!C352</f>
        <v>0.47570645343186002</v>
      </c>
      <c r="AI21" s="357">
        <f>Daily!C382</f>
        <v>0.14919560090004816</v>
      </c>
      <c r="AJ21" s="357">
        <f>Daily!C413</f>
        <v>0.22358121107988677</v>
      </c>
      <c r="AK21" s="357">
        <f>Daily!C444</f>
        <v>0.20151220317447621</v>
      </c>
      <c r="AL21" s="357">
        <f>Daily!C472</f>
        <v>1.5527441502753514</v>
      </c>
      <c r="AM21" s="357">
        <f>Daily!C503</f>
        <v>2.3496203991815219</v>
      </c>
      <c r="AN21" s="357">
        <f>Daily!C533</f>
        <v>3.1563511268161637</v>
      </c>
      <c r="AO21" s="357">
        <f>Daily!C564</f>
        <v>4.2638464795477748</v>
      </c>
      <c r="AP21" s="357">
        <f>Daily!C594</f>
        <v>4.3856661721297474</v>
      </c>
      <c r="AQ21" s="349"/>
      <c r="AR21" s="356">
        <v>19</v>
      </c>
      <c r="AS21" s="357" t="str">
        <f>IF(ISNA(Daily!E47),"",Daily!E47)</f>
        <v/>
      </c>
      <c r="AT21" s="357" t="str">
        <f>IF(ISNA(Daily!E78),"",Daily!E78)</f>
        <v/>
      </c>
      <c r="AU21" s="357" t="str">
        <f>IF(ISNA(Daily!E107),"",Daily!E107)</f>
        <v/>
      </c>
      <c r="AV21" s="357">
        <f>IF(ISNA(Daily!E138),"",Daily!E138)</f>
        <v>1.0059033012851073</v>
      </c>
      <c r="AW21" s="357">
        <f>IF(ISNA(Daily!E168),"",Daily!E168)</f>
        <v>0.60932312588773763</v>
      </c>
      <c r="AX21" s="357">
        <f>IF(ISNA(Daily!E199),"",Daily!E199)</f>
        <v>0.84761904761904816</v>
      </c>
      <c r="AY21" s="357">
        <f>IF(ISNA(Daily!E229),"",Daily!E229)</f>
        <v>1.0500000000000007</v>
      </c>
      <c r="AZ21" s="357">
        <f>IF(ISNA(Daily!E260),"",Daily!E260)</f>
        <v>1.0500000000000007</v>
      </c>
      <c r="BA21" s="357">
        <f>IF(ISNA(Daily!E291),"",Daily!E291)</f>
        <v>0.71785714285714475</v>
      </c>
      <c r="BB21" s="357" t="str">
        <f>IF(ISNA(Daily!E321),"",Daily!E321)</f>
        <v/>
      </c>
      <c r="BC21" s="357" t="str">
        <f>IF(ISNA(Daily!E352),"",Daily!E352)</f>
        <v/>
      </c>
      <c r="BD21" s="357" t="str">
        <f>IF(ISNA(Daily!E382),"",Daily!E382)</f>
        <v/>
      </c>
      <c r="BE21" s="357" t="str">
        <f>IF(ISNA(Daily!E413),"",Daily!E413)</f>
        <v/>
      </c>
      <c r="BF21" s="357" t="str">
        <f>IF(ISNA(Daily!E444),"",Daily!E444)</f>
        <v/>
      </c>
      <c r="BG21" s="357" t="str">
        <f>IF(ISNA(Daily!E472),"",Daily!E472)</f>
        <v/>
      </c>
      <c r="BH21" s="357" t="str">
        <f>IF(ISNA(Daily!E503),"",Daily!E503)</f>
        <v/>
      </c>
      <c r="BI21" s="357" t="str">
        <f>IF(ISNA(Daily!E533),"",Daily!E533)</f>
        <v/>
      </c>
      <c r="BJ21" s="357" t="str">
        <f>IF(ISNA(Daily!E564),"",Daily!E564)</f>
        <v/>
      </c>
      <c r="BK21" s="357" t="str">
        <f>IF(ISNA(Daily!E594),"",Daily!E594)</f>
        <v/>
      </c>
      <c r="BL21" s="349"/>
      <c r="BM21" s="356">
        <v>19</v>
      </c>
      <c r="BN21" s="357" t="str">
        <f>Daily!G47</f>
        <v/>
      </c>
      <c r="BO21" s="357" t="str">
        <f>Daily!G78</f>
        <v/>
      </c>
      <c r="BP21" s="357" t="str">
        <f>Daily!G107</f>
        <v/>
      </c>
      <c r="BQ21" s="357">
        <f>Daily!G138</f>
        <v>2.1357804988741877</v>
      </c>
      <c r="BR21" s="357">
        <f>Daily!G168</f>
        <v>1.3840695607727054</v>
      </c>
      <c r="BS21" s="357">
        <f>Daily!G199</f>
        <v>3.6828003876375273</v>
      </c>
      <c r="BT21" s="357">
        <f>Daily!G229</f>
        <v>4.7864340706250763</v>
      </c>
      <c r="BU21" s="357">
        <f>Daily!G260</f>
        <v>4.2782231947704235</v>
      </c>
      <c r="BV21" s="357">
        <f>Daily!G291</f>
        <v>1.4757335499086488</v>
      </c>
      <c r="BW21" s="357" t="str">
        <f>Daily!G321</f>
        <v/>
      </c>
      <c r="BX21" s="357" t="str">
        <f>Daily!G352</f>
        <v/>
      </c>
      <c r="BY21" s="357" t="str">
        <f>Daily!G382</f>
        <v/>
      </c>
      <c r="BZ21" s="357" t="str">
        <f>Daily!G413</f>
        <v/>
      </c>
      <c r="CA21" s="357" t="str">
        <f>Daily!G444</f>
        <v/>
      </c>
      <c r="CB21" s="357" t="str">
        <f>Daily!G472</f>
        <v/>
      </c>
      <c r="CC21" s="357" t="str">
        <f>Daily!G503</f>
        <v/>
      </c>
      <c r="CD21" s="357" t="str">
        <f>Daily!G533</f>
        <v/>
      </c>
      <c r="CE21" s="357" t="str">
        <f>Daily!G564</f>
        <v/>
      </c>
      <c r="CF21" s="357" t="str">
        <f>Daily!G594</f>
        <v/>
      </c>
      <c r="CG21" s="349"/>
      <c r="CH21" s="356">
        <v>19</v>
      </c>
      <c r="CI21" s="358" t="str">
        <f>IF(Daily!I47=0,"",Daily!I47)</f>
        <v/>
      </c>
      <c r="CJ21" s="358" t="str">
        <f>IF(Daily!I78=0,"",Daily!I78)</f>
        <v/>
      </c>
      <c r="CK21" s="358" t="str">
        <f>IF(Daily!I107=0,"",Daily!I107)</f>
        <v/>
      </c>
      <c r="CL21" s="358">
        <f>IF(Daily!I138=0,"",Daily!I138)</f>
        <v>9.9116419065067731</v>
      </c>
      <c r="CM21" s="358" t="str">
        <f>IF(Daily!I1518=0,"",Daily!I168)</f>
        <v/>
      </c>
      <c r="CN21" s="358">
        <f>IF(Daily!I199=0,"",Daily!I199)</f>
        <v>126.7788136554189</v>
      </c>
      <c r="CO21" s="358">
        <f>IF(Daily!I229=0,"",Daily!I229)</f>
        <v>267.86557945062714</v>
      </c>
      <c r="CP21" s="358">
        <f>IF(Daily!I260=0,"",Daily!I260)</f>
        <v>395.10741235471897</v>
      </c>
      <c r="CQ21" s="358">
        <f>IF(Daily!I291=0,"",Daily!I291)</f>
        <v>479.9682849342002</v>
      </c>
      <c r="CR21" s="358" t="str">
        <f>IF(Daily!I321=0,"",Daily!I321)</f>
        <v/>
      </c>
      <c r="CS21" s="358" t="str">
        <f>IF(Daily!I352=0,"",Daily!I352)</f>
        <v/>
      </c>
      <c r="CT21" s="358" t="str">
        <f>IF(Daily!I382=0,"",Daily!I382)</f>
        <v/>
      </c>
      <c r="CU21" s="358" t="str">
        <f>IF(Daily!I413=0,"",Daily!I413)</f>
        <v/>
      </c>
      <c r="CV21" s="358" t="str">
        <f>IF(Daily!I444=0,"",Daily!I444)</f>
        <v/>
      </c>
      <c r="CW21" s="358" t="str">
        <f>IF(Daily!I472=0,"",Daily!I472)</f>
        <v/>
      </c>
      <c r="CX21" s="358" t="str">
        <f>IF(Daily!I503=0,"",Daily!I503)</f>
        <v/>
      </c>
      <c r="CY21" s="358" t="str">
        <f>IF(Daily!I533=0,"",Daily!I533)</f>
        <v/>
      </c>
      <c r="CZ21" s="358" t="str">
        <f>IF(Daily!I564=0,"",Daily!I564)</f>
        <v/>
      </c>
      <c r="DA21" s="358" t="str">
        <f>IF(Daily!I594=0,"",Daily!I594)</f>
        <v/>
      </c>
      <c r="DB21" s="349"/>
      <c r="DC21" s="356">
        <v>19</v>
      </c>
      <c r="DD21" s="357" t="str">
        <f>IF(ISNA(Daily!F47),"",Daily!F47)</f>
        <v/>
      </c>
      <c r="DE21" s="357" t="str">
        <f>IF(ISNA(Daily!F78),"",Daily!F78)</f>
        <v/>
      </c>
      <c r="DF21" s="357" t="str">
        <f>IF(ISNA(Daily!F107),"",Daily!F107)</f>
        <v/>
      </c>
      <c r="DG21" s="357">
        <f>IF(ISNA(Daily!F138),"",Daily!F138)</f>
        <v>0.8102962140161466</v>
      </c>
      <c r="DH21" s="357">
        <f>IF(ISNA(Daily!F168),"",Daily!F168)</f>
        <v>0.81612524280243082</v>
      </c>
      <c r="DI21" s="357">
        <f>IF(ISNA(Daily!F199),"",Daily!F199)</f>
        <v>0.99682513517724158</v>
      </c>
      <c r="DJ21" s="357">
        <f>IF(ISNA(Daily!F229),"",Daily!F229)</f>
        <v>1.0551154230400821</v>
      </c>
      <c r="DK21" s="357">
        <f>IF(ISNA(Daily!F260),"",Daily!F260)</f>
        <v>1.0551154230400821</v>
      </c>
      <c r="DL21" s="357">
        <f>IF(ISNA(Daily!F291),"",Daily!F291)</f>
        <v>0.82600671957817506</v>
      </c>
      <c r="DM21" s="357" t="str">
        <f>IF(ISNA(Daily!F321),"",Daily!F321)</f>
        <v/>
      </c>
      <c r="DN21" s="357" t="str">
        <f>IF(ISNA(Daily!F352),"",Daily!F352)</f>
        <v/>
      </c>
      <c r="DO21" s="357" t="str">
        <f>IF(ISNA(Daily!F382),"",Daily!F382)</f>
        <v/>
      </c>
      <c r="DP21" s="357" t="str">
        <f>IF(ISNA(Daily!F413),"",Daily!F413)</f>
        <v/>
      </c>
      <c r="DQ21" s="357" t="str">
        <f>IF(ISNA(Daily!F444),"",Daily!F444)</f>
        <v/>
      </c>
      <c r="DR21" s="357" t="str">
        <f>IF(ISNA(Daily!F473),"",Daily!F473)</f>
        <v/>
      </c>
      <c r="DS21" s="357" t="str">
        <f>IF(ISNA(Daily!F503),"",Daily!F503)</f>
        <v/>
      </c>
      <c r="DT21" s="357" t="str">
        <f>IF(ISNA(Daily!F533),"",Daily!F533)</f>
        <v/>
      </c>
      <c r="DU21" s="357" t="str">
        <f>IF(ISNA(Daily!F564),"",Daily!F564)</f>
        <v/>
      </c>
      <c r="DV21" s="357" t="str">
        <f>IF(ISNA(Daily!F594),"",Daily!G594)</f>
        <v/>
      </c>
      <c r="DW21" s="349"/>
      <c r="DX21" s="356">
        <v>19</v>
      </c>
      <c r="DY21" s="357" t="str">
        <f>Daily!H47</f>
        <v/>
      </c>
      <c r="DZ21" s="357" t="str">
        <f>Daily!H78</f>
        <v/>
      </c>
      <c r="EA21" s="357" t="str">
        <f>Daily!H107</f>
        <v/>
      </c>
      <c r="EB21" s="357">
        <f>Daily!H138</f>
        <v>1.7204584675249575</v>
      </c>
      <c r="EC21" s="357">
        <f>Daily!H168</f>
        <v>1.8538178814325716</v>
      </c>
      <c r="ED21" s="357">
        <f>Daily!H199</f>
        <v>4.3310824651117441</v>
      </c>
      <c r="EE21" s="357">
        <f>Daily!H229</f>
        <v>4.8097527707438434</v>
      </c>
      <c r="EF21" s="357">
        <f>Daily!H260</f>
        <v>4.2990659771524609</v>
      </c>
      <c r="EG21" s="357">
        <f>Daily!H291</f>
        <v>1.6980618506906395</v>
      </c>
      <c r="EH21" s="357" t="str">
        <f>Daily!H321</f>
        <v/>
      </c>
      <c r="EI21" s="357" t="str">
        <f>Daily!H352</f>
        <v/>
      </c>
      <c r="EJ21" s="357" t="str">
        <f>Daily!H382</f>
        <v/>
      </c>
      <c r="EK21" s="357" t="str">
        <f>Daily!H413</f>
        <v/>
      </c>
      <c r="EL21" s="357" t="str">
        <f>Daily!H444</f>
        <v/>
      </c>
      <c r="EM21" s="357" t="str">
        <f>Daily!H472</f>
        <v/>
      </c>
      <c r="EN21" s="357" t="str">
        <f>Daily!H503</f>
        <v/>
      </c>
      <c r="EO21" s="357" t="str">
        <f>Daily!H533</f>
        <v/>
      </c>
      <c r="EP21" s="357" t="str">
        <f>Daily!H564</f>
        <v/>
      </c>
      <c r="EQ21" s="357" t="str">
        <f>Daily!H594</f>
        <v/>
      </c>
      <c r="ER21" s="349"/>
      <c r="ES21" s="356">
        <v>19</v>
      </c>
      <c r="ET21" s="358" t="str">
        <f>IF(Daily!J47=0,"",Daily!J47)</f>
        <v/>
      </c>
      <c r="EU21" s="358" t="str">
        <f>IF(Daily!J78=0,"",Daily!J78)</f>
        <v/>
      </c>
      <c r="EV21" s="358" t="str">
        <f>IF(Daily!J107=0,"",Daily!J107)</f>
        <v/>
      </c>
      <c r="EW21" s="358">
        <f>IF(Daily!J138=0,"",Daily!J138)</f>
        <v>6.9710843502907478</v>
      </c>
      <c r="EX21" s="358">
        <f>IF(Daily!J168=0,"",Daily!J168)</f>
        <v>58.400507984430178</v>
      </c>
      <c r="EY21" s="358">
        <f>IF(Daily!J199=0,"",Daily!J199)</f>
        <v>164.42121174960579</v>
      </c>
      <c r="EZ21" s="358">
        <f>IF(Daily!J229=0,"",Daily!J229)</f>
        <v>307.1043163459625</v>
      </c>
      <c r="FA21" s="358">
        <f>IF(Daily!J260=0,"",Daily!J260)</f>
        <v>434.34990968649748</v>
      </c>
      <c r="FB21" s="358">
        <f>IF(Daily!J291=0,"",Daily!J291)</f>
        <v>516.48984289312295</v>
      </c>
      <c r="FC21" s="358" t="str">
        <f>IF(Daily!J321=0,"",Daily!J321)</f>
        <v/>
      </c>
      <c r="FD21" s="358" t="str">
        <f>IF(Daily!J352=0,"",Daily!J352)</f>
        <v/>
      </c>
      <c r="FE21" s="358" t="str">
        <f>IF(Daily!J382=0,"",Daily!J382)</f>
        <v/>
      </c>
      <c r="FF21" s="358" t="str">
        <f>IF(Daily!J413=0,"",Daily!J413)</f>
        <v/>
      </c>
      <c r="FG21" s="358" t="str">
        <f>IF(Daily!J444=0,"",Daily!J444)</f>
        <v/>
      </c>
      <c r="FH21" s="358" t="str">
        <f>IF(Daily!J472=0,"",Daily!J472)</f>
        <v/>
      </c>
      <c r="FI21" s="358" t="str">
        <f>IF(Daily!J503=0,"",Daily!J503)</f>
        <v/>
      </c>
      <c r="FJ21" s="358" t="str">
        <f>IF(Daily!J533=0,"",Daily!J533)</f>
        <v/>
      </c>
      <c r="FK21" s="358" t="str">
        <f>IF(Daily!J564=0,"",Daily!J564)</f>
        <v/>
      </c>
      <c r="FL21" s="358" t="str">
        <f>IF(Daily!J594=0,"",Daily!J594)</f>
        <v/>
      </c>
      <c r="FM21" s="349"/>
    </row>
    <row r="22" spans="1:169">
      <c r="A22" s="349"/>
      <c r="B22" s="356">
        <v>20</v>
      </c>
      <c r="C22" s="357" t="str">
        <f>Daily!D48</f>
        <v/>
      </c>
      <c r="D22" s="357" t="str">
        <f>Daily!D79</f>
        <v/>
      </c>
      <c r="E22" s="357" t="str">
        <f>Daily!D108</f>
        <v/>
      </c>
      <c r="F22" s="357">
        <f>Daily!D139</f>
        <v>0.86298278178263155</v>
      </c>
      <c r="G22" s="357">
        <f>Daily!D169</f>
        <v>0.57286545191622684</v>
      </c>
      <c r="H22" s="357">
        <f>Daily!D200</f>
        <v>0.21412156224438375</v>
      </c>
      <c r="I22" s="357">
        <f>Daily!D230</f>
        <v>0.31043594464303675</v>
      </c>
      <c r="J22" s="357">
        <f>Daily!D261</f>
        <v>0.18317778806115109</v>
      </c>
      <c r="K22" s="357">
        <f>Daily!D292</f>
        <v>0.65961538820870136</v>
      </c>
      <c r="L22" s="357" t="str">
        <f>Daily!D322</f>
        <v/>
      </c>
      <c r="M22" s="357" t="str">
        <f>Daily!D353</f>
        <v/>
      </c>
      <c r="N22" s="357" t="str">
        <f>Daily!D383</f>
        <v/>
      </c>
      <c r="O22" s="357" t="str">
        <f>Daily!D414</f>
        <v/>
      </c>
      <c r="P22" s="357" t="str">
        <f>Daily!D445</f>
        <v/>
      </c>
      <c r="Q22" s="357" t="str">
        <f>Daily!D473</f>
        <v/>
      </c>
      <c r="R22" s="357" t="str">
        <f>Daily!D504</f>
        <v/>
      </c>
      <c r="S22" s="357" t="str">
        <f>Daily!D534</f>
        <v/>
      </c>
      <c r="T22" s="357" t="str">
        <f>Daily!D565</f>
        <v/>
      </c>
      <c r="U22" s="357" t="str">
        <f>Daily!D595</f>
        <v/>
      </c>
      <c r="V22" s="349"/>
      <c r="W22" s="356">
        <v>20</v>
      </c>
      <c r="X22" s="357">
        <f>Daily!C48</f>
        <v>0.26804063791324378</v>
      </c>
      <c r="Y22" s="357">
        <f>Daily!C79</f>
        <v>0.40302323288783826</v>
      </c>
      <c r="Z22" s="357">
        <f>Daily!C108</f>
        <v>0.47253029285191905</v>
      </c>
      <c r="AA22" s="357">
        <f>Daily!C139</f>
        <v>2.3856445539884792</v>
      </c>
      <c r="AB22" s="357">
        <f>Daily!C169</f>
        <v>2.3149334984040815</v>
      </c>
      <c r="AC22" s="357">
        <f>Daily!C200</f>
        <v>4.2189462561948528</v>
      </c>
      <c r="AD22" s="357">
        <f>Daily!C230</f>
        <v>5.0131309788816969</v>
      </c>
      <c r="AE22" s="357">
        <f>Daily!C261</f>
        <v>4.259246672317726</v>
      </c>
      <c r="AF22" s="357">
        <f>Daily!C292</f>
        <v>1.7686822371330457</v>
      </c>
      <c r="AG22" s="357">
        <f>Daily!C322</f>
        <v>0.60898906706801759</v>
      </c>
      <c r="AH22" s="357">
        <f>Daily!C353</f>
        <v>0.31239412896784557</v>
      </c>
      <c r="AI22" s="357">
        <f>Daily!C383</f>
        <v>6.9375106890258192E-2</v>
      </c>
      <c r="AJ22" s="357">
        <f>Daily!C414</f>
        <v>0.26804063791324378</v>
      </c>
      <c r="AK22" s="357">
        <f>Daily!C445</f>
        <v>0.40302323288783826</v>
      </c>
      <c r="AL22" s="357">
        <f>Daily!C473</f>
        <v>1.2539160732494974</v>
      </c>
      <c r="AM22" s="357">
        <f>Daily!C504</f>
        <v>2.1232463360499847</v>
      </c>
      <c r="AN22" s="357">
        <f>Daily!C534</f>
        <v>2.2714870024934979</v>
      </c>
      <c r="AO22" s="357">
        <f>Daily!C565</f>
        <v>4.3448768618195519</v>
      </c>
      <c r="AP22" s="357">
        <f>Daily!C595</f>
        <v>4.5585086386905456</v>
      </c>
      <c r="AQ22" s="349"/>
      <c r="AR22" s="356">
        <v>20</v>
      </c>
      <c r="AS22" s="357" t="str">
        <f>IF(ISNA(Daily!E48),"",Daily!E48)</f>
        <v/>
      </c>
      <c r="AT22" s="357" t="str">
        <f>IF(ISNA(Daily!E79),"",Daily!E79)</f>
        <v/>
      </c>
      <c r="AU22" s="357" t="str">
        <f>IF(ISNA(Daily!E108),"",Daily!E108)</f>
        <v/>
      </c>
      <c r="AV22" s="357">
        <f>IF(ISNA(Daily!E139),"",Daily!E139)</f>
        <v>0.86298278178263155</v>
      </c>
      <c r="AW22" s="357">
        <f>IF(ISNA(Daily!E169),"",Daily!E169)</f>
        <v>0.57286545191622684</v>
      </c>
      <c r="AX22" s="357">
        <f>IF(ISNA(Daily!E200),"",Daily!E200)</f>
        <v>0.86785714285714344</v>
      </c>
      <c r="AY22" s="357">
        <f>IF(ISNA(Daily!E230),"",Daily!E230)</f>
        <v>1.0500000000000007</v>
      </c>
      <c r="AZ22" s="357">
        <f>IF(ISNA(Daily!E261),"",Daily!E261)</f>
        <v>1.039285714285715</v>
      </c>
      <c r="BA22" s="357">
        <f>IF(ISNA(Daily!E292),"",Daily!E292)</f>
        <v>0.70714285714285907</v>
      </c>
      <c r="BB22" s="357" t="str">
        <f>IF(ISNA(Daily!E322),"",Daily!E322)</f>
        <v/>
      </c>
      <c r="BC22" s="357" t="str">
        <f>IF(ISNA(Daily!E353),"",Daily!E353)</f>
        <v/>
      </c>
      <c r="BD22" s="357" t="str">
        <f>IF(ISNA(Daily!E383),"",Daily!E383)</f>
        <v/>
      </c>
      <c r="BE22" s="357" t="str">
        <f>IF(ISNA(Daily!E414),"",Daily!E414)</f>
        <v/>
      </c>
      <c r="BF22" s="357" t="str">
        <f>IF(ISNA(Daily!E445),"",Daily!E445)</f>
        <v/>
      </c>
      <c r="BG22" s="357" t="str">
        <f>IF(ISNA(Daily!E473),"",Daily!E473)</f>
        <v/>
      </c>
      <c r="BH22" s="357" t="str">
        <f>IF(ISNA(Daily!E504),"",Daily!E504)</f>
        <v/>
      </c>
      <c r="BI22" s="357" t="str">
        <f>IF(ISNA(Daily!E534),"",Daily!E534)</f>
        <v/>
      </c>
      <c r="BJ22" s="357" t="str">
        <f>IF(ISNA(Daily!E565),"",Daily!E565)</f>
        <v/>
      </c>
      <c r="BK22" s="357" t="str">
        <f>IF(ISNA(Daily!E595),"",Daily!E595)</f>
        <v/>
      </c>
      <c r="BL22" s="349"/>
      <c r="BM22" s="356">
        <v>20</v>
      </c>
      <c r="BN22" s="357" t="str">
        <f>Daily!G48</f>
        <v/>
      </c>
      <c r="BO22" s="357" t="str">
        <f>Daily!G79</f>
        <v/>
      </c>
      <c r="BP22" s="357" t="str">
        <f>Daily!G108</f>
        <v/>
      </c>
      <c r="BQ22" s="357">
        <f>Daily!G139</f>
        <v>2.0587701735455632</v>
      </c>
      <c r="BR22" s="357">
        <f>Daily!G169</f>
        <v>1.3261454247192661</v>
      </c>
      <c r="BS22" s="357">
        <f>Daily!G200</f>
        <v>3.661442643769107</v>
      </c>
      <c r="BT22" s="357">
        <f>Daily!G230</f>
        <v>5.2637875278257855</v>
      </c>
      <c r="BU22" s="357">
        <f>Daily!G261</f>
        <v>4.4265742201587823</v>
      </c>
      <c r="BV22" s="357">
        <f>Daily!G292</f>
        <v>1.2507110105440857</v>
      </c>
      <c r="BW22" s="357" t="str">
        <f>Daily!G322</f>
        <v/>
      </c>
      <c r="BX22" s="357" t="str">
        <f>Daily!G353</f>
        <v/>
      </c>
      <c r="BY22" s="357" t="str">
        <f>Daily!G383</f>
        <v/>
      </c>
      <c r="BZ22" s="357" t="str">
        <f>Daily!G414</f>
        <v/>
      </c>
      <c r="CA22" s="357" t="str">
        <f>Daily!G445</f>
        <v/>
      </c>
      <c r="CB22" s="357" t="str">
        <f>Daily!G473</f>
        <v/>
      </c>
      <c r="CC22" s="357" t="str">
        <f>Daily!G504</f>
        <v/>
      </c>
      <c r="CD22" s="357" t="str">
        <f>Daily!G534</f>
        <v/>
      </c>
      <c r="CE22" s="357" t="str">
        <f>Daily!G565</f>
        <v/>
      </c>
      <c r="CF22" s="357" t="str">
        <f>Daily!G595</f>
        <v/>
      </c>
      <c r="CG22" s="349"/>
      <c r="CH22" s="356">
        <v>20</v>
      </c>
      <c r="CI22" s="358" t="str">
        <f>IF(Daily!I48=0,"",Daily!I48)</f>
        <v/>
      </c>
      <c r="CJ22" s="358" t="str">
        <f>IF(Daily!I79=0,"",Daily!I79)</f>
        <v/>
      </c>
      <c r="CK22" s="358" t="str">
        <f>IF(Daily!I108=0,"",Daily!I108)</f>
        <v/>
      </c>
      <c r="CL22" s="358">
        <f>IF(Daily!I139=0,"",Daily!I139)</f>
        <v>11.970412080052336</v>
      </c>
      <c r="CM22" s="358" t="str">
        <f>IF(Daily!I1519=0,"",Daily!I169)</f>
        <v/>
      </c>
      <c r="CN22" s="358">
        <f>IF(Daily!I200=0,"",Daily!I200)</f>
        <v>130.44025629918801</v>
      </c>
      <c r="CO22" s="358">
        <f>IF(Daily!I230=0,"",Daily!I230)</f>
        <v>273.12936697845294</v>
      </c>
      <c r="CP22" s="358">
        <f>IF(Daily!I261=0,"",Daily!I261)</f>
        <v>399.53398657487776</v>
      </c>
      <c r="CQ22" s="358">
        <f>IF(Daily!I292=0,"",Daily!I292)</f>
        <v>481.21899594474428</v>
      </c>
      <c r="CR22" s="358" t="str">
        <f>IF(Daily!I322=0,"",Daily!I322)</f>
        <v/>
      </c>
      <c r="CS22" s="358" t="str">
        <f>IF(Daily!I353=0,"",Daily!I353)</f>
        <v/>
      </c>
      <c r="CT22" s="358" t="str">
        <f>IF(Daily!I383=0,"",Daily!I383)</f>
        <v/>
      </c>
      <c r="CU22" s="358" t="str">
        <f>IF(Daily!I414=0,"",Daily!I414)</f>
        <v/>
      </c>
      <c r="CV22" s="358" t="str">
        <f>IF(Daily!I445=0,"",Daily!I445)</f>
        <v/>
      </c>
      <c r="CW22" s="358" t="str">
        <f>IF(Daily!I473=0,"",Daily!I473)</f>
        <v/>
      </c>
      <c r="CX22" s="358" t="str">
        <f>IF(Daily!I504=0,"",Daily!I504)</f>
        <v/>
      </c>
      <c r="CY22" s="358" t="str">
        <f>IF(Daily!I534=0,"",Daily!I534)</f>
        <v/>
      </c>
      <c r="CZ22" s="358" t="str">
        <f>IF(Daily!I565=0,"",Daily!I565)</f>
        <v/>
      </c>
      <c r="DA22" s="358" t="str">
        <f>IF(Daily!I595=0,"",Daily!I595)</f>
        <v/>
      </c>
      <c r="DB22" s="349"/>
      <c r="DC22" s="356">
        <v>20</v>
      </c>
      <c r="DD22" s="357" t="str">
        <f>IF(ISNA(Daily!F48),"",Daily!F48)</f>
        <v/>
      </c>
      <c r="DE22" s="357" t="str">
        <f>IF(ISNA(Daily!F79),"",Daily!F79)</f>
        <v/>
      </c>
      <c r="DF22" s="357" t="str">
        <f>IF(ISNA(Daily!F108),"",Daily!F108)</f>
        <v/>
      </c>
      <c r="DG22" s="357">
        <f>IF(ISNA(Daily!F139),"",Daily!F139)</f>
        <v>0.8102962140161466</v>
      </c>
      <c r="DH22" s="357">
        <f>IF(ISNA(Daily!F169),"",Daily!F169)</f>
        <v>0.82195427158871504</v>
      </c>
      <c r="DI22" s="357">
        <f>IF(ISNA(Daily!F200),"",Daily!F200)</f>
        <v>1.0026541639635258</v>
      </c>
      <c r="DJ22" s="357">
        <f>IF(ISNA(Daily!F230),"",Daily!F230)</f>
        <v>1.0551154230400821</v>
      </c>
      <c r="DK22" s="357">
        <f>IF(ISNA(Daily!F261),"",Daily!F261)</f>
        <v>1.0477248197026012</v>
      </c>
      <c r="DL22" s="357">
        <f>IF(ISNA(Daily!F292),"",Daily!F292)</f>
        <v>0.81861611624069419</v>
      </c>
      <c r="DM22" s="357" t="str">
        <f>IF(ISNA(Daily!F322),"",Daily!F322)</f>
        <v/>
      </c>
      <c r="DN22" s="357" t="str">
        <f>IF(ISNA(Daily!F353),"",Daily!F353)</f>
        <v/>
      </c>
      <c r="DO22" s="357" t="str">
        <f>IF(ISNA(Daily!F383),"",Daily!F383)</f>
        <v/>
      </c>
      <c r="DP22" s="357" t="str">
        <f>IF(ISNA(Daily!F414),"",Daily!F414)</f>
        <v/>
      </c>
      <c r="DQ22" s="357" t="str">
        <f>IF(ISNA(Daily!F445),"",Daily!F445)</f>
        <v/>
      </c>
      <c r="DR22" s="357" t="str">
        <f>IF(ISNA(Daily!F474),"",Daily!F474)</f>
        <v/>
      </c>
      <c r="DS22" s="357" t="str">
        <f>IF(ISNA(Daily!F504),"",Daily!F504)</f>
        <v/>
      </c>
      <c r="DT22" s="357" t="str">
        <f>IF(ISNA(Daily!F534),"",Daily!F534)</f>
        <v/>
      </c>
      <c r="DU22" s="357" t="str">
        <f>IF(ISNA(Daily!F565),"",Daily!F565)</f>
        <v/>
      </c>
      <c r="DV22" s="357" t="str">
        <f>IF(ISNA(Daily!F595),"",Daily!G595)</f>
        <v/>
      </c>
      <c r="DW22" s="349"/>
      <c r="DX22" s="356">
        <v>20</v>
      </c>
      <c r="DY22" s="357" t="str">
        <f>Daily!H48</f>
        <v/>
      </c>
      <c r="DZ22" s="357" t="str">
        <f>Daily!H79</f>
        <v/>
      </c>
      <c r="EA22" s="357" t="str">
        <f>Daily!H108</f>
        <v/>
      </c>
      <c r="EB22" s="357">
        <f>Daily!H139</f>
        <v>1.9330787500851034</v>
      </c>
      <c r="EC22" s="357">
        <f>Daily!H169</f>
        <v>1.9027694774570425</v>
      </c>
      <c r="ED22" s="357">
        <f>Daily!H200</f>
        <v>4.230144031312097</v>
      </c>
      <c r="EE22" s="357">
        <f>Daily!H230</f>
        <v>5.2894318135381022</v>
      </c>
      <c r="EF22" s="357">
        <f>Daily!H261</f>
        <v>4.4625184518229934</v>
      </c>
      <c r="EG22" s="357">
        <f>Daily!H292</f>
        <v>1.4478717838257564</v>
      </c>
      <c r="EH22" s="357" t="str">
        <f>Daily!H322</f>
        <v/>
      </c>
      <c r="EI22" s="357" t="str">
        <f>Daily!H353</f>
        <v/>
      </c>
      <c r="EJ22" s="357" t="str">
        <f>Daily!H383</f>
        <v/>
      </c>
      <c r="EK22" s="357" t="str">
        <f>Daily!H414</f>
        <v/>
      </c>
      <c r="EL22" s="357" t="str">
        <f>Daily!H445</f>
        <v/>
      </c>
      <c r="EM22" s="357" t="str">
        <f>Daily!H473</f>
        <v/>
      </c>
      <c r="EN22" s="357" t="str">
        <f>Daily!H504</f>
        <v/>
      </c>
      <c r="EO22" s="357" t="str">
        <f>Daily!H534</f>
        <v/>
      </c>
      <c r="EP22" s="357" t="str">
        <f>Daily!H565</f>
        <v/>
      </c>
      <c r="EQ22" s="357" t="str">
        <f>Daily!H595</f>
        <v/>
      </c>
      <c r="ER22" s="349"/>
      <c r="ES22" s="356">
        <v>20</v>
      </c>
      <c r="ET22" s="358" t="str">
        <f>IF(Daily!J48=0,"",Daily!J48)</f>
        <v/>
      </c>
      <c r="EU22" s="358" t="str">
        <f>IF(Daily!J79=0,"",Daily!J79)</f>
        <v/>
      </c>
      <c r="EV22" s="358" t="str">
        <f>IF(Daily!J108=0,"",Daily!J108)</f>
        <v/>
      </c>
      <c r="EW22" s="358">
        <f>IF(Daily!J139=0,"",Daily!J139)</f>
        <v>8.9041631003758503</v>
      </c>
      <c r="EX22" s="358">
        <f>IF(Daily!J169=0,"",Daily!J169)</f>
        <v>60.30327746188722</v>
      </c>
      <c r="EY22" s="358">
        <f>IF(Daily!J200=0,"",Daily!J200)</f>
        <v>168.6513557809179</v>
      </c>
      <c r="EZ22" s="358">
        <f>IF(Daily!J230=0,"",Daily!J230)</f>
        <v>312.3937481595006</v>
      </c>
      <c r="FA22" s="358">
        <f>IF(Daily!J261=0,"",Daily!J261)</f>
        <v>438.81242813832046</v>
      </c>
      <c r="FB22" s="358">
        <f>IF(Daily!J292=0,"",Daily!J292)</f>
        <v>517.93771467694876</v>
      </c>
      <c r="FC22" s="358" t="str">
        <f>IF(Daily!J322=0,"",Daily!J322)</f>
        <v/>
      </c>
      <c r="FD22" s="358" t="str">
        <f>IF(Daily!J353=0,"",Daily!J353)</f>
        <v/>
      </c>
      <c r="FE22" s="358" t="str">
        <f>IF(Daily!J383=0,"",Daily!J383)</f>
        <v/>
      </c>
      <c r="FF22" s="358" t="str">
        <f>IF(Daily!J414=0,"",Daily!J414)</f>
        <v/>
      </c>
      <c r="FG22" s="358" t="str">
        <f>IF(Daily!J445=0,"",Daily!J445)</f>
        <v/>
      </c>
      <c r="FH22" s="358" t="str">
        <f>IF(Daily!J473=0,"",Daily!J473)</f>
        <v/>
      </c>
      <c r="FI22" s="358" t="str">
        <f>IF(Daily!J504=0,"",Daily!J504)</f>
        <v/>
      </c>
      <c r="FJ22" s="358" t="str">
        <f>IF(Daily!J534=0,"",Daily!J534)</f>
        <v/>
      </c>
      <c r="FK22" s="358" t="str">
        <f>IF(Daily!J565=0,"",Daily!J565)</f>
        <v/>
      </c>
      <c r="FL22" s="358" t="str">
        <f>IF(Daily!J595=0,"",Daily!J595)</f>
        <v/>
      </c>
      <c r="FM22" s="349"/>
    </row>
    <row r="23" spans="1:169">
      <c r="A23" s="349"/>
      <c r="B23" s="356">
        <v>21</v>
      </c>
      <c r="C23" s="357" t="str">
        <f>Daily!D49</f>
        <v/>
      </c>
      <c r="D23" s="357" t="str">
        <f>Daily!D80</f>
        <v/>
      </c>
      <c r="E23" s="357" t="str">
        <f>Daily!D109</f>
        <v/>
      </c>
      <c r="F23" s="357">
        <f>Daily!D140</f>
        <v>0.76081040825379398</v>
      </c>
      <c r="G23" s="357">
        <f>Daily!D170</f>
        <v>0.53790179580368924</v>
      </c>
      <c r="H23" s="357">
        <f>Daily!D201</f>
        <v>0.21037385260207994</v>
      </c>
      <c r="I23" s="357">
        <f>Daily!D231</f>
        <v>0.30065886344530462</v>
      </c>
      <c r="J23" s="357">
        <f>Daily!D262</f>
        <v>0.18103643939801609</v>
      </c>
      <c r="K23" s="357">
        <f>Daily!D293</f>
        <v>0.62435826440451059</v>
      </c>
      <c r="L23" s="357" t="str">
        <f>Daily!D323</f>
        <v/>
      </c>
      <c r="M23" s="357" t="str">
        <f>Daily!D354</f>
        <v/>
      </c>
      <c r="N23" s="357" t="str">
        <f>Daily!D384</f>
        <v/>
      </c>
      <c r="O23" s="357" t="str">
        <f>Daily!D415</f>
        <v/>
      </c>
      <c r="P23" s="357" t="str">
        <f>Daily!D446</f>
        <v/>
      </c>
      <c r="Q23" s="357" t="str">
        <f>Daily!D474</f>
        <v/>
      </c>
      <c r="R23" s="357" t="str">
        <f>Daily!D505</f>
        <v/>
      </c>
      <c r="S23" s="357" t="str">
        <f>Daily!D535</f>
        <v/>
      </c>
      <c r="T23" s="357" t="str">
        <f>Daily!D566</f>
        <v/>
      </c>
      <c r="U23" s="357" t="str">
        <f>Daily!D596</f>
        <v/>
      </c>
      <c r="V23" s="349"/>
      <c r="W23" s="356">
        <v>21</v>
      </c>
      <c r="X23" s="357">
        <f>Daily!C49</f>
        <v>0.28864348777884957</v>
      </c>
      <c r="Y23" s="357">
        <f>Daily!C80</f>
        <v>0.52880251796818045</v>
      </c>
      <c r="Z23" s="357">
        <f>Daily!C109</f>
        <v>1.4014913229730439</v>
      </c>
      <c r="AA23" s="357">
        <f>Daily!C140</f>
        <v>2.5681773320425307</v>
      </c>
      <c r="AB23" s="357">
        <f>Daily!C170</f>
        <v>2.6663210175425371</v>
      </c>
      <c r="AC23" s="357">
        <f>Daily!C201</f>
        <v>4.815483037784154</v>
      </c>
      <c r="AD23" s="357">
        <f>Daily!C231</f>
        <v>4.3086235392401058</v>
      </c>
      <c r="AE23" s="357">
        <f>Daily!C262</f>
        <v>4.3146765128124835</v>
      </c>
      <c r="AF23" s="357">
        <f>Daily!C293</f>
        <v>1.7556894234257725</v>
      </c>
      <c r="AG23" s="357">
        <f>Daily!C323</f>
        <v>0.65869711822841781</v>
      </c>
      <c r="AH23" s="357">
        <f>Daily!C354</f>
        <v>0.35500467658846468</v>
      </c>
      <c r="AI23" s="357">
        <f>Daily!C384</f>
        <v>0.10353647024992368</v>
      </c>
      <c r="AJ23" s="357">
        <f>Daily!C415</f>
        <v>0.28864348777884957</v>
      </c>
      <c r="AK23" s="357">
        <f>Daily!C446</f>
        <v>0.52880251796818045</v>
      </c>
      <c r="AL23" s="357">
        <f>Daily!C474</f>
        <v>0.47253029285191905</v>
      </c>
      <c r="AM23" s="357">
        <f>Daily!C505</f>
        <v>2.3856445539884792</v>
      </c>
      <c r="AN23" s="357">
        <f>Daily!C535</f>
        <v>2.3149334984040815</v>
      </c>
      <c r="AO23" s="357">
        <f>Daily!C566</f>
        <v>4.2189462561948528</v>
      </c>
      <c r="AP23" s="357">
        <f>Daily!C596</f>
        <v>5.0131309788816969</v>
      </c>
      <c r="AQ23" s="349"/>
      <c r="AR23" s="356">
        <v>21</v>
      </c>
      <c r="AS23" s="357" t="str">
        <f>IF(ISNA(Daily!E49),"",Daily!E49)</f>
        <v/>
      </c>
      <c r="AT23" s="357" t="str">
        <f>IF(ISNA(Daily!E80),"",Daily!E80)</f>
        <v/>
      </c>
      <c r="AU23" s="357" t="str">
        <f>IF(ISNA(Daily!E109),"",Daily!E109)</f>
        <v/>
      </c>
      <c r="AV23" s="357">
        <f>IF(ISNA(Daily!E140),"",Daily!E140)</f>
        <v>0.76081040825379398</v>
      </c>
      <c r="AW23" s="357">
        <f>IF(ISNA(Daily!E170),"",Daily!E170)</f>
        <v>0.53790179580368924</v>
      </c>
      <c r="AX23" s="357">
        <f>IF(ISNA(Daily!E201),"",Daily!E201)</f>
        <v>1.2</v>
      </c>
      <c r="AY23" s="357">
        <f>IF(ISNA(Daily!E231),"",Daily!E231)</f>
        <v>1.0500000000000007</v>
      </c>
      <c r="AZ23" s="357">
        <f>IF(ISNA(Daily!E262),"",Daily!E262)</f>
        <v>1.0285714285714294</v>
      </c>
      <c r="BA23" s="357">
        <f>IF(ISNA(Daily!E293),"",Daily!E293)</f>
        <v>0.6964285714285734</v>
      </c>
      <c r="BB23" s="357" t="str">
        <f>IF(ISNA(Daily!E323),"",Daily!E323)</f>
        <v/>
      </c>
      <c r="BC23" s="357" t="str">
        <f>IF(ISNA(Daily!E354),"",Daily!E354)</f>
        <v/>
      </c>
      <c r="BD23" s="357" t="str">
        <f>IF(ISNA(Daily!E384),"",Daily!E384)</f>
        <v/>
      </c>
      <c r="BE23" s="357" t="str">
        <f>IF(ISNA(Daily!E415),"",Daily!E415)</f>
        <v/>
      </c>
      <c r="BF23" s="357" t="str">
        <f>IF(ISNA(Daily!E446),"",Daily!E446)</f>
        <v/>
      </c>
      <c r="BG23" s="357" t="str">
        <f>IF(ISNA(Daily!E474),"",Daily!E474)</f>
        <v/>
      </c>
      <c r="BH23" s="357" t="str">
        <f>IF(ISNA(Daily!E505),"",Daily!E505)</f>
        <v/>
      </c>
      <c r="BI23" s="357" t="str">
        <f>IF(ISNA(Daily!E535),"",Daily!E535)</f>
        <v/>
      </c>
      <c r="BJ23" s="357" t="str">
        <f>IF(ISNA(Daily!E566),"",Daily!E566)</f>
        <v/>
      </c>
      <c r="BK23" s="357" t="str">
        <f>IF(ISNA(Daily!E596),"",Daily!E596)</f>
        <v/>
      </c>
      <c r="BL23" s="349"/>
      <c r="BM23" s="356">
        <v>21</v>
      </c>
      <c r="BN23" s="357" t="str">
        <f>Daily!G49</f>
        <v/>
      </c>
      <c r="BO23" s="357" t="str">
        <f>Daily!G80</f>
        <v/>
      </c>
      <c r="BP23" s="357" t="str">
        <f>Daily!G109</f>
        <v/>
      </c>
      <c r="BQ23" s="357">
        <f>Daily!G140</f>
        <v>1.9538960444594173</v>
      </c>
      <c r="BR23" s="357">
        <f>Daily!G170</f>
        <v>1.4342188635252506</v>
      </c>
      <c r="BS23" s="357">
        <f>Daily!G201</f>
        <v>5.7785796453409848</v>
      </c>
      <c r="BT23" s="357">
        <f>Daily!G231</f>
        <v>4.5240547162021141</v>
      </c>
      <c r="BU23" s="357">
        <f>Daily!G262</f>
        <v>4.4379529846071293</v>
      </c>
      <c r="BV23" s="357">
        <f>Daily!G293</f>
        <v>1.2227122770286665</v>
      </c>
      <c r="BW23" s="357" t="str">
        <f>Daily!G323</f>
        <v/>
      </c>
      <c r="BX23" s="357" t="str">
        <f>Daily!G354</f>
        <v/>
      </c>
      <c r="BY23" s="357" t="str">
        <f>Daily!G384</f>
        <v/>
      </c>
      <c r="BZ23" s="357" t="str">
        <f>Daily!G415</f>
        <v/>
      </c>
      <c r="CA23" s="357" t="str">
        <f>Daily!G446</f>
        <v/>
      </c>
      <c r="CB23" s="357" t="str">
        <f>Daily!G474</f>
        <v/>
      </c>
      <c r="CC23" s="357" t="str">
        <f>Daily!G505</f>
        <v/>
      </c>
      <c r="CD23" s="357" t="str">
        <f>Daily!G535</f>
        <v/>
      </c>
      <c r="CE23" s="357" t="str">
        <f>Daily!G566</f>
        <v/>
      </c>
      <c r="CF23" s="357" t="str">
        <f>Daily!G596</f>
        <v/>
      </c>
      <c r="CG23" s="349"/>
      <c r="CH23" s="356">
        <v>21</v>
      </c>
      <c r="CI23" s="358" t="str">
        <f>IF(Daily!I49=0,"",Daily!I49)</f>
        <v/>
      </c>
      <c r="CJ23" s="358" t="str">
        <f>IF(Daily!I80=0,"",Daily!I80)</f>
        <v/>
      </c>
      <c r="CK23" s="358" t="str">
        <f>IF(Daily!I109=0,"",Daily!I109)</f>
        <v/>
      </c>
      <c r="CL23" s="358">
        <f>IF(Daily!I140=0,"",Daily!I140)</f>
        <v>13.924308124511754</v>
      </c>
      <c r="CM23" s="358" t="str">
        <f>IF(Daily!I1520=0,"",Daily!I170)</f>
        <v/>
      </c>
      <c r="CN23" s="358">
        <f>IF(Daily!I201=0,"",Daily!I201)</f>
        <v>136.21883594452899</v>
      </c>
      <c r="CO23" s="358">
        <f>IF(Daily!I231=0,"",Daily!I231)</f>
        <v>277.65342169465504</v>
      </c>
      <c r="CP23" s="358">
        <f>IF(Daily!I262=0,"",Daily!I262)</f>
        <v>403.97193955948489</v>
      </c>
      <c r="CQ23" s="358">
        <f>IF(Daily!I293=0,"",Daily!I293)</f>
        <v>482.44170822177296</v>
      </c>
      <c r="CR23" s="358" t="str">
        <f>IF(Daily!I323=0,"",Daily!I323)</f>
        <v/>
      </c>
      <c r="CS23" s="358" t="str">
        <f>IF(Daily!I354=0,"",Daily!I354)</f>
        <v/>
      </c>
      <c r="CT23" s="358" t="str">
        <f>IF(Daily!I384=0,"",Daily!I384)</f>
        <v/>
      </c>
      <c r="CU23" s="358" t="str">
        <f>IF(Daily!I415=0,"",Daily!I415)</f>
        <v/>
      </c>
      <c r="CV23" s="358" t="str">
        <f>IF(Daily!I446=0,"",Daily!I446)</f>
        <v/>
      </c>
      <c r="CW23" s="358" t="str">
        <f>IF(Daily!I474=0,"",Daily!I474)</f>
        <v/>
      </c>
      <c r="CX23" s="358" t="str">
        <f>IF(Daily!I505=0,"",Daily!I505)</f>
        <v/>
      </c>
      <c r="CY23" s="358" t="str">
        <f>IF(Daily!I535=0,"",Daily!I535)</f>
        <v/>
      </c>
      <c r="CZ23" s="358" t="str">
        <f>IF(Daily!I566=0,"",Daily!I566)</f>
        <v/>
      </c>
      <c r="DA23" s="358" t="str">
        <f>IF(Daily!I596=0,"",Daily!I596)</f>
        <v/>
      </c>
      <c r="DB23" s="349"/>
      <c r="DC23" s="356">
        <v>21</v>
      </c>
      <c r="DD23" s="357" t="str">
        <f>IF(ISNA(Daily!F49),"",Daily!F49)</f>
        <v/>
      </c>
      <c r="DE23" s="357" t="str">
        <f>IF(ISNA(Daily!F80),"",Daily!F80)</f>
        <v/>
      </c>
      <c r="DF23" s="357" t="str">
        <f>IF(ISNA(Daily!F109),"",Daily!F109)</f>
        <v/>
      </c>
      <c r="DG23" s="357">
        <f>IF(ISNA(Daily!F140),"",Daily!F140)</f>
        <v>0.8102962140161466</v>
      </c>
      <c r="DH23" s="357">
        <f>IF(ISNA(Daily!F170),"",Daily!F170)</f>
        <v>0.82778330037499925</v>
      </c>
      <c r="DI23" s="357">
        <f>IF(ISNA(Daily!F201),"",Daily!F201)</f>
        <v>1.0084831927498099</v>
      </c>
      <c r="DJ23" s="357">
        <f>IF(ISNA(Daily!F231),"",Daily!F231)</f>
        <v>1.0551154230400821</v>
      </c>
      <c r="DK23" s="357">
        <f>IF(ISNA(Daily!F262),"",Daily!F262)</f>
        <v>1.0403342163651204</v>
      </c>
      <c r="DL23" s="357">
        <f>IF(ISNA(Daily!F293),"",Daily!F293)</f>
        <v>0.81122551290321332</v>
      </c>
      <c r="DM23" s="357" t="str">
        <f>IF(ISNA(Daily!F323),"",Daily!F323)</f>
        <v/>
      </c>
      <c r="DN23" s="357" t="str">
        <f>IF(ISNA(Daily!F354),"",Daily!F354)</f>
        <v/>
      </c>
      <c r="DO23" s="357" t="str">
        <f>IF(ISNA(Daily!F384),"",Daily!F384)</f>
        <v/>
      </c>
      <c r="DP23" s="357" t="str">
        <f>IF(ISNA(Daily!F415),"",Daily!F415)</f>
        <v/>
      </c>
      <c r="DQ23" s="357" t="str">
        <f>IF(ISNA(Daily!F446),"",Daily!F446)</f>
        <v/>
      </c>
      <c r="DR23" s="357" t="str">
        <f>IF(ISNA(Daily!F475),"",Daily!F475)</f>
        <v/>
      </c>
      <c r="DS23" s="357" t="str">
        <f>IF(ISNA(Daily!F505),"",Daily!F505)</f>
        <v/>
      </c>
      <c r="DT23" s="357" t="str">
        <f>IF(ISNA(Daily!F535),"",Daily!F535)</f>
        <v/>
      </c>
      <c r="DU23" s="357" t="str">
        <f>IF(ISNA(Daily!F566),"",Daily!F566)</f>
        <v/>
      </c>
      <c r="DV23" s="357" t="str">
        <f>IF(ISNA(Daily!F596),"",Daily!G596)</f>
        <v/>
      </c>
      <c r="DW23" s="349"/>
      <c r="DX23" s="356">
        <v>21</v>
      </c>
      <c r="DY23" s="357" t="str">
        <f>Daily!H49</f>
        <v/>
      </c>
      <c r="DZ23" s="357" t="str">
        <f>Daily!H80</f>
        <v/>
      </c>
      <c r="EA23" s="357" t="str">
        <f>Daily!H109</f>
        <v/>
      </c>
      <c r="EB23" s="357">
        <f>Daily!H140</f>
        <v>2.0809843690761509</v>
      </c>
      <c r="EC23" s="357">
        <f>Daily!H170</f>
        <v>2.2071360117605878</v>
      </c>
      <c r="ED23" s="357">
        <f>Daily!H201</f>
        <v>4.8563337085771172</v>
      </c>
      <c r="EE23" s="357">
        <f>Daily!H231</f>
        <v>4.5460951483257803</v>
      </c>
      <c r="EF23" s="357">
        <f>Daily!H262</f>
        <v>4.4887056088257653</v>
      </c>
      <c r="EG23" s="357">
        <f>Daily!H293</f>
        <v>1.4242600530173191</v>
      </c>
      <c r="EH23" s="357" t="str">
        <f>Daily!H323</f>
        <v/>
      </c>
      <c r="EI23" s="357" t="str">
        <f>Daily!H354</f>
        <v/>
      </c>
      <c r="EJ23" s="357" t="str">
        <f>Daily!H384</f>
        <v/>
      </c>
      <c r="EK23" s="357" t="str">
        <f>Daily!H415</f>
        <v/>
      </c>
      <c r="EL23" s="357" t="str">
        <f>Daily!H446</f>
        <v/>
      </c>
      <c r="EM23" s="357" t="str">
        <f>Daily!H474</f>
        <v/>
      </c>
      <c r="EN23" s="357" t="str">
        <f>Daily!H505</f>
        <v/>
      </c>
      <c r="EO23" s="357" t="str">
        <f>Daily!H535</f>
        <v/>
      </c>
      <c r="EP23" s="357" t="str">
        <f>Daily!H566</f>
        <v/>
      </c>
      <c r="EQ23" s="357" t="str">
        <f>Daily!H596</f>
        <v/>
      </c>
      <c r="ER23" s="349"/>
      <c r="ES23" s="356">
        <v>21</v>
      </c>
      <c r="ET23" s="358" t="str">
        <f>IF(Daily!J49=0,"",Daily!J49)</f>
        <v/>
      </c>
      <c r="EU23" s="358" t="str">
        <f>IF(Daily!J80=0,"",Daily!J80)</f>
        <v/>
      </c>
      <c r="EV23" s="358" t="str">
        <f>IF(Daily!J109=0,"",Daily!J109)</f>
        <v/>
      </c>
      <c r="EW23" s="358">
        <f>IF(Daily!J140=0,"",Daily!J140)</f>
        <v>10.985147469452002</v>
      </c>
      <c r="EX23" s="358">
        <f>IF(Daily!J170=0,"",Daily!J170)</f>
        <v>62.510413473647809</v>
      </c>
      <c r="EY23" s="358">
        <f>IF(Daily!J201=0,"",Daily!J201)</f>
        <v>173.50768948949502</v>
      </c>
      <c r="EZ23" s="358">
        <f>IF(Daily!J231=0,"",Daily!J231)</f>
        <v>316.93984330782638</v>
      </c>
      <c r="FA23" s="358">
        <f>IF(Daily!J262=0,"",Daily!J262)</f>
        <v>443.3011337471462</v>
      </c>
      <c r="FB23" s="358">
        <f>IF(Daily!J293=0,"",Daily!J293)</f>
        <v>519.36197472996605</v>
      </c>
      <c r="FC23" s="358" t="str">
        <f>IF(Daily!J323=0,"",Daily!J323)</f>
        <v/>
      </c>
      <c r="FD23" s="358" t="str">
        <f>IF(Daily!J354=0,"",Daily!J354)</f>
        <v/>
      </c>
      <c r="FE23" s="358" t="str">
        <f>IF(Daily!J384=0,"",Daily!J384)</f>
        <v/>
      </c>
      <c r="FF23" s="358" t="str">
        <f>IF(Daily!J415=0,"",Daily!J415)</f>
        <v/>
      </c>
      <c r="FG23" s="358" t="str">
        <f>IF(Daily!J446=0,"",Daily!J446)</f>
        <v/>
      </c>
      <c r="FH23" s="358" t="str">
        <f>IF(Daily!J474=0,"",Daily!J474)</f>
        <v/>
      </c>
      <c r="FI23" s="358" t="str">
        <f>IF(Daily!J505=0,"",Daily!J505)</f>
        <v/>
      </c>
      <c r="FJ23" s="358" t="str">
        <f>IF(Daily!J535=0,"",Daily!J535)</f>
        <v/>
      </c>
      <c r="FK23" s="358" t="str">
        <f>IF(Daily!J566=0,"",Daily!J566)</f>
        <v/>
      </c>
      <c r="FL23" s="358" t="str">
        <f>IF(Daily!J596=0,"",Daily!J596)</f>
        <v/>
      </c>
      <c r="FM23" s="349"/>
    </row>
    <row r="24" spans="1:169">
      <c r="A24" s="349"/>
      <c r="B24" s="356">
        <v>22</v>
      </c>
      <c r="C24" s="357" t="str">
        <f>Daily!D50</f>
        <v/>
      </c>
      <c r="D24" s="357" t="str">
        <f>Daily!D81</f>
        <v/>
      </c>
      <c r="E24" s="357" t="str">
        <f>Daily!D110</f>
        <v/>
      </c>
      <c r="F24" s="357">
        <f>Daily!D141</f>
        <v>0.68519023934204704</v>
      </c>
      <c r="G24" s="357">
        <f>Daily!D171</f>
        <v>0.51535634623545856</v>
      </c>
      <c r="H24" s="357">
        <f>Daily!D202</f>
        <v>0.20652923018687364</v>
      </c>
      <c r="I24" s="357">
        <f>Daily!D232</f>
        <v>0.29239715402664801</v>
      </c>
      <c r="J24" s="357">
        <f>Daily!D263</f>
        <v>0.17916069869000215</v>
      </c>
      <c r="K24" s="357">
        <f>Daily!D294</f>
        <v>0.59798060965479261</v>
      </c>
      <c r="L24" s="357" t="str">
        <f>Daily!D324</f>
        <v/>
      </c>
      <c r="M24" s="357" t="str">
        <f>Daily!D355</f>
        <v/>
      </c>
      <c r="N24" s="357" t="str">
        <f>Daily!D385</f>
        <v/>
      </c>
      <c r="O24" s="357" t="str">
        <f>Daily!D416</f>
        <v/>
      </c>
      <c r="P24" s="357" t="str">
        <f>Daily!D447</f>
        <v/>
      </c>
      <c r="Q24" s="357" t="str">
        <f>Daily!D475</f>
        <v/>
      </c>
      <c r="R24" s="357" t="str">
        <f>Daily!D506</f>
        <v/>
      </c>
      <c r="S24" s="357" t="str">
        <f>Daily!D536</f>
        <v/>
      </c>
      <c r="T24" s="357" t="str">
        <f>Daily!D567</f>
        <v/>
      </c>
      <c r="U24" s="357" t="str">
        <f>Daily!D597</f>
        <v/>
      </c>
      <c r="V24" s="349"/>
      <c r="W24" s="356">
        <v>22</v>
      </c>
      <c r="X24" s="357">
        <f>Daily!C50</f>
        <v>0.24714464880057616</v>
      </c>
      <c r="Y24" s="357">
        <f>Daily!C81</f>
        <v>0.35968353967974764</v>
      </c>
      <c r="Z24" s="357">
        <f>Daily!C110</f>
        <v>1.8243026445582893</v>
      </c>
      <c r="AA24" s="357">
        <f>Daily!C141</f>
        <v>2.6660228759485736</v>
      </c>
      <c r="AB24" s="357">
        <f>Daily!C171</f>
        <v>2.0078951527307867</v>
      </c>
      <c r="AC24" s="357">
        <f>Daily!C202</f>
        <v>5.2090818304770883</v>
      </c>
      <c r="AD24" s="357">
        <f>Daily!C232</f>
        <v>3.9753833592271319</v>
      </c>
      <c r="AE24" s="357">
        <f>Daily!C263</f>
        <v>3.9046189691941287</v>
      </c>
      <c r="AF24" s="357">
        <f>Daily!C294</f>
        <v>1.5169243163561759</v>
      </c>
      <c r="AG24" s="357">
        <f>Daily!C324</f>
        <v>0.17202542745231658</v>
      </c>
      <c r="AH24" s="357">
        <f>Daily!C355</f>
        <v>0.385946676829446</v>
      </c>
      <c r="AI24" s="357">
        <f>Daily!C385</f>
        <v>0.17521718328015756</v>
      </c>
      <c r="AJ24" s="357">
        <f>Daily!C416</f>
        <v>0.24714464880057616</v>
      </c>
      <c r="AK24" s="357">
        <f>Daily!C447</f>
        <v>0.35968353967974764</v>
      </c>
      <c r="AL24" s="357">
        <f>Daily!C475</f>
        <v>1.4014913229730439</v>
      </c>
      <c r="AM24" s="357">
        <f>Daily!C506</f>
        <v>2.5681773320425307</v>
      </c>
      <c r="AN24" s="357">
        <f>Daily!C536</f>
        <v>2.6663210175425371</v>
      </c>
      <c r="AO24" s="357">
        <f>Daily!C567</f>
        <v>4.815483037784154</v>
      </c>
      <c r="AP24" s="357">
        <f>Daily!C597</f>
        <v>4.3086235392401058</v>
      </c>
      <c r="AQ24" s="349"/>
      <c r="AR24" s="356">
        <v>22</v>
      </c>
      <c r="AS24" s="357" t="str">
        <f>IF(ISNA(Daily!E50),"",Daily!E50)</f>
        <v/>
      </c>
      <c r="AT24" s="357" t="str">
        <f>IF(ISNA(Daily!E81),"",Daily!E81)</f>
        <v/>
      </c>
      <c r="AU24" s="357" t="str">
        <f>IF(ISNA(Daily!E110),"",Daily!E110)</f>
        <v/>
      </c>
      <c r="AV24" s="357">
        <f>IF(ISNA(Daily!E141),"",Daily!E141)</f>
        <v>0.68519023934204704</v>
      </c>
      <c r="AW24" s="357">
        <f>IF(ISNA(Daily!E171),"",Daily!E171)</f>
        <v>0.51535634623545856</v>
      </c>
      <c r="AX24" s="357">
        <f>IF(ISNA(Daily!E202),"",Daily!E202)</f>
        <v>0.90833333333333399</v>
      </c>
      <c r="AY24" s="357">
        <f>IF(ISNA(Daily!E232),"",Daily!E232)</f>
        <v>1.0500000000000007</v>
      </c>
      <c r="AZ24" s="357">
        <f>IF(ISNA(Daily!E263),"",Daily!E263)</f>
        <v>1.0178571428571437</v>
      </c>
      <c r="BA24" s="357">
        <f>IF(ISNA(Daily!E294),"",Daily!E294)</f>
        <v>0.68571428571428772</v>
      </c>
      <c r="BB24" s="357" t="str">
        <f>IF(ISNA(Daily!E324),"",Daily!E324)</f>
        <v/>
      </c>
      <c r="BC24" s="357" t="str">
        <f>IF(ISNA(Daily!E355),"",Daily!E355)</f>
        <v/>
      </c>
      <c r="BD24" s="357" t="str">
        <f>IF(ISNA(Daily!E385),"",Daily!E385)</f>
        <v/>
      </c>
      <c r="BE24" s="357" t="str">
        <f>IF(ISNA(Daily!E416),"",Daily!E416)</f>
        <v/>
      </c>
      <c r="BF24" s="357" t="str">
        <f>IF(ISNA(Daily!E447),"",Daily!E447)</f>
        <v/>
      </c>
      <c r="BG24" s="357" t="str">
        <f>IF(ISNA(Daily!E475),"",Daily!E475)</f>
        <v/>
      </c>
      <c r="BH24" s="357" t="str">
        <f>IF(ISNA(Daily!E506),"",Daily!E506)</f>
        <v/>
      </c>
      <c r="BI24" s="357" t="str">
        <f>IF(ISNA(Daily!E536),"",Daily!E536)</f>
        <v/>
      </c>
      <c r="BJ24" s="357" t="str">
        <f>IF(ISNA(Daily!E567),"",Daily!E567)</f>
        <v/>
      </c>
      <c r="BK24" s="357" t="str">
        <f>IF(ISNA(Daily!E597),"",Daily!E597)</f>
        <v/>
      </c>
      <c r="BL24" s="349"/>
      <c r="BM24" s="356">
        <v>22</v>
      </c>
      <c r="BN24" s="357" t="str">
        <f>Daily!G50</f>
        <v/>
      </c>
      <c r="BO24" s="357" t="str">
        <f>Daily!G81</f>
        <v/>
      </c>
      <c r="BP24" s="357" t="str">
        <f>Daily!G110</f>
        <v/>
      </c>
      <c r="BQ24" s="357">
        <f>Daily!G141</f>
        <v>1.8267328524625757</v>
      </c>
      <c r="BR24" s="357">
        <f>Daily!G171</f>
        <v>1.0347815095352262</v>
      </c>
      <c r="BS24" s="357">
        <f>Daily!G202</f>
        <v>4.7315826626833584</v>
      </c>
      <c r="BT24" s="357">
        <f>Daily!G232</f>
        <v>4.1741525271884914</v>
      </c>
      <c r="BU24" s="357">
        <f>Daily!G263</f>
        <v>3.9743443079297411</v>
      </c>
      <c r="BV24" s="357">
        <f>Daily!G294</f>
        <v>1.0401766740728093</v>
      </c>
      <c r="BW24" s="357" t="str">
        <f>Daily!G324</f>
        <v/>
      </c>
      <c r="BX24" s="357" t="str">
        <f>Daily!G355</f>
        <v/>
      </c>
      <c r="BY24" s="357" t="str">
        <f>Daily!G385</f>
        <v/>
      </c>
      <c r="BZ24" s="357" t="str">
        <f>Daily!G416</f>
        <v/>
      </c>
      <c r="CA24" s="357" t="str">
        <f>Daily!G447</f>
        <v/>
      </c>
      <c r="CB24" s="357" t="str">
        <f>Daily!G475</f>
        <v/>
      </c>
      <c r="CC24" s="357" t="str">
        <f>Daily!G506</f>
        <v/>
      </c>
      <c r="CD24" s="357" t="str">
        <f>Daily!G536</f>
        <v/>
      </c>
      <c r="CE24" s="357" t="str">
        <f>Daily!G567</f>
        <v/>
      </c>
      <c r="CF24" s="357" t="str">
        <f>Daily!G597</f>
        <v/>
      </c>
      <c r="CG24" s="349"/>
      <c r="CH24" s="356">
        <v>22</v>
      </c>
      <c r="CI24" s="358" t="str">
        <f>IF(Daily!I50=0,"",Daily!I50)</f>
        <v/>
      </c>
      <c r="CJ24" s="358" t="str">
        <f>IF(Daily!I81=0,"",Daily!I81)</f>
        <v/>
      </c>
      <c r="CK24" s="358" t="str">
        <f>IF(Daily!I110=0,"",Daily!I110)</f>
        <v/>
      </c>
      <c r="CL24" s="358">
        <f>IF(Daily!I141=0,"",Daily!I141)</f>
        <v>15.751040976974329</v>
      </c>
      <c r="CM24" s="358" t="str">
        <f>IF(Daily!I1521=0,"",Daily!I171)</f>
        <v/>
      </c>
      <c r="CN24" s="358">
        <f>IF(Daily!I202=0,"",Daily!I202)</f>
        <v>140.95041860721236</v>
      </c>
      <c r="CO24" s="358">
        <f>IF(Daily!I232=0,"",Daily!I232)</f>
        <v>281.82757422184352</v>
      </c>
      <c r="CP24" s="358">
        <f>IF(Daily!I263=0,"",Daily!I263)</f>
        <v>407.94628386741465</v>
      </c>
      <c r="CQ24" s="358">
        <f>IF(Daily!I294=0,"",Daily!I294)</f>
        <v>483.48188489584578</v>
      </c>
      <c r="CR24" s="358" t="str">
        <f>IF(Daily!I324=0,"",Daily!I324)</f>
        <v/>
      </c>
      <c r="CS24" s="358" t="str">
        <f>IF(Daily!I355=0,"",Daily!I355)</f>
        <v/>
      </c>
      <c r="CT24" s="358" t="str">
        <f>IF(Daily!I385=0,"",Daily!I385)</f>
        <v/>
      </c>
      <c r="CU24" s="358" t="str">
        <f>IF(Daily!I416=0,"",Daily!I416)</f>
        <v/>
      </c>
      <c r="CV24" s="358" t="str">
        <f>IF(Daily!I447=0,"",Daily!I447)</f>
        <v/>
      </c>
      <c r="CW24" s="358" t="str">
        <f>IF(Daily!I475=0,"",Daily!I475)</f>
        <v/>
      </c>
      <c r="CX24" s="358" t="str">
        <f>IF(Daily!I506=0,"",Daily!I506)</f>
        <v/>
      </c>
      <c r="CY24" s="358" t="str">
        <f>IF(Daily!I536=0,"",Daily!I536)</f>
        <v/>
      </c>
      <c r="CZ24" s="358" t="str">
        <f>IF(Daily!I567=0,"",Daily!I567)</f>
        <v/>
      </c>
      <c r="DA24" s="358" t="str">
        <f>IF(Daily!I597=0,"",Daily!I597)</f>
        <v/>
      </c>
      <c r="DB24" s="349"/>
      <c r="DC24" s="356">
        <v>22</v>
      </c>
      <c r="DD24" s="357" t="str">
        <f>IF(ISNA(Daily!F50),"",Daily!F50)</f>
        <v/>
      </c>
      <c r="DE24" s="357" t="str">
        <f>IF(ISNA(Daily!F81),"",Daily!F81)</f>
        <v/>
      </c>
      <c r="DF24" s="357" t="str">
        <f>IF(ISNA(Daily!F110),"",Daily!F110)</f>
        <v/>
      </c>
      <c r="DG24" s="357">
        <f>IF(ISNA(Daily!F141),"",Daily!F141)</f>
        <v>0.8102962140161466</v>
      </c>
      <c r="DH24" s="357">
        <f>IF(ISNA(Daily!F171),"",Daily!F171)</f>
        <v>0.83361232916128347</v>
      </c>
      <c r="DI24" s="357">
        <f>IF(ISNA(Daily!F202),"",Daily!F202)</f>
        <v>1.014312221536094</v>
      </c>
      <c r="DJ24" s="357">
        <f>IF(ISNA(Daily!F232),"",Daily!F232)</f>
        <v>1.0551154230400821</v>
      </c>
      <c r="DK24" s="357">
        <f>IF(ISNA(Daily!F263),"",Daily!F263)</f>
        <v>1.0329436130276395</v>
      </c>
      <c r="DL24" s="357">
        <f>IF(ISNA(Daily!F294),"",Daily!F294)</f>
        <v>0.80383490956573245</v>
      </c>
      <c r="DM24" s="357" t="str">
        <f>IF(ISNA(Daily!F324),"",Daily!F324)</f>
        <v/>
      </c>
      <c r="DN24" s="357" t="str">
        <f>IF(ISNA(Daily!F355),"",Daily!F355)</f>
        <v/>
      </c>
      <c r="DO24" s="357" t="str">
        <f>IF(ISNA(Daily!F385),"",Daily!F385)</f>
        <v/>
      </c>
      <c r="DP24" s="357" t="str">
        <f>IF(ISNA(Daily!F416),"",Daily!F416)</f>
        <v/>
      </c>
      <c r="DQ24" s="357" t="str">
        <f>IF(ISNA(Daily!F447),"",Daily!F447)</f>
        <v/>
      </c>
      <c r="DR24" s="357" t="str">
        <f>IF(ISNA(Daily!F476),"",Daily!F476)</f>
        <v/>
      </c>
      <c r="DS24" s="357" t="str">
        <f>IF(ISNA(Daily!F506),"",Daily!F506)</f>
        <v/>
      </c>
      <c r="DT24" s="357" t="str">
        <f>IF(ISNA(Daily!F536),"",Daily!F536)</f>
        <v/>
      </c>
      <c r="DU24" s="357" t="str">
        <f>IF(ISNA(Daily!F567),"",Daily!F567)</f>
        <v/>
      </c>
      <c r="DV24" s="357" t="str">
        <f>IF(ISNA(Daily!F597),"",Daily!G597)</f>
        <v/>
      </c>
      <c r="DW24" s="349"/>
      <c r="DX24" s="356">
        <v>22</v>
      </c>
      <c r="DY24" s="357" t="str">
        <f>Daily!H50</f>
        <v/>
      </c>
      <c r="DZ24" s="357" t="str">
        <f>Daily!H81</f>
        <v/>
      </c>
      <c r="EA24" s="357" t="str">
        <f>Daily!H110</f>
        <v/>
      </c>
      <c r="EB24" s="357">
        <f>Daily!H141</f>
        <v>2.160268242861568</v>
      </c>
      <c r="EC24" s="357">
        <f>Daily!H171</f>
        <v>1.673806154979562</v>
      </c>
      <c r="ED24" s="357">
        <f>Daily!H202</f>
        <v>5.2836353636345184</v>
      </c>
      <c r="EE24" s="357">
        <f>Daily!H232</f>
        <v>4.1944882948174378</v>
      </c>
      <c r="EF24" s="357">
        <f>Daily!H263</f>
        <v>4.0332512255356407</v>
      </c>
      <c r="EG24" s="357">
        <f>Daily!H294</f>
        <v>1.2193567206562272</v>
      </c>
      <c r="EH24" s="357" t="str">
        <f>Daily!H324</f>
        <v/>
      </c>
      <c r="EI24" s="357" t="str">
        <f>Daily!H355</f>
        <v/>
      </c>
      <c r="EJ24" s="357" t="str">
        <f>Daily!H385</f>
        <v/>
      </c>
      <c r="EK24" s="357" t="str">
        <f>Daily!H416</f>
        <v/>
      </c>
      <c r="EL24" s="357" t="str">
        <f>Daily!H447</f>
        <v/>
      </c>
      <c r="EM24" s="357" t="str">
        <f>Daily!H475</f>
        <v/>
      </c>
      <c r="EN24" s="357" t="str">
        <f>Daily!H506</f>
        <v/>
      </c>
      <c r="EO24" s="357" t="str">
        <f>Daily!H536</f>
        <v/>
      </c>
      <c r="EP24" s="357" t="str">
        <f>Daily!H567</f>
        <v/>
      </c>
      <c r="EQ24" s="357" t="str">
        <f>Daily!H597</f>
        <v/>
      </c>
      <c r="ER24" s="349"/>
      <c r="ES24" s="356">
        <v>22</v>
      </c>
      <c r="ET24" s="358" t="str">
        <f>IF(Daily!J50=0,"",Daily!J50)</f>
        <v/>
      </c>
      <c r="EU24" s="358" t="str">
        <f>IF(Daily!J81=0,"",Daily!J81)</f>
        <v/>
      </c>
      <c r="EV24" s="358" t="str">
        <f>IF(Daily!J110=0,"",Daily!J110)</f>
        <v/>
      </c>
      <c r="EW24" s="358">
        <f>IF(Daily!J141=0,"",Daily!J141)</f>
        <v>13.14541571231357</v>
      </c>
      <c r="EX24" s="358">
        <f>IF(Daily!J171=0,"",Daily!J171)</f>
        <v>64.184219628627375</v>
      </c>
      <c r="EY24" s="358">
        <f>IF(Daily!J202=0,"",Daily!J202)</f>
        <v>178.79132485312954</v>
      </c>
      <c r="EZ24" s="358">
        <f>IF(Daily!J232=0,"",Daily!J232)</f>
        <v>321.13433160264384</v>
      </c>
      <c r="FA24" s="358">
        <f>IF(Daily!J263=0,"",Daily!J263)</f>
        <v>447.33438497268185</v>
      </c>
      <c r="FB24" s="358">
        <f>IF(Daily!J294=0,"",Daily!J294)</f>
        <v>520.58133145062232</v>
      </c>
      <c r="FC24" s="358" t="str">
        <f>IF(Daily!J324=0,"",Daily!J324)</f>
        <v/>
      </c>
      <c r="FD24" s="358" t="str">
        <f>IF(Daily!J355=0,"",Daily!J355)</f>
        <v/>
      </c>
      <c r="FE24" s="358" t="str">
        <f>IF(Daily!J385=0,"",Daily!J385)</f>
        <v/>
      </c>
      <c r="FF24" s="358" t="str">
        <f>IF(Daily!J416=0,"",Daily!J416)</f>
        <v/>
      </c>
      <c r="FG24" s="358" t="str">
        <f>IF(Daily!J447=0,"",Daily!J447)</f>
        <v/>
      </c>
      <c r="FH24" s="358" t="str">
        <f>IF(Daily!J475=0,"",Daily!J475)</f>
        <v/>
      </c>
      <c r="FI24" s="358" t="str">
        <f>IF(Daily!J506=0,"",Daily!J506)</f>
        <v/>
      </c>
      <c r="FJ24" s="358" t="str">
        <f>IF(Daily!J536=0,"",Daily!J536)</f>
        <v/>
      </c>
      <c r="FK24" s="358" t="str">
        <f>IF(Daily!J567=0,"",Daily!J567)</f>
        <v/>
      </c>
      <c r="FL24" s="358" t="str">
        <f>IF(Daily!J597=0,"",Daily!J597)</f>
        <v/>
      </c>
      <c r="FM24" s="349"/>
    </row>
    <row r="25" spans="1:169">
      <c r="A25" s="349"/>
      <c r="B25" s="356">
        <v>23</v>
      </c>
      <c r="C25" s="357" t="str">
        <f>Daily!D51</f>
        <v/>
      </c>
      <c r="D25" s="357" t="str">
        <f>Daily!D82</f>
        <v/>
      </c>
      <c r="E25" s="357" t="str">
        <f>Daily!D111</f>
        <v/>
      </c>
      <c r="F25" s="357">
        <f>Daily!D142</f>
        <v>0.63529748969853606</v>
      </c>
      <c r="G25" s="357">
        <f>Daily!D172</f>
        <v>0.48335731611092797</v>
      </c>
      <c r="H25" s="357">
        <f>Daily!D203</f>
        <v>0.20355867627549726</v>
      </c>
      <c r="I25" s="357">
        <f>Daily!D233</f>
        <v>0.28463901291549959</v>
      </c>
      <c r="J25" s="357">
        <f>Daily!D264</f>
        <v>0.17768378369379079</v>
      </c>
      <c r="K25" s="357">
        <f>Daily!D295</f>
        <v>0.56939085226491981</v>
      </c>
      <c r="L25" s="357" t="str">
        <f>Daily!D325</f>
        <v/>
      </c>
      <c r="M25" s="357" t="str">
        <f>Daily!D356</f>
        <v/>
      </c>
      <c r="N25" s="357" t="str">
        <f>Daily!D386</f>
        <v/>
      </c>
      <c r="O25" s="357" t="str">
        <f>Daily!D417</f>
        <v/>
      </c>
      <c r="P25" s="357" t="str">
        <f>Daily!D448</f>
        <v/>
      </c>
      <c r="Q25" s="357" t="str">
        <f>Daily!D476</f>
        <v/>
      </c>
      <c r="R25" s="357" t="str">
        <f>Daily!D507</f>
        <v/>
      </c>
      <c r="S25" s="357" t="str">
        <f>Daily!D537</f>
        <v/>
      </c>
      <c r="T25" s="357" t="str">
        <f>Daily!D568</f>
        <v/>
      </c>
      <c r="U25" s="357" t="str">
        <f>Daily!D598</f>
        <v/>
      </c>
      <c r="V25" s="349"/>
      <c r="W25" s="356">
        <v>23</v>
      </c>
      <c r="X25" s="357">
        <f>Daily!C51</f>
        <v>0.26637772951772098</v>
      </c>
      <c r="Y25" s="357">
        <f>Daily!C82</f>
        <v>0.83176917696877539</v>
      </c>
      <c r="Z25" s="357">
        <f>Daily!C111</f>
        <v>0.49590084445667348</v>
      </c>
      <c r="AA25" s="357">
        <f>Daily!C142</f>
        <v>2.2909912187436534</v>
      </c>
      <c r="AB25" s="357">
        <f>Daily!C172</f>
        <v>3.3353746158162507</v>
      </c>
      <c r="AC25" s="357">
        <f>Daily!C203</f>
        <v>4.2242359034504471</v>
      </c>
      <c r="AD25" s="357">
        <f>Daily!C233</f>
        <v>4.0457230402672915</v>
      </c>
      <c r="AE25" s="357">
        <f>Daily!C264</f>
        <v>3.1599844462605367</v>
      </c>
      <c r="AF25" s="357">
        <f>Daily!C295</f>
        <v>1.8826041136831777</v>
      </c>
      <c r="AG25" s="357">
        <f>Daily!C325</f>
        <v>0.68359126446427765</v>
      </c>
      <c r="AH25" s="357">
        <f>Daily!C356</f>
        <v>0.27860676970378567</v>
      </c>
      <c r="AI25" s="357">
        <f>Daily!C386</f>
        <v>0.11016604488914751</v>
      </c>
      <c r="AJ25" s="357">
        <f>Daily!C417</f>
        <v>0.26637772951772098</v>
      </c>
      <c r="AK25" s="357">
        <f>Daily!C448</f>
        <v>0.83176917696877539</v>
      </c>
      <c r="AL25" s="357">
        <f>Daily!C476</f>
        <v>1.8243026445582893</v>
      </c>
      <c r="AM25" s="357">
        <f>Daily!C507</f>
        <v>2.6660228759485736</v>
      </c>
      <c r="AN25" s="357">
        <f>Daily!C537</f>
        <v>2.0078951527307867</v>
      </c>
      <c r="AO25" s="357">
        <f>Daily!C568</f>
        <v>5.2090818304770883</v>
      </c>
      <c r="AP25" s="357">
        <f>Daily!C598</f>
        <v>3.9753833592271319</v>
      </c>
      <c r="AQ25" s="349"/>
      <c r="AR25" s="356">
        <v>23</v>
      </c>
      <c r="AS25" s="357" t="str">
        <f>IF(ISNA(Daily!E51),"",Daily!E51)</f>
        <v/>
      </c>
      <c r="AT25" s="357" t="str">
        <f>IF(ISNA(Daily!E82),"",Daily!E82)</f>
        <v/>
      </c>
      <c r="AU25" s="357" t="str">
        <f>IF(ISNA(Daily!E111),"",Daily!E111)</f>
        <v/>
      </c>
      <c r="AV25" s="357">
        <f>IF(ISNA(Daily!E142),"",Daily!E142)</f>
        <v>0.63529748969853606</v>
      </c>
      <c r="AW25" s="357">
        <f>IF(ISNA(Daily!E172),"",Daily!E172)</f>
        <v>0.48335731611092797</v>
      </c>
      <c r="AX25" s="357">
        <f>IF(ISNA(Daily!E203),"",Daily!E203)</f>
        <v>0.92857142857142927</v>
      </c>
      <c r="AY25" s="357">
        <f>IF(ISNA(Daily!E233),"",Daily!E233)</f>
        <v>1.0500000000000007</v>
      </c>
      <c r="AZ25" s="357">
        <f>IF(ISNA(Daily!E264),"",Daily!E264)</f>
        <v>1.007142857142858</v>
      </c>
      <c r="BA25" s="357">
        <f>IF(ISNA(Daily!E295),"",Daily!E295)</f>
        <v>0.67500000000000204</v>
      </c>
      <c r="BB25" s="357" t="str">
        <f>IF(ISNA(Daily!E325),"",Daily!E325)</f>
        <v/>
      </c>
      <c r="BC25" s="357" t="str">
        <f>IF(ISNA(Daily!E356),"",Daily!E356)</f>
        <v/>
      </c>
      <c r="BD25" s="357" t="str">
        <f>IF(ISNA(Daily!E386),"",Daily!E386)</f>
        <v/>
      </c>
      <c r="BE25" s="357" t="str">
        <f>IF(ISNA(Daily!E417),"",Daily!E417)</f>
        <v/>
      </c>
      <c r="BF25" s="357" t="str">
        <f>IF(ISNA(Daily!E448),"",Daily!E448)</f>
        <v/>
      </c>
      <c r="BG25" s="357" t="str">
        <f>IF(ISNA(Daily!E476),"",Daily!E476)</f>
        <v/>
      </c>
      <c r="BH25" s="357" t="str">
        <f>IF(ISNA(Daily!E507),"",Daily!E507)</f>
        <v/>
      </c>
      <c r="BI25" s="357" t="str">
        <f>IF(ISNA(Daily!E537),"",Daily!E537)</f>
        <v/>
      </c>
      <c r="BJ25" s="357" t="str">
        <f>IF(ISNA(Daily!E568),"",Daily!E568)</f>
        <v/>
      </c>
      <c r="BK25" s="357" t="str">
        <f>IF(ISNA(Daily!E598),"",Daily!E598)</f>
        <v/>
      </c>
      <c r="BL25" s="349"/>
      <c r="BM25" s="356">
        <v>23</v>
      </c>
      <c r="BN25" s="357" t="str">
        <f>Daily!G51</f>
        <v/>
      </c>
      <c r="BO25" s="357" t="str">
        <f>Daily!G82</f>
        <v/>
      </c>
      <c r="BP25" s="357" t="str">
        <f>Daily!G111</f>
        <v/>
      </c>
      <c r="BQ25" s="357">
        <f>Daily!G142</f>
        <v>1.4554609701892327</v>
      </c>
      <c r="BR25" s="357">
        <f>Daily!G172</f>
        <v>1.6121777225254605</v>
      </c>
      <c r="BS25" s="357">
        <f>Daily!G203</f>
        <v>3.9225047674897038</v>
      </c>
      <c r="BT25" s="357">
        <f>Daily!G233</f>
        <v>4.2480091922806587</v>
      </c>
      <c r="BU25" s="357">
        <f>Daily!G264</f>
        <v>3.1825557637338289</v>
      </c>
      <c r="BV25" s="357">
        <f>Daily!G295</f>
        <v>1.2707577767361489</v>
      </c>
      <c r="BW25" s="357" t="str">
        <f>Daily!G325</f>
        <v/>
      </c>
      <c r="BX25" s="357" t="str">
        <f>Daily!G356</f>
        <v/>
      </c>
      <c r="BY25" s="357" t="str">
        <f>Daily!G386</f>
        <v/>
      </c>
      <c r="BZ25" s="357" t="str">
        <f>Daily!G417</f>
        <v/>
      </c>
      <c r="CA25" s="357" t="str">
        <f>Daily!G448</f>
        <v/>
      </c>
      <c r="CB25" s="357" t="str">
        <f>Daily!G476</f>
        <v/>
      </c>
      <c r="CC25" s="357" t="str">
        <f>Daily!G507</f>
        <v/>
      </c>
      <c r="CD25" s="357" t="str">
        <f>Daily!G537</f>
        <v/>
      </c>
      <c r="CE25" s="357" t="str">
        <f>Daily!G568</f>
        <v/>
      </c>
      <c r="CF25" s="357" t="str">
        <f>Daily!G598</f>
        <v/>
      </c>
      <c r="CG25" s="349"/>
      <c r="CH25" s="356">
        <v>23</v>
      </c>
      <c r="CI25" s="358" t="str">
        <f>IF(Daily!I51=0,"",Daily!I51)</f>
        <v/>
      </c>
      <c r="CJ25" s="358" t="str">
        <f>IF(Daily!I82=0,"",Daily!I82)</f>
        <v/>
      </c>
      <c r="CK25" s="358" t="str">
        <f>IF(Daily!I111=0,"",Daily!I111)</f>
        <v/>
      </c>
      <c r="CL25" s="358">
        <f>IF(Daily!I142=0,"",Daily!I142)</f>
        <v>17.206501947163563</v>
      </c>
      <c r="CM25" s="358" t="str">
        <f>IF(Daily!I1522=0,"",Daily!I172)</f>
        <v/>
      </c>
      <c r="CN25" s="358">
        <f>IF(Daily!I203=0,"",Daily!I203)</f>
        <v>144.87292337470205</v>
      </c>
      <c r="CO25" s="358">
        <f>IF(Daily!I233=0,"",Daily!I233)</f>
        <v>286.0755834141242</v>
      </c>
      <c r="CP25" s="358">
        <f>IF(Daily!I264=0,"",Daily!I264)</f>
        <v>411.12883963114848</v>
      </c>
      <c r="CQ25" s="358">
        <f>IF(Daily!I295=0,"",Daily!I295)</f>
        <v>484.75264267258194</v>
      </c>
      <c r="CR25" s="358" t="str">
        <f>IF(Daily!I325=0,"",Daily!I325)</f>
        <v/>
      </c>
      <c r="CS25" s="358" t="str">
        <f>IF(Daily!I356=0,"",Daily!I356)</f>
        <v/>
      </c>
      <c r="CT25" s="358" t="str">
        <f>IF(Daily!I386=0,"",Daily!I386)</f>
        <v/>
      </c>
      <c r="CU25" s="358" t="str">
        <f>IF(Daily!I417=0,"",Daily!I417)</f>
        <v/>
      </c>
      <c r="CV25" s="358" t="str">
        <f>IF(Daily!I448=0,"",Daily!I448)</f>
        <v/>
      </c>
      <c r="CW25" s="358" t="str">
        <f>IF(Daily!I476=0,"",Daily!I476)</f>
        <v/>
      </c>
      <c r="CX25" s="358" t="str">
        <f>IF(Daily!I507=0,"",Daily!I507)</f>
        <v/>
      </c>
      <c r="CY25" s="358" t="str">
        <f>IF(Daily!I537=0,"",Daily!I537)</f>
        <v/>
      </c>
      <c r="CZ25" s="358" t="str">
        <f>IF(Daily!I568=0,"",Daily!I568)</f>
        <v/>
      </c>
      <c r="DA25" s="358" t="str">
        <f>IF(Daily!I598=0,"",Daily!I598)</f>
        <v/>
      </c>
      <c r="DB25" s="349"/>
      <c r="DC25" s="356">
        <v>23</v>
      </c>
      <c r="DD25" s="357" t="str">
        <f>IF(ISNA(Daily!F51),"",Daily!F51)</f>
        <v/>
      </c>
      <c r="DE25" s="357" t="str">
        <f>IF(ISNA(Daily!F82),"",Daily!F82)</f>
        <v/>
      </c>
      <c r="DF25" s="357" t="str">
        <f>IF(ISNA(Daily!F111),"",Daily!F111)</f>
        <v/>
      </c>
      <c r="DG25" s="357">
        <f>IF(ISNA(Daily!F142),"",Daily!F142)</f>
        <v>0.8102962140161466</v>
      </c>
      <c r="DH25" s="357">
        <f>IF(ISNA(Daily!F172),"",Daily!F172)</f>
        <v>0.83944135794756769</v>
      </c>
      <c r="DI25" s="357">
        <f>IF(ISNA(Daily!F203),"",Daily!F203)</f>
        <v>1.0201412503223781</v>
      </c>
      <c r="DJ25" s="357">
        <f>IF(ISNA(Daily!F233),"",Daily!F233)</f>
        <v>1.0551154230400821</v>
      </c>
      <c r="DK25" s="357">
        <f>IF(ISNA(Daily!F264),"",Daily!F264)</f>
        <v>1.0255530096901586</v>
      </c>
      <c r="DL25" s="357">
        <f>IF(ISNA(Daily!F295),"",Daily!F295)</f>
        <v>0.79644430622825158</v>
      </c>
      <c r="DM25" s="357" t="str">
        <f>IF(ISNA(Daily!F325),"",Daily!F325)</f>
        <v/>
      </c>
      <c r="DN25" s="357" t="str">
        <f>IF(ISNA(Daily!F356),"",Daily!F356)</f>
        <v/>
      </c>
      <c r="DO25" s="357" t="str">
        <f>IF(ISNA(Daily!F386),"",Daily!F386)</f>
        <v/>
      </c>
      <c r="DP25" s="357" t="str">
        <f>IF(ISNA(Daily!F417),"",Daily!F417)</f>
        <v/>
      </c>
      <c r="DQ25" s="357" t="str">
        <f>IF(ISNA(Daily!F448),"",Daily!F448)</f>
        <v/>
      </c>
      <c r="DR25" s="357" t="str">
        <f>IF(ISNA(Daily!F477),"",Daily!F477)</f>
        <v/>
      </c>
      <c r="DS25" s="357" t="str">
        <f>IF(ISNA(Daily!F507),"",Daily!F507)</f>
        <v/>
      </c>
      <c r="DT25" s="357" t="str">
        <f>IF(ISNA(Daily!F537),"",Daily!F537)</f>
        <v/>
      </c>
      <c r="DU25" s="357" t="str">
        <f>IF(ISNA(Daily!F568),"",Daily!F568)</f>
        <v/>
      </c>
      <c r="DV25" s="357" t="str">
        <f>IF(ISNA(Daily!F598),"",Daily!G598)</f>
        <v/>
      </c>
      <c r="DW25" s="349"/>
      <c r="DX25" s="356">
        <v>23</v>
      </c>
      <c r="DY25" s="357" t="str">
        <f>Daily!H51</f>
        <v/>
      </c>
      <c r="DZ25" s="357" t="str">
        <f>Daily!H82</f>
        <v/>
      </c>
      <c r="EA25" s="357" t="str">
        <f>Daily!H111</f>
        <v/>
      </c>
      <c r="EB25" s="357">
        <f>Daily!H142</f>
        <v>1.8563815108922199</v>
      </c>
      <c r="EC25" s="357">
        <f>Daily!H172</f>
        <v>2.7998513967646406</v>
      </c>
      <c r="ED25" s="357">
        <f>Daily!H203</f>
        <v>4.3093172962026198</v>
      </c>
      <c r="EE25" s="357">
        <f>Daily!H233</f>
        <v>4.26870477713463</v>
      </c>
      <c r="EF25" s="357">
        <f>Daily!H264</f>
        <v>3.2407315594365826</v>
      </c>
      <c r="EG25" s="357">
        <f>Daily!H295</f>
        <v>1.4993893272248509</v>
      </c>
      <c r="EH25" s="357" t="str">
        <f>Daily!H325</f>
        <v/>
      </c>
      <c r="EI25" s="357" t="str">
        <f>Daily!H356</f>
        <v/>
      </c>
      <c r="EJ25" s="357" t="str">
        <f>Daily!H386</f>
        <v/>
      </c>
      <c r="EK25" s="357" t="str">
        <f>Daily!H417</f>
        <v/>
      </c>
      <c r="EL25" s="357" t="str">
        <f>Daily!H448</f>
        <v/>
      </c>
      <c r="EM25" s="357" t="str">
        <f>Daily!H476</f>
        <v/>
      </c>
      <c r="EN25" s="357" t="str">
        <f>Daily!H507</f>
        <v/>
      </c>
      <c r="EO25" s="357" t="str">
        <f>Daily!H537</f>
        <v/>
      </c>
      <c r="EP25" s="357" t="str">
        <f>Daily!H568</f>
        <v/>
      </c>
      <c r="EQ25" s="357" t="str">
        <f>Daily!H598</f>
        <v/>
      </c>
      <c r="ER25" s="349"/>
      <c r="ES25" s="356">
        <v>23</v>
      </c>
      <c r="ET25" s="358" t="str">
        <f>IF(Daily!J51=0,"",Daily!J51)</f>
        <v/>
      </c>
      <c r="EU25" s="358" t="str">
        <f>IF(Daily!J82=0,"",Daily!J82)</f>
        <v/>
      </c>
      <c r="EV25" s="358" t="str">
        <f>IF(Daily!J111=0,"",Daily!J111)</f>
        <v/>
      </c>
      <c r="EW25" s="358">
        <f>IF(Daily!J142=0,"",Daily!J142)</f>
        <v>15.00179722320579</v>
      </c>
      <c r="EX25" s="358">
        <f>IF(Daily!J172=0,"",Daily!J172)</f>
        <v>66.984071025392012</v>
      </c>
      <c r="EY25" s="358">
        <f>IF(Daily!J203=0,"",Daily!J203)</f>
        <v>183.10064214933215</v>
      </c>
      <c r="EZ25" s="358">
        <f>IF(Daily!J233=0,"",Daily!J233)</f>
        <v>325.40303637977848</v>
      </c>
      <c r="FA25" s="358">
        <f>IF(Daily!J264=0,"",Daily!J264)</f>
        <v>450.57511653211844</v>
      </c>
      <c r="FB25" s="358">
        <f>IF(Daily!J295=0,"",Daily!J295)</f>
        <v>522.0807207778472</v>
      </c>
      <c r="FC25" s="358" t="str">
        <f>IF(Daily!J325=0,"",Daily!J325)</f>
        <v/>
      </c>
      <c r="FD25" s="358" t="str">
        <f>IF(Daily!J356=0,"",Daily!J356)</f>
        <v/>
      </c>
      <c r="FE25" s="358" t="str">
        <f>IF(Daily!J386=0,"",Daily!J386)</f>
        <v/>
      </c>
      <c r="FF25" s="358" t="str">
        <f>IF(Daily!J417=0,"",Daily!J417)</f>
        <v/>
      </c>
      <c r="FG25" s="358" t="str">
        <f>IF(Daily!J448=0,"",Daily!J448)</f>
        <v/>
      </c>
      <c r="FH25" s="358" t="str">
        <f>IF(Daily!J476=0,"",Daily!J476)</f>
        <v/>
      </c>
      <c r="FI25" s="358" t="str">
        <f>IF(Daily!J507=0,"",Daily!J507)</f>
        <v/>
      </c>
      <c r="FJ25" s="358" t="str">
        <f>IF(Daily!J537=0,"",Daily!J537)</f>
        <v/>
      </c>
      <c r="FK25" s="358" t="str">
        <f>IF(Daily!J568=0,"",Daily!J568)</f>
        <v/>
      </c>
      <c r="FL25" s="358" t="str">
        <f>IF(Daily!J598=0,"",Daily!J598)</f>
        <v/>
      </c>
      <c r="FM25" s="349"/>
    </row>
    <row r="26" spans="1:169">
      <c r="A26" s="349"/>
      <c r="B26" s="356">
        <v>24</v>
      </c>
      <c r="C26" s="357" t="str">
        <f>Daily!D52</f>
        <v/>
      </c>
      <c r="D26" s="357" t="str">
        <f>Daily!D83</f>
        <v/>
      </c>
      <c r="E26" s="357" t="str">
        <f>Daily!D112</f>
        <v/>
      </c>
      <c r="F26" s="357">
        <f>Daily!D143</f>
        <v>0.60377632549344329</v>
      </c>
      <c r="G26" s="357">
        <f>Daily!D173</f>
        <v>0.45400170760758446</v>
      </c>
      <c r="H26" s="357">
        <f>Daily!D204</f>
        <v>0.20107265572040134</v>
      </c>
      <c r="I26" s="357">
        <f>Daily!D234</f>
        <v>0.27738438476279165</v>
      </c>
      <c r="J26" s="357">
        <f>Daily!D265</f>
        <v>0.17594314241894723</v>
      </c>
      <c r="K26" s="357">
        <f>Daily!D296</f>
        <v>0.56215002653106416</v>
      </c>
      <c r="L26" s="357" t="str">
        <f>Daily!D326</f>
        <v/>
      </c>
      <c r="M26" s="357" t="str">
        <f>Daily!D357</f>
        <v/>
      </c>
      <c r="N26" s="357" t="str">
        <f>Daily!D387</f>
        <v/>
      </c>
      <c r="O26" s="357" t="str">
        <f>Daily!D418</f>
        <v/>
      </c>
      <c r="P26" s="357" t="str">
        <f>Daily!D449</f>
        <v/>
      </c>
      <c r="Q26" s="357" t="str">
        <f>Daily!D477</f>
        <v/>
      </c>
      <c r="R26" s="357" t="str">
        <f>Daily!D508</f>
        <v/>
      </c>
      <c r="S26" s="357" t="str">
        <f>Daily!D538</f>
        <v/>
      </c>
      <c r="T26" s="357" t="str">
        <f>Daily!D569</f>
        <v/>
      </c>
      <c r="U26" s="357" t="str">
        <f>Daily!D599</f>
        <v/>
      </c>
      <c r="V26" s="349"/>
      <c r="W26" s="356">
        <v>24</v>
      </c>
      <c r="X26" s="357">
        <f>Daily!C52</f>
        <v>0.29309055308982468</v>
      </c>
      <c r="Y26" s="357">
        <f>Daily!C83</f>
        <v>0.65738291518508896</v>
      </c>
      <c r="Z26" s="357">
        <f>Daily!C112</f>
        <v>1.5357753584385381</v>
      </c>
      <c r="AA26" s="357">
        <f>Daily!C143</f>
        <v>1.7423348114641519</v>
      </c>
      <c r="AB26" s="357">
        <f>Daily!C173</f>
        <v>3.6860224665711194</v>
      </c>
      <c r="AC26" s="357">
        <f>Daily!C204</f>
        <v>3.6770090379365259</v>
      </c>
      <c r="AD26" s="357">
        <f>Daily!C234</f>
        <v>4.087687667829055</v>
      </c>
      <c r="AE26" s="357">
        <f>Daily!C265</f>
        <v>3.8247380758573639</v>
      </c>
      <c r="AF26" s="357">
        <f>Daily!C296</f>
        <v>0.52196974349221081</v>
      </c>
      <c r="AG26" s="357">
        <f>Daily!C326</f>
        <v>0.85043660947984545</v>
      </c>
      <c r="AH26" s="357">
        <f>Daily!C357</f>
        <v>0.13927441647758435</v>
      </c>
      <c r="AI26" s="357">
        <f>Daily!C387</f>
        <v>0.11973452107259031</v>
      </c>
      <c r="AJ26" s="357">
        <f>Daily!C418</f>
        <v>0.29309055308982468</v>
      </c>
      <c r="AK26" s="357">
        <f>Daily!C449</f>
        <v>0.65738291518508896</v>
      </c>
      <c r="AL26" s="357">
        <f>Daily!C477</f>
        <v>0.49590084445667348</v>
      </c>
      <c r="AM26" s="357">
        <f>Daily!C508</f>
        <v>2.2909912187436534</v>
      </c>
      <c r="AN26" s="357">
        <f>Daily!C538</f>
        <v>3.3353746158162507</v>
      </c>
      <c r="AO26" s="357">
        <f>Daily!C569</f>
        <v>4.2242359034504471</v>
      </c>
      <c r="AP26" s="357">
        <f>Daily!C599</f>
        <v>4.0457230402672915</v>
      </c>
      <c r="AQ26" s="349"/>
      <c r="AR26" s="356">
        <v>24</v>
      </c>
      <c r="AS26" s="357" t="str">
        <f>IF(ISNA(Daily!E52),"",Daily!E52)</f>
        <v/>
      </c>
      <c r="AT26" s="357" t="str">
        <f>IF(ISNA(Daily!E83),"",Daily!E83)</f>
        <v/>
      </c>
      <c r="AU26" s="357" t="str">
        <f>IF(ISNA(Daily!E112),"",Daily!E112)</f>
        <v/>
      </c>
      <c r="AV26" s="357">
        <f>IF(ISNA(Daily!E143),"",Daily!E143)</f>
        <v>0.60377632549344329</v>
      </c>
      <c r="AW26" s="357">
        <f>IF(ISNA(Daily!E173),"",Daily!E173)</f>
        <v>0.45400170760758446</v>
      </c>
      <c r="AX26" s="357">
        <f>IF(ISNA(Daily!E204),"",Daily!E204)</f>
        <v>0.94880952380952455</v>
      </c>
      <c r="AY26" s="357">
        <f>IF(ISNA(Daily!E234),"",Daily!E234)</f>
        <v>1.2</v>
      </c>
      <c r="AZ26" s="357">
        <f>IF(ISNA(Daily!E265),"",Daily!E265)</f>
        <v>0.99642857142857233</v>
      </c>
      <c r="BA26" s="357">
        <f>IF(ISNA(Daily!E296),"",Daily!E296)</f>
        <v>0.66428571428571637</v>
      </c>
      <c r="BB26" s="357" t="str">
        <f>IF(ISNA(Daily!E326),"",Daily!E326)</f>
        <v/>
      </c>
      <c r="BC26" s="357" t="str">
        <f>IF(ISNA(Daily!E357),"",Daily!E357)</f>
        <v/>
      </c>
      <c r="BD26" s="357" t="str">
        <f>IF(ISNA(Daily!E387),"",Daily!E387)</f>
        <v/>
      </c>
      <c r="BE26" s="357" t="str">
        <f>IF(ISNA(Daily!E418),"",Daily!E418)</f>
        <v/>
      </c>
      <c r="BF26" s="357" t="str">
        <f>IF(ISNA(Daily!E449),"",Daily!E449)</f>
        <v/>
      </c>
      <c r="BG26" s="357" t="str">
        <f>IF(ISNA(Daily!E477),"",Daily!E477)</f>
        <v/>
      </c>
      <c r="BH26" s="357" t="str">
        <f>IF(ISNA(Daily!E508),"",Daily!E508)</f>
        <v/>
      </c>
      <c r="BI26" s="357" t="str">
        <f>IF(ISNA(Daily!E538),"",Daily!E538)</f>
        <v/>
      </c>
      <c r="BJ26" s="357" t="str">
        <f>IF(ISNA(Daily!E569),"",Daily!E569)</f>
        <v/>
      </c>
      <c r="BK26" s="357" t="str">
        <f>IF(ISNA(Daily!E599),"",Daily!E599)</f>
        <v/>
      </c>
      <c r="BL26" s="349"/>
      <c r="BM26" s="356">
        <v>24</v>
      </c>
      <c r="BN26" s="357" t="str">
        <f>Daily!G52</f>
        <v/>
      </c>
      <c r="BO26" s="357" t="str">
        <f>Daily!G83</f>
        <v/>
      </c>
      <c r="BP26" s="357" t="str">
        <f>Daily!G112</f>
        <v/>
      </c>
      <c r="BQ26" s="357">
        <f>Daily!G143</f>
        <v>1.0519805102451369</v>
      </c>
      <c r="BR26" s="357">
        <f>Daily!G173</f>
        <v>1.6734604941032085</v>
      </c>
      <c r="BS26" s="357">
        <f>Daily!G204</f>
        <v>3.4887811943278733</v>
      </c>
      <c r="BT26" s="357">
        <f>Daily!G234</f>
        <v>4.9052252013948658</v>
      </c>
      <c r="BU26" s="357">
        <f>Daily!G265</f>
        <v>3.8110782970150194</v>
      </c>
      <c r="BV26" s="357">
        <f>Daily!G296</f>
        <v>0.34673704389125543</v>
      </c>
      <c r="BW26" s="357" t="str">
        <f>Daily!G326</f>
        <v/>
      </c>
      <c r="BX26" s="357" t="str">
        <f>Daily!G357</f>
        <v/>
      </c>
      <c r="BY26" s="357" t="str">
        <f>Daily!G387</f>
        <v/>
      </c>
      <c r="BZ26" s="357" t="str">
        <f>Daily!G418</f>
        <v/>
      </c>
      <c r="CA26" s="357" t="str">
        <f>Daily!G449</f>
        <v/>
      </c>
      <c r="CB26" s="357" t="str">
        <f>Daily!G477</f>
        <v/>
      </c>
      <c r="CC26" s="357" t="str">
        <f>Daily!G508</f>
        <v/>
      </c>
      <c r="CD26" s="357" t="str">
        <f>Daily!G538</f>
        <v/>
      </c>
      <c r="CE26" s="357" t="str">
        <f>Daily!G569</f>
        <v/>
      </c>
      <c r="CF26" s="357" t="str">
        <f>Daily!G599</f>
        <v/>
      </c>
      <c r="CG26" s="349"/>
      <c r="CH26" s="356">
        <v>24</v>
      </c>
      <c r="CI26" s="358" t="str">
        <f>IF(Daily!I52=0,"",Daily!I52)</f>
        <v/>
      </c>
      <c r="CJ26" s="358" t="str">
        <f>IF(Daily!I83=0,"",Daily!I83)</f>
        <v/>
      </c>
      <c r="CK26" s="358" t="str">
        <f>IF(Daily!I112=0,"",Daily!I112)</f>
        <v/>
      </c>
      <c r="CL26" s="358">
        <f>IF(Daily!I143=0,"",Daily!I143)</f>
        <v>18.2584824574087</v>
      </c>
      <c r="CM26" s="358" t="str">
        <f>IF(Daily!I1523=0,"",Daily!I173)</f>
        <v/>
      </c>
      <c r="CN26" s="358">
        <f>IF(Daily!I204=0,"",Daily!I204)</f>
        <v>148.36170456902994</v>
      </c>
      <c r="CO26" s="358">
        <f>IF(Daily!I234=0,"",Daily!I234)</f>
        <v>290.98080861551904</v>
      </c>
      <c r="CP26" s="358">
        <f>IF(Daily!I265=0,"",Daily!I265)</f>
        <v>414.93991792816348</v>
      </c>
      <c r="CQ26" s="358">
        <f>IF(Daily!I296=0,"",Daily!I296)</f>
        <v>485.09937971647321</v>
      </c>
      <c r="CR26" s="358" t="str">
        <f>IF(Daily!I326=0,"",Daily!I326)</f>
        <v/>
      </c>
      <c r="CS26" s="358" t="str">
        <f>IF(Daily!I357=0,"",Daily!I357)</f>
        <v/>
      </c>
      <c r="CT26" s="358" t="str">
        <f>IF(Daily!I387=0,"",Daily!I387)</f>
        <v/>
      </c>
      <c r="CU26" s="358" t="str">
        <f>IF(Daily!I418=0,"",Daily!I418)</f>
        <v/>
      </c>
      <c r="CV26" s="358" t="str">
        <f>IF(Daily!I449=0,"",Daily!I449)</f>
        <v/>
      </c>
      <c r="CW26" s="358" t="str">
        <f>IF(Daily!I477=0,"",Daily!I477)</f>
        <v/>
      </c>
      <c r="CX26" s="358" t="str">
        <f>IF(Daily!I508=0,"",Daily!I508)</f>
        <v/>
      </c>
      <c r="CY26" s="358" t="str">
        <f>IF(Daily!I538=0,"",Daily!I538)</f>
        <v/>
      </c>
      <c r="CZ26" s="358" t="str">
        <f>IF(Daily!I569=0,"",Daily!I569)</f>
        <v/>
      </c>
      <c r="DA26" s="358" t="str">
        <f>IF(Daily!I599=0,"",Daily!I599)</f>
        <v/>
      </c>
      <c r="DB26" s="349"/>
      <c r="DC26" s="356">
        <v>24</v>
      </c>
      <c r="DD26" s="357" t="str">
        <f>IF(ISNA(Daily!F52),"",Daily!F52)</f>
        <v/>
      </c>
      <c r="DE26" s="357" t="str">
        <f>IF(ISNA(Daily!F83),"",Daily!F83)</f>
        <v/>
      </c>
      <c r="DF26" s="357" t="str">
        <f>IF(ISNA(Daily!F112),"",Daily!F112)</f>
        <v/>
      </c>
      <c r="DG26" s="357">
        <f>IF(ISNA(Daily!F143),"",Daily!F143)</f>
        <v>0.8102962140161466</v>
      </c>
      <c r="DH26" s="357">
        <f>IF(ISNA(Daily!F173),"",Daily!F173)</f>
        <v>0.84527038673385191</v>
      </c>
      <c r="DI26" s="357">
        <f>IF(ISNA(Daily!F204),"",Daily!F204)</f>
        <v>1.0259702791086622</v>
      </c>
      <c r="DJ26" s="357">
        <f>IF(ISNA(Daily!F234),"",Daily!F234)</f>
        <v>1.0551154230400821</v>
      </c>
      <c r="DK26" s="357">
        <f>IF(ISNA(Daily!F265),"",Daily!F265)</f>
        <v>1.0181624063526777</v>
      </c>
      <c r="DL26" s="357">
        <f>IF(ISNA(Daily!F296),"",Daily!F296)</f>
        <v>0.7890537028907707</v>
      </c>
      <c r="DM26" s="357" t="str">
        <f>IF(ISNA(Daily!F326),"",Daily!F326)</f>
        <v/>
      </c>
      <c r="DN26" s="357" t="str">
        <f>IF(ISNA(Daily!F357),"",Daily!F357)</f>
        <v/>
      </c>
      <c r="DO26" s="357" t="str">
        <f>IF(ISNA(Daily!F387),"",Daily!F387)</f>
        <v/>
      </c>
      <c r="DP26" s="357" t="str">
        <f>IF(ISNA(Daily!F418),"",Daily!F418)</f>
        <v/>
      </c>
      <c r="DQ26" s="357" t="str">
        <f>IF(ISNA(Daily!F449),"",Daily!F449)</f>
        <v/>
      </c>
      <c r="DR26" s="357" t="str">
        <f>IF(ISNA(Daily!F478),"",Daily!F478)</f>
        <v/>
      </c>
      <c r="DS26" s="357" t="str">
        <f>IF(ISNA(Daily!F508),"",Daily!F508)</f>
        <v/>
      </c>
      <c r="DT26" s="357" t="str">
        <f>IF(ISNA(Daily!F538),"",Daily!F538)</f>
        <v/>
      </c>
      <c r="DU26" s="357" t="str">
        <f>IF(ISNA(Daily!F569),"",Daily!F569)</f>
        <v/>
      </c>
      <c r="DV26" s="357" t="str">
        <f>IF(ISNA(Daily!F599),"",Daily!G599)</f>
        <v/>
      </c>
      <c r="DW26" s="349"/>
      <c r="DX26" s="356">
        <v>24</v>
      </c>
      <c r="DY26" s="357" t="str">
        <f>Daily!H52</f>
        <v/>
      </c>
      <c r="DZ26" s="357" t="str">
        <f>Daily!H83</f>
        <v/>
      </c>
      <c r="EA26" s="357" t="str">
        <f>Daily!H112</f>
        <v/>
      </c>
      <c r="EB26" s="357">
        <f>Daily!H143</f>
        <v>1.4118073012779389</v>
      </c>
      <c r="EC26" s="357">
        <f>Daily!H173</f>
        <v>3.1156856358282368</v>
      </c>
      <c r="ED26" s="357">
        <f>Daily!H204</f>
        <v>3.7725019889368112</v>
      </c>
      <c r="EE26" s="357">
        <f>Daily!H234</f>
        <v>4.3129823028971801</v>
      </c>
      <c r="EF26" s="357">
        <f>Daily!H265</f>
        <v>3.8942045229836442</v>
      </c>
      <c r="EG26" s="357">
        <f>Daily!H296</f>
        <v>0.4118621588994747</v>
      </c>
      <c r="EH26" s="357" t="str">
        <f>Daily!H326</f>
        <v/>
      </c>
      <c r="EI26" s="357" t="str">
        <f>Daily!H357</f>
        <v/>
      </c>
      <c r="EJ26" s="357" t="str">
        <f>Daily!H387</f>
        <v/>
      </c>
      <c r="EK26" s="357" t="str">
        <f>Daily!H418</f>
        <v/>
      </c>
      <c r="EL26" s="357" t="str">
        <f>Daily!H449</f>
        <v/>
      </c>
      <c r="EM26" s="357" t="str">
        <f>Daily!H477</f>
        <v/>
      </c>
      <c r="EN26" s="357" t="str">
        <f>Daily!H508</f>
        <v/>
      </c>
      <c r="EO26" s="357" t="str">
        <f>Daily!H538</f>
        <v/>
      </c>
      <c r="EP26" s="357" t="str">
        <f>Daily!H569</f>
        <v/>
      </c>
      <c r="EQ26" s="357" t="str">
        <f>Daily!H599</f>
        <v/>
      </c>
      <c r="ER26" s="349"/>
      <c r="ES26" s="356">
        <v>24</v>
      </c>
      <c r="ET26" s="358" t="str">
        <f>IF(Daily!J52=0,"",Daily!J52)</f>
        <v/>
      </c>
      <c r="EU26" s="358" t="str">
        <f>IF(Daily!J83=0,"",Daily!J83)</f>
        <v/>
      </c>
      <c r="EV26" s="358" t="str">
        <f>IF(Daily!J112=0,"",Daily!J112)</f>
        <v/>
      </c>
      <c r="EW26" s="358">
        <f>IF(Daily!J143=0,"",Daily!J143)</f>
        <v>16.413604524483727</v>
      </c>
      <c r="EX26" s="358">
        <f>IF(Daily!J173=0,"",Daily!J173)</f>
        <v>70.099756661220255</v>
      </c>
      <c r="EY26" s="358">
        <f>IF(Daily!J204=0,"",Daily!J204)</f>
        <v>186.87314413826897</v>
      </c>
      <c r="EZ26" s="358">
        <f>IF(Daily!J234=0,"",Daily!J234)</f>
        <v>329.71601868267567</v>
      </c>
      <c r="FA26" s="358">
        <f>IF(Daily!J265=0,"",Daily!J265)</f>
        <v>454.46932105510211</v>
      </c>
      <c r="FB26" s="358">
        <f>IF(Daily!J296=0,"",Daily!J296)</f>
        <v>522.49258293674666</v>
      </c>
      <c r="FC26" s="358" t="str">
        <f>IF(Daily!J326=0,"",Daily!J326)</f>
        <v/>
      </c>
      <c r="FD26" s="358" t="str">
        <f>IF(Daily!J357=0,"",Daily!J357)</f>
        <v/>
      </c>
      <c r="FE26" s="358" t="str">
        <f>IF(Daily!J387=0,"",Daily!J387)</f>
        <v/>
      </c>
      <c r="FF26" s="358" t="str">
        <f>IF(Daily!J418=0,"",Daily!J418)</f>
        <v/>
      </c>
      <c r="FG26" s="358" t="str">
        <f>IF(Daily!J449=0,"",Daily!J449)</f>
        <v/>
      </c>
      <c r="FH26" s="358" t="str">
        <f>IF(Daily!J477=0,"",Daily!J477)</f>
        <v/>
      </c>
      <c r="FI26" s="358" t="str">
        <f>IF(Daily!J508=0,"",Daily!J508)</f>
        <v/>
      </c>
      <c r="FJ26" s="358" t="str">
        <f>IF(Daily!J538=0,"",Daily!J538)</f>
        <v/>
      </c>
      <c r="FK26" s="358" t="str">
        <f>IF(Daily!J569=0,"",Daily!J569)</f>
        <v/>
      </c>
      <c r="FL26" s="358" t="str">
        <f>IF(Daily!J599=0,"",Daily!J599)</f>
        <v/>
      </c>
      <c r="FM26" s="349"/>
    </row>
    <row r="27" spans="1:169">
      <c r="A27" s="349"/>
      <c r="B27" s="356">
        <v>25</v>
      </c>
      <c r="C27" s="357" t="str">
        <f>Daily!D53</f>
        <v/>
      </c>
      <c r="D27" s="357" t="str">
        <f>Daily!D84</f>
        <v/>
      </c>
      <c r="E27" s="357" t="str">
        <f>Daily!D113</f>
        <v/>
      </c>
      <c r="F27" s="357">
        <f>Daily!D144</f>
        <v>0.5986959449707141</v>
      </c>
      <c r="G27" s="357">
        <f>Daily!D174</f>
        <v>0.43180347693374954</v>
      </c>
      <c r="H27" s="357">
        <f>Daily!D205</f>
        <v>0.19787487019455571</v>
      </c>
      <c r="I27" s="357">
        <f>Daily!D235</f>
        <v>0.27119316576660024</v>
      </c>
      <c r="J27" s="357">
        <f>Daily!D266</f>
        <v>0.17426622671069714</v>
      </c>
      <c r="K27" s="357">
        <f>Daily!D297</f>
        <v>0.54324636739436305</v>
      </c>
      <c r="L27" s="357" t="str">
        <f>Daily!D327</f>
        <v/>
      </c>
      <c r="M27" s="357" t="str">
        <f>Daily!D358</f>
        <v/>
      </c>
      <c r="N27" s="357" t="str">
        <f>Daily!D388</f>
        <v/>
      </c>
      <c r="O27" s="357" t="str">
        <f>Daily!D419</f>
        <v/>
      </c>
      <c r="P27" s="357" t="str">
        <f>Daily!D450</f>
        <v/>
      </c>
      <c r="Q27" s="357" t="str">
        <f>Daily!D478</f>
        <v/>
      </c>
      <c r="R27" s="357" t="str">
        <f>Daily!D509</f>
        <v/>
      </c>
      <c r="S27" s="357" t="str">
        <f>Daily!D539</f>
        <v/>
      </c>
      <c r="T27" s="357" t="str">
        <f>Daily!D570</f>
        <v/>
      </c>
      <c r="U27" s="357" t="str">
        <f>Daily!D600</f>
        <v/>
      </c>
      <c r="V27" s="349"/>
      <c r="W27" s="356">
        <v>25</v>
      </c>
      <c r="X27" s="357">
        <f>Daily!C53</f>
        <v>0.31307647208209932</v>
      </c>
      <c r="Y27" s="357">
        <f>Daily!C84</f>
        <v>0.63911787151342603</v>
      </c>
      <c r="Z27" s="357">
        <f>Daily!C113</f>
        <v>1.8042864664435185</v>
      </c>
      <c r="AA27" s="357">
        <f>Daily!C144</f>
        <v>0.3063071784918493</v>
      </c>
      <c r="AB27" s="357">
        <f>Daily!C174</f>
        <v>3.28904064531531</v>
      </c>
      <c r="AC27" s="357">
        <f>Daily!C205</f>
        <v>4.9307354305868794</v>
      </c>
      <c r="AD27" s="357">
        <f>Daily!C235</f>
        <v>3.7454392842547892</v>
      </c>
      <c r="AE27" s="357">
        <f>Daily!C266</f>
        <v>3.7913485075397029</v>
      </c>
      <c r="AF27" s="357">
        <f>Daily!C297</f>
        <v>1.4602956391032043</v>
      </c>
      <c r="AG27" s="357">
        <f>Daily!C327</f>
        <v>0.78548823208261953</v>
      </c>
      <c r="AH27" s="357">
        <f>Daily!C358</f>
        <v>0.36328911509493322</v>
      </c>
      <c r="AI27" s="357">
        <f>Daily!C388</f>
        <v>0.19141620962706662</v>
      </c>
      <c r="AJ27" s="357">
        <f>Daily!C419</f>
        <v>0.31307647208209932</v>
      </c>
      <c r="AK27" s="357">
        <f>Daily!C450</f>
        <v>0.63911787151342603</v>
      </c>
      <c r="AL27" s="357">
        <f>Daily!C478</f>
        <v>1.5357753584385381</v>
      </c>
      <c r="AM27" s="357">
        <f>Daily!C509</f>
        <v>1.7423348114641519</v>
      </c>
      <c r="AN27" s="357">
        <f>Daily!C539</f>
        <v>3.6860224665711194</v>
      </c>
      <c r="AO27" s="357">
        <f>Daily!C570</f>
        <v>3.6770090379365259</v>
      </c>
      <c r="AP27" s="357">
        <f>Daily!C600</f>
        <v>4.087687667829055</v>
      </c>
      <c r="AQ27" s="349"/>
      <c r="AR27" s="356">
        <v>25</v>
      </c>
      <c r="AS27" s="357" t="str">
        <f>IF(ISNA(Daily!E53),"",Daily!E53)</f>
        <v/>
      </c>
      <c r="AT27" s="357" t="str">
        <f>IF(ISNA(Daily!E84),"",Daily!E84)</f>
        <v/>
      </c>
      <c r="AU27" s="357" t="str">
        <f>IF(ISNA(Daily!E113),"",Daily!E113)</f>
        <v/>
      </c>
      <c r="AV27" s="357">
        <f>IF(ISNA(Daily!E144),"",Daily!E144)</f>
        <v>0.5986959449707141</v>
      </c>
      <c r="AW27" s="357">
        <f>IF(ISNA(Daily!E174),"",Daily!E174)</f>
        <v>0.43180347693374954</v>
      </c>
      <c r="AX27" s="357">
        <f>IF(ISNA(Daily!E205),"",Daily!E205)</f>
        <v>0.96904761904761982</v>
      </c>
      <c r="AY27" s="357">
        <f>IF(ISNA(Daily!E235),"",Daily!E235)</f>
        <v>1.0500000000000007</v>
      </c>
      <c r="AZ27" s="357">
        <f>IF(ISNA(Daily!E266),"",Daily!E266)</f>
        <v>0.98571428571428665</v>
      </c>
      <c r="BA27" s="357">
        <f>IF(ISNA(Daily!E297),"",Daily!E297)</f>
        <v>0.65357142857143069</v>
      </c>
      <c r="BB27" s="357" t="str">
        <f>IF(ISNA(Daily!E327),"",Daily!E327)</f>
        <v/>
      </c>
      <c r="BC27" s="357" t="str">
        <f>IF(ISNA(Daily!E358),"",Daily!E358)</f>
        <v/>
      </c>
      <c r="BD27" s="357" t="str">
        <f>IF(ISNA(Daily!E388),"",Daily!E388)</f>
        <v/>
      </c>
      <c r="BE27" s="357" t="str">
        <f>IF(ISNA(Daily!E419),"",Daily!E419)</f>
        <v/>
      </c>
      <c r="BF27" s="357" t="str">
        <f>IF(ISNA(Daily!E450),"",Daily!E450)</f>
        <v/>
      </c>
      <c r="BG27" s="357" t="str">
        <f>IF(ISNA(Daily!E478),"",Daily!E478)</f>
        <v/>
      </c>
      <c r="BH27" s="357" t="str">
        <f>IF(ISNA(Daily!E509),"",Daily!E509)</f>
        <v/>
      </c>
      <c r="BI27" s="357" t="str">
        <f>IF(ISNA(Daily!E539),"",Daily!E539)</f>
        <v/>
      </c>
      <c r="BJ27" s="357" t="str">
        <f>IF(ISNA(Daily!E570),"",Daily!E570)</f>
        <v/>
      </c>
      <c r="BK27" s="357" t="str">
        <f>IF(ISNA(Daily!E600),"",Daily!E600)</f>
        <v/>
      </c>
      <c r="BL27" s="349"/>
      <c r="BM27" s="356">
        <v>25</v>
      </c>
      <c r="BN27" s="357" t="str">
        <f>Daily!G53</f>
        <v/>
      </c>
      <c r="BO27" s="357" t="str">
        <f>Daily!G84</f>
        <v/>
      </c>
      <c r="BP27" s="357" t="str">
        <f>Daily!G113</f>
        <v/>
      </c>
      <c r="BQ27" s="357">
        <f>Daily!G144</f>
        <v>0.18338486567849091</v>
      </c>
      <c r="BR27" s="357">
        <f>Daily!G174</f>
        <v>1.4202191864235743</v>
      </c>
      <c r="BS27" s="357">
        <f>Daily!G205</f>
        <v>4.7781174291639559</v>
      </c>
      <c r="BT27" s="357">
        <f>Daily!G235</f>
        <v>3.9327112484675313</v>
      </c>
      <c r="BU27" s="357">
        <f>Daily!G266</f>
        <v>3.7371863860034251</v>
      </c>
      <c r="BV27" s="357">
        <f>Daily!G297</f>
        <v>0.95440750698531163</v>
      </c>
      <c r="BW27" s="357" t="str">
        <f>Daily!G327</f>
        <v/>
      </c>
      <c r="BX27" s="357" t="str">
        <f>Daily!G358</f>
        <v/>
      </c>
      <c r="BY27" s="357" t="str">
        <f>Daily!G388</f>
        <v/>
      </c>
      <c r="BZ27" s="357" t="str">
        <f>Daily!G419</f>
        <v/>
      </c>
      <c r="CA27" s="357" t="str">
        <f>Daily!G450</f>
        <v/>
      </c>
      <c r="CB27" s="357" t="str">
        <f>Daily!G478</f>
        <v/>
      </c>
      <c r="CC27" s="357" t="str">
        <f>Daily!G509</f>
        <v/>
      </c>
      <c r="CD27" s="357" t="str">
        <f>Daily!G539</f>
        <v/>
      </c>
      <c r="CE27" s="357" t="str">
        <f>Daily!G570</f>
        <v/>
      </c>
      <c r="CF27" s="357" t="str">
        <f>Daily!G600</f>
        <v/>
      </c>
      <c r="CG27" s="349"/>
      <c r="CH27" s="356">
        <v>25</v>
      </c>
      <c r="CI27" s="358" t="str">
        <f>IF(Daily!I53=0,"",Daily!I53)</f>
        <v/>
      </c>
      <c r="CJ27" s="358" t="str">
        <f>IF(Daily!I84=0,"",Daily!I84)</f>
        <v/>
      </c>
      <c r="CK27" s="358" t="str">
        <f>IF(Daily!I113=0,"",Daily!I113)</f>
        <v/>
      </c>
      <c r="CL27" s="358">
        <f>IF(Daily!I144=0,"",Daily!I144)</f>
        <v>18.441867323087191</v>
      </c>
      <c r="CM27" s="358" t="str">
        <f>IF(Daily!I1524=0,"",Daily!I174)</f>
        <v/>
      </c>
      <c r="CN27" s="358">
        <f>IF(Daily!I205=0,"",Daily!I205)</f>
        <v>153.1398219981939</v>
      </c>
      <c r="CO27" s="358">
        <f>IF(Daily!I235=0,"",Daily!I235)</f>
        <v>294.91351986398655</v>
      </c>
      <c r="CP27" s="358">
        <f>IF(Daily!I266=0,"",Daily!I266)</f>
        <v>418.67710431416691</v>
      </c>
      <c r="CQ27" s="358">
        <f>IF(Daily!I297=0,"",Daily!I297)</f>
        <v>486.05378722345853</v>
      </c>
      <c r="CR27" s="358" t="str">
        <f>IF(Daily!I327=0,"",Daily!I327)</f>
        <v/>
      </c>
      <c r="CS27" s="358" t="str">
        <f>IF(Daily!I358=0,"",Daily!I358)</f>
        <v/>
      </c>
      <c r="CT27" s="358" t="str">
        <f>IF(Daily!I388=0,"",Daily!I388)</f>
        <v/>
      </c>
      <c r="CU27" s="358" t="str">
        <f>IF(Daily!I419=0,"",Daily!I419)</f>
        <v/>
      </c>
      <c r="CV27" s="358" t="str">
        <f>IF(Daily!I450=0,"",Daily!I450)</f>
        <v/>
      </c>
      <c r="CW27" s="358" t="str">
        <f>IF(Daily!I478=0,"",Daily!I478)</f>
        <v/>
      </c>
      <c r="CX27" s="358" t="str">
        <f>IF(Daily!I509=0,"",Daily!I509)</f>
        <v/>
      </c>
      <c r="CY27" s="358" t="str">
        <f>IF(Daily!I539=0,"",Daily!I539)</f>
        <v/>
      </c>
      <c r="CZ27" s="358" t="str">
        <f>IF(Daily!I570=0,"",Daily!I570)</f>
        <v/>
      </c>
      <c r="DA27" s="358" t="str">
        <f>IF(Daily!I600=0,"",Daily!I600)</f>
        <v/>
      </c>
      <c r="DB27" s="349"/>
      <c r="DC27" s="356">
        <v>25</v>
      </c>
      <c r="DD27" s="357" t="str">
        <f>IF(ISNA(Daily!F53),"",Daily!F53)</f>
        <v/>
      </c>
      <c r="DE27" s="357" t="str">
        <f>IF(ISNA(Daily!F84),"",Daily!F84)</f>
        <v/>
      </c>
      <c r="DF27" s="357" t="str">
        <f>IF(ISNA(Daily!F113),"",Daily!F113)</f>
        <v/>
      </c>
      <c r="DG27" s="357">
        <f>IF(ISNA(Daily!F144),"",Daily!F144)</f>
        <v>0.8102962140161466</v>
      </c>
      <c r="DH27" s="357">
        <f>IF(ISNA(Daily!F174),"",Daily!F174)</f>
        <v>0.85109941552013613</v>
      </c>
      <c r="DI27" s="357">
        <f>IF(ISNA(Daily!F205),"",Daily!F205)</f>
        <v>1.0317993078949463</v>
      </c>
      <c r="DJ27" s="357">
        <f>IF(ISNA(Daily!F235),"",Daily!F235)</f>
        <v>1.0551154230400821</v>
      </c>
      <c r="DK27" s="357">
        <f>IF(ISNA(Daily!F266),"",Daily!F266)</f>
        <v>1.0107718030151969</v>
      </c>
      <c r="DL27" s="357">
        <f>IF(ISNA(Daily!F297),"",Daily!F297)</f>
        <v>0.78166309955328983</v>
      </c>
      <c r="DM27" s="357" t="str">
        <f>IF(ISNA(Daily!F327),"",Daily!F327)</f>
        <v/>
      </c>
      <c r="DN27" s="357" t="str">
        <f>IF(ISNA(Daily!F358),"",Daily!F358)</f>
        <v/>
      </c>
      <c r="DO27" s="357" t="str">
        <f>IF(ISNA(Daily!F388),"",Daily!F388)</f>
        <v/>
      </c>
      <c r="DP27" s="357" t="str">
        <f>IF(ISNA(Daily!F419),"",Daily!F419)</f>
        <v/>
      </c>
      <c r="DQ27" s="357" t="str">
        <f>IF(ISNA(Daily!F450),"",Daily!F450)</f>
        <v/>
      </c>
      <c r="DR27" s="357" t="str">
        <f>IF(ISNA(Daily!F479),"",Daily!F479)</f>
        <v/>
      </c>
      <c r="DS27" s="357" t="str">
        <f>IF(ISNA(Daily!F509),"",Daily!F509)</f>
        <v/>
      </c>
      <c r="DT27" s="357" t="str">
        <f>IF(ISNA(Daily!F539),"",Daily!F539)</f>
        <v/>
      </c>
      <c r="DU27" s="357" t="str">
        <f>IF(ISNA(Daily!F570),"",Daily!F570)</f>
        <v/>
      </c>
      <c r="DV27" s="357" t="str">
        <f>IF(ISNA(Daily!F600),"",Daily!G600)</f>
        <v/>
      </c>
      <c r="DW27" s="349"/>
      <c r="DX27" s="356">
        <v>25</v>
      </c>
      <c r="DY27" s="357" t="str">
        <f>Daily!H53</f>
        <v/>
      </c>
      <c r="DZ27" s="357" t="str">
        <f>Daily!H84</f>
        <v/>
      </c>
      <c r="EA27" s="357" t="str">
        <f>Daily!H113</f>
        <v/>
      </c>
      <c r="EB27" s="357">
        <f>Daily!H144</f>
        <v>0.24819954705791353</v>
      </c>
      <c r="EC27" s="357">
        <f>Daily!H174</f>
        <v>2.7993005708498315</v>
      </c>
      <c r="ED27" s="357">
        <f>Daily!H205</f>
        <v>5.0875294046926323</v>
      </c>
      <c r="EE27" s="357">
        <f>Daily!H235</f>
        <v>3.9518707548774343</v>
      </c>
      <c r="EF27" s="357">
        <f>Daily!H266</f>
        <v>3.8321881668248814</v>
      </c>
      <c r="EG27" s="357">
        <f>Daily!H297</f>
        <v>1.141459215525563</v>
      </c>
      <c r="EH27" s="357" t="str">
        <f>Daily!H327</f>
        <v/>
      </c>
      <c r="EI27" s="357" t="str">
        <f>Daily!H358</f>
        <v/>
      </c>
      <c r="EJ27" s="357" t="str">
        <f>Daily!H388</f>
        <v/>
      </c>
      <c r="EK27" s="357" t="str">
        <f>Daily!H419</f>
        <v/>
      </c>
      <c r="EL27" s="357" t="str">
        <f>Daily!H450</f>
        <v/>
      </c>
      <c r="EM27" s="357" t="str">
        <f>Daily!H478</f>
        <v/>
      </c>
      <c r="EN27" s="357" t="str">
        <f>Daily!H509</f>
        <v/>
      </c>
      <c r="EO27" s="357" t="str">
        <f>Daily!H539</f>
        <v/>
      </c>
      <c r="EP27" s="357" t="str">
        <f>Daily!H570</f>
        <v/>
      </c>
      <c r="EQ27" s="357" t="str">
        <f>Daily!H600</f>
        <v/>
      </c>
      <c r="ER27" s="349"/>
      <c r="ES27" s="356">
        <v>25</v>
      </c>
      <c r="ET27" s="358" t="str">
        <f>IF(Daily!J53=0,"",Daily!J53)</f>
        <v/>
      </c>
      <c r="EU27" s="358" t="str">
        <f>IF(Daily!J84=0,"",Daily!J84)</f>
        <v/>
      </c>
      <c r="EV27" s="358" t="str">
        <f>IF(Daily!J113=0,"",Daily!J113)</f>
        <v/>
      </c>
      <c r="EW27" s="358">
        <f>IF(Daily!J144=0,"",Daily!J144)</f>
        <v>16.661804071541642</v>
      </c>
      <c r="EX27" s="358">
        <f>IF(Daily!J174=0,"",Daily!J174)</f>
        <v>72.899057232070092</v>
      </c>
      <c r="EY27" s="358">
        <f>IF(Daily!J205=0,"",Daily!J205)</f>
        <v>191.96067354296162</v>
      </c>
      <c r="EZ27" s="358">
        <f>IF(Daily!J235=0,"",Daily!J235)</f>
        <v>333.66788943755313</v>
      </c>
      <c r="FA27" s="358">
        <f>IF(Daily!J266=0,"",Daily!J266)</f>
        <v>458.30150922192701</v>
      </c>
      <c r="FB27" s="358">
        <f>IF(Daily!J297=0,"",Daily!J297)</f>
        <v>523.63404215227217</v>
      </c>
      <c r="FC27" s="358" t="str">
        <f>IF(Daily!J327=0,"",Daily!J327)</f>
        <v/>
      </c>
      <c r="FD27" s="358" t="str">
        <f>IF(Daily!J358=0,"",Daily!J358)</f>
        <v/>
      </c>
      <c r="FE27" s="358" t="str">
        <f>IF(Daily!J388=0,"",Daily!J388)</f>
        <v/>
      </c>
      <c r="FF27" s="358" t="str">
        <f>IF(Daily!J419=0,"",Daily!J419)</f>
        <v/>
      </c>
      <c r="FG27" s="358" t="str">
        <f>IF(Daily!J450=0,"",Daily!J450)</f>
        <v/>
      </c>
      <c r="FH27" s="358" t="str">
        <f>IF(Daily!J478=0,"",Daily!J478)</f>
        <v/>
      </c>
      <c r="FI27" s="358" t="str">
        <f>IF(Daily!J509=0,"",Daily!J509)</f>
        <v/>
      </c>
      <c r="FJ27" s="358" t="str">
        <f>IF(Daily!J539=0,"",Daily!J539)</f>
        <v/>
      </c>
      <c r="FK27" s="358" t="str">
        <f>IF(Daily!J570=0,"",Daily!J570)</f>
        <v/>
      </c>
      <c r="FL27" s="358" t="str">
        <f>IF(Daily!J600=0,"",Daily!J600)</f>
        <v/>
      </c>
      <c r="FM27" s="349"/>
    </row>
    <row r="28" spans="1:169">
      <c r="A28" s="349"/>
      <c r="B28" s="356">
        <v>26</v>
      </c>
      <c r="C28" s="357" t="str">
        <f>Daily!D54</f>
        <v/>
      </c>
      <c r="D28" s="357" t="str">
        <f>Daily!D85</f>
        <v/>
      </c>
      <c r="E28" s="357" t="str">
        <f>Daily!D114</f>
        <v/>
      </c>
      <c r="F28" s="357">
        <f>Daily!D145</f>
        <v>0.59526716263057367</v>
      </c>
      <c r="G28" s="357">
        <f>Daily!D175</f>
        <v>0.41288714767270618</v>
      </c>
      <c r="H28" s="357">
        <f>Daily!D206</f>
        <v>0.19511850813398712</v>
      </c>
      <c r="I28" s="357">
        <f>Daily!D236</f>
        <v>0.26428582020730629</v>
      </c>
      <c r="J28" s="357">
        <f>Daily!D267</f>
        <v>0.17285623070518508</v>
      </c>
      <c r="K28" s="357">
        <f>Daily!D298</f>
        <v>0.51763008417344325</v>
      </c>
      <c r="L28" s="357" t="str">
        <f>Daily!D328</f>
        <v/>
      </c>
      <c r="M28" s="357" t="str">
        <f>Daily!D359</f>
        <v/>
      </c>
      <c r="N28" s="357" t="str">
        <f>Daily!D389</f>
        <v/>
      </c>
      <c r="O28" s="357" t="str">
        <f>Daily!D420</f>
        <v/>
      </c>
      <c r="P28" s="357" t="str">
        <f>Daily!D451</f>
        <v/>
      </c>
      <c r="Q28" s="357" t="str">
        <f>Daily!D479</f>
        <v/>
      </c>
      <c r="R28" s="357" t="str">
        <f>Daily!D510</f>
        <v/>
      </c>
      <c r="S28" s="357" t="str">
        <f>Daily!D540</f>
        <v/>
      </c>
      <c r="T28" s="357" t="str">
        <f>Daily!D571</f>
        <v/>
      </c>
      <c r="U28" s="357" t="str">
        <f>Daily!D601</f>
        <v/>
      </c>
      <c r="V28" s="349"/>
      <c r="W28" s="356">
        <v>26</v>
      </c>
      <c r="X28" s="357">
        <f>Daily!C54</f>
        <v>0.23124500724166852</v>
      </c>
      <c r="Y28" s="357">
        <f>Daily!C85</f>
        <v>0.79120631579769019</v>
      </c>
      <c r="Z28" s="357">
        <f>Daily!C114</f>
        <v>1.0646170170755511</v>
      </c>
      <c r="AA28" s="357">
        <f>Daily!C145</f>
        <v>0.21108337461382062</v>
      </c>
      <c r="AB28" s="357">
        <f>Daily!C175</f>
        <v>3.2219838024285434</v>
      </c>
      <c r="AC28" s="357">
        <f>Daily!C206</f>
        <v>4.4419396786312708</v>
      </c>
      <c r="AD28" s="357">
        <f>Daily!C236</f>
        <v>4.4864865244293437</v>
      </c>
      <c r="AE28" s="357">
        <f>Daily!C267</f>
        <v>3.2718370581858034</v>
      </c>
      <c r="AF28" s="357">
        <f>Daily!C298</f>
        <v>2.2341226653855277</v>
      </c>
      <c r="AG28" s="357">
        <f>Daily!C328</f>
        <v>0.78457355239869742</v>
      </c>
      <c r="AH28" s="357">
        <f>Daily!C359</f>
        <v>0.21044688790550653</v>
      </c>
      <c r="AI28" s="357">
        <f>Daily!C389</f>
        <v>0.25983469090210043</v>
      </c>
      <c r="AJ28" s="357">
        <f>Daily!C420</f>
        <v>0.23124500724166852</v>
      </c>
      <c r="AK28" s="357">
        <f>Daily!C451</f>
        <v>0.79120631579769019</v>
      </c>
      <c r="AL28" s="357">
        <f>Daily!C479</f>
        <v>1.8042864664435185</v>
      </c>
      <c r="AM28" s="357">
        <f>Daily!C510</f>
        <v>0.3063071784918493</v>
      </c>
      <c r="AN28" s="357">
        <f>Daily!C540</f>
        <v>3.28904064531531</v>
      </c>
      <c r="AO28" s="357">
        <f>Daily!C571</f>
        <v>4.9307354305868794</v>
      </c>
      <c r="AP28" s="357">
        <f>Daily!C601</f>
        <v>3.7454392842547892</v>
      </c>
      <c r="AQ28" s="349"/>
      <c r="AR28" s="356">
        <v>26</v>
      </c>
      <c r="AS28" s="357" t="str">
        <f>IF(ISNA(Daily!E54),"",Daily!E54)</f>
        <v/>
      </c>
      <c r="AT28" s="357" t="str">
        <f>IF(ISNA(Daily!E85),"",Daily!E85)</f>
        <v/>
      </c>
      <c r="AU28" s="357" t="str">
        <f>IF(ISNA(Daily!E114),"",Daily!E114)</f>
        <v/>
      </c>
      <c r="AV28" s="357">
        <f>IF(ISNA(Daily!E145),"",Daily!E145)</f>
        <v>0.59526716263057367</v>
      </c>
      <c r="AW28" s="357">
        <f>IF(ISNA(Daily!E175),"",Daily!E175)</f>
        <v>0.41288714767270618</v>
      </c>
      <c r="AX28" s="357">
        <f>IF(ISNA(Daily!E206),"",Daily!E206)</f>
        <v>0.9892857142857151</v>
      </c>
      <c r="AY28" s="357">
        <f>IF(ISNA(Daily!E236),"",Daily!E236)</f>
        <v>1.0500000000000007</v>
      </c>
      <c r="AZ28" s="357">
        <f>IF(ISNA(Daily!E267),"",Daily!E267)</f>
        <v>0.97500000000000098</v>
      </c>
      <c r="BA28" s="357">
        <f>IF(ISNA(Daily!E298),"",Daily!E298)</f>
        <v>0.64285714285714501</v>
      </c>
      <c r="BB28" s="357" t="str">
        <f>IF(ISNA(Daily!E328),"",Daily!E328)</f>
        <v/>
      </c>
      <c r="BC28" s="357" t="str">
        <f>IF(ISNA(Daily!E359),"",Daily!E359)</f>
        <v/>
      </c>
      <c r="BD28" s="357" t="str">
        <f>IF(ISNA(Daily!E389),"",Daily!E389)</f>
        <v/>
      </c>
      <c r="BE28" s="357" t="str">
        <f>IF(ISNA(Daily!E420),"",Daily!E420)</f>
        <v/>
      </c>
      <c r="BF28" s="357" t="str">
        <f>IF(ISNA(Daily!E451),"",Daily!E451)</f>
        <v/>
      </c>
      <c r="BG28" s="357" t="str">
        <f>IF(ISNA(Daily!E479),"",Daily!E479)</f>
        <v/>
      </c>
      <c r="BH28" s="357" t="str">
        <f>IF(ISNA(Daily!E510),"",Daily!E510)</f>
        <v/>
      </c>
      <c r="BI28" s="357" t="str">
        <f>IF(ISNA(Daily!E540),"",Daily!E540)</f>
        <v/>
      </c>
      <c r="BJ28" s="357" t="str">
        <f>IF(ISNA(Daily!E571),"",Daily!E571)</f>
        <v/>
      </c>
      <c r="BK28" s="357" t="str">
        <f>IF(ISNA(Daily!E601),"",Daily!E601)</f>
        <v/>
      </c>
      <c r="BL28" s="349"/>
      <c r="BM28" s="356">
        <v>26</v>
      </c>
      <c r="BN28" s="357" t="str">
        <f>Daily!G54</f>
        <v/>
      </c>
      <c r="BO28" s="357" t="str">
        <f>Daily!G85</f>
        <v/>
      </c>
      <c r="BP28" s="357" t="str">
        <f>Daily!G114</f>
        <v/>
      </c>
      <c r="BQ28" s="357">
        <f>Daily!G145</f>
        <v>0.12565100148485547</v>
      </c>
      <c r="BR28" s="357">
        <f>Daily!G175</f>
        <v>1.3303157020323815</v>
      </c>
      <c r="BS28" s="357">
        <f>Daily!G206</f>
        <v>4.3943474677887968</v>
      </c>
      <c r="BT28" s="357">
        <f>Daily!G236</f>
        <v>4.7108108506508142</v>
      </c>
      <c r="BU28" s="357">
        <f>Daily!G267</f>
        <v>3.1900411317311614</v>
      </c>
      <c r="BV28" s="357">
        <f>Daily!G298</f>
        <v>1.4362217134621298</v>
      </c>
      <c r="BW28" s="357" t="str">
        <f>Daily!G328</f>
        <v/>
      </c>
      <c r="BX28" s="357" t="str">
        <f>Daily!G359</f>
        <v/>
      </c>
      <c r="BY28" s="357" t="str">
        <f>Daily!G389</f>
        <v/>
      </c>
      <c r="BZ28" s="357" t="str">
        <f>Daily!G420</f>
        <v/>
      </c>
      <c r="CA28" s="357" t="str">
        <f>Daily!G451</f>
        <v/>
      </c>
      <c r="CB28" s="357" t="str">
        <f>Daily!G479</f>
        <v/>
      </c>
      <c r="CC28" s="357" t="str">
        <f>Daily!G510</f>
        <v/>
      </c>
      <c r="CD28" s="357" t="str">
        <f>Daily!G540</f>
        <v/>
      </c>
      <c r="CE28" s="357" t="str">
        <f>Daily!G571</f>
        <v/>
      </c>
      <c r="CF28" s="357" t="str">
        <f>Daily!G601</f>
        <v/>
      </c>
      <c r="CG28" s="349"/>
      <c r="CH28" s="356">
        <v>26</v>
      </c>
      <c r="CI28" s="358" t="str">
        <f>IF(Daily!I54=0,"",Daily!I54)</f>
        <v/>
      </c>
      <c r="CJ28" s="358" t="str">
        <f>IF(Daily!I85=0,"",Daily!I85)</f>
        <v/>
      </c>
      <c r="CK28" s="358" t="str">
        <f>IF(Daily!I114=0,"",Daily!I114)</f>
        <v/>
      </c>
      <c r="CL28" s="358">
        <f>IF(Daily!I145=0,"",Daily!I145)</f>
        <v>18.567518324572045</v>
      </c>
      <c r="CM28" s="358" t="str">
        <f>IF(Daily!I1525=0,"",Daily!I175)</f>
        <v/>
      </c>
      <c r="CN28" s="358">
        <f>IF(Daily!I206=0,"",Daily!I206)</f>
        <v>157.5341694659827</v>
      </c>
      <c r="CO28" s="358">
        <f>IF(Daily!I236=0,"",Daily!I236)</f>
        <v>299.62433071463738</v>
      </c>
      <c r="CP28" s="358">
        <f>IF(Daily!I267=0,"",Daily!I267)</f>
        <v>421.86714544589807</v>
      </c>
      <c r="CQ28" s="358">
        <f>IF(Daily!I298=0,"",Daily!I298)</f>
        <v>487.49000893692067</v>
      </c>
      <c r="CR28" s="358" t="str">
        <f>IF(Daily!I328=0,"",Daily!I328)</f>
        <v/>
      </c>
      <c r="CS28" s="358" t="str">
        <f>IF(Daily!I359=0,"",Daily!I359)</f>
        <v/>
      </c>
      <c r="CT28" s="358" t="str">
        <f>IF(Daily!I389=0,"",Daily!I389)</f>
        <v/>
      </c>
      <c r="CU28" s="358" t="str">
        <f>IF(Daily!I420=0,"",Daily!I420)</f>
        <v/>
      </c>
      <c r="CV28" s="358" t="str">
        <f>IF(Daily!I451=0,"",Daily!I451)</f>
        <v/>
      </c>
      <c r="CW28" s="358" t="str">
        <f>IF(Daily!I479=0,"",Daily!I479)</f>
        <v/>
      </c>
      <c r="CX28" s="358" t="str">
        <f>IF(Daily!I510=0,"",Daily!I510)</f>
        <v/>
      </c>
      <c r="CY28" s="358" t="str">
        <f>IF(Daily!I540=0,"",Daily!I540)</f>
        <v/>
      </c>
      <c r="CZ28" s="358" t="str">
        <f>IF(Daily!I571=0,"",Daily!I571)</f>
        <v/>
      </c>
      <c r="DA28" s="358" t="str">
        <f>IF(Daily!I601=0,"",Daily!I601)</f>
        <v/>
      </c>
      <c r="DB28" s="349"/>
      <c r="DC28" s="356">
        <v>26</v>
      </c>
      <c r="DD28" s="357" t="str">
        <f>IF(ISNA(Daily!F54),"",Daily!F54)</f>
        <v/>
      </c>
      <c r="DE28" s="357" t="str">
        <f>IF(ISNA(Daily!F85),"",Daily!F85)</f>
        <v/>
      </c>
      <c r="DF28" s="357" t="str">
        <f>IF(ISNA(Daily!F114),"",Daily!F114)</f>
        <v/>
      </c>
      <c r="DG28" s="357">
        <f>IF(ISNA(Daily!F145),"",Daily!F145)</f>
        <v>0.8102962140161466</v>
      </c>
      <c r="DH28" s="357">
        <f>IF(ISNA(Daily!F175),"",Daily!F175)</f>
        <v>0.85692844430642034</v>
      </c>
      <c r="DI28" s="357">
        <f>IF(ISNA(Daily!F206),"",Daily!F206)</f>
        <v>1.0376283366812304</v>
      </c>
      <c r="DJ28" s="357">
        <f>IF(ISNA(Daily!F236),"",Daily!F236)</f>
        <v>1.0551154230400821</v>
      </c>
      <c r="DK28" s="357">
        <f>IF(ISNA(Daily!F267),"",Daily!F267)</f>
        <v>1.003381199677716</v>
      </c>
      <c r="DL28" s="357">
        <f>IF(ISNA(Daily!F298),"",Daily!F298)</f>
        <v>0.77427249621580896</v>
      </c>
      <c r="DM28" s="357" t="str">
        <f>IF(ISNA(Daily!F328),"",Daily!F328)</f>
        <v/>
      </c>
      <c r="DN28" s="357" t="str">
        <f>IF(ISNA(Daily!F359),"",Daily!F359)</f>
        <v/>
      </c>
      <c r="DO28" s="357" t="str">
        <f>IF(ISNA(Daily!F389),"",Daily!F389)</f>
        <v/>
      </c>
      <c r="DP28" s="357" t="str">
        <f>IF(ISNA(Daily!F420),"",Daily!F420)</f>
        <v/>
      </c>
      <c r="DQ28" s="357" t="str">
        <f>IF(ISNA(Daily!F451),"",Daily!F451)</f>
        <v/>
      </c>
      <c r="DR28" s="357" t="str">
        <f>IF(ISNA(Daily!F480),"",Daily!F480)</f>
        <v/>
      </c>
      <c r="DS28" s="357" t="str">
        <f>IF(ISNA(Daily!F510),"",Daily!F510)</f>
        <v/>
      </c>
      <c r="DT28" s="357" t="str">
        <f>IF(ISNA(Daily!F540),"",Daily!F540)</f>
        <v/>
      </c>
      <c r="DU28" s="357" t="str">
        <f>IF(ISNA(Daily!F571),"",Daily!F571)</f>
        <v/>
      </c>
      <c r="DV28" s="357" t="str">
        <f>IF(ISNA(Daily!F601),"",Daily!G601)</f>
        <v/>
      </c>
      <c r="DW28" s="349"/>
      <c r="DX28" s="356">
        <v>26</v>
      </c>
      <c r="DY28" s="357" t="str">
        <f>Daily!H54</f>
        <v/>
      </c>
      <c r="DZ28" s="357" t="str">
        <f>Daily!H85</f>
        <v/>
      </c>
      <c r="EA28" s="357" t="str">
        <f>Daily!H114</f>
        <v/>
      </c>
      <c r="EB28" s="357">
        <f>Daily!H145</f>
        <v>0.17104005929133084</v>
      </c>
      <c r="EC28" s="357">
        <f>Daily!H175</f>
        <v>2.7610095673955763</v>
      </c>
      <c r="ED28" s="357">
        <f>Daily!H206</f>
        <v>4.6090824803765251</v>
      </c>
      <c r="EE28" s="357">
        <f>Daily!H236</f>
        <v>4.7337611271868942</v>
      </c>
      <c r="EF28" s="357">
        <f>Daily!H267</f>
        <v>3.2828997925924805</v>
      </c>
      <c r="EG28" s="357">
        <f>Daily!H298</f>
        <v>1.7298197329803691</v>
      </c>
      <c r="EH28" s="357" t="str">
        <f>Daily!H328</f>
        <v/>
      </c>
      <c r="EI28" s="357" t="str">
        <f>Daily!H359</f>
        <v/>
      </c>
      <c r="EJ28" s="357" t="str">
        <f>Daily!H389</f>
        <v/>
      </c>
      <c r="EK28" s="357" t="str">
        <f>Daily!H420</f>
        <v/>
      </c>
      <c r="EL28" s="357" t="str">
        <f>Daily!H451</f>
        <v/>
      </c>
      <c r="EM28" s="357" t="str">
        <f>Daily!H479</f>
        <v/>
      </c>
      <c r="EN28" s="357" t="str">
        <f>Daily!H510</f>
        <v/>
      </c>
      <c r="EO28" s="357" t="str">
        <f>Daily!H540</f>
        <v/>
      </c>
      <c r="EP28" s="357" t="str">
        <f>Daily!H571</f>
        <v/>
      </c>
      <c r="EQ28" s="357" t="str">
        <f>Daily!H601</f>
        <v/>
      </c>
      <c r="ER28" s="349"/>
      <c r="ES28" s="356">
        <v>26</v>
      </c>
      <c r="ET28" s="358" t="str">
        <f>IF(Daily!J54=0,"",Daily!J54)</f>
        <v/>
      </c>
      <c r="EU28" s="358" t="str">
        <f>IF(Daily!J85=0,"",Daily!J85)</f>
        <v/>
      </c>
      <c r="EV28" s="358" t="str">
        <f>IF(Daily!J114=0,"",Daily!J114)</f>
        <v/>
      </c>
      <c r="EW28" s="358">
        <f>IF(Daily!J145=0,"",Daily!J145)</f>
        <v>16.832844130832974</v>
      </c>
      <c r="EX28" s="358">
        <f>IF(Daily!J175=0,"",Daily!J175)</f>
        <v>75.660066799465667</v>
      </c>
      <c r="EY28" s="358">
        <f>IF(Daily!J206=0,"",Daily!J206)</f>
        <v>196.56975602333813</v>
      </c>
      <c r="EZ28" s="358">
        <f>IF(Daily!J236=0,"",Daily!J236)</f>
        <v>338.40165056474001</v>
      </c>
      <c r="FA28" s="358">
        <f>IF(Daily!J267=0,"",Daily!J267)</f>
        <v>461.58440901451951</v>
      </c>
      <c r="FB28" s="358">
        <f>IF(Daily!J298=0,"",Daily!J298)</f>
        <v>525.3638618852525</v>
      </c>
      <c r="FC28" s="358" t="str">
        <f>IF(Daily!J328=0,"",Daily!J328)</f>
        <v/>
      </c>
      <c r="FD28" s="358" t="str">
        <f>IF(Daily!J359=0,"",Daily!J359)</f>
        <v/>
      </c>
      <c r="FE28" s="358" t="str">
        <f>IF(Daily!J389=0,"",Daily!J389)</f>
        <v/>
      </c>
      <c r="FF28" s="358" t="str">
        <f>IF(Daily!J420=0,"",Daily!J420)</f>
        <v/>
      </c>
      <c r="FG28" s="358" t="str">
        <f>IF(Daily!J451=0,"",Daily!J451)</f>
        <v/>
      </c>
      <c r="FH28" s="358" t="str">
        <f>IF(Daily!J479=0,"",Daily!J479)</f>
        <v/>
      </c>
      <c r="FI28" s="358" t="str">
        <f>IF(Daily!J510=0,"",Daily!J510)</f>
        <v/>
      </c>
      <c r="FJ28" s="358" t="str">
        <f>IF(Daily!J540=0,"",Daily!J540)</f>
        <v/>
      </c>
      <c r="FK28" s="358" t="str">
        <f>IF(Daily!J571=0,"",Daily!J571)</f>
        <v/>
      </c>
      <c r="FL28" s="358" t="str">
        <f>IF(Daily!J601=0,"",Daily!J601)</f>
        <v/>
      </c>
      <c r="FM28" s="349"/>
    </row>
    <row r="29" spans="1:169">
      <c r="A29" s="349"/>
      <c r="B29" s="356">
        <v>27</v>
      </c>
      <c r="C29" s="357" t="str">
        <f>Daily!D55</f>
        <v/>
      </c>
      <c r="D29" s="357" t="str">
        <f>Daily!D86</f>
        <v/>
      </c>
      <c r="E29" s="357" t="str">
        <f>Daily!D115</f>
        <v/>
      </c>
      <c r="F29" s="357">
        <f>Daily!D146</f>
        <v>0.59277586936260729</v>
      </c>
      <c r="G29" s="357">
        <f>Daily!D176</f>
        <v>0.39806745792385134</v>
      </c>
      <c r="H29" s="357">
        <f>Daily!D207</f>
        <v>0.19273237731476053</v>
      </c>
      <c r="I29" s="357">
        <f>Daily!D237</f>
        <v>0.25898671584316968</v>
      </c>
      <c r="J29" s="357">
        <f>Daily!D268</f>
        <v>0.17184510563594038</v>
      </c>
      <c r="K29" s="357">
        <f>Daily!D299</f>
        <v>0.49662190218803759</v>
      </c>
      <c r="L29" s="357" t="str">
        <f>Daily!D329</f>
        <v/>
      </c>
      <c r="M29" s="357" t="str">
        <f>Daily!D360</f>
        <v/>
      </c>
      <c r="N29" s="357" t="str">
        <f>Daily!D390</f>
        <v/>
      </c>
      <c r="O29" s="357" t="str">
        <f>Daily!D421</f>
        <v/>
      </c>
      <c r="P29" s="357" t="str">
        <f>Daily!D452</f>
        <v/>
      </c>
      <c r="Q29" s="357" t="str">
        <f>Daily!D480</f>
        <v/>
      </c>
      <c r="R29" s="357" t="str">
        <f>Daily!D511</f>
        <v/>
      </c>
      <c r="S29" s="357" t="str">
        <f>Daily!D541</f>
        <v/>
      </c>
      <c r="T29" s="357" t="str">
        <f>Daily!D572</f>
        <v/>
      </c>
      <c r="U29" s="357" t="str">
        <f>Daily!D602</f>
        <v/>
      </c>
      <c r="V29" s="349"/>
      <c r="W29" s="356">
        <v>27</v>
      </c>
      <c r="X29" s="357">
        <f>Daily!C55</f>
        <v>0.2718053562480085</v>
      </c>
      <c r="Y29" s="357">
        <f>Daily!C86</f>
        <v>0.50865297494834683</v>
      </c>
      <c r="Z29" s="357">
        <f>Daily!C115</f>
        <v>0.68732022495647926</v>
      </c>
      <c r="AA29" s="357">
        <f>Daily!C146</f>
        <v>0.15562453823735539</v>
      </c>
      <c r="AB29" s="357">
        <f>Daily!C176</f>
        <v>2.8444012802599774</v>
      </c>
      <c r="AC29" s="357">
        <f>Daily!C207</f>
        <v>3.9969408725133637</v>
      </c>
      <c r="AD29" s="357">
        <f>Daily!C237</f>
        <v>3.6827022385919621</v>
      </c>
      <c r="AE29" s="357">
        <f>Daily!C268</f>
        <v>2.394984867373108</v>
      </c>
      <c r="AF29" s="357">
        <f>Daily!C299</f>
        <v>2.090242492287</v>
      </c>
      <c r="AG29" s="357">
        <f>Daily!C329</f>
        <v>0.60504683058495901</v>
      </c>
      <c r="AH29" s="357">
        <f>Daily!C360</f>
        <v>0.29495653341181693</v>
      </c>
      <c r="AI29" s="357">
        <f>Daily!C390</f>
        <v>0.31620608472521305</v>
      </c>
      <c r="AJ29" s="357">
        <f>Daily!C421</f>
        <v>0.2718053562480085</v>
      </c>
      <c r="AK29" s="357">
        <f>Daily!C452</f>
        <v>0.50865297494834683</v>
      </c>
      <c r="AL29" s="357">
        <f>Daily!C480</f>
        <v>1.0646170170755511</v>
      </c>
      <c r="AM29" s="357">
        <f>Daily!C511</f>
        <v>0.21108337461382062</v>
      </c>
      <c r="AN29" s="357">
        <f>Daily!C541</f>
        <v>3.2219838024285434</v>
      </c>
      <c r="AO29" s="357">
        <f>Daily!C572</f>
        <v>4.4419396786312708</v>
      </c>
      <c r="AP29" s="357">
        <f>Daily!C602</f>
        <v>4.4864865244293437</v>
      </c>
      <c r="AQ29" s="349"/>
      <c r="AR29" s="356">
        <v>27</v>
      </c>
      <c r="AS29" s="357" t="str">
        <f>IF(ISNA(Daily!E55),"",Daily!E55)</f>
        <v/>
      </c>
      <c r="AT29" s="357" t="str">
        <f>IF(ISNA(Daily!E86),"",Daily!E86)</f>
        <v/>
      </c>
      <c r="AU29" s="357" t="str">
        <f>IF(ISNA(Daily!E115),"",Daily!E115)</f>
        <v/>
      </c>
      <c r="AV29" s="357">
        <f>IF(ISNA(Daily!E146),"",Daily!E146)</f>
        <v>0.59277586936260729</v>
      </c>
      <c r="AW29" s="357">
        <f>IF(ISNA(Daily!E176),"",Daily!E176)</f>
        <v>0.39806745792385134</v>
      </c>
      <c r="AX29" s="357">
        <f>IF(ISNA(Daily!E207),"",Daily!E207)</f>
        <v>1.0095238095238104</v>
      </c>
      <c r="AY29" s="357">
        <f>IF(ISNA(Daily!E237),"",Daily!E237)</f>
        <v>1.0500000000000007</v>
      </c>
      <c r="AZ29" s="357">
        <f>IF(ISNA(Daily!E268),"",Daily!E268)</f>
        <v>0.9642857142857153</v>
      </c>
      <c r="BA29" s="357">
        <f>IF(ISNA(Daily!E299),"",Daily!E299)</f>
        <v>0.63214285714285934</v>
      </c>
      <c r="BB29" s="357" t="str">
        <f>IF(ISNA(Daily!E329),"",Daily!E329)</f>
        <v/>
      </c>
      <c r="BC29" s="357" t="str">
        <f>IF(ISNA(Daily!E360),"",Daily!E360)</f>
        <v/>
      </c>
      <c r="BD29" s="357" t="str">
        <f>IF(ISNA(Daily!E390),"",Daily!E390)</f>
        <v/>
      </c>
      <c r="BE29" s="357" t="str">
        <f>IF(ISNA(Daily!E421),"",Daily!E421)</f>
        <v/>
      </c>
      <c r="BF29" s="357" t="str">
        <f>IF(ISNA(Daily!E452),"",Daily!E452)</f>
        <v/>
      </c>
      <c r="BG29" s="357" t="str">
        <f>IF(ISNA(Daily!E480),"",Daily!E480)</f>
        <v/>
      </c>
      <c r="BH29" s="357" t="str">
        <f>IF(ISNA(Daily!E511),"",Daily!E511)</f>
        <v/>
      </c>
      <c r="BI29" s="357" t="str">
        <f>IF(ISNA(Daily!E541),"",Daily!E541)</f>
        <v/>
      </c>
      <c r="BJ29" s="357" t="str">
        <f>IF(ISNA(Daily!E572),"",Daily!E572)</f>
        <v/>
      </c>
      <c r="BK29" s="357" t="str">
        <f>IF(ISNA(Daily!E602),"",Daily!E602)</f>
        <v/>
      </c>
      <c r="BL29" s="349"/>
      <c r="BM29" s="356">
        <v>27</v>
      </c>
      <c r="BN29" s="357" t="str">
        <f>Daily!G55</f>
        <v/>
      </c>
      <c r="BO29" s="357" t="str">
        <f>Daily!G86</f>
        <v/>
      </c>
      <c r="BP29" s="357" t="str">
        <f>Daily!G115</f>
        <v/>
      </c>
      <c r="BQ29" s="357">
        <f>Daily!G146</f>
        <v>9.2250470947802657E-2</v>
      </c>
      <c r="BR29" s="357">
        <f>Daily!G176</f>
        <v>1.1322635869484374</v>
      </c>
      <c r="BS29" s="357">
        <f>Daily!G207</f>
        <v>4.0350069760611138</v>
      </c>
      <c r="BT29" s="357">
        <f>Daily!G237</f>
        <v>3.8668373505215627</v>
      </c>
      <c r="BU29" s="357">
        <f>Daily!G268</f>
        <v>2.3094496935383564</v>
      </c>
      <c r="BV29" s="357">
        <f>Daily!G299</f>
        <v>1.3213318611957152</v>
      </c>
      <c r="BW29" s="357" t="str">
        <f>Daily!G329</f>
        <v/>
      </c>
      <c r="BX29" s="357" t="str">
        <f>Daily!G360</f>
        <v/>
      </c>
      <c r="BY29" s="357" t="str">
        <f>Daily!G390</f>
        <v/>
      </c>
      <c r="BZ29" s="357" t="str">
        <f>Daily!G421</f>
        <v/>
      </c>
      <c r="CA29" s="357" t="str">
        <f>Daily!G452</f>
        <v/>
      </c>
      <c r="CB29" s="357" t="str">
        <f>Daily!G480</f>
        <v/>
      </c>
      <c r="CC29" s="357" t="str">
        <f>Daily!G511</f>
        <v/>
      </c>
      <c r="CD29" s="357" t="str">
        <f>Daily!G541</f>
        <v/>
      </c>
      <c r="CE29" s="357" t="str">
        <f>Daily!G572</f>
        <v/>
      </c>
      <c r="CF29" s="357" t="str">
        <f>Daily!G602</f>
        <v/>
      </c>
      <c r="CG29" s="349"/>
      <c r="CH29" s="356">
        <v>27</v>
      </c>
      <c r="CI29" s="358" t="str">
        <f>IF(Daily!I55=0,"",Daily!I55)</f>
        <v/>
      </c>
      <c r="CJ29" s="358" t="str">
        <f>IF(Daily!I86=0,"",Daily!I86)</f>
        <v/>
      </c>
      <c r="CK29" s="358" t="str">
        <f>IF(Daily!I115=0,"",Daily!I115)</f>
        <v/>
      </c>
      <c r="CL29" s="358">
        <f>IF(Daily!I146=0,"",Daily!I146)</f>
        <v>18.659768795519849</v>
      </c>
      <c r="CM29" s="358" t="str">
        <f>IF(Daily!I1526=0,"",Daily!I176)</f>
        <v/>
      </c>
      <c r="CN29" s="358">
        <f>IF(Daily!I207=0,"",Daily!I207)</f>
        <v>161.56917644204381</v>
      </c>
      <c r="CO29" s="358">
        <f>IF(Daily!I237=0,"",Daily!I237)</f>
        <v>303.49116806515894</v>
      </c>
      <c r="CP29" s="358">
        <f>IF(Daily!I268=0,"",Daily!I268)</f>
        <v>424.17659513943642</v>
      </c>
      <c r="CQ29" s="358">
        <f>IF(Daily!I299=0,"",Daily!I299)</f>
        <v>488.81134079811636</v>
      </c>
      <c r="CR29" s="358" t="str">
        <f>IF(Daily!I329=0,"",Daily!I329)</f>
        <v/>
      </c>
      <c r="CS29" s="358" t="str">
        <f>IF(Daily!I360=0,"",Daily!I360)</f>
        <v/>
      </c>
      <c r="CT29" s="358" t="str">
        <f>IF(Daily!I390=0,"",Daily!I390)</f>
        <v/>
      </c>
      <c r="CU29" s="358" t="str">
        <f>IF(Daily!I421=0,"",Daily!I421)</f>
        <v/>
      </c>
      <c r="CV29" s="358" t="str">
        <f>IF(Daily!I452=0,"",Daily!I452)</f>
        <v/>
      </c>
      <c r="CW29" s="358" t="str">
        <f>IF(Daily!I480=0,"",Daily!I480)</f>
        <v/>
      </c>
      <c r="CX29" s="358" t="str">
        <f>IF(Daily!I511=0,"",Daily!I511)</f>
        <v/>
      </c>
      <c r="CY29" s="358" t="str">
        <f>IF(Daily!I541=0,"",Daily!I541)</f>
        <v/>
      </c>
      <c r="CZ29" s="358" t="str">
        <f>IF(Daily!I572=0,"",Daily!I572)</f>
        <v/>
      </c>
      <c r="DA29" s="358" t="str">
        <f>IF(Daily!I602=0,"",Daily!I602)</f>
        <v/>
      </c>
      <c r="DB29" s="349"/>
      <c r="DC29" s="356">
        <v>27</v>
      </c>
      <c r="DD29" s="357" t="str">
        <f>IF(ISNA(Daily!F55),"",Daily!F55)</f>
        <v/>
      </c>
      <c r="DE29" s="357" t="str">
        <f>IF(ISNA(Daily!F86),"",Daily!F86)</f>
        <v/>
      </c>
      <c r="DF29" s="357" t="str">
        <f>IF(ISNA(Daily!F115),"",Daily!F115)</f>
        <v/>
      </c>
      <c r="DG29" s="357">
        <f>IF(ISNA(Daily!F146),"",Daily!F146)</f>
        <v>0.8102962140161466</v>
      </c>
      <c r="DH29" s="357">
        <f>IF(ISNA(Daily!F176),"",Daily!F176)</f>
        <v>0.86275747309270456</v>
      </c>
      <c r="DI29" s="357">
        <f>IF(ISNA(Daily!F207),"",Daily!F207)</f>
        <v>1.0434573654675146</v>
      </c>
      <c r="DJ29" s="357">
        <f>IF(ISNA(Daily!F237),"",Daily!F237)</f>
        <v>1.0551154230400821</v>
      </c>
      <c r="DK29" s="357">
        <f>IF(ISNA(Daily!F268),"",Daily!F268)</f>
        <v>0.99599059634023512</v>
      </c>
      <c r="DL29" s="357">
        <f>IF(ISNA(Daily!F299),"",Daily!F299)</f>
        <v>0.76688189287832809</v>
      </c>
      <c r="DM29" s="357" t="str">
        <f>IF(ISNA(Daily!F329),"",Daily!F329)</f>
        <v/>
      </c>
      <c r="DN29" s="357" t="str">
        <f>IF(ISNA(Daily!F360),"",Daily!F360)</f>
        <v/>
      </c>
      <c r="DO29" s="357" t="str">
        <f>IF(ISNA(Daily!F390),"",Daily!F390)</f>
        <v/>
      </c>
      <c r="DP29" s="357" t="str">
        <f>IF(ISNA(Daily!F421),"",Daily!F421)</f>
        <v/>
      </c>
      <c r="DQ29" s="357" t="str">
        <f>IF(ISNA(Daily!F452),"",Daily!F452)</f>
        <v/>
      </c>
      <c r="DR29" s="357" t="str">
        <f>IF(ISNA(Daily!F481),"",Daily!F481)</f>
        <v/>
      </c>
      <c r="DS29" s="357" t="str">
        <f>IF(ISNA(Daily!F511),"",Daily!F511)</f>
        <v/>
      </c>
      <c r="DT29" s="357" t="str">
        <f>IF(ISNA(Daily!F541),"",Daily!F541)</f>
        <v/>
      </c>
      <c r="DU29" s="357" t="str">
        <f>IF(ISNA(Daily!F572),"",Daily!F572)</f>
        <v/>
      </c>
      <c r="DV29" s="357" t="str">
        <f>IF(ISNA(Daily!F602),"",Daily!G602)</f>
        <v/>
      </c>
      <c r="DW29" s="349"/>
      <c r="DX29" s="356">
        <v>27</v>
      </c>
      <c r="DY29" s="357" t="str">
        <f>Daily!H55</f>
        <v/>
      </c>
      <c r="DZ29" s="357" t="str">
        <f>Daily!H86</f>
        <v/>
      </c>
      <c r="EA29" s="357" t="str">
        <f>Daily!H115</f>
        <v/>
      </c>
      <c r="EB29" s="357">
        <f>Daily!H146</f>
        <v>0.12610197414174013</v>
      </c>
      <c r="EC29" s="357">
        <f>Daily!H176</f>
        <v>2.4540284610187517</v>
      </c>
      <c r="ED29" s="357">
        <f>Daily!H207</f>
        <v>4.1706373927622238</v>
      </c>
      <c r="EE29" s="357">
        <f>Daily!H237</f>
        <v>3.8856759304026154</v>
      </c>
      <c r="EF29" s="357">
        <f>Daily!H268</f>
        <v>2.3853824062807809</v>
      </c>
      <c r="EG29" s="357">
        <f>Daily!H299</f>
        <v>1.6029691190597686</v>
      </c>
      <c r="EH29" s="357" t="str">
        <f>Daily!H329</f>
        <v/>
      </c>
      <c r="EI29" s="357" t="str">
        <f>Daily!H360</f>
        <v/>
      </c>
      <c r="EJ29" s="357" t="str">
        <f>Daily!H390</f>
        <v/>
      </c>
      <c r="EK29" s="357" t="str">
        <f>Daily!H421</f>
        <v/>
      </c>
      <c r="EL29" s="357" t="str">
        <f>Daily!H452</f>
        <v/>
      </c>
      <c r="EM29" s="357" t="str">
        <f>Daily!H480</f>
        <v/>
      </c>
      <c r="EN29" s="357" t="str">
        <f>Daily!H511</f>
        <v/>
      </c>
      <c r="EO29" s="357" t="str">
        <f>Daily!H541</f>
        <v/>
      </c>
      <c r="EP29" s="357" t="str">
        <f>Daily!H572</f>
        <v/>
      </c>
      <c r="EQ29" s="357" t="str">
        <f>Daily!H602</f>
        <v/>
      </c>
      <c r="ER29" s="349"/>
      <c r="ES29" s="356">
        <v>27</v>
      </c>
      <c r="ET29" s="358" t="str">
        <f>IF(Daily!J55=0,"",Daily!J55)</f>
        <v/>
      </c>
      <c r="EU29" s="358" t="str">
        <f>IF(Daily!J86=0,"",Daily!J86)</f>
        <v/>
      </c>
      <c r="EV29" s="358" t="str">
        <f>IF(Daily!J115=0,"",Daily!J115)</f>
        <v/>
      </c>
      <c r="EW29" s="358">
        <f>IF(Daily!J146=0,"",Daily!J146)</f>
        <v>16.958946104974714</v>
      </c>
      <c r="EX29" s="358">
        <f>IF(Daily!J176=0,"",Daily!J176)</f>
        <v>78.114095260484419</v>
      </c>
      <c r="EY29" s="358">
        <f>IF(Daily!J207=0,"",Daily!J207)</f>
        <v>200.74039341610035</v>
      </c>
      <c r="EZ29" s="358">
        <f>IF(Daily!J237=0,"",Daily!J237)</f>
        <v>342.28732649514262</v>
      </c>
      <c r="FA29" s="358">
        <f>IF(Daily!J268=0,"",Daily!J268)</f>
        <v>463.96979142080028</v>
      </c>
      <c r="FB29" s="358">
        <f>IF(Daily!J299=0,"",Daily!J299)</f>
        <v>526.96683100431233</v>
      </c>
      <c r="FC29" s="358" t="str">
        <f>IF(Daily!J329=0,"",Daily!J329)</f>
        <v/>
      </c>
      <c r="FD29" s="358" t="str">
        <f>IF(Daily!J360=0,"",Daily!J360)</f>
        <v/>
      </c>
      <c r="FE29" s="358" t="str">
        <f>IF(Daily!J390=0,"",Daily!J390)</f>
        <v/>
      </c>
      <c r="FF29" s="358" t="str">
        <f>IF(Daily!J421=0,"",Daily!J421)</f>
        <v/>
      </c>
      <c r="FG29" s="358" t="str">
        <f>IF(Daily!J452=0,"",Daily!J452)</f>
        <v/>
      </c>
      <c r="FH29" s="358" t="str">
        <f>IF(Daily!J480=0,"",Daily!J480)</f>
        <v/>
      </c>
      <c r="FI29" s="358" t="str">
        <f>IF(Daily!J511=0,"",Daily!J511)</f>
        <v/>
      </c>
      <c r="FJ29" s="358" t="str">
        <f>IF(Daily!J541=0,"",Daily!J541)</f>
        <v/>
      </c>
      <c r="FK29" s="358" t="str">
        <f>IF(Daily!J572=0,"",Daily!J572)</f>
        <v/>
      </c>
      <c r="FL29" s="358" t="str">
        <f>IF(Daily!J602=0,"",Daily!J602)</f>
        <v/>
      </c>
      <c r="FM29" s="349"/>
    </row>
    <row r="30" spans="1:169">
      <c r="A30" s="349"/>
      <c r="B30" s="356">
        <v>28</v>
      </c>
      <c r="C30" s="357" t="str">
        <f>Daily!D56</f>
        <v/>
      </c>
      <c r="D30" s="357" t="str">
        <f>Daily!D87</f>
        <v/>
      </c>
      <c r="E30" s="357" t="str">
        <f>Daily!D116</f>
        <v/>
      </c>
      <c r="F30" s="357">
        <f>Daily!D147</f>
        <v>0.5896377813463185</v>
      </c>
      <c r="G30" s="357">
        <f>Daily!D177</f>
        <v>0.38266380828212304</v>
      </c>
      <c r="H30" s="357">
        <f>Daily!D208</f>
        <v>0.19062618489896585</v>
      </c>
      <c r="I30" s="357">
        <f>Daily!D238</f>
        <v>0.25285559191667994</v>
      </c>
      <c r="J30" s="357">
        <f>Daily!D269</f>
        <v>0.17048771832224113</v>
      </c>
      <c r="K30" s="357">
        <f>Daily!D300</f>
        <v>0.48072114497640106</v>
      </c>
      <c r="L30" s="357" t="str">
        <f>Daily!D330</f>
        <v/>
      </c>
      <c r="M30" s="357" t="str">
        <f>Daily!D361</f>
        <v/>
      </c>
      <c r="N30" s="357" t="str">
        <f>Daily!D391</f>
        <v/>
      </c>
      <c r="O30" s="357" t="str">
        <f>Daily!D422</f>
        <v/>
      </c>
      <c r="P30" s="357" t="str">
        <f>Daily!D453</f>
        <v/>
      </c>
      <c r="Q30" s="357" t="str">
        <f>Daily!D481</f>
        <v/>
      </c>
      <c r="R30" s="357" t="str">
        <f>Daily!D512</f>
        <v/>
      </c>
      <c r="S30" s="357" t="str">
        <f>Daily!D542</f>
        <v/>
      </c>
      <c r="T30" s="357" t="str">
        <f>Daily!D573</f>
        <v/>
      </c>
      <c r="U30" s="357" t="str">
        <f>Daily!D603</f>
        <v/>
      </c>
      <c r="V30" s="349"/>
      <c r="W30" s="356">
        <v>28</v>
      </c>
      <c r="X30" s="357">
        <f>Daily!C56</f>
        <v>0.3157483417393101</v>
      </c>
      <c r="Y30" s="357">
        <f>Daily!C87</f>
        <v>0.83577336875360686</v>
      </c>
      <c r="Z30" s="357">
        <f>Daily!C116</f>
        <v>2.3931185072781882</v>
      </c>
      <c r="AA30" s="357">
        <f>Daily!C147</f>
        <v>0.19878373475728461</v>
      </c>
      <c r="AB30" s="357">
        <f>Daily!C177</f>
        <v>3.3058542029797064</v>
      </c>
      <c r="AC30" s="357">
        <f>Daily!C208</f>
        <v>3.6508180022650345</v>
      </c>
      <c r="AD30" s="357">
        <f>Daily!C238</f>
        <v>4.5469371783869423</v>
      </c>
      <c r="AE30" s="357">
        <f>Daily!C269</f>
        <v>3.2809923263348102</v>
      </c>
      <c r="AF30" s="357">
        <f>Daily!C300</f>
        <v>1.7635447241882989</v>
      </c>
      <c r="AG30" s="357">
        <f>Daily!C330</f>
        <v>0.63018231399244962</v>
      </c>
      <c r="AH30" s="357">
        <f>Daily!C361</f>
        <v>0.42152958426195597</v>
      </c>
      <c r="AI30" s="357">
        <f>Daily!C391</f>
        <v>0.26095749933563839</v>
      </c>
      <c r="AJ30" s="357">
        <f>Daily!C422</f>
        <v>0.3157483417393101</v>
      </c>
      <c r="AK30" s="357">
        <f>Daily!C453</f>
        <v>0.83577336875360686</v>
      </c>
      <c r="AL30" s="357">
        <f>Daily!C481</f>
        <v>0.68732022495647926</v>
      </c>
      <c r="AM30" s="357">
        <f>Daily!C512</f>
        <v>0.15562453823735539</v>
      </c>
      <c r="AN30" s="357">
        <f>Daily!C542</f>
        <v>2.8444012802599774</v>
      </c>
      <c r="AO30" s="357">
        <f>Daily!C573</f>
        <v>3.9969408725133637</v>
      </c>
      <c r="AP30" s="357">
        <f>Daily!C603</f>
        <v>3.6827022385919621</v>
      </c>
      <c r="AQ30" s="349"/>
      <c r="AR30" s="356">
        <v>28</v>
      </c>
      <c r="AS30" s="357" t="str">
        <f>IF(ISNA(Daily!E56),"",Daily!E56)</f>
        <v/>
      </c>
      <c r="AT30" s="357" t="str">
        <f>IF(ISNA(Daily!E87),"",Daily!E87)</f>
        <v/>
      </c>
      <c r="AU30" s="357" t="str">
        <f>IF(ISNA(Daily!E116),"",Daily!E116)</f>
        <v/>
      </c>
      <c r="AV30" s="357">
        <f>IF(ISNA(Daily!E147),"",Daily!E147)</f>
        <v>0.5896377813463185</v>
      </c>
      <c r="AW30" s="357">
        <f>IF(ISNA(Daily!E177),"",Daily!E177)</f>
        <v>0.40238095238095228</v>
      </c>
      <c r="AX30" s="357">
        <f>IF(ISNA(Daily!E208),"",Daily!E208)</f>
        <v>1.0297619047619055</v>
      </c>
      <c r="AY30" s="357">
        <f>IF(ISNA(Daily!E238),"",Daily!E238)</f>
        <v>1.0500000000000007</v>
      </c>
      <c r="AZ30" s="357">
        <f>IF(ISNA(Daily!E269),"",Daily!E269)</f>
        <v>0.95357142857142962</v>
      </c>
      <c r="BA30" s="357">
        <f>IF(ISNA(Daily!E300),"",Daily!E300)</f>
        <v>0.62142857142857366</v>
      </c>
      <c r="BB30" s="357" t="str">
        <f>IF(ISNA(Daily!E330),"",Daily!E330)</f>
        <v/>
      </c>
      <c r="BC30" s="357" t="str">
        <f>IF(ISNA(Daily!E361),"",Daily!E361)</f>
        <v/>
      </c>
      <c r="BD30" s="357" t="str">
        <f>IF(ISNA(Daily!E391),"",Daily!E391)</f>
        <v/>
      </c>
      <c r="BE30" s="357" t="str">
        <f>IF(ISNA(Daily!E422),"",Daily!E422)</f>
        <v/>
      </c>
      <c r="BF30" s="357" t="str">
        <f>IF(ISNA(Daily!E453),"",Daily!E453)</f>
        <v/>
      </c>
      <c r="BG30" s="357" t="str">
        <f>IF(ISNA(Daily!E481),"",Daily!E481)</f>
        <v/>
      </c>
      <c r="BH30" s="357" t="str">
        <f>IF(ISNA(Daily!E512),"",Daily!E512)</f>
        <v/>
      </c>
      <c r="BI30" s="357" t="str">
        <f>IF(ISNA(Daily!E542),"",Daily!E542)</f>
        <v/>
      </c>
      <c r="BJ30" s="357" t="str">
        <f>IF(ISNA(Daily!E573),"",Daily!E573)</f>
        <v/>
      </c>
      <c r="BK30" s="357" t="str">
        <f>IF(ISNA(Daily!E603),"",Daily!E603)</f>
        <v/>
      </c>
      <c r="BL30" s="349"/>
      <c r="BM30" s="356">
        <v>28</v>
      </c>
      <c r="BN30" s="357" t="str">
        <f>Daily!G56</f>
        <v/>
      </c>
      <c r="BO30" s="357" t="str">
        <f>Daily!G87</f>
        <v/>
      </c>
      <c r="BP30" s="357" t="str">
        <f>Daily!G116</f>
        <v/>
      </c>
      <c r="BQ30" s="357">
        <f>Daily!G147</f>
        <v>0.11721040033002036</v>
      </c>
      <c r="BR30" s="357">
        <f>Daily!G177</f>
        <v>1.3302127626275482</v>
      </c>
      <c r="BS30" s="357">
        <f>Daily!G208</f>
        <v>3.7594732999514968</v>
      </c>
      <c r="BT30" s="357">
        <f>Daily!G238</f>
        <v>4.7742840373062929</v>
      </c>
      <c r="BU30" s="357">
        <f>Daily!G269</f>
        <v>3.1286605397549834</v>
      </c>
      <c r="BV30" s="357">
        <f>Daily!G300</f>
        <v>1.0959170786027326</v>
      </c>
      <c r="BW30" s="357" t="str">
        <f>Daily!G330</f>
        <v/>
      </c>
      <c r="BX30" s="357" t="str">
        <f>Daily!G361</f>
        <v/>
      </c>
      <c r="BY30" s="357" t="str">
        <f>Daily!G391</f>
        <v/>
      </c>
      <c r="BZ30" s="357" t="str">
        <f>Daily!G422</f>
        <v/>
      </c>
      <c r="CA30" s="357" t="str">
        <f>Daily!G453</f>
        <v/>
      </c>
      <c r="CB30" s="357" t="str">
        <f>Daily!G481</f>
        <v/>
      </c>
      <c r="CC30" s="357" t="str">
        <f>Daily!G512</f>
        <v/>
      </c>
      <c r="CD30" s="357" t="str">
        <f>Daily!G542</f>
        <v/>
      </c>
      <c r="CE30" s="357" t="str">
        <f>Daily!G573</f>
        <v/>
      </c>
      <c r="CF30" s="357" t="str">
        <f>Daily!G603</f>
        <v/>
      </c>
      <c r="CG30" s="349"/>
      <c r="CH30" s="356">
        <v>28</v>
      </c>
      <c r="CI30" s="358" t="str">
        <f>IF(Daily!I56=0,"",Daily!I56)</f>
        <v/>
      </c>
      <c r="CJ30" s="358" t="str">
        <f>IF(Daily!I87=0,"",Daily!I87)</f>
        <v/>
      </c>
      <c r="CK30" s="358" t="str">
        <f>IF(Daily!I116=0,"",Daily!I116)</f>
        <v/>
      </c>
      <c r="CL30" s="358">
        <f>IF(Daily!I147=0,"",Daily!I147)</f>
        <v>18.776979195849869</v>
      </c>
      <c r="CM30" s="358" t="str">
        <f>IF(Daily!I1527=0,"",Daily!I177)</f>
        <v/>
      </c>
      <c r="CN30" s="358">
        <f>IF(Daily!I208=0,"",Daily!I208)</f>
        <v>165.32864974199532</v>
      </c>
      <c r="CO30" s="358">
        <f>IF(Daily!I238=0,"",Daily!I238)</f>
        <v>308.26545210246525</v>
      </c>
      <c r="CP30" s="358">
        <f>IF(Daily!I269=0,"",Daily!I269)</f>
        <v>427.30525567919142</v>
      </c>
      <c r="CQ30" s="358">
        <f>IF(Daily!I300=0,"",Daily!I300)</f>
        <v>489.90725787671909</v>
      </c>
      <c r="CR30" s="358" t="str">
        <f>IF(Daily!I330=0,"",Daily!I330)</f>
        <v/>
      </c>
      <c r="CS30" s="358" t="str">
        <f>IF(Daily!I361=0,"",Daily!I361)</f>
        <v/>
      </c>
      <c r="CT30" s="358" t="str">
        <f>IF(Daily!I391=0,"",Daily!I391)</f>
        <v/>
      </c>
      <c r="CU30" s="358" t="str">
        <f>IF(Daily!I422=0,"",Daily!I422)</f>
        <v/>
      </c>
      <c r="CV30" s="358" t="str">
        <f>IF(Daily!I453=0,"",Daily!I453)</f>
        <v/>
      </c>
      <c r="CW30" s="358" t="str">
        <f>IF(Daily!I481=0,"",Daily!I481)</f>
        <v/>
      </c>
      <c r="CX30" s="358" t="str">
        <f>IF(Daily!I512=0,"",Daily!I512)</f>
        <v/>
      </c>
      <c r="CY30" s="358" t="str">
        <f>IF(Daily!I542=0,"",Daily!I542)</f>
        <v/>
      </c>
      <c r="CZ30" s="358" t="str">
        <f>IF(Daily!I573=0,"",Daily!I573)</f>
        <v/>
      </c>
      <c r="DA30" s="358" t="str">
        <f>IF(Daily!I603=0,"",Daily!I603)</f>
        <v/>
      </c>
      <c r="DB30" s="349"/>
      <c r="DC30" s="356">
        <v>28</v>
      </c>
      <c r="DD30" s="357" t="str">
        <f>IF(ISNA(Daily!F56),"",Daily!F56)</f>
        <v/>
      </c>
      <c r="DE30" s="357" t="str">
        <f>IF(ISNA(Daily!F87),"",Daily!F87)</f>
        <v/>
      </c>
      <c r="DF30" s="357" t="str">
        <f>IF(ISNA(Daily!F116),"",Daily!F116)</f>
        <v/>
      </c>
      <c r="DG30" s="357">
        <f>IF(ISNA(Daily!F147),"",Daily!F147)</f>
        <v>0.8102962140161466</v>
      </c>
      <c r="DH30" s="357">
        <f>IF(ISNA(Daily!F177),"",Daily!F177)</f>
        <v>0.86858650187898878</v>
      </c>
      <c r="DI30" s="357">
        <f>IF(ISNA(Daily!F208),"",Daily!F208)</f>
        <v>1.0492863942537987</v>
      </c>
      <c r="DJ30" s="357">
        <f>IF(ISNA(Daily!F238),"",Daily!F238)</f>
        <v>1.0551154230400821</v>
      </c>
      <c r="DK30" s="357">
        <f>IF(ISNA(Daily!F269),"",Daily!F269)</f>
        <v>0.98859999300275425</v>
      </c>
      <c r="DL30" s="357">
        <f>IF(ISNA(Daily!F300),"",Daily!F300)</f>
        <v>0.75949128954084721</v>
      </c>
      <c r="DM30" s="357" t="str">
        <f>IF(ISNA(Daily!F330),"",Daily!F330)</f>
        <v/>
      </c>
      <c r="DN30" s="357" t="str">
        <f>IF(ISNA(Daily!F361),"",Daily!F361)</f>
        <v/>
      </c>
      <c r="DO30" s="357" t="str">
        <f>IF(ISNA(Daily!F391),"",Daily!F391)</f>
        <v/>
      </c>
      <c r="DP30" s="357" t="str">
        <f>IF(ISNA(Daily!F422),"",Daily!F422)</f>
        <v/>
      </c>
      <c r="DQ30" s="357" t="str">
        <f>IF(ISNA(Daily!F453),"",Daily!F453)</f>
        <v/>
      </c>
      <c r="DR30" s="357" t="str">
        <f>IF(ISNA(Daily!F482),"",Daily!F482)</f>
        <v/>
      </c>
      <c r="DS30" s="357" t="str">
        <f>IF(ISNA(Daily!F512),"",Daily!F512)</f>
        <v/>
      </c>
      <c r="DT30" s="357" t="str">
        <f>IF(ISNA(Daily!F542),"",Daily!F542)</f>
        <v/>
      </c>
      <c r="DU30" s="357" t="str">
        <f>IF(ISNA(Daily!F573),"",Daily!F573)</f>
        <v/>
      </c>
      <c r="DV30" s="357" t="str">
        <f>IF(ISNA(Daily!F603),"",Daily!G603)</f>
        <v/>
      </c>
      <c r="DW30" s="349"/>
      <c r="DX30" s="356">
        <v>28</v>
      </c>
      <c r="DY30" s="357" t="str">
        <f>Daily!H56</f>
        <v/>
      </c>
      <c r="DZ30" s="357" t="str">
        <f>Daily!H87</f>
        <v/>
      </c>
      <c r="EA30" s="357" t="str">
        <f>Daily!H116</f>
        <v/>
      </c>
      <c r="EB30" s="357">
        <f>Daily!H147</f>
        <v>0.16107370768181761</v>
      </c>
      <c r="EC30" s="357">
        <f>Daily!H177</f>
        <v>2.8714203378880958</v>
      </c>
      <c r="ED30" s="357">
        <f>Daily!H208</f>
        <v>3.8307536576735348</v>
      </c>
      <c r="EE30" s="357">
        <f>Daily!H238</f>
        <v>4.7975435445104155</v>
      </c>
      <c r="EF30" s="357">
        <f>Daily!H269</f>
        <v>3.2435889908566837</v>
      </c>
      <c r="EG30" s="357">
        <f>Daily!H300</f>
        <v>1.3393968567367289</v>
      </c>
      <c r="EH30" s="357" t="str">
        <f>Daily!H330</f>
        <v/>
      </c>
      <c r="EI30" s="357" t="str">
        <f>Daily!H361</f>
        <v/>
      </c>
      <c r="EJ30" s="357" t="str">
        <f>Daily!H391</f>
        <v/>
      </c>
      <c r="EK30" s="357" t="str">
        <f>Daily!H422</f>
        <v/>
      </c>
      <c r="EL30" s="357" t="str">
        <f>Daily!H453</f>
        <v/>
      </c>
      <c r="EM30" s="357" t="str">
        <f>Daily!H481</f>
        <v/>
      </c>
      <c r="EN30" s="357" t="str">
        <f>Daily!H512</f>
        <v/>
      </c>
      <c r="EO30" s="357" t="str">
        <f>Daily!H542</f>
        <v/>
      </c>
      <c r="EP30" s="357" t="str">
        <f>Daily!H573</f>
        <v/>
      </c>
      <c r="EQ30" s="357" t="str">
        <f>Daily!H603</f>
        <v/>
      </c>
      <c r="ER30" s="349"/>
      <c r="ES30" s="356">
        <v>28</v>
      </c>
      <c r="ET30" s="358" t="str">
        <f>IF(Daily!J56=0,"",Daily!J56)</f>
        <v/>
      </c>
      <c r="EU30" s="358" t="str">
        <f>IF(Daily!J87=0,"",Daily!J87)</f>
        <v/>
      </c>
      <c r="EV30" s="358" t="str">
        <f>IF(Daily!J116=0,"",Daily!J116)</f>
        <v/>
      </c>
      <c r="EW30" s="358">
        <f>IF(Daily!J147=0,"",Daily!J147)</f>
        <v>17.120019812656533</v>
      </c>
      <c r="EX30" s="358">
        <f>IF(Daily!J177=0,"",Daily!J177)</f>
        <v>80.985515598372515</v>
      </c>
      <c r="EY30" s="358">
        <f>IF(Daily!J208=0,"",Daily!J208)</f>
        <v>204.57114707377389</v>
      </c>
      <c r="EZ30" s="358">
        <f>IF(Daily!J238=0,"",Daily!J238)</f>
        <v>347.08487003965303</v>
      </c>
      <c r="FA30" s="358">
        <f>IF(Daily!J269=0,"",Daily!J269)</f>
        <v>467.21338041165694</v>
      </c>
      <c r="FB30" s="358">
        <f>IF(Daily!J300=0,"",Daily!J300)</f>
        <v>528.30622786104902</v>
      </c>
      <c r="FC30" s="358" t="str">
        <f>IF(Daily!J330=0,"",Daily!J330)</f>
        <v/>
      </c>
      <c r="FD30" s="358" t="str">
        <f>IF(Daily!J361=0,"",Daily!J361)</f>
        <v/>
      </c>
      <c r="FE30" s="358" t="str">
        <f>IF(Daily!J391=0,"",Daily!J391)</f>
        <v/>
      </c>
      <c r="FF30" s="358" t="str">
        <f>IF(Daily!J422=0,"",Daily!J422)</f>
        <v/>
      </c>
      <c r="FG30" s="358" t="str">
        <f>IF(Daily!J453=0,"",Daily!J453)</f>
        <v/>
      </c>
      <c r="FH30" s="358" t="str">
        <f>IF(Daily!J481=0,"",Daily!J481)</f>
        <v/>
      </c>
      <c r="FI30" s="358" t="str">
        <f>IF(Daily!J512=0,"",Daily!J512)</f>
        <v/>
      </c>
      <c r="FJ30" s="358" t="str">
        <f>IF(Daily!J542=0,"",Daily!J542)</f>
        <v/>
      </c>
      <c r="FK30" s="358" t="str">
        <f>IF(Daily!J573=0,"",Daily!J573)</f>
        <v/>
      </c>
      <c r="FL30" s="358" t="str">
        <f>IF(Daily!J603=0,"",Daily!J603)</f>
        <v/>
      </c>
      <c r="FM30" s="349"/>
    </row>
    <row r="31" spans="1:169">
      <c r="A31" s="349"/>
      <c r="B31" s="356">
        <v>29</v>
      </c>
      <c r="C31" s="357" t="str">
        <f>Daily!D57</f>
        <v/>
      </c>
      <c r="D31" s="357" t="str">
        <f>Daily!D88</f>
        <v/>
      </c>
      <c r="E31" s="357" t="str">
        <f>Daily!D117</f>
        <v/>
      </c>
      <c r="F31" s="357">
        <f>Daily!D148</f>
        <v>1.2</v>
      </c>
      <c r="G31" s="357">
        <f>Daily!D178</f>
        <v>0.36603094165114475</v>
      </c>
      <c r="H31" s="357">
        <f>Daily!D209</f>
        <v>0.18780578222167701</v>
      </c>
      <c r="I31" s="357">
        <f>Daily!D239</f>
        <v>0.24724372300917608</v>
      </c>
      <c r="J31" s="357">
        <f>Daily!D270</f>
        <v>0.16901055587564506</v>
      </c>
      <c r="K31" s="357">
        <f>Daily!D301</f>
        <v>0.46803082933592427</v>
      </c>
      <c r="L31" s="357" t="str">
        <f>Daily!D331</f>
        <v/>
      </c>
      <c r="M31" s="357" t="str">
        <f>Daily!D362</f>
        <v/>
      </c>
      <c r="N31" s="357" t="str">
        <f>Daily!D392</f>
        <v/>
      </c>
      <c r="O31" s="357" t="str">
        <f>Daily!D423</f>
        <v/>
      </c>
      <c r="P31" s="357" t="str">
        <f>Daily!D454</f>
        <v/>
      </c>
      <c r="Q31" s="357" t="str">
        <f>Daily!D482</f>
        <v/>
      </c>
      <c r="R31" s="357" t="str">
        <f>Daily!D513</f>
        <v/>
      </c>
      <c r="S31" s="357" t="str">
        <f>Daily!D543</f>
        <v/>
      </c>
      <c r="T31" s="357" t="str">
        <f>Daily!D574</f>
        <v/>
      </c>
      <c r="U31" s="357" t="str">
        <f>Daily!D604</f>
        <v/>
      </c>
      <c r="V31" s="349"/>
      <c r="W31" s="356">
        <v>29</v>
      </c>
      <c r="X31" s="357">
        <f>Daily!C57</f>
        <v>0.7281902108347631</v>
      </c>
      <c r="Y31" s="357">
        <f>Daily!C88</f>
        <v>1.2856834746038537</v>
      </c>
      <c r="Z31" s="357">
        <f>Daily!C117</f>
        <v>2.1526092770776621</v>
      </c>
      <c r="AA31" s="357">
        <f>Daily!C148</f>
        <v>0.18408138027917034</v>
      </c>
      <c r="AB31" s="357">
        <f>Daily!C178</f>
        <v>4.038093828748214</v>
      </c>
      <c r="AC31" s="357">
        <f>Daily!C209</f>
        <v>5.0784150259928538</v>
      </c>
      <c r="AD31" s="357">
        <f>Daily!C239</f>
        <v>4.4553960861591095</v>
      </c>
      <c r="AE31" s="357">
        <f>Daily!C270</f>
        <v>3.6588226044606817</v>
      </c>
      <c r="AF31" s="357">
        <f>Daily!C301</f>
        <v>1.5355098261541054</v>
      </c>
      <c r="AG31" s="357">
        <f>Daily!C331</f>
        <v>0.55971158953972311</v>
      </c>
      <c r="AH31" s="357">
        <f>Daily!C362</f>
        <v>0.34954540815004342</v>
      </c>
      <c r="AI31" s="357">
        <f>Daily!C392</f>
        <v>0.22814842508288211</v>
      </c>
      <c r="AJ31" s="357">
        <f>Daily!C423</f>
        <v>0.7281902108347631</v>
      </c>
      <c r="AK31" s="357">
        <f>Daily!C454</f>
        <v>1.2856834746038537</v>
      </c>
      <c r="AL31" s="357">
        <f>Daily!C482</f>
        <v>2.3931185072781882</v>
      </c>
      <c r="AM31" s="357">
        <f>Daily!C513</f>
        <v>0.19878373475728461</v>
      </c>
      <c r="AN31" s="357">
        <f>Daily!C543</f>
        <v>3.3058542029797064</v>
      </c>
      <c r="AO31" s="357">
        <f>Daily!C574</f>
        <v>3.6508180022650345</v>
      </c>
      <c r="AP31" s="357">
        <f>Daily!C604</f>
        <v>4.5469371783869423</v>
      </c>
      <c r="AQ31" s="349"/>
      <c r="AR31" s="356">
        <v>29</v>
      </c>
      <c r="AS31" s="357" t="str">
        <f>IF(ISNA(Daily!E57),"",Daily!E57)</f>
        <v/>
      </c>
      <c r="AT31" s="357" t="str">
        <f>IF(ISNA(Daily!E88),"",Daily!E88)</f>
        <v/>
      </c>
      <c r="AU31" s="357" t="str">
        <f>IF(ISNA(Daily!E117),"",Daily!E117)</f>
        <v/>
      </c>
      <c r="AV31" s="357">
        <f>IF(ISNA(Daily!E148),"",Daily!E148)</f>
        <v>1.2</v>
      </c>
      <c r="AW31" s="357">
        <f>IF(ISNA(Daily!E178),"",Daily!E178)</f>
        <v>0.42261904761904751</v>
      </c>
      <c r="AX31" s="357">
        <f>IF(ISNA(Daily!E209),"",Daily!E209)</f>
        <v>1.0500000000000007</v>
      </c>
      <c r="AY31" s="357">
        <f>IF(ISNA(Daily!E239),"",Daily!E239)</f>
        <v>1.0500000000000007</v>
      </c>
      <c r="AZ31" s="357">
        <f>IF(ISNA(Daily!E270),"",Daily!E270)</f>
        <v>0.94285714285714395</v>
      </c>
      <c r="BA31" s="357">
        <f>IF(ISNA(Daily!E301),"",Daily!E301)</f>
        <v>0.61071428571428799</v>
      </c>
      <c r="BB31" s="357" t="str">
        <f>IF(ISNA(Daily!E331),"",Daily!E331)</f>
        <v/>
      </c>
      <c r="BC31" s="357" t="str">
        <f>IF(ISNA(Daily!E362),"",Daily!E362)</f>
        <v/>
      </c>
      <c r="BD31" s="357" t="str">
        <f>IF(ISNA(Daily!E392),"",Daily!E392)</f>
        <v/>
      </c>
      <c r="BE31" s="357" t="str">
        <f>IF(ISNA(Daily!E423),"",Daily!E423)</f>
        <v/>
      </c>
      <c r="BF31" s="357" t="str">
        <f>IF(ISNA(Daily!E454),"",Daily!E454)</f>
        <v/>
      </c>
      <c r="BG31" s="357" t="str">
        <f>IF(ISNA(Daily!E482),"",Daily!E482)</f>
        <v/>
      </c>
      <c r="BH31" s="357" t="str">
        <f>IF(ISNA(Daily!E513),"",Daily!E513)</f>
        <v/>
      </c>
      <c r="BI31" s="357" t="str">
        <f>IF(ISNA(Daily!E543),"",Daily!E543)</f>
        <v/>
      </c>
      <c r="BJ31" s="357" t="str">
        <f>IF(ISNA(Daily!E574),"",Daily!E574)</f>
        <v/>
      </c>
      <c r="BK31" s="357" t="str">
        <f>IF(ISNA(Daily!E604),"",Daily!E604)</f>
        <v/>
      </c>
      <c r="BL31" s="349"/>
      <c r="BM31" s="356">
        <v>29</v>
      </c>
      <c r="BN31" s="357" t="str">
        <f>Daily!G57</f>
        <v/>
      </c>
      <c r="BO31" s="357" t="str">
        <f>Daily!G88</f>
        <v/>
      </c>
      <c r="BP31" s="357" t="str">
        <f>Daily!G117</f>
        <v/>
      </c>
      <c r="BQ31" s="357">
        <f>Daily!G148</f>
        <v>0.22089765633500441</v>
      </c>
      <c r="BR31" s="357">
        <f>Daily!G178</f>
        <v>1.7065753681019233</v>
      </c>
      <c r="BS31" s="357">
        <f>Daily!G209</f>
        <v>5.3323357772925002</v>
      </c>
      <c r="BT31" s="357">
        <f>Daily!G239</f>
        <v>4.678165890467068</v>
      </c>
      <c r="BU31" s="357">
        <f>Daily!G270</f>
        <v>3.4497470270629327</v>
      </c>
      <c r="BV31" s="357">
        <f>Daily!G301</f>
        <v>0.93775778668697496</v>
      </c>
      <c r="BW31" s="357" t="str">
        <f>Daily!G331</f>
        <v/>
      </c>
      <c r="BX31" s="357" t="str">
        <f>Daily!G362</f>
        <v/>
      </c>
      <c r="BY31" s="357" t="str">
        <f>Daily!G392</f>
        <v/>
      </c>
      <c r="BZ31" s="357" t="str">
        <f>Daily!G423</f>
        <v/>
      </c>
      <c r="CA31" s="357" t="str">
        <f>Daily!G454</f>
        <v/>
      </c>
      <c r="CB31" s="357" t="str">
        <f>Daily!G482</f>
        <v/>
      </c>
      <c r="CC31" s="357" t="str">
        <f>Daily!G513</f>
        <v/>
      </c>
      <c r="CD31" s="357" t="str">
        <f>Daily!G543</f>
        <v/>
      </c>
      <c r="CE31" s="357" t="str">
        <f>Daily!G574</f>
        <v/>
      </c>
      <c r="CF31" s="357" t="str">
        <f>Daily!G604</f>
        <v/>
      </c>
      <c r="CG31" s="349"/>
      <c r="CH31" s="356">
        <v>29</v>
      </c>
      <c r="CI31" s="358" t="str">
        <f>IF(Daily!I57=0,"",Daily!I57)</f>
        <v/>
      </c>
      <c r="CJ31" s="358" t="str">
        <f>IF(Daily!I88=0,"",Daily!I88)</f>
        <v/>
      </c>
      <c r="CK31" s="358" t="str">
        <f>IF(Daily!I117=0,"",Daily!I117)</f>
        <v/>
      </c>
      <c r="CL31" s="358">
        <f>IF(Daily!I148=0,"",Daily!I148)</f>
        <v>18.997876852184874</v>
      </c>
      <c r="CM31" s="358" t="str">
        <f>IF(Daily!I1528=0,"",Daily!I178)</f>
        <v/>
      </c>
      <c r="CN31" s="358">
        <f>IF(Daily!I209=0,"",Daily!I209)</f>
        <v>170.66098551928783</v>
      </c>
      <c r="CO31" s="358">
        <f>IF(Daily!I239=0,"",Daily!I239)</f>
        <v>312.94361799293233</v>
      </c>
      <c r="CP31" s="358">
        <f>IF(Daily!I270=0,"",Daily!I270)</f>
        <v>430.75500270625434</v>
      </c>
      <c r="CQ31" s="358">
        <f>IF(Daily!I301=0,"",Daily!I301)</f>
        <v>490.84501566340606</v>
      </c>
      <c r="CR31" s="358" t="str">
        <f>IF(Daily!I331=0,"",Daily!I331)</f>
        <v/>
      </c>
      <c r="CS31" s="358" t="str">
        <f>IF(Daily!I362=0,"",Daily!I362)</f>
        <v/>
      </c>
      <c r="CT31" s="358" t="str">
        <f>IF(Daily!I392=0,"",Daily!I392)</f>
        <v/>
      </c>
      <c r="CU31" s="358" t="str">
        <f>IF(Daily!I423=0,"",Daily!I423)</f>
        <v/>
      </c>
      <c r="CV31" s="358" t="str">
        <f>IF(Daily!I454=0,"",Daily!I454)</f>
        <v/>
      </c>
      <c r="CW31" s="358" t="str">
        <f>IF(Daily!I482=0,"",Daily!I482)</f>
        <v/>
      </c>
      <c r="CX31" s="358" t="str">
        <f>IF(Daily!I513=0,"",Daily!I513)</f>
        <v/>
      </c>
      <c r="CY31" s="358" t="str">
        <f>IF(Daily!I543=0,"",Daily!I543)</f>
        <v/>
      </c>
      <c r="CZ31" s="358" t="str">
        <f>IF(Daily!I574=0,"",Daily!I574)</f>
        <v/>
      </c>
      <c r="DA31" s="358" t="str">
        <f>IF(Daily!I604=0,"",Daily!I604)</f>
        <v/>
      </c>
      <c r="DB31" s="349"/>
      <c r="DC31" s="356">
        <v>29</v>
      </c>
      <c r="DD31" s="357" t="str">
        <f>IF(ISNA(Daily!F57),"",Daily!F57)</f>
        <v/>
      </c>
      <c r="DE31" s="357" t="str">
        <f>IF(ISNA(Daily!F88),"",Daily!F88)</f>
        <v/>
      </c>
      <c r="DF31" s="357" t="str">
        <f>IF(ISNA(Daily!F117),"",Daily!F117)</f>
        <v/>
      </c>
      <c r="DG31" s="357">
        <f>IF(ISNA(Daily!F148),"",Daily!F148)</f>
        <v>0.8102962140161466</v>
      </c>
      <c r="DH31" s="357">
        <f>IF(ISNA(Daily!F178),"",Daily!F178)</f>
        <v>0.874415530665273</v>
      </c>
      <c r="DI31" s="357">
        <f>IF(ISNA(Daily!F209),"",Daily!F209)</f>
        <v>1.0551154230400821</v>
      </c>
      <c r="DJ31" s="357">
        <f>IF(ISNA(Daily!F239),"",Daily!F239)</f>
        <v>1.0551154230400821</v>
      </c>
      <c r="DK31" s="357">
        <f>IF(ISNA(Daily!F270),"",Daily!F270)</f>
        <v>0.98120938966527338</v>
      </c>
      <c r="DL31" s="357">
        <f>IF(ISNA(Daily!F301),"",Daily!F301)</f>
        <v>0.75210068620336634</v>
      </c>
      <c r="DM31" s="357" t="str">
        <f>IF(ISNA(Daily!F331),"",Daily!F331)</f>
        <v/>
      </c>
      <c r="DN31" s="357" t="str">
        <f>IF(ISNA(Daily!F362),"",Daily!F362)</f>
        <v/>
      </c>
      <c r="DO31" s="357" t="str">
        <f>IF(ISNA(Daily!F392),"",Daily!F392)</f>
        <v/>
      </c>
      <c r="DP31" s="357" t="str">
        <f>IF(ISNA(Daily!F423),"",Daily!F423)</f>
        <v/>
      </c>
      <c r="DQ31" s="357" t="str">
        <f>IF(ISNA(Daily!F454),"",Daily!F454)</f>
        <v/>
      </c>
      <c r="DR31" s="357" t="str">
        <f>IF(ISNA(Daily!F483),"",Daily!F483)</f>
        <v/>
      </c>
      <c r="DS31" s="357" t="str">
        <f>IF(ISNA(Daily!F513),"",Daily!F513)</f>
        <v/>
      </c>
      <c r="DT31" s="357" t="str">
        <f>IF(ISNA(Daily!F543),"",Daily!F543)</f>
        <v/>
      </c>
      <c r="DU31" s="357" t="str">
        <f>IF(ISNA(Daily!F574),"",Daily!F574)</f>
        <v/>
      </c>
      <c r="DV31" s="357" t="str">
        <f>IF(ISNA(Daily!F604),"",Daily!G604)</f>
        <v/>
      </c>
      <c r="DW31" s="349"/>
      <c r="DX31" s="356">
        <v>29</v>
      </c>
      <c r="DY31" s="357" t="str">
        <f>Daily!H57</f>
        <v/>
      </c>
      <c r="DZ31" s="357" t="str">
        <f>Daily!H88</f>
        <v/>
      </c>
      <c r="EA31" s="357" t="str">
        <f>Daily!H117</f>
        <v/>
      </c>
      <c r="EB31" s="357">
        <f>Daily!H148</f>
        <v>0.14916044551107829</v>
      </c>
      <c r="EC31" s="357">
        <f>Daily!H178</f>
        <v>3.5309719581410337</v>
      </c>
      <c r="ED31" s="357">
        <f>Daily!H209</f>
        <v>5.3583140185235596</v>
      </c>
      <c r="EE31" s="357">
        <f>Daily!H239</f>
        <v>4.7009571262588947</v>
      </c>
      <c r="EF31" s="357">
        <f>Daily!H270</f>
        <v>3.5900710946163716</v>
      </c>
      <c r="EG31" s="357">
        <f>Daily!H301</f>
        <v>1.1548579939225143</v>
      </c>
      <c r="EH31" s="357" t="str">
        <f>Daily!H331</f>
        <v/>
      </c>
      <c r="EI31" s="357" t="str">
        <f>Daily!H362</f>
        <v/>
      </c>
      <c r="EJ31" s="357" t="str">
        <f>Daily!H392</f>
        <v/>
      </c>
      <c r="EK31" s="357" t="str">
        <f>Daily!H423</f>
        <v/>
      </c>
      <c r="EL31" s="357" t="str">
        <f>Daily!H454</f>
        <v/>
      </c>
      <c r="EM31" s="357" t="str">
        <f>Daily!H482</f>
        <v/>
      </c>
      <c r="EN31" s="357" t="str">
        <f>Daily!H513</f>
        <v/>
      </c>
      <c r="EO31" s="357" t="str">
        <f>Daily!H543</f>
        <v/>
      </c>
      <c r="EP31" s="357" t="str">
        <f>Daily!H574</f>
        <v/>
      </c>
      <c r="EQ31" s="357" t="str">
        <f>Daily!H604</f>
        <v/>
      </c>
      <c r="ER31" s="349"/>
      <c r="ES31" s="356">
        <v>29</v>
      </c>
      <c r="ET31" s="358" t="str">
        <f>IF(Daily!J57=0,"",Daily!J57)</f>
        <v/>
      </c>
      <c r="EU31" s="358" t="str">
        <f>IF(Daily!J88=0,"",Daily!J88)</f>
        <v/>
      </c>
      <c r="EV31" s="358" t="str">
        <f>IF(Daily!J117=0,"",Daily!J117)</f>
        <v/>
      </c>
      <c r="EW31" s="358">
        <f>IF(Daily!J148=0,"",Daily!J148)</f>
        <v>17.269180258167612</v>
      </c>
      <c r="EX31" s="358">
        <f>IF(Daily!J178=0,"",Daily!J178)</f>
        <v>84.516487556513553</v>
      </c>
      <c r="EY31" s="358">
        <f>IF(Daily!J209=0,"",Daily!J209)</f>
        <v>209.92946109229746</v>
      </c>
      <c r="EZ31" s="358">
        <f>IF(Daily!J239=0,"",Daily!J239)</f>
        <v>351.78582716591194</v>
      </c>
      <c r="FA31" s="358">
        <f>IF(Daily!J270=0,"",Daily!J270)</f>
        <v>470.80345150627329</v>
      </c>
      <c r="FB31" s="358">
        <f>IF(Daily!J301=0,"",Daily!J301)</f>
        <v>529.46108585497154</v>
      </c>
      <c r="FC31" s="358" t="str">
        <f>IF(Daily!J331=0,"",Daily!J331)</f>
        <v/>
      </c>
      <c r="FD31" s="358" t="str">
        <f>IF(Daily!J362=0,"",Daily!J362)</f>
        <v/>
      </c>
      <c r="FE31" s="358" t="str">
        <f>IF(Daily!J392=0,"",Daily!J392)</f>
        <v/>
      </c>
      <c r="FF31" s="358" t="str">
        <f>IF(Daily!J423=0,"",Daily!J423)</f>
        <v/>
      </c>
      <c r="FG31" s="358" t="str">
        <f>IF(Daily!J454=0,"",Daily!J454)</f>
        <v/>
      </c>
      <c r="FH31" s="358" t="str">
        <f>IF(Daily!J482=0,"",Daily!J482)</f>
        <v/>
      </c>
      <c r="FI31" s="358" t="str">
        <f>IF(Daily!J513=0,"",Daily!J513)</f>
        <v/>
      </c>
      <c r="FJ31" s="358" t="str">
        <f>IF(Daily!J543=0,"",Daily!J543)</f>
        <v/>
      </c>
      <c r="FK31" s="358" t="str">
        <f>IF(Daily!J574=0,"",Daily!J574)</f>
        <v/>
      </c>
      <c r="FL31" s="358" t="str">
        <f>IF(Daily!J604=0,"",Daily!J604)</f>
        <v/>
      </c>
      <c r="FM31" s="349"/>
    </row>
    <row r="32" spans="1:169">
      <c r="A32" s="349"/>
      <c r="B32" s="356">
        <v>30</v>
      </c>
      <c r="C32" s="357" t="str">
        <f>Daily!D58</f>
        <v/>
      </c>
      <c r="D32" s="357"/>
      <c r="E32" s="357" t="str">
        <f>Daily!D118</f>
        <v/>
      </c>
      <c r="F32" s="357">
        <f>Daily!D149</f>
        <v>1.2</v>
      </c>
      <c r="G32" s="357">
        <f>Daily!D179</f>
        <v>0.3528414981278617</v>
      </c>
      <c r="H32" s="357">
        <f>Daily!D210</f>
        <v>0.18506193675206847</v>
      </c>
      <c r="I32" s="357">
        <f>Daily!D240</f>
        <v>0.24266853629869425</v>
      </c>
      <c r="J32" s="357">
        <f>Daily!D271</f>
        <v>0.16753340430433422</v>
      </c>
      <c r="K32" s="357">
        <f>Daily!D302</f>
        <v>0.46206968344766386</v>
      </c>
      <c r="L32" s="357" t="str">
        <f>Daily!D332</f>
        <v/>
      </c>
      <c r="M32" s="357" t="str">
        <f>Daily!D363</f>
        <v/>
      </c>
      <c r="N32" s="357" t="str">
        <f>Daily!D393</f>
        <v/>
      </c>
      <c r="O32" s="357" t="str">
        <f>Daily!D424</f>
        <v/>
      </c>
      <c r="P32" s="357"/>
      <c r="Q32" s="357" t="str">
        <f>Daily!D483</f>
        <v/>
      </c>
      <c r="R32" s="357" t="str">
        <f>Daily!D514</f>
        <v/>
      </c>
      <c r="S32" s="357" t="str">
        <f>Daily!D544</f>
        <v/>
      </c>
      <c r="T32" s="357" t="str">
        <f>Daily!D575</f>
        <v/>
      </c>
      <c r="U32" s="357" t="str">
        <f>Daily!D605</f>
        <v/>
      </c>
      <c r="V32" s="349"/>
      <c r="W32" s="356">
        <v>30</v>
      </c>
      <c r="X32" s="357">
        <f>Daily!C58</f>
        <v>0.52118754722097038</v>
      </c>
      <c r="Y32" s="357"/>
      <c r="Z32" s="357">
        <f>Daily!C118</f>
        <v>2.5106888403813876</v>
      </c>
      <c r="AA32" s="357">
        <f>Daily!C149</f>
        <v>0.12965692950090307</v>
      </c>
      <c r="AB32" s="357">
        <f>Daily!C179</f>
        <v>3.6071849907178821</v>
      </c>
      <c r="AC32" s="357">
        <f>Daily!C210</f>
        <v>5.1603088288052135</v>
      </c>
      <c r="AD32" s="357">
        <f>Daily!C240</f>
        <v>3.8584668114409286</v>
      </c>
      <c r="AE32" s="357">
        <f>Daily!C271</f>
        <v>3.7539661230494863</v>
      </c>
      <c r="AF32" s="357">
        <f>Daily!C302</f>
        <v>0.76441317371540662</v>
      </c>
      <c r="AG32" s="357">
        <f>Daily!C332</f>
        <v>0.53679968135500811</v>
      </c>
      <c r="AH32" s="357">
        <f>Daily!C363</f>
        <v>0.4460251589614519</v>
      </c>
      <c r="AI32" s="357">
        <f>Daily!C393</f>
        <v>0.20739844704395816</v>
      </c>
      <c r="AJ32" s="357">
        <f>Daily!C424</f>
        <v>0.52118754722097038</v>
      </c>
      <c r="AK32" s="357"/>
      <c r="AL32" s="357">
        <f>Daily!C483</f>
        <v>2.1526092770776621</v>
      </c>
      <c r="AM32" s="357">
        <f>Daily!C514</f>
        <v>0.18408138027917034</v>
      </c>
      <c r="AN32" s="357">
        <f>Daily!C544</f>
        <v>4.038093828748214</v>
      </c>
      <c r="AO32" s="357">
        <f>Daily!C575</f>
        <v>5.0784150259928538</v>
      </c>
      <c r="AP32" s="357">
        <f>Daily!C605</f>
        <v>4.4553960861591095</v>
      </c>
      <c r="AQ32" s="349"/>
      <c r="AR32" s="356">
        <v>30</v>
      </c>
      <c r="AS32" s="357" t="str">
        <f>IF(ISNA(Daily!E58),"",Daily!E58)</f>
        <v/>
      </c>
      <c r="AT32" s="357"/>
      <c r="AU32" s="357" t="str">
        <f>IF(ISNA(Daily!E118),"",Daily!E118)</f>
        <v/>
      </c>
      <c r="AV32" s="357">
        <f>IF(ISNA(Daily!E149),"",Daily!E149)</f>
        <v>1.2</v>
      </c>
      <c r="AW32" s="357">
        <f>IF(ISNA(Daily!E179),"",Daily!E179)</f>
        <v>0.44285714285714273</v>
      </c>
      <c r="AX32" s="357">
        <f>IF(ISNA(Daily!E210),"",Daily!E210)</f>
        <v>1.0500000000000007</v>
      </c>
      <c r="AY32" s="357">
        <f>IF(ISNA(Daily!E240),"",Daily!E240)</f>
        <v>1.0500000000000007</v>
      </c>
      <c r="AZ32" s="357">
        <f>IF(ISNA(Daily!E271),"",Daily!E271)</f>
        <v>0.93214285714285827</v>
      </c>
      <c r="BA32" s="357">
        <f>IF(ISNA(Daily!E302),"",Daily!E302)</f>
        <v>0.60000000000000231</v>
      </c>
      <c r="BB32" s="357" t="str">
        <f>IF(ISNA(Daily!E332),"",Daily!E332)</f>
        <v/>
      </c>
      <c r="BC32" s="357" t="str">
        <f>IF(ISNA(Daily!E363),"",Daily!E363)</f>
        <v/>
      </c>
      <c r="BD32" s="357" t="str">
        <f>IF(ISNA(Daily!E393),"",Daily!E393)</f>
        <v/>
      </c>
      <c r="BE32" s="357" t="str">
        <f>IF(ISNA(Daily!E424),"",Daily!E424)</f>
        <v/>
      </c>
      <c r="BF32" s="357"/>
      <c r="BG32" s="357" t="str">
        <f>IF(ISNA(Daily!E483),"",Daily!E483)</f>
        <v/>
      </c>
      <c r="BH32" s="357" t="str">
        <f>IF(ISNA(Daily!E514),"",Daily!E514)</f>
        <v/>
      </c>
      <c r="BI32" s="357" t="str">
        <f>IF(ISNA(Daily!E544),"",Daily!E544)</f>
        <v/>
      </c>
      <c r="BJ32" s="357" t="str">
        <f>IF(ISNA(Daily!E575),"",Daily!E575)</f>
        <v/>
      </c>
      <c r="BK32" s="357" t="str">
        <f>IF(ISNA(Daily!E605),"",Daily!E605)</f>
        <v/>
      </c>
      <c r="BL32" s="349"/>
      <c r="BM32" s="356">
        <v>30</v>
      </c>
      <c r="BN32" s="357" t="str">
        <f>Daily!G58</f>
        <v/>
      </c>
      <c r="BO32" s="357"/>
      <c r="BP32" s="357" t="str">
        <f>Daily!G118</f>
        <v/>
      </c>
      <c r="BQ32" s="357">
        <f>Daily!G149</f>
        <v>0.15558831540108367</v>
      </c>
      <c r="BR32" s="357">
        <f>Daily!G179</f>
        <v>1.5974676387464901</v>
      </c>
      <c r="BS32" s="357">
        <f>Daily!G210</f>
        <v>5.4183242702454777</v>
      </c>
      <c r="BT32" s="357">
        <f>Daily!G240</f>
        <v>4.0513901520129778</v>
      </c>
      <c r="BU32" s="357">
        <f>Daily!G271</f>
        <v>3.499232707556847</v>
      </c>
      <c r="BV32" s="357">
        <f>Daily!G302</f>
        <v>0.45864790422924573</v>
      </c>
      <c r="BW32" s="357" t="str">
        <f>Daily!G332</f>
        <v/>
      </c>
      <c r="BX32" s="357" t="str">
        <f>Daily!G363</f>
        <v/>
      </c>
      <c r="BY32" s="357" t="str">
        <f>Daily!G393</f>
        <v/>
      </c>
      <c r="BZ32" s="357" t="str">
        <f>Daily!G424</f>
        <v/>
      </c>
      <c r="CA32" s="357"/>
      <c r="CB32" s="357" t="str">
        <f>Daily!G483</f>
        <v/>
      </c>
      <c r="CC32" s="357" t="str">
        <f>Daily!G514</f>
        <v/>
      </c>
      <c r="CD32" s="357" t="str">
        <f>Daily!G544</f>
        <v/>
      </c>
      <c r="CE32" s="357" t="str">
        <f>Daily!G575</f>
        <v/>
      </c>
      <c r="CF32" s="357" t="str">
        <f>Daily!G605</f>
        <v/>
      </c>
      <c r="CG32" s="349"/>
      <c r="CH32" s="356">
        <v>30</v>
      </c>
      <c r="CI32" s="358" t="str">
        <f>IF(Daily!I58=0,"",Daily!I58)</f>
        <v/>
      </c>
      <c r="CJ32" s="358"/>
      <c r="CK32" s="358" t="str">
        <f>IF(Daily!I118=0,"",Daily!I118)</f>
        <v/>
      </c>
      <c r="CL32" s="358">
        <f>IF(Daily!I149=0,"",Daily!I149)</f>
        <v>19.153465167585956</v>
      </c>
      <c r="CM32" s="358" t="str">
        <f>IF(Daily!I1529=0,"",Daily!I179)</f>
        <v/>
      </c>
      <c r="CN32" s="358">
        <f>IF(Daily!I210=0,"",Daily!I210)</f>
        <v>176.07930978953331</v>
      </c>
      <c r="CO32" s="358">
        <f>IF(Daily!I240=0,"",Daily!I240)</f>
        <v>316.9950081449453</v>
      </c>
      <c r="CP32" s="358">
        <f>IF(Daily!I271=0,"",Daily!I271)</f>
        <v>434.25423541381122</v>
      </c>
      <c r="CQ32" s="358">
        <f>IF(Daily!I302=0,"",Daily!I302)</f>
        <v>491.30366356763528</v>
      </c>
      <c r="CR32" s="358" t="str">
        <f>IF(Daily!I332=0,"",Daily!I332)</f>
        <v/>
      </c>
      <c r="CS32" s="358" t="str">
        <f>IF(Daily!I363=0,"",Daily!I363)</f>
        <v/>
      </c>
      <c r="CT32" s="358" t="str">
        <f>IF(Daily!I393=0,"",Daily!I393)</f>
        <v/>
      </c>
      <c r="CU32" s="358" t="str">
        <f>IF(Daily!I424=0,"",Daily!I424)</f>
        <v/>
      </c>
      <c r="CV32" s="358"/>
      <c r="CW32" s="358" t="str">
        <f>IF(Daily!I483=0,"",Daily!I483)</f>
        <v/>
      </c>
      <c r="CX32" s="358" t="str">
        <f>IF(Daily!I514=0,"",Daily!I514)</f>
        <v/>
      </c>
      <c r="CY32" s="358" t="str">
        <f>IF(Daily!I544=0,"",Daily!I544)</f>
        <v/>
      </c>
      <c r="CZ32" s="358" t="str">
        <f>IF(Daily!I575=0,"",Daily!I575)</f>
        <v/>
      </c>
      <c r="DA32" s="358" t="str">
        <f>IF(Daily!I605=0,"",Daily!I605)</f>
        <v/>
      </c>
      <c r="DB32" s="349"/>
      <c r="DC32" s="356">
        <v>30</v>
      </c>
      <c r="DD32" s="357" t="str">
        <f>IF(ISNA(Daily!F58),"",Daily!F58)</f>
        <v/>
      </c>
      <c r="DE32" s="357"/>
      <c r="DF32" s="357" t="str">
        <f>IF(ISNA(Daily!F118),"",Daily!F118)</f>
        <v/>
      </c>
      <c r="DG32" s="357">
        <f>IF(ISNA(Daily!F149),"",Daily!F149)</f>
        <v>0.8102962140161466</v>
      </c>
      <c r="DH32" s="357">
        <f>IF(ISNA(Daily!F179),"",Daily!F179)</f>
        <v>0.88024455945155722</v>
      </c>
      <c r="DI32" s="357">
        <f>IF(ISNA(Daily!F210),"",Daily!F210)</f>
        <v>1.0551154230400821</v>
      </c>
      <c r="DJ32" s="357">
        <f>IF(ISNA(Daily!F240),"",Daily!F240)</f>
        <v>1.0551154230400821</v>
      </c>
      <c r="DK32" s="357">
        <f>IF(ISNA(Daily!F271),"",Daily!F271)</f>
        <v>0.97381878632779251</v>
      </c>
      <c r="DL32" s="357">
        <f>IF(ISNA(Daily!F302),"",Daily!F302)</f>
        <v>0.74471008286588547</v>
      </c>
      <c r="DM32" s="357" t="str">
        <f>IF(ISNA(Daily!F332),"",Daily!F332)</f>
        <v/>
      </c>
      <c r="DN32" s="357" t="str">
        <f>IF(ISNA(Daily!F363),"",Daily!F363)</f>
        <v/>
      </c>
      <c r="DO32" s="357" t="str">
        <f>IF(ISNA(Daily!F393),"",Daily!F393)</f>
        <v/>
      </c>
      <c r="DP32" s="357" t="str">
        <f>IF(ISNA(Daily!F424),"",Daily!F424)</f>
        <v/>
      </c>
      <c r="DQ32" s="357"/>
      <c r="DR32" s="357" t="str">
        <f>IF(ISNA(Daily!F484),"",Daily!F484)</f>
        <v/>
      </c>
      <c r="DS32" s="357" t="str">
        <f>IF(ISNA(Daily!F514),"",Daily!F514)</f>
        <v/>
      </c>
      <c r="DT32" s="357" t="str">
        <f>IF(ISNA(Daily!F544),"",Daily!F544)</f>
        <v/>
      </c>
      <c r="DU32" s="357" t="str">
        <f>IF(ISNA(Daily!F575),"",Daily!F575)</f>
        <v/>
      </c>
      <c r="DV32" s="357" t="str">
        <f>IF(ISNA(Daily!F605),"",Daily!G605)</f>
        <v/>
      </c>
      <c r="DW32" s="349"/>
      <c r="DX32" s="356">
        <v>30</v>
      </c>
      <c r="DY32" s="357" t="str">
        <f>Daily!H58</f>
        <v/>
      </c>
      <c r="DZ32" s="357"/>
      <c r="EA32" s="357" t="str">
        <f>Daily!H118</f>
        <v/>
      </c>
      <c r="EB32" s="357">
        <f>Daily!H149</f>
        <v>0.10506051909554019</v>
      </c>
      <c r="EC32" s="357">
        <f>Daily!H179</f>
        <v>3.1752049630147319</v>
      </c>
      <c r="ED32" s="357">
        <f>Daily!H210</f>
        <v>5.4447214329222833</v>
      </c>
      <c r="EE32" s="357">
        <f>Daily!H240</f>
        <v>4.071127842039612</v>
      </c>
      <c r="EF32" s="357">
        <f>Daily!H271</f>
        <v>3.6556827338636992</v>
      </c>
      <c r="EG32" s="357">
        <f>Daily!H302</f>
        <v>0.56926619794137501</v>
      </c>
      <c r="EH32" s="357" t="str">
        <f>Daily!H332</f>
        <v/>
      </c>
      <c r="EI32" s="357" t="str">
        <f>Daily!H363</f>
        <v/>
      </c>
      <c r="EJ32" s="357" t="str">
        <f>Daily!H393</f>
        <v/>
      </c>
      <c r="EK32" s="357" t="str">
        <f>Daily!H424</f>
        <v/>
      </c>
      <c r="EL32" s="357"/>
      <c r="EM32" s="357" t="str">
        <f>Daily!H483</f>
        <v/>
      </c>
      <c r="EN32" s="357" t="str">
        <f>Daily!H514</f>
        <v/>
      </c>
      <c r="EO32" s="357" t="str">
        <f>Daily!H544</f>
        <v/>
      </c>
      <c r="EP32" s="357" t="str">
        <f>Daily!H575</f>
        <v/>
      </c>
      <c r="EQ32" s="357" t="str">
        <f>Daily!H605</f>
        <v/>
      </c>
      <c r="ER32" s="349"/>
      <c r="ES32" s="356">
        <v>30</v>
      </c>
      <c r="ET32" s="358" t="str">
        <f>IF(Daily!J58=0,"",Daily!J58)</f>
        <v/>
      </c>
      <c r="EU32" s="358"/>
      <c r="EV32" s="358" t="str">
        <f>IF(Daily!J118=0,"",Daily!J118)</f>
        <v/>
      </c>
      <c r="EW32" s="358">
        <f>IF(Daily!J149=0,"",Daily!J149)</f>
        <v>17.374240777263154</v>
      </c>
      <c r="EX32" s="358">
        <f>IF(Daily!J179=0,"",Daily!J179)</f>
        <v>87.691692519528289</v>
      </c>
      <c r="EY32" s="358">
        <f>IF(Daily!J210=0,"",Daily!J210)</f>
        <v>215.37418252521974</v>
      </c>
      <c r="EZ32" s="358">
        <f>IF(Daily!J240=0,"",Daily!J240)</f>
        <v>355.85695500795157</v>
      </c>
      <c r="FA32" s="358">
        <f>IF(Daily!J271=0,"",Daily!J271)</f>
        <v>474.45913424013702</v>
      </c>
      <c r="FB32" s="358">
        <f>IF(Daily!J302=0,"",Daily!J302)</f>
        <v>530.03035205291292</v>
      </c>
      <c r="FC32" s="358" t="str">
        <f>IF(Daily!J332=0,"",Daily!J332)</f>
        <v/>
      </c>
      <c r="FD32" s="358" t="str">
        <f>IF(Daily!J363=0,"",Daily!J363)</f>
        <v/>
      </c>
      <c r="FE32" s="358" t="str">
        <f>IF(Daily!J393=0,"",Daily!J393)</f>
        <v/>
      </c>
      <c r="FF32" s="358" t="str">
        <f>IF(Daily!J424=0,"",Daily!J424)</f>
        <v/>
      </c>
      <c r="FG32" s="358"/>
      <c r="FH32" s="358" t="str">
        <f>IF(Daily!J483=0,"",Daily!J483)</f>
        <v/>
      </c>
      <c r="FI32" s="358" t="str">
        <f>IF(Daily!J514=0,"",Daily!J514)</f>
        <v/>
      </c>
      <c r="FJ32" s="358" t="str">
        <f>IF(Daily!J544=0,"",Daily!J544)</f>
        <v/>
      </c>
      <c r="FK32" s="358" t="str">
        <f>IF(Daily!J575=0,"",Daily!J575)</f>
        <v/>
      </c>
      <c r="FL32" s="358" t="str">
        <f>IF(Daily!J605=0,"",Daily!J605)</f>
        <v/>
      </c>
      <c r="FM32" s="349"/>
    </row>
    <row r="33" spans="1:169">
      <c r="A33" s="349"/>
      <c r="B33" s="359">
        <v>31</v>
      </c>
      <c r="C33" s="357" t="str">
        <f>Daily!D59</f>
        <v/>
      </c>
      <c r="D33" s="360"/>
      <c r="E33" s="357" t="str">
        <f>Daily!D119</f>
        <v/>
      </c>
      <c r="F33" s="360"/>
      <c r="G33" s="357">
        <f>Daily!D180</f>
        <v>0.33984447756457165</v>
      </c>
      <c r="H33" s="360"/>
      <c r="I33" s="357">
        <f>Daily!D241</f>
        <v>0.23851258698210129</v>
      </c>
      <c r="J33" s="357">
        <f>Daily!D272</f>
        <v>0.16633449783390106</v>
      </c>
      <c r="K33" s="357"/>
      <c r="L33" s="357" t="str">
        <f>Daily!D333</f>
        <v/>
      </c>
      <c r="M33" s="360"/>
      <c r="N33" s="357" t="str">
        <f>Daily!D394</f>
        <v/>
      </c>
      <c r="O33" s="357" t="str">
        <f>Daily!D425</f>
        <v/>
      </c>
      <c r="P33" s="357"/>
      <c r="Q33" s="357" t="str">
        <f>Daily!D484</f>
        <v/>
      </c>
      <c r="R33" s="357"/>
      <c r="S33" s="357" t="str">
        <f>Daily!D545</f>
        <v/>
      </c>
      <c r="T33" s="357"/>
      <c r="U33" s="357" t="str">
        <f>Daily!D606</f>
        <v/>
      </c>
      <c r="V33" s="349"/>
      <c r="W33" s="359">
        <v>31</v>
      </c>
      <c r="X33" s="357">
        <f>Daily!C59</f>
        <v>0.4462916169068708</v>
      </c>
      <c r="Y33" s="360"/>
      <c r="Z33" s="357">
        <f>Daily!C119</f>
        <v>0.93869359143232689</v>
      </c>
      <c r="AA33" s="360"/>
      <c r="AB33" s="357">
        <f>Daily!C180</f>
        <v>3.9641089845261237</v>
      </c>
      <c r="AC33" s="360"/>
      <c r="AD33" s="357">
        <f>Daily!C241</f>
        <v>3.6949662527290243</v>
      </c>
      <c r="AE33" s="357">
        <f>Daily!C272</f>
        <v>3.1191168130974036</v>
      </c>
      <c r="AF33" s="357"/>
      <c r="AG33" s="357">
        <f>Daily!C333</f>
        <v>0.62115805906117094</v>
      </c>
      <c r="AH33" s="360"/>
      <c r="AI33" s="357">
        <f>Daily!C394</f>
        <v>0.21064171067586901</v>
      </c>
      <c r="AJ33" s="357">
        <f>Daily!C425</f>
        <v>0.4462916169068708</v>
      </c>
      <c r="AK33" s="357"/>
      <c r="AL33" s="357">
        <f>Daily!C484</f>
        <v>2.5106888403813876</v>
      </c>
      <c r="AM33" s="357"/>
      <c r="AN33" s="357">
        <f>Daily!C545</f>
        <v>3.6071849907178821</v>
      </c>
      <c r="AO33" s="357"/>
      <c r="AP33" s="357">
        <f>Daily!C606</f>
        <v>3.8584668114409286</v>
      </c>
      <c r="AQ33" s="349"/>
      <c r="AR33" s="359">
        <v>31</v>
      </c>
      <c r="AS33" s="357" t="str">
        <f>IF(ISNA(Daily!E59),"",Daily!E59)</f>
        <v/>
      </c>
      <c r="AT33" s="360"/>
      <c r="AU33" s="357" t="str">
        <f>IF(ISNA(Daily!E119),"",Daily!E119)</f>
        <v/>
      </c>
      <c r="AV33" s="360"/>
      <c r="AW33" s="357">
        <f>IF(ISNA(Daily!E180),"",Daily!E180)</f>
        <v>0.46309523809523795</v>
      </c>
      <c r="AX33" s="360"/>
      <c r="AY33" s="357">
        <f>IF(ISNA(Daily!E241),"",Daily!E241)</f>
        <v>1.0500000000000007</v>
      </c>
      <c r="AZ33" s="357">
        <f>IF(ISNA(Daily!E272),"",Daily!E272)</f>
        <v>0.9214285714285726</v>
      </c>
      <c r="BA33" s="357"/>
      <c r="BB33" s="357" t="str">
        <f>IF(ISNA(Daily!E333),"",Daily!E333)</f>
        <v/>
      </c>
      <c r="BC33" s="360"/>
      <c r="BD33" s="357" t="str">
        <f>IF(ISNA(Daily!E394),"",Daily!E394)</f>
        <v/>
      </c>
      <c r="BE33" s="357" t="str">
        <f>IF(ISNA(Daily!E425),"",Daily!E425)</f>
        <v/>
      </c>
      <c r="BF33" s="357"/>
      <c r="BG33" s="357" t="str">
        <f>IF(ISNA(Daily!E484),"",Daily!E484)</f>
        <v/>
      </c>
      <c r="BH33" s="357"/>
      <c r="BI33" s="357" t="str">
        <f>IF(ISNA(Daily!E545),"",Daily!E545)</f>
        <v/>
      </c>
      <c r="BJ33" s="357"/>
      <c r="BK33" s="357" t="str">
        <f>IF(ISNA(Daily!E606),"",Daily!E606)</f>
        <v/>
      </c>
      <c r="BL33" s="349"/>
      <c r="BM33" s="359">
        <v>31</v>
      </c>
      <c r="BN33" s="357" t="str">
        <f>Daily!G59</f>
        <v/>
      </c>
      <c r="BO33" s="360"/>
      <c r="BP33" s="357" t="str">
        <f>Daily!G119</f>
        <v/>
      </c>
      <c r="BQ33" s="360"/>
      <c r="BR33" s="357">
        <f>Daily!G180</f>
        <v>1.8357599940245972</v>
      </c>
      <c r="BS33" s="360"/>
      <c r="BT33" s="357">
        <f>Daily!G241</f>
        <v>3.8797145653654783</v>
      </c>
      <c r="BU33" s="357">
        <f>Daily!G272</f>
        <v>2.8740433492111825</v>
      </c>
      <c r="BV33" s="357"/>
      <c r="BW33" s="357" t="str">
        <f>Daily!G333</f>
        <v/>
      </c>
      <c r="BX33" s="360"/>
      <c r="BY33" s="357" t="str">
        <f>Daily!G394</f>
        <v/>
      </c>
      <c r="BZ33" s="357" t="str">
        <f>Daily!G425</f>
        <v/>
      </c>
      <c r="CA33" s="357"/>
      <c r="CB33" s="357" t="str">
        <f>Daily!G484</f>
        <v/>
      </c>
      <c r="CC33" s="357"/>
      <c r="CD33" s="357" t="str">
        <f>Daily!G545</f>
        <v/>
      </c>
      <c r="CE33" s="357"/>
      <c r="CF33" s="357" t="str">
        <f>Daily!G606</f>
        <v/>
      </c>
      <c r="CG33" s="349"/>
      <c r="CH33" s="359">
        <v>31</v>
      </c>
      <c r="CI33" s="358" t="str">
        <f>IF(Daily!I59=0,"",Daily!I59)</f>
        <v/>
      </c>
      <c r="CJ33" s="361"/>
      <c r="CK33" s="358" t="str">
        <f>IF(Daily!I119=0,"",Daily!I119)</f>
        <v/>
      </c>
      <c r="CL33" s="361"/>
      <c r="CM33" s="358" t="str">
        <f>IF(Daily!I1530=0,"",Daily!I180)</f>
        <v/>
      </c>
      <c r="CN33" s="361"/>
      <c r="CO33" s="358">
        <f>IF(Daily!I241=0,"",Daily!I241)</f>
        <v>320.87472271031078</v>
      </c>
      <c r="CP33" s="358">
        <f>IF(Daily!I272=0,"",Daily!I272)</f>
        <v>437.12827876302242</v>
      </c>
      <c r="CQ33" s="358"/>
      <c r="CR33" s="358" t="str">
        <f>IF(Daily!I333=0,"",Daily!I333)</f>
        <v/>
      </c>
      <c r="CS33" s="361"/>
      <c r="CT33" s="358" t="str">
        <f>IF(Daily!I394=0,"",Daily!I394)</f>
        <v/>
      </c>
      <c r="CU33" s="358" t="str">
        <f>IF(Daily!I425=0,"",Daily!I425)</f>
        <v/>
      </c>
      <c r="CV33" s="358"/>
      <c r="CW33" s="358" t="str">
        <f>IF(Daily!I484=0,"",Daily!I484)</f>
        <v/>
      </c>
      <c r="CX33" s="358"/>
      <c r="CY33" s="358" t="str">
        <f>IF(Daily!I545=0,"",Daily!I545)</f>
        <v/>
      </c>
      <c r="CZ33" s="358"/>
      <c r="DA33" s="358" t="str">
        <f>IF(Daily!I606=0,"",Daily!I606)</f>
        <v/>
      </c>
      <c r="DB33" s="349"/>
      <c r="DC33" s="359">
        <v>31</v>
      </c>
      <c r="DD33" s="357" t="str">
        <f>IF(ISNA(Daily!F59),"",Daily!F59)</f>
        <v/>
      </c>
      <c r="DE33" s="360"/>
      <c r="DF33" s="357" t="str">
        <f>IF(ISNA(Daily!F119),"",Daily!F119)</f>
        <v/>
      </c>
      <c r="DG33" s="360"/>
      <c r="DH33" s="357">
        <f>IF(ISNA(Daily!F180),"",Daily!F180)</f>
        <v>0.88607358823784144</v>
      </c>
      <c r="DI33" s="360"/>
      <c r="DJ33" s="357">
        <f>IF(ISNA(Daily!F241),"",Daily!F241)</f>
        <v>1.0551154230400821</v>
      </c>
      <c r="DK33" s="357">
        <f>IF(ISNA(Daily!F272),"",Daily!F272)</f>
        <v>0.96642818299031163</v>
      </c>
      <c r="DL33" s="357"/>
      <c r="DM33" s="357" t="str">
        <f>IF(ISNA(Daily!F333),"",Daily!F333)</f>
        <v/>
      </c>
      <c r="DN33" s="360"/>
      <c r="DO33" s="357" t="str">
        <f>IF(ISNA(Daily!F394),"",Daily!F394)</f>
        <v/>
      </c>
      <c r="DP33" s="357" t="str">
        <f>IF(ISNA(Daily!F425),"",Daily!F425)</f>
        <v/>
      </c>
      <c r="DQ33" s="357"/>
      <c r="DR33" s="357" t="str">
        <f>IF(ISNA(Daily!F485),"",Daily!F485)</f>
        <v/>
      </c>
      <c r="DS33" s="357"/>
      <c r="DT33" s="357" t="str">
        <f>IF(ISNA(Daily!F545),"",Daily!F545)</f>
        <v/>
      </c>
      <c r="DU33" s="357"/>
      <c r="DV33" s="357" t="str">
        <f>IF(ISNA(Daily!F606),"",Daily!G606)</f>
        <v/>
      </c>
      <c r="DW33" s="349"/>
      <c r="DX33" s="359">
        <v>31</v>
      </c>
      <c r="DY33" s="357" t="str">
        <f>Daily!H59</f>
        <v/>
      </c>
      <c r="DZ33" s="360"/>
      <c r="EA33" s="357" t="str">
        <f>Daily!H119</f>
        <v/>
      </c>
      <c r="EB33" s="360"/>
      <c r="EC33" s="357">
        <f>Daily!H180</f>
        <v>3.5124922720849283</v>
      </c>
      <c r="ED33" s="360"/>
      <c r="EE33" s="357">
        <f>Daily!H241</f>
        <v>3.8986158808670113</v>
      </c>
      <c r="EF33" s="357">
        <f>Daily!H272</f>
        <v>3.0144023942162552</v>
      </c>
      <c r="EG33" s="357"/>
      <c r="EH33" s="357" t="str">
        <f>Daily!H333</f>
        <v/>
      </c>
      <c r="EI33" s="360"/>
      <c r="EJ33" s="357" t="str">
        <f>Daily!H394</f>
        <v/>
      </c>
      <c r="EK33" s="357" t="str">
        <f>Daily!H425</f>
        <v/>
      </c>
      <c r="EL33" s="357"/>
      <c r="EM33" s="357" t="str">
        <f>Daily!H484</f>
        <v/>
      </c>
      <c r="EN33" s="357"/>
      <c r="EO33" s="357" t="str">
        <f>Daily!H545</f>
        <v/>
      </c>
      <c r="EP33" s="357"/>
      <c r="EQ33" s="357" t="str">
        <f>Daily!H606</f>
        <v/>
      </c>
      <c r="ER33" s="349"/>
      <c r="ES33" s="359">
        <v>31</v>
      </c>
      <c r="ET33" s="358" t="str">
        <f>IF(Daily!J59=0,"",Daily!J59)</f>
        <v/>
      </c>
      <c r="EU33" s="361"/>
      <c r="EV33" s="358" t="str">
        <f>IF(Daily!J119=0,"",Daily!J119)</f>
        <v/>
      </c>
      <c r="EW33" s="361"/>
      <c r="EX33" s="358">
        <f>IF(Daily!J180=0,"",Daily!J180)</f>
        <v>91.204184791613216</v>
      </c>
      <c r="EY33" s="361"/>
      <c r="EZ33" s="358">
        <f>IF(Daily!J241=0,"",Daily!J241)</f>
        <v>359.75557088881857</v>
      </c>
      <c r="FA33" s="358">
        <f>IF(Daily!J272=0,"",Daily!J272)</f>
        <v>477.47353663435325</v>
      </c>
      <c r="FB33" s="358"/>
      <c r="FC33" s="358" t="str">
        <f>IF(Daily!J333=0,"",Daily!J333)</f>
        <v/>
      </c>
      <c r="FD33" s="361"/>
      <c r="FE33" s="358" t="str">
        <f>IF(Daily!J394=0,"",Daily!J394)</f>
        <v/>
      </c>
      <c r="FF33" s="358" t="str">
        <f>IF(Daily!J425=0,"",Daily!J425)</f>
        <v/>
      </c>
      <c r="FG33" s="358"/>
      <c r="FH33" s="358" t="str">
        <f>IF(Daily!J484=0,"",Daily!J484)</f>
        <v/>
      </c>
      <c r="FI33" s="358"/>
      <c r="FJ33" s="358" t="str">
        <f>IF(Daily!J545=0,"",Daily!J545)</f>
        <v/>
      </c>
      <c r="FK33" s="358"/>
      <c r="FL33" s="358" t="str">
        <f>IF(Daily!J606=0,"",Daily!J606)</f>
        <v/>
      </c>
      <c r="FM33" s="349"/>
    </row>
    <row r="34" spans="1:169">
      <c r="A34" s="349"/>
      <c r="B34" s="351"/>
      <c r="C34" s="351"/>
      <c r="D34" s="362"/>
      <c r="E34" s="351"/>
      <c r="F34" s="351"/>
      <c r="G34" s="351"/>
      <c r="H34" s="351"/>
      <c r="I34" s="351"/>
      <c r="J34" s="351"/>
      <c r="K34" s="351"/>
      <c r="L34" s="351"/>
      <c r="M34" s="351"/>
      <c r="N34" s="351"/>
      <c r="O34" s="351"/>
      <c r="P34" s="351"/>
      <c r="Q34" s="351"/>
      <c r="R34" s="351"/>
      <c r="S34" s="351"/>
      <c r="T34" s="351"/>
      <c r="U34" s="351"/>
      <c r="V34" s="349"/>
      <c r="W34" s="351"/>
      <c r="X34" s="351"/>
      <c r="Y34" s="362"/>
      <c r="Z34" s="351"/>
      <c r="AA34" s="351"/>
      <c r="AB34" s="351"/>
      <c r="AC34" s="351"/>
      <c r="AD34" s="351"/>
      <c r="AE34" s="351"/>
      <c r="AF34" s="351"/>
      <c r="AG34" s="351"/>
      <c r="AH34" s="351"/>
      <c r="AI34" s="351"/>
      <c r="AJ34" s="351"/>
      <c r="AK34" s="351"/>
      <c r="AL34" s="351"/>
      <c r="AM34" s="351"/>
      <c r="AN34" s="351"/>
      <c r="AO34" s="351"/>
      <c r="AP34" s="351"/>
      <c r="AQ34" s="349"/>
      <c r="AR34" s="351"/>
      <c r="AS34" s="351"/>
      <c r="AT34" s="362"/>
      <c r="AU34" s="351"/>
      <c r="AV34" s="351"/>
      <c r="AW34" s="351"/>
      <c r="AX34" s="351"/>
      <c r="AY34" s="351"/>
      <c r="AZ34" s="351"/>
      <c r="BA34" s="351"/>
      <c r="BB34" s="351"/>
      <c r="BC34" s="351"/>
      <c r="BD34" s="351"/>
      <c r="BE34" s="351"/>
      <c r="BF34" s="351"/>
      <c r="BG34" s="351"/>
      <c r="BH34" s="351"/>
      <c r="BI34" s="351"/>
      <c r="BJ34" s="351"/>
      <c r="BK34" s="351"/>
      <c r="BL34" s="349"/>
      <c r="BM34" s="351"/>
      <c r="BN34" s="351"/>
      <c r="BO34" s="362"/>
      <c r="BP34" s="351"/>
      <c r="BQ34" s="351"/>
      <c r="BR34" s="351"/>
      <c r="BS34" s="351"/>
      <c r="BT34" s="351"/>
      <c r="BU34" s="351"/>
      <c r="BV34" s="351"/>
      <c r="BW34" s="351"/>
      <c r="BX34" s="351"/>
      <c r="BY34" s="351"/>
      <c r="BZ34" s="351"/>
      <c r="CA34" s="351"/>
      <c r="CB34" s="351"/>
      <c r="CC34" s="351"/>
      <c r="CD34" s="351"/>
      <c r="CE34" s="351"/>
      <c r="CF34" s="351"/>
      <c r="CG34" s="349"/>
      <c r="CH34" s="351"/>
      <c r="CI34" s="422"/>
      <c r="CJ34" s="362"/>
      <c r="CK34" s="422"/>
      <c r="CL34" s="422"/>
      <c r="CM34" s="422"/>
      <c r="CN34" s="422"/>
      <c r="CO34" s="422"/>
      <c r="CP34" s="422"/>
      <c r="CQ34" s="422"/>
      <c r="CR34" s="422"/>
      <c r="CS34" s="422"/>
      <c r="CT34" s="422"/>
      <c r="CU34" s="422"/>
      <c r="CV34" s="422"/>
      <c r="CW34" s="422"/>
      <c r="CX34" s="422"/>
      <c r="CY34" s="422"/>
      <c r="CZ34" s="422"/>
      <c r="DA34" s="422"/>
      <c r="DB34" s="349"/>
      <c r="DC34" s="351"/>
      <c r="DD34" s="351"/>
      <c r="DE34" s="362"/>
      <c r="DF34" s="351"/>
      <c r="DG34" s="351"/>
      <c r="DH34" s="351"/>
      <c r="DI34" s="351"/>
      <c r="DJ34" s="351"/>
      <c r="DK34" s="351"/>
      <c r="DL34" s="351"/>
      <c r="DM34" s="351"/>
      <c r="DN34" s="351"/>
      <c r="DO34" s="351"/>
      <c r="DP34" s="351"/>
      <c r="DQ34" s="351"/>
      <c r="DR34" s="351"/>
      <c r="DS34" s="351"/>
      <c r="DT34" s="351"/>
      <c r="DU34" s="351"/>
      <c r="DV34" s="351"/>
      <c r="DW34" s="349"/>
      <c r="DX34" s="351"/>
      <c r="DY34" s="351"/>
      <c r="DZ34" s="362"/>
      <c r="EA34" s="351"/>
      <c r="EB34" s="351"/>
      <c r="EC34" s="351"/>
      <c r="ED34" s="351"/>
      <c r="EE34" s="351"/>
      <c r="EF34" s="351"/>
      <c r="EG34" s="351"/>
      <c r="EH34" s="351"/>
      <c r="EI34" s="351"/>
      <c r="EJ34" s="351"/>
      <c r="EK34" s="351"/>
      <c r="EL34" s="351"/>
      <c r="EM34" s="351"/>
      <c r="EN34" s="351"/>
      <c r="EO34" s="351"/>
      <c r="EP34" s="351"/>
      <c r="EQ34" s="351"/>
      <c r="ER34" s="349"/>
      <c r="ES34" s="351"/>
      <c r="ET34" s="351"/>
      <c r="EU34" s="362"/>
      <c r="EV34" s="351"/>
      <c r="EW34" s="351"/>
      <c r="EX34" s="351"/>
      <c r="EY34" s="351"/>
      <c r="EZ34" s="351"/>
      <c r="FA34" s="351"/>
      <c r="FB34" s="351"/>
      <c r="FC34" s="351"/>
      <c r="FD34" s="351"/>
      <c r="FE34" s="351"/>
      <c r="FF34" s="351"/>
      <c r="FG34" s="351"/>
      <c r="FH34" s="351"/>
      <c r="FI34" s="351"/>
      <c r="FJ34" s="351"/>
      <c r="FK34" s="351"/>
      <c r="FL34" s="351"/>
      <c r="FM34" s="349"/>
    </row>
    <row r="35" spans="1:169">
      <c r="A35" s="349"/>
      <c r="B35" s="363" t="s">
        <v>228</v>
      </c>
      <c r="C35" s="364" t="str">
        <f>IF(COUNT(C3:C33)=0,"",AVERAGE(C3:C33))</f>
        <v/>
      </c>
      <c r="D35" s="364" t="str">
        <f t="shared" ref="D35:U35" si="0">IF(COUNT(D3:D33)=0,"",AVERAGE(D3:D33))</f>
        <v/>
      </c>
      <c r="E35" s="364" t="str">
        <f t="shared" si="0"/>
        <v/>
      </c>
      <c r="F35" s="364">
        <f t="shared" si="0"/>
        <v>0.88314608151036067</v>
      </c>
      <c r="G35" s="364">
        <f t="shared" si="0"/>
        <v>0.66076344761762562</v>
      </c>
      <c r="H35" s="364">
        <f t="shared" si="0"/>
        <v>0.23845049820164141</v>
      </c>
      <c r="I35" s="364">
        <f t="shared" si="0"/>
        <v>0.37959338723736458</v>
      </c>
      <c r="J35" s="364">
        <f t="shared" si="0"/>
        <v>0.19359117587442407</v>
      </c>
      <c r="K35" s="364">
        <f t="shared" si="0"/>
        <v>0.80169009684017201</v>
      </c>
      <c r="L35" s="364" t="str">
        <f t="shared" si="0"/>
        <v/>
      </c>
      <c r="M35" s="364" t="str">
        <f t="shared" si="0"/>
        <v/>
      </c>
      <c r="N35" s="364" t="str">
        <f t="shared" si="0"/>
        <v/>
      </c>
      <c r="O35" s="364" t="str">
        <f t="shared" si="0"/>
        <v/>
      </c>
      <c r="P35" s="364" t="str">
        <f t="shared" si="0"/>
        <v/>
      </c>
      <c r="Q35" s="364" t="str">
        <f t="shared" si="0"/>
        <v/>
      </c>
      <c r="R35" s="364" t="str">
        <f t="shared" si="0"/>
        <v/>
      </c>
      <c r="S35" s="364" t="str">
        <f t="shared" si="0"/>
        <v/>
      </c>
      <c r="T35" s="364" t="str">
        <f t="shared" si="0"/>
        <v/>
      </c>
      <c r="U35" s="364" t="str">
        <f t="shared" si="0"/>
        <v/>
      </c>
      <c r="V35" s="349"/>
      <c r="W35" s="363" t="s">
        <v>228</v>
      </c>
      <c r="X35" s="364">
        <f>IF(COUNT(X3:X33)=0,"",AVERAGE(X3:X33))</f>
        <v>0.29820301936536553</v>
      </c>
      <c r="Y35" s="364">
        <f t="shared" ref="Y35:AP35" si="1">IF(COUNT(Y3:Y33)=0,"",AVERAGE(Y3:Y33))</f>
        <v>0.46833216623671287</v>
      </c>
      <c r="Z35" s="364">
        <f t="shared" si="1"/>
        <v>1.3319948639124057</v>
      </c>
      <c r="AA35" s="364">
        <f t="shared" si="1"/>
        <v>1.4363211472069024</v>
      </c>
      <c r="AB35" s="364">
        <f t="shared" si="1"/>
        <v>2.8676151950536086</v>
      </c>
      <c r="AC35" s="364">
        <f t="shared" si="1"/>
        <v>4.2334472483997461</v>
      </c>
      <c r="AD35" s="364">
        <f t="shared" si="1"/>
        <v>4.4141750173092893</v>
      </c>
      <c r="AE35" s="364">
        <f t="shared" si="1"/>
        <v>3.6591010528330465</v>
      </c>
      <c r="AF35" s="364">
        <f t="shared" si="1"/>
        <v>2.0231525471596536</v>
      </c>
      <c r="AG35" s="364">
        <f t="shared" si="1"/>
        <v>0.99080570399491297</v>
      </c>
      <c r="AH35" s="364">
        <f t="shared" si="1"/>
        <v>0.44114151485900671</v>
      </c>
      <c r="AI35" s="364">
        <f t="shared" si="1"/>
        <v>0.20180602049198348</v>
      </c>
      <c r="AJ35" s="364">
        <f t="shared" si="1"/>
        <v>0.29820301936536553</v>
      </c>
      <c r="AK35" s="364">
        <f t="shared" si="1"/>
        <v>0.46833216623671287</v>
      </c>
      <c r="AL35" s="364">
        <f t="shared" si="1"/>
        <v>1.343188085950197</v>
      </c>
      <c r="AM35" s="364">
        <f t="shared" si="1"/>
        <v>1.4632890359379498</v>
      </c>
      <c r="AN35" s="364">
        <f t="shared" si="1"/>
        <v>2.7439231932786021</v>
      </c>
      <c r="AO35" s="364">
        <f t="shared" si="1"/>
        <v>4.1935739202571094</v>
      </c>
      <c r="AP35" s="364">
        <f t="shared" si="1"/>
        <v>4.4614441326665872</v>
      </c>
      <c r="AQ35" s="349"/>
      <c r="AR35" s="363" t="s">
        <v>228</v>
      </c>
      <c r="AS35" s="364" t="str">
        <f>IF(COUNT(AS3:AS33)=0,"",AVERAGE(AS3:AS33))</f>
        <v/>
      </c>
      <c r="AT35" s="364" t="str">
        <f t="shared" ref="AT35:BK35" si="2">IF(COUNT(AT3:AT33)=0,"",AVERAGE(AT3:AT33))</f>
        <v/>
      </c>
      <c r="AU35" s="364" t="str">
        <f t="shared" si="2"/>
        <v/>
      </c>
      <c r="AV35" s="364">
        <f t="shared" si="2"/>
        <v>0.88314608151036067</v>
      </c>
      <c r="AW35" s="364">
        <f t="shared" si="2"/>
        <v>0.67010446875719587</v>
      </c>
      <c r="AX35" s="364">
        <f t="shared" si="2"/>
        <v>0.78650793650793671</v>
      </c>
      <c r="AY35" s="364">
        <f t="shared" si="2"/>
        <v>1.0596774193548395</v>
      </c>
      <c r="AZ35" s="364">
        <f t="shared" si="2"/>
        <v>1.0230414746543786</v>
      </c>
      <c r="BA35" s="364">
        <f t="shared" si="2"/>
        <v>0.86773499699131917</v>
      </c>
      <c r="BB35" s="364" t="str">
        <f t="shared" si="2"/>
        <v/>
      </c>
      <c r="BC35" s="364" t="str">
        <f t="shared" si="2"/>
        <v/>
      </c>
      <c r="BD35" s="364" t="str">
        <f t="shared" si="2"/>
        <v/>
      </c>
      <c r="BE35" s="364" t="str">
        <f t="shared" si="2"/>
        <v/>
      </c>
      <c r="BF35" s="364" t="str">
        <f t="shared" si="2"/>
        <v/>
      </c>
      <c r="BG35" s="364" t="str">
        <f t="shared" si="2"/>
        <v/>
      </c>
      <c r="BH35" s="364" t="str">
        <f t="shared" si="2"/>
        <v/>
      </c>
      <c r="BI35" s="364" t="str">
        <f t="shared" si="2"/>
        <v/>
      </c>
      <c r="BJ35" s="364" t="str">
        <f t="shared" si="2"/>
        <v/>
      </c>
      <c r="BK35" s="364" t="str">
        <f t="shared" si="2"/>
        <v/>
      </c>
      <c r="BL35" s="349"/>
      <c r="BM35" s="363" t="s">
        <v>228</v>
      </c>
      <c r="BN35" s="364" t="str">
        <f>IF(COUNT(BN3:BN33)=0,"",AVERAGE(BN3:BN33))</f>
        <v/>
      </c>
      <c r="BO35" s="364" t="str">
        <f t="shared" ref="BO35:CF35" si="3">IF(COUNT(BO3:BO33)=0,"",AVERAGE(BO3:BO33))</f>
        <v/>
      </c>
      <c r="BP35" s="364" t="str">
        <f t="shared" si="3"/>
        <v/>
      </c>
      <c r="BQ35" s="364">
        <f t="shared" si="3"/>
        <v>1.1970915729741223</v>
      </c>
      <c r="BR35" s="364">
        <f t="shared" si="3"/>
        <v>1.8132546048225062</v>
      </c>
      <c r="BS35" s="364">
        <f t="shared" si="3"/>
        <v>3.3571650624149858</v>
      </c>
      <c r="BT35" s="364">
        <f t="shared" si="3"/>
        <v>4.6708197716379818</v>
      </c>
      <c r="BU35" s="364">
        <f t="shared" si="3"/>
        <v>3.7501147113777957</v>
      </c>
      <c r="BV35" s="364">
        <f t="shared" si="3"/>
        <v>1.8058461601537592</v>
      </c>
      <c r="BW35" s="364" t="str">
        <f t="shared" si="3"/>
        <v/>
      </c>
      <c r="BX35" s="364" t="str">
        <f t="shared" si="3"/>
        <v/>
      </c>
      <c r="BY35" s="364" t="str">
        <f t="shared" si="3"/>
        <v/>
      </c>
      <c r="BZ35" s="364" t="str">
        <f t="shared" si="3"/>
        <v/>
      </c>
      <c r="CA35" s="364" t="str">
        <f t="shared" si="3"/>
        <v/>
      </c>
      <c r="CB35" s="364" t="str">
        <f t="shared" si="3"/>
        <v/>
      </c>
      <c r="CC35" s="364" t="str">
        <f t="shared" si="3"/>
        <v/>
      </c>
      <c r="CD35" s="364" t="str">
        <f t="shared" si="3"/>
        <v/>
      </c>
      <c r="CE35" s="364" t="str">
        <f t="shared" si="3"/>
        <v/>
      </c>
      <c r="CF35" s="364" t="str">
        <f t="shared" si="3"/>
        <v/>
      </c>
      <c r="CG35" s="349"/>
      <c r="CH35" s="363"/>
      <c r="CI35" s="423"/>
      <c r="CJ35" s="423"/>
      <c r="CK35" s="423"/>
      <c r="CL35" s="423"/>
      <c r="CM35" s="423"/>
      <c r="CN35" s="423"/>
      <c r="CO35" s="423"/>
      <c r="CP35" s="423"/>
      <c r="CQ35" s="423"/>
      <c r="CR35" s="423"/>
      <c r="CS35" s="423"/>
      <c r="CT35" s="423"/>
      <c r="CU35" s="423"/>
      <c r="CV35" s="423"/>
      <c r="CW35" s="423"/>
      <c r="CX35" s="423"/>
      <c r="CY35" s="423"/>
      <c r="CZ35" s="423"/>
      <c r="DA35" s="423"/>
      <c r="DB35" s="349"/>
      <c r="DC35" s="363" t="s">
        <v>228</v>
      </c>
      <c r="DD35" s="364" t="str">
        <f>IF(COUNT(DD3:DD33)=0,"",AVERAGE(DD3:DD33))</f>
        <v/>
      </c>
      <c r="DE35" s="364" t="str">
        <f>IF(COUNT(DE3:DE33)=0,"",AVERAGE(DE3:DE33))</f>
        <v/>
      </c>
      <c r="DF35" s="364" t="str">
        <f>IF(COUNT(DF3:DF33)=0,"",AVERAGE(DF3:DF33))</f>
        <v/>
      </c>
      <c r="DG35" s="364">
        <f>IF(COUNT(DG3:DG33)=0,"",AVERAGE(DG3:DG33))</f>
        <v>0.81029621401614638</v>
      </c>
      <c r="DH35" s="364">
        <f>IF(COUNT(DH3:DH33)=0,"",AVERAGE(DH3:DH33))</f>
        <v>0.82740723400169047</v>
      </c>
      <c r="DI35" s="364">
        <f t="shared" ref="DI35:DV35" si="4">IF(COUNT(DI3:DI33)=0,"",AVERAGE(DI3:DI33))</f>
        <v>0.97622923346570389</v>
      </c>
      <c r="DJ35" s="364">
        <f t="shared" si="4"/>
        <v>1.0551154230400821</v>
      </c>
      <c r="DK35" s="364">
        <f t="shared" si="4"/>
        <v>1.0365197114167433</v>
      </c>
      <c r="DL35" s="364">
        <f t="shared" si="4"/>
        <v>0.85187383125935812</v>
      </c>
      <c r="DM35" s="364" t="str">
        <f t="shared" si="4"/>
        <v/>
      </c>
      <c r="DN35" s="364" t="str">
        <f t="shared" si="4"/>
        <v/>
      </c>
      <c r="DO35" s="364" t="str">
        <f t="shared" si="4"/>
        <v/>
      </c>
      <c r="DP35" s="364" t="str">
        <f t="shared" si="4"/>
        <v/>
      </c>
      <c r="DQ35" s="364" t="str">
        <f t="shared" si="4"/>
        <v/>
      </c>
      <c r="DR35" s="364" t="str">
        <f t="shared" si="4"/>
        <v/>
      </c>
      <c r="DS35" s="364" t="str">
        <f t="shared" si="4"/>
        <v/>
      </c>
      <c r="DT35" s="364" t="str">
        <f t="shared" si="4"/>
        <v/>
      </c>
      <c r="DU35" s="364" t="str">
        <f t="shared" si="4"/>
        <v/>
      </c>
      <c r="DV35" s="364" t="str">
        <f t="shared" si="4"/>
        <v/>
      </c>
      <c r="DW35" s="349"/>
      <c r="DX35" s="363" t="s">
        <v>228</v>
      </c>
      <c r="DY35" s="364" t="str">
        <f>IF(COUNT(DY3:DY33)=0,"",AVERAGE(DY3:DY33))</f>
        <v/>
      </c>
      <c r="DZ35" s="364" t="str">
        <f t="shared" ref="DZ35:EQ35" si="5">IF(COUNT(DZ3:DZ33)=0,"",AVERAGE(DZ3:DZ33))</f>
        <v/>
      </c>
      <c r="EA35" s="364" t="str">
        <f t="shared" si="5"/>
        <v/>
      </c>
      <c r="EB35" s="364">
        <f t="shared" si="5"/>
        <v>1.0858900485789471</v>
      </c>
      <c r="EC35" s="364">
        <f t="shared" si="5"/>
        <v>2.3816110972370974</v>
      </c>
      <c r="ED35" s="364">
        <f t="shared" si="5"/>
        <v>4.1389999244535494</v>
      </c>
      <c r="EE35" s="364">
        <f t="shared" si="5"/>
        <v>4.6574641407612516</v>
      </c>
      <c r="EF35" s="364">
        <f t="shared" si="5"/>
        <v>3.797353733726927</v>
      </c>
      <c r="EG35" s="364">
        <f t="shared" si="5"/>
        <v>1.7518938472853172</v>
      </c>
      <c r="EH35" s="364" t="str">
        <f t="shared" si="5"/>
        <v/>
      </c>
      <c r="EI35" s="364" t="str">
        <f t="shared" si="5"/>
        <v/>
      </c>
      <c r="EJ35" s="364" t="str">
        <f t="shared" si="5"/>
        <v/>
      </c>
      <c r="EK35" s="364" t="str">
        <f t="shared" si="5"/>
        <v/>
      </c>
      <c r="EL35" s="364" t="str">
        <f t="shared" si="5"/>
        <v/>
      </c>
      <c r="EM35" s="364" t="str">
        <f t="shared" si="5"/>
        <v/>
      </c>
      <c r="EN35" s="364" t="str">
        <f t="shared" si="5"/>
        <v/>
      </c>
      <c r="EO35" s="364" t="str">
        <f t="shared" si="5"/>
        <v/>
      </c>
      <c r="EP35" s="364" t="str">
        <f t="shared" si="5"/>
        <v/>
      </c>
      <c r="EQ35" s="364" t="str">
        <f t="shared" si="5"/>
        <v/>
      </c>
      <c r="ER35" s="349"/>
      <c r="ES35" s="363"/>
      <c r="ET35" s="364"/>
      <c r="EU35" s="364"/>
      <c r="EV35" s="364"/>
      <c r="EW35" s="364"/>
      <c r="EX35" s="364"/>
      <c r="EY35" s="364"/>
      <c r="EZ35" s="364"/>
      <c r="FA35" s="364"/>
      <c r="FB35" s="364"/>
      <c r="FC35" s="364"/>
      <c r="FD35" s="364"/>
      <c r="FE35" s="364"/>
      <c r="FF35" s="364"/>
      <c r="FG35" s="364"/>
      <c r="FH35" s="364"/>
      <c r="FI35" s="364"/>
      <c r="FJ35" s="364"/>
      <c r="FK35" s="364"/>
      <c r="FL35" s="364"/>
      <c r="FM35" s="349"/>
    </row>
    <row r="36" spans="1:169">
      <c r="A36" s="365"/>
      <c r="B36" s="36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c r="BK36" s="365"/>
      <c r="BL36" s="365"/>
      <c r="BM36" s="365"/>
      <c r="BN36" s="365"/>
      <c r="BO36" s="365"/>
      <c r="BP36" s="365"/>
      <c r="BQ36" s="365"/>
      <c r="BR36" s="365"/>
      <c r="BS36" s="365"/>
      <c r="BT36" s="365"/>
      <c r="BU36" s="365"/>
      <c r="BV36" s="365"/>
      <c r="BW36" s="365"/>
      <c r="BX36" s="365"/>
      <c r="BY36" s="365"/>
      <c r="BZ36" s="365"/>
      <c r="CA36" s="365"/>
      <c r="CB36" s="365"/>
      <c r="CC36" s="365"/>
      <c r="CD36" s="365"/>
      <c r="CE36" s="365"/>
      <c r="CF36" s="365"/>
      <c r="CG36" s="365"/>
      <c r="CH36" s="365"/>
      <c r="CI36" s="365"/>
      <c r="CJ36" s="365"/>
      <c r="CK36" s="365"/>
      <c r="CL36" s="365"/>
      <c r="CM36" s="365"/>
      <c r="CN36" s="365"/>
      <c r="CO36" s="365"/>
      <c r="CP36" s="365"/>
      <c r="CQ36" s="365"/>
      <c r="CR36" s="365"/>
      <c r="CS36" s="365"/>
      <c r="CT36" s="365"/>
      <c r="CU36" s="365"/>
      <c r="CV36" s="365"/>
      <c r="CW36" s="365"/>
      <c r="CX36" s="365"/>
      <c r="CY36" s="365"/>
      <c r="CZ36" s="365"/>
      <c r="DA36" s="365"/>
      <c r="DB36" s="365"/>
      <c r="DC36" s="365"/>
      <c r="DD36" s="365"/>
      <c r="DE36" s="365"/>
      <c r="DF36" s="365"/>
      <c r="DG36" s="365"/>
      <c r="DH36" s="365"/>
      <c r="DI36" s="365"/>
      <c r="DJ36" s="365"/>
      <c r="DK36" s="365"/>
      <c r="DL36" s="365"/>
      <c r="DM36" s="365"/>
      <c r="DN36" s="365"/>
      <c r="DO36" s="365"/>
      <c r="DP36" s="365"/>
      <c r="DQ36" s="365"/>
      <c r="DR36" s="365"/>
      <c r="DS36" s="365"/>
      <c r="DT36" s="365"/>
      <c r="DU36" s="365"/>
      <c r="DV36" s="365"/>
      <c r="DW36" s="365"/>
      <c r="DX36" s="365"/>
      <c r="DY36" s="365"/>
      <c r="DZ36" s="365"/>
      <c r="EA36" s="365"/>
      <c r="EB36" s="365"/>
      <c r="EC36" s="365"/>
      <c r="ED36" s="365"/>
      <c r="EE36" s="365"/>
      <c r="EF36" s="365"/>
      <c r="EG36" s="365"/>
      <c r="EH36" s="365"/>
      <c r="EI36" s="365"/>
      <c r="EJ36" s="365"/>
      <c r="EK36" s="365"/>
      <c r="EL36" s="365"/>
      <c r="EM36" s="365"/>
      <c r="EN36" s="365"/>
      <c r="EO36" s="365"/>
      <c r="EP36" s="365"/>
      <c r="EQ36" s="365"/>
      <c r="ER36" s="365"/>
      <c r="ES36" s="365"/>
      <c r="ET36" s="365"/>
      <c r="EU36" s="365"/>
      <c r="EV36" s="365"/>
      <c r="EW36" s="365"/>
      <c r="EX36" s="365"/>
      <c r="EY36" s="365"/>
      <c r="EZ36" s="365"/>
      <c r="FA36" s="365"/>
      <c r="FB36" s="365"/>
      <c r="FC36" s="365"/>
      <c r="FD36" s="365"/>
      <c r="FE36" s="365"/>
      <c r="FF36" s="365"/>
      <c r="FG36" s="365"/>
      <c r="FH36" s="365"/>
      <c r="FI36" s="365"/>
      <c r="FJ36" s="365"/>
      <c r="FK36" s="365"/>
      <c r="FL36" s="365"/>
      <c r="FM36" s="365"/>
    </row>
    <row r="37" spans="1:169">
      <c r="A37" s="366"/>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BL37" s="366"/>
    </row>
    <row r="38" spans="1:169">
      <c r="A38" s="366"/>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BL38" s="366"/>
    </row>
    <row r="39" spans="1:169">
      <c r="A39" s="366"/>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BL39" s="366"/>
    </row>
    <row r="40" spans="1:169">
      <c r="A40" s="366"/>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BL40" s="366"/>
    </row>
    <row r="41" spans="1:169">
      <c r="A41" s="366"/>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BL41" s="366"/>
    </row>
    <row r="42" spans="1:169">
      <c r="A42" s="366"/>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BL42" s="366"/>
    </row>
    <row r="43" spans="1:169">
      <c r="A43" s="366"/>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BL43" s="366"/>
    </row>
    <row r="44" spans="1:169">
      <c r="A44" s="366"/>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BL44" s="366"/>
    </row>
    <row r="45" spans="1:169">
      <c r="A45" s="366"/>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BL45" s="366"/>
    </row>
    <row r="46" spans="1:169">
      <c r="A46" s="366"/>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BL46" s="366"/>
    </row>
    <row r="47" spans="1:169">
      <c r="A47" s="366"/>
      <c r="B47" s="366"/>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BL47" s="366"/>
    </row>
    <row r="48" spans="1:169">
      <c r="A48" s="366"/>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BL48" s="366"/>
    </row>
    <row r="49" spans="1:64">
      <c r="A49" s="366"/>
      <c r="B49" s="366"/>
      <c r="C49" s="366"/>
      <c r="D49" s="366"/>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BL49" s="366"/>
    </row>
    <row r="50" spans="1:64">
      <c r="A50" s="366"/>
      <c r="B50" s="366"/>
      <c r="C50" s="366"/>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BL50" s="366"/>
    </row>
    <row r="51" spans="1:64">
      <c r="A51" s="366"/>
      <c r="B51" s="366"/>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BL51" s="366"/>
    </row>
    <row r="52" spans="1:64">
      <c r="A52" s="366"/>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BL52" s="366"/>
    </row>
    <row r="53" spans="1:64">
      <c r="A53" s="366"/>
      <c r="B53" s="366"/>
      <c r="C53" s="366"/>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BL53" s="366"/>
    </row>
    <row r="54" spans="1:64">
      <c r="A54" s="366"/>
      <c r="B54" s="366"/>
      <c r="C54" s="366"/>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BL54" s="366"/>
    </row>
    <row r="55" spans="1:64">
      <c r="A55" s="366"/>
      <c r="B55" s="366"/>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BL55" s="366"/>
    </row>
    <row r="56" spans="1:64">
      <c r="A56" s="366"/>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BL56" s="366"/>
    </row>
    <row r="57" spans="1:64">
      <c r="A57" s="366"/>
      <c r="B57" s="366"/>
      <c r="C57" s="366"/>
      <c r="D57" s="366"/>
      <c r="E57" s="366"/>
      <c r="F57" s="366"/>
      <c r="G57" s="366"/>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BL57" s="366"/>
    </row>
    <row r="58" spans="1:64">
      <c r="A58" s="366"/>
      <c r="B58" s="366"/>
      <c r="C58" s="366"/>
      <c r="D58" s="366"/>
      <c r="E58" s="366"/>
      <c r="F58" s="366"/>
      <c r="G58" s="366"/>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BL58" s="366"/>
    </row>
    <row r="59" spans="1:64">
      <c r="A59" s="366"/>
      <c r="B59" s="366"/>
      <c r="C59" s="366"/>
      <c r="D59" s="366"/>
      <c r="E59" s="366"/>
      <c r="F59" s="366"/>
      <c r="G59" s="366"/>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BL59" s="366"/>
    </row>
    <row r="60" spans="1:64">
      <c r="A60" s="366"/>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BL60" s="366"/>
    </row>
    <row r="61" spans="1:64">
      <c r="A61" s="366"/>
      <c r="B61" s="366"/>
      <c r="C61" s="366"/>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BL61" s="366"/>
    </row>
    <row r="62" spans="1:64">
      <c r="A62" s="366"/>
      <c r="B62" s="366"/>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BL62" s="366"/>
    </row>
    <row r="63" spans="1:64">
      <c r="A63" s="366"/>
      <c r="B63" s="366"/>
      <c r="C63" s="366"/>
      <c r="D63" s="366"/>
      <c r="E63" s="366"/>
      <c r="F63" s="366"/>
      <c r="G63" s="366"/>
      <c r="H63" s="366"/>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BL63" s="366"/>
    </row>
    <row r="64" spans="1:64">
      <c r="A64" s="366"/>
      <c r="B64" s="366"/>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BL64" s="366"/>
    </row>
    <row r="65" spans="1:64">
      <c r="A65" s="366"/>
      <c r="B65" s="366"/>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BL65" s="366"/>
    </row>
    <row r="66" spans="1:64">
      <c r="A66" s="366"/>
      <c r="B66" s="366"/>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BL66" s="366"/>
    </row>
    <row r="67" spans="1:64">
      <c r="A67" s="366"/>
      <c r="B67" s="366"/>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BL67" s="366"/>
    </row>
    <row r="68" spans="1:64">
      <c r="A68" s="366"/>
      <c r="B68" s="366"/>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BL68" s="366"/>
    </row>
    <row r="69" spans="1:64">
      <c r="A69" s="366"/>
      <c r="B69" s="366"/>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BL69" s="366"/>
    </row>
    <row r="70" spans="1:64">
      <c r="A70" s="366"/>
      <c r="B70" s="366"/>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BL70" s="366"/>
    </row>
    <row r="71" spans="1:64">
      <c r="A71" s="366"/>
      <c r="B71" s="366"/>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BL71" s="366"/>
    </row>
    <row r="72" spans="1:64">
      <c r="A72" s="366"/>
      <c r="B72" s="366"/>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BL72" s="366"/>
    </row>
    <row r="73" spans="1:64">
      <c r="A73" s="366"/>
      <c r="B73" s="366"/>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BL73" s="366"/>
    </row>
    <row r="74" spans="1:64">
      <c r="A74" s="366"/>
      <c r="B74" s="366"/>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BL74" s="366"/>
    </row>
    <row r="75" spans="1:64">
      <c r="A75" s="366"/>
      <c r="B75" s="366"/>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BL75" s="366"/>
    </row>
    <row r="76" spans="1:64">
      <c r="A76" s="366"/>
      <c r="B76" s="366"/>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BL76" s="366"/>
    </row>
    <row r="77" spans="1:64">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BL77" s="366"/>
    </row>
    <row r="78" spans="1:64">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BL78" s="366"/>
    </row>
    <row r="79" spans="1:64">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BL79" s="366"/>
    </row>
    <row r="80" spans="1:64">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BL80" s="366"/>
    </row>
    <row r="81" spans="1:64">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BL81" s="366"/>
    </row>
    <row r="82" spans="1:64">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BL82" s="366"/>
    </row>
    <row r="83" spans="1:64">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BL83" s="366"/>
    </row>
  </sheetData>
  <phoneticPr fontId="61" type="noConversion"/>
  <conditionalFormatting sqref="DD3:DD33 DO4:DV33 DN4:DN32 DM4:DM33 DL4:DL32 DJ4:DK33 DI4:DI32 DH4:DH33 DG4:DG32 DF4:DF33 DF3:DV3 DE3:DE31 AG32:AG33 AD32:AE33 AF32 AC32 AB32:AB33 AA32 Z32:Z33 AH32 X3:X33 BC4:BC32 BB4:BB33 BA4:BA32 AY4:AZ33 AX4:AX32 AW4:AW33 AV4:AV32 AU4:AU33 AS3:AS33 L32:L33 I32:J33 K32 H32 G32:G33 F32 E32:E33 M32 C3:C33 N32:U33 AI32:AP33 D3:U31 Y3:AP31 AU3:BC3 AT3:AT31 BD3:BK33 BN3:CF33 CI3:DA33">
    <cfRule type="expression" dxfId="3" priority="4" stopIfTrue="1">
      <formula>"FASLSE"</formula>
    </cfRule>
  </conditionalFormatting>
  <conditionalFormatting sqref="DY3:EQ33 ET3:FL33">
    <cfRule type="expression" dxfId="2" priority="3" stopIfTrue="1">
      <formula>"FASLSE"</formula>
    </cfRule>
  </conditionalFormatting>
  <conditionalFormatting sqref="EK4:EK33 EL4:EL31 EM4:EM33 EN4:EN32 EO4:EO33 EP4:EP32 EK3:EQ3 EQ4:EQ33">
    <cfRule type="expression" dxfId="1" priority="2" stopIfTrue="1">
      <formula>"FASLSE"</formula>
    </cfRule>
  </conditionalFormatting>
  <conditionalFormatting sqref="ET3:FL31 EV32:FF32 EV33 EZ33:FA33 FC33 FE33:FF33 FH32:FH33 FI32:FL32 FJ33 FL33 EX4:EX33 FE4:FE33">
    <cfRule type="expression" dxfId="0" priority="1" stopIfTrue="1">
      <formula>"FASLSE"</formula>
    </cfRule>
  </conditionalFormatting>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indexed="11"/>
  </sheetPr>
  <dimension ref="B1:AB70"/>
  <sheetViews>
    <sheetView workbookViewId="0">
      <selection activeCell="Q16" sqref="Q16"/>
    </sheetView>
  </sheetViews>
  <sheetFormatPr defaultRowHeight="12.75"/>
  <cols>
    <col min="12" max="12" width="3.42578125" customWidth="1"/>
    <col min="14" max="14" width="10.140625" customWidth="1"/>
    <col min="15" max="15" width="10" customWidth="1"/>
    <col min="16" max="16" width="2.28515625" customWidth="1"/>
    <col min="17" max="17" width="10.5703125" customWidth="1"/>
    <col min="18" max="18" width="10.140625" customWidth="1"/>
  </cols>
  <sheetData>
    <row r="1" spans="11:28" ht="15.75">
      <c r="K1" s="1"/>
      <c r="L1" s="50"/>
      <c r="M1" s="50"/>
      <c r="N1" s="50"/>
      <c r="O1" s="50"/>
      <c r="P1" s="50"/>
      <c r="Q1" s="50"/>
      <c r="R1" s="50"/>
      <c r="S1" s="50"/>
      <c r="T1" s="1"/>
      <c r="U1" s="1"/>
      <c r="V1" s="1"/>
      <c r="W1" s="1"/>
      <c r="X1" s="1"/>
      <c r="Y1" s="1"/>
      <c r="Z1" s="1"/>
      <c r="AA1" s="1"/>
      <c r="AB1" s="1"/>
    </row>
    <row r="2" spans="11:28" ht="15.75">
      <c r="K2" s="1"/>
      <c r="L2" s="50"/>
      <c r="M2" s="50"/>
      <c r="N2" s="50"/>
      <c r="O2" s="51" t="s">
        <v>222</v>
      </c>
      <c r="P2" s="51"/>
      <c r="Q2" s="52">
        <v>1.1000000000000001</v>
      </c>
      <c r="R2" s="50"/>
      <c r="S2" s="50"/>
      <c r="T2" s="1"/>
      <c r="U2" s="1"/>
      <c r="V2" s="1"/>
      <c r="W2" s="1"/>
      <c r="X2" s="1"/>
      <c r="Y2" s="1"/>
      <c r="Z2" s="1"/>
      <c r="AA2" s="1"/>
      <c r="AB2" s="1"/>
    </row>
    <row r="3" spans="11:28" ht="15.75">
      <c r="K3" s="1"/>
      <c r="L3" s="50"/>
      <c r="M3" s="50"/>
      <c r="N3" s="50"/>
      <c r="O3" s="50"/>
      <c r="P3" s="50"/>
      <c r="Q3" s="50"/>
      <c r="R3" s="50"/>
      <c r="S3" s="50"/>
      <c r="T3" s="1"/>
      <c r="U3" s="1"/>
      <c r="V3" s="1"/>
      <c r="W3" s="1"/>
      <c r="X3" s="1"/>
      <c r="Y3" s="1"/>
      <c r="Z3" s="1"/>
      <c r="AA3" s="1"/>
      <c r="AB3" s="1"/>
    </row>
    <row r="4" spans="11:28" ht="15.75">
      <c r="K4" s="1"/>
      <c r="L4" s="50"/>
      <c r="M4" s="50" t="s">
        <v>260</v>
      </c>
      <c r="N4" s="539" t="s">
        <v>220</v>
      </c>
      <c r="O4" s="539"/>
      <c r="P4" s="53"/>
      <c r="Q4" s="539" t="s">
        <v>221</v>
      </c>
      <c r="R4" s="539"/>
      <c r="S4" s="50"/>
      <c r="T4" s="1"/>
      <c r="U4" s="1"/>
      <c r="V4" s="1"/>
      <c r="W4" s="1"/>
      <c r="X4" s="1"/>
      <c r="Y4" s="1"/>
      <c r="Z4" s="1"/>
      <c r="AA4" s="1"/>
      <c r="AB4" s="1"/>
    </row>
    <row r="5" spans="11:28" ht="15.75">
      <c r="K5" s="1"/>
      <c r="L5" s="50"/>
      <c r="M5" s="53" t="s">
        <v>261</v>
      </c>
      <c r="N5" s="53" t="s">
        <v>172</v>
      </c>
      <c r="O5" s="53" t="s">
        <v>339</v>
      </c>
      <c r="P5" s="53"/>
      <c r="Q5" s="53" t="s">
        <v>172</v>
      </c>
      <c r="R5" s="53" t="s">
        <v>339</v>
      </c>
      <c r="S5" s="50"/>
      <c r="T5" s="1"/>
      <c r="U5" s="1"/>
      <c r="V5" s="1"/>
      <c r="W5" s="1"/>
      <c r="X5" s="1"/>
      <c r="Y5" s="1"/>
      <c r="Z5" s="1"/>
      <c r="AA5" s="1"/>
      <c r="AB5" s="1"/>
    </row>
    <row r="6" spans="11:28" ht="15.75">
      <c r="K6" s="1"/>
      <c r="L6" s="50"/>
      <c r="M6" s="55">
        <v>10</v>
      </c>
      <c r="N6" s="56">
        <f t="shared" ref="N6:N12" si="0">SIN($M6/70*PI()/2)</f>
        <v>0.22252093395631439</v>
      </c>
      <c r="O6" s="56">
        <f>SQRT(SIN($M6/70*PI()/2))</f>
        <v>0.47172124603023169</v>
      </c>
      <c r="P6" s="56"/>
      <c r="Q6" s="56">
        <f t="shared" ref="Q6:Q15" si="1">N6*$Q$2</f>
        <v>0.24477302735194587</v>
      </c>
      <c r="R6" s="57">
        <f t="shared" ref="R6:R15" si="2">O6*$Q$2</f>
        <v>0.51889337063325491</v>
      </c>
      <c r="S6" s="50"/>
      <c r="T6" s="1"/>
      <c r="U6" s="1"/>
      <c r="V6" s="1"/>
      <c r="W6" s="1"/>
      <c r="X6" s="1"/>
      <c r="Y6" s="1"/>
      <c r="Z6" s="1"/>
      <c r="AA6" s="1"/>
      <c r="AB6" s="1"/>
    </row>
    <row r="7" spans="11:28" ht="15.75">
      <c r="K7" s="1"/>
      <c r="L7" s="50"/>
      <c r="M7" s="58">
        <v>20</v>
      </c>
      <c r="N7" s="54">
        <f t="shared" si="0"/>
        <v>0.43388373911755812</v>
      </c>
      <c r="O7" s="54">
        <f t="shared" ref="O7:O12" si="3">SQRT(SIN($M7/70*PI()/2))</f>
        <v>0.65869851914024991</v>
      </c>
      <c r="P7" s="54"/>
      <c r="Q7" s="54">
        <f t="shared" si="1"/>
        <v>0.47727211302931399</v>
      </c>
      <c r="R7" s="59">
        <f t="shared" si="2"/>
        <v>0.72456837105427496</v>
      </c>
      <c r="S7" s="50"/>
      <c r="T7" s="1"/>
      <c r="U7" s="1"/>
      <c r="V7" s="1"/>
      <c r="W7" s="1"/>
      <c r="X7" s="1"/>
      <c r="Y7" s="1"/>
      <c r="Z7" s="1"/>
      <c r="AA7" s="1"/>
      <c r="AB7" s="1"/>
    </row>
    <row r="8" spans="11:28" ht="15.75">
      <c r="K8" s="1"/>
      <c r="L8" s="50"/>
      <c r="M8" s="60">
        <v>30</v>
      </c>
      <c r="N8" s="61">
        <f t="shared" si="0"/>
        <v>0.62348980185873348</v>
      </c>
      <c r="O8" s="61">
        <f t="shared" si="3"/>
        <v>0.78961370419891619</v>
      </c>
      <c r="P8" s="61"/>
      <c r="Q8" s="61">
        <f t="shared" si="1"/>
        <v>0.68583878204460691</v>
      </c>
      <c r="R8" s="62">
        <f t="shared" si="2"/>
        <v>0.8685750746188079</v>
      </c>
      <c r="S8" s="50"/>
      <c r="T8" s="1"/>
      <c r="U8" s="1"/>
      <c r="V8" s="1"/>
      <c r="W8" s="1"/>
      <c r="X8" s="1"/>
      <c r="Y8" s="1"/>
      <c r="Z8" s="1"/>
      <c r="AA8" s="1"/>
      <c r="AB8" s="1"/>
    </row>
    <row r="9" spans="11:28" ht="15.75">
      <c r="K9" s="1"/>
      <c r="L9" s="50"/>
      <c r="M9" s="58">
        <v>40</v>
      </c>
      <c r="N9" s="54">
        <f t="shared" si="0"/>
        <v>0.7818314824680298</v>
      </c>
      <c r="O9" s="54">
        <f t="shared" si="3"/>
        <v>0.8842123514563851</v>
      </c>
      <c r="P9" s="54"/>
      <c r="Q9" s="54">
        <f t="shared" si="1"/>
        <v>0.86001463071483286</v>
      </c>
      <c r="R9" s="59">
        <f t="shared" si="2"/>
        <v>0.9726335866020237</v>
      </c>
      <c r="S9" s="50"/>
      <c r="T9" s="1"/>
      <c r="U9" s="1"/>
      <c r="V9" s="1"/>
      <c r="W9" s="1"/>
      <c r="X9" s="1"/>
      <c r="Y9" s="1"/>
      <c r="Z9" s="1"/>
      <c r="AA9" s="1"/>
      <c r="AB9" s="1"/>
    </row>
    <row r="10" spans="11:28" ht="15.75">
      <c r="K10" s="1"/>
      <c r="L10" s="50"/>
      <c r="M10" s="60">
        <v>50</v>
      </c>
      <c r="N10" s="61">
        <f t="shared" si="0"/>
        <v>0.90096886790241915</v>
      </c>
      <c r="O10" s="61">
        <f t="shared" si="3"/>
        <v>0.94919379891696465</v>
      </c>
      <c r="P10" s="61"/>
      <c r="Q10" s="61">
        <f t="shared" si="1"/>
        <v>0.99106575469266112</v>
      </c>
      <c r="R10" s="62">
        <f t="shared" si="2"/>
        <v>1.0441131788086613</v>
      </c>
      <c r="S10" s="50"/>
      <c r="T10" s="1"/>
      <c r="U10" s="1"/>
      <c r="V10" s="1"/>
      <c r="W10" s="1"/>
      <c r="X10" s="1"/>
      <c r="Y10" s="1"/>
      <c r="Z10" s="1"/>
      <c r="AA10" s="1"/>
      <c r="AB10" s="1"/>
    </row>
    <row r="11" spans="11:28" ht="15.75">
      <c r="K11" s="1"/>
      <c r="L11" s="50"/>
      <c r="M11" s="58">
        <v>60</v>
      </c>
      <c r="N11" s="54">
        <f t="shared" si="0"/>
        <v>0.97492791218182362</v>
      </c>
      <c r="O11" s="54">
        <f t="shared" si="3"/>
        <v>0.98738437914614774</v>
      </c>
      <c r="P11" s="54"/>
      <c r="Q11" s="54">
        <f t="shared" si="1"/>
        <v>1.0724207034000062</v>
      </c>
      <c r="R11" s="59">
        <f t="shared" si="2"/>
        <v>1.0861228170607626</v>
      </c>
      <c r="S11" s="50"/>
      <c r="T11" s="1"/>
      <c r="U11" s="1"/>
      <c r="V11" s="1"/>
      <c r="W11" s="1"/>
      <c r="X11" s="1"/>
      <c r="Y11" s="1"/>
      <c r="Z11" s="1"/>
      <c r="AA11" s="1"/>
      <c r="AB11" s="1"/>
    </row>
    <row r="12" spans="11:28" ht="15.75">
      <c r="K12" s="1"/>
      <c r="L12" s="50"/>
      <c r="M12" s="60">
        <v>70</v>
      </c>
      <c r="N12" s="61">
        <f t="shared" si="0"/>
        <v>1</v>
      </c>
      <c r="O12" s="61">
        <f t="shared" si="3"/>
        <v>1</v>
      </c>
      <c r="P12" s="61"/>
      <c r="Q12" s="61">
        <f t="shared" si="1"/>
        <v>1.1000000000000001</v>
      </c>
      <c r="R12" s="62">
        <f t="shared" si="2"/>
        <v>1.1000000000000001</v>
      </c>
      <c r="S12" s="50"/>
      <c r="T12" s="1"/>
      <c r="U12" s="1"/>
      <c r="V12" s="1"/>
      <c r="W12" s="1"/>
      <c r="X12" s="1"/>
      <c r="Y12" s="1"/>
      <c r="Z12" s="1"/>
      <c r="AA12" s="1"/>
      <c r="AB12" s="1"/>
    </row>
    <row r="13" spans="11:28" ht="15.75">
      <c r="K13" s="1"/>
      <c r="L13" s="50"/>
      <c r="M13" s="58">
        <v>80</v>
      </c>
      <c r="N13" s="54">
        <v>1</v>
      </c>
      <c r="O13" s="54">
        <v>1</v>
      </c>
      <c r="P13" s="54"/>
      <c r="Q13" s="54">
        <f t="shared" si="1"/>
        <v>1.1000000000000001</v>
      </c>
      <c r="R13" s="59">
        <f t="shared" si="2"/>
        <v>1.1000000000000001</v>
      </c>
      <c r="S13" s="50"/>
      <c r="T13" s="1"/>
      <c r="U13" s="1"/>
      <c r="V13" s="1"/>
      <c r="W13" s="1"/>
      <c r="X13" s="1"/>
      <c r="Y13" s="1"/>
      <c r="Z13" s="1"/>
      <c r="AA13" s="1"/>
      <c r="AB13" s="1"/>
    </row>
    <row r="14" spans="11:28" ht="15.75">
      <c r="K14" s="1"/>
      <c r="L14" s="50"/>
      <c r="M14" s="60">
        <v>90</v>
      </c>
      <c r="N14" s="61">
        <v>1</v>
      </c>
      <c r="O14" s="61">
        <v>1</v>
      </c>
      <c r="P14" s="61"/>
      <c r="Q14" s="61">
        <f t="shared" si="1"/>
        <v>1.1000000000000001</v>
      </c>
      <c r="R14" s="62">
        <f t="shared" si="2"/>
        <v>1.1000000000000001</v>
      </c>
      <c r="S14" s="50"/>
      <c r="T14" s="1"/>
      <c r="U14" s="1"/>
      <c r="V14" s="1"/>
      <c r="W14" s="1"/>
      <c r="X14" s="1"/>
      <c r="Y14" s="1"/>
      <c r="Z14" s="1"/>
      <c r="AA14" s="1"/>
      <c r="AB14" s="1"/>
    </row>
    <row r="15" spans="11:28" ht="15.75">
      <c r="K15" s="1"/>
      <c r="L15" s="50"/>
      <c r="M15" s="58">
        <v>100</v>
      </c>
      <c r="N15" s="54">
        <v>1</v>
      </c>
      <c r="O15" s="54">
        <v>1</v>
      </c>
      <c r="P15" s="54"/>
      <c r="Q15" s="54">
        <f t="shared" si="1"/>
        <v>1.1000000000000001</v>
      </c>
      <c r="R15" s="59">
        <f t="shared" si="2"/>
        <v>1.1000000000000001</v>
      </c>
      <c r="S15" s="50"/>
      <c r="T15" s="1"/>
      <c r="U15" s="1"/>
      <c r="V15" s="1"/>
      <c r="W15" s="1"/>
      <c r="X15" s="1"/>
      <c r="Y15" s="1"/>
      <c r="Z15" s="1"/>
      <c r="AA15" s="1"/>
      <c r="AB15" s="1"/>
    </row>
    <row r="16" spans="11:28" ht="15.75">
      <c r="K16" s="1"/>
      <c r="L16" s="50"/>
      <c r="M16" s="50"/>
      <c r="N16" s="50"/>
      <c r="O16" s="50"/>
      <c r="P16" s="50"/>
      <c r="Q16" s="50"/>
      <c r="R16" s="50"/>
      <c r="S16" s="50"/>
      <c r="T16" s="1"/>
      <c r="U16" s="1"/>
      <c r="V16" s="1"/>
      <c r="W16" s="1"/>
      <c r="X16" s="1"/>
      <c r="Y16" s="1"/>
      <c r="Z16" s="1"/>
      <c r="AA16" s="1"/>
      <c r="AB16" s="1"/>
    </row>
    <row r="17" spans="11:28" ht="15.75">
      <c r="K17" s="1"/>
      <c r="L17" s="50"/>
      <c r="M17" s="50"/>
      <c r="N17" s="50"/>
      <c r="O17" s="50"/>
      <c r="P17" s="50"/>
      <c r="Q17" s="50"/>
      <c r="R17" s="50"/>
      <c r="S17" s="50"/>
      <c r="T17" s="1"/>
      <c r="U17" s="1"/>
      <c r="V17" s="1"/>
      <c r="W17" s="1"/>
      <c r="X17" s="1"/>
      <c r="Y17" s="1"/>
      <c r="Z17" s="1"/>
      <c r="AA17" s="1"/>
      <c r="AB17" s="1"/>
    </row>
    <row r="18" spans="11:28" ht="15.75">
      <c r="K18" s="1"/>
      <c r="L18" s="50"/>
      <c r="M18" s="50"/>
      <c r="N18" s="50"/>
      <c r="O18" s="50"/>
      <c r="P18" s="50"/>
      <c r="Q18" s="50"/>
      <c r="R18" s="50"/>
      <c r="S18" s="50"/>
      <c r="T18" s="1"/>
      <c r="U18" s="1"/>
      <c r="V18" s="1"/>
      <c r="W18" s="1"/>
      <c r="X18" s="1"/>
      <c r="Y18" s="1"/>
      <c r="Z18" s="1"/>
      <c r="AA18" s="1"/>
      <c r="AB18" s="1"/>
    </row>
    <row r="19" spans="11:28" ht="15.75">
      <c r="K19" s="1"/>
      <c r="L19" s="50"/>
      <c r="M19" s="50"/>
      <c r="N19" s="50"/>
      <c r="O19" s="50"/>
      <c r="P19" s="50"/>
      <c r="Q19" s="50"/>
      <c r="R19" s="50"/>
      <c r="S19" s="50"/>
      <c r="T19" s="1"/>
      <c r="U19" s="1"/>
      <c r="V19" s="1"/>
      <c r="W19" s="1"/>
      <c r="X19" s="1"/>
      <c r="Y19" s="1"/>
      <c r="Z19" s="1"/>
      <c r="AA19" s="1"/>
      <c r="AB19" s="1"/>
    </row>
    <row r="20" spans="11:28">
      <c r="L20" s="1"/>
      <c r="M20" s="1"/>
      <c r="N20" s="1"/>
      <c r="O20" s="1"/>
      <c r="P20" s="1"/>
      <c r="Q20" s="1"/>
      <c r="R20" s="1"/>
      <c r="S20" s="1"/>
      <c r="T20" s="1"/>
      <c r="U20" s="1"/>
      <c r="V20" s="1"/>
      <c r="W20" s="1"/>
      <c r="X20" s="1"/>
      <c r="Y20" s="1"/>
      <c r="Z20" s="1"/>
      <c r="AA20" s="1"/>
      <c r="AB20" s="1"/>
    </row>
    <row r="21" spans="11:28">
      <c r="L21" s="1"/>
      <c r="M21" s="1"/>
      <c r="N21" s="1"/>
      <c r="O21" s="1"/>
      <c r="P21" s="1"/>
      <c r="Q21" s="1"/>
      <c r="R21" s="1"/>
      <c r="S21" s="1"/>
      <c r="T21" s="1"/>
      <c r="U21" s="1"/>
      <c r="V21" s="1"/>
      <c r="W21" s="1"/>
      <c r="X21" s="1"/>
      <c r="Y21" s="1"/>
      <c r="Z21" s="1"/>
      <c r="AA21" s="1"/>
      <c r="AB21" s="1"/>
    </row>
    <row r="22" spans="11:28">
      <c r="L22" s="1"/>
      <c r="M22" s="1"/>
      <c r="N22" s="1"/>
      <c r="O22" s="1"/>
      <c r="P22" s="1"/>
      <c r="Q22" s="1"/>
      <c r="R22" s="1"/>
      <c r="S22" s="1"/>
      <c r="T22" s="1"/>
      <c r="U22" s="1"/>
      <c r="V22" s="1"/>
      <c r="W22" s="1"/>
      <c r="X22" s="1"/>
      <c r="Y22" s="1"/>
      <c r="Z22" s="1"/>
      <c r="AA22" s="1"/>
      <c r="AB22" s="1"/>
    </row>
    <row r="23" spans="11:28" ht="20.25">
      <c r="L23" s="1"/>
      <c r="M23" s="63" t="s">
        <v>223</v>
      </c>
      <c r="N23" s="1"/>
      <c r="O23" s="1"/>
      <c r="P23" s="1"/>
      <c r="Q23" s="1"/>
      <c r="R23" s="1"/>
      <c r="S23" s="1"/>
      <c r="T23" s="1"/>
      <c r="U23" s="1"/>
      <c r="V23" s="1"/>
      <c r="W23" s="1"/>
      <c r="X23" s="1"/>
      <c r="Y23" s="1"/>
      <c r="Z23" s="1"/>
      <c r="AA23" s="1"/>
      <c r="AB23" s="1"/>
    </row>
    <row r="24" spans="11:28">
      <c r="L24" s="1"/>
      <c r="M24" s="1"/>
      <c r="N24" s="1"/>
      <c r="O24" s="1"/>
      <c r="P24" s="1"/>
      <c r="Q24" s="1"/>
      <c r="R24" s="1"/>
      <c r="S24" s="1"/>
      <c r="T24" s="1"/>
      <c r="U24" s="1"/>
      <c r="V24" s="1"/>
      <c r="W24" s="1"/>
      <c r="X24" s="1"/>
      <c r="Y24" s="1"/>
      <c r="Z24" s="1"/>
      <c r="AA24" s="1"/>
      <c r="AB24" s="1"/>
    </row>
    <row r="25" spans="11:28">
      <c r="L25" s="1"/>
      <c r="M25" s="1"/>
      <c r="N25" s="1"/>
      <c r="O25" s="1"/>
      <c r="P25" s="1"/>
      <c r="Q25" s="1"/>
      <c r="R25" s="1"/>
      <c r="S25" s="1"/>
      <c r="T25" s="1"/>
      <c r="U25" s="1"/>
      <c r="V25" s="1"/>
      <c r="W25" s="1"/>
      <c r="X25" s="1"/>
      <c r="Y25" s="1"/>
      <c r="Z25" s="1"/>
      <c r="AA25" s="1"/>
      <c r="AB25" s="1"/>
    </row>
    <row r="26" spans="11:28">
      <c r="L26" s="1"/>
      <c r="M26" s="1"/>
      <c r="N26" s="1"/>
      <c r="O26" s="1"/>
      <c r="P26" s="1"/>
      <c r="Q26" s="1"/>
      <c r="R26" s="1"/>
      <c r="S26" s="1"/>
      <c r="T26" s="1"/>
      <c r="U26" s="1"/>
      <c r="V26" s="1"/>
      <c r="W26" s="1"/>
      <c r="X26" s="1"/>
      <c r="Y26" s="1"/>
      <c r="Z26" s="1"/>
      <c r="AA26" s="1"/>
      <c r="AB26" s="1"/>
    </row>
    <row r="27" spans="11:28">
      <c r="L27" s="1"/>
      <c r="M27" s="1"/>
      <c r="N27" s="1"/>
      <c r="O27" s="1"/>
      <c r="P27" s="1"/>
      <c r="Q27" s="1"/>
      <c r="R27" s="1"/>
      <c r="S27" s="1"/>
      <c r="T27" s="1"/>
      <c r="U27" s="1"/>
      <c r="V27" s="1"/>
      <c r="W27" s="1"/>
      <c r="X27" s="1"/>
      <c r="Y27" s="1"/>
      <c r="Z27" s="1"/>
      <c r="AA27" s="1"/>
      <c r="AB27" s="1"/>
    </row>
    <row r="28" spans="11:28">
      <c r="L28" s="1"/>
      <c r="M28" s="1"/>
      <c r="N28" s="1"/>
      <c r="O28" s="1"/>
      <c r="P28" s="1"/>
      <c r="Q28" s="1"/>
      <c r="R28" s="1"/>
      <c r="S28" s="1"/>
      <c r="T28" s="1"/>
      <c r="U28" s="1"/>
      <c r="V28" s="1"/>
      <c r="W28" s="1"/>
      <c r="X28" s="1"/>
      <c r="Y28" s="1"/>
      <c r="Z28" s="1"/>
      <c r="AA28" s="1"/>
      <c r="AB28" s="1"/>
    </row>
    <row r="29" spans="11:28">
      <c r="L29" s="1"/>
      <c r="M29" s="1"/>
      <c r="N29" s="1"/>
      <c r="O29" s="1"/>
      <c r="P29" s="1"/>
      <c r="Q29" s="1"/>
      <c r="R29" s="1"/>
      <c r="S29" s="1"/>
      <c r="T29" s="1"/>
      <c r="U29" s="1"/>
      <c r="V29" s="1"/>
      <c r="W29" s="1"/>
      <c r="X29" s="1"/>
      <c r="Y29" s="1"/>
      <c r="Z29" s="1"/>
      <c r="AA29" s="1"/>
      <c r="AB29" s="1"/>
    </row>
    <row r="30" spans="11:28">
      <c r="L30" s="1"/>
      <c r="M30" s="1"/>
      <c r="N30" s="1"/>
      <c r="O30" s="1"/>
      <c r="P30" s="1"/>
      <c r="Q30" s="1"/>
      <c r="R30" s="1"/>
      <c r="S30" s="1"/>
      <c r="T30" s="1"/>
      <c r="U30" s="1"/>
      <c r="V30" s="1"/>
      <c r="W30" s="1"/>
      <c r="X30" s="1"/>
      <c r="Y30" s="1"/>
      <c r="Z30" s="1"/>
      <c r="AA30" s="1"/>
      <c r="AB30" s="1"/>
    </row>
    <row r="31" spans="11:28">
      <c r="L31" s="1"/>
      <c r="M31" s="1"/>
      <c r="N31" s="1"/>
      <c r="O31" s="1"/>
      <c r="P31" s="1"/>
      <c r="Q31" s="1"/>
      <c r="R31" s="1"/>
      <c r="S31" s="1"/>
      <c r="T31" s="1"/>
      <c r="U31" s="1"/>
      <c r="V31" s="1"/>
      <c r="W31" s="1"/>
      <c r="X31" s="1"/>
      <c r="Y31" s="1"/>
      <c r="Z31" s="1"/>
      <c r="AA31" s="1"/>
      <c r="AB31" s="1"/>
    </row>
    <row r="32" spans="11:28">
      <c r="L32" s="1"/>
      <c r="M32" s="1"/>
      <c r="N32" s="1"/>
      <c r="O32" s="1"/>
      <c r="P32" s="1"/>
      <c r="Q32" s="1"/>
      <c r="R32" s="1"/>
      <c r="S32" s="1"/>
      <c r="T32" s="1"/>
      <c r="U32" s="1"/>
      <c r="V32" s="1"/>
      <c r="W32" s="1"/>
      <c r="X32" s="1"/>
      <c r="Y32" s="1"/>
      <c r="Z32" s="1"/>
      <c r="AA32" s="1"/>
      <c r="AB32" s="1"/>
    </row>
    <row r="33" spans="2:28">
      <c r="L33" s="1"/>
      <c r="M33" s="1"/>
      <c r="N33" s="1"/>
      <c r="O33" s="1"/>
      <c r="P33" s="1"/>
      <c r="Q33" s="1"/>
      <c r="R33" s="1"/>
      <c r="S33" s="1"/>
      <c r="T33" s="1"/>
      <c r="U33" s="1"/>
      <c r="V33" s="1"/>
      <c r="W33" s="1"/>
      <c r="X33" s="1"/>
      <c r="Y33" s="1"/>
      <c r="Z33" s="1"/>
      <c r="AA33" s="1"/>
      <c r="AB33" s="1"/>
    </row>
    <row r="34" spans="2:28">
      <c r="L34" s="1"/>
      <c r="M34" s="1"/>
      <c r="N34" s="1"/>
      <c r="O34" s="1"/>
      <c r="P34" s="1"/>
      <c r="Q34" s="1"/>
      <c r="R34" s="1"/>
      <c r="S34" s="1"/>
      <c r="T34" s="1"/>
      <c r="U34" s="1"/>
      <c r="V34" s="1"/>
      <c r="W34" s="1"/>
      <c r="X34" s="1"/>
      <c r="Y34" s="1"/>
      <c r="Z34" s="1"/>
      <c r="AA34" s="1"/>
      <c r="AB34" s="1"/>
    </row>
    <row r="35" spans="2:28">
      <c r="L35" s="1"/>
      <c r="M35" s="1"/>
      <c r="N35" s="1"/>
      <c r="O35" s="1"/>
      <c r="P35" s="1"/>
      <c r="Q35" s="1"/>
      <c r="R35" s="1"/>
      <c r="S35" s="1"/>
      <c r="T35" s="1"/>
      <c r="U35" s="1"/>
      <c r="V35" s="1"/>
      <c r="W35" s="1"/>
      <c r="X35" s="1"/>
      <c r="Y35" s="1"/>
      <c r="Z35" s="1"/>
      <c r="AA35" s="1"/>
      <c r="AB35" s="1"/>
    </row>
    <row r="36" spans="2:28">
      <c r="L36" s="1"/>
      <c r="M36" s="1"/>
      <c r="N36" s="1"/>
      <c r="O36" s="1"/>
      <c r="P36" s="1"/>
      <c r="Q36" s="1"/>
      <c r="R36" s="1"/>
      <c r="S36" s="1"/>
      <c r="T36" s="1"/>
      <c r="U36" s="1"/>
      <c r="V36" s="1"/>
      <c r="W36" s="1"/>
      <c r="X36" s="1"/>
      <c r="Y36" s="1"/>
      <c r="Z36" s="1"/>
      <c r="AA36" s="1"/>
      <c r="AB36" s="1"/>
    </row>
    <row r="37" spans="2:28">
      <c r="L37" s="1"/>
      <c r="M37" s="1"/>
      <c r="N37" s="1"/>
      <c r="O37" s="1"/>
      <c r="P37" s="1"/>
      <c r="Q37" s="1"/>
      <c r="R37" s="1"/>
      <c r="S37" s="1"/>
      <c r="T37" s="1"/>
      <c r="U37" s="1"/>
      <c r="V37" s="1"/>
      <c r="W37" s="1"/>
      <c r="X37" s="1"/>
      <c r="Y37" s="1"/>
      <c r="Z37" s="1"/>
      <c r="AA37" s="1"/>
      <c r="AB37" s="1"/>
    </row>
    <row r="38" spans="2:28">
      <c r="L38" s="1"/>
      <c r="M38" s="1"/>
      <c r="N38" s="1"/>
      <c r="O38" s="1"/>
      <c r="P38" s="1"/>
      <c r="Q38" s="1"/>
      <c r="R38" s="1"/>
      <c r="S38" s="1"/>
      <c r="T38" s="1"/>
      <c r="U38" s="1"/>
      <c r="V38" s="1"/>
      <c r="W38" s="1"/>
      <c r="X38" s="1"/>
      <c r="Y38" s="1"/>
      <c r="Z38" s="1"/>
      <c r="AA38" s="1"/>
      <c r="AB38" s="1"/>
    </row>
    <row r="39" spans="2:28">
      <c r="L39" s="1"/>
      <c r="M39" s="1"/>
      <c r="N39" s="1"/>
      <c r="O39" s="1"/>
      <c r="P39" s="1"/>
      <c r="Q39" s="1"/>
      <c r="R39" s="1"/>
      <c r="S39" s="1"/>
      <c r="T39" s="1"/>
      <c r="U39" s="1"/>
      <c r="V39" s="1"/>
      <c r="W39" s="1"/>
      <c r="X39" s="1"/>
      <c r="Y39" s="1"/>
      <c r="Z39" s="1"/>
      <c r="AA39" s="1"/>
      <c r="AB39" s="1"/>
    </row>
    <row r="40" spans="2:28">
      <c r="L40" s="1"/>
      <c r="M40" s="1"/>
      <c r="N40" s="1"/>
      <c r="O40" s="1"/>
      <c r="P40" s="1"/>
      <c r="Q40" s="1"/>
      <c r="R40" s="1"/>
      <c r="S40" s="1"/>
      <c r="T40" s="1"/>
      <c r="U40" s="1"/>
      <c r="V40" s="1"/>
      <c r="W40" s="1"/>
      <c r="X40" s="1"/>
      <c r="Y40" s="1"/>
      <c r="Z40" s="1"/>
      <c r="AA40" s="1"/>
      <c r="AB40" s="1"/>
    </row>
    <row r="41" spans="2:28">
      <c r="L41" s="1"/>
      <c r="M41" s="1"/>
      <c r="N41" s="1"/>
      <c r="O41" s="1"/>
      <c r="P41" s="1"/>
      <c r="Q41" s="1"/>
      <c r="R41" s="1"/>
      <c r="S41" s="1"/>
      <c r="T41" s="1"/>
      <c r="U41" s="1"/>
      <c r="V41" s="1"/>
      <c r="W41" s="1"/>
      <c r="X41" s="1"/>
      <c r="Y41" s="1"/>
      <c r="Z41" s="1"/>
      <c r="AA41" s="1"/>
      <c r="AB41" s="1"/>
    </row>
    <row r="42" spans="2:28">
      <c r="L42" s="1"/>
      <c r="M42" s="1"/>
      <c r="N42" s="1"/>
      <c r="O42" s="1"/>
      <c r="P42" s="1"/>
      <c r="Q42" s="1"/>
      <c r="R42" s="1"/>
      <c r="S42" s="1"/>
      <c r="T42" s="1"/>
      <c r="U42" s="1"/>
      <c r="V42" s="1"/>
      <c r="W42" s="1"/>
      <c r="X42" s="1"/>
      <c r="Y42" s="1"/>
      <c r="Z42" s="1"/>
      <c r="AA42" s="1"/>
      <c r="AB42" s="1"/>
    </row>
    <row r="43" spans="2:28">
      <c r="L43" s="1"/>
      <c r="M43" s="1"/>
      <c r="N43" s="1"/>
      <c r="O43" s="1"/>
      <c r="P43" s="1"/>
      <c r="Q43" s="1"/>
      <c r="R43" s="1"/>
      <c r="S43" s="1"/>
      <c r="T43" s="1"/>
      <c r="U43" s="1"/>
      <c r="V43" s="1"/>
      <c r="W43" s="1"/>
      <c r="X43" s="1"/>
      <c r="Y43" s="1"/>
      <c r="Z43" s="1"/>
      <c r="AA43" s="1"/>
      <c r="AB43" s="1"/>
    </row>
    <row r="44" spans="2:28">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2:28">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2:28">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2:28">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2:28">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2:28">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2:28">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2:28">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2:28">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2:28">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2:28">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2:28">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2:28">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2:28">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2:28">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2:28">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2:28">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2:28">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2:28">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2:28">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2:28">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2:28">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2:28">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2:28">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2:28">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2:28">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2:28">
      <c r="B70" s="1"/>
      <c r="C70" s="1"/>
      <c r="D70" s="1"/>
      <c r="E70" s="1"/>
      <c r="F70" s="1"/>
      <c r="G70" s="1"/>
      <c r="H70" s="1"/>
      <c r="I70" s="1"/>
      <c r="J70" s="1"/>
      <c r="K70" s="1"/>
      <c r="L70" s="1"/>
      <c r="M70" s="1"/>
      <c r="N70" s="1"/>
      <c r="O70" s="1"/>
      <c r="P70" s="1"/>
      <c r="Q70" s="1"/>
      <c r="R70" s="1"/>
      <c r="S70" s="1"/>
      <c r="T70" s="1"/>
      <c r="U70" s="1"/>
      <c r="V70" s="1"/>
      <c r="W70" s="1"/>
      <c r="X70" s="1"/>
      <c r="Y70" s="1"/>
      <c r="Z70" s="1"/>
      <c r="AA70" s="1"/>
      <c r="AB70" s="1"/>
    </row>
  </sheetData>
  <mergeCells count="2">
    <mergeCell ref="N4:O4"/>
    <mergeCell ref="Q4:R4"/>
  </mergeCells>
  <phoneticPr fontId="0" type="noConversion"/>
  <pageMargins left="0.75" right="0.75" top="1" bottom="1" header="0.5" footer="0.5"/>
  <pageSetup orientation="portrait" verticalDpi="1200" r:id="rId1"/>
  <headerFooter alignWithMargins="0"/>
  <drawing r:id="rId2"/>
</worksheet>
</file>

<file path=xl/worksheets/sheet3.xml><?xml version="1.0" encoding="utf-8"?>
<worksheet xmlns="http://schemas.openxmlformats.org/spreadsheetml/2006/main" xmlns:r="http://schemas.openxmlformats.org/officeDocument/2006/relationships">
  <dimension ref="A1:O19"/>
  <sheetViews>
    <sheetView workbookViewId="0">
      <selection activeCell="A69" sqref="A69"/>
    </sheetView>
  </sheetViews>
  <sheetFormatPr defaultRowHeight="12.75"/>
  <sheetData>
    <row r="1" spans="1:15">
      <c r="H1" t="s">
        <v>61</v>
      </c>
      <c r="I1">
        <v>0</v>
      </c>
    </row>
    <row r="2" spans="1:15">
      <c r="H2" t="s">
        <v>62</v>
      </c>
      <c r="I2">
        <v>0</v>
      </c>
    </row>
    <row r="3" spans="1:15">
      <c r="A3" t="s">
        <v>63</v>
      </c>
      <c r="B3" t="s">
        <v>64</v>
      </c>
      <c r="C3" s="102" t="s">
        <v>210</v>
      </c>
      <c r="D3" t="s">
        <v>66</v>
      </c>
      <c r="E3" t="s">
        <v>67</v>
      </c>
      <c r="F3" t="s">
        <v>68</v>
      </c>
      <c r="G3" t="s">
        <v>69</v>
      </c>
      <c r="H3" t="s">
        <v>70</v>
      </c>
      <c r="I3" t="s">
        <v>71</v>
      </c>
      <c r="J3" t="s">
        <v>72</v>
      </c>
      <c r="K3" t="s">
        <v>73</v>
      </c>
    </row>
    <row r="4" spans="1:15">
      <c r="A4">
        <v>11</v>
      </c>
      <c r="B4">
        <v>1</v>
      </c>
      <c r="D4" s="1">
        <v>320</v>
      </c>
      <c r="E4">
        <f t="shared" ref="E4:E19" si="0">D4-319</f>
        <v>1</v>
      </c>
      <c r="F4" s="1">
        <f>C16</f>
        <v>9.7266666666666648</v>
      </c>
      <c r="G4" s="2"/>
      <c r="H4" s="2"/>
      <c r="I4" s="3">
        <f>(3/(E5-E4))*((F5-F4)/(E5-E4)-I$1)</f>
        <v>-2.5389547178678119E-2</v>
      </c>
      <c r="J4" s="4">
        <v>-0.25</v>
      </c>
      <c r="K4" s="5">
        <f t="shared" ref="K4:K19" si="1">J4*K5+I4</f>
        <v>-3.1292161953003328E-2</v>
      </c>
    </row>
    <row r="5" spans="1:15">
      <c r="A5">
        <v>12</v>
      </c>
      <c r="B5">
        <f t="shared" ref="B5:B19" si="2">B4+1</f>
        <v>2</v>
      </c>
      <c r="D5" s="1">
        <v>351</v>
      </c>
      <c r="E5">
        <f t="shared" si="0"/>
        <v>32</v>
      </c>
      <c r="F5" s="1">
        <f>C17</f>
        <v>1.5935483870967744</v>
      </c>
      <c r="G5" s="2">
        <f t="shared" ref="G5:G19" si="3">(E5-E4)/(E6-E4)</f>
        <v>0.51666666666666672</v>
      </c>
      <c r="H5" s="2">
        <f t="shared" ref="H5:H19" si="4">G5*J4+2</f>
        <v>1.8708333333333333</v>
      </c>
      <c r="I5" s="5">
        <f t="shared" ref="I5:I18" si="5">(6*(((F6-F5)/(E6-E5))-((F5-F4)/(E5-E4)))/(E6-E4)-G5*I4)/H5</f>
        <v>2.0206602941330424E-2</v>
      </c>
      <c r="J5" s="6">
        <f t="shared" ref="J5:J18" si="6">(G5-1)/H5</f>
        <v>-0.25835189309576834</v>
      </c>
      <c r="K5" s="5">
        <f t="shared" si="1"/>
        <v>2.3610459097300838E-2</v>
      </c>
    </row>
    <row r="6" spans="1:15">
      <c r="A6" s="1">
        <v>1</v>
      </c>
      <c r="B6">
        <f t="shared" si="2"/>
        <v>3</v>
      </c>
      <c r="C6" s="7">
        <f>Climate!E11</f>
        <v>1.143870967741935</v>
      </c>
      <c r="D6" s="8">
        <f t="shared" ref="D6:D17" si="7">365+INT(30.5*A6-14.6)</f>
        <v>380</v>
      </c>
      <c r="E6">
        <f t="shared" si="0"/>
        <v>61</v>
      </c>
      <c r="F6">
        <f t="shared" ref="F6:F17" si="8">C6</f>
        <v>1.143870967741935</v>
      </c>
      <c r="G6" s="2">
        <f t="shared" si="3"/>
        <v>0.48333333333333334</v>
      </c>
      <c r="H6" s="2">
        <f t="shared" si="4"/>
        <v>1.8751299183370453</v>
      </c>
      <c r="I6" s="5">
        <f t="shared" si="5"/>
        <v>-5.326041971174816E-3</v>
      </c>
      <c r="J6" s="6">
        <f t="shared" si="6"/>
        <v>-0.27553646369467094</v>
      </c>
      <c r="K6" s="5">
        <f t="shared" si="1"/>
        <v>-1.3175270810609617E-2</v>
      </c>
      <c r="L6" s="9"/>
      <c r="M6" s="9" t="s">
        <v>74</v>
      </c>
      <c r="N6" s="9"/>
      <c r="O6" s="9"/>
    </row>
    <row r="7" spans="1:15">
      <c r="A7" s="1">
        <v>2</v>
      </c>
      <c r="B7">
        <f t="shared" si="2"/>
        <v>4</v>
      </c>
      <c r="C7" s="7">
        <f>Climate!E12</f>
        <v>0.59482758620689602</v>
      </c>
      <c r="D7" s="8">
        <f t="shared" si="7"/>
        <v>411</v>
      </c>
      <c r="E7">
        <f t="shared" si="0"/>
        <v>92</v>
      </c>
      <c r="F7">
        <f t="shared" si="8"/>
        <v>0.59482758620689602</v>
      </c>
      <c r="G7" s="2">
        <f t="shared" si="3"/>
        <v>0.50819672131147542</v>
      </c>
      <c r="H7" s="2">
        <f t="shared" si="4"/>
        <v>1.8599732725486098</v>
      </c>
      <c r="I7" s="5">
        <f t="shared" si="5"/>
        <v>2.1566146823612964E-2</v>
      </c>
      <c r="J7" s="6">
        <f t="shared" si="6"/>
        <v>-0.26441416441142512</v>
      </c>
      <c r="K7" s="5">
        <f t="shared" si="1"/>
        <v>2.848707838586741E-2</v>
      </c>
    </row>
    <row r="8" spans="1:15">
      <c r="A8" s="1">
        <v>3</v>
      </c>
      <c r="B8">
        <f t="shared" si="2"/>
        <v>5</v>
      </c>
      <c r="C8" s="7">
        <f>Climate!E13</f>
        <v>11.472258064516131</v>
      </c>
      <c r="D8" s="8">
        <f t="shared" si="7"/>
        <v>441</v>
      </c>
      <c r="E8">
        <f t="shared" si="0"/>
        <v>122</v>
      </c>
      <c r="F8">
        <f t="shared" si="8"/>
        <v>11.472258064516131</v>
      </c>
      <c r="G8" s="2">
        <f t="shared" si="3"/>
        <v>0.49180327868852458</v>
      </c>
      <c r="H8" s="2">
        <f t="shared" si="4"/>
        <v>1.8699602470107746</v>
      </c>
      <c r="I8" s="5">
        <f t="shared" si="5"/>
        <v>-2.2604635284678404E-2</v>
      </c>
      <c r="J8" s="6">
        <f t="shared" si="6"/>
        <v>-0.2717687299095547</v>
      </c>
      <c r="K8" s="5">
        <f t="shared" si="1"/>
        <v>-2.6174587044760445E-2</v>
      </c>
    </row>
    <row r="9" spans="1:15">
      <c r="A9" s="1">
        <v>4</v>
      </c>
      <c r="B9">
        <f t="shared" si="2"/>
        <v>6</v>
      </c>
      <c r="C9" s="7">
        <f>Climate!E14</f>
        <v>12.733000000000001</v>
      </c>
      <c r="D9" s="8">
        <f t="shared" si="7"/>
        <v>472</v>
      </c>
      <c r="E9">
        <f t="shared" si="0"/>
        <v>153</v>
      </c>
      <c r="F9">
        <f t="shared" si="8"/>
        <v>12.733000000000001</v>
      </c>
      <c r="G9" s="2">
        <f t="shared" si="3"/>
        <v>0.50819672131147542</v>
      </c>
      <c r="H9" s="2">
        <f t="shared" si="4"/>
        <v>1.8618880225049803</v>
      </c>
      <c r="I9" s="5">
        <f t="shared" si="5"/>
        <v>1.3141219429239492E-2</v>
      </c>
      <c r="J9" s="6">
        <f t="shared" si="6"/>
        <v>-0.26414224311237228</v>
      </c>
      <c r="K9" s="5">
        <f t="shared" si="1"/>
        <v>1.3135991625195917E-2</v>
      </c>
    </row>
    <row r="10" spans="1:15">
      <c r="A10" s="1">
        <v>5</v>
      </c>
      <c r="B10">
        <f t="shared" si="2"/>
        <v>7</v>
      </c>
      <c r="C10" s="7">
        <f>Climate!E15</f>
        <v>17.911935483870966</v>
      </c>
      <c r="D10" s="8">
        <f t="shared" si="7"/>
        <v>502</v>
      </c>
      <c r="E10">
        <f t="shared" si="0"/>
        <v>183</v>
      </c>
      <c r="F10">
        <f t="shared" si="8"/>
        <v>17.911935483870966</v>
      </c>
      <c r="G10" s="2">
        <f t="shared" si="3"/>
        <v>0.49180327868852458</v>
      </c>
      <c r="H10" s="2">
        <f t="shared" si="4"/>
        <v>1.870093978797194</v>
      </c>
      <c r="I10" s="5">
        <f t="shared" si="5"/>
        <v>-2.0100814590339531E-3</v>
      </c>
      <c r="J10" s="6">
        <f t="shared" si="6"/>
        <v>-0.27174929552916754</v>
      </c>
      <c r="K10" s="5">
        <f t="shared" si="1"/>
        <v>1.9791624323230606E-5</v>
      </c>
    </row>
    <row r="11" spans="1:15">
      <c r="A11" s="1">
        <v>6</v>
      </c>
      <c r="B11">
        <f t="shared" si="2"/>
        <v>8</v>
      </c>
      <c r="C11" s="7">
        <f>Climate!E16</f>
        <v>24.115666666666662</v>
      </c>
      <c r="D11" s="8">
        <f t="shared" si="7"/>
        <v>533</v>
      </c>
      <c r="E11">
        <f t="shared" si="0"/>
        <v>214</v>
      </c>
      <c r="F11">
        <f t="shared" si="8"/>
        <v>24.115666666666662</v>
      </c>
      <c r="G11" s="2">
        <f t="shared" si="3"/>
        <v>0.50819672131147542</v>
      </c>
      <c r="H11" s="2">
        <f t="shared" si="4"/>
        <v>1.8618978989933739</v>
      </c>
      <c r="I11" s="5">
        <f t="shared" si="5"/>
        <v>-6.4716869767581248E-3</v>
      </c>
      <c r="J11" s="6">
        <f t="shared" si="6"/>
        <v>-0.26414084196261012</v>
      </c>
      <c r="K11" s="5">
        <f t="shared" si="1"/>
        <v>-7.4696535253365995E-3</v>
      </c>
    </row>
    <row r="12" spans="1:15">
      <c r="A12" s="1">
        <v>7</v>
      </c>
      <c r="B12">
        <f t="shared" si="2"/>
        <v>9</v>
      </c>
      <c r="C12" s="7">
        <f>Climate!E17</f>
        <v>26.132580645161287</v>
      </c>
      <c r="D12" s="8">
        <f t="shared" si="7"/>
        <v>563</v>
      </c>
      <c r="E12">
        <f t="shared" si="0"/>
        <v>244</v>
      </c>
      <c r="F12">
        <f t="shared" si="8"/>
        <v>26.132580645161287</v>
      </c>
      <c r="G12" s="2">
        <f t="shared" si="3"/>
        <v>0.49180327868852458</v>
      </c>
      <c r="H12" s="2">
        <f t="shared" si="4"/>
        <v>1.870094667887241</v>
      </c>
      <c r="I12" s="5">
        <f t="shared" si="5"/>
        <v>-4.6368335181496149E-4</v>
      </c>
      <c r="J12" s="6">
        <f t="shared" si="6"/>
        <v>-0.27174919539534115</v>
      </c>
      <c r="K12" s="5">
        <f t="shared" si="1"/>
        <v>3.7781607007966581E-3</v>
      </c>
    </row>
    <row r="13" spans="1:15">
      <c r="A13" s="1">
        <v>8</v>
      </c>
      <c r="B13">
        <f t="shared" si="2"/>
        <v>10</v>
      </c>
      <c r="C13" s="7">
        <f>Climate!E18</f>
        <v>26.940322580645155</v>
      </c>
      <c r="D13" s="8">
        <f t="shared" si="7"/>
        <v>594</v>
      </c>
      <c r="E13">
        <f t="shared" si="0"/>
        <v>275</v>
      </c>
      <c r="F13">
        <f t="shared" si="8"/>
        <v>26.940322580645155</v>
      </c>
      <c r="G13" s="2">
        <f t="shared" si="3"/>
        <v>0.50819672131147542</v>
      </c>
      <c r="H13" s="2">
        <f t="shared" si="4"/>
        <v>1.8618979498810562</v>
      </c>
      <c r="I13" s="5">
        <f t="shared" si="5"/>
        <v>-1.3754348716941998E-2</v>
      </c>
      <c r="J13" s="6">
        <f t="shared" si="6"/>
        <v>-0.26414083474335559</v>
      </c>
      <c r="K13" s="5">
        <f t="shared" si="1"/>
        <v>-1.5609407955893223E-2</v>
      </c>
    </row>
    <row r="14" spans="1:15">
      <c r="A14" s="1">
        <v>9</v>
      </c>
      <c r="B14">
        <f t="shared" si="2"/>
        <v>11</v>
      </c>
      <c r="C14" s="7">
        <f>Climate!E19</f>
        <v>19.839333333333332</v>
      </c>
      <c r="D14" s="8">
        <f t="shared" si="7"/>
        <v>624</v>
      </c>
      <c r="E14">
        <f t="shared" si="0"/>
        <v>305</v>
      </c>
      <c r="F14">
        <f t="shared" si="8"/>
        <v>19.839333333333332</v>
      </c>
      <c r="G14" s="2">
        <f t="shared" si="3"/>
        <v>0.49180327868852458</v>
      </c>
      <c r="H14" s="2">
        <f t="shared" si="4"/>
        <v>1.870094671437694</v>
      </c>
      <c r="I14" s="5">
        <f t="shared" si="5"/>
        <v>7.2123957327116612E-3</v>
      </c>
      <c r="J14" s="6">
        <f t="shared" si="6"/>
        <v>-0.2717491948794139</v>
      </c>
      <c r="K14" s="5">
        <f t="shared" si="1"/>
        <v>7.0229930209527672E-3</v>
      </c>
    </row>
    <row r="15" spans="1:15">
      <c r="A15" s="1">
        <v>10</v>
      </c>
      <c r="B15">
        <f t="shared" si="2"/>
        <v>12</v>
      </c>
      <c r="C15" s="7">
        <f>Climate!E20</f>
        <v>14.620645161290319</v>
      </c>
      <c r="D15" s="8">
        <f t="shared" si="7"/>
        <v>655</v>
      </c>
      <c r="E15">
        <f t="shared" si="0"/>
        <v>336</v>
      </c>
      <c r="F15">
        <f t="shared" si="8"/>
        <v>14.620645161290319</v>
      </c>
      <c r="G15" s="2">
        <f t="shared" si="3"/>
        <v>0.50819672131147542</v>
      </c>
      <c r="H15" s="2">
        <f t="shared" si="4"/>
        <v>1.8618979501432487</v>
      </c>
      <c r="I15" s="5">
        <f t="shared" si="5"/>
        <v>-1.6932421394326462E-3</v>
      </c>
      <c r="J15" s="6">
        <f t="shared" si="6"/>
        <v>-0.26414083470615923</v>
      </c>
      <c r="K15" s="5">
        <f t="shared" si="1"/>
        <v>6.9697616525759946E-4</v>
      </c>
    </row>
    <row r="16" spans="1:15">
      <c r="A16" s="1">
        <v>11</v>
      </c>
      <c r="B16">
        <f t="shared" si="2"/>
        <v>13</v>
      </c>
      <c r="C16" s="7">
        <f>Climate!E21</f>
        <v>9.7266666666666648</v>
      </c>
      <c r="D16" s="8">
        <f t="shared" si="7"/>
        <v>685</v>
      </c>
      <c r="E16">
        <f t="shared" si="0"/>
        <v>366</v>
      </c>
      <c r="F16">
        <f t="shared" si="8"/>
        <v>9.7266666666666648</v>
      </c>
      <c r="G16" s="2">
        <f t="shared" si="3"/>
        <v>0.49180327868852458</v>
      </c>
      <c r="H16" s="2">
        <f t="shared" si="4"/>
        <v>1.8700946714559872</v>
      </c>
      <c r="I16" s="5">
        <f t="shared" si="5"/>
        <v>-4.7736599831728985E-3</v>
      </c>
      <c r="J16" s="6">
        <f t="shared" si="6"/>
        <v>-0.27174919487675564</v>
      </c>
      <c r="K16" s="5">
        <f t="shared" si="1"/>
        <v>-9.0490298758585334E-3</v>
      </c>
    </row>
    <row r="17" spans="1:15">
      <c r="A17" s="1">
        <v>12</v>
      </c>
      <c r="B17">
        <f t="shared" si="2"/>
        <v>14</v>
      </c>
      <c r="C17" s="7">
        <f>Climate!E22</f>
        <v>1.5935483870967744</v>
      </c>
      <c r="D17" s="8">
        <f t="shared" si="7"/>
        <v>716</v>
      </c>
      <c r="E17">
        <f t="shared" si="0"/>
        <v>397</v>
      </c>
      <c r="F17">
        <f t="shared" si="8"/>
        <v>1.5935483870967744</v>
      </c>
      <c r="G17" s="2">
        <f t="shared" si="3"/>
        <v>0.51666666666666672</v>
      </c>
      <c r="H17" s="2">
        <f t="shared" si="4"/>
        <v>1.8595962493136762</v>
      </c>
      <c r="I17" s="5">
        <f t="shared" si="5"/>
        <v>1.4600827802495046E-2</v>
      </c>
      <c r="J17" s="6">
        <f t="shared" si="6"/>
        <v>-0.25991305021814159</v>
      </c>
      <c r="K17" s="5">
        <f t="shared" si="1"/>
        <v>1.5732778507861304E-2</v>
      </c>
      <c r="L17" s="9"/>
      <c r="M17" s="9" t="s">
        <v>75</v>
      </c>
      <c r="N17" s="9"/>
      <c r="O17" s="9"/>
    </row>
    <row r="18" spans="1:15">
      <c r="A18">
        <v>1</v>
      </c>
      <c r="B18">
        <f t="shared" si="2"/>
        <v>15</v>
      </c>
      <c r="D18" s="8">
        <f>730+INT(30.5*A18-14.6)</f>
        <v>745</v>
      </c>
      <c r="E18">
        <f t="shared" si="0"/>
        <v>426</v>
      </c>
      <c r="F18" s="1">
        <f>C6</f>
        <v>1.143870967741935</v>
      </c>
      <c r="G18" s="2">
        <f t="shared" si="3"/>
        <v>0.48333333333333334</v>
      </c>
      <c r="H18" s="2">
        <f t="shared" si="4"/>
        <v>1.8743753590612315</v>
      </c>
      <c r="I18" s="5">
        <f t="shared" si="5"/>
        <v>-3.8826602299889363E-3</v>
      </c>
      <c r="J18" s="6">
        <f t="shared" si="6"/>
        <v>-0.2756473852310114</v>
      </c>
      <c r="K18" s="5">
        <f t="shared" si="1"/>
        <v>-4.3551130057387574E-3</v>
      </c>
      <c r="M18" s="3"/>
    </row>
    <row r="19" spans="1:15">
      <c r="A19">
        <v>2</v>
      </c>
      <c r="B19">
        <f t="shared" si="2"/>
        <v>16</v>
      </c>
      <c r="D19" s="8">
        <f>730+INT(30.5*A19-14.6)</f>
        <v>776</v>
      </c>
      <c r="E19">
        <f t="shared" si="0"/>
        <v>457</v>
      </c>
      <c r="F19" s="1">
        <f>C7</f>
        <v>0.59482758620689602</v>
      </c>
      <c r="G19" s="2">
        <f t="shared" si="3"/>
        <v>-7.2769953051643188E-2</v>
      </c>
      <c r="H19" s="2">
        <f t="shared" si="4"/>
        <v>2.0200588472820691</v>
      </c>
      <c r="I19" s="3">
        <f>(3/(E19-E18))*(I$2-(F19-F18))/(E19-E18)</f>
        <v>1.713975176488155E-3</v>
      </c>
      <c r="J19" s="4">
        <v>-0.25</v>
      </c>
      <c r="K19" s="5">
        <f t="shared" si="1"/>
        <v>1.713975176488155E-3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T461"/>
  <sheetViews>
    <sheetView topLeftCell="A387" workbookViewId="0">
      <selection activeCell="A69" sqref="A69"/>
    </sheetView>
  </sheetViews>
  <sheetFormatPr defaultRowHeight="12.75"/>
  <cols>
    <col min="18" max="18" width="11.28515625" bestFit="1" customWidth="1"/>
  </cols>
  <sheetData>
    <row r="1" spans="1:17">
      <c r="N1" s="45"/>
    </row>
    <row r="2" spans="1:17">
      <c r="M2" t="s">
        <v>76</v>
      </c>
      <c r="N2" s="45" t="s">
        <v>77</v>
      </c>
      <c r="O2" t="s">
        <v>76</v>
      </c>
      <c r="P2" t="s">
        <v>77</v>
      </c>
    </row>
    <row r="3" spans="1:17">
      <c r="A3" t="s">
        <v>67</v>
      </c>
      <c r="B3" t="s">
        <v>78</v>
      </c>
      <c r="C3" t="s">
        <v>79</v>
      </c>
      <c r="D3" t="s">
        <v>80</v>
      </c>
      <c r="E3" t="s">
        <v>81</v>
      </c>
      <c r="F3" t="s">
        <v>82</v>
      </c>
      <c r="G3" t="s">
        <v>83</v>
      </c>
      <c r="H3" t="s">
        <v>84</v>
      </c>
      <c r="I3" t="s">
        <v>85</v>
      </c>
      <c r="J3" t="s">
        <v>86</v>
      </c>
      <c r="K3" t="s">
        <v>56</v>
      </c>
      <c r="L3" t="s">
        <v>87</v>
      </c>
      <c r="M3" t="s">
        <v>210</v>
      </c>
      <c r="N3" s="45" t="s">
        <v>210</v>
      </c>
      <c r="O3" t="s">
        <v>210</v>
      </c>
      <c r="P3" t="s">
        <v>210</v>
      </c>
      <c r="Q3" t="s">
        <v>77</v>
      </c>
    </row>
    <row r="4" spans="1:17">
      <c r="A4">
        <v>1</v>
      </c>
      <c r="B4">
        <v>1</v>
      </c>
      <c r="C4">
        <f t="shared" ref="C4:C67" si="0">E4-D4</f>
        <v>31</v>
      </c>
      <c r="D4">
        <v>1</v>
      </c>
      <c r="E4">
        <v>32</v>
      </c>
      <c r="F4">
        <f>TxSPLINE!F$4</f>
        <v>9.7266666666666648</v>
      </c>
      <c r="G4">
        <f>TxSPLINE!F$5</f>
        <v>1.5935483870967744</v>
      </c>
      <c r="H4" s="6">
        <f>TxSPLINE!K$4</f>
        <v>-3.1292161953003328E-2</v>
      </c>
      <c r="I4" s="6">
        <f>TxSPLINE!K$5</f>
        <v>2.3610459097300838E-2</v>
      </c>
      <c r="J4">
        <f t="shared" ref="J4:J67" si="1">(E4-B4)/C4</f>
        <v>1</v>
      </c>
      <c r="K4">
        <f t="shared" ref="K4:K67" si="2">(B4-D4)/C4</f>
        <v>0</v>
      </c>
      <c r="L4">
        <f t="shared" ref="L4:L67" si="3">B4-46</f>
        <v>-45</v>
      </c>
      <c r="M4" s="6">
        <f t="shared" ref="M4:M67" si="4">J4*F4+K4*G4</f>
        <v>9.7266666666666648</v>
      </c>
      <c r="N4" s="6">
        <f t="shared" ref="N4:N49" si="5">M4+(((J4^3-J4)*H4+(K4^3-K4)*I4))*(C4^2)/6</f>
        <v>9.7266666666666648</v>
      </c>
      <c r="O4" s="6">
        <f>M4</f>
        <v>9.7266666666666648</v>
      </c>
      <c r="P4" s="6">
        <f>N4</f>
        <v>9.7266666666666648</v>
      </c>
      <c r="Q4" s="6">
        <f t="shared" ref="Q4:Q67" si="6">M4+(((J4^3-J4)*H4+(K4^3-K4)*I4))*(C4^2)/6</f>
        <v>9.7266666666666648</v>
      </c>
    </row>
    <row r="5" spans="1:17">
      <c r="B5">
        <f t="shared" ref="B5:B68" si="7">B4+1</f>
        <v>2</v>
      </c>
      <c r="C5">
        <f t="shared" si="0"/>
        <v>31</v>
      </c>
      <c r="D5">
        <v>1</v>
      </c>
      <c r="E5">
        <v>32</v>
      </c>
      <c r="F5">
        <f>TxSPLINE!F$4</f>
        <v>9.7266666666666648</v>
      </c>
      <c r="G5">
        <f>TxSPLINE!F$5</f>
        <v>1.5935483870967744</v>
      </c>
      <c r="H5" s="6">
        <f>TxSPLINE!K$4</f>
        <v>-3.1292161953003328E-2</v>
      </c>
      <c r="I5" s="6">
        <f>TxSPLINE!K$5</f>
        <v>2.3610459097300838E-2</v>
      </c>
      <c r="J5">
        <f t="shared" si="1"/>
        <v>0.967741935483871</v>
      </c>
      <c r="K5">
        <f t="shared" si="2"/>
        <v>3.2258064516129031E-2</v>
      </c>
      <c r="L5">
        <f t="shared" si="3"/>
        <v>-44</v>
      </c>
      <c r="M5" s="6">
        <f t="shared" si="4"/>
        <v>9.4643080124869918</v>
      </c>
      <c r="N5" s="6">
        <f t="shared" si="5"/>
        <v>9.650322075070795</v>
      </c>
      <c r="O5" s="6">
        <f t="shared" ref="O5:O68" si="8">O4+M5</f>
        <v>19.190974679153655</v>
      </c>
      <c r="P5" s="6">
        <f t="shared" ref="P5:P68" si="9">P4+N5</f>
        <v>19.37698874173746</v>
      </c>
      <c r="Q5" s="6">
        <f t="shared" si="6"/>
        <v>9.650322075070795</v>
      </c>
    </row>
    <row r="6" spans="1:17">
      <c r="B6">
        <f t="shared" si="7"/>
        <v>3</v>
      </c>
      <c r="C6">
        <f t="shared" si="0"/>
        <v>31</v>
      </c>
      <c r="D6">
        <v>1</v>
      </c>
      <c r="E6">
        <v>32</v>
      </c>
      <c r="F6">
        <f>TxSPLINE!F$4</f>
        <v>9.7266666666666648</v>
      </c>
      <c r="G6">
        <f>TxSPLINE!F$5</f>
        <v>1.5935483870967744</v>
      </c>
      <c r="H6" s="6">
        <f>TxSPLINE!K$4</f>
        <v>-3.1292161953003328E-2</v>
      </c>
      <c r="I6" s="6">
        <f>TxSPLINE!K$5</f>
        <v>2.3610459097300838E-2</v>
      </c>
      <c r="J6">
        <f t="shared" si="1"/>
        <v>0.93548387096774188</v>
      </c>
      <c r="K6">
        <f t="shared" si="2"/>
        <v>6.4516129032258063E-2</v>
      </c>
      <c r="L6">
        <f t="shared" si="3"/>
        <v>-43</v>
      </c>
      <c r="M6" s="6">
        <f t="shared" si="4"/>
        <v>9.2019493583073153</v>
      </c>
      <c r="N6" s="6">
        <f t="shared" si="5"/>
        <v>9.5444563738138637</v>
      </c>
      <c r="O6" s="6">
        <f t="shared" si="8"/>
        <v>28.392924037460972</v>
      </c>
      <c r="P6" s="6">
        <f t="shared" si="9"/>
        <v>28.921445115551322</v>
      </c>
      <c r="Q6" s="6">
        <f t="shared" si="6"/>
        <v>9.5444563738138637</v>
      </c>
    </row>
    <row r="7" spans="1:17">
      <c r="B7">
        <f t="shared" si="7"/>
        <v>4</v>
      </c>
      <c r="C7">
        <f t="shared" si="0"/>
        <v>31</v>
      </c>
      <c r="D7">
        <v>1</v>
      </c>
      <c r="E7">
        <v>32</v>
      </c>
      <c r="F7">
        <f>TxSPLINE!F$4</f>
        <v>9.7266666666666648</v>
      </c>
      <c r="G7">
        <f>TxSPLINE!F$5</f>
        <v>1.5935483870967744</v>
      </c>
      <c r="H7" s="6">
        <f>TxSPLINE!K$4</f>
        <v>-3.1292161953003328E-2</v>
      </c>
      <c r="I7" s="6">
        <f>TxSPLINE!K$5</f>
        <v>2.3610459097300838E-2</v>
      </c>
      <c r="J7">
        <f t="shared" si="1"/>
        <v>0.90322580645161288</v>
      </c>
      <c r="K7">
        <f t="shared" si="2"/>
        <v>9.6774193548387094E-2</v>
      </c>
      <c r="L7">
        <f t="shared" si="3"/>
        <v>-42</v>
      </c>
      <c r="M7" s="6">
        <f t="shared" si="4"/>
        <v>8.9395907041276423</v>
      </c>
      <c r="N7" s="6">
        <f t="shared" si="5"/>
        <v>9.410840615187821</v>
      </c>
      <c r="O7" s="6">
        <f t="shared" si="8"/>
        <v>37.332514741588611</v>
      </c>
      <c r="P7" s="6">
        <f t="shared" si="9"/>
        <v>38.332285730739144</v>
      </c>
      <c r="Q7" s="6">
        <f t="shared" si="6"/>
        <v>9.410840615187821</v>
      </c>
    </row>
    <row r="8" spans="1:17">
      <c r="B8">
        <f t="shared" si="7"/>
        <v>5</v>
      </c>
      <c r="C8">
        <f t="shared" si="0"/>
        <v>31</v>
      </c>
      <c r="D8">
        <v>1</v>
      </c>
      <c r="E8">
        <v>32</v>
      </c>
      <c r="F8">
        <f>TxSPLINE!F$4</f>
        <v>9.7266666666666648</v>
      </c>
      <c r="G8">
        <f>TxSPLINE!F$5</f>
        <v>1.5935483870967744</v>
      </c>
      <c r="H8" s="6">
        <f>TxSPLINE!K$4</f>
        <v>-3.1292161953003328E-2</v>
      </c>
      <c r="I8" s="6">
        <f>TxSPLINE!K$5</f>
        <v>2.3610459097300838E-2</v>
      </c>
      <c r="J8">
        <f t="shared" si="1"/>
        <v>0.87096774193548387</v>
      </c>
      <c r="K8">
        <f t="shared" si="2"/>
        <v>0.12903225806451613</v>
      </c>
      <c r="L8">
        <f t="shared" si="3"/>
        <v>-41</v>
      </c>
      <c r="M8" s="6">
        <f t="shared" si="4"/>
        <v>8.6772320499479694</v>
      </c>
      <c r="N8" s="6">
        <f t="shared" si="5"/>
        <v>9.2512458514846134</v>
      </c>
      <c r="O8" s="6">
        <f t="shared" si="8"/>
        <v>46.009746791536578</v>
      </c>
      <c r="P8" s="6">
        <f t="shared" si="9"/>
        <v>47.583531582223756</v>
      </c>
      <c r="Q8" s="6">
        <f t="shared" si="6"/>
        <v>9.2512458514846134</v>
      </c>
    </row>
    <row r="9" spans="1:17">
      <c r="B9">
        <f t="shared" si="7"/>
        <v>6</v>
      </c>
      <c r="C9">
        <f t="shared" si="0"/>
        <v>31</v>
      </c>
      <c r="D9">
        <v>1</v>
      </c>
      <c r="E9">
        <v>32</v>
      </c>
      <c r="F9">
        <f>TxSPLINE!F$4</f>
        <v>9.7266666666666648</v>
      </c>
      <c r="G9">
        <f>TxSPLINE!F$5</f>
        <v>1.5935483870967744</v>
      </c>
      <c r="H9" s="6">
        <f>TxSPLINE!K$4</f>
        <v>-3.1292161953003328E-2</v>
      </c>
      <c r="I9" s="6">
        <f>TxSPLINE!K$5</f>
        <v>2.3610459097300838E-2</v>
      </c>
      <c r="J9">
        <f t="shared" si="1"/>
        <v>0.83870967741935487</v>
      </c>
      <c r="K9">
        <f t="shared" si="2"/>
        <v>0.16129032258064516</v>
      </c>
      <c r="L9">
        <f t="shared" si="3"/>
        <v>-40</v>
      </c>
      <c r="M9" s="6">
        <f t="shared" si="4"/>
        <v>8.4148733957682946</v>
      </c>
      <c r="N9" s="6">
        <f t="shared" si="5"/>
        <v>9.0674431349961804</v>
      </c>
      <c r="O9" s="6">
        <f t="shared" si="8"/>
        <v>54.424620187304875</v>
      </c>
      <c r="P9" s="6">
        <f t="shared" si="9"/>
        <v>56.650974717219938</v>
      </c>
      <c r="Q9" s="6">
        <f t="shared" si="6"/>
        <v>9.0674431349961804</v>
      </c>
    </row>
    <row r="10" spans="1:17">
      <c r="B10">
        <f t="shared" si="7"/>
        <v>7</v>
      </c>
      <c r="C10">
        <f t="shared" si="0"/>
        <v>31</v>
      </c>
      <c r="D10">
        <v>1</v>
      </c>
      <c r="E10">
        <v>32</v>
      </c>
      <c r="F10">
        <f>TxSPLINE!F$4</f>
        <v>9.7266666666666648</v>
      </c>
      <c r="G10">
        <f>TxSPLINE!F$5</f>
        <v>1.5935483870967744</v>
      </c>
      <c r="H10" s="6">
        <f>TxSPLINE!K$4</f>
        <v>-3.1292161953003328E-2</v>
      </c>
      <c r="I10" s="6">
        <f>TxSPLINE!K$5</f>
        <v>2.3610459097300838E-2</v>
      </c>
      <c r="J10">
        <f t="shared" si="1"/>
        <v>0.80645161290322576</v>
      </c>
      <c r="K10">
        <f t="shared" si="2"/>
        <v>0.19354838709677419</v>
      </c>
      <c r="L10">
        <f t="shared" si="3"/>
        <v>-39</v>
      </c>
      <c r="M10" s="6">
        <f t="shared" si="4"/>
        <v>8.1525147415886217</v>
      </c>
      <c r="N10" s="6">
        <f t="shared" si="5"/>
        <v>8.8612035180144737</v>
      </c>
      <c r="O10" s="6">
        <f t="shared" si="8"/>
        <v>62.5771349288935</v>
      </c>
      <c r="P10" s="6">
        <f t="shared" si="9"/>
        <v>65.512178235234416</v>
      </c>
      <c r="Q10" s="6">
        <f t="shared" si="6"/>
        <v>8.8612035180144737</v>
      </c>
    </row>
    <row r="11" spans="1:17">
      <c r="B11">
        <f t="shared" si="7"/>
        <v>8</v>
      </c>
      <c r="C11">
        <f t="shared" si="0"/>
        <v>31</v>
      </c>
      <c r="D11">
        <v>1</v>
      </c>
      <c r="E11">
        <v>32</v>
      </c>
      <c r="F11">
        <f>TxSPLINE!F$4</f>
        <v>9.7266666666666648</v>
      </c>
      <c r="G11">
        <f>TxSPLINE!F$5</f>
        <v>1.5935483870967744</v>
      </c>
      <c r="H11" s="6">
        <f>TxSPLINE!K$4</f>
        <v>-3.1292161953003328E-2</v>
      </c>
      <c r="I11" s="6">
        <f>TxSPLINE!K$5</f>
        <v>2.3610459097300838E-2</v>
      </c>
      <c r="J11">
        <f t="shared" si="1"/>
        <v>0.77419354838709675</v>
      </c>
      <c r="K11">
        <f t="shared" si="2"/>
        <v>0.22580645161290322</v>
      </c>
      <c r="L11">
        <f t="shared" si="3"/>
        <v>-38</v>
      </c>
      <c r="M11" s="6">
        <f t="shared" si="4"/>
        <v>7.8901560874089469</v>
      </c>
      <c r="N11" s="6">
        <f t="shared" si="5"/>
        <v>8.6342980528314328</v>
      </c>
      <c r="O11" s="6">
        <f t="shared" si="8"/>
        <v>70.467291016302454</v>
      </c>
      <c r="P11" s="6">
        <f t="shared" si="9"/>
        <v>74.146476288065855</v>
      </c>
      <c r="Q11" s="6">
        <f t="shared" si="6"/>
        <v>8.6342980528314328</v>
      </c>
    </row>
    <row r="12" spans="1:17">
      <c r="B12">
        <f t="shared" si="7"/>
        <v>9</v>
      </c>
      <c r="C12">
        <f t="shared" si="0"/>
        <v>31</v>
      </c>
      <c r="D12">
        <v>1</v>
      </c>
      <c r="E12">
        <v>32</v>
      </c>
      <c r="F12">
        <f>TxSPLINE!F$4</f>
        <v>9.7266666666666648</v>
      </c>
      <c r="G12">
        <f>TxSPLINE!F$5</f>
        <v>1.5935483870967744</v>
      </c>
      <c r="H12" s="6">
        <f>TxSPLINE!K$4</f>
        <v>-3.1292161953003328E-2</v>
      </c>
      <c r="I12" s="6">
        <f>TxSPLINE!K$5</f>
        <v>2.3610459097300838E-2</v>
      </c>
      <c r="J12">
        <f t="shared" si="1"/>
        <v>0.74193548387096775</v>
      </c>
      <c r="K12">
        <f t="shared" si="2"/>
        <v>0.25806451612903225</v>
      </c>
      <c r="L12">
        <f t="shared" si="3"/>
        <v>-37</v>
      </c>
      <c r="M12" s="6">
        <f t="shared" si="4"/>
        <v>7.6277974332292739</v>
      </c>
      <c r="N12" s="6">
        <f t="shared" si="5"/>
        <v>8.388497791739006</v>
      </c>
      <c r="O12" s="6">
        <f t="shared" si="8"/>
        <v>78.09508844953173</v>
      </c>
      <c r="P12" s="6">
        <f t="shared" si="9"/>
        <v>82.534974079804869</v>
      </c>
      <c r="Q12" s="6">
        <f t="shared" si="6"/>
        <v>8.388497791739006</v>
      </c>
    </row>
    <row r="13" spans="1:17">
      <c r="B13">
        <f t="shared" si="7"/>
        <v>10</v>
      </c>
      <c r="C13">
        <f t="shared" si="0"/>
        <v>31</v>
      </c>
      <c r="D13">
        <v>1</v>
      </c>
      <c r="E13">
        <v>32</v>
      </c>
      <c r="F13">
        <f>TxSPLINE!F$4</f>
        <v>9.7266666666666648</v>
      </c>
      <c r="G13">
        <f>TxSPLINE!F$5</f>
        <v>1.5935483870967744</v>
      </c>
      <c r="H13" s="6">
        <f>TxSPLINE!K$4</f>
        <v>-3.1292161953003328E-2</v>
      </c>
      <c r="I13" s="6">
        <f>TxSPLINE!K$5</f>
        <v>2.3610459097300838E-2</v>
      </c>
      <c r="J13">
        <f t="shared" si="1"/>
        <v>0.70967741935483875</v>
      </c>
      <c r="K13">
        <f t="shared" si="2"/>
        <v>0.29032258064516131</v>
      </c>
      <c r="L13">
        <f t="shared" si="3"/>
        <v>-36</v>
      </c>
      <c r="M13" s="6">
        <f t="shared" si="4"/>
        <v>7.3654387790496001</v>
      </c>
      <c r="N13" s="6">
        <f t="shared" si="5"/>
        <v>8.125573787029138</v>
      </c>
      <c r="O13" s="6">
        <f t="shared" si="8"/>
        <v>85.460527228581327</v>
      </c>
      <c r="P13" s="6">
        <f t="shared" si="9"/>
        <v>90.660547866834008</v>
      </c>
      <c r="Q13" s="6">
        <f t="shared" si="6"/>
        <v>8.125573787029138</v>
      </c>
    </row>
    <row r="14" spans="1:17">
      <c r="B14">
        <f t="shared" si="7"/>
        <v>11</v>
      </c>
      <c r="C14">
        <f t="shared" si="0"/>
        <v>31</v>
      </c>
      <c r="D14">
        <v>1</v>
      </c>
      <c r="E14">
        <v>32</v>
      </c>
      <c r="F14">
        <f>TxSPLINE!F$4</f>
        <v>9.7266666666666648</v>
      </c>
      <c r="G14">
        <f>TxSPLINE!F$5</f>
        <v>1.5935483870967744</v>
      </c>
      <c r="H14" s="6">
        <f>TxSPLINE!K$4</f>
        <v>-3.1292161953003328E-2</v>
      </c>
      <c r="I14" s="6">
        <f>TxSPLINE!K$5</f>
        <v>2.3610459097300838E-2</v>
      </c>
      <c r="J14">
        <f t="shared" si="1"/>
        <v>0.67741935483870963</v>
      </c>
      <c r="K14">
        <f t="shared" si="2"/>
        <v>0.32258064516129031</v>
      </c>
      <c r="L14">
        <f t="shared" si="3"/>
        <v>-35</v>
      </c>
      <c r="M14" s="6">
        <f t="shared" si="4"/>
        <v>7.1030801248699253</v>
      </c>
      <c r="N14" s="6">
        <f t="shared" si="5"/>
        <v>7.8472970909937754</v>
      </c>
      <c r="O14" s="6">
        <f t="shared" si="8"/>
        <v>92.563607353451246</v>
      </c>
      <c r="P14" s="6">
        <f t="shared" si="9"/>
        <v>98.507844957827785</v>
      </c>
      <c r="Q14" s="6">
        <f t="shared" si="6"/>
        <v>7.8472970909937754</v>
      </c>
    </row>
    <row r="15" spans="1:17">
      <c r="B15">
        <f t="shared" si="7"/>
        <v>12</v>
      </c>
      <c r="C15">
        <f t="shared" si="0"/>
        <v>31</v>
      </c>
      <c r="D15">
        <v>1</v>
      </c>
      <c r="E15">
        <v>32</v>
      </c>
      <c r="F15">
        <f>TxSPLINE!F$4</f>
        <v>9.7266666666666648</v>
      </c>
      <c r="G15">
        <f>TxSPLINE!F$5</f>
        <v>1.5935483870967744</v>
      </c>
      <c r="H15" s="6">
        <f>TxSPLINE!K$4</f>
        <v>-3.1292161953003328E-2</v>
      </c>
      <c r="I15" s="6">
        <f>TxSPLINE!K$5</f>
        <v>2.3610459097300838E-2</v>
      </c>
      <c r="J15">
        <f t="shared" si="1"/>
        <v>0.64516129032258063</v>
      </c>
      <c r="K15">
        <f t="shared" si="2"/>
        <v>0.35483870967741937</v>
      </c>
      <c r="L15">
        <f t="shared" si="3"/>
        <v>-34</v>
      </c>
      <c r="M15" s="6">
        <f t="shared" si="4"/>
        <v>6.8407214706902515</v>
      </c>
      <c r="N15" s="6">
        <f t="shared" si="5"/>
        <v>7.5554387559248628</v>
      </c>
      <c r="O15" s="6">
        <f t="shared" si="8"/>
        <v>99.404328824141501</v>
      </c>
      <c r="P15" s="6">
        <f t="shared" si="9"/>
        <v>106.06328371375265</v>
      </c>
      <c r="Q15" s="6">
        <f t="shared" si="6"/>
        <v>7.5554387559248628</v>
      </c>
    </row>
    <row r="16" spans="1:17">
      <c r="B16">
        <f t="shared" si="7"/>
        <v>13</v>
      </c>
      <c r="C16">
        <f t="shared" si="0"/>
        <v>31</v>
      </c>
      <c r="D16">
        <v>1</v>
      </c>
      <c r="E16">
        <v>32</v>
      </c>
      <c r="F16">
        <f>TxSPLINE!F$4</f>
        <v>9.7266666666666648</v>
      </c>
      <c r="G16">
        <f>TxSPLINE!F$5</f>
        <v>1.5935483870967744</v>
      </c>
      <c r="H16" s="6">
        <f>TxSPLINE!K$4</f>
        <v>-3.1292161953003328E-2</v>
      </c>
      <c r="I16" s="6">
        <f>TxSPLINE!K$5</f>
        <v>2.3610459097300838E-2</v>
      </c>
      <c r="J16">
        <f t="shared" si="1"/>
        <v>0.61290322580645162</v>
      </c>
      <c r="K16">
        <f t="shared" si="2"/>
        <v>0.38709677419354838</v>
      </c>
      <c r="L16">
        <f t="shared" si="3"/>
        <v>-33</v>
      </c>
      <c r="M16" s="6">
        <f t="shared" si="4"/>
        <v>6.5783628165105776</v>
      </c>
      <c r="N16" s="6">
        <f t="shared" si="5"/>
        <v>7.2517698341143442</v>
      </c>
      <c r="O16" s="6">
        <f t="shared" si="8"/>
        <v>105.98269164065208</v>
      </c>
      <c r="P16" s="6">
        <f t="shared" si="9"/>
        <v>113.315053547867</v>
      </c>
      <c r="Q16" s="6">
        <f t="shared" si="6"/>
        <v>7.2517698341143442</v>
      </c>
    </row>
    <row r="17" spans="2:17">
      <c r="B17">
        <f t="shared" si="7"/>
        <v>14</v>
      </c>
      <c r="C17">
        <f t="shared" si="0"/>
        <v>31</v>
      </c>
      <c r="D17">
        <v>1</v>
      </c>
      <c r="E17">
        <v>32</v>
      </c>
      <c r="F17">
        <f>TxSPLINE!F$4</f>
        <v>9.7266666666666648</v>
      </c>
      <c r="G17">
        <f>TxSPLINE!F$5</f>
        <v>1.5935483870967744</v>
      </c>
      <c r="H17" s="6">
        <f>TxSPLINE!K$4</f>
        <v>-3.1292161953003328E-2</v>
      </c>
      <c r="I17" s="6">
        <f>TxSPLINE!K$5</f>
        <v>2.3610459097300838E-2</v>
      </c>
      <c r="J17">
        <f t="shared" si="1"/>
        <v>0.58064516129032262</v>
      </c>
      <c r="K17">
        <f t="shared" si="2"/>
        <v>0.41935483870967744</v>
      </c>
      <c r="L17">
        <f t="shared" si="3"/>
        <v>-32</v>
      </c>
      <c r="M17" s="6">
        <f t="shared" si="4"/>
        <v>6.3160041623309038</v>
      </c>
      <c r="N17" s="6">
        <f t="shared" si="5"/>
        <v>6.9380613778541651</v>
      </c>
      <c r="O17" s="6">
        <f t="shared" si="8"/>
        <v>112.29869580298298</v>
      </c>
      <c r="P17" s="6">
        <f t="shared" si="9"/>
        <v>120.25311492572116</v>
      </c>
      <c r="Q17" s="6">
        <f t="shared" si="6"/>
        <v>6.9380613778541651</v>
      </c>
    </row>
    <row r="18" spans="2:17">
      <c r="B18">
        <f t="shared" si="7"/>
        <v>15</v>
      </c>
      <c r="C18">
        <f t="shared" si="0"/>
        <v>31</v>
      </c>
      <c r="D18">
        <v>1</v>
      </c>
      <c r="E18">
        <v>32</v>
      </c>
      <c r="F18">
        <f>TxSPLINE!F$4</f>
        <v>9.7266666666666648</v>
      </c>
      <c r="G18">
        <f>TxSPLINE!F$5</f>
        <v>1.5935483870967744</v>
      </c>
      <c r="H18" s="6">
        <f>TxSPLINE!K$4</f>
        <v>-3.1292161953003328E-2</v>
      </c>
      <c r="I18" s="6">
        <f>TxSPLINE!K$5</f>
        <v>2.3610459097300838E-2</v>
      </c>
      <c r="J18">
        <f t="shared" si="1"/>
        <v>0.54838709677419351</v>
      </c>
      <c r="K18">
        <f t="shared" si="2"/>
        <v>0.45161290322580644</v>
      </c>
      <c r="L18">
        <f t="shared" si="3"/>
        <v>-31</v>
      </c>
      <c r="M18" s="6">
        <f t="shared" si="4"/>
        <v>6.0536455081512299</v>
      </c>
      <c r="N18" s="6">
        <f t="shared" si="5"/>
        <v>6.616084439436273</v>
      </c>
      <c r="O18" s="6">
        <f t="shared" si="8"/>
        <v>118.35234131113421</v>
      </c>
      <c r="P18" s="6">
        <f t="shared" si="9"/>
        <v>126.86919936515744</v>
      </c>
      <c r="Q18" s="6">
        <f t="shared" si="6"/>
        <v>6.616084439436273</v>
      </c>
    </row>
    <row r="19" spans="2:17">
      <c r="B19">
        <f t="shared" si="7"/>
        <v>16</v>
      </c>
      <c r="C19">
        <f t="shared" si="0"/>
        <v>31</v>
      </c>
      <c r="D19">
        <v>1</v>
      </c>
      <c r="E19">
        <v>32</v>
      </c>
      <c r="F19">
        <f>TxSPLINE!F$4</f>
        <v>9.7266666666666648</v>
      </c>
      <c r="G19">
        <f>TxSPLINE!F$5</f>
        <v>1.5935483870967744</v>
      </c>
      <c r="H19" s="6">
        <f>TxSPLINE!K$4</f>
        <v>-3.1292161953003328E-2</v>
      </c>
      <c r="I19" s="6">
        <f>TxSPLINE!K$5</f>
        <v>2.3610459097300838E-2</v>
      </c>
      <c r="J19">
        <f t="shared" si="1"/>
        <v>0.5161290322580645</v>
      </c>
      <c r="K19">
        <f t="shared" si="2"/>
        <v>0.4838709677419355</v>
      </c>
      <c r="L19">
        <f t="shared" si="3"/>
        <v>-30</v>
      </c>
      <c r="M19" s="6">
        <f t="shared" si="4"/>
        <v>5.7912868539715561</v>
      </c>
      <c r="N19" s="6">
        <f t="shared" si="5"/>
        <v>6.2876100711526117</v>
      </c>
      <c r="O19" s="6">
        <f t="shared" si="8"/>
        <v>124.14362816510577</v>
      </c>
      <c r="P19" s="6">
        <f t="shared" si="9"/>
        <v>133.15680943631006</v>
      </c>
      <c r="Q19" s="6">
        <f t="shared" si="6"/>
        <v>6.2876100711526117</v>
      </c>
    </row>
    <row r="20" spans="2:17">
      <c r="B20">
        <f t="shared" si="7"/>
        <v>17</v>
      </c>
      <c r="C20">
        <f t="shared" si="0"/>
        <v>31</v>
      </c>
      <c r="D20">
        <v>1</v>
      </c>
      <c r="E20">
        <v>32</v>
      </c>
      <c r="F20">
        <f>TxSPLINE!F$4</f>
        <v>9.7266666666666648</v>
      </c>
      <c r="G20">
        <f>TxSPLINE!F$5</f>
        <v>1.5935483870967744</v>
      </c>
      <c r="H20" s="6">
        <f>TxSPLINE!K$4</f>
        <v>-3.1292161953003328E-2</v>
      </c>
      <c r="I20" s="6">
        <f>TxSPLINE!K$5</f>
        <v>2.3610459097300838E-2</v>
      </c>
      <c r="J20">
        <f t="shared" si="1"/>
        <v>0.4838709677419355</v>
      </c>
      <c r="K20">
        <f t="shared" si="2"/>
        <v>0.5161290322580645</v>
      </c>
      <c r="L20">
        <f t="shared" si="3"/>
        <v>-29</v>
      </c>
      <c r="M20" s="6">
        <f t="shared" si="4"/>
        <v>5.5289281997918831</v>
      </c>
      <c r="N20" s="6">
        <f t="shared" si="5"/>
        <v>5.9544093252951269</v>
      </c>
      <c r="O20" s="6">
        <f t="shared" si="8"/>
        <v>129.67255636489764</v>
      </c>
      <c r="P20" s="6">
        <f t="shared" si="9"/>
        <v>139.11121876160519</v>
      </c>
      <c r="Q20" s="6">
        <f t="shared" si="6"/>
        <v>5.9544093252951269</v>
      </c>
    </row>
    <row r="21" spans="2:17">
      <c r="B21">
        <f t="shared" si="7"/>
        <v>18</v>
      </c>
      <c r="C21">
        <f t="shared" si="0"/>
        <v>31</v>
      </c>
      <c r="D21">
        <v>1</v>
      </c>
      <c r="E21">
        <v>32</v>
      </c>
      <c r="F21">
        <f>TxSPLINE!F$4</f>
        <v>9.7266666666666648</v>
      </c>
      <c r="G21">
        <f>TxSPLINE!F$5</f>
        <v>1.5935483870967744</v>
      </c>
      <c r="H21" s="6">
        <f>TxSPLINE!K$4</f>
        <v>-3.1292161953003328E-2</v>
      </c>
      <c r="I21" s="6">
        <f>TxSPLINE!K$5</f>
        <v>2.3610459097300838E-2</v>
      </c>
      <c r="J21">
        <f t="shared" si="1"/>
        <v>0.45161290322580644</v>
      </c>
      <c r="K21">
        <f t="shared" si="2"/>
        <v>0.54838709677419351</v>
      </c>
      <c r="L21">
        <f t="shared" si="3"/>
        <v>-28</v>
      </c>
      <c r="M21" s="6">
        <f t="shared" si="4"/>
        <v>5.2665695456122084</v>
      </c>
      <c r="N21" s="6">
        <f t="shared" si="5"/>
        <v>5.6182532541557615</v>
      </c>
      <c r="O21" s="6">
        <f t="shared" si="8"/>
        <v>134.93912591050986</v>
      </c>
      <c r="P21" s="6">
        <f t="shared" si="9"/>
        <v>144.72947201576096</v>
      </c>
      <c r="Q21" s="6">
        <f t="shared" si="6"/>
        <v>5.6182532541557615</v>
      </c>
    </row>
    <row r="22" spans="2:17">
      <c r="B22">
        <f t="shared" si="7"/>
        <v>19</v>
      </c>
      <c r="C22">
        <f t="shared" si="0"/>
        <v>31</v>
      </c>
      <c r="D22">
        <v>1</v>
      </c>
      <c r="E22">
        <v>32</v>
      </c>
      <c r="F22">
        <f>TxSPLINE!F$4</f>
        <v>9.7266666666666648</v>
      </c>
      <c r="G22">
        <f>TxSPLINE!F$5</f>
        <v>1.5935483870967744</v>
      </c>
      <c r="H22" s="6">
        <f>TxSPLINE!K$4</f>
        <v>-3.1292161953003328E-2</v>
      </c>
      <c r="I22" s="6">
        <f>TxSPLINE!K$5</f>
        <v>2.3610459097300838E-2</v>
      </c>
      <c r="J22">
        <f t="shared" si="1"/>
        <v>0.41935483870967744</v>
      </c>
      <c r="K22">
        <f t="shared" si="2"/>
        <v>0.58064516129032262</v>
      </c>
      <c r="L22">
        <f t="shared" si="3"/>
        <v>-27</v>
      </c>
      <c r="M22" s="6">
        <f t="shared" si="4"/>
        <v>5.0042108914325354</v>
      </c>
      <c r="N22" s="6">
        <f t="shared" si="5"/>
        <v>5.2809129100264647</v>
      </c>
      <c r="O22" s="6">
        <f t="shared" si="8"/>
        <v>139.94333680194239</v>
      </c>
      <c r="P22" s="6">
        <f t="shared" si="9"/>
        <v>150.01038492578743</v>
      </c>
      <c r="Q22" s="6">
        <f t="shared" si="6"/>
        <v>5.2809129100264647</v>
      </c>
    </row>
    <row r="23" spans="2:17">
      <c r="B23">
        <f t="shared" si="7"/>
        <v>20</v>
      </c>
      <c r="C23">
        <f t="shared" si="0"/>
        <v>31</v>
      </c>
      <c r="D23">
        <v>1</v>
      </c>
      <c r="E23">
        <v>32</v>
      </c>
      <c r="F23">
        <f>TxSPLINE!F$4</f>
        <v>9.7266666666666648</v>
      </c>
      <c r="G23">
        <f>TxSPLINE!F$5</f>
        <v>1.5935483870967744</v>
      </c>
      <c r="H23" s="6">
        <f>TxSPLINE!K$4</f>
        <v>-3.1292161953003328E-2</v>
      </c>
      <c r="I23" s="6">
        <f>TxSPLINE!K$5</f>
        <v>2.3610459097300838E-2</v>
      </c>
      <c r="J23">
        <f t="shared" si="1"/>
        <v>0.38709677419354838</v>
      </c>
      <c r="K23">
        <f t="shared" si="2"/>
        <v>0.61290322580645162</v>
      </c>
      <c r="L23">
        <f t="shared" si="3"/>
        <v>-26</v>
      </c>
      <c r="M23" s="6">
        <f t="shared" si="4"/>
        <v>4.7418522372528606</v>
      </c>
      <c r="N23" s="6">
        <f t="shared" si="5"/>
        <v>4.9441593451991785</v>
      </c>
      <c r="O23" s="6">
        <f t="shared" si="8"/>
        <v>144.68518903919525</v>
      </c>
      <c r="P23" s="6">
        <f t="shared" si="9"/>
        <v>154.95454427098662</v>
      </c>
      <c r="Q23" s="6">
        <f t="shared" si="6"/>
        <v>4.9441593451991785</v>
      </c>
    </row>
    <row r="24" spans="2:17">
      <c r="B24">
        <f t="shared" si="7"/>
        <v>21</v>
      </c>
      <c r="C24">
        <f t="shared" si="0"/>
        <v>31</v>
      </c>
      <c r="D24">
        <v>1</v>
      </c>
      <c r="E24">
        <v>32</v>
      </c>
      <c r="F24">
        <f>TxSPLINE!F$4</f>
        <v>9.7266666666666648</v>
      </c>
      <c r="G24">
        <f>TxSPLINE!F$5</f>
        <v>1.5935483870967744</v>
      </c>
      <c r="H24" s="6">
        <f>TxSPLINE!K$4</f>
        <v>-3.1292161953003328E-2</v>
      </c>
      <c r="I24" s="6">
        <f>TxSPLINE!K$5</f>
        <v>2.3610459097300838E-2</v>
      </c>
      <c r="J24">
        <f t="shared" si="1"/>
        <v>0.35483870967741937</v>
      </c>
      <c r="K24">
        <f t="shared" si="2"/>
        <v>0.64516129032258063</v>
      </c>
      <c r="L24">
        <f t="shared" si="3"/>
        <v>-25</v>
      </c>
      <c r="M24" s="6">
        <f t="shared" si="4"/>
        <v>4.4794935830731868</v>
      </c>
      <c r="N24" s="6">
        <f t="shared" si="5"/>
        <v>4.6097636119658496</v>
      </c>
      <c r="O24" s="6">
        <f t="shared" si="8"/>
        <v>149.16468262226843</v>
      </c>
      <c r="P24" s="6">
        <f t="shared" si="9"/>
        <v>159.56430788295248</v>
      </c>
      <c r="Q24" s="6">
        <f t="shared" si="6"/>
        <v>4.6097636119658496</v>
      </c>
    </row>
    <row r="25" spans="2:17">
      <c r="B25">
        <f t="shared" si="7"/>
        <v>22</v>
      </c>
      <c r="C25">
        <f t="shared" si="0"/>
        <v>31</v>
      </c>
      <c r="D25">
        <v>1</v>
      </c>
      <c r="E25">
        <v>32</v>
      </c>
      <c r="F25">
        <f>TxSPLINE!F$4</f>
        <v>9.7266666666666648</v>
      </c>
      <c r="G25">
        <f>TxSPLINE!F$5</f>
        <v>1.5935483870967744</v>
      </c>
      <c r="H25" s="6">
        <f>TxSPLINE!K$4</f>
        <v>-3.1292161953003328E-2</v>
      </c>
      <c r="I25" s="6">
        <f>TxSPLINE!K$5</f>
        <v>2.3610459097300838E-2</v>
      </c>
      <c r="J25">
        <f t="shared" si="1"/>
        <v>0.32258064516129031</v>
      </c>
      <c r="K25">
        <f t="shared" si="2"/>
        <v>0.67741935483870963</v>
      </c>
      <c r="L25">
        <f t="shared" si="3"/>
        <v>-24</v>
      </c>
      <c r="M25" s="6">
        <f t="shared" si="4"/>
        <v>4.2171349288935129</v>
      </c>
      <c r="N25" s="6">
        <f t="shared" si="5"/>
        <v>4.2794967626184244</v>
      </c>
      <c r="O25" s="6">
        <f t="shared" si="8"/>
        <v>153.38181755116193</v>
      </c>
      <c r="P25" s="6">
        <f t="shared" si="9"/>
        <v>163.84380464557091</v>
      </c>
      <c r="Q25" s="6">
        <f t="shared" si="6"/>
        <v>4.2794967626184244</v>
      </c>
    </row>
    <row r="26" spans="2:17">
      <c r="B26">
        <f t="shared" si="7"/>
        <v>23</v>
      </c>
      <c r="C26">
        <f t="shared" si="0"/>
        <v>31</v>
      </c>
      <c r="D26">
        <v>1</v>
      </c>
      <c r="E26">
        <v>32</v>
      </c>
      <c r="F26">
        <f>TxSPLINE!F$4</f>
        <v>9.7266666666666648</v>
      </c>
      <c r="G26">
        <f>TxSPLINE!F$5</f>
        <v>1.5935483870967744</v>
      </c>
      <c r="H26" s="6">
        <f>TxSPLINE!K$4</f>
        <v>-3.1292161953003328E-2</v>
      </c>
      <c r="I26" s="6">
        <f>TxSPLINE!K$5</f>
        <v>2.3610459097300838E-2</v>
      </c>
      <c r="J26">
        <f t="shared" si="1"/>
        <v>0.29032258064516131</v>
      </c>
      <c r="K26">
        <f t="shared" si="2"/>
        <v>0.70967741935483875</v>
      </c>
      <c r="L26">
        <f t="shared" si="3"/>
        <v>-23</v>
      </c>
      <c r="M26" s="6">
        <f t="shared" si="4"/>
        <v>3.9547762747138391</v>
      </c>
      <c r="N26" s="6">
        <f t="shared" si="5"/>
        <v>3.9551298494488472</v>
      </c>
      <c r="O26" s="6">
        <f t="shared" si="8"/>
        <v>157.33659382587578</v>
      </c>
      <c r="P26" s="6">
        <f t="shared" si="9"/>
        <v>167.79893449501975</v>
      </c>
      <c r="Q26" s="6">
        <f t="shared" si="6"/>
        <v>3.9551298494488472</v>
      </c>
    </row>
    <row r="27" spans="2:17">
      <c r="B27">
        <f t="shared" si="7"/>
        <v>24</v>
      </c>
      <c r="C27">
        <f t="shared" si="0"/>
        <v>31</v>
      </c>
      <c r="D27">
        <v>1</v>
      </c>
      <c r="E27">
        <v>32</v>
      </c>
      <c r="F27">
        <f>TxSPLINE!F$4</f>
        <v>9.7266666666666648</v>
      </c>
      <c r="G27">
        <f>TxSPLINE!F$5</f>
        <v>1.5935483870967744</v>
      </c>
      <c r="H27" s="6">
        <f>TxSPLINE!K$4</f>
        <v>-3.1292161953003328E-2</v>
      </c>
      <c r="I27" s="6">
        <f>TxSPLINE!K$5</f>
        <v>2.3610459097300838E-2</v>
      </c>
      <c r="J27">
        <f t="shared" si="1"/>
        <v>0.25806451612903225</v>
      </c>
      <c r="K27">
        <f t="shared" si="2"/>
        <v>0.74193548387096775</v>
      </c>
      <c r="L27">
        <f t="shared" si="3"/>
        <v>-22</v>
      </c>
      <c r="M27" s="6">
        <f t="shared" si="4"/>
        <v>3.6924176205341652</v>
      </c>
      <c r="N27" s="6">
        <f t="shared" si="5"/>
        <v>3.6384339247490618</v>
      </c>
      <c r="O27" s="6">
        <f t="shared" si="8"/>
        <v>161.02901144640995</v>
      </c>
      <c r="P27" s="6">
        <f t="shared" si="9"/>
        <v>171.4373684197688</v>
      </c>
      <c r="Q27" s="6">
        <f t="shared" si="6"/>
        <v>3.6384339247490618</v>
      </c>
    </row>
    <row r="28" spans="2:17">
      <c r="B28">
        <f t="shared" si="7"/>
        <v>25</v>
      </c>
      <c r="C28">
        <f t="shared" si="0"/>
        <v>31</v>
      </c>
      <c r="D28">
        <v>1</v>
      </c>
      <c r="E28">
        <v>32</v>
      </c>
      <c r="F28">
        <f>TxSPLINE!F$4</f>
        <v>9.7266666666666648</v>
      </c>
      <c r="G28">
        <f>TxSPLINE!F$5</f>
        <v>1.5935483870967744</v>
      </c>
      <c r="H28" s="6">
        <f>TxSPLINE!K$4</f>
        <v>-3.1292161953003328E-2</v>
      </c>
      <c r="I28" s="6">
        <f>TxSPLINE!K$5</f>
        <v>2.3610459097300838E-2</v>
      </c>
      <c r="J28">
        <f t="shared" si="1"/>
        <v>0.22580645161290322</v>
      </c>
      <c r="K28">
        <f t="shared" si="2"/>
        <v>0.77419354838709675</v>
      </c>
      <c r="L28">
        <f t="shared" si="3"/>
        <v>-21</v>
      </c>
      <c r="M28" s="6">
        <f t="shared" si="4"/>
        <v>3.4300589663544914</v>
      </c>
      <c r="N28" s="6">
        <f t="shared" si="5"/>
        <v>3.3311800408110157</v>
      </c>
      <c r="O28" s="6">
        <f t="shared" si="8"/>
        <v>164.45907041276445</v>
      </c>
      <c r="P28" s="6">
        <f t="shared" si="9"/>
        <v>174.76854846057981</v>
      </c>
      <c r="Q28" s="6">
        <f t="shared" si="6"/>
        <v>3.3311800408110157</v>
      </c>
    </row>
    <row r="29" spans="2:17">
      <c r="B29">
        <f t="shared" si="7"/>
        <v>26</v>
      </c>
      <c r="C29">
        <f t="shared" si="0"/>
        <v>31</v>
      </c>
      <c r="D29">
        <v>1</v>
      </c>
      <c r="E29">
        <v>32</v>
      </c>
      <c r="F29">
        <f>TxSPLINE!F$4</f>
        <v>9.7266666666666648</v>
      </c>
      <c r="G29">
        <f>TxSPLINE!F$5</f>
        <v>1.5935483870967744</v>
      </c>
      <c r="H29" s="6">
        <f>TxSPLINE!K$4</f>
        <v>-3.1292161953003328E-2</v>
      </c>
      <c r="I29" s="6">
        <f>TxSPLINE!K$5</f>
        <v>2.3610459097300838E-2</v>
      </c>
      <c r="J29">
        <f t="shared" si="1"/>
        <v>0.19354838709677419</v>
      </c>
      <c r="K29">
        <f t="shared" si="2"/>
        <v>0.80645161290322576</v>
      </c>
      <c r="L29">
        <f t="shared" si="3"/>
        <v>-20</v>
      </c>
      <c r="M29" s="6">
        <f t="shared" si="4"/>
        <v>3.1677003121748175</v>
      </c>
      <c r="N29" s="6">
        <f t="shared" si="5"/>
        <v>3.0351392499266527</v>
      </c>
      <c r="O29" s="6">
        <f t="shared" si="8"/>
        <v>167.62677072493926</v>
      </c>
      <c r="P29" s="6">
        <f t="shared" si="9"/>
        <v>177.80368771050647</v>
      </c>
      <c r="Q29" s="6">
        <f t="shared" si="6"/>
        <v>3.0351392499266527</v>
      </c>
    </row>
    <row r="30" spans="2:17">
      <c r="B30">
        <f t="shared" si="7"/>
        <v>27</v>
      </c>
      <c r="C30">
        <f t="shared" si="0"/>
        <v>31</v>
      </c>
      <c r="D30">
        <v>1</v>
      </c>
      <c r="E30">
        <v>32</v>
      </c>
      <c r="F30">
        <f>TxSPLINE!F$4</f>
        <v>9.7266666666666648</v>
      </c>
      <c r="G30">
        <f>TxSPLINE!F$5</f>
        <v>1.5935483870967744</v>
      </c>
      <c r="H30" s="6">
        <f>TxSPLINE!K$4</f>
        <v>-3.1292161953003328E-2</v>
      </c>
      <c r="I30" s="6">
        <f>TxSPLINE!K$5</f>
        <v>2.3610459097300838E-2</v>
      </c>
      <c r="J30">
        <f t="shared" si="1"/>
        <v>0.16129032258064516</v>
      </c>
      <c r="K30">
        <f t="shared" si="2"/>
        <v>0.83870967741935487</v>
      </c>
      <c r="L30">
        <f t="shared" si="3"/>
        <v>-19</v>
      </c>
      <c r="M30" s="6">
        <f t="shared" si="4"/>
        <v>2.9053416579951437</v>
      </c>
      <c r="N30" s="6">
        <f t="shared" si="5"/>
        <v>2.7520826043879199</v>
      </c>
      <c r="O30" s="6">
        <f t="shared" si="8"/>
        <v>170.5321123829344</v>
      </c>
      <c r="P30" s="6">
        <f t="shared" si="9"/>
        <v>180.55577031489437</v>
      </c>
      <c r="Q30" s="6">
        <f t="shared" si="6"/>
        <v>2.7520826043879199</v>
      </c>
    </row>
    <row r="31" spans="2:17">
      <c r="B31">
        <f t="shared" si="7"/>
        <v>28</v>
      </c>
      <c r="C31">
        <f t="shared" si="0"/>
        <v>31</v>
      </c>
      <c r="D31">
        <v>1</v>
      </c>
      <c r="E31">
        <v>32</v>
      </c>
      <c r="F31">
        <f>TxSPLINE!F$4</f>
        <v>9.7266666666666648</v>
      </c>
      <c r="G31">
        <f>TxSPLINE!F$5</f>
        <v>1.5935483870967744</v>
      </c>
      <c r="H31" s="6">
        <f>TxSPLINE!K$4</f>
        <v>-3.1292161953003328E-2</v>
      </c>
      <c r="I31" s="6">
        <f>TxSPLINE!K$5</f>
        <v>2.3610459097300838E-2</v>
      </c>
      <c r="J31">
        <f t="shared" si="1"/>
        <v>0.12903225806451613</v>
      </c>
      <c r="K31">
        <f t="shared" si="2"/>
        <v>0.87096774193548387</v>
      </c>
      <c r="L31">
        <f t="shared" si="3"/>
        <v>-18</v>
      </c>
      <c r="M31" s="6">
        <f t="shared" si="4"/>
        <v>2.6429830038154698</v>
      </c>
      <c r="N31" s="6">
        <f t="shared" si="5"/>
        <v>2.4837811564867609</v>
      </c>
      <c r="O31" s="6">
        <f t="shared" si="8"/>
        <v>173.17509538674986</v>
      </c>
      <c r="P31" s="6">
        <f t="shared" si="9"/>
        <v>183.03955147138115</v>
      </c>
      <c r="Q31" s="6">
        <f t="shared" si="6"/>
        <v>2.4837811564867609</v>
      </c>
    </row>
    <row r="32" spans="2:17">
      <c r="B32">
        <f t="shared" si="7"/>
        <v>29</v>
      </c>
      <c r="C32">
        <f t="shared" si="0"/>
        <v>31</v>
      </c>
      <c r="D32">
        <v>1</v>
      </c>
      <c r="E32">
        <v>32</v>
      </c>
      <c r="F32">
        <f>TxSPLINE!F$4</f>
        <v>9.7266666666666648</v>
      </c>
      <c r="G32">
        <f>TxSPLINE!F$5</f>
        <v>1.5935483870967744</v>
      </c>
      <c r="H32" s="6">
        <f>TxSPLINE!K$4</f>
        <v>-3.1292161953003328E-2</v>
      </c>
      <c r="I32" s="6">
        <f>TxSPLINE!K$5</f>
        <v>2.3610459097300838E-2</v>
      </c>
      <c r="J32">
        <f t="shared" si="1"/>
        <v>9.6774193548387094E-2</v>
      </c>
      <c r="K32">
        <f t="shared" si="2"/>
        <v>0.90322580645161288</v>
      </c>
      <c r="L32">
        <f t="shared" si="3"/>
        <v>-17</v>
      </c>
      <c r="M32" s="6">
        <f t="shared" si="4"/>
        <v>2.3806243496357959</v>
      </c>
      <c r="N32" s="6">
        <f t="shared" si="5"/>
        <v>2.2320059585151215</v>
      </c>
      <c r="O32" s="6">
        <f t="shared" si="8"/>
        <v>175.55571973638567</v>
      </c>
      <c r="P32" s="6">
        <f t="shared" si="9"/>
        <v>185.27155742989626</v>
      </c>
      <c r="Q32" s="6">
        <f t="shared" si="6"/>
        <v>2.2320059585151215</v>
      </c>
    </row>
    <row r="33" spans="1:17">
      <c r="B33">
        <f t="shared" si="7"/>
        <v>30</v>
      </c>
      <c r="C33">
        <f t="shared" si="0"/>
        <v>31</v>
      </c>
      <c r="D33">
        <v>1</v>
      </c>
      <c r="E33">
        <v>32</v>
      </c>
      <c r="F33">
        <f>TxSPLINE!F$4</f>
        <v>9.7266666666666648</v>
      </c>
      <c r="G33">
        <f>TxSPLINE!F$5</f>
        <v>1.5935483870967744</v>
      </c>
      <c r="H33" s="6">
        <f>TxSPLINE!K$4</f>
        <v>-3.1292161953003328E-2</v>
      </c>
      <c r="I33" s="6">
        <f>TxSPLINE!K$5</f>
        <v>2.3610459097300838E-2</v>
      </c>
      <c r="J33">
        <f t="shared" si="1"/>
        <v>6.4516129032258063E-2</v>
      </c>
      <c r="K33">
        <f t="shared" si="2"/>
        <v>0.93548387096774188</v>
      </c>
      <c r="L33">
        <f t="shared" si="3"/>
        <v>-16</v>
      </c>
      <c r="M33" s="6">
        <f t="shared" si="4"/>
        <v>2.1182656954561221</v>
      </c>
      <c r="N33" s="6">
        <f t="shared" si="5"/>
        <v>1.9985280627649464</v>
      </c>
      <c r="O33" s="6">
        <f t="shared" si="8"/>
        <v>177.6739854318418</v>
      </c>
      <c r="P33" s="6">
        <f t="shared" si="9"/>
        <v>187.2700854926612</v>
      </c>
      <c r="Q33" s="6">
        <f t="shared" si="6"/>
        <v>1.9985280627649464</v>
      </c>
    </row>
    <row r="34" spans="1:17">
      <c r="B34">
        <f t="shared" si="7"/>
        <v>31</v>
      </c>
      <c r="C34">
        <f t="shared" si="0"/>
        <v>31</v>
      </c>
      <c r="D34">
        <v>1</v>
      </c>
      <c r="E34">
        <v>32</v>
      </c>
      <c r="F34">
        <f>TxSPLINE!F$4</f>
        <v>9.7266666666666648</v>
      </c>
      <c r="G34">
        <f>TxSPLINE!F$5</f>
        <v>1.5935483870967744</v>
      </c>
      <c r="H34" s="6">
        <f>TxSPLINE!K$4</f>
        <v>-3.1292161953003328E-2</v>
      </c>
      <c r="I34" s="6">
        <f>TxSPLINE!K$5</f>
        <v>2.3610459097300838E-2</v>
      </c>
      <c r="J34">
        <f t="shared" si="1"/>
        <v>3.2258064516129031E-2</v>
      </c>
      <c r="K34">
        <f t="shared" si="2"/>
        <v>0.967741935483871</v>
      </c>
      <c r="L34">
        <f t="shared" si="3"/>
        <v>-15</v>
      </c>
      <c r="M34" s="6">
        <f t="shared" si="4"/>
        <v>1.8559070412764482</v>
      </c>
      <c r="N34" s="6">
        <f t="shared" si="5"/>
        <v>1.7851185215281831</v>
      </c>
      <c r="O34" s="6">
        <f t="shared" si="8"/>
        <v>179.52989247311825</v>
      </c>
      <c r="P34" s="6">
        <f t="shared" si="9"/>
        <v>189.05520401418937</v>
      </c>
      <c r="Q34" s="6">
        <f t="shared" si="6"/>
        <v>1.7851185215281831</v>
      </c>
    </row>
    <row r="35" spans="1:17">
      <c r="A35">
        <v>32</v>
      </c>
      <c r="B35">
        <f t="shared" si="7"/>
        <v>32</v>
      </c>
      <c r="C35">
        <f t="shared" si="0"/>
        <v>31</v>
      </c>
      <c r="D35">
        <v>1</v>
      </c>
      <c r="E35">
        <v>32</v>
      </c>
      <c r="F35">
        <f>TxSPLINE!F$4</f>
        <v>9.7266666666666648</v>
      </c>
      <c r="G35">
        <f>TxSPLINE!F$5</f>
        <v>1.5935483870967744</v>
      </c>
      <c r="H35" s="6">
        <f>TxSPLINE!K$4</f>
        <v>-3.1292161953003328E-2</v>
      </c>
      <c r="I35" s="6">
        <f>TxSPLINE!K$5</f>
        <v>2.3610459097300838E-2</v>
      </c>
      <c r="J35">
        <f t="shared" si="1"/>
        <v>0</v>
      </c>
      <c r="K35">
        <f t="shared" si="2"/>
        <v>1</v>
      </c>
      <c r="L35">
        <f t="shared" si="3"/>
        <v>-14</v>
      </c>
      <c r="M35" s="6">
        <f t="shared" si="4"/>
        <v>1.5935483870967744</v>
      </c>
      <c r="N35" s="6">
        <f t="shared" si="5"/>
        <v>1.5935483870967744</v>
      </c>
      <c r="O35" s="6">
        <f t="shared" si="8"/>
        <v>181.12344086021503</v>
      </c>
      <c r="P35" s="6">
        <f t="shared" si="9"/>
        <v>190.64875240128615</v>
      </c>
      <c r="Q35" s="6">
        <f t="shared" si="6"/>
        <v>1.5935483870967744</v>
      </c>
    </row>
    <row r="36" spans="1:17">
      <c r="B36">
        <f t="shared" si="7"/>
        <v>33</v>
      </c>
      <c r="C36">
        <f t="shared" si="0"/>
        <v>29</v>
      </c>
      <c r="D36">
        <v>32</v>
      </c>
      <c r="E36">
        <v>61</v>
      </c>
      <c r="F36">
        <f>TxSPLINE!F$5</f>
        <v>1.5935483870967744</v>
      </c>
      <c r="G36">
        <f>TxSPLINE!F$6</f>
        <v>1.143870967741935</v>
      </c>
      <c r="H36" s="6">
        <f>TxSPLINE!K$5</f>
        <v>2.3610459097300838E-2</v>
      </c>
      <c r="I36" s="6">
        <f>TxSPLINE!K$6</f>
        <v>-1.3175270810609617E-2</v>
      </c>
      <c r="J36">
        <f t="shared" si="1"/>
        <v>0.96551724137931039</v>
      </c>
      <c r="K36">
        <f t="shared" si="2"/>
        <v>3.4482758620689655E-2</v>
      </c>
      <c r="L36">
        <f t="shared" si="3"/>
        <v>-13</v>
      </c>
      <c r="M36" s="6">
        <f t="shared" si="4"/>
        <v>1.578042269187987</v>
      </c>
      <c r="N36" s="6">
        <f t="shared" si="5"/>
        <v>1.4250821241398262</v>
      </c>
      <c r="O36" s="6">
        <f t="shared" si="8"/>
        <v>182.70148312940302</v>
      </c>
      <c r="P36" s="6">
        <f t="shared" si="9"/>
        <v>192.07383452542598</v>
      </c>
      <c r="Q36" s="6">
        <f t="shared" si="6"/>
        <v>1.4250821241398262</v>
      </c>
    </row>
    <row r="37" spans="1:17">
      <c r="B37">
        <f t="shared" si="7"/>
        <v>34</v>
      </c>
      <c r="C37">
        <f t="shared" si="0"/>
        <v>29</v>
      </c>
      <c r="D37">
        <v>32</v>
      </c>
      <c r="E37">
        <v>61</v>
      </c>
      <c r="F37">
        <f>TxSPLINE!F$5</f>
        <v>1.5935483870967744</v>
      </c>
      <c r="G37">
        <f>TxSPLINE!F$6</f>
        <v>1.143870967741935</v>
      </c>
      <c r="H37" s="6">
        <f>TxSPLINE!K$5</f>
        <v>2.3610459097300838E-2</v>
      </c>
      <c r="I37" s="6">
        <f>TxSPLINE!K$6</f>
        <v>-1.3175270810609617E-2</v>
      </c>
      <c r="J37">
        <f t="shared" si="1"/>
        <v>0.93103448275862066</v>
      </c>
      <c r="K37">
        <f t="shared" si="2"/>
        <v>6.8965517241379309E-2</v>
      </c>
      <c r="L37">
        <f t="shared" si="3"/>
        <v>-12</v>
      </c>
      <c r="M37" s="6">
        <f t="shared" si="4"/>
        <v>1.5625361512791991</v>
      </c>
      <c r="N37" s="6">
        <f t="shared" si="5"/>
        <v>1.2789578468350769</v>
      </c>
      <c r="O37" s="6">
        <f t="shared" si="8"/>
        <v>184.26401928068222</v>
      </c>
      <c r="P37" s="6">
        <f t="shared" si="9"/>
        <v>193.35279237226106</v>
      </c>
      <c r="Q37" s="6">
        <f t="shared" si="6"/>
        <v>1.2789578468350769</v>
      </c>
    </row>
    <row r="38" spans="1:17">
      <c r="B38">
        <f t="shared" si="7"/>
        <v>35</v>
      </c>
      <c r="C38">
        <f t="shared" si="0"/>
        <v>29</v>
      </c>
      <c r="D38">
        <v>32</v>
      </c>
      <c r="E38">
        <v>61</v>
      </c>
      <c r="F38">
        <f>TxSPLINE!F$5</f>
        <v>1.5935483870967744</v>
      </c>
      <c r="G38">
        <f>TxSPLINE!F$6</f>
        <v>1.143870967741935</v>
      </c>
      <c r="H38" s="6">
        <f>TxSPLINE!K$5</f>
        <v>2.3610459097300838E-2</v>
      </c>
      <c r="I38" s="6">
        <f>TxSPLINE!K$6</f>
        <v>-1.3175270810609617E-2</v>
      </c>
      <c r="J38">
        <f t="shared" si="1"/>
        <v>0.89655172413793105</v>
      </c>
      <c r="K38">
        <f t="shared" si="2"/>
        <v>0.10344827586206896</v>
      </c>
      <c r="L38">
        <f t="shared" si="3"/>
        <v>-11</v>
      </c>
      <c r="M38" s="6">
        <f t="shared" si="4"/>
        <v>1.5470300333704117</v>
      </c>
      <c r="N38" s="6">
        <f t="shared" si="5"/>
        <v>1.1539070817374293</v>
      </c>
      <c r="O38" s="6">
        <f t="shared" si="8"/>
        <v>185.81104931405264</v>
      </c>
      <c r="P38" s="6">
        <f t="shared" si="9"/>
        <v>194.50669945399849</v>
      </c>
      <c r="Q38" s="6">
        <f t="shared" si="6"/>
        <v>1.1539070817374293</v>
      </c>
    </row>
    <row r="39" spans="1:17">
      <c r="B39">
        <f t="shared" si="7"/>
        <v>36</v>
      </c>
      <c r="C39">
        <f t="shared" si="0"/>
        <v>29</v>
      </c>
      <c r="D39">
        <v>32</v>
      </c>
      <c r="E39">
        <v>61</v>
      </c>
      <c r="F39">
        <f>TxSPLINE!F$5</f>
        <v>1.5935483870967744</v>
      </c>
      <c r="G39">
        <f>TxSPLINE!F$6</f>
        <v>1.143870967741935</v>
      </c>
      <c r="H39" s="6">
        <f>TxSPLINE!K$5</f>
        <v>2.3610459097300838E-2</v>
      </c>
      <c r="I39" s="6">
        <f>TxSPLINE!K$6</f>
        <v>-1.3175270810609617E-2</v>
      </c>
      <c r="J39">
        <f t="shared" si="1"/>
        <v>0.86206896551724133</v>
      </c>
      <c r="K39">
        <f t="shared" si="2"/>
        <v>0.13793103448275862</v>
      </c>
      <c r="L39">
        <f t="shared" si="3"/>
        <v>-10</v>
      </c>
      <c r="M39" s="6">
        <f t="shared" si="4"/>
        <v>1.5315239154616243</v>
      </c>
      <c r="N39" s="6">
        <f t="shared" si="5"/>
        <v>1.0486613554017805</v>
      </c>
      <c r="O39" s="6">
        <f t="shared" si="8"/>
        <v>187.34257322951427</v>
      </c>
      <c r="P39" s="6">
        <f t="shared" si="9"/>
        <v>195.55536080940027</v>
      </c>
      <c r="Q39" s="6">
        <f t="shared" si="6"/>
        <v>1.0486613554017805</v>
      </c>
    </row>
    <row r="40" spans="1:17">
      <c r="B40">
        <f t="shared" si="7"/>
        <v>37</v>
      </c>
      <c r="C40">
        <f t="shared" si="0"/>
        <v>29</v>
      </c>
      <c r="D40">
        <v>32</v>
      </c>
      <c r="E40">
        <v>61</v>
      </c>
      <c r="F40">
        <f>TxSPLINE!F$5</f>
        <v>1.5935483870967744</v>
      </c>
      <c r="G40">
        <f>TxSPLINE!F$6</f>
        <v>1.143870967741935</v>
      </c>
      <c r="H40" s="6">
        <f>TxSPLINE!K$5</f>
        <v>2.3610459097300838E-2</v>
      </c>
      <c r="I40" s="6">
        <f>TxSPLINE!K$6</f>
        <v>-1.3175270810609617E-2</v>
      </c>
      <c r="J40">
        <f t="shared" si="1"/>
        <v>0.82758620689655171</v>
      </c>
      <c r="K40">
        <f t="shared" si="2"/>
        <v>0.17241379310344829</v>
      </c>
      <c r="L40">
        <f t="shared" si="3"/>
        <v>-9</v>
      </c>
      <c r="M40" s="6">
        <f t="shared" si="4"/>
        <v>1.5160177975528366</v>
      </c>
      <c r="N40" s="6">
        <f t="shared" si="5"/>
        <v>0.9619521943830317</v>
      </c>
      <c r="O40" s="6">
        <f t="shared" si="8"/>
        <v>188.85859102706712</v>
      </c>
      <c r="P40" s="6">
        <f t="shared" si="9"/>
        <v>196.5173130037833</v>
      </c>
      <c r="Q40" s="6">
        <f t="shared" si="6"/>
        <v>0.9619521943830317</v>
      </c>
    </row>
    <row r="41" spans="1:17">
      <c r="B41">
        <f t="shared" si="7"/>
        <v>38</v>
      </c>
      <c r="C41">
        <f t="shared" si="0"/>
        <v>29</v>
      </c>
      <c r="D41">
        <v>32</v>
      </c>
      <c r="E41">
        <v>61</v>
      </c>
      <c r="F41">
        <f>TxSPLINE!F$5</f>
        <v>1.5935483870967744</v>
      </c>
      <c r="G41">
        <f>TxSPLINE!F$6</f>
        <v>1.143870967741935</v>
      </c>
      <c r="H41" s="6">
        <f>TxSPLINE!K$5</f>
        <v>2.3610459097300838E-2</v>
      </c>
      <c r="I41" s="6">
        <f>TxSPLINE!K$6</f>
        <v>-1.3175270810609617E-2</v>
      </c>
      <c r="J41">
        <f t="shared" si="1"/>
        <v>0.7931034482758621</v>
      </c>
      <c r="K41">
        <f t="shared" si="2"/>
        <v>0.20689655172413793</v>
      </c>
      <c r="L41">
        <f t="shared" si="3"/>
        <v>-8</v>
      </c>
      <c r="M41" s="6">
        <f t="shared" si="4"/>
        <v>1.5005116796440492</v>
      </c>
      <c r="N41" s="6">
        <f t="shared" si="5"/>
        <v>0.89251112523608167</v>
      </c>
      <c r="O41" s="6">
        <f t="shared" si="8"/>
        <v>190.35910270671118</v>
      </c>
      <c r="P41" s="6">
        <f t="shared" si="9"/>
        <v>197.40982412901937</v>
      </c>
      <c r="Q41" s="6">
        <f t="shared" si="6"/>
        <v>0.89251112523608167</v>
      </c>
    </row>
    <row r="42" spans="1:17">
      <c r="B42">
        <f t="shared" si="7"/>
        <v>39</v>
      </c>
      <c r="C42">
        <f t="shared" si="0"/>
        <v>29</v>
      </c>
      <c r="D42">
        <v>32</v>
      </c>
      <c r="E42">
        <v>61</v>
      </c>
      <c r="F42">
        <f>TxSPLINE!F$5</f>
        <v>1.5935483870967744</v>
      </c>
      <c r="G42">
        <f>TxSPLINE!F$6</f>
        <v>1.143870967741935</v>
      </c>
      <c r="H42" s="6">
        <f>TxSPLINE!K$5</f>
        <v>2.3610459097300838E-2</v>
      </c>
      <c r="I42" s="6">
        <f>TxSPLINE!K$6</f>
        <v>-1.3175270810609617E-2</v>
      </c>
      <c r="J42">
        <f t="shared" si="1"/>
        <v>0.75862068965517238</v>
      </c>
      <c r="K42">
        <f t="shared" si="2"/>
        <v>0.2413793103448276</v>
      </c>
      <c r="L42">
        <f t="shared" si="3"/>
        <v>-7</v>
      </c>
      <c r="M42" s="6">
        <f t="shared" si="4"/>
        <v>1.4850055617352615</v>
      </c>
      <c r="N42" s="6">
        <f t="shared" si="5"/>
        <v>0.83906967451583003</v>
      </c>
      <c r="O42" s="6">
        <f t="shared" si="8"/>
        <v>191.84410826844643</v>
      </c>
      <c r="P42" s="6">
        <f t="shared" si="9"/>
        <v>198.2488938035352</v>
      </c>
      <c r="Q42" s="6">
        <f t="shared" si="6"/>
        <v>0.83906967451583003</v>
      </c>
    </row>
    <row r="43" spans="1:17">
      <c r="B43">
        <f t="shared" si="7"/>
        <v>40</v>
      </c>
      <c r="C43">
        <f t="shared" si="0"/>
        <v>29</v>
      </c>
      <c r="D43">
        <v>32</v>
      </c>
      <c r="E43">
        <v>61</v>
      </c>
      <c r="F43">
        <f>TxSPLINE!F$5</f>
        <v>1.5935483870967744</v>
      </c>
      <c r="G43">
        <f>TxSPLINE!F$6</f>
        <v>1.143870967741935</v>
      </c>
      <c r="H43" s="6">
        <f>TxSPLINE!K$5</f>
        <v>2.3610459097300838E-2</v>
      </c>
      <c r="I43" s="6">
        <f>TxSPLINE!K$6</f>
        <v>-1.3175270810609617E-2</v>
      </c>
      <c r="J43">
        <f t="shared" si="1"/>
        <v>0.72413793103448276</v>
      </c>
      <c r="K43">
        <f t="shared" si="2"/>
        <v>0.27586206896551724</v>
      </c>
      <c r="L43">
        <f t="shared" si="3"/>
        <v>-6</v>
      </c>
      <c r="M43" s="6">
        <f t="shared" si="4"/>
        <v>1.4694994438264739</v>
      </c>
      <c r="N43" s="6">
        <f t="shared" si="5"/>
        <v>0.80035936877717717</v>
      </c>
      <c r="O43" s="6">
        <f t="shared" si="8"/>
        <v>193.3136077122729</v>
      </c>
      <c r="P43" s="6">
        <f t="shared" si="9"/>
        <v>199.04925317231238</v>
      </c>
      <c r="Q43" s="6">
        <f t="shared" si="6"/>
        <v>0.80035936877717717</v>
      </c>
    </row>
    <row r="44" spans="1:17">
      <c r="B44">
        <f t="shared" si="7"/>
        <v>41</v>
      </c>
      <c r="C44">
        <f t="shared" si="0"/>
        <v>29</v>
      </c>
      <c r="D44">
        <v>32</v>
      </c>
      <c r="E44">
        <v>61</v>
      </c>
      <c r="F44">
        <f>TxSPLINE!F$5</f>
        <v>1.5935483870967744</v>
      </c>
      <c r="G44">
        <f>TxSPLINE!F$6</f>
        <v>1.143870967741935</v>
      </c>
      <c r="H44" s="6">
        <f>TxSPLINE!K$5</f>
        <v>2.3610459097300838E-2</v>
      </c>
      <c r="I44" s="6">
        <f>TxSPLINE!K$6</f>
        <v>-1.3175270810609617E-2</v>
      </c>
      <c r="J44">
        <f t="shared" si="1"/>
        <v>0.68965517241379315</v>
      </c>
      <c r="K44">
        <f t="shared" si="2"/>
        <v>0.31034482758620691</v>
      </c>
      <c r="L44">
        <f t="shared" si="3"/>
        <v>-5</v>
      </c>
      <c r="M44" s="6">
        <f t="shared" si="4"/>
        <v>1.4539933259176865</v>
      </c>
      <c r="N44" s="6">
        <f t="shared" si="5"/>
        <v>0.77511173457502192</v>
      </c>
      <c r="O44" s="6">
        <f t="shared" si="8"/>
        <v>194.76760103819058</v>
      </c>
      <c r="P44" s="6">
        <f t="shared" si="9"/>
        <v>199.82436490688741</v>
      </c>
      <c r="Q44" s="6">
        <f t="shared" si="6"/>
        <v>0.77511173457502192</v>
      </c>
    </row>
    <row r="45" spans="1:17">
      <c r="B45">
        <f t="shared" si="7"/>
        <v>42</v>
      </c>
      <c r="C45">
        <f t="shared" si="0"/>
        <v>29</v>
      </c>
      <c r="D45">
        <v>32</v>
      </c>
      <c r="E45">
        <v>61</v>
      </c>
      <c r="F45">
        <f>TxSPLINE!F$5</f>
        <v>1.5935483870967744</v>
      </c>
      <c r="G45">
        <f>TxSPLINE!F$6</f>
        <v>1.143870967741935</v>
      </c>
      <c r="H45" s="6">
        <f>TxSPLINE!K$5</f>
        <v>2.3610459097300838E-2</v>
      </c>
      <c r="I45" s="6">
        <f>TxSPLINE!K$6</f>
        <v>-1.3175270810609617E-2</v>
      </c>
      <c r="J45">
        <f t="shared" si="1"/>
        <v>0.65517241379310343</v>
      </c>
      <c r="K45">
        <f t="shared" si="2"/>
        <v>0.34482758620689657</v>
      </c>
      <c r="L45">
        <f t="shared" si="3"/>
        <v>-4</v>
      </c>
      <c r="M45" s="6">
        <f t="shared" si="4"/>
        <v>1.4384872080088986</v>
      </c>
      <c r="N45" s="6">
        <f t="shared" si="5"/>
        <v>0.76205829846426432</v>
      </c>
      <c r="O45" s="6">
        <f t="shared" si="8"/>
        <v>196.20608824619947</v>
      </c>
      <c r="P45" s="6">
        <f t="shared" si="9"/>
        <v>200.58642320535168</v>
      </c>
      <c r="Q45" s="6">
        <f t="shared" si="6"/>
        <v>0.76205829846426432</v>
      </c>
    </row>
    <row r="46" spans="1:17">
      <c r="B46">
        <f t="shared" si="7"/>
        <v>43</v>
      </c>
      <c r="C46">
        <f t="shared" si="0"/>
        <v>29</v>
      </c>
      <c r="D46">
        <v>32</v>
      </c>
      <c r="E46">
        <v>61</v>
      </c>
      <c r="F46">
        <f>TxSPLINE!F$5</f>
        <v>1.5935483870967744</v>
      </c>
      <c r="G46">
        <f>TxSPLINE!F$6</f>
        <v>1.143870967741935</v>
      </c>
      <c r="H46" s="6">
        <f>TxSPLINE!K$5</f>
        <v>2.3610459097300838E-2</v>
      </c>
      <c r="I46" s="6">
        <f>TxSPLINE!K$6</f>
        <v>-1.3175270810609617E-2</v>
      </c>
      <c r="J46">
        <f t="shared" si="1"/>
        <v>0.62068965517241381</v>
      </c>
      <c r="K46">
        <f t="shared" si="2"/>
        <v>0.37931034482758619</v>
      </c>
      <c r="L46">
        <f t="shared" si="3"/>
        <v>-3</v>
      </c>
      <c r="M46" s="6">
        <f t="shared" si="4"/>
        <v>1.4229810901001112</v>
      </c>
      <c r="N46" s="6">
        <f t="shared" si="5"/>
        <v>0.7599305869998042</v>
      </c>
      <c r="O46" s="6">
        <f t="shared" si="8"/>
        <v>197.62906933629958</v>
      </c>
      <c r="P46" s="6">
        <f t="shared" si="9"/>
        <v>201.34635379235149</v>
      </c>
      <c r="Q46" s="6">
        <f t="shared" si="6"/>
        <v>0.7599305869998042</v>
      </c>
    </row>
    <row r="47" spans="1:17">
      <c r="B47">
        <f t="shared" si="7"/>
        <v>44</v>
      </c>
      <c r="C47">
        <f t="shared" si="0"/>
        <v>29</v>
      </c>
      <c r="D47">
        <v>32</v>
      </c>
      <c r="E47">
        <v>61</v>
      </c>
      <c r="F47">
        <f>TxSPLINE!F$5</f>
        <v>1.5935483870967744</v>
      </c>
      <c r="G47">
        <f>TxSPLINE!F$6</f>
        <v>1.143870967741935</v>
      </c>
      <c r="H47" s="6">
        <f>TxSPLINE!K$5</f>
        <v>2.3610459097300838E-2</v>
      </c>
      <c r="I47" s="6">
        <f>TxSPLINE!K$6</f>
        <v>-1.3175270810609617E-2</v>
      </c>
      <c r="J47">
        <f t="shared" si="1"/>
        <v>0.58620689655172409</v>
      </c>
      <c r="K47">
        <f t="shared" si="2"/>
        <v>0.41379310344827586</v>
      </c>
      <c r="L47">
        <f t="shared" si="3"/>
        <v>-2</v>
      </c>
      <c r="M47" s="6">
        <f t="shared" si="4"/>
        <v>1.4074749721913236</v>
      </c>
      <c r="N47" s="6">
        <f t="shared" si="5"/>
        <v>0.76746012673654074</v>
      </c>
      <c r="O47" s="6">
        <f t="shared" si="8"/>
        <v>199.0365443084909</v>
      </c>
      <c r="P47" s="6">
        <f t="shared" si="9"/>
        <v>202.11381391908805</v>
      </c>
      <c r="Q47" s="6">
        <f t="shared" si="6"/>
        <v>0.76746012673654074</v>
      </c>
    </row>
    <row r="48" spans="1:17">
      <c r="B48">
        <f t="shared" si="7"/>
        <v>45</v>
      </c>
      <c r="C48">
        <f t="shared" si="0"/>
        <v>29</v>
      </c>
      <c r="D48">
        <v>32</v>
      </c>
      <c r="E48">
        <v>61</v>
      </c>
      <c r="F48">
        <f>TxSPLINE!F$5</f>
        <v>1.5935483870967744</v>
      </c>
      <c r="G48">
        <f>TxSPLINE!F$6</f>
        <v>1.143870967741935</v>
      </c>
      <c r="H48" s="6">
        <f>TxSPLINE!K$5</f>
        <v>2.3610459097300838E-2</v>
      </c>
      <c r="I48" s="6">
        <f>TxSPLINE!K$6</f>
        <v>-1.3175270810609617E-2</v>
      </c>
      <c r="J48">
        <f t="shared" si="1"/>
        <v>0.55172413793103448</v>
      </c>
      <c r="K48">
        <f t="shared" si="2"/>
        <v>0.44827586206896552</v>
      </c>
      <c r="L48">
        <f t="shared" si="3"/>
        <v>-1</v>
      </c>
      <c r="M48" s="6">
        <f t="shared" si="4"/>
        <v>1.3919688542825361</v>
      </c>
      <c r="N48" s="6">
        <f t="shared" si="5"/>
        <v>0.78337844422937397</v>
      </c>
      <c r="O48" s="6">
        <f t="shared" si="8"/>
        <v>200.42851316277344</v>
      </c>
      <c r="P48" s="6">
        <f t="shared" si="9"/>
        <v>202.89719236331743</v>
      </c>
      <c r="Q48" s="6">
        <f t="shared" si="6"/>
        <v>0.78337844422937397</v>
      </c>
    </row>
    <row r="49" spans="1:20">
      <c r="B49">
        <f t="shared" si="7"/>
        <v>46</v>
      </c>
      <c r="C49">
        <f t="shared" si="0"/>
        <v>29</v>
      </c>
      <c r="D49">
        <v>32</v>
      </c>
      <c r="E49">
        <v>61</v>
      </c>
      <c r="F49">
        <f>TxSPLINE!F$5</f>
        <v>1.5935483870967744</v>
      </c>
      <c r="G49">
        <f>TxSPLINE!F$6</f>
        <v>1.143870967741935</v>
      </c>
      <c r="H49" s="6">
        <f>TxSPLINE!K$5</f>
        <v>2.3610459097300838E-2</v>
      </c>
      <c r="I49" s="6">
        <f>TxSPLINE!K$6</f>
        <v>-1.3175270810609617E-2</v>
      </c>
      <c r="J49">
        <f t="shared" si="1"/>
        <v>0.51724137931034486</v>
      </c>
      <c r="K49">
        <f t="shared" si="2"/>
        <v>0.48275862068965519</v>
      </c>
      <c r="L49">
        <f t="shared" si="3"/>
        <v>0</v>
      </c>
      <c r="M49" s="6">
        <f t="shared" si="4"/>
        <v>1.3764627363737487</v>
      </c>
      <c r="N49" s="6">
        <f t="shared" si="5"/>
        <v>0.8064170660332034</v>
      </c>
      <c r="O49" s="6">
        <f t="shared" si="8"/>
        <v>201.80497589914719</v>
      </c>
      <c r="P49" s="6">
        <f t="shared" si="9"/>
        <v>203.70360942935062</v>
      </c>
      <c r="Q49" s="6">
        <f t="shared" si="6"/>
        <v>0.8064170660332034</v>
      </c>
    </row>
    <row r="50" spans="1:20">
      <c r="A50" s="10"/>
      <c r="B50" s="10">
        <f t="shared" si="7"/>
        <v>47</v>
      </c>
      <c r="C50" s="10">
        <f t="shared" si="0"/>
        <v>29</v>
      </c>
      <c r="D50" s="10">
        <v>32</v>
      </c>
      <c r="E50" s="10">
        <v>61</v>
      </c>
      <c r="F50" s="10">
        <f>TxSPLINE!F$5</f>
        <v>1.5935483870967744</v>
      </c>
      <c r="G50" s="10">
        <f>TxSPLINE!F$6</f>
        <v>1.143870967741935</v>
      </c>
      <c r="H50" s="11">
        <f>TxSPLINE!K$5</f>
        <v>2.3610459097300838E-2</v>
      </c>
      <c r="I50" s="11">
        <f>TxSPLINE!K$6</f>
        <v>-1.3175270810609617E-2</v>
      </c>
      <c r="J50" s="10">
        <f t="shared" si="1"/>
        <v>0.48275862068965519</v>
      </c>
      <c r="K50" s="10">
        <f t="shared" si="2"/>
        <v>0.51724137931034486</v>
      </c>
      <c r="L50" s="10">
        <f t="shared" si="3"/>
        <v>1</v>
      </c>
      <c r="M50" s="11">
        <f t="shared" si="4"/>
        <v>1.3609566184649609</v>
      </c>
      <c r="N50" s="11">
        <f>(Q50+Q414)/2</f>
        <v>0.80116040635782837</v>
      </c>
      <c r="O50" s="11">
        <f t="shared" si="8"/>
        <v>203.16593251761216</v>
      </c>
      <c r="P50" s="11">
        <f t="shared" si="9"/>
        <v>204.50476983570846</v>
      </c>
      <c r="Q50" s="11">
        <f t="shared" si="6"/>
        <v>0.83530751870292808</v>
      </c>
      <c r="R50" s="12">
        <f>(N55-N50)/5</f>
        <v>4.4396053620729868E-2</v>
      </c>
      <c r="T50" s="6">
        <f t="shared" ref="T50:T113" si="10">N50</f>
        <v>0.80116040635782837</v>
      </c>
    </row>
    <row r="51" spans="1:20">
      <c r="B51">
        <f t="shared" si="7"/>
        <v>48</v>
      </c>
      <c r="C51">
        <f t="shared" si="0"/>
        <v>29</v>
      </c>
      <c r="D51">
        <v>32</v>
      </c>
      <c r="E51">
        <v>61</v>
      </c>
      <c r="F51">
        <f>TxSPLINE!F$5</f>
        <v>1.5935483870967744</v>
      </c>
      <c r="G51">
        <f>TxSPLINE!F$6</f>
        <v>1.143870967741935</v>
      </c>
      <c r="H51" s="6">
        <f>TxSPLINE!K$5</f>
        <v>2.3610459097300838E-2</v>
      </c>
      <c r="I51" s="6">
        <f>TxSPLINE!K$6</f>
        <v>-1.3175270810609617E-2</v>
      </c>
      <c r="J51">
        <f t="shared" si="1"/>
        <v>0.44827586206896552</v>
      </c>
      <c r="K51">
        <f t="shared" si="2"/>
        <v>0.55172413793103448</v>
      </c>
      <c r="L51">
        <f t="shared" si="3"/>
        <v>2</v>
      </c>
      <c r="M51" s="13">
        <f t="shared" si="4"/>
        <v>1.3454505005561734</v>
      </c>
      <c r="N51" s="14">
        <f>N50+R$50</f>
        <v>0.84555645997855822</v>
      </c>
      <c r="O51" s="6">
        <f t="shared" si="8"/>
        <v>204.51138301816835</v>
      </c>
      <c r="P51" s="6">
        <f t="shared" si="9"/>
        <v>205.35032629568701</v>
      </c>
      <c r="Q51" s="6">
        <f t="shared" si="6"/>
        <v>0.86878132879344871</v>
      </c>
      <c r="T51" s="6">
        <f t="shared" si="10"/>
        <v>0.84555645997855822</v>
      </c>
    </row>
    <row r="52" spans="1:20">
      <c r="B52">
        <f t="shared" si="7"/>
        <v>49</v>
      </c>
      <c r="C52">
        <f t="shared" si="0"/>
        <v>29</v>
      </c>
      <c r="D52">
        <v>32</v>
      </c>
      <c r="E52">
        <v>61</v>
      </c>
      <c r="F52">
        <f>TxSPLINE!F$5</f>
        <v>1.5935483870967744</v>
      </c>
      <c r="G52">
        <f>TxSPLINE!F$6</f>
        <v>1.143870967741935</v>
      </c>
      <c r="H52" s="6">
        <f>TxSPLINE!K$5</f>
        <v>2.3610459097300838E-2</v>
      </c>
      <c r="I52" s="6">
        <f>TxSPLINE!K$6</f>
        <v>-1.3175270810609617E-2</v>
      </c>
      <c r="J52">
        <f t="shared" si="1"/>
        <v>0.41379310344827586</v>
      </c>
      <c r="K52">
        <f t="shared" si="2"/>
        <v>0.58620689655172409</v>
      </c>
      <c r="L52">
        <f t="shared" si="3"/>
        <v>3</v>
      </c>
      <c r="M52" s="13">
        <f t="shared" si="4"/>
        <v>1.3299443826473858</v>
      </c>
      <c r="N52" s="14">
        <f>N51+R$50</f>
        <v>0.88995251359928806</v>
      </c>
      <c r="O52" s="6">
        <f t="shared" si="8"/>
        <v>205.84132740081574</v>
      </c>
      <c r="P52" s="6">
        <f t="shared" si="9"/>
        <v>206.24027880928631</v>
      </c>
      <c r="Q52" s="6">
        <f t="shared" si="6"/>
        <v>0.90557002285966393</v>
      </c>
      <c r="T52" s="6">
        <f t="shared" si="10"/>
        <v>0.88995251359928806</v>
      </c>
    </row>
    <row r="53" spans="1:20">
      <c r="B53">
        <f t="shared" si="7"/>
        <v>50</v>
      </c>
      <c r="C53">
        <f t="shared" si="0"/>
        <v>29</v>
      </c>
      <c r="D53">
        <v>32</v>
      </c>
      <c r="E53">
        <v>61</v>
      </c>
      <c r="F53">
        <f>TxSPLINE!F$5</f>
        <v>1.5935483870967744</v>
      </c>
      <c r="G53">
        <f>TxSPLINE!F$6</f>
        <v>1.143870967741935</v>
      </c>
      <c r="H53" s="6">
        <f>TxSPLINE!K$5</f>
        <v>2.3610459097300838E-2</v>
      </c>
      <c r="I53" s="6">
        <f>TxSPLINE!K$6</f>
        <v>-1.3175270810609617E-2</v>
      </c>
      <c r="J53">
        <f t="shared" si="1"/>
        <v>0.37931034482758619</v>
      </c>
      <c r="K53">
        <f t="shared" si="2"/>
        <v>0.62068965517241381</v>
      </c>
      <c r="L53">
        <f t="shared" si="3"/>
        <v>4</v>
      </c>
      <c r="M53" s="13">
        <f t="shared" si="4"/>
        <v>1.3144382647385981</v>
      </c>
      <c r="N53" s="14">
        <f>N52+R$50</f>
        <v>0.93434856722001791</v>
      </c>
      <c r="O53" s="6">
        <f t="shared" si="8"/>
        <v>207.15576566555433</v>
      </c>
      <c r="P53" s="6">
        <f t="shared" si="9"/>
        <v>207.17462737650632</v>
      </c>
      <c r="Q53" s="6">
        <f t="shared" si="6"/>
        <v>0.9444051274564742</v>
      </c>
      <c r="T53" s="6">
        <f t="shared" si="10"/>
        <v>0.93434856722001791</v>
      </c>
    </row>
    <row r="54" spans="1:20">
      <c r="B54">
        <f t="shared" si="7"/>
        <v>51</v>
      </c>
      <c r="C54">
        <f t="shared" si="0"/>
        <v>29</v>
      </c>
      <c r="D54">
        <v>32</v>
      </c>
      <c r="E54">
        <v>61</v>
      </c>
      <c r="F54">
        <f>TxSPLINE!F$5</f>
        <v>1.5935483870967744</v>
      </c>
      <c r="G54">
        <f>TxSPLINE!F$6</f>
        <v>1.143870967741935</v>
      </c>
      <c r="H54" s="6">
        <f>TxSPLINE!K$5</f>
        <v>2.3610459097300838E-2</v>
      </c>
      <c r="I54" s="6">
        <f>TxSPLINE!K$6</f>
        <v>-1.3175270810609617E-2</v>
      </c>
      <c r="J54">
        <f t="shared" si="1"/>
        <v>0.34482758620689657</v>
      </c>
      <c r="K54">
        <f t="shared" si="2"/>
        <v>0.65517241379310343</v>
      </c>
      <c r="L54">
        <f t="shared" si="3"/>
        <v>5</v>
      </c>
      <c r="M54" s="13">
        <f t="shared" si="4"/>
        <v>1.2989321468298107</v>
      </c>
      <c r="N54" s="14">
        <f>N53+R$50</f>
        <v>0.97874462084074776</v>
      </c>
      <c r="O54" s="6">
        <f t="shared" si="8"/>
        <v>208.45469781238413</v>
      </c>
      <c r="P54" s="6">
        <f t="shared" si="9"/>
        <v>208.15337199734708</v>
      </c>
      <c r="Q54" s="6">
        <f t="shared" si="6"/>
        <v>0.98401816913877904</v>
      </c>
      <c r="T54" s="6">
        <f t="shared" si="10"/>
        <v>0.97874462084074776</v>
      </c>
    </row>
    <row r="55" spans="1:20">
      <c r="B55">
        <f t="shared" si="7"/>
        <v>52</v>
      </c>
      <c r="C55">
        <f t="shared" si="0"/>
        <v>29</v>
      </c>
      <c r="D55">
        <v>32</v>
      </c>
      <c r="E55">
        <v>61</v>
      </c>
      <c r="F55">
        <f>TxSPLINE!F$5</f>
        <v>1.5935483870967744</v>
      </c>
      <c r="G55">
        <f>TxSPLINE!F$6</f>
        <v>1.143870967741935</v>
      </c>
      <c r="H55" s="6">
        <f>TxSPLINE!K$5</f>
        <v>2.3610459097300838E-2</v>
      </c>
      <c r="I55" s="6">
        <f>TxSPLINE!K$6</f>
        <v>-1.3175270810609617E-2</v>
      </c>
      <c r="J55">
        <f t="shared" si="1"/>
        <v>0.31034482758620691</v>
      </c>
      <c r="K55">
        <f t="shared" si="2"/>
        <v>0.68965517241379315</v>
      </c>
      <c r="L55">
        <f t="shared" si="3"/>
        <v>6</v>
      </c>
      <c r="M55" s="13">
        <f t="shared" si="4"/>
        <v>1.2834260289210231</v>
      </c>
      <c r="N55" s="13">
        <f t="shared" ref="N55:N118" si="11">Q55</f>
        <v>1.0231406744614777</v>
      </c>
      <c r="O55" s="6">
        <f t="shared" si="8"/>
        <v>209.73812384130514</v>
      </c>
      <c r="P55" s="6">
        <f t="shared" si="9"/>
        <v>209.17651267180855</v>
      </c>
      <c r="Q55" s="6">
        <f t="shared" si="6"/>
        <v>1.0231406744614777</v>
      </c>
      <c r="T55" s="6">
        <f t="shared" si="10"/>
        <v>1.0231406744614777</v>
      </c>
    </row>
    <row r="56" spans="1:20">
      <c r="B56">
        <f t="shared" si="7"/>
        <v>53</v>
      </c>
      <c r="C56">
        <f t="shared" si="0"/>
        <v>29</v>
      </c>
      <c r="D56">
        <v>32</v>
      </c>
      <c r="E56">
        <v>61</v>
      </c>
      <c r="F56">
        <f>TxSPLINE!F$5</f>
        <v>1.5935483870967744</v>
      </c>
      <c r="G56">
        <f>TxSPLINE!F$6</f>
        <v>1.143870967741935</v>
      </c>
      <c r="H56" s="6">
        <f>TxSPLINE!K$5</f>
        <v>2.3610459097300838E-2</v>
      </c>
      <c r="I56" s="6">
        <f>TxSPLINE!K$6</f>
        <v>-1.3175270810609617E-2</v>
      </c>
      <c r="J56">
        <f t="shared" si="1"/>
        <v>0.27586206896551724</v>
      </c>
      <c r="K56">
        <f t="shared" si="2"/>
        <v>0.72413793103448276</v>
      </c>
      <c r="L56">
        <f t="shared" si="3"/>
        <v>7</v>
      </c>
      <c r="M56" s="13">
        <f t="shared" si="4"/>
        <v>1.2679199110122354</v>
      </c>
      <c r="N56" s="13">
        <f t="shared" si="11"/>
        <v>1.0605041699794699</v>
      </c>
      <c r="O56" s="6">
        <f t="shared" si="8"/>
        <v>211.00604375231737</v>
      </c>
      <c r="P56" s="6">
        <f t="shared" si="9"/>
        <v>210.23701684178803</v>
      </c>
      <c r="Q56" s="6">
        <f t="shared" si="6"/>
        <v>1.0605041699794699</v>
      </c>
      <c r="T56" s="6">
        <f t="shared" si="10"/>
        <v>1.0605041699794699</v>
      </c>
    </row>
    <row r="57" spans="1:20">
      <c r="B57">
        <f t="shared" si="7"/>
        <v>54</v>
      </c>
      <c r="C57">
        <f t="shared" si="0"/>
        <v>29</v>
      </c>
      <c r="D57">
        <v>32</v>
      </c>
      <c r="E57">
        <v>61</v>
      </c>
      <c r="F57">
        <f>TxSPLINE!F$5</f>
        <v>1.5935483870967744</v>
      </c>
      <c r="G57">
        <f>TxSPLINE!F$6</f>
        <v>1.143870967741935</v>
      </c>
      <c r="H57" s="6">
        <f>TxSPLINE!K$5</f>
        <v>2.3610459097300838E-2</v>
      </c>
      <c r="I57" s="6">
        <f>TxSPLINE!K$6</f>
        <v>-1.3175270810609617E-2</v>
      </c>
      <c r="J57">
        <f t="shared" si="1"/>
        <v>0.2413793103448276</v>
      </c>
      <c r="K57">
        <f t="shared" si="2"/>
        <v>0.75862068965517238</v>
      </c>
      <c r="L57">
        <f t="shared" si="3"/>
        <v>8</v>
      </c>
      <c r="M57" s="13">
        <f t="shared" si="4"/>
        <v>1.252413793103448</v>
      </c>
      <c r="N57" s="13">
        <f t="shared" si="11"/>
        <v>1.0948401822476554</v>
      </c>
      <c r="O57" s="6">
        <f t="shared" si="8"/>
        <v>212.25845754542081</v>
      </c>
      <c r="P57" s="6">
        <f t="shared" si="9"/>
        <v>211.33185702403568</v>
      </c>
      <c r="Q57" s="6">
        <f t="shared" si="6"/>
        <v>1.0948401822476554</v>
      </c>
      <c r="T57" s="6">
        <f t="shared" si="10"/>
        <v>1.0948401822476554</v>
      </c>
    </row>
    <row r="58" spans="1:20">
      <c r="B58">
        <f t="shared" si="7"/>
        <v>55</v>
      </c>
      <c r="C58">
        <f t="shared" si="0"/>
        <v>29</v>
      </c>
      <c r="D58">
        <v>32</v>
      </c>
      <c r="E58">
        <v>61</v>
      </c>
      <c r="F58">
        <f>TxSPLINE!F$5</f>
        <v>1.5935483870967744</v>
      </c>
      <c r="G58">
        <f>TxSPLINE!F$6</f>
        <v>1.143870967741935</v>
      </c>
      <c r="H58" s="6">
        <f>TxSPLINE!K$5</f>
        <v>2.3610459097300838E-2</v>
      </c>
      <c r="I58" s="6">
        <f>TxSPLINE!K$6</f>
        <v>-1.3175270810609617E-2</v>
      </c>
      <c r="J58">
        <f t="shared" si="1"/>
        <v>0.20689655172413793</v>
      </c>
      <c r="K58">
        <f t="shared" si="2"/>
        <v>0.7931034482758621</v>
      </c>
      <c r="L58">
        <f t="shared" si="3"/>
        <v>9</v>
      </c>
      <c r="M58" s="13">
        <f t="shared" si="4"/>
        <v>1.2369076751946604</v>
      </c>
      <c r="N58" s="13">
        <f t="shared" si="11"/>
        <v>1.1248802378209337</v>
      </c>
      <c r="O58" s="6">
        <f t="shared" si="8"/>
        <v>213.49536522061547</v>
      </c>
      <c r="P58" s="6">
        <f t="shared" si="9"/>
        <v>212.45673726185663</v>
      </c>
      <c r="Q58" s="6">
        <f t="shared" si="6"/>
        <v>1.1248802378209337</v>
      </c>
      <c r="T58" s="6">
        <f t="shared" si="10"/>
        <v>1.1248802378209337</v>
      </c>
    </row>
    <row r="59" spans="1:20">
      <c r="B59">
        <f t="shared" si="7"/>
        <v>56</v>
      </c>
      <c r="C59">
        <f t="shared" si="0"/>
        <v>29</v>
      </c>
      <c r="D59">
        <v>32</v>
      </c>
      <c r="E59">
        <v>61</v>
      </c>
      <c r="F59">
        <f>TxSPLINE!F$5</f>
        <v>1.5935483870967744</v>
      </c>
      <c r="G59">
        <f>TxSPLINE!F$6</f>
        <v>1.143870967741935</v>
      </c>
      <c r="H59" s="6">
        <f>TxSPLINE!K$5</f>
        <v>2.3610459097300838E-2</v>
      </c>
      <c r="I59" s="6">
        <f>TxSPLINE!K$6</f>
        <v>-1.3175270810609617E-2</v>
      </c>
      <c r="J59">
        <f t="shared" si="1"/>
        <v>0.17241379310344829</v>
      </c>
      <c r="K59">
        <f t="shared" si="2"/>
        <v>0.82758620689655171</v>
      </c>
      <c r="L59">
        <f t="shared" si="3"/>
        <v>10</v>
      </c>
      <c r="M59" s="13">
        <f t="shared" si="4"/>
        <v>1.2214015572858727</v>
      </c>
      <c r="N59" s="13">
        <f t="shared" si="11"/>
        <v>1.1493558632542045</v>
      </c>
      <c r="O59" s="6">
        <f t="shared" si="8"/>
        <v>214.71676677790134</v>
      </c>
      <c r="P59" s="6">
        <f t="shared" si="9"/>
        <v>213.60609312511085</v>
      </c>
      <c r="Q59" s="6">
        <f t="shared" si="6"/>
        <v>1.1493558632542045</v>
      </c>
      <c r="T59" s="6">
        <f t="shared" si="10"/>
        <v>1.1493558632542045</v>
      </c>
    </row>
    <row r="60" spans="1:20">
      <c r="B60">
        <f t="shared" si="7"/>
        <v>57</v>
      </c>
      <c r="C60">
        <f t="shared" si="0"/>
        <v>29</v>
      </c>
      <c r="D60">
        <v>32</v>
      </c>
      <c r="E60">
        <v>61</v>
      </c>
      <c r="F60">
        <f>TxSPLINE!F$5</f>
        <v>1.5935483870967744</v>
      </c>
      <c r="G60">
        <f>TxSPLINE!F$6</f>
        <v>1.143870967741935</v>
      </c>
      <c r="H60" s="6">
        <f>TxSPLINE!K$5</f>
        <v>2.3610459097300838E-2</v>
      </c>
      <c r="I60" s="6">
        <f>TxSPLINE!K$6</f>
        <v>-1.3175270810609617E-2</v>
      </c>
      <c r="J60">
        <f t="shared" si="1"/>
        <v>0.13793103448275862</v>
      </c>
      <c r="K60">
        <f t="shared" si="2"/>
        <v>0.86206896551724133</v>
      </c>
      <c r="L60">
        <f t="shared" si="3"/>
        <v>11</v>
      </c>
      <c r="M60" s="13">
        <f t="shared" si="4"/>
        <v>1.2058954393770851</v>
      </c>
      <c r="N60" s="13">
        <f t="shared" si="11"/>
        <v>1.1669985851023679</v>
      </c>
      <c r="O60" s="6">
        <f t="shared" si="8"/>
        <v>215.92266221727843</v>
      </c>
      <c r="P60" s="6">
        <f t="shared" si="9"/>
        <v>214.77309171021321</v>
      </c>
      <c r="Q60" s="6">
        <f t="shared" si="6"/>
        <v>1.1669985851023679</v>
      </c>
      <c r="T60" s="6">
        <f t="shared" si="10"/>
        <v>1.1669985851023679</v>
      </c>
    </row>
    <row r="61" spans="1:20">
      <c r="B61">
        <f t="shared" si="7"/>
        <v>58</v>
      </c>
      <c r="C61">
        <f t="shared" si="0"/>
        <v>29</v>
      </c>
      <c r="D61">
        <v>32</v>
      </c>
      <c r="E61">
        <v>61</v>
      </c>
      <c r="F61">
        <f>TxSPLINE!F$5</f>
        <v>1.5935483870967744</v>
      </c>
      <c r="G61">
        <f>TxSPLINE!F$6</f>
        <v>1.143870967741935</v>
      </c>
      <c r="H61" s="6">
        <f>TxSPLINE!K$5</f>
        <v>2.3610459097300838E-2</v>
      </c>
      <c r="I61" s="6">
        <f>TxSPLINE!K$6</f>
        <v>-1.3175270810609617E-2</v>
      </c>
      <c r="J61">
        <f t="shared" si="1"/>
        <v>0.10344827586206896</v>
      </c>
      <c r="K61">
        <f t="shared" si="2"/>
        <v>0.89655172413793105</v>
      </c>
      <c r="L61">
        <f t="shared" si="3"/>
        <v>12</v>
      </c>
      <c r="M61" s="13">
        <f t="shared" si="4"/>
        <v>1.1903893214682977</v>
      </c>
      <c r="N61" s="13">
        <f t="shared" si="11"/>
        <v>1.1765399299203225</v>
      </c>
      <c r="O61" s="6">
        <f t="shared" si="8"/>
        <v>217.11305153874673</v>
      </c>
      <c r="P61" s="6">
        <f t="shared" si="9"/>
        <v>215.94963164013353</v>
      </c>
      <c r="Q61" s="6">
        <f t="shared" si="6"/>
        <v>1.1765399299203225</v>
      </c>
      <c r="T61" s="6">
        <f t="shared" si="10"/>
        <v>1.1765399299203225</v>
      </c>
    </row>
    <row r="62" spans="1:20">
      <c r="B62">
        <f t="shared" si="7"/>
        <v>59</v>
      </c>
      <c r="C62">
        <f t="shared" si="0"/>
        <v>29</v>
      </c>
      <c r="D62">
        <v>32</v>
      </c>
      <c r="E62">
        <v>61</v>
      </c>
      <c r="F62">
        <f>TxSPLINE!F$5</f>
        <v>1.5935483870967744</v>
      </c>
      <c r="G62">
        <f>TxSPLINE!F$6</f>
        <v>1.143870967741935</v>
      </c>
      <c r="H62" s="6">
        <f>TxSPLINE!K$5</f>
        <v>2.3610459097300838E-2</v>
      </c>
      <c r="I62" s="6">
        <f>TxSPLINE!K$6</f>
        <v>-1.3175270810609617E-2</v>
      </c>
      <c r="J62">
        <f t="shared" si="1"/>
        <v>6.8965517241379309E-2</v>
      </c>
      <c r="K62">
        <f t="shared" si="2"/>
        <v>0.93103448275862066</v>
      </c>
      <c r="L62">
        <f t="shared" si="3"/>
        <v>13</v>
      </c>
      <c r="M62" s="13">
        <f t="shared" si="4"/>
        <v>1.1748832035595103</v>
      </c>
      <c r="N62" s="13">
        <f t="shared" si="11"/>
        <v>1.1767114242629695</v>
      </c>
      <c r="O62" s="6">
        <f t="shared" si="8"/>
        <v>218.28793474230625</v>
      </c>
      <c r="P62" s="6">
        <f t="shared" si="9"/>
        <v>217.12634306439651</v>
      </c>
      <c r="Q62" s="6">
        <f t="shared" si="6"/>
        <v>1.1767114242629695</v>
      </c>
      <c r="T62" s="6">
        <f t="shared" si="10"/>
        <v>1.1767114242629695</v>
      </c>
    </row>
    <row r="63" spans="1:20">
      <c r="B63">
        <f t="shared" si="7"/>
        <v>60</v>
      </c>
      <c r="C63">
        <f t="shared" si="0"/>
        <v>29</v>
      </c>
      <c r="D63">
        <v>32</v>
      </c>
      <c r="E63">
        <v>61</v>
      </c>
      <c r="F63">
        <f>TxSPLINE!F$5</f>
        <v>1.5935483870967744</v>
      </c>
      <c r="G63">
        <f>TxSPLINE!F$6</f>
        <v>1.143870967741935</v>
      </c>
      <c r="H63" s="6">
        <f>TxSPLINE!K$5</f>
        <v>2.3610459097300838E-2</v>
      </c>
      <c r="I63" s="6">
        <f>TxSPLINE!K$6</f>
        <v>-1.3175270810609617E-2</v>
      </c>
      <c r="J63">
        <f t="shared" si="1"/>
        <v>3.4482758620689655E-2</v>
      </c>
      <c r="K63">
        <f t="shared" si="2"/>
        <v>0.96551724137931039</v>
      </c>
      <c r="L63">
        <f t="shared" si="3"/>
        <v>14</v>
      </c>
      <c r="M63" s="13">
        <f t="shared" si="4"/>
        <v>1.1593770856507226</v>
      </c>
      <c r="N63" s="13">
        <f t="shared" si="11"/>
        <v>1.1662445946852065</v>
      </c>
      <c r="O63" s="6">
        <f t="shared" si="8"/>
        <v>219.44731182795698</v>
      </c>
      <c r="P63" s="6">
        <f t="shared" si="9"/>
        <v>218.2925876590817</v>
      </c>
      <c r="Q63" s="6">
        <f t="shared" si="6"/>
        <v>1.1662445946852065</v>
      </c>
      <c r="T63" s="6">
        <f t="shared" si="10"/>
        <v>1.1662445946852065</v>
      </c>
    </row>
    <row r="64" spans="1:20">
      <c r="A64">
        <v>61</v>
      </c>
      <c r="B64">
        <f t="shared" si="7"/>
        <v>61</v>
      </c>
      <c r="C64">
        <f t="shared" si="0"/>
        <v>29</v>
      </c>
      <c r="D64">
        <v>32</v>
      </c>
      <c r="E64">
        <v>61</v>
      </c>
      <c r="F64">
        <f>TxSPLINE!F$5</f>
        <v>1.5935483870967744</v>
      </c>
      <c r="G64">
        <f>TxSPLINE!F$6</f>
        <v>1.143870967741935</v>
      </c>
      <c r="H64" s="6">
        <f>TxSPLINE!K$5</f>
        <v>2.3610459097300838E-2</v>
      </c>
      <c r="I64" s="6">
        <f>TxSPLINE!K$6</f>
        <v>-1.3175270810609617E-2</v>
      </c>
      <c r="J64">
        <f t="shared" si="1"/>
        <v>0</v>
      </c>
      <c r="K64">
        <f t="shared" si="2"/>
        <v>1</v>
      </c>
      <c r="L64">
        <f t="shared" si="3"/>
        <v>15</v>
      </c>
      <c r="M64" s="13">
        <f t="shared" si="4"/>
        <v>1.143870967741935</v>
      </c>
      <c r="N64" s="13">
        <f t="shared" si="11"/>
        <v>1.143870967741935</v>
      </c>
      <c r="O64" s="6">
        <f t="shared" si="8"/>
        <v>220.59118279569893</v>
      </c>
      <c r="P64" s="6">
        <f t="shared" si="9"/>
        <v>219.43645862682365</v>
      </c>
      <c r="Q64" s="6">
        <f t="shared" si="6"/>
        <v>1.143870967741935</v>
      </c>
      <c r="T64" s="6">
        <f t="shared" si="10"/>
        <v>1.143870967741935</v>
      </c>
    </row>
    <row r="65" spans="2:20">
      <c r="B65">
        <f t="shared" si="7"/>
        <v>62</v>
      </c>
      <c r="C65">
        <f t="shared" si="0"/>
        <v>31</v>
      </c>
      <c r="D65">
        <v>61</v>
      </c>
      <c r="E65">
        <v>92</v>
      </c>
      <c r="F65">
        <f>TxSPLINE!F$6</f>
        <v>1.143870967741935</v>
      </c>
      <c r="G65">
        <f>TxSPLINE!F$7</f>
        <v>0.59482758620689602</v>
      </c>
      <c r="H65" s="6">
        <f>TxSPLINE!K$6</f>
        <v>-1.3175270810609617E-2</v>
      </c>
      <c r="I65" s="6">
        <f>TxSPLINE!K$7</f>
        <v>2.848707838586741E-2</v>
      </c>
      <c r="J65">
        <f t="shared" si="1"/>
        <v>0.967741935483871</v>
      </c>
      <c r="K65">
        <f t="shared" si="2"/>
        <v>3.2258064516129031E-2</v>
      </c>
      <c r="L65">
        <f t="shared" si="3"/>
        <v>16</v>
      </c>
      <c r="M65" s="6">
        <f t="shared" si="4"/>
        <v>1.1261598909182242</v>
      </c>
      <c r="N65" s="13">
        <f t="shared" si="11"/>
        <v>1.1087574733536161</v>
      </c>
      <c r="O65" s="6">
        <f t="shared" si="8"/>
        <v>221.71734268661714</v>
      </c>
      <c r="P65" s="6">
        <f t="shared" si="9"/>
        <v>220.54521610017727</v>
      </c>
      <c r="Q65" s="6">
        <f t="shared" si="6"/>
        <v>1.1087574733536161</v>
      </c>
      <c r="T65" s="6">
        <f t="shared" si="10"/>
        <v>1.1087574733536161</v>
      </c>
    </row>
    <row r="66" spans="2:20">
      <c r="B66">
        <f t="shared" si="7"/>
        <v>63</v>
      </c>
      <c r="C66">
        <f t="shared" si="0"/>
        <v>31</v>
      </c>
      <c r="D66">
        <v>61</v>
      </c>
      <c r="E66">
        <v>92</v>
      </c>
      <c r="F66">
        <f>TxSPLINE!F$6</f>
        <v>1.143870967741935</v>
      </c>
      <c r="G66">
        <f>TxSPLINE!F$7</f>
        <v>0.59482758620689602</v>
      </c>
      <c r="H66" s="6">
        <f>TxSPLINE!K$6</f>
        <v>-1.3175270810609617E-2</v>
      </c>
      <c r="I66" s="6">
        <f>TxSPLINE!K$7</f>
        <v>2.848707838586741E-2</v>
      </c>
      <c r="J66">
        <f t="shared" si="1"/>
        <v>0.93548387096774188</v>
      </c>
      <c r="K66">
        <f t="shared" si="2"/>
        <v>6.4516129032258063E-2</v>
      </c>
      <c r="L66">
        <f t="shared" si="3"/>
        <v>17</v>
      </c>
      <c r="M66" s="6">
        <f t="shared" si="4"/>
        <v>1.1084488140945132</v>
      </c>
      <c r="N66" s="13">
        <f t="shared" si="11"/>
        <v>1.0618126549029612</v>
      </c>
      <c r="O66" s="6">
        <f t="shared" si="8"/>
        <v>222.82579150071166</v>
      </c>
      <c r="P66" s="6">
        <f t="shared" si="9"/>
        <v>221.60702875508022</v>
      </c>
      <c r="Q66" s="6">
        <f t="shared" si="6"/>
        <v>1.0618126549029612</v>
      </c>
      <c r="T66" s="6">
        <f t="shared" si="10"/>
        <v>1.0618126549029612</v>
      </c>
    </row>
    <row r="67" spans="2:20">
      <c r="B67">
        <f t="shared" si="7"/>
        <v>64</v>
      </c>
      <c r="C67">
        <f t="shared" si="0"/>
        <v>31</v>
      </c>
      <c r="D67">
        <v>61</v>
      </c>
      <c r="E67">
        <v>92</v>
      </c>
      <c r="F67">
        <f>TxSPLINE!F$6</f>
        <v>1.143870967741935</v>
      </c>
      <c r="G67">
        <f>TxSPLINE!F$7</f>
        <v>0.59482758620689602</v>
      </c>
      <c r="H67" s="6">
        <f>TxSPLINE!K$6</f>
        <v>-1.3175270810609617E-2</v>
      </c>
      <c r="I67" s="6">
        <f>TxSPLINE!K$7</f>
        <v>2.848707838586741E-2</v>
      </c>
      <c r="J67">
        <f t="shared" si="1"/>
        <v>0.90322580645161288</v>
      </c>
      <c r="K67">
        <f t="shared" si="2"/>
        <v>9.6774193548387094E-2</v>
      </c>
      <c r="L67">
        <f t="shared" si="3"/>
        <v>18</v>
      </c>
      <c r="M67" s="6">
        <f t="shared" si="4"/>
        <v>1.090737737270802</v>
      </c>
      <c r="N67" s="13">
        <f t="shared" si="11"/>
        <v>1.0043804591382428</v>
      </c>
      <c r="O67" s="6">
        <f t="shared" si="8"/>
        <v>223.91652923798247</v>
      </c>
      <c r="P67" s="6">
        <f t="shared" si="9"/>
        <v>222.61140921421847</v>
      </c>
      <c r="Q67" s="6">
        <f t="shared" si="6"/>
        <v>1.0043804591382428</v>
      </c>
      <c r="T67" s="6">
        <f t="shared" si="10"/>
        <v>1.0043804591382428</v>
      </c>
    </row>
    <row r="68" spans="2:20">
      <c r="B68">
        <f t="shared" si="7"/>
        <v>65</v>
      </c>
      <c r="C68">
        <f t="shared" ref="C68:C131" si="12">E68-D68</f>
        <v>31</v>
      </c>
      <c r="D68">
        <v>61</v>
      </c>
      <c r="E68">
        <v>92</v>
      </c>
      <c r="F68">
        <f>TxSPLINE!F$6</f>
        <v>1.143870967741935</v>
      </c>
      <c r="G68">
        <f>TxSPLINE!F$7</f>
        <v>0.59482758620689602</v>
      </c>
      <c r="H68" s="6">
        <f>TxSPLINE!K$6</f>
        <v>-1.3175270810609617E-2</v>
      </c>
      <c r="I68" s="6">
        <f>TxSPLINE!K$7</f>
        <v>2.848707838586741E-2</v>
      </c>
      <c r="J68">
        <f t="shared" ref="J68:J131" si="13">(E68-B68)/C68</f>
        <v>0.87096774193548387</v>
      </c>
      <c r="K68">
        <f t="shared" ref="K68:K131" si="14">(B68-D68)/C68</f>
        <v>0.12903225806451613</v>
      </c>
      <c r="L68">
        <f t="shared" ref="L68:L131" si="15">B68-46</f>
        <v>19</v>
      </c>
      <c r="M68" s="6">
        <f t="shared" ref="M68:M131" si="16">J68*F68+K68*G68</f>
        <v>1.0730266604470913</v>
      </c>
      <c r="N68" s="13">
        <f t="shared" si="11"/>
        <v>0.93780483280773563</v>
      </c>
      <c r="O68" s="6">
        <f t="shared" si="8"/>
        <v>224.98955589842956</v>
      </c>
      <c r="P68" s="6">
        <f t="shared" si="9"/>
        <v>223.5492140470262</v>
      </c>
      <c r="Q68" s="6">
        <f t="shared" ref="Q68:Q131" si="17">M68+(((J68^3-J68)*H68+(K68^3-K68)*I68))*(C68^2)/6</f>
        <v>0.93780483280773563</v>
      </c>
      <c r="T68" s="6">
        <f t="shared" si="10"/>
        <v>0.93780483280773563</v>
      </c>
    </row>
    <row r="69" spans="2:20">
      <c r="B69">
        <f t="shared" ref="B69:B132" si="18">B68+1</f>
        <v>66</v>
      </c>
      <c r="C69">
        <f t="shared" si="12"/>
        <v>31</v>
      </c>
      <c r="D69">
        <v>61</v>
      </c>
      <c r="E69">
        <v>92</v>
      </c>
      <c r="F69">
        <f>TxSPLINE!F$6</f>
        <v>1.143870967741935</v>
      </c>
      <c r="G69">
        <f>TxSPLINE!F$7</f>
        <v>0.59482758620689602</v>
      </c>
      <c r="H69" s="6">
        <f>TxSPLINE!K$6</f>
        <v>-1.3175270810609617E-2</v>
      </c>
      <c r="I69" s="6">
        <f>TxSPLINE!K$7</f>
        <v>2.848707838586741E-2</v>
      </c>
      <c r="J69">
        <f t="shared" si="13"/>
        <v>0.83870967741935487</v>
      </c>
      <c r="K69">
        <f t="shared" si="14"/>
        <v>0.16129032258064516</v>
      </c>
      <c r="L69">
        <f t="shared" si="15"/>
        <v>20</v>
      </c>
      <c r="M69" s="6">
        <f t="shared" si="16"/>
        <v>1.0553155836233803</v>
      </c>
      <c r="N69" s="13">
        <f t="shared" si="11"/>
        <v>0.86342972265971241</v>
      </c>
      <c r="O69" s="6">
        <f t="shared" ref="O69:O132" si="19">O68+M69</f>
        <v>226.04487148205294</v>
      </c>
      <c r="P69" s="6">
        <f t="shared" ref="P69:P132" si="20">P68+N69</f>
        <v>224.4126437696859</v>
      </c>
      <c r="Q69" s="6">
        <f t="shared" si="17"/>
        <v>0.86342972265971241</v>
      </c>
      <c r="T69" s="6">
        <f t="shared" si="10"/>
        <v>0.86342972265971241</v>
      </c>
    </row>
    <row r="70" spans="2:20">
      <c r="B70">
        <f t="shared" si="18"/>
        <v>67</v>
      </c>
      <c r="C70">
        <f t="shared" si="12"/>
        <v>31</v>
      </c>
      <c r="D70">
        <v>61</v>
      </c>
      <c r="E70">
        <v>92</v>
      </c>
      <c r="F70">
        <f>TxSPLINE!F$6</f>
        <v>1.143870967741935</v>
      </c>
      <c r="G70">
        <f>TxSPLINE!F$7</f>
        <v>0.59482758620689602</v>
      </c>
      <c r="H70" s="6">
        <f>TxSPLINE!K$6</f>
        <v>-1.3175270810609617E-2</v>
      </c>
      <c r="I70" s="6">
        <f>TxSPLINE!K$7</f>
        <v>2.848707838586741E-2</v>
      </c>
      <c r="J70">
        <f t="shared" si="13"/>
        <v>0.80645161290322576</v>
      </c>
      <c r="K70">
        <f t="shared" si="14"/>
        <v>0.19354838709677419</v>
      </c>
      <c r="L70">
        <f t="shared" si="15"/>
        <v>21</v>
      </c>
      <c r="M70" s="6">
        <f t="shared" si="16"/>
        <v>1.0376045067996693</v>
      </c>
      <c r="N70" s="13">
        <f t="shared" si="11"/>
        <v>0.78259907544244722</v>
      </c>
      <c r="O70" s="6">
        <f t="shared" si="19"/>
        <v>227.08247598885262</v>
      </c>
      <c r="P70" s="6">
        <f t="shared" si="20"/>
        <v>225.19524284512835</v>
      </c>
      <c r="Q70" s="6">
        <f t="shared" si="17"/>
        <v>0.78259907544244722</v>
      </c>
      <c r="T70" s="6">
        <f t="shared" si="10"/>
        <v>0.78259907544244722</v>
      </c>
    </row>
    <row r="71" spans="2:20">
      <c r="B71">
        <f t="shared" si="18"/>
        <v>68</v>
      </c>
      <c r="C71">
        <f t="shared" si="12"/>
        <v>31</v>
      </c>
      <c r="D71">
        <v>61</v>
      </c>
      <c r="E71">
        <v>92</v>
      </c>
      <c r="F71">
        <f>TxSPLINE!F$6</f>
        <v>1.143870967741935</v>
      </c>
      <c r="G71">
        <f>TxSPLINE!F$7</f>
        <v>0.59482758620689602</v>
      </c>
      <c r="H71" s="6">
        <f>TxSPLINE!K$6</f>
        <v>-1.3175270810609617E-2</v>
      </c>
      <c r="I71" s="6">
        <f>TxSPLINE!K$7</f>
        <v>2.848707838586741E-2</v>
      </c>
      <c r="J71">
        <f t="shared" si="13"/>
        <v>0.77419354838709675</v>
      </c>
      <c r="K71">
        <f t="shared" si="14"/>
        <v>0.22580645161290322</v>
      </c>
      <c r="L71">
        <f t="shared" si="15"/>
        <v>22</v>
      </c>
      <c r="M71" s="6">
        <f t="shared" si="16"/>
        <v>1.0198934299759583</v>
      </c>
      <c r="N71" s="13">
        <f t="shared" si="11"/>
        <v>0.69665683790421284</v>
      </c>
      <c r="O71" s="6">
        <f t="shared" si="19"/>
        <v>228.10236941882857</v>
      </c>
      <c r="P71" s="6">
        <f t="shared" si="20"/>
        <v>225.89189968303256</v>
      </c>
      <c r="Q71" s="6">
        <f t="shared" si="17"/>
        <v>0.69665683790421284</v>
      </c>
      <c r="T71" s="6">
        <f t="shared" si="10"/>
        <v>0.69665683790421284</v>
      </c>
    </row>
    <row r="72" spans="2:20">
      <c r="B72">
        <f t="shared" si="18"/>
        <v>69</v>
      </c>
      <c r="C72">
        <f t="shared" si="12"/>
        <v>31</v>
      </c>
      <c r="D72">
        <v>61</v>
      </c>
      <c r="E72">
        <v>92</v>
      </c>
      <c r="F72">
        <f>TxSPLINE!F$6</f>
        <v>1.143870967741935</v>
      </c>
      <c r="G72">
        <f>TxSPLINE!F$7</f>
        <v>0.59482758620689602</v>
      </c>
      <c r="H72" s="6">
        <f>TxSPLINE!K$6</f>
        <v>-1.3175270810609617E-2</v>
      </c>
      <c r="I72" s="6">
        <f>TxSPLINE!K$7</f>
        <v>2.848707838586741E-2</v>
      </c>
      <c r="J72">
        <f t="shared" si="13"/>
        <v>0.74193548387096775</v>
      </c>
      <c r="K72">
        <f t="shared" si="14"/>
        <v>0.25806451612903225</v>
      </c>
      <c r="L72">
        <f t="shared" si="15"/>
        <v>23</v>
      </c>
      <c r="M72" s="6">
        <f t="shared" si="16"/>
        <v>1.0021823531522474</v>
      </c>
      <c r="N72" s="13">
        <f t="shared" si="11"/>
        <v>0.60694695679328281</v>
      </c>
      <c r="O72" s="6">
        <f t="shared" si="19"/>
        <v>229.10455177198082</v>
      </c>
      <c r="P72" s="6">
        <f t="shared" si="20"/>
        <v>226.49884663982584</v>
      </c>
      <c r="Q72" s="6">
        <f t="shared" si="17"/>
        <v>0.60694695679328281</v>
      </c>
      <c r="T72" s="6">
        <f t="shared" si="10"/>
        <v>0.60694695679328281</v>
      </c>
    </row>
    <row r="73" spans="2:20">
      <c r="B73">
        <f t="shared" si="18"/>
        <v>70</v>
      </c>
      <c r="C73">
        <f t="shared" si="12"/>
        <v>31</v>
      </c>
      <c r="D73">
        <v>61</v>
      </c>
      <c r="E73">
        <v>92</v>
      </c>
      <c r="F73">
        <f>TxSPLINE!F$6</f>
        <v>1.143870967741935</v>
      </c>
      <c r="G73">
        <f>TxSPLINE!F$7</f>
        <v>0.59482758620689602</v>
      </c>
      <c r="H73" s="6">
        <f>TxSPLINE!K$6</f>
        <v>-1.3175270810609617E-2</v>
      </c>
      <c r="I73" s="6">
        <f>TxSPLINE!K$7</f>
        <v>2.848707838586741E-2</v>
      </c>
      <c r="J73">
        <f t="shared" si="13"/>
        <v>0.70967741935483875</v>
      </c>
      <c r="K73">
        <f t="shared" si="14"/>
        <v>0.29032258064516131</v>
      </c>
      <c r="L73">
        <f t="shared" si="15"/>
        <v>24</v>
      </c>
      <c r="M73" s="6">
        <f t="shared" si="16"/>
        <v>0.98447127632853659</v>
      </c>
      <c r="N73" s="13">
        <f t="shared" si="11"/>
        <v>0.51481337885793099</v>
      </c>
      <c r="O73" s="6">
        <f t="shared" si="19"/>
        <v>230.08902304830937</v>
      </c>
      <c r="P73" s="6">
        <f t="shared" si="20"/>
        <v>227.01366001868377</v>
      </c>
      <c r="Q73" s="6">
        <f t="shared" si="17"/>
        <v>0.51481337885793099</v>
      </c>
      <c r="T73" s="6">
        <f t="shared" si="10"/>
        <v>0.51481337885793099</v>
      </c>
    </row>
    <row r="74" spans="2:20">
      <c r="B74">
        <f t="shared" si="18"/>
        <v>71</v>
      </c>
      <c r="C74">
        <f t="shared" si="12"/>
        <v>31</v>
      </c>
      <c r="D74">
        <v>61</v>
      </c>
      <c r="E74">
        <v>92</v>
      </c>
      <c r="F74">
        <f>TxSPLINE!F$6</f>
        <v>1.143870967741935</v>
      </c>
      <c r="G74">
        <f>TxSPLINE!F$7</f>
        <v>0.59482758620689602</v>
      </c>
      <c r="H74" s="6">
        <f>TxSPLINE!K$6</f>
        <v>-1.3175270810609617E-2</v>
      </c>
      <c r="I74" s="6">
        <f>TxSPLINE!K$7</f>
        <v>2.848707838586741E-2</v>
      </c>
      <c r="J74">
        <f t="shared" si="13"/>
        <v>0.67741935483870963</v>
      </c>
      <c r="K74">
        <f t="shared" si="14"/>
        <v>0.32258064516129031</v>
      </c>
      <c r="L74">
        <f t="shared" si="15"/>
        <v>25</v>
      </c>
      <c r="M74" s="6">
        <f t="shared" si="16"/>
        <v>0.96676019950482561</v>
      </c>
      <c r="N74" s="13">
        <f t="shared" si="11"/>
        <v>0.42160005084643126</v>
      </c>
      <c r="O74" s="6">
        <f t="shared" si="19"/>
        <v>231.05578324781419</v>
      </c>
      <c r="P74" s="6">
        <f t="shared" si="20"/>
        <v>227.43526006953019</v>
      </c>
      <c r="Q74" s="6">
        <f t="shared" si="17"/>
        <v>0.42160005084643126</v>
      </c>
      <c r="T74" s="6">
        <f t="shared" si="10"/>
        <v>0.42160005084643126</v>
      </c>
    </row>
    <row r="75" spans="2:20">
      <c r="B75">
        <f t="shared" si="18"/>
        <v>72</v>
      </c>
      <c r="C75">
        <f t="shared" si="12"/>
        <v>31</v>
      </c>
      <c r="D75">
        <v>61</v>
      </c>
      <c r="E75">
        <v>92</v>
      </c>
      <c r="F75">
        <f>TxSPLINE!F$6</f>
        <v>1.143870967741935</v>
      </c>
      <c r="G75">
        <f>TxSPLINE!F$7</f>
        <v>0.59482758620689602</v>
      </c>
      <c r="H75" s="6">
        <f>TxSPLINE!K$6</f>
        <v>-1.3175270810609617E-2</v>
      </c>
      <c r="I75" s="6">
        <f>TxSPLINE!K$7</f>
        <v>2.848707838586741E-2</v>
      </c>
      <c r="J75">
        <f t="shared" si="13"/>
        <v>0.64516129032258063</v>
      </c>
      <c r="K75">
        <f t="shared" si="14"/>
        <v>0.35483870967741937</v>
      </c>
      <c r="L75">
        <f t="shared" si="15"/>
        <v>26</v>
      </c>
      <c r="M75" s="6">
        <f t="shared" si="16"/>
        <v>0.94904912268111474</v>
      </c>
      <c r="N75" s="13">
        <f t="shared" si="11"/>
        <v>0.32865091950705594</v>
      </c>
      <c r="O75" s="6">
        <f t="shared" si="19"/>
        <v>232.00483237049531</v>
      </c>
      <c r="P75" s="6">
        <f t="shared" si="20"/>
        <v>227.76391098903724</v>
      </c>
      <c r="Q75" s="6">
        <f t="shared" si="17"/>
        <v>0.32865091950705594</v>
      </c>
      <c r="T75" s="6">
        <f t="shared" si="10"/>
        <v>0.32865091950705594</v>
      </c>
    </row>
    <row r="76" spans="2:20">
      <c r="B76">
        <f t="shared" si="18"/>
        <v>73</v>
      </c>
      <c r="C76">
        <f t="shared" si="12"/>
        <v>31</v>
      </c>
      <c r="D76">
        <v>61</v>
      </c>
      <c r="E76">
        <v>92</v>
      </c>
      <c r="F76">
        <f>TxSPLINE!F$6</f>
        <v>1.143870967741935</v>
      </c>
      <c r="G76">
        <f>TxSPLINE!F$7</f>
        <v>0.59482758620689602</v>
      </c>
      <c r="H76" s="6">
        <f>TxSPLINE!K$6</f>
        <v>-1.3175270810609617E-2</v>
      </c>
      <c r="I76" s="6">
        <f>TxSPLINE!K$7</f>
        <v>2.848707838586741E-2</v>
      </c>
      <c r="J76">
        <f t="shared" si="13"/>
        <v>0.61290322580645162</v>
      </c>
      <c r="K76">
        <f t="shared" si="14"/>
        <v>0.38709677419354838</v>
      </c>
      <c r="L76">
        <f t="shared" si="15"/>
        <v>27</v>
      </c>
      <c r="M76" s="6">
        <f t="shared" si="16"/>
        <v>0.93133804585740376</v>
      </c>
      <c r="N76" s="13">
        <f t="shared" si="11"/>
        <v>0.23730993158807878</v>
      </c>
      <c r="O76" s="6">
        <f t="shared" si="19"/>
        <v>232.93617041635272</v>
      </c>
      <c r="P76" s="6">
        <f t="shared" si="20"/>
        <v>228.00122092062531</v>
      </c>
      <c r="Q76" s="6">
        <f t="shared" si="17"/>
        <v>0.23730993158807878</v>
      </c>
      <c r="T76" s="6">
        <f t="shared" si="10"/>
        <v>0.23730993158807878</v>
      </c>
    </row>
    <row r="77" spans="2:20">
      <c r="B77">
        <f t="shared" si="18"/>
        <v>74</v>
      </c>
      <c r="C77">
        <f t="shared" si="12"/>
        <v>31</v>
      </c>
      <c r="D77">
        <v>61</v>
      </c>
      <c r="E77">
        <v>92</v>
      </c>
      <c r="F77">
        <f>TxSPLINE!F$6</f>
        <v>1.143870967741935</v>
      </c>
      <c r="G77">
        <f>TxSPLINE!F$7</f>
        <v>0.59482758620689602</v>
      </c>
      <c r="H77" s="6">
        <f>TxSPLINE!K$6</f>
        <v>-1.3175270810609617E-2</v>
      </c>
      <c r="I77" s="6">
        <f>TxSPLINE!K$7</f>
        <v>2.848707838586741E-2</v>
      </c>
      <c r="J77">
        <f t="shared" si="13"/>
        <v>0.58064516129032262</v>
      </c>
      <c r="K77">
        <f t="shared" si="14"/>
        <v>0.41935483870967744</v>
      </c>
      <c r="L77">
        <f t="shared" si="15"/>
        <v>28</v>
      </c>
      <c r="M77" s="6">
        <f t="shared" si="16"/>
        <v>0.91362696903369289</v>
      </c>
      <c r="N77" s="13">
        <f t="shared" si="11"/>
        <v>0.14892103383777344</v>
      </c>
      <c r="O77" s="6">
        <f t="shared" si="19"/>
        <v>233.84979738538641</v>
      </c>
      <c r="P77" s="6">
        <f t="shared" si="20"/>
        <v>228.15014195446309</v>
      </c>
      <c r="Q77" s="6">
        <f t="shared" si="17"/>
        <v>0.14892103383777344</v>
      </c>
      <c r="T77" s="6">
        <f t="shared" si="10"/>
        <v>0.14892103383777344</v>
      </c>
    </row>
    <row r="78" spans="2:20">
      <c r="B78">
        <f t="shared" si="18"/>
        <v>75</v>
      </c>
      <c r="C78">
        <f t="shared" si="12"/>
        <v>31</v>
      </c>
      <c r="D78">
        <v>61</v>
      </c>
      <c r="E78">
        <v>92</v>
      </c>
      <c r="F78">
        <f>TxSPLINE!F$6</f>
        <v>1.143870967741935</v>
      </c>
      <c r="G78">
        <f>TxSPLINE!F$7</f>
        <v>0.59482758620689602</v>
      </c>
      <c r="H78" s="6">
        <f>TxSPLINE!K$6</f>
        <v>-1.3175270810609617E-2</v>
      </c>
      <c r="I78" s="6">
        <f>TxSPLINE!K$7</f>
        <v>2.848707838586741E-2</v>
      </c>
      <c r="J78">
        <f t="shared" si="13"/>
        <v>0.54838709677419351</v>
      </c>
      <c r="K78">
        <f t="shared" si="14"/>
        <v>0.45161290322580644</v>
      </c>
      <c r="L78">
        <f t="shared" si="15"/>
        <v>29</v>
      </c>
      <c r="M78" s="6">
        <f t="shared" si="16"/>
        <v>0.8959158922099818</v>
      </c>
      <c r="N78" s="13">
        <f t="shared" si="11"/>
        <v>6.4828173004413681E-2</v>
      </c>
      <c r="O78" s="6">
        <f t="shared" si="19"/>
        <v>234.74571327759639</v>
      </c>
      <c r="P78" s="6">
        <f t="shared" si="20"/>
        <v>228.2149701274675</v>
      </c>
      <c r="Q78" s="6">
        <f t="shared" si="17"/>
        <v>6.4828173004413681E-2</v>
      </c>
      <c r="T78" s="6">
        <f t="shared" si="10"/>
        <v>6.4828173004413681E-2</v>
      </c>
    </row>
    <row r="79" spans="2:20">
      <c r="B79">
        <f t="shared" si="18"/>
        <v>76</v>
      </c>
      <c r="C79">
        <f t="shared" si="12"/>
        <v>31</v>
      </c>
      <c r="D79">
        <v>61</v>
      </c>
      <c r="E79">
        <v>92</v>
      </c>
      <c r="F79">
        <f>TxSPLINE!F$6</f>
        <v>1.143870967741935</v>
      </c>
      <c r="G79">
        <f>TxSPLINE!F$7</f>
        <v>0.59482758620689602</v>
      </c>
      <c r="H79" s="6">
        <f>TxSPLINE!K$6</f>
        <v>-1.3175270810609617E-2</v>
      </c>
      <c r="I79" s="6">
        <f>TxSPLINE!K$7</f>
        <v>2.848707838586741E-2</v>
      </c>
      <c r="J79">
        <f t="shared" si="13"/>
        <v>0.5161290322580645</v>
      </c>
      <c r="K79">
        <f t="shared" si="14"/>
        <v>0.4838709677419355</v>
      </c>
      <c r="L79">
        <f t="shared" si="15"/>
        <v>30</v>
      </c>
      <c r="M79" s="6">
        <f t="shared" si="16"/>
        <v>0.87820481538627093</v>
      </c>
      <c r="N79" s="13">
        <f t="shared" si="11"/>
        <v>-1.3624704163727519E-2</v>
      </c>
      <c r="O79" s="6">
        <f t="shared" si="19"/>
        <v>235.62391809298268</v>
      </c>
      <c r="P79" s="6">
        <f t="shared" si="20"/>
        <v>228.20134542330376</v>
      </c>
      <c r="Q79" s="6">
        <f t="shared" si="17"/>
        <v>-1.3624704163727519E-2</v>
      </c>
      <c r="T79" s="6">
        <f t="shared" si="10"/>
        <v>-1.3624704163727519E-2</v>
      </c>
    </row>
    <row r="80" spans="2:20">
      <c r="B80">
        <f t="shared" si="18"/>
        <v>77</v>
      </c>
      <c r="C80">
        <f t="shared" si="12"/>
        <v>31</v>
      </c>
      <c r="D80">
        <v>61</v>
      </c>
      <c r="E80">
        <v>92</v>
      </c>
      <c r="F80">
        <f>TxSPLINE!F$6</f>
        <v>1.143870967741935</v>
      </c>
      <c r="G80">
        <f>TxSPLINE!F$7</f>
        <v>0.59482758620689602</v>
      </c>
      <c r="H80" s="6">
        <f>TxSPLINE!K$6</f>
        <v>-1.3175270810609617E-2</v>
      </c>
      <c r="I80" s="6">
        <f>TxSPLINE!K$7</f>
        <v>2.848707838586741E-2</v>
      </c>
      <c r="J80">
        <f t="shared" si="13"/>
        <v>0.4838709677419355</v>
      </c>
      <c r="K80">
        <f t="shared" si="14"/>
        <v>0.5161290322580645</v>
      </c>
      <c r="L80">
        <f t="shared" si="15"/>
        <v>31</v>
      </c>
      <c r="M80" s="6">
        <f t="shared" si="16"/>
        <v>0.86049373856256006</v>
      </c>
      <c r="N80" s="13">
        <f t="shared" si="11"/>
        <v>-8.5093650918376618E-2</v>
      </c>
      <c r="O80" s="6">
        <f t="shared" si="19"/>
        <v>236.48441183154523</v>
      </c>
      <c r="P80" s="6">
        <f t="shared" si="20"/>
        <v>228.1162517723854</v>
      </c>
      <c r="Q80" s="6">
        <f t="shared" si="17"/>
        <v>-8.5093650918376618E-2</v>
      </c>
      <c r="T80" s="6">
        <f t="shared" si="10"/>
        <v>-8.5093650918376618E-2</v>
      </c>
    </row>
    <row r="81" spans="1:20">
      <c r="B81">
        <f t="shared" si="18"/>
        <v>78</v>
      </c>
      <c r="C81">
        <f t="shared" si="12"/>
        <v>31</v>
      </c>
      <c r="D81">
        <v>61</v>
      </c>
      <c r="E81">
        <v>92</v>
      </c>
      <c r="F81">
        <f>TxSPLINE!F$6</f>
        <v>1.143870967741935</v>
      </c>
      <c r="G81">
        <f>TxSPLINE!F$7</f>
        <v>0.59482758620689602</v>
      </c>
      <c r="H81" s="6">
        <f>TxSPLINE!K$6</f>
        <v>-1.3175270810609617E-2</v>
      </c>
      <c r="I81" s="6">
        <f>TxSPLINE!K$7</f>
        <v>2.848707838586741E-2</v>
      </c>
      <c r="J81">
        <f t="shared" si="13"/>
        <v>0.45161290322580644</v>
      </c>
      <c r="K81">
        <f t="shared" si="14"/>
        <v>0.54838709677419351</v>
      </c>
      <c r="L81">
        <f t="shared" si="15"/>
        <v>32</v>
      </c>
      <c r="M81" s="6">
        <f t="shared" si="16"/>
        <v>0.84278266173884897</v>
      </c>
      <c r="N81" s="13">
        <f t="shared" si="11"/>
        <v>-0.14823472051126008</v>
      </c>
      <c r="O81" s="6">
        <f t="shared" si="19"/>
        <v>237.32719449328408</v>
      </c>
      <c r="P81" s="6">
        <f t="shared" si="20"/>
        <v>227.96801705187414</v>
      </c>
      <c r="Q81" s="6">
        <f t="shared" si="17"/>
        <v>-0.14823472051126008</v>
      </c>
      <c r="T81" s="6">
        <f t="shared" si="10"/>
        <v>-0.14823472051126008</v>
      </c>
    </row>
    <row r="82" spans="1:20">
      <c r="B82">
        <f t="shared" si="18"/>
        <v>79</v>
      </c>
      <c r="C82">
        <f t="shared" si="12"/>
        <v>31</v>
      </c>
      <c r="D82">
        <v>61</v>
      </c>
      <c r="E82">
        <v>92</v>
      </c>
      <c r="F82">
        <f>TxSPLINE!F$6</f>
        <v>1.143870967741935</v>
      </c>
      <c r="G82">
        <f>TxSPLINE!F$7</f>
        <v>0.59482758620689602</v>
      </c>
      <c r="H82" s="6">
        <f>TxSPLINE!K$6</f>
        <v>-1.3175270810609617E-2</v>
      </c>
      <c r="I82" s="6">
        <f>TxSPLINE!K$7</f>
        <v>2.848707838586741E-2</v>
      </c>
      <c r="J82">
        <f t="shared" si="13"/>
        <v>0.41935483870967744</v>
      </c>
      <c r="K82">
        <f t="shared" si="14"/>
        <v>0.58064516129032262</v>
      </c>
      <c r="L82">
        <f t="shared" si="15"/>
        <v>33</v>
      </c>
      <c r="M82" s="6">
        <f t="shared" si="16"/>
        <v>0.82507158491513821</v>
      </c>
      <c r="N82" s="13">
        <f t="shared" si="11"/>
        <v>-0.20170396619410402</v>
      </c>
      <c r="O82" s="6">
        <f t="shared" si="19"/>
        <v>238.15226607819923</v>
      </c>
      <c r="P82" s="6">
        <f t="shared" si="20"/>
        <v>227.76631308568003</v>
      </c>
      <c r="Q82" s="6">
        <f t="shared" si="17"/>
        <v>-0.20170396619410402</v>
      </c>
      <c r="T82" s="6">
        <f t="shared" si="10"/>
        <v>-0.20170396619410402</v>
      </c>
    </row>
    <row r="83" spans="1:20">
      <c r="B83">
        <f t="shared" si="18"/>
        <v>80</v>
      </c>
      <c r="C83">
        <f t="shared" si="12"/>
        <v>31</v>
      </c>
      <c r="D83">
        <v>61</v>
      </c>
      <c r="E83">
        <v>92</v>
      </c>
      <c r="F83">
        <f>TxSPLINE!F$6</f>
        <v>1.143870967741935</v>
      </c>
      <c r="G83">
        <f>TxSPLINE!F$7</f>
        <v>0.59482758620689602</v>
      </c>
      <c r="H83" s="6">
        <f>TxSPLINE!K$6</f>
        <v>-1.3175270810609617E-2</v>
      </c>
      <c r="I83" s="6">
        <f>TxSPLINE!K$7</f>
        <v>2.848707838586741E-2</v>
      </c>
      <c r="J83">
        <f t="shared" si="13"/>
        <v>0.38709677419354838</v>
      </c>
      <c r="K83">
        <f t="shared" si="14"/>
        <v>0.61290322580645162</v>
      </c>
      <c r="L83">
        <f t="shared" si="15"/>
        <v>34</v>
      </c>
      <c r="M83" s="6">
        <f t="shared" si="16"/>
        <v>0.80736050809142723</v>
      </c>
      <c r="N83" s="13">
        <f t="shared" si="11"/>
        <v>-0.24415744121863603</v>
      </c>
      <c r="O83" s="6">
        <f t="shared" si="19"/>
        <v>238.95962658629065</v>
      </c>
      <c r="P83" s="6">
        <f t="shared" si="20"/>
        <v>227.52215564446138</v>
      </c>
      <c r="Q83" s="6">
        <f t="shared" si="17"/>
        <v>-0.24415744121863603</v>
      </c>
      <c r="T83" s="6">
        <f t="shared" si="10"/>
        <v>-0.24415744121863603</v>
      </c>
    </row>
    <row r="84" spans="1:20">
      <c r="B84">
        <f t="shared" si="18"/>
        <v>81</v>
      </c>
      <c r="C84">
        <f t="shared" si="12"/>
        <v>31</v>
      </c>
      <c r="D84">
        <v>61</v>
      </c>
      <c r="E84">
        <v>92</v>
      </c>
      <c r="F84">
        <f>TxSPLINE!F$6</f>
        <v>1.143870967741935</v>
      </c>
      <c r="G84">
        <f>TxSPLINE!F$7</f>
        <v>0.59482758620689602</v>
      </c>
      <c r="H84" s="6">
        <f>TxSPLINE!K$6</f>
        <v>-1.3175270810609617E-2</v>
      </c>
      <c r="I84" s="6">
        <f>TxSPLINE!K$7</f>
        <v>2.848707838586741E-2</v>
      </c>
      <c r="J84">
        <f t="shared" si="13"/>
        <v>0.35483870967741937</v>
      </c>
      <c r="K84">
        <f t="shared" si="14"/>
        <v>0.64516129032258063</v>
      </c>
      <c r="L84">
        <f t="shared" si="15"/>
        <v>35</v>
      </c>
      <c r="M84" s="6">
        <f t="shared" si="16"/>
        <v>0.78964943126771625</v>
      </c>
      <c r="N84" s="13">
        <f t="shared" si="11"/>
        <v>-0.27425119883658189</v>
      </c>
      <c r="O84" s="6">
        <f t="shared" si="19"/>
        <v>239.74927601755837</v>
      </c>
      <c r="P84" s="6">
        <f t="shared" si="20"/>
        <v>227.24790444562478</v>
      </c>
      <c r="Q84" s="6">
        <f t="shared" si="17"/>
        <v>-0.27425119883658189</v>
      </c>
      <c r="T84" s="6">
        <f t="shared" si="10"/>
        <v>-0.27425119883658189</v>
      </c>
    </row>
    <row r="85" spans="1:20">
      <c r="B85">
        <f t="shared" si="18"/>
        <v>82</v>
      </c>
      <c r="C85">
        <f t="shared" si="12"/>
        <v>31</v>
      </c>
      <c r="D85">
        <v>61</v>
      </c>
      <c r="E85">
        <v>92</v>
      </c>
      <c r="F85">
        <f>TxSPLINE!F$6</f>
        <v>1.143870967741935</v>
      </c>
      <c r="G85">
        <f>TxSPLINE!F$7</f>
        <v>0.59482758620689602</v>
      </c>
      <c r="H85" s="6">
        <f>TxSPLINE!K$6</f>
        <v>-1.3175270810609617E-2</v>
      </c>
      <c r="I85" s="6">
        <f>TxSPLINE!K$7</f>
        <v>2.848707838586741E-2</v>
      </c>
      <c r="J85">
        <f t="shared" si="13"/>
        <v>0.32258064516129031</v>
      </c>
      <c r="K85">
        <f t="shared" si="14"/>
        <v>0.67741935483870963</v>
      </c>
      <c r="L85">
        <f t="shared" si="15"/>
        <v>36</v>
      </c>
      <c r="M85" s="6">
        <f t="shared" si="16"/>
        <v>0.77193835444400527</v>
      </c>
      <c r="N85" s="13">
        <f t="shared" si="11"/>
        <v>-0.2906412922996684</v>
      </c>
      <c r="O85" s="6">
        <f t="shared" si="19"/>
        <v>240.52121437200239</v>
      </c>
      <c r="P85" s="6">
        <f t="shared" si="20"/>
        <v>226.9572631533251</v>
      </c>
      <c r="Q85" s="6">
        <f t="shared" si="17"/>
        <v>-0.2906412922996684</v>
      </c>
      <c r="T85" s="6">
        <f t="shared" si="10"/>
        <v>-0.2906412922996684</v>
      </c>
    </row>
    <row r="86" spans="1:20">
      <c r="B86">
        <f t="shared" si="18"/>
        <v>83</v>
      </c>
      <c r="C86">
        <f t="shared" si="12"/>
        <v>31</v>
      </c>
      <c r="D86">
        <v>61</v>
      </c>
      <c r="E86">
        <v>92</v>
      </c>
      <c r="F86">
        <f>TxSPLINE!F$6</f>
        <v>1.143870967741935</v>
      </c>
      <c r="G86">
        <f>TxSPLINE!F$7</f>
        <v>0.59482758620689602</v>
      </c>
      <c r="H86" s="6">
        <f>TxSPLINE!K$6</f>
        <v>-1.3175270810609617E-2</v>
      </c>
      <c r="I86" s="6">
        <f>TxSPLINE!K$7</f>
        <v>2.848707838586741E-2</v>
      </c>
      <c r="J86">
        <f t="shared" si="13"/>
        <v>0.29032258064516131</v>
      </c>
      <c r="K86">
        <f t="shared" si="14"/>
        <v>0.70967741935483875</v>
      </c>
      <c r="L86">
        <f t="shared" si="15"/>
        <v>37</v>
      </c>
      <c r="M86" s="6">
        <f t="shared" si="16"/>
        <v>0.75422727762029451</v>
      </c>
      <c r="N86" s="13">
        <f t="shared" si="11"/>
        <v>-0.29198377485962168</v>
      </c>
      <c r="O86" s="6">
        <f t="shared" si="19"/>
        <v>241.27544164962268</v>
      </c>
      <c r="P86" s="6">
        <f t="shared" si="20"/>
        <v>226.66527937846547</v>
      </c>
      <c r="Q86" s="6">
        <f t="shared" si="17"/>
        <v>-0.29198377485962168</v>
      </c>
      <c r="T86" s="6">
        <f t="shared" si="10"/>
        <v>-0.29198377485962168</v>
      </c>
    </row>
    <row r="87" spans="1:20">
      <c r="B87">
        <f t="shared" si="18"/>
        <v>84</v>
      </c>
      <c r="C87">
        <f t="shared" si="12"/>
        <v>31</v>
      </c>
      <c r="D87">
        <v>61</v>
      </c>
      <c r="E87">
        <v>92</v>
      </c>
      <c r="F87">
        <f>TxSPLINE!F$6</f>
        <v>1.143870967741935</v>
      </c>
      <c r="G87">
        <f>TxSPLINE!F$7</f>
        <v>0.59482758620689602</v>
      </c>
      <c r="H87" s="6">
        <f>TxSPLINE!K$6</f>
        <v>-1.3175270810609617E-2</v>
      </c>
      <c r="I87" s="6">
        <f>TxSPLINE!K$7</f>
        <v>2.848707838586741E-2</v>
      </c>
      <c r="J87">
        <f t="shared" si="13"/>
        <v>0.25806451612903225</v>
      </c>
      <c r="K87">
        <f t="shared" si="14"/>
        <v>0.74193548387096775</v>
      </c>
      <c r="L87">
        <f t="shared" si="15"/>
        <v>38</v>
      </c>
      <c r="M87" s="6">
        <f t="shared" si="16"/>
        <v>0.73651620079658353</v>
      </c>
      <c r="N87" s="13">
        <f t="shared" si="11"/>
        <v>-0.27693469976816898</v>
      </c>
      <c r="O87" s="6">
        <f t="shared" si="19"/>
        <v>242.01195785041926</v>
      </c>
      <c r="P87" s="6">
        <f t="shared" si="20"/>
        <v>226.38834467869731</v>
      </c>
      <c r="Q87" s="6">
        <f t="shared" si="17"/>
        <v>-0.27693469976816898</v>
      </c>
      <c r="T87" s="6">
        <f t="shared" si="10"/>
        <v>-0.27693469976816898</v>
      </c>
    </row>
    <row r="88" spans="1:20">
      <c r="B88">
        <f t="shared" si="18"/>
        <v>85</v>
      </c>
      <c r="C88">
        <f t="shared" si="12"/>
        <v>31</v>
      </c>
      <c r="D88">
        <v>61</v>
      </c>
      <c r="E88">
        <v>92</v>
      </c>
      <c r="F88">
        <f>TxSPLINE!F$6</f>
        <v>1.143870967741935</v>
      </c>
      <c r="G88">
        <f>TxSPLINE!F$7</f>
        <v>0.59482758620689602</v>
      </c>
      <c r="H88" s="6">
        <f>TxSPLINE!K$6</f>
        <v>-1.3175270810609617E-2</v>
      </c>
      <c r="I88" s="6">
        <f>TxSPLINE!K$7</f>
        <v>2.848707838586741E-2</v>
      </c>
      <c r="J88">
        <f t="shared" si="13"/>
        <v>0.22580645161290322</v>
      </c>
      <c r="K88">
        <f t="shared" si="14"/>
        <v>0.77419354838709675</v>
      </c>
      <c r="L88">
        <f t="shared" si="15"/>
        <v>39</v>
      </c>
      <c r="M88" s="6">
        <f t="shared" si="16"/>
        <v>0.71880512397287255</v>
      </c>
      <c r="N88" s="13">
        <f t="shared" si="11"/>
        <v>-0.24415012027703631</v>
      </c>
      <c r="O88" s="6">
        <f t="shared" si="19"/>
        <v>242.73076297439215</v>
      </c>
      <c r="P88" s="6">
        <f t="shared" si="20"/>
        <v>226.14419455842028</v>
      </c>
      <c r="Q88" s="6">
        <f t="shared" si="17"/>
        <v>-0.24415012027703631</v>
      </c>
      <c r="T88" s="6">
        <f t="shared" si="10"/>
        <v>-0.24415012027703631</v>
      </c>
    </row>
    <row r="89" spans="1:20">
      <c r="B89">
        <f t="shared" si="18"/>
        <v>86</v>
      </c>
      <c r="C89">
        <f t="shared" si="12"/>
        <v>31</v>
      </c>
      <c r="D89">
        <v>61</v>
      </c>
      <c r="E89">
        <v>92</v>
      </c>
      <c r="F89">
        <f>TxSPLINE!F$6</f>
        <v>1.143870967741935</v>
      </c>
      <c r="G89">
        <f>TxSPLINE!F$7</f>
        <v>0.59482758620689602</v>
      </c>
      <c r="H89" s="6">
        <f>TxSPLINE!K$6</f>
        <v>-1.3175270810609617E-2</v>
      </c>
      <c r="I89" s="6">
        <f>TxSPLINE!K$7</f>
        <v>2.848707838586741E-2</v>
      </c>
      <c r="J89">
        <f t="shared" si="13"/>
        <v>0.19354838709677419</v>
      </c>
      <c r="K89">
        <f t="shared" si="14"/>
        <v>0.80645161290322576</v>
      </c>
      <c r="L89">
        <f t="shared" si="15"/>
        <v>40</v>
      </c>
      <c r="M89" s="6">
        <f t="shared" si="16"/>
        <v>0.70109404714916157</v>
      </c>
      <c r="N89" s="13">
        <f t="shared" si="11"/>
        <v>-0.19228608963795113</v>
      </c>
      <c r="O89" s="6">
        <f t="shared" si="19"/>
        <v>243.4318570215413</v>
      </c>
      <c r="P89" s="6">
        <f t="shared" si="20"/>
        <v>225.95190846878234</v>
      </c>
      <c r="Q89" s="6">
        <f t="shared" si="17"/>
        <v>-0.19228608963795113</v>
      </c>
      <c r="T89" s="6">
        <f t="shared" si="10"/>
        <v>-0.19228608963795113</v>
      </c>
    </row>
    <row r="90" spans="1:20">
      <c r="B90">
        <f t="shared" si="18"/>
        <v>87</v>
      </c>
      <c r="C90">
        <f t="shared" si="12"/>
        <v>31</v>
      </c>
      <c r="D90">
        <v>61</v>
      </c>
      <c r="E90">
        <v>92</v>
      </c>
      <c r="F90">
        <f>TxSPLINE!F$6</f>
        <v>1.143870967741935</v>
      </c>
      <c r="G90">
        <f>TxSPLINE!F$7</f>
        <v>0.59482758620689602</v>
      </c>
      <c r="H90" s="6">
        <f>TxSPLINE!K$6</f>
        <v>-1.3175270810609617E-2</v>
      </c>
      <c r="I90" s="6">
        <f>TxSPLINE!K$7</f>
        <v>2.848707838586741E-2</v>
      </c>
      <c r="J90">
        <f t="shared" si="13"/>
        <v>0.16129032258064516</v>
      </c>
      <c r="K90">
        <f t="shared" si="14"/>
        <v>0.83870967741935487</v>
      </c>
      <c r="L90">
        <f t="shared" si="15"/>
        <v>41</v>
      </c>
      <c r="M90" s="6">
        <f t="shared" si="16"/>
        <v>0.6833829703254507</v>
      </c>
      <c r="N90" s="13">
        <f t="shared" si="11"/>
        <v>-0.11999866110263779</v>
      </c>
      <c r="O90" s="6">
        <f t="shared" si="19"/>
        <v>244.11523999186676</v>
      </c>
      <c r="P90" s="6">
        <f t="shared" si="20"/>
        <v>225.83190980767969</v>
      </c>
      <c r="Q90" s="6">
        <f t="shared" si="17"/>
        <v>-0.11999866110263779</v>
      </c>
      <c r="T90" s="6">
        <f t="shared" si="10"/>
        <v>-0.11999866110263779</v>
      </c>
    </row>
    <row r="91" spans="1:20">
      <c r="B91">
        <f t="shared" si="18"/>
        <v>88</v>
      </c>
      <c r="C91">
        <f t="shared" si="12"/>
        <v>31</v>
      </c>
      <c r="D91">
        <v>61</v>
      </c>
      <c r="E91">
        <v>92</v>
      </c>
      <c r="F91">
        <f>TxSPLINE!F$6</f>
        <v>1.143870967741935</v>
      </c>
      <c r="G91">
        <f>TxSPLINE!F$7</f>
        <v>0.59482758620689602</v>
      </c>
      <c r="H91" s="6">
        <f>TxSPLINE!K$6</f>
        <v>-1.3175270810609617E-2</v>
      </c>
      <c r="I91" s="6">
        <f>TxSPLINE!K$7</f>
        <v>2.848707838586741E-2</v>
      </c>
      <c r="J91">
        <f t="shared" si="13"/>
        <v>0.12903225806451613</v>
      </c>
      <c r="K91">
        <f t="shared" si="14"/>
        <v>0.87096774193548387</v>
      </c>
      <c r="L91">
        <f t="shared" si="15"/>
        <v>42</v>
      </c>
      <c r="M91" s="6">
        <f t="shared" si="16"/>
        <v>0.66567189350173972</v>
      </c>
      <c r="N91" s="13">
        <f t="shared" si="11"/>
        <v>-2.5943887922825759E-2</v>
      </c>
      <c r="O91" s="6">
        <f t="shared" si="19"/>
        <v>244.78091188536851</v>
      </c>
      <c r="P91" s="6">
        <f t="shared" si="20"/>
        <v>225.80596591975686</v>
      </c>
      <c r="Q91" s="6">
        <f t="shared" si="17"/>
        <v>-2.5943887922825759E-2</v>
      </c>
      <c r="T91" s="6">
        <f t="shared" si="10"/>
        <v>-2.5943887922825759E-2</v>
      </c>
    </row>
    <row r="92" spans="1:20">
      <c r="B92">
        <f t="shared" si="18"/>
        <v>89</v>
      </c>
      <c r="C92">
        <f t="shared" si="12"/>
        <v>31</v>
      </c>
      <c r="D92">
        <v>61</v>
      </c>
      <c r="E92">
        <v>92</v>
      </c>
      <c r="F92">
        <f>TxSPLINE!F$6</f>
        <v>1.143870967741935</v>
      </c>
      <c r="G92">
        <f>TxSPLINE!F$7</f>
        <v>0.59482758620689602</v>
      </c>
      <c r="H92" s="6">
        <f>TxSPLINE!K$6</f>
        <v>-1.3175270810609617E-2</v>
      </c>
      <c r="I92" s="6">
        <f>TxSPLINE!K$7</f>
        <v>2.848707838586741E-2</v>
      </c>
      <c r="J92">
        <f t="shared" si="13"/>
        <v>9.6774193548387094E-2</v>
      </c>
      <c r="K92">
        <f t="shared" si="14"/>
        <v>0.90322580645161288</v>
      </c>
      <c r="L92">
        <f t="shared" si="15"/>
        <v>43</v>
      </c>
      <c r="M92" s="6">
        <f t="shared" si="16"/>
        <v>0.64796081667802874</v>
      </c>
      <c r="N92" s="13">
        <f t="shared" si="11"/>
        <v>9.1222176649760733E-2</v>
      </c>
      <c r="O92" s="6">
        <f t="shared" si="19"/>
        <v>245.42887270204653</v>
      </c>
      <c r="P92" s="6">
        <f t="shared" si="20"/>
        <v>225.89718809640661</v>
      </c>
      <c r="Q92" s="6">
        <f t="shared" si="17"/>
        <v>9.1222176649760733E-2</v>
      </c>
      <c r="T92" s="6">
        <f t="shared" si="10"/>
        <v>9.1222176649760733E-2</v>
      </c>
    </row>
    <row r="93" spans="1:20">
      <c r="B93">
        <f t="shared" si="18"/>
        <v>90</v>
      </c>
      <c r="C93">
        <f t="shared" si="12"/>
        <v>31</v>
      </c>
      <c r="D93">
        <v>61</v>
      </c>
      <c r="E93">
        <v>92</v>
      </c>
      <c r="F93">
        <f>TxSPLINE!F$6</f>
        <v>1.143870967741935</v>
      </c>
      <c r="G93">
        <f>TxSPLINE!F$7</f>
        <v>0.59482758620689602</v>
      </c>
      <c r="H93" s="6">
        <f>TxSPLINE!K$6</f>
        <v>-1.3175270810609617E-2</v>
      </c>
      <c r="I93" s="6">
        <f>TxSPLINE!K$7</f>
        <v>2.848707838586741E-2</v>
      </c>
      <c r="J93">
        <f t="shared" si="13"/>
        <v>6.4516129032258063E-2</v>
      </c>
      <c r="K93">
        <f t="shared" si="14"/>
        <v>0.93548387096774188</v>
      </c>
      <c r="L93">
        <f t="shared" si="15"/>
        <v>44</v>
      </c>
      <c r="M93" s="6">
        <f t="shared" si="16"/>
        <v>0.63024973985431787</v>
      </c>
      <c r="N93" s="13">
        <f t="shared" si="11"/>
        <v>0.23284347936339356</v>
      </c>
      <c r="O93" s="6">
        <f t="shared" si="19"/>
        <v>246.05912244190085</v>
      </c>
      <c r="P93" s="6">
        <f t="shared" si="20"/>
        <v>226.13003157577</v>
      </c>
      <c r="Q93" s="6">
        <f t="shared" si="17"/>
        <v>0.23284347936339356</v>
      </c>
      <c r="T93" s="6">
        <f t="shared" si="10"/>
        <v>0.23284347936339356</v>
      </c>
    </row>
    <row r="94" spans="1:20">
      <c r="B94">
        <f t="shared" si="18"/>
        <v>91</v>
      </c>
      <c r="C94">
        <f t="shared" si="12"/>
        <v>31</v>
      </c>
      <c r="D94">
        <v>61</v>
      </c>
      <c r="E94">
        <v>92</v>
      </c>
      <c r="F94">
        <f>TxSPLINE!F$6</f>
        <v>1.143870967741935</v>
      </c>
      <c r="G94">
        <f>TxSPLINE!F$7</f>
        <v>0.59482758620689602</v>
      </c>
      <c r="H94" s="6">
        <f>TxSPLINE!K$6</f>
        <v>-1.3175270810609617E-2</v>
      </c>
      <c r="I94" s="6">
        <f>TxSPLINE!K$7</f>
        <v>2.848707838586741E-2</v>
      </c>
      <c r="J94">
        <f t="shared" si="13"/>
        <v>3.2258064516129031E-2</v>
      </c>
      <c r="K94">
        <f t="shared" si="14"/>
        <v>0.967741935483871</v>
      </c>
      <c r="L94">
        <f t="shared" si="15"/>
        <v>45</v>
      </c>
      <c r="M94" s="6">
        <f t="shared" si="16"/>
        <v>0.612538663030607</v>
      </c>
      <c r="N94" s="13">
        <f t="shared" si="11"/>
        <v>0.40026396696634847</v>
      </c>
      <c r="O94" s="6">
        <f t="shared" si="19"/>
        <v>246.67166110493147</v>
      </c>
      <c r="P94" s="6">
        <f t="shared" si="20"/>
        <v>226.53029554273635</v>
      </c>
      <c r="Q94" s="6">
        <f t="shared" si="17"/>
        <v>0.40026396696634847</v>
      </c>
      <c r="T94" s="6">
        <f t="shared" si="10"/>
        <v>0.40026396696634847</v>
      </c>
    </row>
    <row r="95" spans="1:20">
      <c r="A95">
        <v>92</v>
      </c>
      <c r="B95">
        <f t="shared" si="18"/>
        <v>92</v>
      </c>
      <c r="C95">
        <f t="shared" si="12"/>
        <v>31</v>
      </c>
      <c r="D95">
        <v>61</v>
      </c>
      <c r="E95">
        <v>92</v>
      </c>
      <c r="F95">
        <f>TxSPLINE!F$6</f>
        <v>1.143870967741935</v>
      </c>
      <c r="G95">
        <f>TxSPLINE!F$7</f>
        <v>0.59482758620689602</v>
      </c>
      <c r="H95" s="6">
        <f>TxSPLINE!K$6</f>
        <v>-1.3175270810609617E-2</v>
      </c>
      <c r="I95" s="6">
        <f>TxSPLINE!K$7</f>
        <v>2.848707838586741E-2</v>
      </c>
      <c r="J95">
        <f t="shared" si="13"/>
        <v>0</v>
      </c>
      <c r="K95">
        <f t="shared" si="14"/>
        <v>1</v>
      </c>
      <c r="L95">
        <f t="shared" si="15"/>
        <v>46</v>
      </c>
      <c r="M95" s="6">
        <f t="shared" si="16"/>
        <v>0.59482758620689602</v>
      </c>
      <c r="N95" s="13">
        <f t="shared" si="11"/>
        <v>0.59482758620689602</v>
      </c>
      <c r="O95" s="6">
        <f t="shared" si="19"/>
        <v>247.26648869113836</v>
      </c>
      <c r="P95" s="6">
        <f t="shared" si="20"/>
        <v>227.12512312894324</v>
      </c>
      <c r="Q95" s="6">
        <f t="shared" si="17"/>
        <v>0.59482758620689602</v>
      </c>
      <c r="T95" s="6">
        <f t="shared" si="10"/>
        <v>0.59482758620689602</v>
      </c>
    </row>
    <row r="96" spans="1:20">
      <c r="B96">
        <f t="shared" si="18"/>
        <v>93</v>
      </c>
      <c r="C96">
        <f t="shared" si="12"/>
        <v>30</v>
      </c>
      <c r="D96">
        <v>92</v>
      </c>
      <c r="E96">
        <v>122</v>
      </c>
      <c r="F96">
        <f>TxSPLINE!F$7</f>
        <v>0.59482758620689602</v>
      </c>
      <c r="G96">
        <f>TxSPLINE!F$8</f>
        <v>11.472258064516131</v>
      </c>
      <c r="H96">
        <f>TxSPLINE!K$7</f>
        <v>2.848707838586741E-2</v>
      </c>
      <c r="I96">
        <f>TxSPLINE!K$8</f>
        <v>-2.6174587044760445E-2</v>
      </c>
      <c r="J96">
        <f t="shared" si="13"/>
        <v>0.96666666666666667</v>
      </c>
      <c r="K96">
        <f t="shared" si="14"/>
        <v>3.3333333333333333E-2</v>
      </c>
      <c r="L96">
        <f t="shared" si="15"/>
        <v>47</v>
      </c>
      <c r="M96" s="6">
        <f t="shared" si="16"/>
        <v>0.95740860215053725</v>
      </c>
      <c r="N96" s="13">
        <f t="shared" si="11"/>
        <v>0.81735061678953991</v>
      </c>
      <c r="O96" s="6">
        <f t="shared" si="19"/>
        <v>248.2238972932889</v>
      </c>
      <c r="P96" s="6">
        <f t="shared" si="20"/>
        <v>227.9424737457328</v>
      </c>
      <c r="Q96" s="6">
        <f t="shared" si="17"/>
        <v>0.81735061678953991</v>
      </c>
      <c r="T96" s="6">
        <f t="shared" si="10"/>
        <v>0.81735061678953991</v>
      </c>
    </row>
    <row r="97" spans="2:20">
      <c r="B97">
        <f t="shared" si="18"/>
        <v>94</v>
      </c>
      <c r="C97">
        <f t="shared" si="12"/>
        <v>30</v>
      </c>
      <c r="D97">
        <v>92</v>
      </c>
      <c r="E97">
        <v>122</v>
      </c>
      <c r="F97">
        <f>TxSPLINE!F$7</f>
        <v>0.59482758620689602</v>
      </c>
      <c r="G97">
        <f>TxSPLINE!F$8</f>
        <v>11.472258064516131</v>
      </c>
      <c r="H97">
        <f>TxSPLINE!K$7</f>
        <v>2.848707838586741E-2</v>
      </c>
      <c r="I97">
        <f>TxSPLINE!K$8</f>
        <v>-2.6174587044760445E-2</v>
      </c>
      <c r="J97">
        <f t="shared" si="13"/>
        <v>0.93333333333333335</v>
      </c>
      <c r="K97">
        <f t="shared" si="14"/>
        <v>6.6666666666666666E-2</v>
      </c>
      <c r="L97">
        <f t="shared" si="15"/>
        <v>48</v>
      </c>
      <c r="M97" s="6">
        <f t="shared" si="16"/>
        <v>1.3199896180941784</v>
      </c>
      <c r="N97" s="13">
        <f t="shared" si="11"/>
        <v>1.0665386702436974</v>
      </c>
      <c r="O97" s="6">
        <f t="shared" si="19"/>
        <v>249.54388691138308</v>
      </c>
      <c r="P97" s="6">
        <f t="shared" si="20"/>
        <v>229.00901241597649</v>
      </c>
      <c r="Q97" s="6">
        <f t="shared" si="17"/>
        <v>1.0665386702436974</v>
      </c>
      <c r="T97" s="6">
        <f t="shared" si="10"/>
        <v>1.0665386702436974</v>
      </c>
    </row>
    <row r="98" spans="2:20">
      <c r="B98">
        <f t="shared" si="18"/>
        <v>95</v>
      </c>
      <c r="C98">
        <f t="shared" si="12"/>
        <v>30</v>
      </c>
      <c r="D98">
        <v>92</v>
      </c>
      <c r="E98">
        <v>122</v>
      </c>
      <c r="F98">
        <f>TxSPLINE!F$7</f>
        <v>0.59482758620689602</v>
      </c>
      <c r="G98">
        <f>TxSPLINE!F$8</f>
        <v>11.472258064516131</v>
      </c>
      <c r="H98">
        <f>TxSPLINE!K$7</f>
        <v>2.848707838586741E-2</v>
      </c>
      <c r="I98">
        <f>TxSPLINE!K$8</f>
        <v>-2.6174587044760445E-2</v>
      </c>
      <c r="J98">
        <f t="shared" si="13"/>
        <v>0.9</v>
      </c>
      <c r="K98">
        <f t="shared" si="14"/>
        <v>0.1</v>
      </c>
      <c r="L98">
        <f t="shared" si="15"/>
        <v>49</v>
      </c>
      <c r="M98" s="6">
        <f t="shared" si="16"/>
        <v>1.6825706340378197</v>
      </c>
      <c r="N98" s="13">
        <f t="shared" si="11"/>
        <v>1.3405696910550136</v>
      </c>
      <c r="O98" s="6">
        <f t="shared" si="19"/>
        <v>251.22645754542091</v>
      </c>
      <c r="P98" s="6">
        <f t="shared" si="20"/>
        <v>230.34958210703149</v>
      </c>
      <c r="Q98" s="6">
        <f t="shared" si="17"/>
        <v>1.3405696910550136</v>
      </c>
      <c r="T98" s="6">
        <f t="shared" si="10"/>
        <v>1.3405696910550136</v>
      </c>
    </row>
    <row r="99" spans="2:20">
      <c r="B99">
        <f t="shared" si="18"/>
        <v>96</v>
      </c>
      <c r="C99">
        <f t="shared" si="12"/>
        <v>30</v>
      </c>
      <c r="D99">
        <v>92</v>
      </c>
      <c r="E99">
        <v>122</v>
      </c>
      <c r="F99">
        <f>TxSPLINE!F$7</f>
        <v>0.59482758620689602</v>
      </c>
      <c r="G99">
        <f>TxSPLINE!F$8</f>
        <v>11.472258064516131</v>
      </c>
      <c r="H99">
        <f>TxSPLINE!K$7</f>
        <v>2.848707838586741E-2</v>
      </c>
      <c r="I99">
        <f>TxSPLINE!K$8</f>
        <v>-2.6174587044760445E-2</v>
      </c>
      <c r="J99">
        <f t="shared" si="13"/>
        <v>0.8666666666666667</v>
      </c>
      <c r="K99">
        <f t="shared" si="14"/>
        <v>0.13333333333333333</v>
      </c>
      <c r="L99">
        <f t="shared" si="15"/>
        <v>50</v>
      </c>
      <c r="M99" s="6">
        <f t="shared" si="16"/>
        <v>2.0451516499814604</v>
      </c>
      <c r="N99" s="13">
        <f t="shared" si="11"/>
        <v>1.6376216237091337</v>
      </c>
      <c r="O99" s="6">
        <f t="shared" si="19"/>
        <v>253.27160919540236</v>
      </c>
      <c r="P99" s="6">
        <f t="shared" si="20"/>
        <v>231.98720373074062</v>
      </c>
      <c r="Q99" s="6">
        <f t="shared" si="17"/>
        <v>1.6376216237091337</v>
      </c>
      <c r="T99" s="6">
        <f t="shared" si="10"/>
        <v>1.6376216237091337</v>
      </c>
    </row>
    <row r="100" spans="2:20">
      <c r="B100">
        <f t="shared" si="18"/>
        <v>97</v>
      </c>
      <c r="C100">
        <f t="shared" si="12"/>
        <v>30</v>
      </c>
      <c r="D100">
        <v>92</v>
      </c>
      <c r="E100">
        <v>122</v>
      </c>
      <c r="F100">
        <f>TxSPLINE!F$7</f>
        <v>0.59482758620689602</v>
      </c>
      <c r="G100">
        <f>TxSPLINE!F$8</f>
        <v>11.472258064516131</v>
      </c>
      <c r="H100">
        <f>TxSPLINE!K$7</f>
        <v>2.848707838586741E-2</v>
      </c>
      <c r="I100">
        <f>TxSPLINE!K$8</f>
        <v>-2.6174587044760445E-2</v>
      </c>
      <c r="J100">
        <f t="shared" si="13"/>
        <v>0.83333333333333337</v>
      </c>
      <c r="K100">
        <f t="shared" si="14"/>
        <v>0.16666666666666666</v>
      </c>
      <c r="L100">
        <f t="shared" si="15"/>
        <v>51</v>
      </c>
      <c r="M100" s="6">
        <f t="shared" si="16"/>
        <v>2.4077326659251019</v>
      </c>
      <c r="N100" s="13">
        <f t="shared" si="11"/>
        <v>1.9558724126917051</v>
      </c>
      <c r="O100" s="6">
        <f t="shared" si="19"/>
        <v>255.67934186132746</v>
      </c>
      <c r="P100" s="6">
        <f t="shared" si="20"/>
        <v>233.94307614343234</v>
      </c>
      <c r="Q100" s="6">
        <f t="shared" si="17"/>
        <v>1.9558724126917051</v>
      </c>
      <c r="T100" s="6">
        <f t="shared" si="10"/>
        <v>1.9558724126917051</v>
      </c>
    </row>
    <row r="101" spans="2:20">
      <c r="B101">
        <f t="shared" si="18"/>
        <v>98</v>
      </c>
      <c r="C101">
        <f t="shared" si="12"/>
        <v>30</v>
      </c>
      <c r="D101">
        <v>92</v>
      </c>
      <c r="E101">
        <v>122</v>
      </c>
      <c r="F101">
        <f>TxSPLINE!F$7</f>
        <v>0.59482758620689602</v>
      </c>
      <c r="G101">
        <f>TxSPLINE!F$8</f>
        <v>11.472258064516131</v>
      </c>
      <c r="H101">
        <f>TxSPLINE!K$7</f>
        <v>2.848707838586741E-2</v>
      </c>
      <c r="I101">
        <f>TxSPLINE!K$8</f>
        <v>-2.6174587044760445E-2</v>
      </c>
      <c r="J101">
        <f t="shared" si="13"/>
        <v>0.8</v>
      </c>
      <c r="K101">
        <f t="shared" si="14"/>
        <v>0.2</v>
      </c>
      <c r="L101">
        <f t="shared" si="15"/>
        <v>52</v>
      </c>
      <c r="M101" s="6">
        <f t="shared" si="16"/>
        <v>2.7703136818687435</v>
      </c>
      <c r="N101" s="13">
        <f t="shared" si="11"/>
        <v>2.2935000024883725</v>
      </c>
      <c r="O101" s="6">
        <f t="shared" si="19"/>
        <v>258.44965554319623</v>
      </c>
      <c r="P101" s="6">
        <f t="shared" si="20"/>
        <v>236.23657614592071</v>
      </c>
      <c r="Q101" s="6">
        <f t="shared" si="17"/>
        <v>2.2935000024883725</v>
      </c>
      <c r="T101" s="6">
        <f t="shared" si="10"/>
        <v>2.2935000024883725</v>
      </c>
    </row>
    <row r="102" spans="2:20">
      <c r="B102">
        <f t="shared" si="18"/>
        <v>99</v>
      </c>
      <c r="C102">
        <f t="shared" si="12"/>
        <v>30</v>
      </c>
      <c r="D102">
        <v>92</v>
      </c>
      <c r="E102">
        <v>122</v>
      </c>
      <c r="F102">
        <f>TxSPLINE!F$7</f>
        <v>0.59482758620689602</v>
      </c>
      <c r="G102">
        <f>TxSPLINE!F$8</f>
        <v>11.472258064516131</v>
      </c>
      <c r="H102">
        <f>TxSPLINE!K$7</f>
        <v>2.848707838586741E-2</v>
      </c>
      <c r="I102">
        <f>TxSPLINE!K$8</f>
        <v>-2.6174587044760445E-2</v>
      </c>
      <c r="J102">
        <f t="shared" si="13"/>
        <v>0.76666666666666672</v>
      </c>
      <c r="K102">
        <f t="shared" si="14"/>
        <v>0.23333333333333334</v>
      </c>
      <c r="L102">
        <f t="shared" si="15"/>
        <v>53</v>
      </c>
      <c r="M102" s="6">
        <f t="shared" si="16"/>
        <v>3.1328946978123846</v>
      </c>
      <c r="N102" s="13">
        <f t="shared" si="11"/>
        <v>2.648682337584781</v>
      </c>
      <c r="O102" s="6">
        <f t="shared" si="19"/>
        <v>261.58255024100862</v>
      </c>
      <c r="P102" s="6">
        <f t="shared" si="20"/>
        <v>238.88525848350548</v>
      </c>
      <c r="Q102" s="6">
        <f t="shared" si="17"/>
        <v>2.648682337584781</v>
      </c>
      <c r="T102" s="6">
        <f t="shared" si="10"/>
        <v>2.648682337584781</v>
      </c>
    </row>
    <row r="103" spans="2:20">
      <c r="B103">
        <f t="shared" si="18"/>
        <v>100</v>
      </c>
      <c r="C103">
        <f t="shared" si="12"/>
        <v>30</v>
      </c>
      <c r="D103">
        <v>92</v>
      </c>
      <c r="E103">
        <v>122</v>
      </c>
      <c r="F103">
        <f>TxSPLINE!F$7</f>
        <v>0.59482758620689602</v>
      </c>
      <c r="G103">
        <f>TxSPLINE!F$8</f>
        <v>11.472258064516131</v>
      </c>
      <c r="H103">
        <f>TxSPLINE!K$7</f>
        <v>2.848707838586741E-2</v>
      </c>
      <c r="I103">
        <f>TxSPLINE!K$8</f>
        <v>-2.6174587044760445E-2</v>
      </c>
      <c r="J103">
        <f t="shared" si="13"/>
        <v>0.73333333333333328</v>
      </c>
      <c r="K103">
        <f t="shared" si="14"/>
        <v>0.26666666666666666</v>
      </c>
      <c r="L103">
        <f t="shared" si="15"/>
        <v>54</v>
      </c>
      <c r="M103" s="6">
        <f t="shared" si="16"/>
        <v>3.4954757137560253</v>
      </c>
      <c r="N103" s="13">
        <f t="shared" si="11"/>
        <v>3.0195973624665768</v>
      </c>
      <c r="O103" s="6">
        <f t="shared" si="19"/>
        <v>265.07802595476466</v>
      </c>
      <c r="P103" s="6">
        <f t="shared" si="20"/>
        <v>241.90485584597207</v>
      </c>
      <c r="Q103" s="6">
        <f t="shared" si="17"/>
        <v>3.0195973624665768</v>
      </c>
      <c r="T103" s="6">
        <f t="shared" si="10"/>
        <v>3.0195973624665768</v>
      </c>
    </row>
    <row r="104" spans="2:20">
      <c r="B104">
        <f t="shared" si="18"/>
        <v>101</v>
      </c>
      <c r="C104">
        <f t="shared" si="12"/>
        <v>30</v>
      </c>
      <c r="D104">
        <v>92</v>
      </c>
      <c r="E104">
        <v>122</v>
      </c>
      <c r="F104">
        <f>TxSPLINE!F$7</f>
        <v>0.59482758620689602</v>
      </c>
      <c r="G104">
        <f>TxSPLINE!F$8</f>
        <v>11.472258064516131</v>
      </c>
      <c r="H104">
        <f>TxSPLINE!K$7</f>
        <v>2.848707838586741E-2</v>
      </c>
      <c r="I104">
        <f>TxSPLINE!K$8</f>
        <v>-2.6174587044760445E-2</v>
      </c>
      <c r="J104">
        <f t="shared" si="13"/>
        <v>0.7</v>
      </c>
      <c r="K104">
        <f t="shared" si="14"/>
        <v>0.3</v>
      </c>
      <c r="L104">
        <f t="shared" si="15"/>
        <v>55</v>
      </c>
      <c r="M104" s="6">
        <f t="shared" si="16"/>
        <v>3.8580567296996664</v>
      </c>
      <c r="N104" s="13">
        <f t="shared" si="11"/>
        <v>3.4044230216194067</v>
      </c>
      <c r="O104" s="6">
        <f t="shared" si="19"/>
        <v>268.93608268446434</v>
      </c>
      <c r="P104" s="6">
        <f t="shared" si="20"/>
        <v>245.30927886759147</v>
      </c>
      <c r="Q104" s="6">
        <f t="shared" si="17"/>
        <v>3.4044230216194067</v>
      </c>
      <c r="T104" s="6">
        <f t="shared" si="10"/>
        <v>3.4044230216194067</v>
      </c>
    </row>
    <row r="105" spans="2:20">
      <c r="B105">
        <f t="shared" si="18"/>
        <v>102</v>
      </c>
      <c r="C105">
        <f t="shared" si="12"/>
        <v>30</v>
      </c>
      <c r="D105">
        <v>92</v>
      </c>
      <c r="E105">
        <v>122</v>
      </c>
      <c r="F105">
        <f>TxSPLINE!F$7</f>
        <v>0.59482758620689602</v>
      </c>
      <c r="G105">
        <f>TxSPLINE!F$8</f>
        <v>11.472258064516131</v>
      </c>
      <c r="H105">
        <f>TxSPLINE!K$7</f>
        <v>2.848707838586741E-2</v>
      </c>
      <c r="I105">
        <f>TxSPLINE!K$8</f>
        <v>-2.6174587044760445E-2</v>
      </c>
      <c r="J105">
        <f t="shared" si="13"/>
        <v>0.66666666666666663</v>
      </c>
      <c r="K105">
        <f t="shared" si="14"/>
        <v>0.33333333333333331</v>
      </c>
      <c r="L105">
        <f t="shared" si="15"/>
        <v>56</v>
      </c>
      <c r="M105" s="6">
        <f t="shared" si="16"/>
        <v>4.220637745643308</v>
      </c>
      <c r="N105" s="13">
        <f t="shared" si="11"/>
        <v>3.8013372595289163</v>
      </c>
      <c r="O105" s="6">
        <f t="shared" si="19"/>
        <v>273.15672043010767</v>
      </c>
      <c r="P105" s="6">
        <f t="shared" si="20"/>
        <v>249.11061612712038</v>
      </c>
      <c r="Q105" s="6">
        <f t="shared" si="17"/>
        <v>3.8013372595289163</v>
      </c>
      <c r="T105" s="6">
        <f t="shared" si="10"/>
        <v>3.8013372595289163</v>
      </c>
    </row>
    <row r="106" spans="2:20">
      <c r="B106">
        <f t="shared" si="18"/>
        <v>103</v>
      </c>
      <c r="C106">
        <f t="shared" si="12"/>
        <v>30</v>
      </c>
      <c r="D106">
        <v>92</v>
      </c>
      <c r="E106">
        <v>122</v>
      </c>
      <c r="F106">
        <f>TxSPLINE!F$7</f>
        <v>0.59482758620689602</v>
      </c>
      <c r="G106">
        <f>TxSPLINE!F$8</f>
        <v>11.472258064516131</v>
      </c>
      <c r="H106">
        <f>TxSPLINE!K$7</f>
        <v>2.848707838586741E-2</v>
      </c>
      <c r="I106">
        <f>TxSPLINE!K$8</f>
        <v>-2.6174587044760445E-2</v>
      </c>
      <c r="J106">
        <f t="shared" si="13"/>
        <v>0.6333333333333333</v>
      </c>
      <c r="K106">
        <f t="shared" si="14"/>
        <v>0.36666666666666664</v>
      </c>
      <c r="L106">
        <f t="shared" si="15"/>
        <v>57</v>
      </c>
      <c r="M106" s="6">
        <f t="shared" si="16"/>
        <v>4.5832187615869486</v>
      </c>
      <c r="N106" s="13">
        <f t="shared" si="11"/>
        <v>4.2085180206807493</v>
      </c>
      <c r="O106" s="6">
        <f t="shared" si="19"/>
        <v>277.73993919169459</v>
      </c>
      <c r="P106" s="6">
        <f t="shared" si="20"/>
        <v>253.31913414780112</v>
      </c>
      <c r="Q106" s="6">
        <f t="shared" si="17"/>
        <v>4.2085180206807493</v>
      </c>
      <c r="T106" s="6">
        <f t="shared" si="10"/>
        <v>4.2085180206807493</v>
      </c>
    </row>
    <row r="107" spans="2:20">
      <c r="B107">
        <f t="shared" si="18"/>
        <v>104</v>
      </c>
      <c r="C107">
        <f t="shared" si="12"/>
        <v>30</v>
      </c>
      <c r="D107">
        <v>92</v>
      </c>
      <c r="E107">
        <v>122</v>
      </c>
      <c r="F107">
        <f>TxSPLINE!F$7</f>
        <v>0.59482758620689602</v>
      </c>
      <c r="G107">
        <f>TxSPLINE!F$8</f>
        <v>11.472258064516131</v>
      </c>
      <c r="H107">
        <f>TxSPLINE!K$7</f>
        <v>2.848707838586741E-2</v>
      </c>
      <c r="I107">
        <f>TxSPLINE!K$8</f>
        <v>-2.6174587044760445E-2</v>
      </c>
      <c r="J107">
        <f t="shared" si="13"/>
        <v>0.6</v>
      </c>
      <c r="K107">
        <f t="shared" si="14"/>
        <v>0.4</v>
      </c>
      <c r="L107">
        <f t="shared" si="15"/>
        <v>58</v>
      </c>
      <c r="M107" s="6">
        <f t="shared" si="16"/>
        <v>4.9457997775305902</v>
      </c>
      <c r="N107" s="13">
        <f t="shared" si="11"/>
        <v>4.6241432495605537</v>
      </c>
      <c r="O107" s="6">
        <f t="shared" si="19"/>
        <v>282.68573896922516</v>
      </c>
      <c r="P107" s="6">
        <f t="shared" si="20"/>
        <v>257.94327739736167</v>
      </c>
      <c r="Q107" s="6">
        <f t="shared" si="17"/>
        <v>4.6241432495605537</v>
      </c>
      <c r="T107" s="6">
        <f t="shared" si="10"/>
        <v>4.6241432495605537</v>
      </c>
    </row>
    <row r="108" spans="2:20">
      <c r="B108">
        <f t="shared" si="18"/>
        <v>105</v>
      </c>
      <c r="C108">
        <f t="shared" si="12"/>
        <v>30</v>
      </c>
      <c r="D108">
        <v>92</v>
      </c>
      <c r="E108">
        <v>122</v>
      </c>
      <c r="F108">
        <f>TxSPLINE!F$7</f>
        <v>0.59482758620689602</v>
      </c>
      <c r="G108">
        <f>TxSPLINE!F$8</f>
        <v>11.472258064516131</v>
      </c>
      <c r="H108">
        <f>TxSPLINE!K$7</f>
        <v>2.848707838586741E-2</v>
      </c>
      <c r="I108">
        <f>TxSPLINE!K$8</f>
        <v>-2.6174587044760445E-2</v>
      </c>
      <c r="J108">
        <f t="shared" si="13"/>
        <v>0.56666666666666665</v>
      </c>
      <c r="K108">
        <f t="shared" si="14"/>
        <v>0.43333333333333335</v>
      </c>
      <c r="L108">
        <f t="shared" si="15"/>
        <v>59</v>
      </c>
      <c r="M108" s="6">
        <f t="shared" si="16"/>
        <v>5.3083807934742309</v>
      </c>
      <c r="N108" s="13">
        <f t="shared" si="11"/>
        <v>5.0463908906539734</v>
      </c>
      <c r="O108" s="6">
        <f t="shared" si="19"/>
        <v>287.99411976269937</v>
      </c>
      <c r="P108" s="6">
        <f t="shared" si="20"/>
        <v>262.98966828801565</v>
      </c>
      <c r="Q108" s="6">
        <f t="shared" si="17"/>
        <v>5.0463908906539734</v>
      </c>
      <c r="T108" s="6">
        <f t="shared" si="10"/>
        <v>5.0463908906539734</v>
      </c>
    </row>
    <row r="109" spans="2:20">
      <c r="B109">
        <f t="shared" si="18"/>
        <v>106</v>
      </c>
      <c r="C109">
        <f t="shared" si="12"/>
        <v>30</v>
      </c>
      <c r="D109">
        <v>92</v>
      </c>
      <c r="E109">
        <v>122</v>
      </c>
      <c r="F109">
        <f>TxSPLINE!F$7</f>
        <v>0.59482758620689602</v>
      </c>
      <c r="G109">
        <f>TxSPLINE!F$8</f>
        <v>11.472258064516131</v>
      </c>
      <c r="H109">
        <f>TxSPLINE!K$7</f>
        <v>2.848707838586741E-2</v>
      </c>
      <c r="I109">
        <f>TxSPLINE!K$8</f>
        <v>-2.6174587044760445E-2</v>
      </c>
      <c r="J109">
        <f t="shared" si="13"/>
        <v>0.53333333333333333</v>
      </c>
      <c r="K109">
        <f t="shared" si="14"/>
        <v>0.46666666666666667</v>
      </c>
      <c r="L109">
        <f t="shared" si="15"/>
        <v>60</v>
      </c>
      <c r="M109" s="6">
        <f t="shared" si="16"/>
        <v>5.6709618094178724</v>
      </c>
      <c r="N109" s="13">
        <f t="shared" si="11"/>
        <v>5.4734388884466565</v>
      </c>
      <c r="O109" s="6">
        <f t="shared" si="19"/>
        <v>293.66508157211723</v>
      </c>
      <c r="P109" s="6">
        <f t="shared" si="20"/>
        <v>268.4631071764623</v>
      </c>
      <c r="Q109" s="6">
        <f t="shared" si="17"/>
        <v>5.4734388884466565</v>
      </c>
      <c r="T109" s="6">
        <f t="shared" si="10"/>
        <v>5.4734388884466565</v>
      </c>
    </row>
    <row r="110" spans="2:20">
      <c r="B110">
        <f t="shared" si="18"/>
        <v>107</v>
      </c>
      <c r="C110">
        <f t="shared" si="12"/>
        <v>30</v>
      </c>
      <c r="D110">
        <v>92</v>
      </c>
      <c r="E110">
        <v>122</v>
      </c>
      <c r="F110">
        <f>TxSPLINE!F$7</f>
        <v>0.59482758620689602</v>
      </c>
      <c r="G110">
        <f>TxSPLINE!F$8</f>
        <v>11.472258064516131</v>
      </c>
      <c r="H110">
        <f>TxSPLINE!K$7</f>
        <v>2.848707838586741E-2</v>
      </c>
      <c r="I110">
        <f>TxSPLINE!K$8</f>
        <v>-2.6174587044760445E-2</v>
      </c>
      <c r="J110">
        <f t="shared" si="13"/>
        <v>0.5</v>
      </c>
      <c r="K110">
        <f t="shared" si="14"/>
        <v>0.5</v>
      </c>
      <c r="L110">
        <f t="shared" si="15"/>
        <v>61</v>
      </c>
      <c r="M110" s="6">
        <f t="shared" si="16"/>
        <v>6.033542825361514</v>
      </c>
      <c r="N110" s="13">
        <f t="shared" si="11"/>
        <v>5.9034651874242474</v>
      </c>
      <c r="O110" s="6">
        <f t="shared" si="19"/>
        <v>299.69862439747874</v>
      </c>
      <c r="P110" s="6">
        <f t="shared" si="20"/>
        <v>274.36657236388658</v>
      </c>
      <c r="Q110" s="6">
        <f t="shared" si="17"/>
        <v>5.9034651874242474</v>
      </c>
      <c r="T110" s="6">
        <f t="shared" si="10"/>
        <v>5.9034651874242474</v>
      </c>
    </row>
    <row r="111" spans="2:20">
      <c r="B111">
        <f t="shared" si="18"/>
        <v>108</v>
      </c>
      <c r="C111">
        <f t="shared" si="12"/>
        <v>30</v>
      </c>
      <c r="D111">
        <v>92</v>
      </c>
      <c r="E111">
        <v>122</v>
      </c>
      <c r="F111">
        <f>TxSPLINE!F$7</f>
        <v>0.59482758620689602</v>
      </c>
      <c r="G111">
        <f>TxSPLINE!F$8</f>
        <v>11.472258064516131</v>
      </c>
      <c r="H111">
        <f>TxSPLINE!K$7</f>
        <v>2.848707838586741E-2</v>
      </c>
      <c r="I111">
        <f>TxSPLINE!K$8</f>
        <v>-2.6174587044760445E-2</v>
      </c>
      <c r="J111">
        <f t="shared" si="13"/>
        <v>0.46666666666666667</v>
      </c>
      <c r="K111">
        <f t="shared" si="14"/>
        <v>0.53333333333333333</v>
      </c>
      <c r="L111">
        <f t="shared" si="15"/>
        <v>62</v>
      </c>
      <c r="M111" s="6">
        <f t="shared" si="16"/>
        <v>6.3961238413051547</v>
      </c>
      <c r="N111" s="13">
        <f t="shared" si="11"/>
        <v>6.3346477320723906</v>
      </c>
      <c r="O111" s="6">
        <f t="shared" si="19"/>
        <v>306.09474823878389</v>
      </c>
      <c r="P111" s="6">
        <f t="shared" si="20"/>
        <v>280.70122009595894</v>
      </c>
      <c r="Q111" s="6">
        <f t="shared" si="17"/>
        <v>6.3346477320723906</v>
      </c>
      <c r="T111" s="6">
        <f t="shared" si="10"/>
        <v>6.3346477320723906</v>
      </c>
    </row>
    <row r="112" spans="2:20">
      <c r="B112">
        <f t="shared" si="18"/>
        <v>109</v>
      </c>
      <c r="C112">
        <f t="shared" si="12"/>
        <v>30</v>
      </c>
      <c r="D112">
        <v>92</v>
      </c>
      <c r="E112">
        <v>122</v>
      </c>
      <c r="F112">
        <f>TxSPLINE!F$7</f>
        <v>0.59482758620689602</v>
      </c>
      <c r="G112">
        <f>TxSPLINE!F$8</f>
        <v>11.472258064516131</v>
      </c>
      <c r="H112">
        <f>TxSPLINE!K$7</f>
        <v>2.848707838586741E-2</v>
      </c>
      <c r="I112">
        <f>TxSPLINE!K$8</f>
        <v>-2.6174587044760445E-2</v>
      </c>
      <c r="J112">
        <f t="shared" si="13"/>
        <v>0.43333333333333335</v>
      </c>
      <c r="K112">
        <f t="shared" si="14"/>
        <v>0.56666666666666665</v>
      </c>
      <c r="L112">
        <f t="shared" si="15"/>
        <v>63</v>
      </c>
      <c r="M112" s="6">
        <f t="shared" si="16"/>
        <v>6.7587048572487962</v>
      </c>
      <c r="N112" s="13">
        <f t="shared" si="11"/>
        <v>6.7651644668767341</v>
      </c>
      <c r="O112" s="6">
        <f t="shared" si="19"/>
        <v>312.85345309603269</v>
      </c>
      <c r="P112" s="6">
        <f t="shared" si="20"/>
        <v>287.46638456283569</v>
      </c>
      <c r="Q112" s="6">
        <f t="shared" si="17"/>
        <v>6.7651644668767341</v>
      </c>
      <c r="T112" s="6">
        <f t="shared" si="10"/>
        <v>6.7651644668767341</v>
      </c>
    </row>
    <row r="113" spans="1:20">
      <c r="B113">
        <f t="shared" si="18"/>
        <v>110</v>
      </c>
      <c r="C113">
        <f t="shared" si="12"/>
        <v>30</v>
      </c>
      <c r="D113">
        <v>92</v>
      </c>
      <c r="E113">
        <v>122</v>
      </c>
      <c r="F113">
        <f>TxSPLINE!F$7</f>
        <v>0.59482758620689602</v>
      </c>
      <c r="G113">
        <f>TxSPLINE!F$8</f>
        <v>11.472258064516131</v>
      </c>
      <c r="H113">
        <f>TxSPLINE!K$7</f>
        <v>2.848707838586741E-2</v>
      </c>
      <c r="I113">
        <f>TxSPLINE!K$8</f>
        <v>-2.6174587044760445E-2</v>
      </c>
      <c r="J113">
        <f t="shared" si="13"/>
        <v>0.4</v>
      </c>
      <c r="K113">
        <f t="shared" si="14"/>
        <v>0.6</v>
      </c>
      <c r="L113">
        <f t="shared" si="15"/>
        <v>64</v>
      </c>
      <c r="M113" s="6">
        <f t="shared" si="16"/>
        <v>7.1212858731924369</v>
      </c>
      <c r="N113" s="13">
        <f t="shared" si="11"/>
        <v>7.1931933363229215</v>
      </c>
      <c r="O113" s="6">
        <f t="shared" si="19"/>
        <v>319.97473896922514</v>
      </c>
      <c r="P113" s="6">
        <f t="shared" si="20"/>
        <v>294.65957789915859</v>
      </c>
      <c r="Q113" s="6">
        <f t="shared" si="17"/>
        <v>7.1931933363229215</v>
      </c>
      <c r="T113" s="6">
        <f t="shared" si="10"/>
        <v>7.1931933363229215</v>
      </c>
    </row>
    <row r="114" spans="1:20">
      <c r="B114">
        <f t="shared" si="18"/>
        <v>111</v>
      </c>
      <c r="C114">
        <f t="shared" si="12"/>
        <v>30</v>
      </c>
      <c r="D114">
        <v>92</v>
      </c>
      <c r="E114">
        <v>122</v>
      </c>
      <c r="F114">
        <f>TxSPLINE!F$7</f>
        <v>0.59482758620689602</v>
      </c>
      <c r="G114">
        <f>TxSPLINE!F$8</f>
        <v>11.472258064516131</v>
      </c>
      <c r="H114">
        <f>TxSPLINE!K$7</f>
        <v>2.848707838586741E-2</v>
      </c>
      <c r="I114">
        <f>TxSPLINE!K$8</f>
        <v>-2.6174587044760445E-2</v>
      </c>
      <c r="J114">
        <f t="shared" si="13"/>
        <v>0.36666666666666664</v>
      </c>
      <c r="K114">
        <f t="shared" si="14"/>
        <v>0.6333333333333333</v>
      </c>
      <c r="L114">
        <f t="shared" si="15"/>
        <v>65</v>
      </c>
      <c r="M114" s="6">
        <f t="shared" si="16"/>
        <v>7.4838668891360776</v>
      </c>
      <c r="N114" s="13">
        <f t="shared" si="11"/>
        <v>7.6169122848965989</v>
      </c>
      <c r="O114" s="6">
        <f t="shared" si="19"/>
        <v>327.45860585836124</v>
      </c>
      <c r="P114" s="6">
        <f t="shared" si="20"/>
        <v>302.27649018405521</v>
      </c>
      <c r="Q114" s="6">
        <f t="shared" si="17"/>
        <v>7.6169122848965989</v>
      </c>
      <c r="T114" s="6">
        <f t="shared" ref="T114:T177" si="21">N114</f>
        <v>7.6169122848965989</v>
      </c>
    </row>
    <row r="115" spans="1:20">
      <c r="B115">
        <f t="shared" si="18"/>
        <v>112</v>
      </c>
      <c r="C115">
        <f t="shared" si="12"/>
        <v>30</v>
      </c>
      <c r="D115">
        <v>92</v>
      </c>
      <c r="E115">
        <v>122</v>
      </c>
      <c r="F115">
        <f>TxSPLINE!F$7</f>
        <v>0.59482758620689602</v>
      </c>
      <c r="G115">
        <f>TxSPLINE!F$8</f>
        <v>11.472258064516131</v>
      </c>
      <c r="H115">
        <f>TxSPLINE!K$7</f>
        <v>2.848707838586741E-2</v>
      </c>
      <c r="I115">
        <f>TxSPLINE!K$8</f>
        <v>-2.6174587044760445E-2</v>
      </c>
      <c r="J115">
        <f t="shared" si="13"/>
        <v>0.33333333333333331</v>
      </c>
      <c r="K115">
        <f t="shared" si="14"/>
        <v>0.66666666666666663</v>
      </c>
      <c r="L115">
        <f t="shared" si="15"/>
        <v>66</v>
      </c>
      <c r="M115" s="6">
        <f t="shared" si="16"/>
        <v>7.8464479050797191</v>
      </c>
      <c r="N115" s="13">
        <f t="shared" si="11"/>
        <v>8.0344992570834144</v>
      </c>
      <c r="O115" s="6">
        <f t="shared" si="19"/>
        <v>335.30505376344098</v>
      </c>
      <c r="P115" s="6">
        <f t="shared" si="20"/>
        <v>310.31098944113864</v>
      </c>
      <c r="Q115" s="6">
        <f t="shared" si="17"/>
        <v>8.0344992570834144</v>
      </c>
      <c r="T115" s="6">
        <f t="shared" si="21"/>
        <v>8.0344992570834144</v>
      </c>
    </row>
    <row r="116" spans="1:20">
      <c r="B116">
        <f t="shared" si="18"/>
        <v>113</v>
      </c>
      <c r="C116">
        <f t="shared" si="12"/>
        <v>30</v>
      </c>
      <c r="D116">
        <v>92</v>
      </c>
      <c r="E116">
        <v>122</v>
      </c>
      <c r="F116">
        <f>TxSPLINE!F$7</f>
        <v>0.59482758620689602</v>
      </c>
      <c r="G116">
        <f>TxSPLINE!F$8</f>
        <v>11.472258064516131</v>
      </c>
      <c r="H116">
        <f>TxSPLINE!K$7</f>
        <v>2.848707838586741E-2</v>
      </c>
      <c r="I116">
        <f>TxSPLINE!K$8</f>
        <v>-2.6174587044760445E-2</v>
      </c>
      <c r="J116">
        <f t="shared" si="13"/>
        <v>0.3</v>
      </c>
      <c r="K116">
        <f t="shared" si="14"/>
        <v>0.7</v>
      </c>
      <c r="L116">
        <f t="shared" si="15"/>
        <v>67</v>
      </c>
      <c r="M116" s="6">
        <f t="shared" si="16"/>
        <v>8.2090289210233607</v>
      </c>
      <c r="N116" s="13">
        <f t="shared" si="11"/>
        <v>8.4441321973690115</v>
      </c>
      <c r="O116" s="6">
        <f t="shared" si="19"/>
        <v>343.51408268446437</v>
      </c>
      <c r="P116" s="6">
        <f t="shared" si="20"/>
        <v>318.75512163850766</v>
      </c>
      <c r="Q116" s="6">
        <f t="shared" si="17"/>
        <v>8.4441321973690115</v>
      </c>
      <c r="T116" s="6">
        <f t="shared" si="21"/>
        <v>8.4441321973690115</v>
      </c>
    </row>
    <row r="117" spans="1:20">
      <c r="B117">
        <f t="shared" si="18"/>
        <v>114</v>
      </c>
      <c r="C117">
        <f t="shared" si="12"/>
        <v>30</v>
      </c>
      <c r="D117">
        <v>92</v>
      </c>
      <c r="E117">
        <v>122</v>
      </c>
      <c r="F117">
        <f>TxSPLINE!F$7</f>
        <v>0.59482758620689602</v>
      </c>
      <c r="G117">
        <f>TxSPLINE!F$8</f>
        <v>11.472258064516131</v>
      </c>
      <c r="H117">
        <f>TxSPLINE!K$7</f>
        <v>2.848707838586741E-2</v>
      </c>
      <c r="I117">
        <f>TxSPLINE!K$8</f>
        <v>-2.6174587044760445E-2</v>
      </c>
      <c r="J117">
        <f t="shared" si="13"/>
        <v>0.26666666666666666</v>
      </c>
      <c r="K117">
        <f t="shared" si="14"/>
        <v>0.73333333333333328</v>
      </c>
      <c r="L117">
        <f t="shared" si="15"/>
        <v>68</v>
      </c>
      <c r="M117" s="6">
        <f t="shared" si="16"/>
        <v>8.5716099369670022</v>
      </c>
      <c r="N117" s="13">
        <f t="shared" si="11"/>
        <v>8.8439890502390384</v>
      </c>
      <c r="O117" s="6">
        <f t="shared" si="19"/>
        <v>352.08569262143135</v>
      </c>
      <c r="P117" s="6">
        <f t="shared" si="20"/>
        <v>327.59911068874669</v>
      </c>
      <c r="Q117" s="6">
        <f t="shared" si="17"/>
        <v>8.8439890502390384</v>
      </c>
      <c r="T117" s="6">
        <f t="shared" si="21"/>
        <v>8.8439890502390384</v>
      </c>
    </row>
    <row r="118" spans="1:20">
      <c r="B118">
        <f t="shared" si="18"/>
        <v>115</v>
      </c>
      <c r="C118">
        <f t="shared" si="12"/>
        <v>30</v>
      </c>
      <c r="D118">
        <v>92</v>
      </c>
      <c r="E118">
        <v>122</v>
      </c>
      <c r="F118">
        <f>TxSPLINE!F$7</f>
        <v>0.59482758620689602</v>
      </c>
      <c r="G118">
        <f>TxSPLINE!F$8</f>
        <v>11.472258064516131</v>
      </c>
      <c r="H118">
        <f>TxSPLINE!K$7</f>
        <v>2.848707838586741E-2</v>
      </c>
      <c r="I118">
        <f>TxSPLINE!K$8</f>
        <v>-2.6174587044760445E-2</v>
      </c>
      <c r="J118">
        <f t="shared" si="13"/>
        <v>0.23333333333333334</v>
      </c>
      <c r="K118">
        <f t="shared" si="14"/>
        <v>0.76666666666666672</v>
      </c>
      <c r="L118">
        <f t="shared" si="15"/>
        <v>69</v>
      </c>
      <c r="M118" s="6">
        <f t="shared" si="16"/>
        <v>8.9341909529106438</v>
      </c>
      <c r="N118" s="13">
        <f t="shared" si="11"/>
        <v>9.2322477601791366</v>
      </c>
      <c r="O118" s="6">
        <f t="shared" si="19"/>
        <v>361.01988357434197</v>
      </c>
      <c r="P118" s="6">
        <f t="shared" si="20"/>
        <v>336.83135844892581</v>
      </c>
      <c r="Q118" s="6">
        <f t="shared" si="17"/>
        <v>9.2322477601791366</v>
      </c>
      <c r="T118" s="6">
        <f t="shared" si="21"/>
        <v>9.2322477601791366</v>
      </c>
    </row>
    <row r="119" spans="1:20">
      <c r="B119">
        <f t="shared" si="18"/>
        <v>116</v>
      </c>
      <c r="C119">
        <f t="shared" si="12"/>
        <v>30</v>
      </c>
      <c r="D119">
        <v>92</v>
      </c>
      <c r="E119">
        <v>122</v>
      </c>
      <c r="F119">
        <f>TxSPLINE!F$7</f>
        <v>0.59482758620689602</v>
      </c>
      <c r="G119">
        <f>TxSPLINE!F$8</f>
        <v>11.472258064516131</v>
      </c>
      <c r="H119">
        <f>TxSPLINE!K$7</f>
        <v>2.848707838586741E-2</v>
      </c>
      <c r="I119">
        <f>TxSPLINE!K$8</f>
        <v>-2.6174587044760445E-2</v>
      </c>
      <c r="J119">
        <f t="shared" si="13"/>
        <v>0.2</v>
      </c>
      <c r="K119">
        <f t="shared" si="14"/>
        <v>0.8</v>
      </c>
      <c r="L119">
        <f t="shared" si="15"/>
        <v>70</v>
      </c>
      <c r="M119" s="6">
        <f t="shared" si="16"/>
        <v>9.2967719688542854</v>
      </c>
      <c r="N119" s="13">
        <f t="shared" ref="N119:N182" si="22">Q119</f>
        <v>9.6070862716749552</v>
      </c>
      <c r="O119" s="6">
        <f t="shared" si="19"/>
        <v>370.31665554319625</v>
      </c>
      <c r="P119" s="6">
        <f t="shared" si="20"/>
        <v>346.43844472060078</v>
      </c>
      <c r="Q119" s="6">
        <f t="shared" si="17"/>
        <v>9.6070862716749552</v>
      </c>
      <c r="T119" s="6">
        <f t="shared" si="21"/>
        <v>9.6070862716749552</v>
      </c>
    </row>
    <row r="120" spans="1:20">
      <c r="B120">
        <f t="shared" si="18"/>
        <v>117</v>
      </c>
      <c r="C120">
        <f t="shared" si="12"/>
        <v>30</v>
      </c>
      <c r="D120">
        <v>92</v>
      </c>
      <c r="E120">
        <v>122</v>
      </c>
      <c r="F120">
        <f>TxSPLINE!F$7</f>
        <v>0.59482758620689602</v>
      </c>
      <c r="G120">
        <f>TxSPLINE!F$8</f>
        <v>11.472258064516131</v>
      </c>
      <c r="H120">
        <f>TxSPLINE!K$7</f>
        <v>2.848707838586741E-2</v>
      </c>
      <c r="I120">
        <f>TxSPLINE!K$8</f>
        <v>-2.6174587044760445E-2</v>
      </c>
      <c r="J120">
        <f t="shared" si="13"/>
        <v>0.16666666666666666</v>
      </c>
      <c r="K120">
        <f t="shared" si="14"/>
        <v>0.83333333333333337</v>
      </c>
      <c r="L120">
        <f t="shared" si="15"/>
        <v>71</v>
      </c>
      <c r="M120" s="6">
        <f t="shared" si="16"/>
        <v>9.6593529847979251</v>
      </c>
      <c r="N120" s="13">
        <f t="shared" si="22"/>
        <v>9.9666825292121359</v>
      </c>
      <c r="O120" s="6">
        <f t="shared" si="19"/>
        <v>379.97600852799417</v>
      </c>
      <c r="P120" s="6">
        <f t="shared" si="20"/>
        <v>356.40512724981295</v>
      </c>
      <c r="Q120" s="6">
        <f t="shared" si="17"/>
        <v>9.9666825292121359</v>
      </c>
      <c r="T120" s="6">
        <f t="shared" si="21"/>
        <v>9.9666825292121359</v>
      </c>
    </row>
    <row r="121" spans="1:20">
      <c r="B121">
        <f t="shared" si="18"/>
        <v>118</v>
      </c>
      <c r="C121">
        <f t="shared" si="12"/>
        <v>30</v>
      </c>
      <c r="D121">
        <v>92</v>
      </c>
      <c r="E121">
        <v>122</v>
      </c>
      <c r="F121">
        <f>TxSPLINE!F$7</f>
        <v>0.59482758620689602</v>
      </c>
      <c r="G121">
        <f>TxSPLINE!F$8</f>
        <v>11.472258064516131</v>
      </c>
      <c r="H121">
        <f>TxSPLINE!K$7</f>
        <v>2.848707838586741E-2</v>
      </c>
      <c r="I121">
        <f>TxSPLINE!K$8</f>
        <v>-2.6174587044760445E-2</v>
      </c>
      <c r="J121">
        <f t="shared" si="13"/>
        <v>0.13333333333333333</v>
      </c>
      <c r="K121">
        <f t="shared" si="14"/>
        <v>0.8666666666666667</v>
      </c>
      <c r="L121">
        <f t="shared" si="15"/>
        <v>72</v>
      </c>
      <c r="M121" s="6">
        <f t="shared" si="16"/>
        <v>10.021934000741567</v>
      </c>
      <c r="N121" s="13">
        <f t="shared" si="22"/>
        <v>10.309214477276331</v>
      </c>
      <c r="O121" s="6">
        <f t="shared" si="19"/>
        <v>389.99794252873573</v>
      </c>
      <c r="P121" s="6">
        <f t="shared" si="20"/>
        <v>366.71434172708928</v>
      </c>
      <c r="Q121" s="6">
        <f t="shared" si="17"/>
        <v>10.309214477276331</v>
      </c>
      <c r="T121" s="6">
        <f t="shared" si="21"/>
        <v>10.309214477276331</v>
      </c>
    </row>
    <row r="122" spans="1:20">
      <c r="B122">
        <f t="shared" si="18"/>
        <v>119</v>
      </c>
      <c r="C122">
        <f t="shared" si="12"/>
        <v>30</v>
      </c>
      <c r="D122">
        <v>92</v>
      </c>
      <c r="E122">
        <v>122</v>
      </c>
      <c r="F122">
        <f>TxSPLINE!F$7</f>
        <v>0.59482758620689602</v>
      </c>
      <c r="G122">
        <f>TxSPLINE!F$8</f>
        <v>11.472258064516131</v>
      </c>
      <c r="H122">
        <f>TxSPLINE!K$7</f>
        <v>2.848707838586741E-2</v>
      </c>
      <c r="I122">
        <f>TxSPLINE!K$8</f>
        <v>-2.6174587044760445E-2</v>
      </c>
      <c r="J122">
        <f t="shared" si="13"/>
        <v>0.1</v>
      </c>
      <c r="K122">
        <f t="shared" si="14"/>
        <v>0.9</v>
      </c>
      <c r="L122">
        <f t="shared" si="15"/>
        <v>73</v>
      </c>
      <c r="M122" s="6">
        <f t="shared" si="16"/>
        <v>10.384515016685206</v>
      </c>
      <c r="N122" s="13">
        <f t="shared" si="22"/>
        <v>10.632860060353181</v>
      </c>
      <c r="O122" s="6">
        <f t="shared" si="19"/>
        <v>400.38245754542095</v>
      </c>
      <c r="P122" s="6">
        <f t="shared" si="20"/>
        <v>377.34720178744249</v>
      </c>
      <c r="Q122" s="6">
        <f t="shared" si="17"/>
        <v>10.632860060353181</v>
      </c>
      <c r="T122" s="6">
        <f t="shared" si="21"/>
        <v>10.632860060353181</v>
      </c>
    </row>
    <row r="123" spans="1:20">
      <c r="B123">
        <f t="shared" si="18"/>
        <v>120</v>
      </c>
      <c r="C123">
        <f t="shared" si="12"/>
        <v>30</v>
      </c>
      <c r="D123">
        <v>92</v>
      </c>
      <c r="E123">
        <v>122</v>
      </c>
      <c r="F123">
        <f>TxSPLINE!F$7</f>
        <v>0.59482758620689602</v>
      </c>
      <c r="G123">
        <f>TxSPLINE!F$8</f>
        <v>11.472258064516131</v>
      </c>
      <c r="H123">
        <f>TxSPLINE!K$7</f>
        <v>2.848707838586741E-2</v>
      </c>
      <c r="I123">
        <f>TxSPLINE!K$8</f>
        <v>-2.6174587044760445E-2</v>
      </c>
      <c r="J123">
        <f t="shared" si="13"/>
        <v>6.6666666666666666E-2</v>
      </c>
      <c r="K123">
        <f t="shared" si="14"/>
        <v>0.93333333333333335</v>
      </c>
      <c r="L123">
        <f t="shared" si="15"/>
        <v>74</v>
      </c>
      <c r="M123" s="6">
        <f t="shared" si="16"/>
        <v>10.74709603262885</v>
      </c>
      <c r="N123" s="13">
        <f t="shared" si="22"/>
        <v>10.935797222928336</v>
      </c>
      <c r="O123" s="6">
        <f t="shared" si="19"/>
        <v>411.12955357804981</v>
      </c>
      <c r="P123" s="6">
        <f t="shared" si="20"/>
        <v>388.28299901037082</v>
      </c>
      <c r="Q123" s="6">
        <f t="shared" si="17"/>
        <v>10.935797222928336</v>
      </c>
      <c r="T123" s="6">
        <f t="shared" si="21"/>
        <v>10.935797222928336</v>
      </c>
    </row>
    <row r="124" spans="1:20">
      <c r="B124">
        <f t="shared" si="18"/>
        <v>121</v>
      </c>
      <c r="C124">
        <f t="shared" si="12"/>
        <v>30</v>
      </c>
      <c r="D124">
        <v>92</v>
      </c>
      <c r="E124">
        <v>122</v>
      </c>
      <c r="F124">
        <f>TxSPLINE!F$7</f>
        <v>0.59482758620689602</v>
      </c>
      <c r="G124">
        <f>TxSPLINE!F$8</f>
        <v>11.472258064516131</v>
      </c>
      <c r="H124">
        <f>TxSPLINE!K$7</f>
        <v>2.848707838586741E-2</v>
      </c>
      <c r="I124">
        <f>TxSPLINE!K$8</f>
        <v>-2.6174587044760445E-2</v>
      </c>
      <c r="J124">
        <f t="shared" si="13"/>
        <v>3.3333333333333333E-2</v>
      </c>
      <c r="K124">
        <f t="shared" si="14"/>
        <v>0.96666666666666667</v>
      </c>
      <c r="L124">
        <f t="shared" si="15"/>
        <v>75</v>
      </c>
      <c r="M124" s="6">
        <f t="shared" si="16"/>
        <v>11.10967704857249</v>
      </c>
      <c r="N124" s="13">
        <f t="shared" si="22"/>
        <v>11.216203909487437</v>
      </c>
      <c r="O124" s="6">
        <f t="shared" si="19"/>
        <v>422.23923062662232</v>
      </c>
      <c r="P124" s="6">
        <f t="shared" si="20"/>
        <v>399.49920291985825</v>
      </c>
      <c r="Q124" s="6">
        <f t="shared" si="17"/>
        <v>11.216203909487437</v>
      </c>
      <c r="T124" s="6">
        <f t="shared" si="21"/>
        <v>11.216203909487437</v>
      </c>
    </row>
    <row r="125" spans="1:20">
      <c r="A125">
        <v>122</v>
      </c>
      <c r="B125">
        <f t="shared" si="18"/>
        <v>122</v>
      </c>
      <c r="C125">
        <f t="shared" si="12"/>
        <v>30</v>
      </c>
      <c r="D125">
        <v>92</v>
      </c>
      <c r="E125">
        <v>122</v>
      </c>
      <c r="F125">
        <f>TxSPLINE!F$7</f>
        <v>0.59482758620689602</v>
      </c>
      <c r="G125">
        <f>TxSPLINE!F$8</f>
        <v>11.472258064516131</v>
      </c>
      <c r="H125">
        <f>TxSPLINE!K$7</f>
        <v>2.848707838586741E-2</v>
      </c>
      <c r="I125">
        <f>TxSPLINE!K$8</f>
        <v>-2.6174587044760445E-2</v>
      </c>
      <c r="J125">
        <f t="shared" si="13"/>
        <v>0</v>
      </c>
      <c r="K125">
        <f t="shared" si="14"/>
        <v>1</v>
      </c>
      <c r="L125">
        <f t="shared" si="15"/>
        <v>76</v>
      </c>
      <c r="M125" s="6">
        <f t="shared" si="16"/>
        <v>11.472258064516131</v>
      </c>
      <c r="N125" s="13">
        <f t="shared" si="22"/>
        <v>11.472258064516131</v>
      </c>
      <c r="O125" s="6">
        <f t="shared" si="19"/>
        <v>433.71148869113847</v>
      </c>
      <c r="P125" s="6">
        <f t="shared" si="20"/>
        <v>410.9714609843744</v>
      </c>
      <c r="Q125" s="6">
        <f t="shared" si="17"/>
        <v>11.472258064516131</v>
      </c>
      <c r="T125" s="6">
        <f t="shared" si="21"/>
        <v>11.472258064516131</v>
      </c>
    </row>
    <row r="126" spans="1:20">
      <c r="B126">
        <f t="shared" si="18"/>
        <v>123</v>
      </c>
      <c r="C126">
        <f t="shared" si="12"/>
        <v>31</v>
      </c>
      <c r="D126">
        <v>122</v>
      </c>
      <c r="E126">
        <v>153</v>
      </c>
      <c r="F126">
        <f>TxSPLINE!F$8</f>
        <v>11.472258064516131</v>
      </c>
      <c r="G126">
        <f>TxSPLINE!F$9</f>
        <v>12.733000000000001</v>
      </c>
      <c r="H126">
        <f>TxSPLINE!K$8</f>
        <v>-2.6174587044760445E-2</v>
      </c>
      <c r="I126">
        <f>TxSPLINE!K$9</f>
        <v>1.3135991625195917E-2</v>
      </c>
      <c r="J126">
        <f t="shared" si="13"/>
        <v>0.967741935483871</v>
      </c>
      <c r="K126">
        <f t="shared" si="14"/>
        <v>3.2258064516129031E-2</v>
      </c>
      <c r="L126">
        <f t="shared" si="15"/>
        <v>77</v>
      </c>
      <c r="M126" s="6">
        <f t="shared" si="16"/>
        <v>11.512927159209161</v>
      </c>
      <c r="N126" s="13">
        <f t="shared" si="22"/>
        <v>11.702652655616276</v>
      </c>
      <c r="O126" s="6">
        <f t="shared" si="19"/>
        <v>445.22441585034761</v>
      </c>
      <c r="P126" s="6">
        <f t="shared" si="20"/>
        <v>422.67411363999065</v>
      </c>
      <c r="Q126" s="6">
        <f t="shared" si="17"/>
        <v>11.702652655616276</v>
      </c>
      <c r="T126" s="6">
        <f t="shared" si="21"/>
        <v>11.702652655616276</v>
      </c>
    </row>
    <row r="127" spans="1:20">
      <c r="B127">
        <f t="shared" si="18"/>
        <v>124</v>
      </c>
      <c r="C127">
        <f t="shared" si="12"/>
        <v>31</v>
      </c>
      <c r="D127">
        <v>122</v>
      </c>
      <c r="E127">
        <v>153</v>
      </c>
      <c r="F127">
        <f>TxSPLINE!F$8</f>
        <v>11.472258064516131</v>
      </c>
      <c r="G127">
        <f>TxSPLINE!F$9</f>
        <v>12.733000000000001</v>
      </c>
      <c r="H127">
        <f>TxSPLINE!K$8</f>
        <v>-2.6174587044760445E-2</v>
      </c>
      <c r="I127">
        <f>TxSPLINE!K$9</f>
        <v>1.3135991625195917E-2</v>
      </c>
      <c r="J127">
        <f t="shared" si="13"/>
        <v>0.93548387096774188</v>
      </c>
      <c r="K127">
        <f t="shared" si="14"/>
        <v>6.4516129032258063E-2</v>
      </c>
      <c r="L127">
        <f t="shared" si="15"/>
        <v>78</v>
      </c>
      <c r="M127" s="6">
        <f t="shared" si="16"/>
        <v>11.553596253902185</v>
      </c>
      <c r="N127" s="13">
        <f t="shared" si="22"/>
        <v>11.90814074285456</v>
      </c>
      <c r="O127" s="6">
        <f t="shared" si="19"/>
        <v>456.7780121042498</v>
      </c>
      <c r="P127" s="6">
        <f t="shared" si="20"/>
        <v>434.58225438284524</v>
      </c>
      <c r="Q127" s="6">
        <f t="shared" si="17"/>
        <v>11.90814074285456</v>
      </c>
      <c r="T127" s="6">
        <f t="shared" si="21"/>
        <v>11.90814074285456</v>
      </c>
    </row>
    <row r="128" spans="1:20">
      <c r="B128">
        <f t="shared" si="18"/>
        <v>125</v>
      </c>
      <c r="C128">
        <f t="shared" si="12"/>
        <v>31</v>
      </c>
      <c r="D128">
        <v>122</v>
      </c>
      <c r="E128">
        <v>153</v>
      </c>
      <c r="F128">
        <f>TxSPLINE!F$8</f>
        <v>11.472258064516131</v>
      </c>
      <c r="G128">
        <f>TxSPLINE!F$9</f>
        <v>12.733000000000001</v>
      </c>
      <c r="H128">
        <f>TxSPLINE!K$8</f>
        <v>-2.6174587044760445E-2</v>
      </c>
      <c r="I128">
        <f>TxSPLINE!K$9</f>
        <v>1.3135991625195917E-2</v>
      </c>
      <c r="J128">
        <f t="shared" si="13"/>
        <v>0.90322580645161288</v>
      </c>
      <c r="K128">
        <f t="shared" si="14"/>
        <v>9.6774193548387094E-2</v>
      </c>
      <c r="L128">
        <f t="shared" si="15"/>
        <v>79</v>
      </c>
      <c r="M128" s="6">
        <f t="shared" si="16"/>
        <v>11.594265348595215</v>
      </c>
      <c r="N128" s="13">
        <f t="shared" si="22"/>
        <v>12.089990409413888</v>
      </c>
      <c r="O128" s="6">
        <f t="shared" si="19"/>
        <v>468.37227745284503</v>
      </c>
      <c r="P128" s="6">
        <f t="shared" si="20"/>
        <v>446.67224479225911</v>
      </c>
      <c r="Q128" s="6">
        <f t="shared" si="17"/>
        <v>12.089990409413888</v>
      </c>
      <c r="T128" s="6">
        <f t="shared" si="21"/>
        <v>12.089990409413888</v>
      </c>
    </row>
    <row r="129" spans="2:20">
      <c r="B129">
        <f t="shared" si="18"/>
        <v>126</v>
      </c>
      <c r="C129">
        <f t="shared" si="12"/>
        <v>31</v>
      </c>
      <c r="D129">
        <v>122</v>
      </c>
      <c r="E129">
        <v>153</v>
      </c>
      <c r="F129">
        <f>TxSPLINE!F$8</f>
        <v>11.472258064516131</v>
      </c>
      <c r="G129">
        <f>TxSPLINE!F$9</f>
        <v>12.733000000000001</v>
      </c>
      <c r="H129">
        <f>TxSPLINE!K$8</f>
        <v>-2.6174587044760445E-2</v>
      </c>
      <c r="I129">
        <f>TxSPLINE!K$9</f>
        <v>1.3135991625195917E-2</v>
      </c>
      <c r="J129">
        <f t="shared" si="13"/>
        <v>0.87096774193548387</v>
      </c>
      <c r="K129">
        <f t="shared" si="14"/>
        <v>0.12903225806451613</v>
      </c>
      <c r="L129">
        <f t="shared" si="15"/>
        <v>80</v>
      </c>
      <c r="M129" s="6">
        <f t="shared" si="16"/>
        <v>11.634934443288243</v>
      </c>
      <c r="N129" s="13">
        <f t="shared" si="22"/>
        <v>12.249469738477162</v>
      </c>
      <c r="O129" s="6">
        <f t="shared" si="19"/>
        <v>480.00721189613324</v>
      </c>
      <c r="P129" s="6">
        <f t="shared" si="20"/>
        <v>458.92171453073627</v>
      </c>
      <c r="Q129" s="6">
        <f t="shared" si="17"/>
        <v>12.249469738477162</v>
      </c>
      <c r="T129" s="6">
        <f t="shared" si="21"/>
        <v>12.249469738477162</v>
      </c>
    </row>
    <row r="130" spans="2:20">
      <c r="B130">
        <f t="shared" si="18"/>
        <v>127</v>
      </c>
      <c r="C130">
        <f t="shared" si="12"/>
        <v>31</v>
      </c>
      <c r="D130">
        <v>122</v>
      </c>
      <c r="E130">
        <v>153</v>
      </c>
      <c r="F130">
        <f>TxSPLINE!F$8</f>
        <v>11.472258064516131</v>
      </c>
      <c r="G130">
        <f>TxSPLINE!F$9</f>
        <v>12.733000000000001</v>
      </c>
      <c r="H130">
        <f>TxSPLINE!K$8</f>
        <v>-2.6174587044760445E-2</v>
      </c>
      <c r="I130">
        <f>TxSPLINE!K$9</f>
        <v>1.3135991625195917E-2</v>
      </c>
      <c r="J130">
        <f t="shared" si="13"/>
        <v>0.83870967741935487</v>
      </c>
      <c r="K130">
        <f t="shared" si="14"/>
        <v>0.16129032258064516</v>
      </c>
      <c r="L130">
        <f t="shared" si="15"/>
        <v>81</v>
      </c>
      <c r="M130" s="6">
        <f t="shared" si="16"/>
        <v>11.675603537981271</v>
      </c>
      <c r="N130" s="13">
        <f t="shared" si="22"/>
        <v>12.387846813227281</v>
      </c>
      <c r="O130" s="6">
        <f t="shared" si="19"/>
        <v>491.6828154341145</v>
      </c>
      <c r="P130" s="6">
        <f t="shared" si="20"/>
        <v>471.30956134396354</v>
      </c>
      <c r="Q130" s="6">
        <f t="shared" si="17"/>
        <v>12.387846813227281</v>
      </c>
      <c r="T130" s="6">
        <f t="shared" si="21"/>
        <v>12.387846813227281</v>
      </c>
    </row>
    <row r="131" spans="2:20">
      <c r="B131">
        <f t="shared" si="18"/>
        <v>128</v>
      </c>
      <c r="C131">
        <f t="shared" si="12"/>
        <v>31</v>
      </c>
      <c r="D131">
        <v>122</v>
      </c>
      <c r="E131">
        <v>153</v>
      </c>
      <c r="F131">
        <f>TxSPLINE!F$8</f>
        <v>11.472258064516131</v>
      </c>
      <c r="G131">
        <f>TxSPLINE!F$9</f>
        <v>12.733000000000001</v>
      </c>
      <c r="H131">
        <f>TxSPLINE!K$8</f>
        <v>-2.6174587044760445E-2</v>
      </c>
      <c r="I131">
        <f>TxSPLINE!K$9</f>
        <v>1.3135991625195917E-2</v>
      </c>
      <c r="J131">
        <f t="shared" si="13"/>
        <v>0.80645161290322576</v>
      </c>
      <c r="K131">
        <f t="shared" si="14"/>
        <v>0.19354838709677419</v>
      </c>
      <c r="L131">
        <f t="shared" si="15"/>
        <v>82</v>
      </c>
      <c r="M131" s="6">
        <f t="shared" si="16"/>
        <v>11.716272632674299</v>
      </c>
      <c r="N131" s="13">
        <f t="shared" si="22"/>
        <v>12.506389716847151</v>
      </c>
      <c r="O131" s="6">
        <f t="shared" si="19"/>
        <v>503.39908806678881</v>
      </c>
      <c r="P131" s="6">
        <f t="shared" si="20"/>
        <v>483.81595106081068</v>
      </c>
      <c r="Q131" s="6">
        <f t="shared" si="17"/>
        <v>12.506389716847151</v>
      </c>
      <c r="T131" s="6">
        <f t="shared" si="21"/>
        <v>12.506389716847151</v>
      </c>
    </row>
    <row r="132" spans="2:20">
      <c r="B132">
        <f t="shared" si="18"/>
        <v>129</v>
      </c>
      <c r="C132">
        <f t="shared" ref="C132:C195" si="23">E132-D132</f>
        <v>31</v>
      </c>
      <c r="D132">
        <v>122</v>
      </c>
      <c r="E132">
        <v>153</v>
      </c>
      <c r="F132">
        <f>TxSPLINE!F$8</f>
        <v>11.472258064516131</v>
      </c>
      <c r="G132">
        <f>TxSPLINE!F$9</f>
        <v>12.733000000000001</v>
      </c>
      <c r="H132">
        <f>TxSPLINE!K$8</f>
        <v>-2.6174587044760445E-2</v>
      </c>
      <c r="I132">
        <f>TxSPLINE!K$9</f>
        <v>1.3135991625195917E-2</v>
      </c>
      <c r="J132">
        <f t="shared" ref="J132:J195" si="24">(E132-B132)/C132</f>
        <v>0.77419354838709675</v>
      </c>
      <c r="K132">
        <f t="shared" ref="K132:K195" si="25">(B132-D132)/C132</f>
        <v>0.22580645161290322</v>
      </c>
      <c r="L132">
        <f t="shared" ref="L132:L195" si="26">B132-46</f>
        <v>83</v>
      </c>
      <c r="M132" s="6">
        <f t="shared" ref="M132:M195" si="27">J132*F132+K132*G132</f>
        <v>11.756941727367327</v>
      </c>
      <c r="N132" s="13">
        <f t="shared" si="22"/>
        <v>12.606366532519669</v>
      </c>
      <c r="O132" s="6">
        <f t="shared" si="19"/>
        <v>515.1560297941561</v>
      </c>
      <c r="P132" s="6">
        <f t="shared" si="20"/>
        <v>496.42231759333032</v>
      </c>
      <c r="Q132" s="6">
        <f t="shared" ref="Q132:Q195" si="28">M132+(((J132^3-J132)*H132+(K132^3-K132)*I132))*(C132^2)/6</f>
        <v>12.606366532519669</v>
      </c>
      <c r="T132" s="6">
        <f t="shared" si="21"/>
        <v>12.606366532519669</v>
      </c>
    </row>
    <row r="133" spans="2:20">
      <c r="B133">
        <f t="shared" ref="B133:B196" si="29">B132+1</f>
        <v>130</v>
      </c>
      <c r="C133">
        <f t="shared" si="23"/>
        <v>31</v>
      </c>
      <c r="D133">
        <v>122</v>
      </c>
      <c r="E133">
        <v>153</v>
      </c>
      <c r="F133">
        <f>TxSPLINE!F$8</f>
        <v>11.472258064516131</v>
      </c>
      <c r="G133">
        <f>TxSPLINE!F$9</f>
        <v>12.733000000000001</v>
      </c>
      <c r="H133">
        <f>TxSPLINE!K$8</f>
        <v>-2.6174587044760445E-2</v>
      </c>
      <c r="I133">
        <f>TxSPLINE!K$9</f>
        <v>1.3135991625195917E-2</v>
      </c>
      <c r="J133">
        <f t="shared" si="24"/>
        <v>0.74193548387096775</v>
      </c>
      <c r="K133">
        <f t="shared" si="25"/>
        <v>0.25806451612903225</v>
      </c>
      <c r="L133">
        <f t="shared" si="26"/>
        <v>84</v>
      </c>
      <c r="M133" s="6">
        <f t="shared" si="27"/>
        <v>11.797610822060356</v>
      </c>
      <c r="N133" s="13">
        <f t="shared" si="22"/>
        <v>12.689045343427743</v>
      </c>
      <c r="O133" s="6">
        <f t="shared" ref="O133:O196" si="30">O132+M133</f>
        <v>526.95364061621649</v>
      </c>
      <c r="P133" s="6">
        <f t="shared" ref="P133:P196" si="31">P132+N133</f>
        <v>509.11136293675804</v>
      </c>
      <c r="Q133" s="6">
        <f t="shared" si="28"/>
        <v>12.689045343427743</v>
      </c>
      <c r="T133" s="6">
        <f t="shared" si="21"/>
        <v>12.689045343427743</v>
      </c>
    </row>
    <row r="134" spans="2:20">
      <c r="B134">
        <f t="shared" si="29"/>
        <v>131</v>
      </c>
      <c r="C134">
        <f t="shared" si="23"/>
        <v>31</v>
      </c>
      <c r="D134">
        <v>122</v>
      </c>
      <c r="E134">
        <v>153</v>
      </c>
      <c r="F134">
        <f>TxSPLINE!F$8</f>
        <v>11.472258064516131</v>
      </c>
      <c r="G134">
        <f>TxSPLINE!F$9</f>
        <v>12.733000000000001</v>
      </c>
      <c r="H134">
        <f>TxSPLINE!K$8</f>
        <v>-2.6174587044760445E-2</v>
      </c>
      <c r="I134">
        <f>TxSPLINE!K$9</f>
        <v>1.3135991625195917E-2</v>
      </c>
      <c r="J134">
        <f t="shared" si="24"/>
        <v>0.70967741935483875</v>
      </c>
      <c r="K134">
        <f t="shared" si="25"/>
        <v>0.29032258064516131</v>
      </c>
      <c r="L134">
        <f t="shared" si="26"/>
        <v>85</v>
      </c>
      <c r="M134" s="6">
        <f t="shared" si="27"/>
        <v>11.838279916753383</v>
      </c>
      <c r="N134" s="13">
        <f t="shared" si="22"/>
        <v>12.755694232754266</v>
      </c>
      <c r="O134" s="6">
        <f t="shared" si="30"/>
        <v>538.79192053296993</v>
      </c>
      <c r="P134" s="6">
        <f t="shared" si="31"/>
        <v>521.86705716951235</v>
      </c>
      <c r="Q134" s="6">
        <f t="shared" si="28"/>
        <v>12.755694232754266</v>
      </c>
      <c r="T134" s="6">
        <f t="shared" si="21"/>
        <v>12.755694232754266</v>
      </c>
    </row>
    <row r="135" spans="2:20">
      <c r="B135">
        <f t="shared" si="29"/>
        <v>132</v>
      </c>
      <c r="C135">
        <f t="shared" si="23"/>
        <v>31</v>
      </c>
      <c r="D135">
        <v>122</v>
      </c>
      <c r="E135">
        <v>153</v>
      </c>
      <c r="F135">
        <f>TxSPLINE!F$8</f>
        <v>11.472258064516131</v>
      </c>
      <c r="G135">
        <f>TxSPLINE!F$9</f>
        <v>12.733000000000001</v>
      </c>
      <c r="H135">
        <f>TxSPLINE!K$8</f>
        <v>-2.6174587044760445E-2</v>
      </c>
      <c r="I135">
        <f>TxSPLINE!K$9</f>
        <v>1.3135991625195917E-2</v>
      </c>
      <c r="J135">
        <f t="shared" si="24"/>
        <v>0.67741935483870963</v>
      </c>
      <c r="K135">
        <f t="shared" si="25"/>
        <v>0.32258064516129031</v>
      </c>
      <c r="L135">
        <f t="shared" si="26"/>
        <v>86</v>
      </c>
      <c r="M135" s="6">
        <f t="shared" si="27"/>
        <v>11.87894901144641</v>
      </c>
      <c r="N135" s="13">
        <f t="shared" si="22"/>
        <v>12.807581283682149</v>
      </c>
      <c r="O135" s="6">
        <f t="shared" si="30"/>
        <v>550.67086954441629</v>
      </c>
      <c r="P135" s="6">
        <f t="shared" si="31"/>
        <v>534.67463845319446</v>
      </c>
      <c r="Q135" s="6">
        <f t="shared" si="28"/>
        <v>12.807581283682149</v>
      </c>
      <c r="T135" s="6">
        <f t="shared" si="21"/>
        <v>12.807581283682149</v>
      </c>
    </row>
    <row r="136" spans="2:20">
      <c r="B136">
        <f t="shared" si="29"/>
        <v>133</v>
      </c>
      <c r="C136">
        <f t="shared" si="23"/>
        <v>31</v>
      </c>
      <c r="D136">
        <v>122</v>
      </c>
      <c r="E136">
        <v>153</v>
      </c>
      <c r="F136">
        <f>TxSPLINE!F$8</f>
        <v>11.472258064516131</v>
      </c>
      <c r="G136">
        <f>TxSPLINE!F$9</f>
        <v>12.733000000000001</v>
      </c>
      <c r="H136">
        <f>TxSPLINE!K$8</f>
        <v>-2.6174587044760445E-2</v>
      </c>
      <c r="I136">
        <f>TxSPLINE!K$9</f>
        <v>1.3135991625195917E-2</v>
      </c>
      <c r="J136">
        <f t="shared" si="24"/>
        <v>0.64516129032258063</v>
      </c>
      <c r="K136">
        <f t="shared" si="25"/>
        <v>0.35483870967741937</v>
      </c>
      <c r="L136">
        <f t="shared" si="26"/>
        <v>87</v>
      </c>
      <c r="M136" s="6">
        <f t="shared" si="27"/>
        <v>11.91961810613944</v>
      </c>
      <c r="N136" s="13">
        <f t="shared" si="22"/>
        <v>12.845974579394289</v>
      </c>
      <c r="O136" s="6">
        <f t="shared" si="30"/>
        <v>562.5904876505557</v>
      </c>
      <c r="P136" s="6">
        <f t="shared" si="31"/>
        <v>547.5206130325887</v>
      </c>
      <c r="Q136" s="6">
        <f t="shared" si="28"/>
        <v>12.845974579394289</v>
      </c>
      <c r="T136" s="6">
        <f t="shared" si="21"/>
        <v>12.845974579394289</v>
      </c>
    </row>
    <row r="137" spans="2:20">
      <c r="B137">
        <f t="shared" si="29"/>
        <v>134</v>
      </c>
      <c r="C137">
        <f t="shared" si="23"/>
        <v>31</v>
      </c>
      <c r="D137">
        <v>122</v>
      </c>
      <c r="E137">
        <v>153</v>
      </c>
      <c r="F137">
        <f>TxSPLINE!F$8</f>
        <v>11.472258064516131</v>
      </c>
      <c r="G137">
        <f>TxSPLINE!F$9</f>
        <v>12.733000000000001</v>
      </c>
      <c r="H137">
        <f>TxSPLINE!K$8</f>
        <v>-2.6174587044760445E-2</v>
      </c>
      <c r="I137">
        <f>TxSPLINE!K$9</f>
        <v>1.3135991625195917E-2</v>
      </c>
      <c r="J137">
        <f t="shared" si="24"/>
        <v>0.61290322580645162</v>
      </c>
      <c r="K137">
        <f t="shared" si="25"/>
        <v>0.38709677419354838</v>
      </c>
      <c r="L137">
        <f t="shared" si="26"/>
        <v>88</v>
      </c>
      <c r="M137" s="6">
        <f t="shared" si="27"/>
        <v>11.960287200832468</v>
      </c>
      <c r="N137" s="13">
        <f t="shared" si="22"/>
        <v>12.872142203073588</v>
      </c>
      <c r="O137" s="6">
        <f t="shared" si="30"/>
        <v>574.55077485138816</v>
      </c>
      <c r="P137" s="6">
        <f t="shared" si="31"/>
        <v>560.39275523566232</v>
      </c>
      <c r="Q137" s="6">
        <f t="shared" si="28"/>
        <v>12.872142203073588</v>
      </c>
      <c r="T137" s="6">
        <f t="shared" si="21"/>
        <v>12.872142203073588</v>
      </c>
    </row>
    <row r="138" spans="2:20">
      <c r="B138">
        <f t="shared" si="29"/>
        <v>135</v>
      </c>
      <c r="C138">
        <f t="shared" si="23"/>
        <v>31</v>
      </c>
      <c r="D138">
        <v>122</v>
      </c>
      <c r="E138">
        <v>153</v>
      </c>
      <c r="F138">
        <f>TxSPLINE!F$8</f>
        <v>11.472258064516131</v>
      </c>
      <c r="G138">
        <f>TxSPLINE!F$9</f>
        <v>12.733000000000001</v>
      </c>
      <c r="H138">
        <f>TxSPLINE!K$8</f>
        <v>-2.6174587044760445E-2</v>
      </c>
      <c r="I138">
        <f>TxSPLINE!K$9</f>
        <v>1.3135991625195917E-2</v>
      </c>
      <c r="J138">
        <f t="shared" si="24"/>
        <v>0.58064516129032262</v>
      </c>
      <c r="K138">
        <f t="shared" si="25"/>
        <v>0.41935483870967744</v>
      </c>
      <c r="L138">
        <f t="shared" si="26"/>
        <v>89</v>
      </c>
      <c r="M138" s="6">
        <f t="shared" si="27"/>
        <v>12.000956295525498</v>
      </c>
      <c r="N138" s="13">
        <f t="shared" si="22"/>
        <v>12.887352237902951</v>
      </c>
      <c r="O138" s="6">
        <f t="shared" si="30"/>
        <v>586.55173114691365</v>
      </c>
      <c r="P138" s="6">
        <f t="shared" si="31"/>
        <v>573.28010747356529</v>
      </c>
      <c r="Q138" s="6">
        <f t="shared" si="28"/>
        <v>12.887352237902951</v>
      </c>
      <c r="T138" s="6">
        <f t="shared" si="21"/>
        <v>12.887352237902951</v>
      </c>
    </row>
    <row r="139" spans="2:20">
      <c r="B139">
        <f t="shared" si="29"/>
        <v>136</v>
      </c>
      <c r="C139">
        <f t="shared" si="23"/>
        <v>31</v>
      </c>
      <c r="D139">
        <v>122</v>
      </c>
      <c r="E139">
        <v>153</v>
      </c>
      <c r="F139">
        <f>TxSPLINE!F$8</f>
        <v>11.472258064516131</v>
      </c>
      <c r="G139">
        <f>TxSPLINE!F$9</f>
        <v>12.733000000000001</v>
      </c>
      <c r="H139">
        <f>TxSPLINE!K$8</f>
        <v>-2.6174587044760445E-2</v>
      </c>
      <c r="I139">
        <f>TxSPLINE!K$9</f>
        <v>1.3135991625195917E-2</v>
      </c>
      <c r="J139">
        <f t="shared" si="24"/>
        <v>0.54838709677419351</v>
      </c>
      <c r="K139">
        <f t="shared" si="25"/>
        <v>0.45161290322580644</v>
      </c>
      <c r="L139">
        <f t="shared" si="26"/>
        <v>90</v>
      </c>
      <c r="M139" s="6">
        <f t="shared" si="27"/>
        <v>12.041625390218524</v>
      </c>
      <c r="N139" s="13">
        <f t="shared" si="22"/>
        <v>12.892872767065272</v>
      </c>
      <c r="O139" s="6">
        <f t="shared" si="30"/>
        <v>598.59335653713219</v>
      </c>
      <c r="P139" s="6">
        <f t="shared" si="31"/>
        <v>586.17298024063052</v>
      </c>
      <c r="Q139" s="6">
        <f t="shared" si="28"/>
        <v>12.892872767065272</v>
      </c>
      <c r="T139" s="6">
        <f t="shared" si="21"/>
        <v>12.892872767065272</v>
      </c>
    </row>
    <row r="140" spans="2:20">
      <c r="B140">
        <f t="shared" si="29"/>
        <v>137</v>
      </c>
      <c r="C140">
        <f t="shared" si="23"/>
        <v>31</v>
      </c>
      <c r="D140">
        <v>122</v>
      </c>
      <c r="E140">
        <v>153</v>
      </c>
      <c r="F140">
        <f>TxSPLINE!F$8</f>
        <v>11.472258064516131</v>
      </c>
      <c r="G140">
        <f>TxSPLINE!F$9</f>
        <v>12.733000000000001</v>
      </c>
      <c r="H140">
        <f>TxSPLINE!K$8</f>
        <v>-2.6174587044760445E-2</v>
      </c>
      <c r="I140">
        <f>TxSPLINE!K$9</f>
        <v>1.3135991625195917E-2</v>
      </c>
      <c r="J140">
        <f t="shared" si="24"/>
        <v>0.5161290322580645</v>
      </c>
      <c r="K140">
        <f t="shared" si="25"/>
        <v>0.4838709677419355</v>
      </c>
      <c r="L140">
        <f t="shared" si="26"/>
        <v>91</v>
      </c>
      <c r="M140" s="6">
        <f t="shared" si="27"/>
        <v>12.08229448491155</v>
      </c>
      <c r="N140" s="13">
        <f t="shared" si="22"/>
        <v>12.889971873743459</v>
      </c>
      <c r="O140" s="6">
        <f t="shared" si="30"/>
        <v>610.67565102204378</v>
      </c>
      <c r="P140" s="6">
        <f t="shared" si="31"/>
        <v>599.06295211437396</v>
      </c>
      <c r="Q140" s="6">
        <f t="shared" si="28"/>
        <v>12.889971873743459</v>
      </c>
      <c r="T140" s="6">
        <f t="shared" si="21"/>
        <v>12.889971873743459</v>
      </c>
    </row>
    <row r="141" spans="2:20">
      <c r="B141">
        <f t="shared" si="29"/>
        <v>138</v>
      </c>
      <c r="C141">
        <f t="shared" si="23"/>
        <v>31</v>
      </c>
      <c r="D141">
        <v>122</v>
      </c>
      <c r="E141">
        <v>153</v>
      </c>
      <c r="F141">
        <f>TxSPLINE!F$8</f>
        <v>11.472258064516131</v>
      </c>
      <c r="G141">
        <f>TxSPLINE!F$9</f>
        <v>12.733000000000001</v>
      </c>
      <c r="H141">
        <f>TxSPLINE!K$8</f>
        <v>-2.6174587044760445E-2</v>
      </c>
      <c r="I141">
        <f>TxSPLINE!K$9</f>
        <v>1.3135991625195917E-2</v>
      </c>
      <c r="J141">
        <f t="shared" si="24"/>
        <v>0.4838709677419355</v>
      </c>
      <c r="K141">
        <f t="shared" si="25"/>
        <v>0.5161290322580645</v>
      </c>
      <c r="L141">
        <f t="shared" si="26"/>
        <v>92</v>
      </c>
      <c r="M141" s="6">
        <f t="shared" si="27"/>
        <v>12.12296357960458</v>
      </c>
      <c r="N141" s="13">
        <f t="shared" si="22"/>
        <v>12.879917641120414</v>
      </c>
      <c r="O141" s="6">
        <f t="shared" si="30"/>
        <v>622.79861460164841</v>
      </c>
      <c r="P141" s="6">
        <f t="shared" si="31"/>
        <v>611.94286975549437</v>
      </c>
      <c r="Q141" s="6">
        <f t="shared" si="28"/>
        <v>12.879917641120414</v>
      </c>
      <c r="T141" s="6">
        <f t="shared" si="21"/>
        <v>12.879917641120414</v>
      </c>
    </row>
    <row r="142" spans="2:20">
      <c r="B142">
        <f t="shared" si="29"/>
        <v>139</v>
      </c>
      <c r="C142">
        <f t="shared" si="23"/>
        <v>31</v>
      </c>
      <c r="D142">
        <v>122</v>
      </c>
      <c r="E142">
        <v>153</v>
      </c>
      <c r="F142">
        <f>TxSPLINE!F$8</f>
        <v>11.472258064516131</v>
      </c>
      <c r="G142">
        <f>TxSPLINE!F$9</f>
        <v>12.733000000000001</v>
      </c>
      <c r="H142">
        <f>TxSPLINE!K$8</f>
        <v>-2.6174587044760445E-2</v>
      </c>
      <c r="I142">
        <f>TxSPLINE!K$9</f>
        <v>1.3135991625195917E-2</v>
      </c>
      <c r="J142">
        <f t="shared" si="24"/>
        <v>0.45161290322580644</v>
      </c>
      <c r="K142">
        <f t="shared" si="25"/>
        <v>0.54838709677419351</v>
      </c>
      <c r="L142">
        <f t="shared" si="26"/>
        <v>93</v>
      </c>
      <c r="M142" s="6">
        <f t="shared" si="27"/>
        <v>12.163632674297608</v>
      </c>
      <c r="N142" s="13">
        <f t="shared" si="22"/>
        <v>12.863978152379039</v>
      </c>
      <c r="O142" s="6">
        <f t="shared" si="30"/>
        <v>634.96224727594597</v>
      </c>
      <c r="P142" s="6">
        <f t="shared" si="31"/>
        <v>624.80684790787336</v>
      </c>
      <c r="Q142" s="6">
        <f t="shared" si="28"/>
        <v>12.863978152379039</v>
      </c>
      <c r="T142" s="6">
        <f t="shared" si="21"/>
        <v>12.863978152379039</v>
      </c>
    </row>
    <row r="143" spans="2:20">
      <c r="B143">
        <f t="shared" si="29"/>
        <v>140</v>
      </c>
      <c r="C143">
        <f t="shared" si="23"/>
        <v>31</v>
      </c>
      <c r="D143">
        <v>122</v>
      </c>
      <c r="E143">
        <v>153</v>
      </c>
      <c r="F143">
        <f>TxSPLINE!F$8</f>
        <v>11.472258064516131</v>
      </c>
      <c r="G143">
        <f>TxSPLINE!F$9</f>
        <v>12.733000000000001</v>
      </c>
      <c r="H143">
        <f>TxSPLINE!K$8</f>
        <v>-2.6174587044760445E-2</v>
      </c>
      <c r="I143">
        <f>TxSPLINE!K$9</f>
        <v>1.3135991625195917E-2</v>
      </c>
      <c r="J143">
        <f t="shared" si="24"/>
        <v>0.41935483870967744</v>
      </c>
      <c r="K143">
        <f t="shared" si="25"/>
        <v>0.58064516129032262</v>
      </c>
      <c r="L143">
        <f t="shared" si="26"/>
        <v>94</v>
      </c>
      <c r="M143" s="6">
        <f t="shared" si="27"/>
        <v>12.204301768990636</v>
      </c>
      <c r="N143" s="13">
        <f t="shared" si="22"/>
        <v>12.843421490702234</v>
      </c>
      <c r="O143" s="6">
        <f t="shared" si="30"/>
        <v>647.16654904493657</v>
      </c>
      <c r="P143" s="6">
        <f t="shared" si="31"/>
        <v>637.65026939857557</v>
      </c>
      <c r="Q143" s="6">
        <f t="shared" si="28"/>
        <v>12.843421490702234</v>
      </c>
      <c r="T143" s="6">
        <f t="shared" si="21"/>
        <v>12.843421490702234</v>
      </c>
    </row>
    <row r="144" spans="2:20">
      <c r="B144">
        <f t="shared" si="29"/>
        <v>141</v>
      </c>
      <c r="C144">
        <f t="shared" si="23"/>
        <v>31</v>
      </c>
      <c r="D144">
        <v>122</v>
      </c>
      <c r="E144">
        <v>153</v>
      </c>
      <c r="F144">
        <f>TxSPLINE!F$8</f>
        <v>11.472258064516131</v>
      </c>
      <c r="G144">
        <f>TxSPLINE!F$9</f>
        <v>12.733000000000001</v>
      </c>
      <c r="H144">
        <f>TxSPLINE!K$8</f>
        <v>-2.6174587044760445E-2</v>
      </c>
      <c r="I144">
        <f>TxSPLINE!K$9</f>
        <v>1.3135991625195917E-2</v>
      </c>
      <c r="J144">
        <f t="shared" si="24"/>
        <v>0.38709677419354838</v>
      </c>
      <c r="K144">
        <f t="shared" si="25"/>
        <v>0.61290322580645162</v>
      </c>
      <c r="L144">
        <f t="shared" si="26"/>
        <v>95</v>
      </c>
      <c r="M144" s="6">
        <f t="shared" si="27"/>
        <v>12.244970863683664</v>
      </c>
      <c r="N144" s="13">
        <f t="shared" si="22"/>
        <v>12.8195157392729</v>
      </c>
      <c r="O144" s="6">
        <f t="shared" si="30"/>
        <v>659.41151990862022</v>
      </c>
      <c r="P144" s="6">
        <f t="shared" si="31"/>
        <v>650.46978513784848</v>
      </c>
      <c r="Q144" s="6">
        <f t="shared" si="28"/>
        <v>12.8195157392729</v>
      </c>
      <c r="T144" s="6">
        <f t="shared" si="21"/>
        <v>12.8195157392729</v>
      </c>
    </row>
    <row r="145" spans="1:20">
      <c r="B145">
        <f t="shared" si="29"/>
        <v>142</v>
      </c>
      <c r="C145">
        <f t="shared" si="23"/>
        <v>31</v>
      </c>
      <c r="D145">
        <v>122</v>
      </c>
      <c r="E145">
        <v>153</v>
      </c>
      <c r="F145">
        <f>TxSPLINE!F$8</f>
        <v>11.472258064516131</v>
      </c>
      <c r="G145">
        <f>TxSPLINE!F$9</f>
        <v>12.733000000000001</v>
      </c>
      <c r="H145">
        <f>TxSPLINE!K$8</f>
        <v>-2.6174587044760445E-2</v>
      </c>
      <c r="I145">
        <f>TxSPLINE!K$9</f>
        <v>1.3135991625195917E-2</v>
      </c>
      <c r="J145">
        <f t="shared" si="24"/>
        <v>0.35483870967741937</v>
      </c>
      <c r="K145">
        <f t="shared" si="25"/>
        <v>0.64516129032258063</v>
      </c>
      <c r="L145">
        <f t="shared" si="26"/>
        <v>96</v>
      </c>
      <c r="M145" s="6">
        <f t="shared" si="27"/>
        <v>12.285639958376692</v>
      </c>
      <c r="N145" s="13">
        <f t="shared" si="22"/>
        <v>12.793528981273941</v>
      </c>
      <c r="O145" s="6">
        <f t="shared" si="30"/>
        <v>671.69715986699691</v>
      </c>
      <c r="P145" s="6">
        <f t="shared" si="31"/>
        <v>663.26331411912247</v>
      </c>
      <c r="Q145" s="6">
        <f t="shared" si="28"/>
        <v>12.793528981273941</v>
      </c>
      <c r="T145" s="6">
        <f t="shared" si="21"/>
        <v>12.793528981273941</v>
      </c>
    </row>
    <row r="146" spans="1:20">
      <c r="B146">
        <f t="shared" si="29"/>
        <v>143</v>
      </c>
      <c r="C146">
        <f t="shared" si="23"/>
        <v>31</v>
      </c>
      <c r="D146">
        <v>122</v>
      </c>
      <c r="E146">
        <v>153</v>
      </c>
      <c r="F146">
        <f>TxSPLINE!F$8</f>
        <v>11.472258064516131</v>
      </c>
      <c r="G146">
        <f>TxSPLINE!F$9</f>
        <v>12.733000000000001</v>
      </c>
      <c r="H146">
        <f>TxSPLINE!K$8</f>
        <v>-2.6174587044760445E-2</v>
      </c>
      <c r="I146">
        <f>TxSPLINE!K$9</f>
        <v>1.3135991625195917E-2</v>
      </c>
      <c r="J146">
        <f t="shared" si="24"/>
        <v>0.32258064516129031</v>
      </c>
      <c r="K146">
        <f t="shared" si="25"/>
        <v>0.67741935483870963</v>
      </c>
      <c r="L146">
        <f t="shared" si="26"/>
        <v>97</v>
      </c>
      <c r="M146" s="6">
        <f t="shared" si="27"/>
        <v>12.326309053069721</v>
      </c>
      <c r="N146" s="13">
        <f t="shared" si="22"/>
        <v>12.766729299888258</v>
      </c>
      <c r="O146" s="6">
        <f t="shared" si="30"/>
        <v>684.02346892006665</v>
      </c>
      <c r="P146" s="6">
        <f t="shared" si="31"/>
        <v>676.03004341901078</v>
      </c>
      <c r="Q146" s="6">
        <f t="shared" si="28"/>
        <v>12.766729299888258</v>
      </c>
      <c r="T146" s="6">
        <f t="shared" si="21"/>
        <v>12.766729299888258</v>
      </c>
    </row>
    <row r="147" spans="1:20">
      <c r="B147">
        <f t="shared" si="29"/>
        <v>144</v>
      </c>
      <c r="C147">
        <f t="shared" si="23"/>
        <v>31</v>
      </c>
      <c r="D147">
        <v>122</v>
      </c>
      <c r="E147">
        <v>153</v>
      </c>
      <c r="F147">
        <f>TxSPLINE!F$8</f>
        <v>11.472258064516131</v>
      </c>
      <c r="G147">
        <f>TxSPLINE!F$9</f>
        <v>12.733000000000001</v>
      </c>
      <c r="H147">
        <f>TxSPLINE!K$8</f>
        <v>-2.6174587044760445E-2</v>
      </c>
      <c r="I147">
        <f>TxSPLINE!K$9</f>
        <v>1.3135991625195917E-2</v>
      </c>
      <c r="J147">
        <f t="shared" si="24"/>
        <v>0.29032258064516131</v>
      </c>
      <c r="K147">
        <f t="shared" si="25"/>
        <v>0.70967741935483875</v>
      </c>
      <c r="L147">
        <f t="shared" si="26"/>
        <v>98</v>
      </c>
      <c r="M147" s="6">
        <f t="shared" si="27"/>
        <v>12.366978147762749</v>
      </c>
      <c r="N147" s="13">
        <f t="shared" si="22"/>
        <v>12.740384778298754</v>
      </c>
      <c r="O147" s="6">
        <f t="shared" si="30"/>
        <v>696.39044706782943</v>
      </c>
      <c r="P147" s="6">
        <f t="shared" si="31"/>
        <v>688.77042819730957</v>
      </c>
      <c r="Q147" s="6">
        <f t="shared" si="28"/>
        <v>12.740384778298754</v>
      </c>
      <c r="T147" s="6">
        <f t="shared" si="21"/>
        <v>12.740384778298754</v>
      </c>
    </row>
    <row r="148" spans="1:20">
      <c r="B148">
        <f t="shared" si="29"/>
        <v>145</v>
      </c>
      <c r="C148">
        <f t="shared" si="23"/>
        <v>31</v>
      </c>
      <c r="D148">
        <v>122</v>
      </c>
      <c r="E148">
        <v>153</v>
      </c>
      <c r="F148">
        <f>TxSPLINE!F$8</f>
        <v>11.472258064516131</v>
      </c>
      <c r="G148">
        <f>TxSPLINE!F$9</f>
        <v>12.733000000000001</v>
      </c>
      <c r="H148">
        <f>TxSPLINE!K$8</f>
        <v>-2.6174587044760445E-2</v>
      </c>
      <c r="I148">
        <f>TxSPLINE!K$9</f>
        <v>1.3135991625195917E-2</v>
      </c>
      <c r="J148">
        <f t="shared" si="24"/>
        <v>0.25806451612903225</v>
      </c>
      <c r="K148">
        <f t="shared" si="25"/>
        <v>0.74193548387096775</v>
      </c>
      <c r="L148">
        <f t="shared" si="26"/>
        <v>99</v>
      </c>
      <c r="M148" s="6">
        <f t="shared" si="27"/>
        <v>12.407647242455775</v>
      </c>
      <c r="N148" s="13">
        <f t="shared" si="22"/>
        <v>12.715763499688325</v>
      </c>
      <c r="O148" s="6">
        <f t="shared" si="30"/>
        <v>708.79809431028525</v>
      </c>
      <c r="P148" s="6">
        <f t="shared" si="31"/>
        <v>701.48619169699793</v>
      </c>
      <c r="Q148" s="6">
        <f t="shared" si="28"/>
        <v>12.715763499688325</v>
      </c>
      <c r="T148" s="6">
        <f t="shared" si="21"/>
        <v>12.715763499688325</v>
      </c>
    </row>
    <row r="149" spans="1:20">
      <c r="B149">
        <f t="shared" si="29"/>
        <v>146</v>
      </c>
      <c r="C149">
        <f t="shared" si="23"/>
        <v>31</v>
      </c>
      <c r="D149">
        <v>122</v>
      </c>
      <c r="E149">
        <v>153</v>
      </c>
      <c r="F149">
        <f>TxSPLINE!F$8</f>
        <v>11.472258064516131</v>
      </c>
      <c r="G149">
        <f>TxSPLINE!F$9</f>
        <v>12.733000000000001</v>
      </c>
      <c r="H149">
        <f>TxSPLINE!K$8</f>
        <v>-2.6174587044760445E-2</v>
      </c>
      <c r="I149">
        <f>TxSPLINE!K$9</f>
        <v>1.3135991625195917E-2</v>
      </c>
      <c r="J149">
        <f t="shared" si="24"/>
        <v>0.22580645161290322</v>
      </c>
      <c r="K149">
        <f t="shared" si="25"/>
        <v>0.77419354838709675</v>
      </c>
      <c r="L149">
        <f t="shared" si="26"/>
        <v>100</v>
      </c>
      <c r="M149" s="6">
        <f t="shared" si="27"/>
        <v>12.448316337148803</v>
      </c>
      <c r="N149" s="13">
        <f t="shared" si="22"/>
        <v>12.694133547239881</v>
      </c>
      <c r="O149" s="6">
        <f t="shared" si="30"/>
        <v>721.246410647434</v>
      </c>
      <c r="P149" s="6">
        <f t="shared" si="31"/>
        <v>714.18032524423779</v>
      </c>
      <c r="Q149" s="6">
        <f t="shared" si="28"/>
        <v>12.694133547239881</v>
      </c>
      <c r="T149" s="6">
        <f t="shared" si="21"/>
        <v>12.694133547239881</v>
      </c>
    </row>
    <row r="150" spans="1:20">
      <c r="B150">
        <f t="shared" si="29"/>
        <v>147</v>
      </c>
      <c r="C150">
        <f t="shared" si="23"/>
        <v>31</v>
      </c>
      <c r="D150">
        <v>122</v>
      </c>
      <c r="E150">
        <v>153</v>
      </c>
      <c r="F150">
        <f>TxSPLINE!F$8</f>
        <v>11.472258064516131</v>
      </c>
      <c r="G150">
        <f>TxSPLINE!F$9</f>
        <v>12.733000000000001</v>
      </c>
      <c r="H150">
        <f>TxSPLINE!K$8</f>
        <v>-2.6174587044760445E-2</v>
      </c>
      <c r="I150">
        <f>TxSPLINE!K$9</f>
        <v>1.3135991625195917E-2</v>
      </c>
      <c r="J150">
        <f t="shared" si="24"/>
        <v>0.19354838709677419</v>
      </c>
      <c r="K150">
        <f t="shared" si="25"/>
        <v>0.80645161290322576</v>
      </c>
      <c r="L150">
        <f t="shared" si="26"/>
        <v>101</v>
      </c>
      <c r="M150" s="6">
        <f t="shared" si="27"/>
        <v>12.488985431841831</v>
      </c>
      <c r="N150" s="13">
        <f t="shared" si="22"/>
        <v>12.676763004136319</v>
      </c>
      <c r="O150" s="6">
        <f t="shared" si="30"/>
        <v>733.7353960792758</v>
      </c>
      <c r="P150" s="6">
        <f t="shared" si="31"/>
        <v>726.85708824837411</v>
      </c>
      <c r="Q150" s="6">
        <f t="shared" si="28"/>
        <v>12.676763004136319</v>
      </c>
      <c r="T150" s="6">
        <f t="shared" si="21"/>
        <v>12.676763004136319</v>
      </c>
    </row>
    <row r="151" spans="1:20">
      <c r="B151">
        <f t="shared" si="29"/>
        <v>148</v>
      </c>
      <c r="C151">
        <f t="shared" si="23"/>
        <v>31</v>
      </c>
      <c r="D151">
        <v>122</v>
      </c>
      <c r="E151">
        <v>153</v>
      </c>
      <c r="F151">
        <f>TxSPLINE!F$8</f>
        <v>11.472258064516131</v>
      </c>
      <c r="G151">
        <f>TxSPLINE!F$9</f>
        <v>12.733000000000001</v>
      </c>
      <c r="H151">
        <f>TxSPLINE!K$8</f>
        <v>-2.6174587044760445E-2</v>
      </c>
      <c r="I151">
        <f>TxSPLINE!K$9</f>
        <v>1.3135991625195917E-2</v>
      </c>
      <c r="J151">
        <f t="shared" si="24"/>
        <v>0.16129032258064516</v>
      </c>
      <c r="K151">
        <f t="shared" si="25"/>
        <v>0.83870967741935487</v>
      </c>
      <c r="L151">
        <f t="shared" si="26"/>
        <v>102</v>
      </c>
      <c r="M151" s="6">
        <f t="shared" si="27"/>
        <v>12.529654526534861</v>
      </c>
      <c r="N151" s="13">
        <f t="shared" si="22"/>
        <v>12.664919953560545</v>
      </c>
      <c r="O151" s="6">
        <f t="shared" si="30"/>
        <v>746.26505060581064</v>
      </c>
      <c r="P151" s="6">
        <f t="shared" si="31"/>
        <v>739.52200820193468</v>
      </c>
      <c r="Q151" s="6">
        <f t="shared" si="28"/>
        <v>12.664919953560545</v>
      </c>
      <c r="T151" s="6">
        <f t="shared" si="21"/>
        <v>12.664919953560545</v>
      </c>
    </row>
    <row r="152" spans="1:20">
      <c r="B152">
        <f t="shared" si="29"/>
        <v>149</v>
      </c>
      <c r="C152">
        <f t="shared" si="23"/>
        <v>31</v>
      </c>
      <c r="D152">
        <v>122</v>
      </c>
      <c r="E152">
        <v>153</v>
      </c>
      <c r="F152">
        <f>TxSPLINE!F$8</f>
        <v>11.472258064516131</v>
      </c>
      <c r="G152">
        <f>TxSPLINE!F$9</f>
        <v>12.733000000000001</v>
      </c>
      <c r="H152">
        <f>TxSPLINE!K$8</f>
        <v>-2.6174587044760445E-2</v>
      </c>
      <c r="I152">
        <f>TxSPLINE!K$9</f>
        <v>1.3135991625195917E-2</v>
      </c>
      <c r="J152">
        <f t="shared" si="24"/>
        <v>0.12903225806451613</v>
      </c>
      <c r="K152">
        <f t="shared" si="25"/>
        <v>0.87096774193548387</v>
      </c>
      <c r="L152">
        <f t="shared" si="26"/>
        <v>103</v>
      </c>
      <c r="M152" s="6">
        <f t="shared" si="27"/>
        <v>12.570323621227889</v>
      </c>
      <c r="N152" s="13">
        <f t="shared" si="22"/>
        <v>12.659872478695455</v>
      </c>
      <c r="O152" s="6">
        <f t="shared" si="30"/>
        <v>758.83537422703853</v>
      </c>
      <c r="P152" s="6">
        <f t="shared" si="31"/>
        <v>752.18188068063012</v>
      </c>
      <c r="Q152" s="6">
        <f t="shared" si="28"/>
        <v>12.659872478695455</v>
      </c>
      <c r="T152" s="6">
        <f t="shared" si="21"/>
        <v>12.659872478695455</v>
      </c>
    </row>
    <row r="153" spans="1:20">
      <c r="B153">
        <f t="shared" si="29"/>
        <v>150</v>
      </c>
      <c r="C153">
        <f t="shared" si="23"/>
        <v>31</v>
      </c>
      <c r="D153">
        <v>122</v>
      </c>
      <c r="E153">
        <v>153</v>
      </c>
      <c r="F153">
        <f>TxSPLINE!F$8</f>
        <v>11.472258064516131</v>
      </c>
      <c r="G153">
        <f>TxSPLINE!F$9</f>
        <v>12.733000000000001</v>
      </c>
      <c r="H153">
        <f>TxSPLINE!K$8</f>
        <v>-2.6174587044760445E-2</v>
      </c>
      <c r="I153">
        <f>TxSPLINE!K$9</f>
        <v>1.3135991625195917E-2</v>
      </c>
      <c r="J153">
        <f t="shared" si="24"/>
        <v>9.6774193548387094E-2</v>
      </c>
      <c r="K153">
        <f t="shared" si="25"/>
        <v>0.90322580645161288</v>
      </c>
      <c r="L153">
        <f t="shared" si="26"/>
        <v>104</v>
      </c>
      <c r="M153" s="6">
        <f t="shared" si="27"/>
        <v>12.610992715920917</v>
      </c>
      <c r="N153" s="13">
        <f t="shared" si="22"/>
        <v>12.662888662723953</v>
      </c>
      <c r="O153" s="6">
        <f t="shared" si="30"/>
        <v>771.44636694295946</v>
      </c>
      <c r="P153" s="6">
        <f t="shared" si="31"/>
        <v>764.84476934335407</v>
      </c>
      <c r="Q153" s="6">
        <f t="shared" si="28"/>
        <v>12.662888662723953</v>
      </c>
      <c r="T153" s="6">
        <f t="shared" si="21"/>
        <v>12.662888662723953</v>
      </c>
    </row>
    <row r="154" spans="1:20">
      <c r="B154">
        <f t="shared" si="29"/>
        <v>151</v>
      </c>
      <c r="C154">
        <f t="shared" si="23"/>
        <v>31</v>
      </c>
      <c r="D154">
        <v>122</v>
      </c>
      <c r="E154">
        <v>153</v>
      </c>
      <c r="F154">
        <f>TxSPLINE!F$8</f>
        <v>11.472258064516131</v>
      </c>
      <c r="G154">
        <f>TxSPLINE!F$9</f>
        <v>12.733000000000001</v>
      </c>
      <c r="H154">
        <f>TxSPLINE!K$8</f>
        <v>-2.6174587044760445E-2</v>
      </c>
      <c r="I154">
        <f>TxSPLINE!K$9</f>
        <v>1.3135991625195917E-2</v>
      </c>
      <c r="J154">
        <f t="shared" si="24"/>
        <v>6.4516129032258063E-2</v>
      </c>
      <c r="K154">
        <f t="shared" si="25"/>
        <v>0.93548387096774188</v>
      </c>
      <c r="L154">
        <f t="shared" si="26"/>
        <v>105</v>
      </c>
      <c r="M154" s="6">
        <f t="shared" si="27"/>
        <v>12.651661810613943</v>
      </c>
      <c r="N154" s="13">
        <f t="shared" si="22"/>
        <v>12.675236588828941</v>
      </c>
      <c r="O154" s="6">
        <f t="shared" si="30"/>
        <v>784.09802875357343</v>
      </c>
      <c r="P154" s="6">
        <f t="shared" si="31"/>
        <v>777.52000593218304</v>
      </c>
      <c r="Q154" s="6">
        <f t="shared" si="28"/>
        <v>12.675236588828941</v>
      </c>
      <c r="T154" s="6">
        <f t="shared" si="21"/>
        <v>12.675236588828941</v>
      </c>
    </row>
    <row r="155" spans="1:20">
      <c r="B155">
        <f t="shared" si="29"/>
        <v>152</v>
      </c>
      <c r="C155">
        <f t="shared" si="23"/>
        <v>31</v>
      </c>
      <c r="D155">
        <v>122</v>
      </c>
      <c r="E155">
        <v>153</v>
      </c>
      <c r="F155">
        <f>TxSPLINE!F$8</f>
        <v>11.472258064516131</v>
      </c>
      <c r="G155">
        <f>TxSPLINE!F$9</f>
        <v>12.733000000000001</v>
      </c>
      <c r="H155">
        <f>TxSPLINE!K$8</f>
        <v>-2.6174587044760445E-2</v>
      </c>
      <c r="I155">
        <f>TxSPLINE!K$9</f>
        <v>1.3135991625195917E-2</v>
      </c>
      <c r="J155">
        <f t="shared" si="24"/>
        <v>3.2258064516129031E-2</v>
      </c>
      <c r="K155">
        <f t="shared" si="25"/>
        <v>0.967741935483871</v>
      </c>
      <c r="L155">
        <f t="shared" si="26"/>
        <v>106</v>
      </c>
      <c r="M155" s="6">
        <f t="shared" si="27"/>
        <v>12.692330905306973</v>
      </c>
      <c r="N155" s="13">
        <f t="shared" si="22"/>
        <v>12.698184340193325</v>
      </c>
      <c r="O155" s="6">
        <f t="shared" si="30"/>
        <v>796.79035965888045</v>
      </c>
      <c r="P155" s="6">
        <f t="shared" si="31"/>
        <v>790.21819027237632</v>
      </c>
      <c r="Q155" s="6">
        <f t="shared" si="28"/>
        <v>12.698184340193325</v>
      </c>
      <c r="T155" s="6">
        <f t="shared" si="21"/>
        <v>12.698184340193325</v>
      </c>
    </row>
    <row r="156" spans="1:20">
      <c r="A156">
        <v>153</v>
      </c>
      <c r="B156">
        <f t="shared" si="29"/>
        <v>153</v>
      </c>
      <c r="C156">
        <f t="shared" si="23"/>
        <v>31</v>
      </c>
      <c r="D156">
        <v>122</v>
      </c>
      <c r="E156">
        <v>153</v>
      </c>
      <c r="F156">
        <f>TxSPLINE!F$8</f>
        <v>11.472258064516131</v>
      </c>
      <c r="G156">
        <f>TxSPLINE!F$9</f>
        <v>12.733000000000001</v>
      </c>
      <c r="H156">
        <f>TxSPLINE!K$8</f>
        <v>-2.6174587044760445E-2</v>
      </c>
      <c r="I156">
        <f>TxSPLINE!K$9</f>
        <v>1.3135991625195917E-2</v>
      </c>
      <c r="J156">
        <f t="shared" si="24"/>
        <v>0</v>
      </c>
      <c r="K156">
        <f t="shared" si="25"/>
        <v>1</v>
      </c>
      <c r="L156">
        <f t="shared" si="26"/>
        <v>107</v>
      </c>
      <c r="M156" s="6">
        <f t="shared" si="27"/>
        <v>12.733000000000001</v>
      </c>
      <c r="N156" s="13">
        <f t="shared" si="22"/>
        <v>12.733000000000001</v>
      </c>
      <c r="O156" s="6">
        <f t="shared" si="30"/>
        <v>809.52335965888039</v>
      </c>
      <c r="P156" s="6">
        <f t="shared" si="31"/>
        <v>802.95119027237627</v>
      </c>
      <c r="Q156" s="6">
        <f t="shared" si="28"/>
        <v>12.733000000000001</v>
      </c>
      <c r="T156" s="6">
        <f t="shared" si="21"/>
        <v>12.733000000000001</v>
      </c>
    </row>
    <row r="157" spans="1:20">
      <c r="B157">
        <f t="shared" si="29"/>
        <v>154</v>
      </c>
      <c r="C157">
        <f t="shared" si="23"/>
        <v>30</v>
      </c>
      <c r="D157">
        <v>153</v>
      </c>
      <c r="E157">
        <v>183</v>
      </c>
      <c r="F157">
        <f>TxSPLINE!F$9</f>
        <v>12.733000000000001</v>
      </c>
      <c r="G157">
        <f>TxSPLINE!F$10</f>
        <v>17.911935483870966</v>
      </c>
      <c r="H157" s="5">
        <f>TxSPLINE!K$9</f>
        <v>1.3135991625195917E-2</v>
      </c>
      <c r="I157" s="5">
        <f>TxSPLINE!K$10</f>
        <v>1.9791624323230606E-5</v>
      </c>
      <c r="J157">
        <f t="shared" si="24"/>
        <v>0.96666666666666667</v>
      </c>
      <c r="K157">
        <f t="shared" si="25"/>
        <v>3.3333333333333333E-2</v>
      </c>
      <c r="L157">
        <f t="shared" si="26"/>
        <v>108</v>
      </c>
      <c r="M157" s="6">
        <f t="shared" si="27"/>
        <v>12.9056311827957</v>
      </c>
      <c r="N157" s="13">
        <f t="shared" si="22"/>
        <v>12.780667436456939</v>
      </c>
      <c r="O157" s="6">
        <f t="shared" si="30"/>
        <v>822.42899084167607</v>
      </c>
      <c r="P157" s="6">
        <f t="shared" si="31"/>
        <v>815.73185770883322</v>
      </c>
      <c r="Q157" s="6">
        <f t="shared" si="28"/>
        <v>12.780667436456939</v>
      </c>
      <c r="T157" s="6">
        <f t="shared" si="21"/>
        <v>12.780667436456939</v>
      </c>
    </row>
    <row r="158" spans="1:20">
      <c r="B158">
        <f t="shared" si="29"/>
        <v>155</v>
      </c>
      <c r="C158">
        <f t="shared" si="23"/>
        <v>30</v>
      </c>
      <c r="D158">
        <v>153</v>
      </c>
      <c r="E158">
        <v>183</v>
      </c>
      <c r="F158">
        <f>TxSPLINE!F$9</f>
        <v>12.733000000000001</v>
      </c>
      <c r="G158">
        <f>TxSPLINE!F$10</f>
        <v>17.911935483870966</v>
      </c>
      <c r="H158" s="5">
        <f>TxSPLINE!K$9</f>
        <v>1.3135991625195917E-2</v>
      </c>
      <c r="I158" s="5">
        <f>TxSPLINE!K$10</f>
        <v>1.9791624323230606E-5</v>
      </c>
      <c r="J158">
        <f t="shared" si="24"/>
        <v>0.93333333333333335</v>
      </c>
      <c r="K158">
        <f t="shared" si="25"/>
        <v>6.6666666666666666E-2</v>
      </c>
      <c r="L158">
        <f t="shared" si="26"/>
        <v>109</v>
      </c>
      <c r="M158" s="6">
        <f t="shared" si="27"/>
        <v>13.078262365591399</v>
      </c>
      <c r="N158" s="13">
        <f t="shared" si="22"/>
        <v>12.84103365787238</v>
      </c>
      <c r="O158" s="6">
        <f t="shared" si="30"/>
        <v>835.50725320726747</v>
      </c>
      <c r="P158" s="6">
        <f t="shared" si="31"/>
        <v>828.57289136670556</v>
      </c>
      <c r="Q158" s="6">
        <f t="shared" si="28"/>
        <v>12.84103365787238</v>
      </c>
      <c r="T158" s="6">
        <f t="shared" si="21"/>
        <v>12.84103365787238</v>
      </c>
    </row>
    <row r="159" spans="1:20">
      <c r="B159">
        <f t="shared" si="29"/>
        <v>156</v>
      </c>
      <c r="C159">
        <f t="shared" si="23"/>
        <v>30</v>
      </c>
      <c r="D159">
        <v>153</v>
      </c>
      <c r="E159">
        <v>183</v>
      </c>
      <c r="F159">
        <f>TxSPLINE!F$9</f>
        <v>12.733000000000001</v>
      </c>
      <c r="G159">
        <f>TxSPLINE!F$10</f>
        <v>17.911935483870966</v>
      </c>
      <c r="H159" s="5">
        <f>TxSPLINE!K$9</f>
        <v>1.3135991625195917E-2</v>
      </c>
      <c r="I159" s="5">
        <f>TxSPLINE!K$10</f>
        <v>1.9791624323230606E-5</v>
      </c>
      <c r="J159">
        <f t="shared" si="24"/>
        <v>0.9</v>
      </c>
      <c r="K159">
        <f t="shared" si="25"/>
        <v>0.1</v>
      </c>
      <c r="L159">
        <f t="shared" si="26"/>
        <v>110</v>
      </c>
      <c r="M159" s="6">
        <f t="shared" si="27"/>
        <v>13.250893548387099</v>
      </c>
      <c r="N159" s="13">
        <f t="shared" si="22"/>
        <v>12.913661457579623</v>
      </c>
      <c r="O159" s="6">
        <f t="shared" si="30"/>
        <v>848.75814675565459</v>
      </c>
      <c r="P159" s="6">
        <f t="shared" si="31"/>
        <v>841.48655282428524</v>
      </c>
      <c r="Q159" s="6">
        <f t="shared" si="28"/>
        <v>12.913661457579623</v>
      </c>
      <c r="T159" s="6">
        <f t="shared" si="21"/>
        <v>12.913661457579623</v>
      </c>
    </row>
    <row r="160" spans="1:20">
      <c r="B160">
        <f t="shared" si="29"/>
        <v>157</v>
      </c>
      <c r="C160">
        <f t="shared" si="23"/>
        <v>30</v>
      </c>
      <c r="D160">
        <v>153</v>
      </c>
      <c r="E160">
        <v>183</v>
      </c>
      <c r="F160">
        <f>TxSPLINE!F$9</f>
        <v>12.733000000000001</v>
      </c>
      <c r="G160">
        <f>TxSPLINE!F$10</f>
        <v>17.911935483870966</v>
      </c>
      <c r="H160" s="5">
        <f>TxSPLINE!K$9</f>
        <v>1.3135991625195917E-2</v>
      </c>
      <c r="I160" s="5">
        <f>TxSPLINE!K$10</f>
        <v>1.9791624323230606E-5</v>
      </c>
      <c r="J160">
        <f t="shared" si="24"/>
        <v>0.8666666666666667</v>
      </c>
      <c r="K160">
        <f t="shared" si="25"/>
        <v>0.13333333333333333</v>
      </c>
      <c r="L160">
        <f t="shared" si="26"/>
        <v>111</v>
      </c>
      <c r="M160" s="6">
        <f t="shared" si="27"/>
        <v>13.423524731182795</v>
      </c>
      <c r="N160" s="13">
        <f t="shared" si="22"/>
        <v>12.998113628911973</v>
      </c>
      <c r="O160" s="6">
        <f t="shared" si="30"/>
        <v>862.18167148683733</v>
      </c>
      <c r="P160" s="6">
        <f t="shared" si="31"/>
        <v>854.48466645319718</v>
      </c>
      <c r="Q160" s="6">
        <f t="shared" si="28"/>
        <v>12.998113628911973</v>
      </c>
      <c r="T160" s="6">
        <f t="shared" si="21"/>
        <v>12.998113628911973</v>
      </c>
    </row>
    <row r="161" spans="2:20">
      <c r="B161">
        <f t="shared" si="29"/>
        <v>158</v>
      </c>
      <c r="C161">
        <f t="shared" si="23"/>
        <v>30</v>
      </c>
      <c r="D161">
        <v>153</v>
      </c>
      <c r="E161">
        <v>183</v>
      </c>
      <c r="F161">
        <f>TxSPLINE!F$9</f>
        <v>12.733000000000001</v>
      </c>
      <c r="G161">
        <f>TxSPLINE!F$10</f>
        <v>17.911935483870966</v>
      </c>
      <c r="H161" s="5">
        <f>TxSPLINE!K$9</f>
        <v>1.3135991625195917E-2</v>
      </c>
      <c r="I161" s="5">
        <f>TxSPLINE!K$10</f>
        <v>1.9791624323230606E-5</v>
      </c>
      <c r="J161">
        <f t="shared" si="24"/>
        <v>0.83333333333333337</v>
      </c>
      <c r="K161">
        <f t="shared" si="25"/>
        <v>0.16666666666666666</v>
      </c>
      <c r="L161">
        <f t="shared" si="26"/>
        <v>112</v>
      </c>
      <c r="M161" s="6">
        <f t="shared" si="27"/>
        <v>13.596155913978494</v>
      </c>
      <c r="N161" s="13">
        <f t="shared" si="22"/>
        <v>13.093952965202739</v>
      </c>
      <c r="O161" s="6">
        <f t="shared" si="30"/>
        <v>875.7778274008158</v>
      </c>
      <c r="P161" s="6">
        <f t="shared" si="31"/>
        <v>867.57861941839997</v>
      </c>
      <c r="Q161" s="6">
        <f t="shared" si="28"/>
        <v>13.093952965202739</v>
      </c>
      <c r="T161" s="6">
        <f t="shared" si="21"/>
        <v>13.093952965202739</v>
      </c>
    </row>
    <row r="162" spans="2:20">
      <c r="B162">
        <f t="shared" si="29"/>
        <v>159</v>
      </c>
      <c r="C162">
        <f t="shared" si="23"/>
        <v>30</v>
      </c>
      <c r="D162">
        <v>153</v>
      </c>
      <c r="E162">
        <v>183</v>
      </c>
      <c r="F162">
        <f>TxSPLINE!F$9</f>
        <v>12.733000000000001</v>
      </c>
      <c r="G162">
        <f>TxSPLINE!F$10</f>
        <v>17.911935483870966</v>
      </c>
      <c r="H162" s="5">
        <f>TxSPLINE!K$9</f>
        <v>1.3135991625195917E-2</v>
      </c>
      <c r="I162" s="5">
        <f>TxSPLINE!K$10</f>
        <v>1.9791624323230606E-5</v>
      </c>
      <c r="J162">
        <f t="shared" si="24"/>
        <v>0.8</v>
      </c>
      <c r="K162">
        <f t="shared" si="25"/>
        <v>0.2</v>
      </c>
      <c r="L162">
        <f t="shared" si="26"/>
        <v>113</v>
      </c>
      <c r="M162" s="6">
        <f t="shared" si="27"/>
        <v>13.768787096774194</v>
      </c>
      <c r="N162" s="13">
        <f t="shared" si="22"/>
        <v>13.200742259785221</v>
      </c>
      <c r="O162" s="6">
        <f t="shared" si="30"/>
        <v>889.54661449758999</v>
      </c>
      <c r="P162" s="6">
        <f t="shared" si="31"/>
        <v>880.77936167818518</v>
      </c>
      <c r="Q162" s="6">
        <f t="shared" si="28"/>
        <v>13.200742259785221</v>
      </c>
      <c r="T162" s="6">
        <f t="shared" si="21"/>
        <v>13.200742259785221</v>
      </c>
    </row>
    <row r="163" spans="2:20">
      <c r="B163">
        <f t="shared" si="29"/>
        <v>160</v>
      </c>
      <c r="C163">
        <f t="shared" si="23"/>
        <v>30</v>
      </c>
      <c r="D163">
        <v>153</v>
      </c>
      <c r="E163">
        <v>183</v>
      </c>
      <c r="F163">
        <f>TxSPLINE!F$9</f>
        <v>12.733000000000001</v>
      </c>
      <c r="G163">
        <f>TxSPLINE!F$10</f>
        <v>17.911935483870966</v>
      </c>
      <c r="H163" s="5">
        <f>TxSPLINE!K$9</f>
        <v>1.3135991625195917E-2</v>
      </c>
      <c r="I163" s="5">
        <f>TxSPLINE!K$10</f>
        <v>1.9791624323230606E-5</v>
      </c>
      <c r="J163">
        <f t="shared" si="24"/>
        <v>0.76666666666666672</v>
      </c>
      <c r="K163">
        <f t="shared" si="25"/>
        <v>0.23333333333333334</v>
      </c>
      <c r="L163">
        <f t="shared" si="26"/>
        <v>114</v>
      </c>
      <c r="M163" s="6">
        <f t="shared" si="27"/>
        <v>13.941418279569893</v>
      </c>
      <c r="N163" s="13">
        <f t="shared" si="22"/>
        <v>13.318044305992725</v>
      </c>
      <c r="O163" s="6">
        <f t="shared" si="30"/>
        <v>903.4880327771599</v>
      </c>
      <c r="P163" s="6">
        <f t="shared" si="31"/>
        <v>894.09740598417795</v>
      </c>
      <c r="Q163" s="6">
        <f t="shared" si="28"/>
        <v>13.318044305992725</v>
      </c>
      <c r="T163" s="6">
        <f t="shared" si="21"/>
        <v>13.318044305992725</v>
      </c>
    </row>
    <row r="164" spans="2:20">
      <c r="B164">
        <f t="shared" si="29"/>
        <v>161</v>
      </c>
      <c r="C164">
        <f t="shared" si="23"/>
        <v>30</v>
      </c>
      <c r="D164">
        <v>153</v>
      </c>
      <c r="E164">
        <v>183</v>
      </c>
      <c r="F164">
        <f>TxSPLINE!F$9</f>
        <v>12.733000000000001</v>
      </c>
      <c r="G164">
        <f>TxSPLINE!F$10</f>
        <v>17.911935483870966</v>
      </c>
      <c r="H164" s="5">
        <f>TxSPLINE!K$9</f>
        <v>1.3135991625195917E-2</v>
      </c>
      <c r="I164" s="5">
        <f>TxSPLINE!K$10</f>
        <v>1.9791624323230606E-5</v>
      </c>
      <c r="J164">
        <f t="shared" si="24"/>
        <v>0.73333333333333328</v>
      </c>
      <c r="K164">
        <f t="shared" si="25"/>
        <v>0.26666666666666666</v>
      </c>
      <c r="L164">
        <f t="shared" si="26"/>
        <v>115</v>
      </c>
      <c r="M164" s="6">
        <f t="shared" si="27"/>
        <v>14.114049462365591</v>
      </c>
      <c r="N164" s="13">
        <f t="shared" si="22"/>
        <v>13.445421897158553</v>
      </c>
      <c r="O164" s="6">
        <f t="shared" si="30"/>
        <v>917.60208223952554</v>
      </c>
      <c r="P164" s="6">
        <f t="shared" si="31"/>
        <v>907.54282788133651</v>
      </c>
      <c r="Q164" s="6">
        <f t="shared" si="28"/>
        <v>13.445421897158553</v>
      </c>
      <c r="T164" s="6">
        <f t="shared" si="21"/>
        <v>13.445421897158553</v>
      </c>
    </row>
    <row r="165" spans="2:20">
      <c r="B165">
        <f t="shared" si="29"/>
        <v>162</v>
      </c>
      <c r="C165">
        <f t="shared" si="23"/>
        <v>30</v>
      </c>
      <c r="D165">
        <v>153</v>
      </c>
      <c r="E165">
        <v>183</v>
      </c>
      <c r="F165">
        <f>TxSPLINE!F$9</f>
        <v>12.733000000000001</v>
      </c>
      <c r="G165">
        <f>TxSPLINE!F$10</f>
        <v>17.911935483870966</v>
      </c>
      <c r="H165" s="5">
        <f>TxSPLINE!K$9</f>
        <v>1.3135991625195917E-2</v>
      </c>
      <c r="I165" s="5">
        <f>TxSPLINE!K$10</f>
        <v>1.9791624323230606E-5</v>
      </c>
      <c r="J165">
        <f t="shared" si="24"/>
        <v>0.7</v>
      </c>
      <c r="K165">
        <f t="shared" si="25"/>
        <v>0.3</v>
      </c>
      <c r="L165">
        <f t="shared" si="26"/>
        <v>116</v>
      </c>
      <c r="M165" s="6">
        <f t="shared" si="27"/>
        <v>14.28668064516129</v>
      </c>
      <c r="N165" s="13">
        <f t="shared" si="22"/>
        <v>13.582437826616012</v>
      </c>
      <c r="O165" s="6">
        <f t="shared" si="30"/>
        <v>931.8887628846868</v>
      </c>
      <c r="P165" s="6">
        <f t="shared" si="31"/>
        <v>921.12526570795251</v>
      </c>
      <c r="Q165" s="6">
        <f t="shared" si="28"/>
        <v>13.582437826616012</v>
      </c>
      <c r="T165" s="6">
        <f t="shared" si="21"/>
        <v>13.582437826616012</v>
      </c>
    </row>
    <row r="166" spans="2:20">
      <c r="B166">
        <f t="shared" si="29"/>
        <v>163</v>
      </c>
      <c r="C166">
        <f t="shared" si="23"/>
        <v>30</v>
      </c>
      <c r="D166">
        <v>153</v>
      </c>
      <c r="E166">
        <v>183</v>
      </c>
      <c r="F166">
        <f>TxSPLINE!F$9</f>
        <v>12.733000000000001</v>
      </c>
      <c r="G166">
        <f>TxSPLINE!F$10</f>
        <v>17.911935483870966</v>
      </c>
      <c r="H166" s="5">
        <f>TxSPLINE!K$9</f>
        <v>1.3135991625195917E-2</v>
      </c>
      <c r="I166" s="5">
        <f>TxSPLINE!K$10</f>
        <v>1.9791624323230606E-5</v>
      </c>
      <c r="J166">
        <f t="shared" si="24"/>
        <v>0.66666666666666663</v>
      </c>
      <c r="K166">
        <f t="shared" si="25"/>
        <v>0.33333333333333331</v>
      </c>
      <c r="L166">
        <f t="shared" si="26"/>
        <v>117</v>
      </c>
      <c r="M166" s="6">
        <f t="shared" si="27"/>
        <v>14.459311827956988</v>
      </c>
      <c r="N166" s="13">
        <f t="shared" si="22"/>
        <v>13.728654887698404</v>
      </c>
      <c r="O166" s="6">
        <f t="shared" si="30"/>
        <v>946.34807471264378</v>
      </c>
      <c r="P166" s="6">
        <f t="shared" si="31"/>
        <v>934.85392059565095</v>
      </c>
      <c r="Q166" s="6">
        <f t="shared" si="28"/>
        <v>13.728654887698404</v>
      </c>
      <c r="T166" s="6">
        <f t="shared" si="21"/>
        <v>13.728654887698404</v>
      </c>
    </row>
    <row r="167" spans="2:20">
      <c r="B167">
        <f t="shared" si="29"/>
        <v>164</v>
      </c>
      <c r="C167">
        <f t="shared" si="23"/>
        <v>30</v>
      </c>
      <c r="D167">
        <v>153</v>
      </c>
      <c r="E167">
        <v>183</v>
      </c>
      <c r="F167">
        <f>TxSPLINE!F$9</f>
        <v>12.733000000000001</v>
      </c>
      <c r="G167">
        <f>TxSPLINE!F$10</f>
        <v>17.911935483870966</v>
      </c>
      <c r="H167" s="5">
        <f>TxSPLINE!K$9</f>
        <v>1.3135991625195917E-2</v>
      </c>
      <c r="I167" s="5">
        <f>TxSPLINE!K$10</f>
        <v>1.9791624323230606E-5</v>
      </c>
      <c r="J167">
        <f t="shared" si="24"/>
        <v>0.6333333333333333</v>
      </c>
      <c r="K167">
        <f t="shared" si="25"/>
        <v>0.36666666666666664</v>
      </c>
      <c r="L167">
        <f t="shared" si="26"/>
        <v>118</v>
      </c>
      <c r="M167" s="6">
        <f t="shared" si="27"/>
        <v>14.631943010752689</v>
      </c>
      <c r="N167" s="13">
        <f t="shared" si="22"/>
        <v>13.883635873739038</v>
      </c>
      <c r="O167" s="6">
        <f t="shared" si="30"/>
        <v>960.98001772339649</v>
      </c>
      <c r="P167" s="6">
        <f t="shared" si="31"/>
        <v>948.73755646939003</v>
      </c>
      <c r="Q167" s="6">
        <f t="shared" si="28"/>
        <v>13.883635873739038</v>
      </c>
      <c r="T167" s="6">
        <f t="shared" si="21"/>
        <v>13.883635873739038</v>
      </c>
    </row>
    <row r="168" spans="2:20">
      <c r="B168">
        <f t="shared" si="29"/>
        <v>165</v>
      </c>
      <c r="C168">
        <f t="shared" si="23"/>
        <v>30</v>
      </c>
      <c r="D168">
        <v>153</v>
      </c>
      <c r="E168">
        <v>183</v>
      </c>
      <c r="F168">
        <f>TxSPLINE!F$9</f>
        <v>12.733000000000001</v>
      </c>
      <c r="G168">
        <f>TxSPLINE!F$10</f>
        <v>17.911935483870966</v>
      </c>
      <c r="H168" s="5">
        <f>TxSPLINE!K$9</f>
        <v>1.3135991625195917E-2</v>
      </c>
      <c r="I168" s="5">
        <f>TxSPLINE!K$10</f>
        <v>1.9791624323230606E-5</v>
      </c>
      <c r="J168">
        <f t="shared" si="24"/>
        <v>0.6</v>
      </c>
      <c r="K168">
        <f t="shared" si="25"/>
        <v>0.4</v>
      </c>
      <c r="L168">
        <f t="shared" si="26"/>
        <v>119</v>
      </c>
      <c r="M168" s="6">
        <f t="shared" si="27"/>
        <v>14.804574193548387</v>
      </c>
      <c r="N168" s="13">
        <f t="shared" si="22"/>
        <v>14.046943578071211</v>
      </c>
      <c r="O168" s="6">
        <f t="shared" si="30"/>
        <v>975.78459191694492</v>
      </c>
      <c r="P168" s="6">
        <f t="shared" si="31"/>
        <v>962.78450004746128</v>
      </c>
      <c r="Q168" s="6">
        <f t="shared" si="28"/>
        <v>14.046943578071211</v>
      </c>
      <c r="T168" s="6">
        <f t="shared" si="21"/>
        <v>14.046943578071211</v>
      </c>
    </row>
    <row r="169" spans="2:20">
      <c r="B169">
        <f t="shared" si="29"/>
        <v>166</v>
      </c>
      <c r="C169">
        <f t="shared" si="23"/>
        <v>30</v>
      </c>
      <c r="D169">
        <v>153</v>
      </c>
      <c r="E169">
        <v>183</v>
      </c>
      <c r="F169">
        <f>TxSPLINE!F$9</f>
        <v>12.733000000000001</v>
      </c>
      <c r="G169">
        <f>TxSPLINE!F$10</f>
        <v>17.911935483870966</v>
      </c>
      <c r="H169" s="5">
        <f>TxSPLINE!K$9</f>
        <v>1.3135991625195917E-2</v>
      </c>
      <c r="I169" s="5">
        <f>TxSPLINE!K$10</f>
        <v>1.9791624323230606E-5</v>
      </c>
      <c r="J169">
        <f t="shared" si="24"/>
        <v>0.56666666666666665</v>
      </c>
      <c r="K169">
        <f t="shared" si="25"/>
        <v>0.43333333333333335</v>
      </c>
      <c r="L169">
        <f t="shared" si="26"/>
        <v>120</v>
      </c>
      <c r="M169" s="6">
        <f t="shared" si="27"/>
        <v>14.977205376344086</v>
      </c>
      <c r="N169" s="13">
        <f t="shared" si="22"/>
        <v>14.218140794028233</v>
      </c>
      <c r="O169" s="6">
        <f t="shared" si="30"/>
        <v>990.76179729328896</v>
      </c>
      <c r="P169" s="6">
        <f t="shared" si="31"/>
        <v>977.00264084148955</v>
      </c>
      <c r="Q169" s="6">
        <f t="shared" si="28"/>
        <v>14.218140794028233</v>
      </c>
      <c r="T169" s="6">
        <f t="shared" si="21"/>
        <v>14.218140794028233</v>
      </c>
    </row>
    <row r="170" spans="2:20">
      <c r="B170">
        <f t="shared" si="29"/>
        <v>167</v>
      </c>
      <c r="C170">
        <f t="shared" si="23"/>
        <v>30</v>
      </c>
      <c r="D170">
        <v>153</v>
      </c>
      <c r="E170">
        <v>183</v>
      </c>
      <c r="F170">
        <f>TxSPLINE!F$9</f>
        <v>12.733000000000001</v>
      </c>
      <c r="G170">
        <f>TxSPLINE!F$10</f>
        <v>17.911935483870966</v>
      </c>
      <c r="H170" s="5">
        <f>TxSPLINE!K$9</f>
        <v>1.3135991625195917E-2</v>
      </c>
      <c r="I170" s="5">
        <f>TxSPLINE!K$10</f>
        <v>1.9791624323230606E-5</v>
      </c>
      <c r="J170">
        <f t="shared" si="24"/>
        <v>0.53333333333333333</v>
      </c>
      <c r="K170">
        <f t="shared" si="25"/>
        <v>0.46666666666666667</v>
      </c>
      <c r="L170">
        <f t="shared" si="26"/>
        <v>121</v>
      </c>
      <c r="M170" s="6">
        <f t="shared" si="27"/>
        <v>15.149836559139784</v>
      </c>
      <c r="N170" s="13">
        <f t="shared" si="22"/>
        <v>14.396790314943404</v>
      </c>
      <c r="O170" s="6">
        <f t="shared" si="30"/>
        <v>1005.9116338524287</v>
      </c>
      <c r="P170" s="6">
        <f t="shared" si="31"/>
        <v>991.39943115643291</v>
      </c>
      <c r="Q170" s="6">
        <f t="shared" si="28"/>
        <v>14.396790314943404</v>
      </c>
      <c r="T170" s="6">
        <f t="shared" si="21"/>
        <v>14.396790314943404</v>
      </c>
    </row>
    <row r="171" spans="2:20">
      <c r="B171">
        <f t="shared" si="29"/>
        <v>168</v>
      </c>
      <c r="C171">
        <f t="shared" si="23"/>
        <v>30</v>
      </c>
      <c r="D171">
        <v>153</v>
      </c>
      <c r="E171">
        <v>183</v>
      </c>
      <c r="F171">
        <f>TxSPLINE!F$9</f>
        <v>12.733000000000001</v>
      </c>
      <c r="G171">
        <f>TxSPLINE!F$10</f>
        <v>17.911935483870966</v>
      </c>
      <c r="H171" s="5">
        <f>TxSPLINE!K$9</f>
        <v>1.3135991625195917E-2</v>
      </c>
      <c r="I171" s="5">
        <f>TxSPLINE!K$10</f>
        <v>1.9791624323230606E-5</v>
      </c>
      <c r="J171">
        <f t="shared" si="24"/>
        <v>0.5</v>
      </c>
      <c r="K171">
        <f t="shared" si="25"/>
        <v>0.5</v>
      </c>
      <c r="L171">
        <f t="shared" si="26"/>
        <v>122</v>
      </c>
      <c r="M171" s="6">
        <f t="shared" si="27"/>
        <v>15.322467741935483</v>
      </c>
      <c r="N171" s="13">
        <f t="shared" si="22"/>
        <v>14.58245493415003</v>
      </c>
      <c r="O171" s="6">
        <f t="shared" si="30"/>
        <v>1021.2341015943642</v>
      </c>
      <c r="P171" s="6">
        <f t="shared" si="31"/>
        <v>1005.981886090583</v>
      </c>
      <c r="Q171" s="6">
        <f t="shared" si="28"/>
        <v>14.58245493415003</v>
      </c>
      <c r="T171" s="6">
        <f t="shared" si="21"/>
        <v>14.58245493415003</v>
      </c>
    </row>
    <row r="172" spans="2:20">
      <c r="B172">
        <f t="shared" si="29"/>
        <v>169</v>
      </c>
      <c r="C172">
        <f t="shared" si="23"/>
        <v>30</v>
      </c>
      <c r="D172">
        <v>153</v>
      </c>
      <c r="E172">
        <v>183</v>
      </c>
      <c r="F172">
        <f>TxSPLINE!F$9</f>
        <v>12.733000000000001</v>
      </c>
      <c r="G172">
        <f>TxSPLINE!F$10</f>
        <v>17.911935483870966</v>
      </c>
      <c r="H172" s="5">
        <f>TxSPLINE!K$9</f>
        <v>1.3135991625195917E-2</v>
      </c>
      <c r="I172" s="5">
        <f>TxSPLINE!K$10</f>
        <v>1.9791624323230606E-5</v>
      </c>
      <c r="J172">
        <f t="shared" si="24"/>
        <v>0.46666666666666667</v>
      </c>
      <c r="K172">
        <f t="shared" si="25"/>
        <v>0.53333333333333333</v>
      </c>
      <c r="L172">
        <f t="shared" si="26"/>
        <v>123</v>
      </c>
      <c r="M172" s="6">
        <f t="shared" si="27"/>
        <v>15.495098924731183</v>
      </c>
      <c r="N172" s="13">
        <f t="shared" si="22"/>
        <v>14.774697444981419</v>
      </c>
      <c r="O172" s="6">
        <f t="shared" si="30"/>
        <v>1036.7292005190955</v>
      </c>
      <c r="P172" s="6">
        <f t="shared" si="31"/>
        <v>1020.7565835355643</v>
      </c>
      <c r="Q172" s="6">
        <f t="shared" si="28"/>
        <v>14.774697444981419</v>
      </c>
      <c r="T172" s="6">
        <f t="shared" si="21"/>
        <v>14.774697444981419</v>
      </c>
    </row>
    <row r="173" spans="2:20">
      <c r="B173">
        <f t="shared" si="29"/>
        <v>170</v>
      </c>
      <c r="C173">
        <f t="shared" si="23"/>
        <v>30</v>
      </c>
      <c r="D173">
        <v>153</v>
      </c>
      <c r="E173">
        <v>183</v>
      </c>
      <c r="F173">
        <f>TxSPLINE!F$9</f>
        <v>12.733000000000001</v>
      </c>
      <c r="G173">
        <f>TxSPLINE!F$10</f>
        <v>17.911935483870966</v>
      </c>
      <c r="H173" s="5">
        <f>TxSPLINE!K$9</f>
        <v>1.3135991625195917E-2</v>
      </c>
      <c r="I173" s="5">
        <f>TxSPLINE!K$10</f>
        <v>1.9791624323230606E-5</v>
      </c>
      <c r="J173">
        <f t="shared" si="24"/>
        <v>0.43333333333333335</v>
      </c>
      <c r="K173">
        <f t="shared" si="25"/>
        <v>0.56666666666666665</v>
      </c>
      <c r="L173">
        <f t="shared" si="26"/>
        <v>124</v>
      </c>
      <c r="M173" s="6">
        <f t="shared" si="27"/>
        <v>15.667730107526882</v>
      </c>
      <c r="N173" s="13">
        <f t="shared" si="22"/>
        <v>14.973080640770871</v>
      </c>
      <c r="O173" s="6">
        <f t="shared" si="30"/>
        <v>1052.3969306266224</v>
      </c>
      <c r="P173" s="6">
        <f t="shared" si="31"/>
        <v>1035.7296641763353</v>
      </c>
      <c r="Q173" s="6">
        <f t="shared" si="28"/>
        <v>14.973080640770871</v>
      </c>
      <c r="T173" s="6">
        <f t="shared" si="21"/>
        <v>14.973080640770871</v>
      </c>
    </row>
    <row r="174" spans="2:20">
      <c r="B174">
        <f t="shared" si="29"/>
        <v>171</v>
      </c>
      <c r="C174">
        <f t="shared" si="23"/>
        <v>30</v>
      </c>
      <c r="D174">
        <v>153</v>
      </c>
      <c r="E174">
        <v>183</v>
      </c>
      <c r="F174">
        <f>TxSPLINE!F$9</f>
        <v>12.733000000000001</v>
      </c>
      <c r="G174">
        <f>TxSPLINE!F$10</f>
        <v>17.911935483870966</v>
      </c>
      <c r="H174" s="5">
        <f>TxSPLINE!K$9</f>
        <v>1.3135991625195917E-2</v>
      </c>
      <c r="I174" s="5">
        <f>TxSPLINE!K$10</f>
        <v>1.9791624323230606E-5</v>
      </c>
      <c r="J174">
        <f t="shared" si="24"/>
        <v>0.4</v>
      </c>
      <c r="K174">
        <f t="shared" si="25"/>
        <v>0.6</v>
      </c>
      <c r="L174">
        <f t="shared" si="26"/>
        <v>125</v>
      </c>
      <c r="M174" s="6">
        <f t="shared" si="27"/>
        <v>15.84036129032258</v>
      </c>
      <c r="N174" s="13">
        <f t="shared" si="22"/>
        <v>15.177167314851687</v>
      </c>
      <c r="O174" s="6">
        <f t="shared" si="30"/>
        <v>1068.237291916945</v>
      </c>
      <c r="P174" s="6">
        <f t="shared" si="31"/>
        <v>1050.9068314911869</v>
      </c>
      <c r="Q174" s="6">
        <f t="shared" si="28"/>
        <v>15.177167314851687</v>
      </c>
      <c r="T174" s="6">
        <f t="shared" si="21"/>
        <v>15.177167314851687</v>
      </c>
    </row>
    <row r="175" spans="2:20">
      <c r="B175">
        <f t="shared" si="29"/>
        <v>172</v>
      </c>
      <c r="C175">
        <f t="shared" si="23"/>
        <v>30</v>
      </c>
      <c r="D175">
        <v>153</v>
      </c>
      <c r="E175">
        <v>183</v>
      </c>
      <c r="F175">
        <f>TxSPLINE!F$9</f>
        <v>12.733000000000001</v>
      </c>
      <c r="G175">
        <f>TxSPLINE!F$10</f>
        <v>17.911935483870966</v>
      </c>
      <c r="H175" s="5">
        <f>TxSPLINE!K$9</f>
        <v>1.3135991625195917E-2</v>
      </c>
      <c r="I175" s="5">
        <f>TxSPLINE!K$10</f>
        <v>1.9791624323230606E-5</v>
      </c>
      <c r="J175">
        <f t="shared" si="24"/>
        <v>0.36666666666666664</v>
      </c>
      <c r="K175">
        <f t="shared" si="25"/>
        <v>0.6333333333333333</v>
      </c>
      <c r="L175">
        <f t="shared" si="26"/>
        <v>126</v>
      </c>
      <c r="M175" s="6">
        <f t="shared" si="27"/>
        <v>16.012992473118278</v>
      </c>
      <c r="N175" s="13">
        <f t="shared" si="22"/>
        <v>15.386520260557177</v>
      </c>
      <c r="O175" s="6">
        <f t="shared" si="30"/>
        <v>1084.2502843900631</v>
      </c>
      <c r="P175" s="6">
        <f t="shared" si="31"/>
        <v>1066.293351751744</v>
      </c>
      <c r="Q175" s="6">
        <f t="shared" si="28"/>
        <v>15.386520260557177</v>
      </c>
      <c r="T175" s="6">
        <f t="shared" si="21"/>
        <v>15.386520260557177</v>
      </c>
    </row>
    <row r="176" spans="2:20">
      <c r="B176">
        <f t="shared" si="29"/>
        <v>173</v>
      </c>
      <c r="C176">
        <f t="shared" si="23"/>
        <v>30</v>
      </c>
      <c r="D176">
        <v>153</v>
      </c>
      <c r="E176">
        <v>183</v>
      </c>
      <c r="F176">
        <f>TxSPLINE!F$9</f>
        <v>12.733000000000001</v>
      </c>
      <c r="G176">
        <f>TxSPLINE!F$10</f>
        <v>17.911935483870966</v>
      </c>
      <c r="H176" s="5">
        <f>TxSPLINE!K$9</f>
        <v>1.3135991625195917E-2</v>
      </c>
      <c r="I176" s="5">
        <f>TxSPLINE!K$10</f>
        <v>1.9791624323230606E-5</v>
      </c>
      <c r="J176">
        <f t="shared" si="24"/>
        <v>0.33333333333333331</v>
      </c>
      <c r="K176">
        <f t="shared" si="25"/>
        <v>0.66666666666666663</v>
      </c>
      <c r="L176">
        <f t="shared" si="26"/>
        <v>127</v>
      </c>
      <c r="M176" s="6">
        <f t="shared" si="27"/>
        <v>16.185623655913979</v>
      </c>
      <c r="N176" s="13">
        <f t="shared" si="22"/>
        <v>15.600702271220648</v>
      </c>
      <c r="O176" s="6">
        <f t="shared" si="30"/>
        <v>1100.4359080459772</v>
      </c>
      <c r="P176" s="6">
        <f t="shared" si="31"/>
        <v>1081.8940540229646</v>
      </c>
      <c r="Q176" s="6">
        <f t="shared" si="28"/>
        <v>15.600702271220648</v>
      </c>
      <c r="T176" s="6">
        <f t="shared" si="21"/>
        <v>15.600702271220648</v>
      </c>
    </row>
    <row r="177" spans="1:20">
      <c r="B177">
        <f t="shared" si="29"/>
        <v>174</v>
      </c>
      <c r="C177">
        <f t="shared" si="23"/>
        <v>30</v>
      </c>
      <c r="D177">
        <v>153</v>
      </c>
      <c r="E177">
        <v>183</v>
      </c>
      <c r="F177">
        <f>TxSPLINE!F$9</f>
        <v>12.733000000000001</v>
      </c>
      <c r="G177">
        <f>TxSPLINE!F$10</f>
        <v>17.911935483870966</v>
      </c>
      <c r="H177" s="5">
        <f>TxSPLINE!K$9</f>
        <v>1.3135991625195917E-2</v>
      </c>
      <c r="I177" s="5">
        <f>TxSPLINE!K$10</f>
        <v>1.9791624323230606E-5</v>
      </c>
      <c r="J177">
        <f t="shared" si="24"/>
        <v>0.3</v>
      </c>
      <c r="K177">
        <f t="shared" si="25"/>
        <v>0.7</v>
      </c>
      <c r="L177">
        <f t="shared" si="26"/>
        <v>128</v>
      </c>
      <c r="M177" s="6">
        <f t="shared" si="27"/>
        <v>16.358254838709676</v>
      </c>
      <c r="N177" s="13">
        <f t="shared" si="22"/>
        <v>15.819276140175395</v>
      </c>
      <c r="O177" s="6">
        <f t="shared" si="30"/>
        <v>1116.7941628846868</v>
      </c>
      <c r="P177" s="6">
        <f t="shared" si="31"/>
        <v>1097.71333016314</v>
      </c>
      <c r="Q177" s="6">
        <f t="shared" si="28"/>
        <v>15.819276140175395</v>
      </c>
      <c r="T177" s="6">
        <f t="shared" si="21"/>
        <v>15.819276140175395</v>
      </c>
    </row>
    <row r="178" spans="1:20">
      <c r="B178">
        <f t="shared" si="29"/>
        <v>175</v>
      </c>
      <c r="C178">
        <f t="shared" si="23"/>
        <v>30</v>
      </c>
      <c r="D178">
        <v>153</v>
      </c>
      <c r="E178">
        <v>183</v>
      </c>
      <c r="F178">
        <f>TxSPLINE!F$9</f>
        <v>12.733000000000001</v>
      </c>
      <c r="G178">
        <f>TxSPLINE!F$10</f>
        <v>17.911935483870966</v>
      </c>
      <c r="H178" s="5">
        <f>TxSPLINE!K$9</f>
        <v>1.3135991625195917E-2</v>
      </c>
      <c r="I178" s="5">
        <f>TxSPLINE!K$10</f>
        <v>1.9791624323230606E-5</v>
      </c>
      <c r="J178">
        <f t="shared" si="24"/>
        <v>0.26666666666666666</v>
      </c>
      <c r="K178">
        <f t="shared" si="25"/>
        <v>0.73333333333333328</v>
      </c>
      <c r="L178">
        <f t="shared" si="26"/>
        <v>129</v>
      </c>
      <c r="M178" s="6">
        <f t="shared" si="27"/>
        <v>16.530886021505374</v>
      </c>
      <c r="N178" s="13">
        <f t="shared" si="22"/>
        <v>16.041804660754728</v>
      </c>
      <c r="O178" s="6">
        <f t="shared" si="30"/>
        <v>1133.3250489061923</v>
      </c>
      <c r="P178" s="6">
        <f t="shared" si="31"/>
        <v>1113.7551348238947</v>
      </c>
      <c r="Q178" s="6">
        <f t="shared" si="28"/>
        <v>16.041804660754728</v>
      </c>
      <c r="T178" s="6">
        <f t="shared" ref="T178:T241" si="32">N178</f>
        <v>16.041804660754728</v>
      </c>
    </row>
    <row r="179" spans="1:20">
      <c r="B179">
        <f t="shared" si="29"/>
        <v>176</v>
      </c>
      <c r="C179">
        <f t="shared" si="23"/>
        <v>30</v>
      </c>
      <c r="D179">
        <v>153</v>
      </c>
      <c r="E179">
        <v>183</v>
      </c>
      <c r="F179">
        <f>TxSPLINE!F$9</f>
        <v>12.733000000000001</v>
      </c>
      <c r="G179">
        <f>TxSPLINE!F$10</f>
        <v>17.911935483870966</v>
      </c>
      <c r="H179" s="5">
        <f>TxSPLINE!K$9</f>
        <v>1.3135991625195917E-2</v>
      </c>
      <c r="I179" s="5">
        <f>TxSPLINE!K$10</f>
        <v>1.9791624323230606E-5</v>
      </c>
      <c r="J179">
        <f t="shared" si="24"/>
        <v>0.23333333333333334</v>
      </c>
      <c r="K179">
        <f t="shared" si="25"/>
        <v>0.76666666666666672</v>
      </c>
      <c r="L179">
        <f t="shared" si="26"/>
        <v>130</v>
      </c>
      <c r="M179" s="6">
        <f t="shared" si="27"/>
        <v>16.703517204301075</v>
      </c>
      <c r="N179" s="13">
        <f t="shared" si="22"/>
        <v>16.267850626291953</v>
      </c>
      <c r="O179" s="6">
        <f t="shared" si="30"/>
        <v>1150.0285661104933</v>
      </c>
      <c r="P179" s="6">
        <f t="shared" si="31"/>
        <v>1130.0229854501865</v>
      </c>
      <c r="Q179" s="6">
        <f t="shared" si="28"/>
        <v>16.267850626291953</v>
      </c>
      <c r="T179" s="6">
        <f t="shared" si="32"/>
        <v>16.267850626291953</v>
      </c>
    </row>
    <row r="180" spans="1:20">
      <c r="B180">
        <f t="shared" si="29"/>
        <v>177</v>
      </c>
      <c r="C180">
        <f t="shared" si="23"/>
        <v>30</v>
      </c>
      <c r="D180">
        <v>153</v>
      </c>
      <c r="E180">
        <v>183</v>
      </c>
      <c r="F180">
        <f>TxSPLINE!F$9</f>
        <v>12.733000000000001</v>
      </c>
      <c r="G180">
        <f>TxSPLINE!F$10</f>
        <v>17.911935483870966</v>
      </c>
      <c r="H180" s="5">
        <f>TxSPLINE!K$9</f>
        <v>1.3135991625195917E-2</v>
      </c>
      <c r="I180" s="5">
        <f>TxSPLINE!K$10</f>
        <v>1.9791624323230606E-5</v>
      </c>
      <c r="J180">
        <f t="shared" si="24"/>
        <v>0.2</v>
      </c>
      <c r="K180">
        <f t="shared" si="25"/>
        <v>0.8</v>
      </c>
      <c r="L180">
        <f t="shared" si="26"/>
        <v>131</v>
      </c>
      <c r="M180" s="6">
        <f t="shared" si="27"/>
        <v>16.876148387096773</v>
      </c>
      <c r="N180" s="13">
        <f t="shared" si="22"/>
        <v>16.496976830120367</v>
      </c>
      <c r="O180" s="6">
        <f t="shared" si="30"/>
        <v>1166.90471449759</v>
      </c>
      <c r="P180" s="6">
        <f t="shared" si="31"/>
        <v>1146.5199622803068</v>
      </c>
      <c r="Q180" s="6">
        <f t="shared" si="28"/>
        <v>16.496976830120367</v>
      </c>
      <c r="T180" s="6">
        <f t="shared" si="32"/>
        <v>16.496976830120367</v>
      </c>
    </row>
    <row r="181" spans="1:20">
      <c r="B181">
        <f t="shared" si="29"/>
        <v>178</v>
      </c>
      <c r="C181">
        <f t="shared" si="23"/>
        <v>30</v>
      </c>
      <c r="D181">
        <v>153</v>
      </c>
      <c r="E181">
        <v>183</v>
      </c>
      <c r="F181">
        <f>TxSPLINE!F$9</f>
        <v>12.733000000000001</v>
      </c>
      <c r="G181">
        <f>TxSPLINE!F$10</f>
        <v>17.911935483870966</v>
      </c>
      <c r="H181" s="5">
        <f>TxSPLINE!K$9</f>
        <v>1.3135991625195917E-2</v>
      </c>
      <c r="I181" s="5">
        <f>TxSPLINE!K$10</f>
        <v>1.9791624323230606E-5</v>
      </c>
      <c r="J181">
        <f t="shared" si="24"/>
        <v>0.16666666666666666</v>
      </c>
      <c r="K181">
        <f t="shared" si="25"/>
        <v>0.83333333333333337</v>
      </c>
      <c r="L181">
        <f t="shared" si="26"/>
        <v>132</v>
      </c>
      <c r="M181" s="6">
        <f t="shared" si="27"/>
        <v>17.048779569892474</v>
      </c>
      <c r="N181" s="13">
        <f t="shared" si="22"/>
        <v>16.728746065573283</v>
      </c>
      <c r="O181" s="6">
        <f t="shared" si="30"/>
        <v>1183.9534940674826</v>
      </c>
      <c r="P181" s="6">
        <f t="shared" si="31"/>
        <v>1163.24870834588</v>
      </c>
      <c r="Q181" s="6">
        <f t="shared" si="28"/>
        <v>16.728746065573283</v>
      </c>
      <c r="T181" s="6">
        <f t="shared" si="32"/>
        <v>16.728746065573283</v>
      </c>
    </row>
    <row r="182" spans="1:20">
      <c r="B182">
        <f t="shared" si="29"/>
        <v>179</v>
      </c>
      <c r="C182">
        <f t="shared" si="23"/>
        <v>30</v>
      </c>
      <c r="D182">
        <v>153</v>
      </c>
      <c r="E182">
        <v>183</v>
      </c>
      <c r="F182">
        <f>TxSPLINE!F$9</f>
        <v>12.733000000000001</v>
      </c>
      <c r="G182">
        <f>TxSPLINE!F$10</f>
        <v>17.911935483870966</v>
      </c>
      <c r="H182" s="5">
        <f>TxSPLINE!K$9</f>
        <v>1.3135991625195917E-2</v>
      </c>
      <c r="I182" s="5">
        <f>TxSPLINE!K$10</f>
        <v>1.9791624323230606E-5</v>
      </c>
      <c r="J182">
        <f t="shared" si="24"/>
        <v>0.13333333333333333</v>
      </c>
      <c r="K182">
        <f t="shared" si="25"/>
        <v>0.8666666666666667</v>
      </c>
      <c r="L182">
        <f t="shared" si="26"/>
        <v>133</v>
      </c>
      <c r="M182" s="6">
        <f t="shared" si="27"/>
        <v>17.221410752688172</v>
      </c>
      <c r="N182" s="13">
        <f t="shared" si="22"/>
        <v>16.962721125983997</v>
      </c>
      <c r="O182" s="6">
        <f t="shared" si="30"/>
        <v>1201.1749048201707</v>
      </c>
      <c r="P182" s="6">
        <f t="shared" si="31"/>
        <v>1180.211429471864</v>
      </c>
      <c r="Q182" s="6">
        <f t="shared" si="28"/>
        <v>16.962721125983997</v>
      </c>
      <c r="T182" s="6">
        <f t="shared" si="32"/>
        <v>16.962721125983997</v>
      </c>
    </row>
    <row r="183" spans="1:20">
      <c r="B183">
        <f t="shared" si="29"/>
        <v>180</v>
      </c>
      <c r="C183">
        <f t="shared" si="23"/>
        <v>30</v>
      </c>
      <c r="D183">
        <v>153</v>
      </c>
      <c r="E183">
        <v>183</v>
      </c>
      <c r="F183">
        <f>TxSPLINE!F$9</f>
        <v>12.733000000000001</v>
      </c>
      <c r="G183">
        <f>TxSPLINE!F$10</f>
        <v>17.911935483870966</v>
      </c>
      <c r="H183" s="5">
        <f>TxSPLINE!K$9</f>
        <v>1.3135991625195917E-2</v>
      </c>
      <c r="I183" s="5">
        <f>TxSPLINE!K$10</f>
        <v>1.9791624323230606E-5</v>
      </c>
      <c r="J183">
        <f t="shared" si="24"/>
        <v>0.1</v>
      </c>
      <c r="K183">
        <f t="shared" si="25"/>
        <v>0.9</v>
      </c>
      <c r="L183">
        <f t="shared" si="26"/>
        <v>134</v>
      </c>
      <c r="M183" s="6">
        <f t="shared" si="27"/>
        <v>17.39404193548387</v>
      </c>
      <c r="N183" s="13">
        <f t="shared" ref="N183:N246" si="33">Q183</f>
        <v>17.19846480468582</v>
      </c>
      <c r="O183" s="6">
        <f t="shared" si="30"/>
        <v>1218.5689467556545</v>
      </c>
      <c r="P183" s="6">
        <f t="shared" si="31"/>
        <v>1197.4098942765497</v>
      </c>
      <c r="Q183" s="6">
        <f t="shared" si="28"/>
        <v>17.19846480468582</v>
      </c>
      <c r="T183" s="6">
        <f t="shared" si="32"/>
        <v>17.19846480468582</v>
      </c>
    </row>
    <row r="184" spans="1:20">
      <c r="B184">
        <f t="shared" si="29"/>
        <v>181</v>
      </c>
      <c r="C184">
        <f t="shared" si="23"/>
        <v>30</v>
      </c>
      <c r="D184">
        <v>153</v>
      </c>
      <c r="E184">
        <v>183</v>
      </c>
      <c r="F184">
        <f>TxSPLINE!F$9</f>
        <v>12.733000000000001</v>
      </c>
      <c r="G184">
        <f>TxSPLINE!F$10</f>
        <v>17.911935483870966</v>
      </c>
      <c r="H184" s="5">
        <f>TxSPLINE!K$9</f>
        <v>1.3135991625195917E-2</v>
      </c>
      <c r="I184" s="5">
        <f>TxSPLINE!K$10</f>
        <v>1.9791624323230606E-5</v>
      </c>
      <c r="J184">
        <f t="shared" si="24"/>
        <v>6.6666666666666666E-2</v>
      </c>
      <c r="K184">
        <f t="shared" si="25"/>
        <v>0.93333333333333335</v>
      </c>
      <c r="L184">
        <f t="shared" si="26"/>
        <v>135</v>
      </c>
      <c r="M184" s="6">
        <f t="shared" si="27"/>
        <v>17.566673118279567</v>
      </c>
      <c r="N184" s="13">
        <f t="shared" si="33"/>
        <v>17.435539895012052</v>
      </c>
      <c r="O184" s="6">
        <f t="shared" si="30"/>
        <v>1236.135619873934</v>
      </c>
      <c r="P184" s="6">
        <f t="shared" si="31"/>
        <v>1214.8454341715617</v>
      </c>
      <c r="Q184" s="6">
        <f t="shared" si="28"/>
        <v>17.435539895012052</v>
      </c>
      <c r="T184" s="6">
        <f t="shared" si="32"/>
        <v>17.435539895012052</v>
      </c>
    </row>
    <row r="185" spans="1:20">
      <c r="B185">
        <f t="shared" si="29"/>
        <v>182</v>
      </c>
      <c r="C185">
        <f t="shared" si="23"/>
        <v>30</v>
      </c>
      <c r="D185">
        <v>153</v>
      </c>
      <c r="E185">
        <v>183</v>
      </c>
      <c r="F185">
        <f>TxSPLINE!F$9</f>
        <v>12.733000000000001</v>
      </c>
      <c r="G185">
        <f>TxSPLINE!F$10</f>
        <v>17.911935483870966</v>
      </c>
      <c r="H185" s="5">
        <f>TxSPLINE!K$9</f>
        <v>1.3135991625195917E-2</v>
      </c>
      <c r="I185" s="5">
        <f>TxSPLINE!K$10</f>
        <v>1.9791624323230606E-5</v>
      </c>
      <c r="J185">
        <f t="shared" si="24"/>
        <v>3.3333333333333333E-2</v>
      </c>
      <c r="K185">
        <f t="shared" si="25"/>
        <v>0.96666666666666667</v>
      </c>
      <c r="L185">
        <f t="shared" si="26"/>
        <v>136</v>
      </c>
      <c r="M185" s="6">
        <f t="shared" si="27"/>
        <v>17.739304301075268</v>
      </c>
      <c r="N185" s="13">
        <f t="shared" si="33"/>
        <v>17.673509190296002</v>
      </c>
      <c r="O185" s="6">
        <f t="shared" si="30"/>
        <v>1253.8749241750093</v>
      </c>
      <c r="P185" s="6">
        <f t="shared" si="31"/>
        <v>1232.5189433618577</v>
      </c>
      <c r="Q185" s="6">
        <f t="shared" si="28"/>
        <v>17.673509190296002</v>
      </c>
      <c r="T185" s="6">
        <f t="shared" si="32"/>
        <v>17.673509190296002</v>
      </c>
    </row>
    <row r="186" spans="1:20">
      <c r="A186">
        <v>183</v>
      </c>
      <c r="B186">
        <f t="shared" si="29"/>
        <v>183</v>
      </c>
      <c r="C186">
        <f t="shared" si="23"/>
        <v>30</v>
      </c>
      <c r="D186">
        <v>153</v>
      </c>
      <c r="E186">
        <v>183</v>
      </c>
      <c r="F186">
        <f>TxSPLINE!F$9</f>
        <v>12.733000000000001</v>
      </c>
      <c r="G186">
        <f>TxSPLINE!F$10</f>
        <v>17.911935483870966</v>
      </c>
      <c r="H186" s="5">
        <f>TxSPLINE!K$9</f>
        <v>1.3135991625195917E-2</v>
      </c>
      <c r="I186" s="5">
        <f>TxSPLINE!K$10</f>
        <v>1.9791624323230606E-5</v>
      </c>
      <c r="J186">
        <f t="shared" si="24"/>
        <v>0</v>
      </c>
      <c r="K186">
        <f t="shared" si="25"/>
        <v>1</v>
      </c>
      <c r="L186">
        <f t="shared" si="26"/>
        <v>137</v>
      </c>
      <c r="M186" s="6">
        <f t="shared" si="27"/>
        <v>17.911935483870966</v>
      </c>
      <c r="N186" s="13">
        <f t="shared" si="33"/>
        <v>17.911935483870966</v>
      </c>
      <c r="O186" s="6">
        <f t="shared" si="30"/>
        <v>1271.7868596588803</v>
      </c>
      <c r="P186" s="6">
        <f t="shared" si="31"/>
        <v>1250.4308788457288</v>
      </c>
      <c r="Q186" s="6">
        <f t="shared" si="28"/>
        <v>17.911935483870966</v>
      </c>
      <c r="T186" s="6">
        <f t="shared" si="32"/>
        <v>17.911935483870966</v>
      </c>
    </row>
    <row r="187" spans="1:20">
      <c r="B187">
        <f t="shared" si="29"/>
        <v>184</v>
      </c>
      <c r="C187">
        <f t="shared" si="23"/>
        <v>31</v>
      </c>
      <c r="D187">
        <v>183</v>
      </c>
      <c r="E187">
        <v>214</v>
      </c>
      <c r="F187">
        <f>TxSPLINE!F$10</f>
        <v>17.911935483870966</v>
      </c>
      <c r="G187">
        <f>TxSPLINE!F$11</f>
        <v>24.115666666666662</v>
      </c>
      <c r="H187" s="5">
        <f>TxSPLINE!K$10</f>
        <v>1.9791624323230606E-5</v>
      </c>
      <c r="I187" s="5">
        <f>TxSPLINE!K$11</f>
        <v>-7.4696535253365995E-3</v>
      </c>
      <c r="J187">
        <f t="shared" si="24"/>
        <v>0.967741935483871</v>
      </c>
      <c r="K187">
        <f t="shared" si="25"/>
        <v>3.2258064516129031E-2</v>
      </c>
      <c r="L187">
        <f t="shared" si="26"/>
        <v>138</v>
      </c>
      <c r="M187" s="6">
        <f t="shared" si="27"/>
        <v>18.112055844606314</v>
      </c>
      <c r="N187" s="13">
        <f t="shared" si="33"/>
        <v>18.150414171013903</v>
      </c>
      <c r="O187" s="6">
        <f t="shared" si="30"/>
        <v>1289.8989155034867</v>
      </c>
      <c r="P187" s="6">
        <f t="shared" si="31"/>
        <v>1268.5812930167426</v>
      </c>
      <c r="Q187" s="6">
        <f t="shared" si="28"/>
        <v>18.150414171013903</v>
      </c>
      <c r="T187" s="6">
        <f t="shared" si="32"/>
        <v>18.150414171013903</v>
      </c>
    </row>
    <row r="188" spans="1:20">
      <c r="B188">
        <f t="shared" si="29"/>
        <v>185</v>
      </c>
      <c r="C188">
        <f t="shared" si="23"/>
        <v>31</v>
      </c>
      <c r="D188">
        <v>183</v>
      </c>
      <c r="E188">
        <v>214</v>
      </c>
      <c r="F188">
        <f>TxSPLINE!F$10</f>
        <v>17.911935483870966</v>
      </c>
      <c r="G188">
        <f>TxSPLINE!F$11</f>
        <v>24.115666666666662</v>
      </c>
      <c r="H188" s="5">
        <f>TxSPLINE!K$10</f>
        <v>1.9791624323230606E-5</v>
      </c>
      <c r="I188" s="5">
        <f>TxSPLINE!K$11</f>
        <v>-7.4696535253365995E-3</v>
      </c>
      <c r="J188">
        <f t="shared" si="24"/>
        <v>0.93548387096774188</v>
      </c>
      <c r="K188">
        <f t="shared" si="25"/>
        <v>6.4516129032258063E-2</v>
      </c>
      <c r="L188">
        <f t="shared" si="26"/>
        <v>139</v>
      </c>
      <c r="M188" s="6">
        <f t="shared" si="27"/>
        <v>18.312176205341654</v>
      </c>
      <c r="N188" s="13">
        <f t="shared" si="33"/>
        <v>18.388671054776328</v>
      </c>
      <c r="O188" s="6">
        <f t="shared" si="30"/>
        <v>1308.2110917088285</v>
      </c>
      <c r="P188" s="6">
        <f t="shared" si="31"/>
        <v>1286.9699640715189</v>
      </c>
      <c r="Q188" s="6">
        <f t="shared" si="28"/>
        <v>18.388671054776328</v>
      </c>
      <c r="T188" s="6">
        <f t="shared" si="32"/>
        <v>18.388671054776328</v>
      </c>
    </row>
    <row r="189" spans="1:20">
      <c r="B189">
        <f t="shared" si="29"/>
        <v>186</v>
      </c>
      <c r="C189">
        <f t="shared" si="23"/>
        <v>31</v>
      </c>
      <c r="D189">
        <v>183</v>
      </c>
      <c r="E189">
        <v>214</v>
      </c>
      <c r="F189">
        <f>TxSPLINE!F$10</f>
        <v>17.911935483870966</v>
      </c>
      <c r="G189">
        <f>TxSPLINE!F$11</f>
        <v>24.115666666666662</v>
      </c>
      <c r="H189" s="5">
        <f>TxSPLINE!K$10</f>
        <v>1.9791624323230606E-5</v>
      </c>
      <c r="I189" s="5">
        <f>TxSPLINE!K$11</f>
        <v>-7.4696535253365995E-3</v>
      </c>
      <c r="J189">
        <f t="shared" si="24"/>
        <v>0.90322580645161288</v>
      </c>
      <c r="K189">
        <f t="shared" si="25"/>
        <v>9.6774193548387094E-2</v>
      </c>
      <c r="L189">
        <f t="shared" si="26"/>
        <v>140</v>
      </c>
      <c r="M189" s="6">
        <f t="shared" si="27"/>
        <v>18.512296566077001</v>
      </c>
      <c r="N189" s="13">
        <f t="shared" si="33"/>
        <v>18.626464540153428</v>
      </c>
      <c r="O189" s="6">
        <f t="shared" si="30"/>
        <v>1326.7233882749056</v>
      </c>
      <c r="P189" s="6">
        <f t="shared" si="31"/>
        <v>1305.5964286116723</v>
      </c>
      <c r="Q189" s="6">
        <f t="shared" si="28"/>
        <v>18.626464540153428</v>
      </c>
      <c r="T189" s="6">
        <f t="shared" si="32"/>
        <v>18.626464540153428</v>
      </c>
    </row>
    <row r="190" spans="1:20">
      <c r="B190">
        <f t="shared" si="29"/>
        <v>187</v>
      </c>
      <c r="C190">
        <f t="shared" si="23"/>
        <v>31</v>
      </c>
      <c r="D190">
        <v>183</v>
      </c>
      <c r="E190">
        <v>214</v>
      </c>
      <c r="F190">
        <f>TxSPLINE!F$10</f>
        <v>17.911935483870966</v>
      </c>
      <c r="G190">
        <f>TxSPLINE!F$11</f>
        <v>24.115666666666662</v>
      </c>
      <c r="H190" s="5">
        <f>TxSPLINE!K$10</f>
        <v>1.9791624323230606E-5</v>
      </c>
      <c r="I190" s="5">
        <f>TxSPLINE!K$11</f>
        <v>-7.4696535253365995E-3</v>
      </c>
      <c r="J190">
        <f t="shared" si="24"/>
        <v>0.87096774193548387</v>
      </c>
      <c r="K190">
        <f t="shared" si="25"/>
        <v>0.12903225806451613</v>
      </c>
      <c r="L190">
        <f t="shared" si="26"/>
        <v>141</v>
      </c>
      <c r="M190" s="6">
        <f t="shared" si="27"/>
        <v>18.712416926812345</v>
      </c>
      <c r="N190" s="13">
        <f t="shared" si="33"/>
        <v>18.863553032140366</v>
      </c>
      <c r="O190" s="6">
        <f t="shared" si="30"/>
        <v>1345.4358052017178</v>
      </c>
      <c r="P190" s="6">
        <f t="shared" si="31"/>
        <v>1324.4599816438126</v>
      </c>
      <c r="Q190" s="6">
        <f t="shared" si="28"/>
        <v>18.863553032140366</v>
      </c>
      <c r="T190" s="6">
        <f t="shared" si="32"/>
        <v>18.863553032140366</v>
      </c>
    </row>
    <row r="191" spans="1:20">
      <c r="B191">
        <f t="shared" si="29"/>
        <v>188</v>
      </c>
      <c r="C191">
        <f t="shared" si="23"/>
        <v>31</v>
      </c>
      <c r="D191">
        <v>183</v>
      </c>
      <c r="E191">
        <v>214</v>
      </c>
      <c r="F191">
        <f>TxSPLINE!F$10</f>
        <v>17.911935483870966</v>
      </c>
      <c r="G191">
        <f>TxSPLINE!F$11</f>
        <v>24.115666666666662</v>
      </c>
      <c r="H191" s="5">
        <f>TxSPLINE!K$10</f>
        <v>1.9791624323230606E-5</v>
      </c>
      <c r="I191" s="5">
        <f>TxSPLINE!K$11</f>
        <v>-7.4696535253365995E-3</v>
      </c>
      <c r="J191">
        <f t="shared" si="24"/>
        <v>0.83870967741935487</v>
      </c>
      <c r="K191">
        <f t="shared" si="25"/>
        <v>0.16129032258064516</v>
      </c>
      <c r="L191">
        <f t="shared" si="26"/>
        <v>142</v>
      </c>
      <c r="M191" s="6">
        <f t="shared" si="27"/>
        <v>18.912537287547693</v>
      </c>
      <c r="N191" s="13">
        <f t="shared" si="33"/>
        <v>19.099694935732316</v>
      </c>
      <c r="O191" s="6">
        <f t="shared" si="30"/>
        <v>1364.3483424892654</v>
      </c>
      <c r="P191" s="6">
        <f t="shared" si="31"/>
        <v>1343.5596765795449</v>
      </c>
      <c r="Q191" s="6">
        <f t="shared" si="28"/>
        <v>19.099694935732316</v>
      </c>
      <c r="T191" s="6">
        <f t="shared" si="32"/>
        <v>19.099694935732316</v>
      </c>
    </row>
    <row r="192" spans="1:20">
      <c r="B192">
        <f t="shared" si="29"/>
        <v>189</v>
      </c>
      <c r="C192">
        <f t="shared" si="23"/>
        <v>31</v>
      </c>
      <c r="D192">
        <v>183</v>
      </c>
      <c r="E192">
        <v>214</v>
      </c>
      <c r="F192">
        <f>TxSPLINE!F$10</f>
        <v>17.911935483870966</v>
      </c>
      <c r="G192">
        <f>TxSPLINE!F$11</f>
        <v>24.115666666666662</v>
      </c>
      <c r="H192" s="5">
        <f>TxSPLINE!K$10</f>
        <v>1.9791624323230606E-5</v>
      </c>
      <c r="I192" s="5">
        <f>TxSPLINE!K$11</f>
        <v>-7.4696535253365995E-3</v>
      </c>
      <c r="J192">
        <f t="shared" si="24"/>
        <v>0.80645161290322576</v>
      </c>
      <c r="K192">
        <f t="shared" si="25"/>
        <v>0.19354838709677419</v>
      </c>
      <c r="L192">
        <f t="shared" si="26"/>
        <v>143</v>
      </c>
      <c r="M192" s="6">
        <f t="shared" si="27"/>
        <v>19.112657648283037</v>
      </c>
      <c r="N192" s="13">
        <f t="shared" si="33"/>
        <v>19.33464865592445</v>
      </c>
      <c r="O192" s="6">
        <f t="shared" si="30"/>
        <v>1383.4610001375484</v>
      </c>
      <c r="P192" s="6">
        <f t="shared" si="31"/>
        <v>1362.8943252354693</v>
      </c>
      <c r="Q192" s="6">
        <f t="shared" si="28"/>
        <v>19.33464865592445</v>
      </c>
      <c r="T192" s="6">
        <f t="shared" si="32"/>
        <v>19.33464865592445</v>
      </c>
    </row>
    <row r="193" spans="2:20">
      <c r="B193">
        <f t="shared" si="29"/>
        <v>190</v>
      </c>
      <c r="C193">
        <f t="shared" si="23"/>
        <v>31</v>
      </c>
      <c r="D193">
        <v>183</v>
      </c>
      <c r="E193">
        <v>214</v>
      </c>
      <c r="F193">
        <f>TxSPLINE!F$10</f>
        <v>17.911935483870966</v>
      </c>
      <c r="G193">
        <f>TxSPLINE!F$11</f>
        <v>24.115666666666662</v>
      </c>
      <c r="H193" s="5">
        <f>TxSPLINE!K$10</f>
        <v>1.9791624323230606E-5</v>
      </c>
      <c r="I193" s="5">
        <f>TxSPLINE!K$11</f>
        <v>-7.4696535253365995E-3</v>
      </c>
      <c r="J193">
        <f t="shared" si="24"/>
        <v>0.77419354838709675</v>
      </c>
      <c r="K193">
        <f t="shared" si="25"/>
        <v>0.22580645161290322</v>
      </c>
      <c r="L193">
        <f t="shared" si="26"/>
        <v>144</v>
      </c>
      <c r="M193" s="6">
        <f t="shared" si="27"/>
        <v>19.31277800901838</v>
      </c>
      <c r="N193" s="13">
        <f t="shared" si="33"/>
        <v>19.568172597711939</v>
      </c>
      <c r="O193" s="6">
        <f t="shared" si="30"/>
        <v>1402.7737781465667</v>
      </c>
      <c r="P193" s="6">
        <f t="shared" si="31"/>
        <v>1382.4624978331813</v>
      </c>
      <c r="Q193" s="6">
        <f t="shared" si="28"/>
        <v>19.568172597711939</v>
      </c>
      <c r="T193" s="6">
        <f t="shared" si="32"/>
        <v>19.568172597711939</v>
      </c>
    </row>
    <row r="194" spans="2:20">
      <c r="B194">
        <f t="shared" si="29"/>
        <v>191</v>
      </c>
      <c r="C194">
        <f t="shared" si="23"/>
        <v>31</v>
      </c>
      <c r="D194">
        <v>183</v>
      </c>
      <c r="E194">
        <v>214</v>
      </c>
      <c r="F194">
        <f>TxSPLINE!F$10</f>
        <v>17.911935483870966</v>
      </c>
      <c r="G194">
        <f>TxSPLINE!F$11</f>
        <v>24.115666666666662</v>
      </c>
      <c r="H194" s="5">
        <f>TxSPLINE!K$10</f>
        <v>1.9791624323230606E-5</v>
      </c>
      <c r="I194" s="5">
        <f>TxSPLINE!K$11</f>
        <v>-7.4696535253365995E-3</v>
      </c>
      <c r="J194">
        <f t="shared" si="24"/>
        <v>0.74193548387096775</v>
      </c>
      <c r="K194">
        <f t="shared" si="25"/>
        <v>0.25806451612903225</v>
      </c>
      <c r="L194">
        <f t="shared" si="26"/>
        <v>145</v>
      </c>
      <c r="M194" s="6">
        <f t="shared" si="27"/>
        <v>19.512898369753728</v>
      </c>
      <c r="N194" s="13">
        <f t="shared" si="33"/>
        <v>19.800025166089963</v>
      </c>
      <c r="O194" s="6">
        <f t="shared" si="30"/>
        <v>1422.2866765163203</v>
      </c>
      <c r="P194" s="6">
        <f t="shared" si="31"/>
        <v>1402.2625229992711</v>
      </c>
      <c r="Q194" s="6">
        <f t="shared" si="28"/>
        <v>19.800025166089963</v>
      </c>
      <c r="T194" s="6">
        <f t="shared" si="32"/>
        <v>19.800025166089963</v>
      </c>
    </row>
    <row r="195" spans="2:20">
      <c r="B195">
        <f t="shared" si="29"/>
        <v>192</v>
      </c>
      <c r="C195">
        <f t="shared" si="23"/>
        <v>31</v>
      </c>
      <c r="D195">
        <v>183</v>
      </c>
      <c r="E195">
        <v>214</v>
      </c>
      <c r="F195">
        <f>TxSPLINE!F$10</f>
        <v>17.911935483870966</v>
      </c>
      <c r="G195">
        <f>TxSPLINE!F$11</f>
        <v>24.115666666666662</v>
      </c>
      <c r="H195" s="5">
        <f>TxSPLINE!K$10</f>
        <v>1.9791624323230606E-5</v>
      </c>
      <c r="I195" s="5">
        <f>TxSPLINE!K$11</f>
        <v>-7.4696535253365995E-3</v>
      </c>
      <c r="J195">
        <f t="shared" si="24"/>
        <v>0.70967741935483875</v>
      </c>
      <c r="K195">
        <f t="shared" si="25"/>
        <v>0.29032258064516131</v>
      </c>
      <c r="L195">
        <f t="shared" si="26"/>
        <v>146</v>
      </c>
      <c r="M195" s="6">
        <f t="shared" si="27"/>
        <v>19.713018730489072</v>
      </c>
      <c r="N195" s="13">
        <f t="shared" si="33"/>
        <v>20.029964766053684</v>
      </c>
      <c r="O195" s="6">
        <f t="shared" si="30"/>
        <v>1441.9996952468093</v>
      </c>
      <c r="P195" s="6">
        <f t="shared" si="31"/>
        <v>1422.2924877653247</v>
      </c>
      <c r="Q195" s="6">
        <f t="shared" si="28"/>
        <v>20.029964766053684</v>
      </c>
      <c r="T195" s="6">
        <f t="shared" si="32"/>
        <v>20.029964766053684</v>
      </c>
    </row>
    <row r="196" spans="2:20">
      <c r="B196">
        <f t="shared" si="29"/>
        <v>193</v>
      </c>
      <c r="C196">
        <f t="shared" ref="C196:C259" si="34">E196-D196</f>
        <v>31</v>
      </c>
      <c r="D196">
        <v>183</v>
      </c>
      <c r="E196">
        <v>214</v>
      </c>
      <c r="F196">
        <f>TxSPLINE!F$10</f>
        <v>17.911935483870966</v>
      </c>
      <c r="G196">
        <f>TxSPLINE!F$11</f>
        <v>24.115666666666662</v>
      </c>
      <c r="H196" s="5">
        <f>TxSPLINE!K$10</f>
        <v>1.9791624323230606E-5</v>
      </c>
      <c r="I196" s="5">
        <f>TxSPLINE!K$11</f>
        <v>-7.4696535253365995E-3</v>
      </c>
      <c r="J196">
        <f t="shared" ref="J196:J259" si="35">(E196-B196)/C196</f>
        <v>0.67741935483870963</v>
      </c>
      <c r="K196">
        <f t="shared" ref="K196:K259" si="36">(B196-D196)/C196</f>
        <v>0.32258064516129031</v>
      </c>
      <c r="L196">
        <f t="shared" ref="L196:L259" si="37">B196-46</f>
        <v>147</v>
      </c>
      <c r="M196" s="6">
        <f t="shared" ref="M196:M259" si="38">J196*F196+K196*G196</f>
        <v>19.913139091224416</v>
      </c>
      <c r="N196" s="13">
        <f t="shared" si="33"/>
        <v>20.25774980259828</v>
      </c>
      <c r="O196" s="6">
        <f t="shared" si="30"/>
        <v>1461.9128343380337</v>
      </c>
      <c r="P196" s="6">
        <f t="shared" si="31"/>
        <v>1442.550237567923</v>
      </c>
      <c r="Q196" s="6">
        <f t="shared" ref="Q196:Q259" si="39">M196+(((J196^3-J196)*H196+(K196^3-K196)*I196))*(C196^2)/6</f>
        <v>20.25774980259828</v>
      </c>
      <c r="T196" s="6">
        <f t="shared" si="32"/>
        <v>20.25774980259828</v>
      </c>
    </row>
    <row r="197" spans="2:20">
      <c r="B197">
        <f t="shared" ref="B197:B260" si="40">B196+1</f>
        <v>194</v>
      </c>
      <c r="C197">
        <f t="shared" si="34"/>
        <v>31</v>
      </c>
      <c r="D197">
        <v>183</v>
      </c>
      <c r="E197">
        <v>214</v>
      </c>
      <c r="F197">
        <f>TxSPLINE!F$10</f>
        <v>17.911935483870966</v>
      </c>
      <c r="G197">
        <f>TxSPLINE!F$11</f>
        <v>24.115666666666662</v>
      </c>
      <c r="H197" s="5">
        <f>TxSPLINE!K$10</f>
        <v>1.9791624323230606E-5</v>
      </c>
      <c r="I197" s="5">
        <f>TxSPLINE!K$11</f>
        <v>-7.4696535253365995E-3</v>
      </c>
      <c r="J197">
        <f t="shared" si="35"/>
        <v>0.64516129032258063</v>
      </c>
      <c r="K197">
        <f t="shared" si="36"/>
        <v>0.35483870967741937</v>
      </c>
      <c r="L197">
        <f t="shared" si="37"/>
        <v>148</v>
      </c>
      <c r="M197" s="6">
        <f t="shared" si="38"/>
        <v>20.113259451959763</v>
      </c>
      <c r="N197" s="13">
        <f t="shared" si="33"/>
        <v>20.483138680718923</v>
      </c>
      <c r="O197" s="6">
        <f t="shared" ref="O197:O260" si="41">O196+M197</f>
        <v>1482.0260937899934</v>
      </c>
      <c r="P197" s="6">
        <f t="shared" ref="P197:P260" si="42">P196+N197</f>
        <v>1463.0333762486418</v>
      </c>
      <c r="Q197" s="6">
        <f t="shared" si="39"/>
        <v>20.483138680718923</v>
      </c>
      <c r="T197" s="6">
        <f t="shared" si="32"/>
        <v>20.483138680718923</v>
      </c>
    </row>
    <row r="198" spans="2:20">
      <c r="B198">
        <f t="shared" si="40"/>
        <v>195</v>
      </c>
      <c r="C198">
        <f t="shared" si="34"/>
        <v>31</v>
      </c>
      <c r="D198">
        <v>183</v>
      </c>
      <c r="E198">
        <v>214</v>
      </c>
      <c r="F198">
        <f>TxSPLINE!F$10</f>
        <v>17.911935483870966</v>
      </c>
      <c r="G198">
        <f>TxSPLINE!F$11</f>
        <v>24.115666666666662</v>
      </c>
      <c r="H198" s="5">
        <f>TxSPLINE!K$10</f>
        <v>1.9791624323230606E-5</v>
      </c>
      <c r="I198" s="5">
        <f>TxSPLINE!K$11</f>
        <v>-7.4696535253365995E-3</v>
      </c>
      <c r="J198">
        <f t="shared" si="35"/>
        <v>0.61290322580645162</v>
      </c>
      <c r="K198">
        <f t="shared" si="36"/>
        <v>0.38709677419354838</v>
      </c>
      <c r="L198">
        <f t="shared" si="37"/>
        <v>149</v>
      </c>
      <c r="M198" s="6">
        <f t="shared" si="38"/>
        <v>20.313379812695107</v>
      </c>
      <c r="N198" s="13">
        <f t="shared" si="33"/>
        <v>20.705889805410781</v>
      </c>
      <c r="O198" s="6">
        <f t="shared" si="41"/>
        <v>1502.3394736026885</v>
      </c>
      <c r="P198" s="6">
        <f t="shared" si="42"/>
        <v>1483.7392660540527</v>
      </c>
      <c r="Q198" s="6">
        <f t="shared" si="39"/>
        <v>20.705889805410781</v>
      </c>
      <c r="T198" s="6">
        <f t="shared" si="32"/>
        <v>20.705889805410781</v>
      </c>
    </row>
    <row r="199" spans="2:20">
      <c r="B199">
        <f t="shared" si="40"/>
        <v>196</v>
      </c>
      <c r="C199">
        <f t="shared" si="34"/>
        <v>31</v>
      </c>
      <c r="D199">
        <v>183</v>
      </c>
      <c r="E199">
        <v>214</v>
      </c>
      <c r="F199">
        <f>TxSPLINE!F$10</f>
        <v>17.911935483870966</v>
      </c>
      <c r="G199">
        <f>TxSPLINE!F$11</f>
        <v>24.115666666666662</v>
      </c>
      <c r="H199" s="5">
        <f>TxSPLINE!K$10</f>
        <v>1.9791624323230606E-5</v>
      </c>
      <c r="I199" s="5">
        <f>TxSPLINE!K$11</f>
        <v>-7.4696535253365995E-3</v>
      </c>
      <c r="J199">
        <f t="shared" si="35"/>
        <v>0.58064516129032262</v>
      </c>
      <c r="K199">
        <f t="shared" si="36"/>
        <v>0.41935483870967744</v>
      </c>
      <c r="L199">
        <f t="shared" si="37"/>
        <v>150</v>
      </c>
      <c r="M199" s="6">
        <f t="shared" si="38"/>
        <v>20.513500173430451</v>
      </c>
      <c r="N199" s="13">
        <f t="shared" si="33"/>
        <v>20.925761581669029</v>
      </c>
      <c r="O199" s="6">
        <f t="shared" si="41"/>
        <v>1522.8529737761189</v>
      </c>
      <c r="P199" s="6">
        <f t="shared" si="42"/>
        <v>1504.6650276357218</v>
      </c>
      <c r="Q199" s="6">
        <f t="shared" si="39"/>
        <v>20.925761581669029</v>
      </c>
      <c r="T199" s="6">
        <f t="shared" si="32"/>
        <v>20.925761581669029</v>
      </c>
    </row>
    <row r="200" spans="2:20">
      <c r="B200">
        <f t="shared" si="40"/>
        <v>197</v>
      </c>
      <c r="C200">
        <f t="shared" si="34"/>
        <v>31</v>
      </c>
      <c r="D200">
        <v>183</v>
      </c>
      <c r="E200">
        <v>214</v>
      </c>
      <c r="F200">
        <f>TxSPLINE!F$10</f>
        <v>17.911935483870966</v>
      </c>
      <c r="G200">
        <f>TxSPLINE!F$11</f>
        <v>24.115666666666662</v>
      </c>
      <c r="H200" s="5">
        <f>TxSPLINE!K$10</f>
        <v>1.9791624323230606E-5</v>
      </c>
      <c r="I200" s="5">
        <f>TxSPLINE!K$11</f>
        <v>-7.4696535253365995E-3</v>
      </c>
      <c r="J200">
        <f t="shared" si="35"/>
        <v>0.54838709677419351</v>
      </c>
      <c r="K200">
        <f t="shared" si="36"/>
        <v>0.45161290322580644</v>
      </c>
      <c r="L200">
        <f t="shared" si="37"/>
        <v>151</v>
      </c>
      <c r="M200" s="6">
        <f t="shared" si="38"/>
        <v>20.713620534165798</v>
      </c>
      <c r="N200" s="13">
        <f t="shared" si="33"/>
        <v>21.142512414488845</v>
      </c>
      <c r="O200" s="6">
        <f t="shared" si="41"/>
        <v>1543.5665943102847</v>
      </c>
      <c r="P200" s="6">
        <f t="shared" si="42"/>
        <v>1525.8075400502107</v>
      </c>
      <c r="Q200" s="6">
        <f t="shared" si="39"/>
        <v>21.142512414488845</v>
      </c>
      <c r="T200" s="6">
        <f t="shared" si="32"/>
        <v>21.142512414488845</v>
      </c>
    </row>
    <row r="201" spans="2:20">
      <c r="B201">
        <f t="shared" si="40"/>
        <v>198</v>
      </c>
      <c r="C201">
        <f t="shared" si="34"/>
        <v>31</v>
      </c>
      <c r="D201">
        <v>183</v>
      </c>
      <c r="E201">
        <v>214</v>
      </c>
      <c r="F201">
        <f>TxSPLINE!F$10</f>
        <v>17.911935483870966</v>
      </c>
      <c r="G201">
        <f>TxSPLINE!F$11</f>
        <v>24.115666666666662</v>
      </c>
      <c r="H201" s="5">
        <f>TxSPLINE!K$10</f>
        <v>1.9791624323230606E-5</v>
      </c>
      <c r="I201" s="5">
        <f>TxSPLINE!K$11</f>
        <v>-7.4696535253365995E-3</v>
      </c>
      <c r="J201">
        <f t="shared" si="35"/>
        <v>0.5161290322580645</v>
      </c>
      <c r="K201">
        <f t="shared" si="36"/>
        <v>0.4838709677419355</v>
      </c>
      <c r="L201">
        <f t="shared" si="37"/>
        <v>152</v>
      </c>
      <c r="M201" s="6">
        <f t="shared" si="38"/>
        <v>20.913740894901139</v>
      </c>
      <c r="N201" s="13">
        <f t="shared" si="33"/>
        <v>21.355900708865388</v>
      </c>
      <c r="O201" s="6">
        <f t="shared" si="41"/>
        <v>1564.4803352051858</v>
      </c>
      <c r="P201" s="6">
        <f t="shared" si="42"/>
        <v>1547.1634407590761</v>
      </c>
      <c r="Q201" s="6">
        <f t="shared" si="39"/>
        <v>21.355900708865388</v>
      </c>
      <c r="T201" s="6">
        <f t="shared" si="32"/>
        <v>21.355900708865388</v>
      </c>
    </row>
    <row r="202" spans="2:20">
      <c r="B202">
        <f t="shared" si="40"/>
        <v>199</v>
      </c>
      <c r="C202">
        <f t="shared" si="34"/>
        <v>31</v>
      </c>
      <c r="D202">
        <v>183</v>
      </c>
      <c r="E202">
        <v>214</v>
      </c>
      <c r="F202">
        <f>TxSPLINE!F$10</f>
        <v>17.911935483870966</v>
      </c>
      <c r="G202">
        <f>TxSPLINE!F$11</f>
        <v>24.115666666666662</v>
      </c>
      <c r="H202" s="5">
        <f>TxSPLINE!K$10</f>
        <v>1.9791624323230606E-5</v>
      </c>
      <c r="I202" s="5">
        <f>TxSPLINE!K$11</f>
        <v>-7.4696535253365995E-3</v>
      </c>
      <c r="J202">
        <f t="shared" si="35"/>
        <v>0.4838709677419355</v>
      </c>
      <c r="K202">
        <f t="shared" si="36"/>
        <v>0.5161290322580645</v>
      </c>
      <c r="L202">
        <f t="shared" si="37"/>
        <v>153</v>
      </c>
      <c r="M202" s="6">
        <f t="shared" si="38"/>
        <v>21.113861255636486</v>
      </c>
      <c r="N202" s="13">
        <f t="shared" si="33"/>
        <v>21.565684869793841</v>
      </c>
      <c r="O202" s="6">
        <f t="shared" si="41"/>
        <v>1585.5941964608223</v>
      </c>
      <c r="P202" s="6">
        <f t="shared" si="42"/>
        <v>1568.72912562887</v>
      </c>
      <c r="Q202" s="6">
        <f t="shared" si="39"/>
        <v>21.565684869793841</v>
      </c>
      <c r="T202" s="6">
        <f t="shared" si="32"/>
        <v>21.565684869793841</v>
      </c>
    </row>
    <row r="203" spans="2:20">
      <c r="B203">
        <f t="shared" si="40"/>
        <v>200</v>
      </c>
      <c r="C203">
        <f t="shared" si="34"/>
        <v>31</v>
      </c>
      <c r="D203">
        <v>183</v>
      </c>
      <c r="E203">
        <v>214</v>
      </c>
      <c r="F203">
        <f>TxSPLINE!F$10</f>
        <v>17.911935483870966</v>
      </c>
      <c r="G203">
        <f>TxSPLINE!F$11</f>
        <v>24.115666666666662</v>
      </c>
      <c r="H203" s="5">
        <f>TxSPLINE!K$10</f>
        <v>1.9791624323230606E-5</v>
      </c>
      <c r="I203" s="5">
        <f>TxSPLINE!K$11</f>
        <v>-7.4696535253365995E-3</v>
      </c>
      <c r="J203">
        <f t="shared" si="35"/>
        <v>0.45161290322580644</v>
      </c>
      <c r="K203">
        <f t="shared" si="36"/>
        <v>0.54838709677419351</v>
      </c>
      <c r="L203">
        <f t="shared" si="37"/>
        <v>154</v>
      </c>
      <c r="M203" s="6">
        <f t="shared" si="38"/>
        <v>21.313981616371834</v>
      </c>
      <c r="N203" s="13">
        <f t="shared" si="33"/>
        <v>21.771623302269379</v>
      </c>
      <c r="O203" s="6">
        <f t="shared" si="41"/>
        <v>1606.9081780771942</v>
      </c>
      <c r="P203" s="6">
        <f t="shared" si="42"/>
        <v>1590.5007489311392</v>
      </c>
      <c r="Q203" s="6">
        <f t="shared" si="39"/>
        <v>21.771623302269379</v>
      </c>
      <c r="T203" s="6">
        <f t="shared" si="32"/>
        <v>21.771623302269379</v>
      </c>
    </row>
    <row r="204" spans="2:20">
      <c r="B204">
        <f t="shared" si="40"/>
        <v>201</v>
      </c>
      <c r="C204">
        <f t="shared" si="34"/>
        <v>31</v>
      </c>
      <c r="D204">
        <v>183</v>
      </c>
      <c r="E204">
        <v>214</v>
      </c>
      <c r="F204">
        <f>TxSPLINE!F$10</f>
        <v>17.911935483870966</v>
      </c>
      <c r="G204">
        <f>TxSPLINE!F$11</f>
        <v>24.115666666666662</v>
      </c>
      <c r="H204" s="5">
        <f>TxSPLINE!K$10</f>
        <v>1.9791624323230606E-5</v>
      </c>
      <c r="I204" s="5">
        <f>TxSPLINE!K$11</f>
        <v>-7.4696535253365995E-3</v>
      </c>
      <c r="J204">
        <f t="shared" si="35"/>
        <v>0.41935483870967744</v>
      </c>
      <c r="K204">
        <f t="shared" si="36"/>
        <v>0.58064516129032262</v>
      </c>
      <c r="L204">
        <f t="shared" si="37"/>
        <v>155</v>
      </c>
      <c r="M204" s="6">
        <f t="shared" si="38"/>
        <v>21.514101977107178</v>
      </c>
      <c r="N204" s="13">
        <f t="shared" si="33"/>
        <v>21.973474411287164</v>
      </c>
      <c r="O204" s="6">
        <f t="shared" si="41"/>
        <v>1628.4222800543014</v>
      </c>
      <c r="P204" s="6">
        <f t="shared" si="42"/>
        <v>1612.4742233424265</v>
      </c>
      <c r="Q204" s="6">
        <f t="shared" si="39"/>
        <v>21.973474411287164</v>
      </c>
      <c r="T204" s="6">
        <f t="shared" si="32"/>
        <v>21.973474411287164</v>
      </c>
    </row>
    <row r="205" spans="2:20">
      <c r="B205">
        <f t="shared" si="40"/>
        <v>202</v>
      </c>
      <c r="C205">
        <f t="shared" si="34"/>
        <v>31</v>
      </c>
      <c r="D205">
        <v>183</v>
      </c>
      <c r="E205">
        <v>214</v>
      </c>
      <c r="F205">
        <f>TxSPLINE!F$10</f>
        <v>17.911935483870966</v>
      </c>
      <c r="G205">
        <f>TxSPLINE!F$11</f>
        <v>24.115666666666662</v>
      </c>
      <c r="H205" s="5">
        <f>TxSPLINE!K$10</f>
        <v>1.9791624323230606E-5</v>
      </c>
      <c r="I205" s="5">
        <f>TxSPLINE!K$11</f>
        <v>-7.4696535253365995E-3</v>
      </c>
      <c r="J205">
        <f t="shared" si="35"/>
        <v>0.38709677419354838</v>
      </c>
      <c r="K205">
        <f t="shared" si="36"/>
        <v>0.61290322580645162</v>
      </c>
      <c r="L205">
        <f t="shared" si="37"/>
        <v>156</v>
      </c>
      <c r="M205" s="6">
        <f t="shared" si="38"/>
        <v>21.714222337842521</v>
      </c>
      <c r="N205" s="13">
        <f t="shared" si="33"/>
        <v>22.170996601842372</v>
      </c>
      <c r="O205" s="6">
        <f t="shared" si="41"/>
        <v>1650.1365023921439</v>
      </c>
      <c r="P205" s="6">
        <f t="shared" si="42"/>
        <v>1634.6452199442688</v>
      </c>
      <c r="Q205" s="6">
        <f t="shared" si="39"/>
        <v>22.170996601842372</v>
      </c>
      <c r="T205" s="6">
        <f t="shared" si="32"/>
        <v>22.170996601842372</v>
      </c>
    </row>
    <row r="206" spans="2:20">
      <c r="B206">
        <f t="shared" si="40"/>
        <v>203</v>
      </c>
      <c r="C206">
        <f t="shared" si="34"/>
        <v>31</v>
      </c>
      <c r="D206">
        <v>183</v>
      </c>
      <c r="E206">
        <v>214</v>
      </c>
      <c r="F206">
        <f>TxSPLINE!F$10</f>
        <v>17.911935483870966</v>
      </c>
      <c r="G206">
        <f>TxSPLINE!F$11</f>
        <v>24.115666666666662</v>
      </c>
      <c r="H206" s="5">
        <f>TxSPLINE!K$10</f>
        <v>1.9791624323230606E-5</v>
      </c>
      <c r="I206" s="5">
        <f>TxSPLINE!K$11</f>
        <v>-7.4696535253365995E-3</v>
      </c>
      <c r="J206">
        <f t="shared" si="35"/>
        <v>0.35483870967741937</v>
      </c>
      <c r="K206">
        <f t="shared" si="36"/>
        <v>0.64516129032258063</v>
      </c>
      <c r="L206">
        <f t="shared" si="37"/>
        <v>157</v>
      </c>
      <c r="M206" s="6">
        <f t="shared" si="38"/>
        <v>21.914342698577865</v>
      </c>
      <c r="N206" s="13">
        <f t="shared" si="33"/>
        <v>22.363948278930177</v>
      </c>
      <c r="O206" s="6">
        <f t="shared" si="41"/>
        <v>1672.0508450907219</v>
      </c>
      <c r="P206" s="6">
        <f t="shared" si="42"/>
        <v>1657.0091682231989</v>
      </c>
      <c r="Q206" s="6">
        <f t="shared" si="39"/>
        <v>22.363948278930177</v>
      </c>
      <c r="T206" s="6">
        <f t="shared" si="32"/>
        <v>22.363948278930177</v>
      </c>
    </row>
    <row r="207" spans="2:20">
      <c r="B207">
        <f t="shared" si="40"/>
        <v>204</v>
      </c>
      <c r="C207">
        <f t="shared" si="34"/>
        <v>31</v>
      </c>
      <c r="D207">
        <v>183</v>
      </c>
      <c r="E207">
        <v>214</v>
      </c>
      <c r="F207">
        <f>TxSPLINE!F$10</f>
        <v>17.911935483870966</v>
      </c>
      <c r="G207">
        <f>TxSPLINE!F$11</f>
        <v>24.115666666666662</v>
      </c>
      <c r="H207" s="5">
        <f>TxSPLINE!K$10</f>
        <v>1.9791624323230606E-5</v>
      </c>
      <c r="I207" s="5">
        <f>TxSPLINE!K$11</f>
        <v>-7.4696535253365995E-3</v>
      </c>
      <c r="J207">
        <f t="shared" si="35"/>
        <v>0.32258064516129031</v>
      </c>
      <c r="K207">
        <f t="shared" si="36"/>
        <v>0.67741935483870963</v>
      </c>
      <c r="L207">
        <f t="shared" si="37"/>
        <v>158</v>
      </c>
      <c r="M207" s="6">
        <f t="shared" si="38"/>
        <v>22.114463059313213</v>
      </c>
      <c r="N207" s="13">
        <f t="shared" si="33"/>
        <v>22.552087847545753</v>
      </c>
      <c r="O207" s="6">
        <f t="shared" si="41"/>
        <v>1694.1653081500351</v>
      </c>
      <c r="P207" s="6">
        <f t="shared" si="42"/>
        <v>1679.5612560707448</v>
      </c>
      <c r="Q207" s="6">
        <f t="shared" si="39"/>
        <v>22.552087847545753</v>
      </c>
      <c r="T207" s="6">
        <f t="shared" si="32"/>
        <v>22.552087847545753</v>
      </c>
    </row>
    <row r="208" spans="2:20">
      <c r="B208">
        <f t="shared" si="40"/>
        <v>205</v>
      </c>
      <c r="C208">
        <f t="shared" si="34"/>
        <v>31</v>
      </c>
      <c r="D208">
        <v>183</v>
      </c>
      <c r="E208">
        <v>214</v>
      </c>
      <c r="F208">
        <f>TxSPLINE!F$10</f>
        <v>17.911935483870966</v>
      </c>
      <c r="G208">
        <f>TxSPLINE!F$11</f>
        <v>24.115666666666662</v>
      </c>
      <c r="H208" s="5">
        <f>TxSPLINE!K$10</f>
        <v>1.9791624323230606E-5</v>
      </c>
      <c r="I208" s="5">
        <f>TxSPLINE!K$11</f>
        <v>-7.4696535253365995E-3</v>
      </c>
      <c r="J208">
        <f t="shared" si="35"/>
        <v>0.29032258064516131</v>
      </c>
      <c r="K208">
        <f t="shared" si="36"/>
        <v>0.70967741935483875</v>
      </c>
      <c r="L208">
        <f t="shared" si="37"/>
        <v>159</v>
      </c>
      <c r="M208" s="6">
        <f t="shared" si="38"/>
        <v>22.314583420048557</v>
      </c>
      <c r="N208" s="13">
        <f t="shared" si="33"/>
        <v>22.735173712684269</v>
      </c>
      <c r="O208" s="6">
        <f t="shared" si="41"/>
        <v>1716.4798915700837</v>
      </c>
      <c r="P208" s="6">
        <f t="shared" si="42"/>
        <v>1702.2964297834289</v>
      </c>
      <c r="Q208" s="6">
        <f t="shared" si="39"/>
        <v>22.735173712684269</v>
      </c>
      <c r="T208" s="6">
        <f t="shared" si="32"/>
        <v>22.735173712684269</v>
      </c>
    </row>
    <row r="209" spans="1:20">
      <c r="B209">
        <f t="shared" si="40"/>
        <v>206</v>
      </c>
      <c r="C209">
        <f t="shared" si="34"/>
        <v>31</v>
      </c>
      <c r="D209">
        <v>183</v>
      </c>
      <c r="E209">
        <v>214</v>
      </c>
      <c r="F209">
        <f>TxSPLINE!F$10</f>
        <v>17.911935483870966</v>
      </c>
      <c r="G209">
        <f>TxSPLINE!F$11</f>
        <v>24.115666666666662</v>
      </c>
      <c r="H209" s="5">
        <f>TxSPLINE!K$10</f>
        <v>1.9791624323230606E-5</v>
      </c>
      <c r="I209" s="5">
        <f>TxSPLINE!K$11</f>
        <v>-7.4696535253365995E-3</v>
      </c>
      <c r="J209">
        <f t="shared" si="35"/>
        <v>0.25806451612903225</v>
      </c>
      <c r="K209">
        <f t="shared" si="36"/>
        <v>0.74193548387096775</v>
      </c>
      <c r="L209">
        <f t="shared" si="37"/>
        <v>160</v>
      </c>
      <c r="M209" s="6">
        <f t="shared" si="38"/>
        <v>22.514703780783901</v>
      </c>
      <c r="N209" s="13">
        <f t="shared" si="33"/>
        <v>22.912964279340894</v>
      </c>
      <c r="O209" s="6">
        <f t="shared" si="41"/>
        <v>1738.9945953508677</v>
      </c>
      <c r="P209" s="6">
        <f t="shared" si="42"/>
        <v>1725.2093940627699</v>
      </c>
      <c r="Q209" s="6">
        <f t="shared" si="39"/>
        <v>22.912964279340894</v>
      </c>
      <c r="T209" s="6">
        <f t="shared" si="32"/>
        <v>22.912964279340894</v>
      </c>
    </row>
    <row r="210" spans="1:20">
      <c r="B210">
        <f t="shared" si="40"/>
        <v>207</v>
      </c>
      <c r="C210">
        <f t="shared" si="34"/>
        <v>31</v>
      </c>
      <c r="D210">
        <v>183</v>
      </c>
      <c r="E210">
        <v>214</v>
      </c>
      <c r="F210">
        <f>TxSPLINE!F$10</f>
        <v>17.911935483870966</v>
      </c>
      <c r="G210">
        <f>TxSPLINE!F$11</f>
        <v>24.115666666666662</v>
      </c>
      <c r="H210" s="5">
        <f>TxSPLINE!K$10</f>
        <v>1.9791624323230606E-5</v>
      </c>
      <c r="I210" s="5">
        <f>TxSPLINE!K$11</f>
        <v>-7.4696535253365995E-3</v>
      </c>
      <c r="J210">
        <f t="shared" si="35"/>
        <v>0.22580645161290322</v>
      </c>
      <c r="K210">
        <f t="shared" si="36"/>
        <v>0.77419354838709675</v>
      </c>
      <c r="L210">
        <f t="shared" si="37"/>
        <v>161</v>
      </c>
      <c r="M210" s="6">
        <f t="shared" si="38"/>
        <v>22.714824141519248</v>
      </c>
      <c r="N210" s="13">
        <f t="shared" si="33"/>
        <v>23.08521795251081</v>
      </c>
      <c r="O210" s="6">
        <f t="shared" si="41"/>
        <v>1761.709419492387</v>
      </c>
      <c r="P210" s="6">
        <f t="shared" si="42"/>
        <v>1748.2946120152808</v>
      </c>
      <c r="Q210" s="6">
        <f t="shared" si="39"/>
        <v>23.08521795251081</v>
      </c>
      <c r="T210" s="6">
        <f t="shared" si="32"/>
        <v>23.08521795251081</v>
      </c>
    </row>
    <row r="211" spans="1:20">
      <c r="B211">
        <f t="shared" si="40"/>
        <v>208</v>
      </c>
      <c r="C211">
        <f t="shared" si="34"/>
        <v>31</v>
      </c>
      <c r="D211">
        <v>183</v>
      </c>
      <c r="E211">
        <v>214</v>
      </c>
      <c r="F211">
        <f>TxSPLINE!F$10</f>
        <v>17.911935483870966</v>
      </c>
      <c r="G211">
        <f>TxSPLINE!F$11</f>
        <v>24.115666666666662</v>
      </c>
      <c r="H211" s="5">
        <f>TxSPLINE!K$10</f>
        <v>1.9791624323230606E-5</v>
      </c>
      <c r="I211" s="5">
        <f>TxSPLINE!K$11</f>
        <v>-7.4696535253365995E-3</v>
      </c>
      <c r="J211">
        <f t="shared" si="35"/>
        <v>0.19354838709677419</v>
      </c>
      <c r="K211">
        <f t="shared" si="36"/>
        <v>0.80645161290322576</v>
      </c>
      <c r="L211">
        <f t="shared" si="37"/>
        <v>162</v>
      </c>
      <c r="M211" s="6">
        <f t="shared" si="38"/>
        <v>22.914944502254588</v>
      </c>
      <c r="N211" s="13">
        <f t="shared" si="33"/>
        <v>23.251693137189179</v>
      </c>
      <c r="O211" s="6">
        <f t="shared" si="41"/>
        <v>1784.6243639946417</v>
      </c>
      <c r="P211" s="6">
        <f t="shared" si="42"/>
        <v>1771.54630515247</v>
      </c>
      <c r="Q211" s="6">
        <f t="shared" si="39"/>
        <v>23.251693137189179</v>
      </c>
      <c r="T211" s="6">
        <f t="shared" si="32"/>
        <v>23.251693137189179</v>
      </c>
    </row>
    <row r="212" spans="1:20">
      <c r="B212">
        <f t="shared" si="40"/>
        <v>209</v>
      </c>
      <c r="C212">
        <f t="shared" si="34"/>
        <v>31</v>
      </c>
      <c r="D212">
        <v>183</v>
      </c>
      <c r="E212">
        <v>214</v>
      </c>
      <c r="F212">
        <f>TxSPLINE!F$10</f>
        <v>17.911935483870966</v>
      </c>
      <c r="G212">
        <f>TxSPLINE!F$11</f>
        <v>24.115666666666662</v>
      </c>
      <c r="H212" s="5">
        <f>TxSPLINE!K$10</f>
        <v>1.9791624323230606E-5</v>
      </c>
      <c r="I212" s="5">
        <f>TxSPLINE!K$11</f>
        <v>-7.4696535253365995E-3</v>
      </c>
      <c r="J212">
        <f t="shared" si="35"/>
        <v>0.16129032258064516</v>
      </c>
      <c r="K212">
        <f t="shared" si="36"/>
        <v>0.83870967741935487</v>
      </c>
      <c r="L212">
        <f t="shared" si="37"/>
        <v>163</v>
      </c>
      <c r="M212" s="6">
        <f t="shared" si="38"/>
        <v>23.115064862989939</v>
      </c>
      <c r="N212" s="13">
        <f t="shared" si="33"/>
        <v>23.412148238371184</v>
      </c>
      <c r="O212" s="6">
        <f t="shared" si="41"/>
        <v>1807.7394288576318</v>
      </c>
      <c r="P212" s="6">
        <f t="shared" si="42"/>
        <v>1794.9584533908412</v>
      </c>
      <c r="Q212" s="6">
        <f t="shared" si="39"/>
        <v>23.412148238371184</v>
      </c>
      <c r="T212" s="6">
        <f t="shared" si="32"/>
        <v>23.412148238371184</v>
      </c>
    </row>
    <row r="213" spans="1:20">
      <c r="B213">
        <f t="shared" si="40"/>
        <v>210</v>
      </c>
      <c r="C213">
        <f t="shared" si="34"/>
        <v>31</v>
      </c>
      <c r="D213">
        <v>183</v>
      </c>
      <c r="E213">
        <v>214</v>
      </c>
      <c r="F213">
        <f>TxSPLINE!F$10</f>
        <v>17.911935483870966</v>
      </c>
      <c r="G213">
        <f>TxSPLINE!F$11</f>
        <v>24.115666666666662</v>
      </c>
      <c r="H213" s="5">
        <f>TxSPLINE!K$10</f>
        <v>1.9791624323230606E-5</v>
      </c>
      <c r="I213" s="5">
        <f>TxSPLINE!K$11</f>
        <v>-7.4696535253365995E-3</v>
      </c>
      <c r="J213">
        <f t="shared" si="35"/>
        <v>0.12903225806451613</v>
      </c>
      <c r="K213">
        <f t="shared" si="36"/>
        <v>0.87096774193548387</v>
      </c>
      <c r="L213">
        <f t="shared" si="37"/>
        <v>164</v>
      </c>
      <c r="M213" s="6">
        <f t="shared" si="38"/>
        <v>23.31518522372528</v>
      </c>
      <c r="N213" s="13">
        <f t="shared" si="33"/>
        <v>23.566341661051982</v>
      </c>
      <c r="O213" s="6">
        <f t="shared" si="41"/>
        <v>1831.0546140813572</v>
      </c>
      <c r="P213" s="6">
        <f t="shared" si="42"/>
        <v>1818.5247950518933</v>
      </c>
      <c r="Q213" s="6">
        <f t="shared" si="39"/>
        <v>23.566341661051982</v>
      </c>
      <c r="T213" s="6">
        <f t="shared" si="32"/>
        <v>23.566341661051982</v>
      </c>
    </row>
    <row r="214" spans="1:20">
      <c r="B214">
        <f t="shared" si="40"/>
        <v>211</v>
      </c>
      <c r="C214">
        <f t="shared" si="34"/>
        <v>31</v>
      </c>
      <c r="D214">
        <v>183</v>
      </c>
      <c r="E214">
        <v>214</v>
      </c>
      <c r="F214">
        <f>TxSPLINE!F$10</f>
        <v>17.911935483870966</v>
      </c>
      <c r="G214">
        <f>TxSPLINE!F$11</f>
        <v>24.115666666666662</v>
      </c>
      <c r="H214" s="5">
        <f>TxSPLINE!K$10</f>
        <v>1.9791624323230606E-5</v>
      </c>
      <c r="I214" s="5">
        <f>TxSPLINE!K$11</f>
        <v>-7.4696535253365995E-3</v>
      </c>
      <c r="J214">
        <f t="shared" si="35"/>
        <v>9.6774193548387094E-2</v>
      </c>
      <c r="K214">
        <f t="shared" si="36"/>
        <v>0.90322580645161288</v>
      </c>
      <c r="L214">
        <f t="shared" si="37"/>
        <v>165</v>
      </c>
      <c r="M214" s="6">
        <f t="shared" si="38"/>
        <v>23.515305584460627</v>
      </c>
      <c r="N214" s="13">
        <f t="shared" si="33"/>
        <v>23.714031810226761</v>
      </c>
      <c r="O214" s="6">
        <f t="shared" si="41"/>
        <v>1854.5699196658177</v>
      </c>
      <c r="P214" s="6">
        <f t="shared" si="42"/>
        <v>1842.23882686212</v>
      </c>
      <c r="Q214" s="6">
        <f t="shared" si="39"/>
        <v>23.714031810226761</v>
      </c>
      <c r="T214" s="6">
        <f t="shared" si="32"/>
        <v>23.714031810226761</v>
      </c>
    </row>
    <row r="215" spans="1:20">
      <c r="B215">
        <f t="shared" si="40"/>
        <v>212</v>
      </c>
      <c r="C215">
        <f t="shared" si="34"/>
        <v>31</v>
      </c>
      <c r="D215">
        <v>183</v>
      </c>
      <c r="E215">
        <v>214</v>
      </c>
      <c r="F215">
        <f>TxSPLINE!F$10</f>
        <v>17.911935483870966</v>
      </c>
      <c r="G215">
        <f>TxSPLINE!F$11</f>
        <v>24.115666666666662</v>
      </c>
      <c r="H215" s="5">
        <f>TxSPLINE!K$10</f>
        <v>1.9791624323230606E-5</v>
      </c>
      <c r="I215" s="5">
        <f>TxSPLINE!K$11</f>
        <v>-7.4696535253365995E-3</v>
      </c>
      <c r="J215">
        <f t="shared" si="35"/>
        <v>6.4516129032258063E-2</v>
      </c>
      <c r="K215">
        <f t="shared" si="36"/>
        <v>0.93548387096774188</v>
      </c>
      <c r="L215">
        <f t="shared" si="37"/>
        <v>166</v>
      </c>
      <c r="M215" s="6">
        <f t="shared" si="38"/>
        <v>23.715425945195971</v>
      </c>
      <c r="N215" s="13">
        <f t="shared" si="33"/>
        <v>23.854977090890685</v>
      </c>
      <c r="O215" s="6">
        <f t="shared" si="41"/>
        <v>1878.2853456110136</v>
      </c>
      <c r="P215" s="6">
        <f t="shared" si="42"/>
        <v>1866.0938039530108</v>
      </c>
      <c r="Q215" s="6">
        <f t="shared" si="39"/>
        <v>23.854977090890685</v>
      </c>
      <c r="T215" s="6">
        <f t="shared" si="32"/>
        <v>23.854977090890685</v>
      </c>
    </row>
    <row r="216" spans="1:20">
      <c r="B216">
        <f t="shared" si="40"/>
        <v>213</v>
      </c>
      <c r="C216">
        <f t="shared" si="34"/>
        <v>31</v>
      </c>
      <c r="D216">
        <v>183</v>
      </c>
      <c r="E216">
        <v>214</v>
      </c>
      <c r="F216">
        <f>TxSPLINE!F$10</f>
        <v>17.911935483870966</v>
      </c>
      <c r="G216">
        <f>TxSPLINE!F$11</f>
        <v>24.115666666666662</v>
      </c>
      <c r="H216" s="5">
        <f>TxSPLINE!K$10</f>
        <v>1.9791624323230606E-5</v>
      </c>
      <c r="I216" s="5">
        <f>TxSPLINE!K$11</f>
        <v>-7.4696535253365995E-3</v>
      </c>
      <c r="J216">
        <f t="shared" si="35"/>
        <v>3.2258064516129031E-2</v>
      </c>
      <c r="K216">
        <f t="shared" si="36"/>
        <v>0.967741935483871</v>
      </c>
      <c r="L216">
        <f t="shared" si="37"/>
        <v>167</v>
      </c>
      <c r="M216" s="6">
        <f t="shared" si="38"/>
        <v>23.915546305931315</v>
      </c>
      <c r="N216" s="13">
        <f t="shared" si="33"/>
        <v>23.988935908038926</v>
      </c>
      <c r="O216" s="6">
        <f t="shared" si="41"/>
        <v>1902.2008919169448</v>
      </c>
      <c r="P216" s="6">
        <f t="shared" si="42"/>
        <v>1890.0827398610497</v>
      </c>
      <c r="Q216" s="6">
        <f t="shared" si="39"/>
        <v>23.988935908038926</v>
      </c>
      <c r="T216" s="6">
        <f t="shared" si="32"/>
        <v>23.988935908038926</v>
      </c>
    </row>
    <row r="217" spans="1:20">
      <c r="A217">
        <v>214</v>
      </c>
      <c r="B217">
        <f t="shared" si="40"/>
        <v>214</v>
      </c>
      <c r="C217">
        <f t="shared" si="34"/>
        <v>31</v>
      </c>
      <c r="D217">
        <v>183</v>
      </c>
      <c r="E217">
        <v>214</v>
      </c>
      <c r="F217">
        <f>TxSPLINE!F$10</f>
        <v>17.911935483870966</v>
      </c>
      <c r="G217">
        <f>TxSPLINE!F$11</f>
        <v>24.115666666666662</v>
      </c>
      <c r="H217" s="5">
        <f>TxSPLINE!K$10</f>
        <v>1.9791624323230606E-5</v>
      </c>
      <c r="I217" s="5">
        <f>TxSPLINE!K$11</f>
        <v>-7.4696535253365995E-3</v>
      </c>
      <c r="J217">
        <f t="shared" si="35"/>
        <v>0</v>
      </c>
      <c r="K217">
        <f t="shared" si="36"/>
        <v>1</v>
      </c>
      <c r="L217">
        <f t="shared" si="37"/>
        <v>168</v>
      </c>
      <c r="M217" s="6">
        <f t="shared" si="38"/>
        <v>24.115666666666662</v>
      </c>
      <c r="N217" s="13">
        <f t="shared" si="33"/>
        <v>24.115666666666662</v>
      </c>
      <c r="O217" s="6">
        <f t="shared" si="41"/>
        <v>1926.3165585836114</v>
      </c>
      <c r="P217" s="6">
        <f t="shared" si="42"/>
        <v>1914.1984065277163</v>
      </c>
      <c r="Q217" s="6">
        <f t="shared" si="39"/>
        <v>24.115666666666662</v>
      </c>
      <c r="T217" s="6">
        <f t="shared" si="32"/>
        <v>24.115666666666662</v>
      </c>
    </row>
    <row r="218" spans="1:20">
      <c r="B218">
        <f t="shared" si="40"/>
        <v>215</v>
      </c>
      <c r="C218">
        <f t="shared" si="34"/>
        <v>30</v>
      </c>
      <c r="D218">
        <v>214</v>
      </c>
      <c r="E218">
        <v>244</v>
      </c>
      <c r="F218">
        <f>TxSPLINE!F$11</f>
        <v>24.115666666666662</v>
      </c>
      <c r="G218">
        <f>TxSPLINE!F$12</f>
        <v>26.132580645161287</v>
      </c>
      <c r="H218" s="5">
        <f>TxSPLINE!K$11</f>
        <v>-7.4696535253365995E-3</v>
      </c>
      <c r="I218" s="5">
        <f>TxSPLINE!K$12</f>
        <v>3.7781607007966581E-3</v>
      </c>
      <c r="J218">
        <f t="shared" si="35"/>
        <v>0.96666666666666667</v>
      </c>
      <c r="K218">
        <f t="shared" si="36"/>
        <v>3.3333333333333333E-2</v>
      </c>
      <c r="L218">
        <f t="shared" si="37"/>
        <v>169</v>
      </c>
      <c r="M218" s="6">
        <f t="shared" si="38"/>
        <v>24.182897132616485</v>
      </c>
      <c r="N218" s="13">
        <f t="shared" si="33"/>
        <v>24.235030525460012</v>
      </c>
      <c r="O218" s="6">
        <f t="shared" si="41"/>
        <v>1950.4994557162279</v>
      </c>
      <c r="P218" s="6">
        <f t="shared" si="42"/>
        <v>1938.4334370531762</v>
      </c>
      <c r="Q218" s="6">
        <f t="shared" si="39"/>
        <v>24.235030525460012</v>
      </c>
      <c r="T218" s="6">
        <f t="shared" si="32"/>
        <v>24.235030525460012</v>
      </c>
    </row>
    <row r="219" spans="1:20">
      <c r="B219">
        <f t="shared" si="40"/>
        <v>216</v>
      </c>
      <c r="C219">
        <f t="shared" si="34"/>
        <v>30</v>
      </c>
      <c r="D219">
        <v>214</v>
      </c>
      <c r="E219">
        <v>244</v>
      </c>
      <c r="F219">
        <f>TxSPLINE!F$11</f>
        <v>24.115666666666662</v>
      </c>
      <c r="G219">
        <f>TxSPLINE!F$12</f>
        <v>26.132580645161287</v>
      </c>
      <c r="H219" s="5">
        <f>TxSPLINE!K$11</f>
        <v>-7.4696535253365995E-3</v>
      </c>
      <c r="I219" s="5">
        <f>TxSPLINE!K$12</f>
        <v>3.7781607007966581E-3</v>
      </c>
      <c r="J219">
        <f t="shared" si="35"/>
        <v>0.93333333333333335</v>
      </c>
      <c r="K219">
        <f t="shared" si="36"/>
        <v>6.6666666666666666E-2</v>
      </c>
      <c r="L219">
        <f t="shared" si="37"/>
        <v>170</v>
      </c>
      <c r="M219" s="6">
        <f t="shared" si="38"/>
        <v>24.250127598566301</v>
      </c>
      <c r="N219" s="13">
        <f t="shared" si="33"/>
        <v>24.347299657868888</v>
      </c>
      <c r="O219" s="6">
        <f t="shared" si="41"/>
        <v>1974.7495833147941</v>
      </c>
      <c r="P219" s="6">
        <f t="shared" si="42"/>
        <v>1962.7807367110452</v>
      </c>
      <c r="Q219" s="6">
        <f t="shared" si="39"/>
        <v>24.347299657868888</v>
      </c>
      <c r="T219" s="6">
        <f t="shared" si="32"/>
        <v>24.347299657868888</v>
      </c>
    </row>
    <row r="220" spans="1:20">
      <c r="B220">
        <f t="shared" si="40"/>
        <v>217</v>
      </c>
      <c r="C220">
        <f t="shared" si="34"/>
        <v>30</v>
      </c>
      <c r="D220">
        <v>214</v>
      </c>
      <c r="E220">
        <v>244</v>
      </c>
      <c r="F220">
        <f>TxSPLINE!F$11</f>
        <v>24.115666666666662</v>
      </c>
      <c r="G220">
        <f>TxSPLINE!F$12</f>
        <v>26.132580645161287</v>
      </c>
      <c r="H220" s="5">
        <f>TxSPLINE!K$11</f>
        <v>-7.4696535253365995E-3</v>
      </c>
      <c r="I220" s="5">
        <f>TxSPLINE!K$12</f>
        <v>3.7781607007966581E-3</v>
      </c>
      <c r="J220">
        <f t="shared" si="35"/>
        <v>0.9</v>
      </c>
      <c r="K220">
        <f t="shared" si="36"/>
        <v>0.1</v>
      </c>
      <c r="L220">
        <f t="shared" si="37"/>
        <v>171</v>
      </c>
      <c r="M220" s="6">
        <f t="shared" si="38"/>
        <v>24.317358064516124</v>
      </c>
      <c r="N220" s="13">
        <f t="shared" si="33"/>
        <v>24.452848991034177</v>
      </c>
      <c r="O220" s="6">
        <f t="shared" si="41"/>
        <v>1999.0669413793103</v>
      </c>
      <c r="P220" s="6">
        <f t="shared" si="42"/>
        <v>1987.2335857020794</v>
      </c>
      <c r="Q220" s="6">
        <f t="shared" si="39"/>
        <v>24.452848991034177</v>
      </c>
      <c r="T220" s="6">
        <f t="shared" si="32"/>
        <v>24.452848991034177</v>
      </c>
    </row>
    <row r="221" spans="1:20">
      <c r="B221">
        <f t="shared" si="40"/>
        <v>218</v>
      </c>
      <c r="C221">
        <f t="shared" si="34"/>
        <v>30</v>
      </c>
      <c r="D221">
        <v>214</v>
      </c>
      <c r="E221">
        <v>244</v>
      </c>
      <c r="F221">
        <f>TxSPLINE!F$11</f>
        <v>24.115666666666662</v>
      </c>
      <c r="G221">
        <f>TxSPLINE!F$12</f>
        <v>26.132580645161287</v>
      </c>
      <c r="H221" s="5">
        <f>TxSPLINE!K$11</f>
        <v>-7.4696535253365995E-3</v>
      </c>
      <c r="I221" s="5">
        <f>TxSPLINE!K$12</f>
        <v>3.7781607007966581E-3</v>
      </c>
      <c r="J221">
        <f t="shared" si="35"/>
        <v>0.8666666666666667</v>
      </c>
      <c r="K221">
        <f t="shared" si="36"/>
        <v>0.13333333333333333</v>
      </c>
      <c r="L221">
        <f t="shared" si="37"/>
        <v>172</v>
      </c>
      <c r="M221" s="6">
        <f t="shared" si="38"/>
        <v>24.384588530465948</v>
      </c>
      <c r="N221" s="13">
        <f t="shared" si="33"/>
        <v>24.552053452096743</v>
      </c>
      <c r="O221" s="6">
        <f t="shared" si="41"/>
        <v>2023.4515299097761</v>
      </c>
      <c r="P221" s="6">
        <f t="shared" si="42"/>
        <v>2011.7856391541761</v>
      </c>
      <c r="Q221" s="6">
        <f t="shared" si="39"/>
        <v>24.552053452096743</v>
      </c>
      <c r="T221" s="6">
        <f t="shared" si="32"/>
        <v>24.552053452096743</v>
      </c>
    </row>
    <row r="222" spans="1:20">
      <c r="B222">
        <f t="shared" si="40"/>
        <v>219</v>
      </c>
      <c r="C222">
        <f t="shared" si="34"/>
        <v>30</v>
      </c>
      <c r="D222">
        <v>214</v>
      </c>
      <c r="E222">
        <v>244</v>
      </c>
      <c r="F222">
        <f>TxSPLINE!F$11</f>
        <v>24.115666666666662</v>
      </c>
      <c r="G222">
        <f>TxSPLINE!F$12</f>
        <v>26.132580645161287</v>
      </c>
      <c r="H222" s="5">
        <f>TxSPLINE!K$11</f>
        <v>-7.4696535253365995E-3</v>
      </c>
      <c r="I222" s="5">
        <f>TxSPLINE!K$12</f>
        <v>3.7781607007966581E-3</v>
      </c>
      <c r="J222">
        <f t="shared" si="35"/>
        <v>0.83333333333333337</v>
      </c>
      <c r="K222">
        <f t="shared" si="36"/>
        <v>0.16666666666666666</v>
      </c>
      <c r="L222">
        <f t="shared" si="37"/>
        <v>173</v>
      </c>
      <c r="M222" s="6">
        <f t="shared" si="38"/>
        <v>24.451818996415767</v>
      </c>
      <c r="N222" s="13">
        <f t="shared" si="33"/>
        <v>24.645287968197454</v>
      </c>
      <c r="O222" s="6">
        <f t="shared" si="41"/>
        <v>2047.9033489061919</v>
      </c>
      <c r="P222" s="6">
        <f t="shared" si="42"/>
        <v>2036.4309271223735</v>
      </c>
      <c r="Q222" s="6">
        <f t="shared" si="39"/>
        <v>24.645287968197454</v>
      </c>
      <c r="T222" s="6">
        <f t="shared" si="32"/>
        <v>24.645287968197454</v>
      </c>
    </row>
    <row r="223" spans="1:20">
      <c r="B223">
        <f t="shared" si="40"/>
        <v>220</v>
      </c>
      <c r="C223">
        <f t="shared" si="34"/>
        <v>30</v>
      </c>
      <c r="D223">
        <v>214</v>
      </c>
      <c r="E223">
        <v>244</v>
      </c>
      <c r="F223">
        <f>TxSPLINE!F$11</f>
        <v>24.115666666666662</v>
      </c>
      <c r="G223">
        <f>TxSPLINE!F$12</f>
        <v>26.132580645161287</v>
      </c>
      <c r="H223" s="5">
        <f>TxSPLINE!K$11</f>
        <v>-7.4696535253365995E-3</v>
      </c>
      <c r="I223" s="5">
        <f>TxSPLINE!K$12</f>
        <v>3.7781607007966581E-3</v>
      </c>
      <c r="J223">
        <f t="shared" si="35"/>
        <v>0.8</v>
      </c>
      <c r="K223">
        <f t="shared" si="36"/>
        <v>0.2</v>
      </c>
      <c r="L223">
        <f t="shared" si="37"/>
        <v>174</v>
      </c>
      <c r="M223" s="6">
        <f t="shared" si="38"/>
        <v>24.51904946236559</v>
      </c>
      <c r="N223" s="13">
        <f t="shared" si="33"/>
        <v>24.732927466477186</v>
      </c>
      <c r="O223" s="6">
        <f t="shared" si="41"/>
        <v>2072.4223983685574</v>
      </c>
      <c r="P223" s="6">
        <f t="shared" si="42"/>
        <v>2061.1638545888509</v>
      </c>
      <c r="Q223" s="6">
        <f t="shared" si="39"/>
        <v>24.732927466477186</v>
      </c>
      <c r="T223" s="6">
        <f t="shared" si="32"/>
        <v>24.732927466477186</v>
      </c>
    </row>
    <row r="224" spans="1:20">
      <c r="B224">
        <f t="shared" si="40"/>
        <v>221</v>
      </c>
      <c r="C224">
        <f t="shared" si="34"/>
        <v>30</v>
      </c>
      <c r="D224">
        <v>214</v>
      </c>
      <c r="E224">
        <v>244</v>
      </c>
      <c r="F224">
        <f>TxSPLINE!F$11</f>
        <v>24.115666666666662</v>
      </c>
      <c r="G224">
        <f>TxSPLINE!F$12</f>
        <v>26.132580645161287</v>
      </c>
      <c r="H224" s="5">
        <f>TxSPLINE!K$11</f>
        <v>-7.4696535253365995E-3</v>
      </c>
      <c r="I224" s="5">
        <f>TxSPLINE!K$12</f>
        <v>3.7781607007966581E-3</v>
      </c>
      <c r="J224">
        <f t="shared" si="35"/>
        <v>0.76666666666666672</v>
      </c>
      <c r="K224">
        <f t="shared" si="36"/>
        <v>0.23333333333333334</v>
      </c>
      <c r="L224">
        <f t="shared" si="37"/>
        <v>175</v>
      </c>
      <c r="M224" s="6">
        <f t="shared" si="38"/>
        <v>24.586279928315413</v>
      </c>
      <c r="N224" s="13">
        <f t="shared" si="33"/>
        <v>24.815346874076809</v>
      </c>
      <c r="O224" s="6">
        <f t="shared" si="41"/>
        <v>2097.0086782968729</v>
      </c>
      <c r="P224" s="6">
        <f t="shared" si="42"/>
        <v>2085.9792014629279</v>
      </c>
      <c r="Q224" s="6">
        <f t="shared" si="39"/>
        <v>24.815346874076809</v>
      </c>
      <c r="T224" s="6">
        <f t="shared" si="32"/>
        <v>24.815346874076809</v>
      </c>
    </row>
    <row r="225" spans="2:20">
      <c r="B225">
        <f t="shared" si="40"/>
        <v>222</v>
      </c>
      <c r="C225">
        <f t="shared" si="34"/>
        <v>30</v>
      </c>
      <c r="D225">
        <v>214</v>
      </c>
      <c r="E225">
        <v>244</v>
      </c>
      <c r="F225">
        <f>TxSPLINE!F$11</f>
        <v>24.115666666666662</v>
      </c>
      <c r="G225">
        <f>TxSPLINE!F$12</f>
        <v>26.132580645161287</v>
      </c>
      <c r="H225" s="5">
        <f>TxSPLINE!K$11</f>
        <v>-7.4696535253365995E-3</v>
      </c>
      <c r="I225" s="5">
        <f>TxSPLINE!K$12</f>
        <v>3.7781607007966581E-3</v>
      </c>
      <c r="J225">
        <f t="shared" si="35"/>
        <v>0.73333333333333328</v>
      </c>
      <c r="K225">
        <f t="shared" si="36"/>
        <v>0.26666666666666666</v>
      </c>
      <c r="L225">
        <f t="shared" si="37"/>
        <v>176</v>
      </c>
      <c r="M225" s="6">
        <f t="shared" si="38"/>
        <v>24.653510394265226</v>
      </c>
      <c r="N225" s="13">
        <f t="shared" si="33"/>
        <v>24.892921118137185</v>
      </c>
      <c r="O225" s="6">
        <f t="shared" si="41"/>
        <v>2121.662188691138</v>
      </c>
      <c r="P225" s="6">
        <f t="shared" si="42"/>
        <v>2110.872122581065</v>
      </c>
      <c r="Q225" s="6">
        <f t="shared" si="39"/>
        <v>24.892921118137185</v>
      </c>
      <c r="T225" s="6">
        <f t="shared" si="32"/>
        <v>24.892921118137185</v>
      </c>
    </row>
    <row r="226" spans="2:20">
      <c r="B226">
        <f t="shared" si="40"/>
        <v>223</v>
      </c>
      <c r="C226">
        <f t="shared" si="34"/>
        <v>30</v>
      </c>
      <c r="D226">
        <v>214</v>
      </c>
      <c r="E226">
        <v>244</v>
      </c>
      <c r="F226">
        <f>TxSPLINE!F$11</f>
        <v>24.115666666666662</v>
      </c>
      <c r="G226">
        <f>TxSPLINE!F$12</f>
        <v>26.132580645161287</v>
      </c>
      <c r="H226" s="5">
        <f>TxSPLINE!K$11</f>
        <v>-7.4696535253365995E-3</v>
      </c>
      <c r="I226" s="5">
        <f>TxSPLINE!K$12</f>
        <v>3.7781607007966581E-3</v>
      </c>
      <c r="J226">
        <f t="shared" si="35"/>
        <v>0.7</v>
      </c>
      <c r="K226">
        <f t="shared" si="36"/>
        <v>0.3</v>
      </c>
      <c r="L226">
        <f t="shared" si="37"/>
        <v>177</v>
      </c>
      <c r="M226" s="6">
        <f t="shared" si="38"/>
        <v>24.720740860215049</v>
      </c>
      <c r="N226" s="13">
        <f t="shared" si="33"/>
        <v>24.966025125799199</v>
      </c>
      <c r="O226" s="6">
        <f t="shared" si="41"/>
        <v>2146.3829295513528</v>
      </c>
      <c r="P226" s="6">
        <f t="shared" si="42"/>
        <v>2135.8381477068642</v>
      </c>
      <c r="Q226" s="6">
        <f t="shared" si="39"/>
        <v>24.966025125799199</v>
      </c>
      <c r="T226" s="6">
        <f t="shared" si="32"/>
        <v>24.966025125799199</v>
      </c>
    </row>
    <row r="227" spans="2:20">
      <c r="B227">
        <f t="shared" si="40"/>
        <v>224</v>
      </c>
      <c r="C227">
        <f t="shared" si="34"/>
        <v>30</v>
      </c>
      <c r="D227">
        <v>214</v>
      </c>
      <c r="E227">
        <v>244</v>
      </c>
      <c r="F227">
        <f>TxSPLINE!F$11</f>
        <v>24.115666666666662</v>
      </c>
      <c r="G227">
        <f>TxSPLINE!F$12</f>
        <v>26.132580645161287</v>
      </c>
      <c r="H227" s="5">
        <f>TxSPLINE!K$11</f>
        <v>-7.4696535253365995E-3</v>
      </c>
      <c r="I227" s="5">
        <f>TxSPLINE!K$12</f>
        <v>3.7781607007966581E-3</v>
      </c>
      <c r="J227">
        <f t="shared" si="35"/>
        <v>0.66666666666666663</v>
      </c>
      <c r="K227">
        <f t="shared" si="36"/>
        <v>0.33333333333333331</v>
      </c>
      <c r="L227">
        <f t="shared" si="37"/>
        <v>178</v>
      </c>
      <c r="M227" s="6">
        <f t="shared" si="38"/>
        <v>24.787971326164872</v>
      </c>
      <c r="N227" s="13">
        <f t="shared" si="33"/>
        <v>25.035033824203719</v>
      </c>
      <c r="O227" s="6">
        <f t="shared" si="41"/>
        <v>2171.1709008775179</v>
      </c>
      <c r="P227" s="6">
        <f t="shared" si="42"/>
        <v>2160.873181531068</v>
      </c>
      <c r="Q227" s="6">
        <f t="shared" si="39"/>
        <v>25.035033824203719</v>
      </c>
      <c r="T227" s="6">
        <f t="shared" si="32"/>
        <v>25.035033824203719</v>
      </c>
    </row>
    <row r="228" spans="2:20">
      <c r="B228">
        <f t="shared" si="40"/>
        <v>225</v>
      </c>
      <c r="C228">
        <f t="shared" si="34"/>
        <v>30</v>
      </c>
      <c r="D228">
        <v>214</v>
      </c>
      <c r="E228">
        <v>244</v>
      </c>
      <c r="F228">
        <f>TxSPLINE!F$11</f>
        <v>24.115666666666662</v>
      </c>
      <c r="G228">
        <f>TxSPLINE!F$12</f>
        <v>26.132580645161287</v>
      </c>
      <c r="H228" s="5">
        <f>TxSPLINE!K$11</f>
        <v>-7.4696535253365995E-3</v>
      </c>
      <c r="I228" s="5">
        <f>TxSPLINE!K$12</f>
        <v>3.7781607007966581E-3</v>
      </c>
      <c r="J228">
        <f t="shared" si="35"/>
        <v>0.6333333333333333</v>
      </c>
      <c r="K228">
        <f t="shared" si="36"/>
        <v>0.36666666666666664</v>
      </c>
      <c r="L228">
        <f t="shared" si="37"/>
        <v>179</v>
      </c>
      <c r="M228" s="6">
        <f t="shared" si="38"/>
        <v>24.855201792114691</v>
      </c>
      <c r="N228" s="13">
        <f t="shared" si="33"/>
        <v>25.10032214049161</v>
      </c>
      <c r="O228" s="6">
        <f t="shared" si="41"/>
        <v>2196.0261026696326</v>
      </c>
      <c r="P228" s="6">
        <f t="shared" si="42"/>
        <v>2185.9735036715597</v>
      </c>
      <c r="Q228" s="6">
        <f t="shared" si="39"/>
        <v>25.10032214049161</v>
      </c>
      <c r="T228" s="6">
        <f t="shared" si="32"/>
        <v>25.10032214049161</v>
      </c>
    </row>
    <row r="229" spans="2:20">
      <c r="B229">
        <f t="shared" si="40"/>
        <v>226</v>
      </c>
      <c r="C229">
        <f t="shared" si="34"/>
        <v>30</v>
      </c>
      <c r="D229">
        <v>214</v>
      </c>
      <c r="E229">
        <v>244</v>
      </c>
      <c r="F229">
        <f>TxSPLINE!F$11</f>
        <v>24.115666666666662</v>
      </c>
      <c r="G229">
        <f>TxSPLINE!F$12</f>
        <v>26.132580645161287</v>
      </c>
      <c r="H229" s="5">
        <f>TxSPLINE!K$11</f>
        <v>-7.4696535253365995E-3</v>
      </c>
      <c r="I229" s="5">
        <f>TxSPLINE!K$12</f>
        <v>3.7781607007966581E-3</v>
      </c>
      <c r="J229">
        <f t="shared" si="35"/>
        <v>0.6</v>
      </c>
      <c r="K229">
        <f t="shared" si="36"/>
        <v>0.4</v>
      </c>
      <c r="L229">
        <f t="shared" si="37"/>
        <v>180</v>
      </c>
      <c r="M229" s="6">
        <f t="shared" si="38"/>
        <v>24.922432258064511</v>
      </c>
      <c r="N229" s="13">
        <f t="shared" si="33"/>
        <v>25.162265001803746</v>
      </c>
      <c r="O229" s="6">
        <f t="shared" si="41"/>
        <v>2220.948534927697</v>
      </c>
      <c r="P229" s="6">
        <f t="shared" si="42"/>
        <v>2211.1357686733636</v>
      </c>
      <c r="Q229" s="6">
        <f t="shared" si="39"/>
        <v>25.162265001803746</v>
      </c>
      <c r="T229" s="6">
        <f t="shared" si="32"/>
        <v>25.162265001803746</v>
      </c>
    </row>
    <row r="230" spans="2:20">
      <c r="B230">
        <f t="shared" si="40"/>
        <v>227</v>
      </c>
      <c r="C230">
        <f t="shared" si="34"/>
        <v>30</v>
      </c>
      <c r="D230">
        <v>214</v>
      </c>
      <c r="E230">
        <v>244</v>
      </c>
      <c r="F230">
        <f>TxSPLINE!F$11</f>
        <v>24.115666666666662</v>
      </c>
      <c r="G230">
        <f>TxSPLINE!F$12</f>
        <v>26.132580645161287</v>
      </c>
      <c r="H230" s="5">
        <f>TxSPLINE!K$11</f>
        <v>-7.4696535253365995E-3</v>
      </c>
      <c r="I230" s="5">
        <f>TxSPLINE!K$12</f>
        <v>3.7781607007966581E-3</v>
      </c>
      <c r="J230">
        <f t="shared" si="35"/>
        <v>0.56666666666666665</v>
      </c>
      <c r="K230">
        <f t="shared" si="36"/>
        <v>0.43333333333333335</v>
      </c>
      <c r="L230">
        <f t="shared" si="37"/>
        <v>181</v>
      </c>
      <c r="M230" s="6">
        <f t="shared" si="38"/>
        <v>24.98966272401433</v>
      </c>
      <c r="N230" s="13">
        <f t="shared" si="33"/>
        <v>25.221237335281</v>
      </c>
      <c r="O230" s="6">
        <f t="shared" si="41"/>
        <v>2245.9381976517111</v>
      </c>
      <c r="P230" s="6">
        <f t="shared" si="42"/>
        <v>2236.3570060086445</v>
      </c>
      <c r="Q230" s="6">
        <f t="shared" si="39"/>
        <v>25.221237335281</v>
      </c>
      <c r="T230" s="6">
        <f t="shared" si="32"/>
        <v>25.221237335281</v>
      </c>
    </row>
    <row r="231" spans="2:20">
      <c r="B231">
        <f t="shared" si="40"/>
        <v>228</v>
      </c>
      <c r="C231">
        <f t="shared" si="34"/>
        <v>30</v>
      </c>
      <c r="D231">
        <v>214</v>
      </c>
      <c r="E231">
        <v>244</v>
      </c>
      <c r="F231">
        <f>TxSPLINE!F$11</f>
        <v>24.115666666666662</v>
      </c>
      <c r="G231">
        <f>TxSPLINE!F$12</f>
        <v>26.132580645161287</v>
      </c>
      <c r="H231" s="5">
        <f>TxSPLINE!K$11</f>
        <v>-7.4696535253365995E-3</v>
      </c>
      <c r="I231" s="5">
        <f>TxSPLINE!K$12</f>
        <v>3.7781607007966581E-3</v>
      </c>
      <c r="J231">
        <f t="shared" si="35"/>
        <v>0.53333333333333333</v>
      </c>
      <c r="K231">
        <f t="shared" si="36"/>
        <v>0.46666666666666667</v>
      </c>
      <c r="L231">
        <f t="shared" si="37"/>
        <v>182</v>
      </c>
      <c r="M231" s="6">
        <f t="shared" si="38"/>
        <v>25.056893189964157</v>
      </c>
      <c r="N231" s="13">
        <f t="shared" si="33"/>
        <v>25.277614068064249</v>
      </c>
      <c r="O231" s="6">
        <f t="shared" si="41"/>
        <v>2270.9950908416754</v>
      </c>
      <c r="P231" s="6">
        <f t="shared" si="42"/>
        <v>2261.6346200767089</v>
      </c>
      <c r="Q231" s="6">
        <f t="shared" si="39"/>
        <v>25.277614068064249</v>
      </c>
      <c r="T231" s="6">
        <f t="shared" si="32"/>
        <v>25.277614068064249</v>
      </c>
    </row>
    <row r="232" spans="2:20">
      <c r="B232">
        <f t="shared" si="40"/>
        <v>229</v>
      </c>
      <c r="C232">
        <f t="shared" si="34"/>
        <v>30</v>
      </c>
      <c r="D232">
        <v>214</v>
      </c>
      <c r="E232">
        <v>244</v>
      </c>
      <c r="F232">
        <f>TxSPLINE!F$11</f>
        <v>24.115666666666662</v>
      </c>
      <c r="G232">
        <f>TxSPLINE!F$12</f>
        <v>26.132580645161287</v>
      </c>
      <c r="H232" s="5">
        <f>TxSPLINE!K$11</f>
        <v>-7.4696535253365995E-3</v>
      </c>
      <c r="I232" s="5">
        <f>TxSPLINE!K$12</f>
        <v>3.7781607007966581E-3</v>
      </c>
      <c r="J232">
        <f t="shared" si="35"/>
        <v>0.5</v>
      </c>
      <c r="K232">
        <f t="shared" si="36"/>
        <v>0.5</v>
      </c>
      <c r="L232">
        <f t="shared" si="37"/>
        <v>183</v>
      </c>
      <c r="M232" s="6">
        <f t="shared" si="38"/>
        <v>25.124123655913976</v>
      </c>
      <c r="N232" s="13">
        <f t="shared" si="33"/>
        <v>25.331770127294348</v>
      </c>
      <c r="O232" s="6">
        <f t="shared" si="41"/>
        <v>2296.1192144975894</v>
      </c>
      <c r="P232" s="6">
        <f t="shared" si="42"/>
        <v>2286.9663902040033</v>
      </c>
      <c r="Q232" s="6">
        <f t="shared" si="39"/>
        <v>25.331770127294348</v>
      </c>
      <c r="T232" s="6">
        <f t="shared" si="32"/>
        <v>25.331770127294348</v>
      </c>
    </row>
    <row r="233" spans="2:20">
      <c r="B233">
        <f t="shared" si="40"/>
        <v>230</v>
      </c>
      <c r="C233">
        <f t="shared" si="34"/>
        <v>30</v>
      </c>
      <c r="D233">
        <v>214</v>
      </c>
      <c r="E233">
        <v>244</v>
      </c>
      <c r="F233">
        <f>TxSPLINE!F$11</f>
        <v>24.115666666666662</v>
      </c>
      <c r="G233">
        <f>TxSPLINE!F$12</f>
        <v>26.132580645161287</v>
      </c>
      <c r="H233" s="5">
        <f>TxSPLINE!K$11</f>
        <v>-7.4696535253365995E-3</v>
      </c>
      <c r="I233" s="5">
        <f>TxSPLINE!K$12</f>
        <v>3.7781607007966581E-3</v>
      </c>
      <c r="J233">
        <f t="shared" si="35"/>
        <v>0.46666666666666667</v>
      </c>
      <c r="K233">
        <f t="shared" si="36"/>
        <v>0.53333333333333333</v>
      </c>
      <c r="L233">
        <f t="shared" si="37"/>
        <v>184</v>
      </c>
      <c r="M233" s="6">
        <f t="shared" si="38"/>
        <v>25.191354121863796</v>
      </c>
      <c r="N233" s="13">
        <f t="shared" si="33"/>
        <v>25.384080440112179</v>
      </c>
      <c r="O233" s="6">
        <f t="shared" si="41"/>
        <v>2321.3105686194531</v>
      </c>
      <c r="P233" s="6">
        <f t="shared" si="42"/>
        <v>2312.3504706441154</v>
      </c>
      <c r="Q233" s="6">
        <f t="shared" si="39"/>
        <v>25.384080440112179</v>
      </c>
      <c r="T233" s="6">
        <f t="shared" si="32"/>
        <v>25.384080440112179</v>
      </c>
    </row>
    <row r="234" spans="2:20">
      <c r="B234">
        <f t="shared" si="40"/>
        <v>231</v>
      </c>
      <c r="C234">
        <f t="shared" si="34"/>
        <v>30</v>
      </c>
      <c r="D234">
        <v>214</v>
      </c>
      <c r="E234">
        <v>244</v>
      </c>
      <c r="F234">
        <f>TxSPLINE!F$11</f>
        <v>24.115666666666662</v>
      </c>
      <c r="G234">
        <f>TxSPLINE!F$12</f>
        <v>26.132580645161287</v>
      </c>
      <c r="H234" s="5">
        <f>TxSPLINE!K$11</f>
        <v>-7.4696535253365995E-3</v>
      </c>
      <c r="I234" s="5">
        <f>TxSPLINE!K$12</f>
        <v>3.7781607007966581E-3</v>
      </c>
      <c r="J234">
        <f t="shared" si="35"/>
        <v>0.43333333333333335</v>
      </c>
      <c r="K234">
        <f t="shared" si="36"/>
        <v>0.56666666666666665</v>
      </c>
      <c r="L234">
        <f t="shared" si="37"/>
        <v>185</v>
      </c>
      <c r="M234" s="6">
        <f t="shared" si="38"/>
        <v>25.258584587813615</v>
      </c>
      <c r="N234" s="13">
        <f t="shared" si="33"/>
        <v>25.434919933658609</v>
      </c>
      <c r="O234" s="6">
        <f t="shared" si="41"/>
        <v>2346.5691532072665</v>
      </c>
      <c r="P234" s="6">
        <f t="shared" si="42"/>
        <v>2337.7853905777738</v>
      </c>
      <c r="Q234" s="6">
        <f t="shared" si="39"/>
        <v>25.434919933658609</v>
      </c>
      <c r="T234" s="6">
        <f t="shared" si="32"/>
        <v>25.434919933658609</v>
      </c>
    </row>
    <row r="235" spans="2:20">
      <c r="B235">
        <f t="shared" si="40"/>
        <v>232</v>
      </c>
      <c r="C235">
        <f t="shared" si="34"/>
        <v>30</v>
      </c>
      <c r="D235">
        <v>214</v>
      </c>
      <c r="E235">
        <v>244</v>
      </c>
      <c r="F235">
        <f>TxSPLINE!F$11</f>
        <v>24.115666666666662</v>
      </c>
      <c r="G235">
        <f>TxSPLINE!F$12</f>
        <v>26.132580645161287</v>
      </c>
      <c r="H235" s="5">
        <f>TxSPLINE!K$11</f>
        <v>-7.4696535253365995E-3</v>
      </c>
      <c r="I235" s="5">
        <f>TxSPLINE!K$12</f>
        <v>3.7781607007966581E-3</v>
      </c>
      <c r="J235">
        <f t="shared" si="35"/>
        <v>0.4</v>
      </c>
      <c r="K235">
        <f t="shared" si="36"/>
        <v>0.6</v>
      </c>
      <c r="L235">
        <f t="shared" si="37"/>
        <v>186</v>
      </c>
      <c r="M235" s="6">
        <f t="shared" si="38"/>
        <v>25.325815053763435</v>
      </c>
      <c r="N235" s="13">
        <f t="shared" si="33"/>
        <v>25.484663535074514</v>
      </c>
      <c r="O235" s="6">
        <f t="shared" si="41"/>
        <v>2371.89496826103</v>
      </c>
      <c r="P235" s="6">
        <f t="shared" si="42"/>
        <v>2363.2700541128484</v>
      </c>
      <c r="Q235" s="6">
        <f t="shared" si="39"/>
        <v>25.484663535074514</v>
      </c>
      <c r="T235" s="6">
        <f t="shared" si="32"/>
        <v>25.484663535074514</v>
      </c>
    </row>
    <row r="236" spans="2:20">
      <c r="B236">
        <f t="shared" si="40"/>
        <v>233</v>
      </c>
      <c r="C236">
        <f t="shared" si="34"/>
        <v>30</v>
      </c>
      <c r="D236">
        <v>214</v>
      </c>
      <c r="E236">
        <v>244</v>
      </c>
      <c r="F236">
        <f>TxSPLINE!F$11</f>
        <v>24.115666666666662</v>
      </c>
      <c r="G236">
        <f>TxSPLINE!F$12</f>
        <v>26.132580645161287</v>
      </c>
      <c r="H236" s="5">
        <f>TxSPLINE!K$11</f>
        <v>-7.4696535253365995E-3</v>
      </c>
      <c r="I236" s="5">
        <f>TxSPLINE!K$12</f>
        <v>3.7781607007966581E-3</v>
      </c>
      <c r="J236">
        <f t="shared" si="35"/>
        <v>0.36666666666666664</v>
      </c>
      <c r="K236">
        <f t="shared" si="36"/>
        <v>0.6333333333333333</v>
      </c>
      <c r="L236">
        <f t="shared" si="37"/>
        <v>187</v>
      </c>
      <c r="M236" s="6">
        <f t="shared" si="38"/>
        <v>25.393045519713255</v>
      </c>
      <c r="N236" s="13">
        <f t="shared" si="33"/>
        <v>25.533686171500758</v>
      </c>
      <c r="O236" s="6">
        <f t="shared" si="41"/>
        <v>2397.2880137807433</v>
      </c>
      <c r="P236" s="6">
        <f t="shared" si="42"/>
        <v>2388.8037402843493</v>
      </c>
      <c r="Q236" s="6">
        <f t="shared" si="39"/>
        <v>25.533686171500758</v>
      </c>
      <c r="T236" s="6">
        <f t="shared" si="32"/>
        <v>25.533686171500758</v>
      </c>
    </row>
    <row r="237" spans="2:20">
      <c r="B237">
        <f t="shared" si="40"/>
        <v>234</v>
      </c>
      <c r="C237">
        <f t="shared" si="34"/>
        <v>30</v>
      </c>
      <c r="D237">
        <v>214</v>
      </c>
      <c r="E237">
        <v>244</v>
      </c>
      <c r="F237">
        <f>TxSPLINE!F$11</f>
        <v>24.115666666666662</v>
      </c>
      <c r="G237">
        <f>TxSPLINE!F$12</f>
        <v>26.132580645161287</v>
      </c>
      <c r="H237" s="5">
        <f>TxSPLINE!K$11</f>
        <v>-7.4696535253365995E-3</v>
      </c>
      <c r="I237" s="5">
        <f>TxSPLINE!K$12</f>
        <v>3.7781607007966581E-3</v>
      </c>
      <c r="J237">
        <f t="shared" si="35"/>
        <v>0.33333333333333331</v>
      </c>
      <c r="K237">
        <f t="shared" si="36"/>
        <v>0.66666666666666663</v>
      </c>
      <c r="L237">
        <f t="shared" si="37"/>
        <v>188</v>
      </c>
      <c r="M237" s="6">
        <f t="shared" si="38"/>
        <v>25.460275985663078</v>
      </c>
      <c r="N237" s="13">
        <f t="shared" si="33"/>
        <v>25.582362770078223</v>
      </c>
      <c r="O237" s="6">
        <f t="shared" si="41"/>
        <v>2422.7482897664063</v>
      </c>
      <c r="P237" s="6">
        <f t="shared" si="42"/>
        <v>2414.3861030544276</v>
      </c>
      <c r="Q237" s="6">
        <f t="shared" si="39"/>
        <v>25.582362770078223</v>
      </c>
      <c r="T237" s="6">
        <f t="shared" si="32"/>
        <v>25.582362770078223</v>
      </c>
    </row>
    <row r="238" spans="2:20">
      <c r="B238">
        <f t="shared" si="40"/>
        <v>235</v>
      </c>
      <c r="C238">
        <f t="shared" si="34"/>
        <v>30</v>
      </c>
      <c r="D238">
        <v>214</v>
      </c>
      <c r="E238">
        <v>244</v>
      </c>
      <c r="F238">
        <f>TxSPLINE!F$11</f>
        <v>24.115666666666662</v>
      </c>
      <c r="G238">
        <f>TxSPLINE!F$12</f>
        <v>26.132580645161287</v>
      </c>
      <c r="H238" s="5">
        <f>TxSPLINE!K$11</f>
        <v>-7.4696535253365995E-3</v>
      </c>
      <c r="I238" s="5">
        <f>TxSPLINE!K$12</f>
        <v>3.7781607007966581E-3</v>
      </c>
      <c r="J238">
        <f t="shared" si="35"/>
        <v>0.3</v>
      </c>
      <c r="K238">
        <f t="shared" si="36"/>
        <v>0.7</v>
      </c>
      <c r="L238">
        <f t="shared" si="37"/>
        <v>189</v>
      </c>
      <c r="M238" s="6">
        <f t="shared" si="38"/>
        <v>25.527506451612901</v>
      </c>
      <c r="N238" s="13">
        <f t="shared" si="33"/>
        <v>25.631068257947774</v>
      </c>
      <c r="O238" s="6">
        <f t="shared" si="41"/>
        <v>2448.275796218019</v>
      </c>
      <c r="P238" s="6">
        <f t="shared" si="42"/>
        <v>2440.0171713123755</v>
      </c>
      <c r="Q238" s="6">
        <f t="shared" si="39"/>
        <v>25.631068257947774</v>
      </c>
      <c r="T238" s="6">
        <f t="shared" si="32"/>
        <v>25.631068257947774</v>
      </c>
    </row>
    <row r="239" spans="2:20">
      <c r="B239">
        <f t="shared" si="40"/>
        <v>236</v>
      </c>
      <c r="C239">
        <f t="shared" si="34"/>
        <v>30</v>
      </c>
      <c r="D239">
        <v>214</v>
      </c>
      <c r="E239">
        <v>244</v>
      </c>
      <c r="F239">
        <f>TxSPLINE!F$11</f>
        <v>24.115666666666662</v>
      </c>
      <c r="G239">
        <f>TxSPLINE!F$12</f>
        <v>26.132580645161287</v>
      </c>
      <c r="H239" s="5">
        <f>TxSPLINE!K$11</f>
        <v>-7.4696535253365995E-3</v>
      </c>
      <c r="I239" s="5">
        <f>TxSPLINE!K$12</f>
        <v>3.7781607007966581E-3</v>
      </c>
      <c r="J239">
        <f t="shared" si="35"/>
        <v>0.26666666666666666</v>
      </c>
      <c r="K239">
        <f t="shared" si="36"/>
        <v>0.73333333333333328</v>
      </c>
      <c r="L239">
        <f t="shared" si="37"/>
        <v>190</v>
      </c>
      <c r="M239" s="6">
        <f t="shared" si="38"/>
        <v>25.594736917562717</v>
      </c>
      <c r="N239" s="13">
        <f t="shared" si="33"/>
        <v>25.680177562250272</v>
      </c>
      <c r="O239" s="6">
        <f t="shared" si="41"/>
        <v>2473.8705331355818</v>
      </c>
      <c r="P239" s="6">
        <f t="shared" si="42"/>
        <v>2465.6973488746257</v>
      </c>
      <c r="Q239" s="6">
        <f t="shared" si="39"/>
        <v>25.680177562250272</v>
      </c>
      <c r="T239" s="6">
        <f t="shared" si="32"/>
        <v>25.680177562250272</v>
      </c>
    </row>
    <row r="240" spans="2:20">
      <c r="B240">
        <f t="shared" si="40"/>
        <v>237</v>
      </c>
      <c r="C240">
        <f t="shared" si="34"/>
        <v>30</v>
      </c>
      <c r="D240">
        <v>214</v>
      </c>
      <c r="E240">
        <v>244</v>
      </c>
      <c r="F240">
        <f>TxSPLINE!F$11</f>
        <v>24.115666666666662</v>
      </c>
      <c r="G240">
        <f>TxSPLINE!F$12</f>
        <v>26.132580645161287</v>
      </c>
      <c r="H240" s="5">
        <f>TxSPLINE!K$11</f>
        <v>-7.4696535253365995E-3</v>
      </c>
      <c r="I240" s="5">
        <f>TxSPLINE!K$12</f>
        <v>3.7781607007966581E-3</v>
      </c>
      <c r="J240">
        <f t="shared" si="35"/>
        <v>0.23333333333333334</v>
      </c>
      <c r="K240">
        <f t="shared" si="36"/>
        <v>0.76666666666666672</v>
      </c>
      <c r="L240">
        <f t="shared" si="37"/>
        <v>191</v>
      </c>
      <c r="M240" s="6">
        <f t="shared" si="38"/>
        <v>25.661967383512543</v>
      </c>
      <c r="N240" s="13">
        <f t="shared" si="33"/>
        <v>25.730065610126612</v>
      </c>
      <c r="O240" s="6">
        <f t="shared" si="41"/>
        <v>2499.5325005190944</v>
      </c>
      <c r="P240" s="6">
        <f t="shared" si="42"/>
        <v>2491.4274144847523</v>
      </c>
      <c r="Q240" s="6">
        <f t="shared" si="39"/>
        <v>25.730065610126612</v>
      </c>
      <c r="T240" s="6">
        <f t="shared" si="32"/>
        <v>25.730065610126612</v>
      </c>
    </row>
    <row r="241" spans="1:20">
      <c r="B241">
        <f t="shared" si="40"/>
        <v>238</v>
      </c>
      <c r="C241">
        <f t="shared" si="34"/>
        <v>30</v>
      </c>
      <c r="D241">
        <v>214</v>
      </c>
      <c r="E241">
        <v>244</v>
      </c>
      <c r="F241">
        <f>TxSPLINE!F$11</f>
        <v>24.115666666666662</v>
      </c>
      <c r="G241">
        <f>TxSPLINE!F$12</f>
        <v>26.132580645161287</v>
      </c>
      <c r="H241" s="5">
        <f>TxSPLINE!K$11</f>
        <v>-7.4696535253365995E-3</v>
      </c>
      <c r="I241" s="5">
        <f>TxSPLINE!K$12</f>
        <v>3.7781607007966581E-3</v>
      </c>
      <c r="J241">
        <f t="shared" si="35"/>
        <v>0.2</v>
      </c>
      <c r="K241">
        <f t="shared" si="36"/>
        <v>0.8</v>
      </c>
      <c r="L241">
        <f t="shared" si="37"/>
        <v>192</v>
      </c>
      <c r="M241" s="6">
        <f t="shared" si="38"/>
        <v>25.729197849462366</v>
      </c>
      <c r="N241" s="13">
        <f t="shared" si="33"/>
        <v>25.781107328717646</v>
      </c>
      <c r="O241" s="6">
        <f t="shared" si="41"/>
        <v>2525.2616983685566</v>
      </c>
      <c r="P241" s="6">
        <f t="shared" si="42"/>
        <v>2517.2085218134698</v>
      </c>
      <c r="Q241" s="6">
        <f t="shared" si="39"/>
        <v>25.781107328717646</v>
      </c>
      <c r="T241" s="6">
        <f t="shared" si="32"/>
        <v>25.781107328717646</v>
      </c>
    </row>
    <row r="242" spans="1:20">
      <c r="B242">
        <f t="shared" si="40"/>
        <v>239</v>
      </c>
      <c r="C242">
        <f t="shared" si="34"/>
        <v>30</v>
      </c>
      <c r="D242">
        <v>214</v>
      </c>
      <c r="E242">
        <v>244</v>
      </c>
      <c r="F242">
        <f>TxSPLINE!F$11</f>
        <v>24.115666666666662</v>
      </c>
      <c r="G242">
        <f>TxSPLINE!F$12</f>
        <v>26.132580645161287</v>
      </c>
      <c r="H242" s="5">
        <f>TxSPLINE!K$11</f>
        <v>-7.4696535253365995E-3</v>
      </c>
      <c r="I242" s="5">
        <f>TxSPLINE!K$12</f>
        <v>3.7781607007966581E-3</v>
      </c>
      <c r="J242">
        <f t="shared" si="35"/>
        <v>0.16666666666666666</v>
      </c>
      <c r="K242">
        <f t="shared" si="36"/>
        <v>0.83333333333333337</v>
      </c>
      <c r="L242">
        <f t="shared" si="37"/>
        <v>193</v>
      </c>
      <c r="M242" s="6">
        <f t="shared" si="38"/>
        <v>25.796428315412182</v>
      </c>
      <c r="N242" s="13">
        <f t="shared" si="33"/>
        <v>25.83367764516424</v>
      </c>
      <c r="O242" s="6">
        <f t="shared" si="41"/>
        <v>2551.0581266839686</v>
      </c>
      <c r="P242" s="6">
        <f t="shared" si="42"/>
        <v>2543.0421994586341</v>
      </c>
      <c r="Q242" s="6">
        <f t="shared" si="39"/>
        <v>25.83367764516424</v>
      </c>
      <c r="T242" s="6">
        <f t="shared" ref="T242:T305" si="43">N242</f>
        <v>25.83367764516424</v>
      </c>
    </row>
    <row r="243" spans="1:20">
      <c r="B243">
        <f t="shared" si="40"/>
        <v>240</v>
      </c>
      <c r="C243">
        <f t="shared" si="34"/>
        <v>30</v>
      </c>
      <c r="D243">
        <v>214</v>
      </c>
      <c r="E243">
        <v>244</v>
      </c>
      <c r="F243">
        <f>TxSPLINE!F$11</f>
        <v>24.115666666666662</v>
      </c>
      <c r="G243">
        <f>TxSPLINE!F$12</f>
        <v>26.132580645161287</v>
      </c>
      <c r="H243" s="5">
        <f>TxSPLINE!K$11</f>
        <v>-7.4696535253365995E-3</v>
      </c>
      <c r="I243" s="5">
        <f>TxSPLINE!K$12</f>
        <v>3.7781607007966581E-3</v>
      </c>
      <c r="J243">
        <f t="shared" si="35"/>
        <v>0.13333333333333333</v>
      </c>
      <c r="K243">
        <f t="shared" si="36"/>
        <v>0.8666666666666667</v>
      </c>
      <c r="L243">
        <f t="shared" si="37"/>
        <v>194</v>
      </c>
      <c r="M243" s="6">
        <f t="shared" si="38"/>
        <v>25.863658781362005</v>
      </c>
      <c r="N243" s="13">
        <f t="shared" si="33"/>
        <v>25.888151486607285</v>
      </c>
      <c r="O243" s="6">
        <f t="shared" si="41"/>
        <v>2576.9217854653307</v>
      </c>
      <c r="P243" s="6">
        <f t="shared" si="42"/>
        <v>2568.9303509452411</v>
      </c>
      <c r="Q243" s="6">
        <f t="shared" si="39"/>
        <v>25.888151486607285</v>
      </c>
      <c r="T243" s="6">
        <f t="shared" si="43"/>
        <v>25.888151486607285</v>
      </c>
    </row>
    <row r="244" spans="1:20">
      <c r="B244">
        <f t="shared" si="40"/>
        <v>241</v>
      </c>
      <c r="C244">
        <f t="shared" si="34"/>
        <v>30</v>
      </c>
      <c r="D244">
        <v>214</v>
      </c>
      <c r="E244">
        <v>244</v>
      </c>
      <c r="F244">
        <f>TxSPLINE!F$11</f>
        <v>24.115666666666662</v>
      </c>
      <c r="G244">
        <f>TxSPLINE!F$12</f>
        <v>26.132580645161287</v>
      </c>
      <c r="H244" s="5">
        <f>TxSPLINE!K$11</f>
        <v>-7.4696535253365995E-3</v>
      </c>
      <c r="I244" s="5">
        <f>TxSPLINE!K$12</f>
        <v>3.7781607007966581E-3</v>
      </c>
      <c r="J244">
        <f t="shared" si="35"/>
        <v>0.1</v>
      </c>
      <c r="K244">
        <f t="shared" si="36"/>
        <v>0.9</v>
      </c>
      <c r="L244">
        <f t="shared" si="37"/>
        <v>195</v>
      </c>
      <c r="M244" s="6">
        <f t="shared" si="38"/>
        <v>25.930889247311825</v>
      </c>
      <c r="N244" s="13">
        <f t="shared" si="33"/>
        <v>25.944903780187641</v>
      </c>
      <c r="O244" s="6">
        <f t="shared" si="41"/>
        <v>2602.8526747126425</v>
      </c>
      <c r="P244" s="6">
        <f t="shared" si="42"/>
        <v>2594.8752547254289</v>
      </c>
      <c r="Q244" s="6">
        <f t="shared" si="39"/>
        <v>25.944903780187641</v>
      </c>
      <c r="T244" s="6">
        <f t="shared" si="43"/>
        <v>25.944903780187641</v>
      </c>
    </row>
    <row r="245" spans="1:20">
      <c r="B245">
        <f t="shared" si="40"/>
        <v>242</v>
      </c>
      <c r="C245">
        <f t="shared" si="34"/>
        <v>30</v>
      </c>
      <c r="D245">
        <v>214</v>
      </c>
      <c r="E245">
        <v>244</v>
      </c>
      <c r="F245">
        <f>TxSPLINE!F$11</f>
        <v>24.115666666666662</v>
      </c>
      <c r="G245">
        <f>TxSPLINE!F$12</f>
        <v>26.132580645161287</v>
      </c>
      <c r="H245" s="5">
        <f>TxSPLINE!K$11</f>
        <v>-7.4696535253365995E-3</v>
      </c>
      <c r="I245" s="5">
        <f>TxSPLINE!K$12</f>
        <v>3.7781607007966581E-3</v>
      </c>
      <c r="J245">
        <f t="shared" si="35"/>
        <v>6.6666666666666666E-2</v>
      </c>
      <c r="K245">
        <f t="shared" si="36"/>
        <v>0.93333333333333335</v>
      </c>
      <c r="L245">
        <f t="shared" si="37"/>
        <v>196</v>
      </c>
      <c r="M245" s="6">
        <f t="shared" si="38"/>
        <v>25.998119713261648</v>
      </c>
      <c r="N245" s="13">
        <f t="shared" si="33"/>
        <v>26.004309453046179</v>
      </c>
      <c r="O245" s="6">
        <f t="shared" si="41"/>
        <v>2628.850794425904</v>
      </c>
      <c r="P245" s="6">
        <f t="shared" si="42"/>
        <v>2620.879564178475</v>
      </c>
      <c r="Q245" s="6">
        <f t="shared" si="39"/>
        <v>26.004309453046179</v>
      </c>
      <c r="T245" s="6">
        <f t="shared" si="43"/>
        <v>26.004309453046179</v>
      </c>
    </row>
    <row r="246" spans="1:20">
      <c r="B246">
        <f t="shared" si="40"/>
        <v>243</v>
      </c>
      <c r="C246">
        <f t="shared" si="34"/>
        <v>30</v>
      </c>
      <c r="D246">
        <v>214</v>
      </c>
      <c r="E246">
        <v>244</v>
      </c>
      <c r="F246">
        <f>TxSPLINE!F$11</f>
        <v>24.115666666666662</v>
      </c>
      <c r="G246">
        <f>TxSPLINE!F$12</f>
        <v>26.132580645161287</v>
      </c>
      <c r="H246" s="5">
        <f>TxSPLINE!K$11</f>
        <v>-7.4696535253365995E-3</v>
      </c>
      <c r="I246" s="5">
        <f>TxSPLINE!K$12</f>
        <v>3.7781607007966581E-3</v>
      </c>
      <c r="J246">
        <f t="shared" si="35"/>
        <v>3.3333333333333333E-2</v>
      </c>
      <c r="K246">
        <f t="shared" si="36"/>
        <v>0.96666666666666667</v>
      </c>
      <c r="L246">
        <f t="shared" si="37"/>
        <v>197</v>
      </c>
      <c r="M246" s="6">
        <f t="shared" si="38"/>
        <v>26.065350179211464</v>
      </c>
      <c r="N246" s="13">
        <f t="shared" si="33"/>
        <v>26.066743432323765</v>
      </c>
      <c r="O246" s="6">
        <f t="shared" si="41"/>
        <v>2654.9161446051157</v>
      </c>
      <c r="P246" s="6">
        <f t="shared" si="42"/>
        <v>2646.9463076107986</v>
      </c>
      <c r="Q246" s="6">
        <f t="shared" si="39"/>
        <v>26.066743432323765</v>
      </c>
      <c r="T246" s="6">
        <f t="shared" si="43"/>
        <v>26.066743432323765</v>
      </c>
    </row>
    <row r="247" spans="1:20">
      <c r="A247">
        <v>244</v>
      </c>
      <c r="B247">
        <f t="shared" si="40"/>
        <v>244</v>
      </c>
      <c r="C247">
        <f t="shared" si="34"/>
        <v>30</v>
      </c>
      <c r="D247">
        <v>214</v>
      </c>
      <c r="E247">
        <v>244</v>
      </c>
      <c r="F247">
        <f>TxSPLINE!F$11</f>
        <v>24.115666666666662</v>
      </c>
      <c r="G247">
        <f>TxSPLINE!F$12</f>
        <v>26.132580645161287</v>
      </c>
      <c r="H247" s="5">
        <f>TxSPLINE!K$11</f>
        <v>-7.4696535253365995E-3</v>
      </c>
      <c r="I247" s="5">
        <f>TxSPLINE!K$12</f>
        <v>3.7781607007966581E-3</v>
      </c>
      <c r="J247">
        <f t="shared" si="35"/>
        <v>0</v>
      </c>
      <c r="K247">
        <f t="shared" si="36"/>
        <v>1</v>
      </c>
      <c r="L247">
        <f t="shared" si="37"/>
        <v>198</v>
      </c>
      <c r="M247" s="6">
        <f t="shared" si="38"/>
        <v>26.132580645161287</v>
      </c>
      <c r="N247" s="13">
        <f t="shared" ref="N247:N310" si="44">Q247</f>
        <v>26.132580645161287</v>
      </c>
      <c r="O247" s="6">
        <f t="shared" si="41"/>
        <v>2681.0487252502771</v>
      </c>
      <c r="P247" s="6">
        <f t="shared" si="42"/>
        <v>2673.07888825596</v>
      </c>
      <c r="Q247" s="6">
        <f t="shared" si="39"/>
        <v>26.132580645161287</v>
      </c>
      <c r="T247" s="6">
        <f t="shared" si="43"/>
        <v>26.132580645161287</v>
      </c>
    </row>
    <row r="248" spans="1:20">
      <c r="B248">
        <f t="shared" si="40"/>
        <v>245</v>
      </c>
      <c r="C248">
        <f t="shared" si="34"/>
        <v>31</v>
      </c>
      <c r="D248">
        <v>244</v>
      </c>
      <c r="E248">
        <v>275</v>
      </c>
      <c r="F248">
        <f>TxSPLINE!F$12</f>
        <v>26.132580645161287</v>
      </c>
      <c r="G248">
        <f>TxSPLINE!F$13</f>
        <v>26.940322580645155</v>
      </c>
      <c r="H248" s="5">
        <f>TxSPLINE!K$12</f>
        <v>3.7781607007966581E-3</v>
      </c>
      <c r="I248" s="5">
        <f>TxSPLINE!K$13</f>
        <v>-1.5609407955893223E-2</v>
      </c>
      <c r="J248">
        <f t="shared" si="35"/>
        <v>0.967741935483871</v>
      </c>
      <c r="K248">
        <f t="shared" si="36"/>
        <v>3.2258064516129031E-2</v>
      </c>
      <c r="L248">
        <f t="shared" si="37"/>
        <v>199</v>
      </c>
      <c r="M248" s="6">
        <f t="shared" si="38"/>
        <v>26.15863683662851</v>
      </c>
      <c r="N248" s="13">
        <f t="shared" si="44"/>
        <v>26.202029296602703</v>
      </c>
      <c r="O248" s="6">
        <f t="shared" si="41"/>
        <v>2707.2073620869055</v>
      </c>
      <c r="P248" s="6">
        <f t="shared" si="42"/>
        <v>2699.2809175525626</v>
      </c>
      <c r="Q248" s="6">
        <f t="shared" si="39"/>
        <v>26.202029296602703</v>
      </c>
      <c r="T248" s="6">
        <f t="shared" si="43"/>
        <v>26.202029296602703</v>
      </c>
    </row>
    <row r="249" spans="1:20">
      <c r="B249">
        <f t="shared" si="40"/>
        <v>246</v>
      </c>
      <c r="C249">
        <f t="shared" si="34"/>
        <v>31</v>
      </c>
      <c r="D249">
        <v>244</v>
      </c>
      <c r="E249">
        <v>275</v>
      </c>
      <c r="F249">
        <f>TxSPLINE!F$12</f>
        <v>26.132580645161287</v>
      </c>
      <c r="G249">
        <f>TxSPLINE!F$13</f>
        <v>26.940322580645155</v>
      </c>
      <c r="H249" s="5">
        <f>TxSPLINE!K$12</f>
        <v>3.7781607007966581E-3</v>
      </c>
      <c r="I249" s="5">
        <f>TxSPLINE!K$13</f>
        <v>-1.5609407955893223E-2</v>
      </c>
      <c r="J249">
        <f t="shared" si="35"/>
        <v>0.93548387096774188</v>
      </c>
      <c r="K249">
        <f t="shared" si="36"/>
        <v>6.4516129032258063E-2</v>
      </c>
      <c r="L249">
        <f t="shared" si="37"/>
        <v>200</v>
      </c>
      <c r="M249" s="6">
        <f t="shared" si="38"/>
        <v>26.18469302809573</v>
      </c>
      <c r="N249" s="13">
        <f t="shared" si="44"/>
        <v>26.274630703304371</v>
      </c>
      <c r="O249" s="6">
        <f t="shared" si="41"/>
        <v>2733.3920551150013</v>
      </c>
      <c r="P249" s="6">
        <f t="shared" si="42"/>
        <v>2725.5555482558671</v>
      </c>
      <c r="Q249" s="6">
        <f t="shared" si="39"/>
        <v>26.274630703304371</v>
      </c>
      <c r="T249" s="6">
        <f t="shared" si="43"/>
        <v>26.274630703304371</v>
      </c>
    </row>
    <row r="250" spans="1:20">
      <c r="B250">
        <f t="shared" si="40"/>
        <v>247</v>
      </c>
      <c r="C250">
        <f t="shared" si="34"/>
        <v>31</v>
      </c>
      <c r="D250">
        <v>244</v>
      </c>
      <c r="E250">
        <v>275</v>
      </c>
      <c r="F250">
        <f>TxSPLINE!F$12</f>
        <v>26.132580645161287</v>
      </c>
      <c r="G250">
        <f>TxSPLINE!F$13</f>
        <v>26.940322580645155</v>
      </c>
      <c r="H250" s="5">
        <f>TxSPLINE!K$12</f>
        <v>3.7781607007966581E-3</v>
      </c>
      <c r="I250" s="5">
        <f>TxSPLINE!K$13</f>
        <v>-1.5609407955893223E-2</v>
      </c>
      <c r="J250">
        <f t="shared" si="35"/>
        <v>0.90322580645161288</v>
      </c>
      <c r="K250">
        <f t="shared" si="36"/>
        <v>9.6774193548387094E-2</v>
      </c>
      <c r="L250">
        <f t="shared" si="37"/>
        <v>201</v>
      </c>
      <c r="M250" s="6">
        <f t="shared" si="38"/>
        <v>26.210749219562953</v>
      </c>
      <c r="N250" s="13">
        <f t="shared" si="44"/>
        <v>26.349759459825762</v>
      </c>
      <c r="O250" s="6">
        <f t="shared" si="41"/>
        <v>2759.6028043345641</v>
      </c>
      <c r="P250" s="6">
        <f t="shared" si="42"/>
        <v>2751.9053077156927</v>
      </c>
      <c r="Q250" s="6">
        <f t="shared" si="39"/>
        <v>26.349759459825762</v>
      </c>
      <c r="T250" s="6">
        <f t="shared" si="43"/>
        <v>26.349759459825762</v>
      </c>
    </row>
    <row r="251" spans="1:20">
      <c r="B251">
        <f t="shared" si="40"/>
        <v>248</v>
      </c>
      <c r="C251">
        <f t="shared" si="34"/>
        <v>31</v>
      </c>
      <c r="D251">
        <v>244</v>
      </c>
      <c r="E251">
        <v>275</v>
      </c>
      <c r="F251">
        <f>TxSPLINE!F$12</f>
        <v>26.132580645161287</v>
      </c>
      <c r="G251">
        <f>TxSPLINE!F$13</f>
        <v>26.940322580645155</v>
      </c>
      <c r="H251" s="5">
        <f>TxSPLINE!K$12</f>
        <v>3.7781607007966581E-3</v>
      </c>
      <c r="I251" s="5">
        <f>TxSPLINE!K$13</f>
        <v>-1.5609407955893223E-2</v>
      </c>
      <c r="J251">
        <f t="shared" si="35"/>
        <v>0.87096774193548387</v>
      </c>
      <c r="K251">
        <f t="shared" si="36"/>
        <v>0.12903225806451613</v>
      </c>
      <c r="L251">
        <f t="shared" si="37"/>
        <v>202</v>
      </c>
      <c r="M251" s="6">
        <f t="shared" si="38"/>
        <v>26.236805411030172</v>
      </c>
      <c r="N251" s="13">
        <f t="shared" si="44"/>
        <v>26.426790160726334</v>
      </c>
      <c r="O251" s="6">
        <f t="shared" si="41"/>
        <v>2785.8396097455943</v>
      </c>
      <c r="P251" s="6">
        <f t="shared" si="42"/>
        <v>2778.3320978764191</v>
      </c>
      <c r="Q251" s="6">
        <f t="shared" si="39"/>
        <v>26.426790160726334</v>
      </c>
      <c r="T251" s="6">
        <f t="shared" si="43"/>
        <v>26.426790160726334</v>
      </c>
    </row>
    <row r="252" spans="1:20">
      <c r="B252">
        <f t="shared" si="40"/>
        <v>249</v>
      </c>
      <c r="C252">
        <f t="shared" si="34"/>
        <v>31</v>
      </c>
      <c r="D252">
        <v>244</v>
      </c>
      <c r="E252">
        <v>275</v>
      </c>
      <c r="F252">
        <f>TxSPLINE!F$12</f>
        <v>26.132580645161287</v>
      </c>
      <c r="G252">
        <f>TxSPLINE!F$13</f>
        <v>26.940322580645155</v>
      </c>
      <c r="H252" s="5">
        <f>TxSPLINE!K$12</f>
        <v>3.7781607007966581E-3</v>
      </c>
      <c r="I252" s="5">
        <f>TxSPLINE!K$13</f>
        <v>-1.5609407955893223E-2</v>
      </c>
      <c r="J252">
        <f t="shared" si="35"/>
        <v>0.83870967741935487</v>
      </c>
      <c r="K252">
        <f t="shared" si="36"/>
        <v>0.16129032258064516</v>
      </c>
      <c r="L252">
        <f t="shared" si="37"/>
        <v>203</v>
      </c>
      <c r="M252" s="6">
        <f t="shared" si="38"/>
        <v>26.262861602497395</v>
      </c>
      <c r="N252" s="13">
        <f t="shared" si="44"/>
        <v>26.50509740056555</v>
      </c>
      <c r="O252" s="6">
        <f t="shared" si="41"/>
        <v>2812.1024713480915</v>
      </c>
      <c r="P252" s="6">
        <f t="shared" si="42"/>
        <v>2804.8371952769849</v>
      </c>
      <c r="Q252" s="6">
        <f t="shared" si="39"/>
        <v>26.50509740056555</v>
      </c>
      <c r="T252" s="6">
        <f t="shared" si="43"/>
        <v>26.50509740056555</v>
      </c>
    </row>
    <row r="253" spans="1:20">
      <c r="B253">
        <f t="shared" si="40"/>
        <v>250</v>
      </c>
      <c r="C253">
        <f t="shared" si="34"/>
        <v>31</v>
      </c>
      <c r="D253">
        <v>244</v>
      </c>
      <c r="E253">
        <v>275</v>
      </c>
      <c r="F253">
        <f>TxSPLINE!F$12</f>
        <v>26.132580645161287</v>
      </c>
      <c r="G253">
        <f>TxSPLINE!F$13</f>
        <v>26.940322580645155</v>
      </c>
      <c r="H253" s="5">
        <f>TxSPLINE!K$12</f>
        <v>3.7781607007966581E-3</v>
      </c>
      <c r="I253" s="5">
        <f>TxSPLINE!K$13</f>
        <v>-1.5609407955893223E-2</v>
      </c>
      <c r="J253">
        <f t="shared" si="35"/>
        <v>0.80645161290322576</v>
      </c>
      <c r="K253">
        <f t="shared" si="36"/>
        <v>0.19354838709677419</v>
      </c>
      <c r="L253">
        <f t="shared" si="37"/>
        <v>204</v>
      </c>
      <c r="M253" s="6">
        <f t="shared" si="38"/>
        <v>26.288917793964615</v>
      </c>
      <c r="N253" s="13">
        <f t="shared" si="44"/>
        <v>26.584055773902868</v>
      </c>
      <c r="O253" s="6">
        <f t="shared" si="41"/>
        <v>2838.3913891420561</v>
      </c>
      <c r="P253" s="6">
        <f t="shared" si="42"/>
        <v>2831.4212510508878</v>
      </c>
      <c r="Q253" s="6">
        <f t="shared" si="39"/>
        <v>26.584055773902868</v>
      </c>
      <c r="T253" s="6">
        <f t="shared" si="43"/>
        <v>26.584055773902868</v>
      </c>
    </row>
    <row r="254" spans="1:20">
      <c r="B254">
        <f t="shared" si="40"/>
        <v>251</v>
      </c>
      <c r="C254">
        <f t="shared" si="34"/>
        <v>31</v>
      </c>
      <c r="D254">
        <v>244</v>
      </c>
      <c r="E254">
        <v>275</v>
      </c>
      <c r="F254">
        <f>TxSPLINE!F$12</f>
        <v>26.132580645161287</v>
      </c>
      <c r="G254">
        <f>TxSPLINE!F$13</f>
        <v>26.940322580645155</v>
      </c>
      <c r="H254" s="5">
        <f>TxSPLINE!K$12</f>
        <v>3.7781607007966581E-3</v>
      </c>
      <c r="I254" s="5">
        <f>TxSPLINE!K$13</f>
        <v>-1.5609407955893223E-2</v>
      </c>
      <c r="J254">
        <f t="shared" si="35"/>
        <v>0.77419354838709675</v>
      </c>
      <c r="K254">
        <f t="shared" si="36"/>
        <v>0.22580645161290322</v>
      </c>
      <c r="L254">
        <f t="shared" si="37"/>
        <v>205</v>
      </c>
      <c r="M254" s="6">
        <f t="shared" si="38"/>
        <v>26.314973985431838</v>
      </c>
      <c r="N254" s="13">
        <f t="shared" si="44"/>
        <v>26.663039875297759</v>
      </c>
      <c r="O254" s="6">
        <f t="shared" si="41"/>
        <v>2864.7063631274882</v>
      </c>
      <c r="P254" s="6">
        <f t="shared" si="42"/>
        <v>2858.0842909261855</v>
      </c>
      <c r="Q254" s="6">
        <f t="shared" si="39"/>
        <v>26.663039875297759</v>
      </c>
      <c r="T254" s="6">
        <f t="shared" si="43"/>
        <v>26.663039875297759</v>
      </c>
    </row>
    <row r="255" spans="1:20">
      <c r="B255">
        <f t="shared" si="40"/>
        <v>252</v>
      </c>
      <c r="C255">
        <f t="shared" si="34"/>
        <v>31</v>
      </c>
      <c r="D255">
        <v>244</v>
      </c>
      <c r="E255">
        <v>275</v>
      </c>
      <c r="F255">
        <f>TxSPLINE!F$12</f>
        <v>26.132580645161287</v>
      </c>
      <c r="G255">
        <f>TxSPLINE!F$13</f>
        <v>26.940322580645155</v>
      </c>
      <c r="H255" s="5">
        <f>TxSPLINE!K$12</f>
        <v>3.7781607007966581E-3</v>
      </c>
      <c r="I255" s="5">
        <f>TxSPLINE!K$13</f>
        <v>-1.5609407955893223E-2</v>
      </c>
      <c r="J255">
        <f t="shared" si="35"/>
        <v>0.74193548387096775</v>
      </c>
      <c r="K255">
        <f t="shared" si="36"/>
        <v>0.25806451612903225</v>
      </c>
      <c r="L255">
        <f t="shared" si="37"/>
        <v>206</v>
      </c>
      <c r="M255" s="6">
        <f t="shared" si="38"/>
        <v>26.341030176899061</v>
      </c>
      <c r="N255" s="13">
        <f t="shared" si="44"/>
        <v>26.741424299309674</v>
      </c>
      <c r="O255" s="6">
        <f t="shared" si="41"/>
        <v>2891.0473933043872</v>
      </c>
      <c r="P255" s="6">
        <f t="shared" si="42"/>
        <v>2884.8257152254951</v>
      </c>
      <c r="Q255" s="6">
        <f t="shared" si="39"/>
        <v>26.741424299309674</v>
      </c>
      <c r="T255" s="6">
        <f t="shared" si="43"/>
        <v>26.741424299309674</v>
      </c>
    </row>
    <row r="256" spans="1:20">
      <c r="B256">
        <f t="shared" si="40"/>
        <v>253</v>
      </c>
      <c r="C256">
        <f t="shared" si="34"/>
        <v>31</v>
      </c>
      <c r="D256">
        <v>244</v>
      </c>
      <c r="E256">
        <v>275</v>
      </c>
      <c r="F256">
        <f>TxSPLINE!F$12</f>
        <v>26.132580645161287</v>
      </c>
      <c r="G256">
        <f>TxSPLINE!F$13</f>
        <v>26.940322580645155</v>
      </c>
      <c r="H256" s="5">
        <f>TxSPLINE!K$12</f>
        <v>3.7781607007966581E-3</v>
      </c>
      <c r="I256" s="5">
        <f>TxSPLINE!K$13</f>
        <v>-1.5609407955893223E-2</v>
      </c>
      <c r="J256">
        <f t="shared" si="35"/>
        <v>0.70967741935483875</v>
      </c>
      <c r="K256">
        <f t="shared" si="36"/>
        <v>0.29032258064516131</v>
      </c>
      <c r="L256">
        <f t="shared" si="37"/>
        <v>207</v>
      </c>
      <c r="M256" s="6">
        <f t="shared" si="38"/>
        <v>26.36708636836628</v>
      </c>
      <c r="N256" s="13">
        <f t="shared" si="44"/>
        <v>26.818583640498076</v>
      </c>
      <c r="O256" s="6">
        <f t="shared" si="41"/>
        <v>2917.4144796727537</v>
      </c>
      <c r="P256" s="6">
        <f t="shared" si="42"/>
        <v>2911.6442988659933</v>
      </c>
      <c r="Q256" s="6">
        <f t="shared" si="39"/>
        <v>26.818583640498076</v>
      </c>
      <c r="T256" s="6">
        <f t="shared" si="43"/>
        <v>26.818583640498076</v>
      </c>
    </row>
    <row r="257" spans="2:20">
      <c r="B257">
        <f t="shared" si="40"/>
        <v>254</v>
      </c>
      <c r="C257">
        <f t="shared" si="34"/>
        <v>31</v>
      </c>
      <c r="D257">
        <v>244</v>
      </c>
      <c r="E257">
        <v>275</v>
      </c>
      <c r="F257">
        <f>TxSPLINE!F$12</f>
        <v>26.132580645161287</v>
      </c>
      <c r="G257">
        <f>TxSPLINE!F$13</f>
        <v>26.940322580645155</v>
      </c>
      <c r="H257" s="5">
        <f>TxSPLINE!K$12</f>
        <v>3.7781607007966581E-3</v>
      </c>
      <c r="I257" s="5">
        <f>TxSPLINE!K$13</f>
        <v>-1.5609407955893223E-2</v>
      </c>
      <c r="J257">
        <f t="shared" si="35"/>
        <v>0.67741935483870963</v>
      </c>
      <c r="K257">
        <f t="shared" si="36"/>
        <v>0.32258064516129031</v>
      </c>
      <c r="L257">
        <f t="shared" si="37"/>
        <v>208</v>
      </c>
      <c r="M257" s="6">
        <f t="shared" si="38"/>
        <v>26.3931425598335</v>
      </c>
      <c r="N257" s="13">
        <f t="shared" si="44"/>
        <v>26.893892493422431</v>
      </c>
      <c r="O257" s="6">
        <f t="shared" si="41"/>
        <v>2943.8076222325872</v>
      </c>
      <c r="P257" s="6">
        <f t="shared" si="42"/>
        <v>2938.5381913594156</v>
      </c>
      <c r="Q257" s="6">
        <f t="shared" si="39"/>
        <v>26.893892493422431</v>
      </c>
      <c r="T257" s="6">
        <f t="shared" si="43"/>
        <v>26.893892493422431</v>
      </c>
    </row>
    <row r="258" spans="2:20">
      <c r="B258">
        <f t="shared" si="40"/>
        <v>255</v>
      </c>
      <c r="C258">
        <f t="shared" si="34"/>
        <v>31</v>
      </c>
      <c r="D258">
        <v>244</v>
      </c>
      <c r="E258">
        <v>275</v>
      </c>
      <c r="F258">
        <f>TxSPLINE!F$12</f>
        <v>26.132580645161287</v>
      </c>
      <c r="G258">
        <f>TxSPLINE!F$13</f>
        <v>26.940322580645155</v>
      </c>
      <c r="H258" s="5">
        <f>TxSPLINE!K$12</f>
        <v>3.7781607007966581E-3</v>
      </c>
      <c r="I258" s="5">
        <f>TxSPLINE!K$13</f>
        <v>-1.5609407955893223E-2</v>
      </c>
      <c r="J258">
        <f t="shared" si="35"/>
        <v>0.64516129032258063</v>
      </c>
      <c r="K258">
        <f t="shared" si="36"/>
        <v>0.35483870967741937</v>
      </c>
      <c r="L258">
        <f t="shared" si="37"/>
        <v>209</v>
      </c>
      <c r="M258" s="6">
        <f t="shared" si="38"/>
        <v>26.419198751300723</v>
      </c>
      <c r="N258" s="13">
        <f t="shared" si="44"/>
        <v>26.966725452642201</v>
      </c>
      <c r="O258" s="6">
        <f t="shared" si="41"/>
        <v>2970.226820983888</v>
      </c>
      <c r="P258" s="6">
        <f t="shared" si="42"/>
        <v>2965.5049168120577</v>
      </c>
      <c r="Q258" s="6">
        <f t="shared" si="39"/>
        <v>26.966725452642201</v>
      </c>
      <c r="T258" s="6">
        <f t="shared" si="43"/>
        <v>26.966725452642201</v>
      </c>
    </row>
    <row r="259" spans="2:20">
      <c r="B259">
        <f t="shared" si="40"/>
        <v>256</v>
      </c>
      <c r="C259">
        <f t="shared" si="34"/>
        <v>31</v>
      </c>
      <c r="D259">
        <v>244</v>
      </c>
      <c r="E259">
        <v>275</v>
      </c>
      <c r="F259">
        <f>TxSPLINE!F$12</f>
        <v>26.132580645161287</v>
      </c>
      <c r="G259">
        <f>TxSPLINE!F$13</f>
        <v>26.940322580645155</v>
      </c>
      <c r="H259" s="5">
        <f>TxSPLINE!K$12</f>
        <v>3.7781607007966581E-3</v>
      </c>
      <c r="I259" s="5">
        <f>TxSPLINE!K$13</f>
        <v>-1.5609407955893223E-2</v>
      </c>
      <c r="J259">
        <f t="shared" si="35"/>
        <v>0.61290322580645162</v>
      </c>
      <c r="K259">
        <f t="shared" si="36"/>
        <v>0.38709677419354838</v>
      </c>
      <c r="L259">
        <f t="shared" si="37"/>
        <v>210</v>
      </c>
      <c r="M259" s="6">
        <f t="shared" si="38"/>
        <v>26.445254942767946</v>
      </c>
      <c r="N259" s="13">
        <f t="shared" si="44"/>
        <v>27.036457112716846</v>
      </c>
      <c r="O259" s="6">
        <f t="shared" si="41"/>
        <v>2996.6720759266559</v>
      </c>
      <c r="P259" s="6">
        <f t="shared" si="42"/>
        <v>2992.5413739247747</v>
      </c>
      <c r="Q259" s="6">
        <f t="shared" si="39"/>
        <v>27.036457112716846</v>
      </c>
      <c r="T259" s="6">
        <f t="shared" si="43"/>
        <v>27.036457112716846</v>
      </c>
    </row>
    <row r="260" spans="2:20">
      <c r="B260">
        <f t="shared" si="40"/>
        <v>257</v>
      </c>
      <c r="C260">
        <f t="shared" ref="C260:C323" si="45">E260-D260</f>
        <v>31</v>
      </c>
      <c r="D260">
        <v>244</v>
      </c>
      <c r="E260">
        <v>275</v>
      </c>
      <c r="F260">
        <f>TxSPLINE!F$12</f>
        <v>26.132580645161287</v>
      </c>
      <c r="G260">
        <f>TxSPLINE!F$13</f>
        <v>26.940322580645155</v>
      </c>
      <c r="H260" s="5">
        <f>TxSPLINE!K$12</f>
        <v>3.7781607007966581E-3</v>
      </c>
      <c r="I260" s="5">
        <f>TxSPLINE!K$13</f>
        <v>-1.5609407955893223E-2</v>
      </c>
      <c r="J260">
        <f t="shared" ref="J260:J323" si="46">(E260-B260)/C260</f>
        <v>0.58064516129032262</v>
      </c>
      <c r="K260">
        <f t="shared" ref="K260:K323" si="47">(B260-D260)/C260</f>
        <v>0.41935483870967744</v>
      </c>
      <c r="L260">
        <f t="shared" ref="L260:L323" si="48">B260-46</f>
        <v>211</v>
      </c>
      <c r="M260" s="6">
        <f t="shared" ref="M260:M323" si="49">J260*F260+K260*G260</f>
        <v>26.471311134235169</v>
      </c>
      <c r="N260" s="13">
        <f t="shared" si="44"/>
        <v>27.102462068205824</v>
      </c>
      <c r="O260" s="6">
        <f t="shared" si="41"/>
        <v>3023.1433870608912</v>
      </c>
      <c r="P260" s="6">
        <f t="shared" si="42"/>
        <v>3019.6438359929807</v>
      </c>
      <c r="Q260" s="6">
        <f t="shared" ref="Q260:Q323" si="50">M260+(((J260^3-J260)*H260+(K260^3-K260)*I260))*(C260^2)/6</f>
        <v>27.102462068205824</v>
      </c>
      <c r="T260" s="6">
        <f t="shared" si="43"/>
        <v>27.102462068205824</v>
      </c>
    </row>
    <row r="261" spans="2:20">
      <c r="B261">
        <f t="shared" ref="B261:B324" si="51">B260+1</f>
        <v>258</v>
      </c>
      <c r="C261">
        <f t="shared" si="45"/>
        <v>31</v>
      </c>
      <c r="D261">
        <v>244</v>
      </c>
      <c r="E261">
        <v>275</v>
      </c>
      <c r="F261">
        <f>TxSPLINE!F$12</f>
        <v>26.132580645161287</v>
      </c>
      <c r="G261">
        <f>TxSPLINE!F$13</f>
        <v>26.940322580645155</v>
      </c>
      <c r="H261" s="5">
        <f>TxSPLINE!K$12</f>
        <v>3.7781607007966581E-3</v>
      </c>
      <c r="I261" s="5">
        <f>TxSPLINE!K$13</f>
        <v>-1.5609407955893223E-2</v>
      </c>
      <c r="J261">
        <f t="shared" si="46"/>
        <v>0.54838709677419351</v>
      </c>
      <c r="K261">
        <f t="shared" si="47"/>
        <v>0.45161290322580644</v>
      </c>
      <c r="L261">
        <f t="shared" si="48"/>
        <v>212</v>
      </c>
      <c r="M261" s="6">
        <f t="shared" si="49"/>
        <v>26.497367325702388</v>
      </c>
      <c r="N261" s="13">
        <f t="shared" si="44"/>
        <v>27.164114913668598</v>
      </c>
      <c r="O261" s="6">
        <f t="shared" ref="O261:O324" si="52">O260+M261</f>
        <v>3049.6407543865935</v>
      </c>
      <c r="P261" s="6">
        <f t="shared" ref="P261:P324" si="53">P260+N261</f>
        <v>3046.8079509066492</v>
      </c>
      <c r="Q261" s="6">
        <f t="shared" si="50"/>
        <v>27.164114913668598</v>
      </c>
      <c r="T261" s="6">
        <f t="shared" si="43"/>
        <v>27.164114913668598</v>
      </c>
    </row>
    <row r="262" spans="2:20">
      <c r="B262">
        <f t="shared" si="51"/>
        <v>259</v>
      </c>
      <c r="C262">
        <f t="shared" si="45"/>
        <v>31</v>
      </c>
      <c r="D262">
        <v>244</v>
      </c>
      <c r="E262">
        <v>275</v>
      </c>
      <c r="F262">
        <f>TxSPLINE!F$12</f>
        <v>26.132580645161287</v>
      </c>
      <c r="G262">
        <f>TxSPLINE!F$13</f>
        <v>26.940322580645155</v>
      </c>
      <c r="H262" s="5">
        <f>TxSPLINE!K$12</f>
        <v>3.7781607007966581E-3</v>
      </c>
      <c r="I262" s="5">
        <f>TxSPLINE!K$13</f>
        <v>-1.5609407955893223E-2</v>
      </c>
      <c r="J262">
        <f t="shared" si="46"/>
        <v>0.5161290322580645</v>
      </c>
      <c r="K262">
        <f t="shared" si="47"/>
        <v>0.4838709677419355</v>
      </c>
      <c r="L262">
        <f t="shared" si="48"/>
        <v>213</v>
      </c>
      <c r="M262" s="6">
        <f t="shared" si="49"/>
        <v>26.523423517169611</v>
      </c>
      <c r="N262" s="13">
        <f t="shared" si="44"/>
        <v>27.220790243664638</v>
      </c>
      <c r="O262" s="6">
        <f t="shared" si="52"/>
        <v>3076.1641779037632</v>
      </c>
      <c r="P262" s="6">
        <f t="shared" si="53"/>
        <v>3074.0287411503141</v>
      </c>
      <c r="Q262" s="6">
        <f t="shared" si="50"/>
        <v>27.220790243664638</v>
      </c>
      <c r="T262" s="6">
        <f t="shared" si="43"/>
        <v>27.220790243664638</v>
      </c>
    </row>
    <row r="263" spans="2:20">
      <c r="B263">
        <f t="shared" si="51"/>
        <v>260</v>
      </c>
      <c r="C263">
        <f t="shared" si="45"/>
        <v>31</v>
      </c>
      <c r="D263">
        <v>244</v>
      </c>
      <c r="E263">
        <v>275</v>
      </c>
      <c r="F263">
        <f>TxSPLINE!F$12</f>
        <v>26.132580645161287</v>
      </c>
      <c r="G263">
        <f>TxSPLINE!F$13</f>
        <v>26.940322580645155</v>
      </c>
      <c r="H263" s="5">
        <f>TxSPLINE!K$12</f>
        <v>3.7781607007966581E-3</v>
      </c>
      <c r="I263" s="5">
        <f>TxSPLINE!K$13</f>
        <v>-1.5609407955893223E-2</v>
      </c>
      <c r="J263">
        <f t="shared" si="46"/>
        <v>0.4838709677419355</v>
      </c>
      <c r="K263">
        <f t="shared" si="47"/>
        <v>0.5161290322580645</v>
      </c>
      <c r="L263">
        <f t="shared" si="48"/>
        <v>214</v>
      </c>
      <c r="M263" s="6">
        <f t="shared" si="49"/>
        <v>26.549479708636831</v>
      </c>
      <c r="N263" s="13">
        <f t="shared" si="44"/>
        <v>27.271862652753391</v>
      </c>
      <c r="O263" s="6">
        <f t="shared" si="52"/>
        <v>3102.7136576123999</v>
      </c>
      <c r="P263" s="6">
        <f t="shared" si="53"/>
        <v>3101.3006038030676</v>
      </c>
      <c r="Q263" s="6">
        <f t="shared" si="50"/>
        <v>27.271862652753391</v>
      </c>
      <c r="T263" s="6">
        <f t="shared" si="43"/>
        <v>27.271862652753391</v>
      </c>
    </row>
    <row r="264" spans="2:20">
      <c r="B264">
        <f t="shared" si="51"/>
        <v>261</v>
      </c>
      <c r="C264">
        <f t="shared" si="45"/>
        <v>31</v>
      </c>
      <c r="D264">
        <v>244</v>
      </c>
      <c r="E264">
        <v>275</v>
      </c>
      <c r="F264">
        <f>TxSPLINE!F$12</f>
        <v>26.132580645161287</v>
      </c>
      <c r="G264">
        <f>TxSPLINE!F$13</f>
        <v>26.940322580645155</v>
      </c>
      <c r="H264" s="5">
        <f>TxSPLINE!K$12</f>
        <v>3.7781607007966581E-3</v>
      </c>
      <c r="I264" s="5">
        <f>TxSPLINE!K$13</f>
        <v>-1.5609407955893223E-2</v>
      </c>
      <c r="J264">
        <f t="shared" si="46"/>
        <v>0.45161290322580644</v>
      </c>
      <c r="K264">
        <f t="shared" si="47"/>
        <v>0.54838709677419351</v>
      </c>
      <c r="L264">
        <f t="shared" si="48"/>
        <v>215</v>
      </c>
      <c r="M264" s="6">
        <f t="shared" si="49"/>
        <v>26.57553590010405</v>
      </c>
      <c r="N264" s="13">
        <f t="shared" si="44"/>
        <v>27.316706735494328</v>
      </c>
      <c r="O264" s="6">
        <f t="shared" si="52"/>
        <v>3129.289193512504</v>
      </c>
      <c r="P264" s="6">
        <f t="shared" si="53"/>
        <v>3128.6173105385619</v>
      </c>
      <c r="Q264" s="6">
        <f t="shared" si="50"/>
        <v>27.316706735494328</v>
      </c>
      <c r="T264" s="6">
        <f t="shared" si="43"/>
        <v>27.316706735494328</v>
      </c>
    </row>
    <row r="265" spans="2:20">
      <c r="B265">
        <f t="shared" si="51"/>
        <v>262</v>
      </c>
      <c r="C265">
        <f t="shared" si="45"/>
        <v>31</v>
      </c>
      <c r="D265">
        <v>244</v>
      </c>
      <c r="E265">
        <v>275</v>
      </c>
      <c r="F265">
        <f>TxSPLINE!F$12</f>
        <v>26.132580645161287</v>
      </c>
      <c r="G265">
        <f>TxSPLINE!F$13</f>
        <v>26.940322580645155</v>
      </c>
      <c r="H265" s="5">
        <f>TxSPLINE!K$12</f>
        <v>3.7781607007966581E-3</v>
      </c>
      <c r="I265" s="5">
        <f>TxSPLINE!K$13</f>
        <v>-1.5609407955893223E-2</v>
      </c>
      <c r="J265">
        <f t="shared" si="46"/>
        <v>0.41935483870967744</v>
      </c>
      <c r="K265">
        <f t="shared" si="47"/>
        <v>0.58064516129032262</v>
      </c>
      <c r="L265">
        <f t="shared" si="48"/>
        <v>216</v>
      </c>
      <c r="M265" s="6">
        <f t="shared" si="49"/>
        <v>26.601592091571277</v>
      </c>
      <c r="N265" s="13">
        <f t="shared" si="44"/>
        <v>27.354697086446919</v>
      </c>
      <c r="O265" s="6">
        <f t="shared" si="52"/>
        <v>3155.8907856040751</v>
      </c>
      <c r="P265" s="6">
        <f t="shared" si="53"/>
        <v>3155.9720076250087</v>
      </c>
      <c r="Q265" s="6">
        <f t="shared" si="50"/>
        <v>27.354697086446919</v>
      </c>
      <c r="T265" s="6">
        <f t="shared" si="43"/>
        <v>27.354697086446919</v>
      </c>
    </row>
    <row r="266" spans="2:20">
      <c r="B266">
        <f t="shared" si="51"/>
        <v>263</v>
      </c>
      <c r="C266">
        <f t="shared" si="45"/>
        <v>31</v>
      </c>
      <c r="D266">
        <v>244</v>
      </c>
      <c r="E266">
        <v>275</v>
      </c>
      <c r="F266">
        <f>TxSPLINE!F$12</f>
        <v>26.132580645161287</v>
      </c>
      <c r="G266">
        <f>TxSPLINE!F$13</f>
        <v>26.940322580645155</v>
      </c>
      <c r="H266" s="5">
        <f>TxSPLINE!K$12</f>
        <v>3.7781607007966581E-3</v>
      </c>
      <c r="I266" s="5">
        <f>TxSPLINE!K$13</f>
        <v>-1.5609407955893223E-2</v>
      </c>
      <c r="J266">
        <f t="shared" si="46"/>
        <v>0.38709677419354838</v>
      </c>
      <c r="K266">
        <f t="shared" si="47"/>
        <v>0.61290322580645162</v>
      </c>
      <c r="L266">
        <f t="shared" si="48"/>
        <v>217</v>
      </c>
      <c r="M266" s="6">
        <f t="shared" si="49"/>
        <v>26.627648283038496</v>
      </c>
      <c r="N266" s="13">
        <f t="shared" si="44"/>
        <v>27.385208300170607</v>
      </c>
      <c r="O266" s="6">
        <f t="shared" si="52"/>
        <v>3182.5184338871136</v>
      </c>
      <c r="P266" s="6">
        <f t="shared" si="53"/>
        <v>3183.3572159251794</v>
      </c>
      <c r="Q266" s="6">
        <f t="shared" si="50"/>
        <v>27.385208300170607</v>
      </c>
      <c r="T266" s="6">
        <f t="shared" si="43"/>
        <v>27.385208300170607</v>
      </c>
    </row>
    <row r="267" spans="2:20">
      <c r="B267">
        <f t="shared" si="51"/>
        <v>264</v>
      </c>
      <c r="C267">
        <f t="shared" si="45"/>
        <v>31</v>
      </c>
      <c r="D267">
        <v>244</v>
      </c>
      <c r="E267">
        <v>275</v>
      </c>
      <c r="F267">
        <f>TxSPLINE!F$12</f>
        <v>26.132580645161287</v>
      </c>
      <c r="G267">
        <f>TxSPLINE!F$13</f>
        <v>26.940322580645155</v>
      </c>
      <c r="H267" s="5">
        <f>TxSPLINE!K$12</f>
        <v>3.7781607007966581E-3</v>
      </c>
      <c r="I267" s="5">
        <f>TxSPLINE!K$13</f>
        <v>-1.5609407955893223E-2</v>
      </c>
      <c r="J267">
        <f t="shared" si="46"/>
        <v>0.35483870967741937</v>
      </c>
      <c r="K267">
        <f t="shared" si="47"/>
        <v>0.64516129032258063</v>
      </c>
      <c r="L267">
        <f t="shared" si="48"/>
        <v>218</v>
      </c>
      <c r="M267" s="6">
        <f t="shared" si="49"/>
        <v>26.653704474505716</v>
      </c>
      <c r="N267" s="13">
        <f t="shared" si="44"/>
        <v>27.407614971224859</v>
      </c>
      <c r="O267" s="6">
        <f t="shared" si="52"/>
        <v>3209.1721383616191</v>
      </c>
      <c r="P267" s="6">
        <f t="shared" si="53"/>
        <v>3210.7648308964044</v>
      </c>
      <c r="Q267" s="6">
        <f t="shared" si="50"/>
        <v>27.407614971224859</v>
      </c>
      <c r="T267" s="6">
        <f t="shared" si="43"/>
        <v>27.407614971224859</v>
      </c>
    </row>
    <row r="268" spans="2:20">
      <c r="B268">
        <f t="shared" si="51"/>
        <v>265</v>
      </c>
      <c r="C268">
        <f t="shared" si="45"/>
        <v>31</v>
      </c>
      <c r="D268">
        <v>244</v>
      </c>
      <c r="E268">
        <v>275</v>
      </c>
      <c r="F268">
        <f>TxSPLINE!F$12</f>
        <v>26.132580645161287</v>
      </c>
      <c r="G268">
        <f>TxSPLINE!F$13</f>
        <v>26.940322580645155</v>
      </c>
      <c r="H268" s="5">
        <f>TxSPLINE!K$12</f>
        <v>3.7781607007966581E-3</v>
      </c>
      <c r="I268" s="5">
        <f>TxSPLINE!K$13</f>
        <v>-1.5609407955893223E-2</v>
      </c>
      <c r="J268">
        <f t="shared" si="46"/>
        <v>0.32258064516129031</v>
      </c>
      <c r="K268">
        <f t="shared" si="47"/>
        <v>0.67741935483870963</v>
      </c>
      <c r="L268">
        <f t="shared" si="48"/>
        <v>219</v>
      </c>
      <c r="M268" s="6">
        <f t="shared" si="49"/>
        <v>26.679760665972939</v>
      </c>
      <c r="N268" s="13">
        <f t="shared" si="44"/>
        <v>27.421291694169149</v>
      </c>
      <c r="O268" s="6">
        <f t="shared" si="52"/>
        <v>3235.851899027592</v>
      </c>
      <c r="P268" s="6">
        <f t="shared" si="53"/>
        <v>3238.1861225905736</v>
      </c>
      <c r="Q268" s="6">
        <f t="shared" si="50"/>
        <v>27.421291694169149</v>
      </c>
      <c r="T268" s="6">
        <f t="shared" si="43"/>
        <v>27.421291694169149</v>
      </c>
    </row>
    <row r="269" spans="2:20">
      <c r="B269">
        <f t="shared" si="51"/>
        <v>266</v>
      </c>
      <c r="C269">
        <f t="shared" si="45"/>
        <v>31</v>
      </c>
      <c r="D269">
        <v>244</v>
      </c>
      <c r="E269">
        <v>275</v>
      </c>
      <c r="F269">
        <f>TxSPLINE!F$12</f>
        <v>26.132580645161287</v>
      </c>
      <c r="G269">
        <f>TxSPLINE!F$13</f>
        <v>26.940322580645155</v>
      </c>
      <c r="H269" s="5">
        <f>TxSPLINE!K$12</f>
        <v>3.7781607007966581E-3</v>
      </c>
      <c r="I269" s="5">
        <f>TxSPLINE!K$13</f>
        <v>-1.5609407955893223E-2</v>
      </c>
      <c r="J269">
        <f t="shared" si="46"/>
        <v>0.29032258064516131</v>
      </c>
      <c r="K269">
        <f t="shared" si="47"/>
        <v>0.70967741935483875</v>
      </c>
      <c r="L269">
        <f t="shared" si="48"/>
        <v>220</v>
      </c>
      <c r="M269" s="6">
        <f t="shared" si="49"/>
        <v>26.705816857440162</v>
      </c>
      <c r="N269" s="13">
        <f t="shared" si="44"/>
        <v>27.425613063562924</v>
      </c>
      <c r="O269" s="6">
        <f t="shared" si="52"/>
        <v>3262.5577158850324</v>
      </c>
      <c r="P269" s="6">
        <f t="shared" si="53"/>
        <v>3265.6117356541367</v>
      </c>
      <c r="Q269" s="6">
        <f t="shared" si="50"/>
        <v>27.425613063562924</v>
      </c>
      <c r="T269" s="6">
        <f t="shared" si="43"/>
        <v>27.425613063562924</v>
      </c>
    </row>
    <row r="270" spans="2:20">
      <c r="B270">
        <f t="shared" si="51"/>
        <v>267</v>
      </c>
      <c r="C270">
        <f t="shared" si="45"/>
        <v>31</v>
      </c>
      <c r="D270">
        <v>244</v>
      </c>
      <c r="E270">
        <v>275</v>
      </c>
      <c r="F270">
        <f>TxSPLINE!F$12</f>
        <v>26.132580645161287</v>
      </c>
      <c r="G270">
        <f>TxSPLINE!F$13</f>
        <v>26.940322580645155</v>
      </c>
      <c r="H270" s="5">
        <f>TxSPLINE!K$12</f>
        <v>3.7781607007966581E-3</v>
      </c>
      <c r="I270" s="5">
        <f>TxSPLINE!K$13</f>
        <v>-1.5609407955893223E-2</v>
      </c>
      <c r="J270">
        <f t="shared" si="46"/>
        <v>0.25806451612903225</v>
      </c>
      <c r="K270">
        <f t="shared" si="47"/>
        <v>0.74193548387096775</v>
      </c>
      <c r="L270">
        <f t="shared" si="48"/>
        <v>221</v>
      </c>
      <c r="M270" s="6">
        <f t="shared" si="49"/>
        <v>26.731873048907381</v>
      </c>
      <c r="N270" s="13">
        <f t="shared" si="44"/>
        <v>27.419953673965651</v>
      </c>
      <c r="O270" s="6">
        <f t="shared" si="52"/>
        <v>3289.2895889339397</v>
      </c>
      <c r="P270" s="6">
        <f t="shared" si="53"/>
        <v>3293.0316893281024</v>
      </c>
      <c r="Q270" s="6">
        <f t="shared" si="50"/>
        <v>27.419953673965651</v>
      </c>
      <c r="T270" s="6">
        <f t="shared" si="43"/>
        <v>27.419953673965651</v>
      </c>
    </row>
    <row r="271" spans="2:20">
      <c r="B271">
        <f t="shared" si="51"/>
        <v>268</v>
      </c>
      <c r="C271">
        <f t="shared" si="45"/>
        <v>31</v>
      </c>
      <c r="D271">
        <v>244</v>
      </c>
      <c r="E271">
        <v>275</v>
      </c>
      <c r="F271">
        <f>TxSPLINE!F$12</f>
        <v>26.132580645161287</v>
      </c>
      <c r="G271">
        <f>TxSPLINE!F$13</f>
        <v>26.940322580645155</v>
      </c>
      <c r="H271" s="5">
        <f>TxSPLINE!K$12</f>
        <v>3.7781607007966581E-3</v>
      </c>
      <c r="I271" s="5">
        <f>TxSPLINE!K$13</f>
        <v>-1.5609407955893223E-2</v>
      </c>
      <c r="J271">
        <f t="shared" si="46"/>
        <v>0.22580645161290322</v>
      </c>
      <c r="K271">
        <f t="shared" si="47"/>
        <v>0.77419354838709675</v>
      </c>
      <c r="L271">
        <f t="shared" si="48"/>
        <v>222</v>
      </c>
      <c r="M271" s="6">
        <f t="shared" si="49"/>
        <v>26.757929240374605</v>
      </c>
      <c r="N271" s="13">
        <f t="shared" si="44"/>
        <v>27.403688119936795</v>
      </c>
      <c r="O271" s="6">
        <f t="shared" si="52"/>
        <v>3316.0475181743145</v>
      </c>
      <c r="P271" s="6">
        <f t="shared" si="53"/>
        <v>3320.4353774480392</v>
      </c>
      <c r="Q271" s="6">
        <f t="shared" si="50"/>
        <v>27.403688119936795</v>
      </c>
      <c r="T271" s="6">
        <f t="shared" si="43"/>
        <v>27.403688119936795</v>
      </c>
    </row>
    <row r="272" spans="2:20">
      <c r="B272">
        <f t="shared" si="51"/>
        <v>269</v>
      </c>
      <c r="C272">
        <f t="shared" si="45"/>
        <v>31</v>
      </c>
      <c r="D272">
        <v>244</v>
      </c>
      <c r="E272">
        <v>275</v>
      </c>
      <c r="F272">
        <f>TxSPLINE!F$12</f>
        <v>26.132580645161287</v>
      </c>
      <c r="G272">
        <f>TxSPLINE!F$13</f>
        <v>26.940322580645155</v>
      </c>
      <c r="H272" s="5">
        <f>TxSPLINE!K$12</f>
        <v>3.7781607007966581E-3</v>
      </c>
      <c r="I272" s="5">
        <f>TxSPLINE!K$13</f>
        <v>-1.5609407955893223E-2</v>
      </c>
      <c r="J272">
        <f t="shared" si="46"/>
        <v>0.19354838709677419</v>
      </c>
      <c r="K272">
        <f t="shared" si="47"/>
        <v>0.80645161290322576</v>
      </c>
      <c r="L272">
        <f t="shared" si="48"/>
        <v>223</v>
      </c>
      <c r="M272" s="6">
        <f t="shared" si="49"/>
        <v>26.783985431841828</v>
      </c>
      <c r="N272" s="13">
        <f t="shared" si="44"/>
        <v>27.376190996035817</v>
      </c>
      <c r="O272" s="6">
        <f t="shared" si="52"/>
        <v>3342.8315036061563</v>
      </c>
      <c r="P272" s="6">
        <f t="shared" si="53"/>
        <v>3347.811568444075</v>
      </c>
      <c r="Q272" s="6">
        <f t="shared" si="50"/>
        <v>27.376190996035817</v>
      </c>
      <c r="T272" s="6">
        <f t="shared" si="43"/>
        <v>27.376190996035817</v>
      </c>
    </row>
    <row r="273" spans="1:20">
      <c r="B273">
        <f t="shared" si="51"/>
        <v>270</v>
      </c>
      <c r="C273">
        <f t="shared" si="45"/>
        <v>31</v>
      </c>
      <c r="D273">
        <v>244</v>
      </c>
      <c r="E273">
        <v>275</v>
      </c>
      <c r="F273">
        <f>TxSPLINE!F$12</f>
        <v>26.132580645161287</v>
      </c>
      <c r="G273">
        <f>TxSPLINE!F$13</f>
        <v>26.940322580645155</v>
      </c>
      <c r="H273" s="5">
        <f>TxSPLINE!K$12</f>
        <v>3.7781607007966581E-3</v>
      </c>
      <c r="I273" s="5">
        <f>TxSPLINE!K$13</f>
        <v>-1.5609407955893223E-2</v>
      </c>
      <c r="J273">
        <f t="shared" si="46"/>
        <v>0.16129032258064516</v>
      </c>
      <c r="K273">
        <f t="shared" si="47"/>
        <v>0.83870967741935487</v>
      </c>
      <c r="L273">
        <f t="shared" si="48"/>
        <v>224</v>
      </c>
      <c r="M273" s="6">
        <f t="shared" si="49"/>
        <v>26.810041623309047</v>
      </c>
      <c r="N273" s="13">
        <f t="shared" si="44"/>
        <v>27.336836896822167</v>
      </c>
      <c r="O273" s="6">
        <f t="shared" si="52"/>
        <v>3369.6415452294655</v>
      </c>
      <c r="P273" s="6">
        <f t="shared" si="53"/>
        <v>3375.1484053408972</v>
      </c>
      <c r="Q273" s="6">
        <f t="shared" si="50"/>
        <v>27.336836896822167</v>
      </c>
      <c r="T273" s="6">
        <f t="shared" si="43"/>
        <v>27.336836896822167</v>
      </c>
    </row>
    <row r="274" spans="1:20">
      <c r="B274">
        <f t="shared" si="51"/>
        <v>271</v>
      </c>
      <c r="C274">
        <f t="shared" si="45"/>
        <v>31</v>
      </c>
      <c r="D274">
        <v>244</v>
      </c>
      <c r="E274">
        <v>275</v>
      </c>
      <c r="F274">
        <f>TxSPLINE!F$12</f>
        <v>26.132580645161287</v>
      </c>
      <c r="G274">
        <f>TxSPLINE!F$13</f>
        <v>26.940322580645155</v>
      </c>
      <c r="H274" s="5">
        <f>TxSPLINE!K$12</f>
        <v>3.7781607007966581E-3</v>
      </c>
      <c r="I274" s="5">
        <f>TxSPLINE!K$13</f>
        <v>-1.5609407955893223E-2</v>
      </c>
      <c r="J274">
        <f t="shared" si="46"/>
        <v>0.12903225806451613</v>
      </c>
      <c r="K274">
        <f t="shared" si="47"/>
        <v>0.87096774193548387</v>
      </c>
      <c r="L274">
        <f t="shared" si="48"/>
        <v>225</v>
      </c>
      <c r="M274" s="6">
        <f t="shared" si="49"/>
        <v>26.83609781477627</v>
      </c>
      <c r="N274" s="13">
        <f t="shared" si="44"/>
        <v>27.285000416855322</v>
      </c>
      <c r="O274" s="6">
        <f t="shared" si="52"/>
        <v>3396.4776430442416</v>
      </c>
      <c r="P274" s="6">
        <f t="shared" si="53"/>
        <v>3402.4334057577526</v>
      </c>
      <c r="Q274" s="6">
        <f t="shared" si="50"/>
        <v>27.285000416855322</v>
      </c>
      <c r="T274" s="6">
        <f t="shared" si="43"/>
        <v>27.285000416855322</v>
      </c>
    </row>
    <row r="275" spans="1:20">
      <c r="B275">
        <f t="shared" si="51"/>
        <v>272</v>
      </c>
      <c r="C275">
        <f t="shared" si="45"/>
        <v>31</v>
      </c>
      <c r="D275">
        <v>244</v>
      </c>
      <c r="E275">
        <v>275</v>
      </c>
      <c r="F275">
        <f>TxSPLINE!F$12</f>
        <v>26.132580645161287</v>
      </c>
      <c r="G275">
        <f>TxSPLINE!F$13</f>
        <v>26.940322580645155</v>
      </c>
      <c r="H275" s="5">
        <f>TxSPLINE!K$12</f>
        <v>3.7781607007966581E-3</v>
      </c>
      <c r="I275" s="5">
        <f>TxSPLINE!K$13</f>
        <v>-1.5609407955893223E-2</v>
      </c>
      <c r="J275">
        <f t="shared" si="46"/>
        <v>9.6774193548387094E-2</v>
      </c>
      <c r="K275">
        <f t="shared" si="47"/>
        <v>0.90322580645161288</v>
      </c>
      <c r="L275">
        <f t="shared" si="48"/>
        <v>226</v>
      </c>
      <c r="M275" s="6">
        <f t="shared" si="49"/>
        <v>26.86215400624349</v>
      </c>
      <c r="N275" s="13">
        <f t="shared" si="44"/>
        <v>27.220056150694734</v>
      </c>
      <c r="O275" s="6">
        <f t="shared" si="52"/>
        <v>3423.3397970504852</v>
      </c>
      <c r="P275" s="6">
        <f t="shared" si="53"/>
        <v>3429.6534619084473</v>
      </c>
      <c r="Q275" s="6">
        <f t="shared" si="50"/>
        <v>27.220056150694734</v>
      </c>
      <c r="T275" s="6">
        <f t="shared" si="43"/>
        <v>27.220056150694734</v>
      </c>
    </row>
    <row r="276" spans="1:20">
      <c r="B276">
        <f t="shared" si="51"/>
        <v>273</v>
      </c>
      <c r="C276">
        <f t="shared" si="45"/>
        <v>31</v>
      </c>
      <c r="D276">
        <v>244</v>
      </c>
      <c r="E276">
        <v>275</v>
      </c>
      <c r="F276">
        <f>TxSPLINE!F$12</f>
        <v>26.132580645161287</v>
      </c>
      <c r="G276">
        <f>TxSPLINE!F$13</f>
        <v>26.940322580645155</v>
      </c>
      <c r="H276" s="5">
        <f>TxSPLINE!K$12</f>
        <v>3.7781607007966581E-3</v>
      </c>
      <c r="I276" s="5">
        <f>TxSPLINE!K$13</f>
        <v>-1.5609407955893223E-2</v>
      </c>
      <c r="J276">
        <f t="shared" si="46"/>
        <v>6.4516129032258063E-2</v>
      </c>
      <c r="K276">
        <f t="shared" si="47"/>
        <v>0.93548387096774188</v>
      </c>
      <c r="L276">
        <f t="shared" si="48"/>
        <v>227</v>
      </c>
      <c r="M276" s="6">
        <f t="shared" si="49"/>
        <v>26.888210197710713</v>
      </c>
      <c r="N276" s="13">
        <f t="shared" si="44"/>
        <v>27.141378692899874</v>
      </c>
      <c r="O276" s="6">
        <f t="shared" si="52"/>
        <v>3450.2280072481958</v>
      </c>
      <c r="P276" s="6">
        <f t="shared" si="53"/>
        <v>3456.794840601347</v>
      </c>
      <c r="Q276" s="6">
        <f t="shared" si="50"/>
        <v>27.141378692899874</v>
      </c>
      <c r="T276" s="6">
        <f t="shared" si="43"/>
        <v>27.141378692899874</v>
      </c>
    </row>
    <row r="277" spans="1:20">
      <c r="B277">
        <f t="shared" si="51"/>
        <v>274</v>
      </c>
      <c r="C277">
        <f t="shared" si="45"/>
        <v>31</v>
      </c>
      <c r="D277">
        <v>244</v>
      </c>
      <c r="E277">
        <v>275</v>
      </c>
      <c r="F277">
        <f>TxSPLINE!F$12</f>
        <v>26.132580645161287</v>
      </c>
      <c r="G277">
        <f>TxSPLINE!F$13</f>
        <v>26.940322580645155</v>
      </c>
      <c r="H277" s="5">
        <f>TxSPLINE!K$12</f>
        <v>3.7781607007966581E-3</v>
      </c>
      <c r="I277" s="5">
        <f>TxSPLINE!K$13</f>
        <v>-1.5609407955893223E-2</v>
      </c>
      <c r="J277">
        <f t="shared" si="46"/>
        <v>3.2258064516129031E-2</v>
      </c>
      <c r="K277">
        <f t="shared" si="47"/>
        <v>0.967741935483871</v>
      </c>
      <c r="L277">
        <f t="shared" si="48"/>
        <v>228</v>
      </c>
      <c r="M277" s="6">
        <f t="shared" si="49"/>
        <v>26.914266389177932</v>
      </c>
      <c r="N277" s="13">
        <f t="shared" si="44"/>
        <v>27.048342638030189</v>
      </c>
      <c r="O277" s="6">
        <f t="shared" si="52"/>
        <v>3477.1422736373738</v>
      </c>
      <c r="P277" s="6">
        <f t="shared" si="53"/>
        <v>3483.8431832393771</v>
      </c>
      <c r="Q277" s="6">
        <f t="shared" si="50"/>
        <v>27.048342638030189</v>
      </c>
      <c r="T277" s="6">
        <f t="shared" si="43"/>
        <v>27.048342638030189</v>
      </c>
    </row>
    <row r="278" spans="1:20">
      <c r="A278">
        <v>275</v>
      </c>
      <c r="B278">
        <f t="shared" si="51"/>
        <v>275</v>
      </c>
      <c r="C278">
        <f t="shared" si="45"/>
        <v>31</v>
      </c>
      <c r="D278">
        <v>244</v>
      </c>
      <c r="E278">
        <v>275</v>
      </c>
      <c r="F278">
        <f>TxSPLINE!F$12</f>
        <v>26.132580645161287</v>
      </c>
      <c r="G278">
        <f>TxSPLINE!F$13</f>
        <v>26.940322580645155</v>
      </c>
      <c r="H278" s="5">
        <f>TxSPLINE!K$12</f>
        <v>3.7781607007966581E-3</v>
      </c>
      <c r="I278" s="5">
        <f>TxSPLINE!K$13</f>
        <v>-1.5609407955893223E-2</v>
      </c>
      <c r="J278">
        <f t="shared" si="46"/>
        <v>0</v>
      </c>
      <c r="K278">
        <f t="shared" si="47"/>
        <v>1</v>
      </c>
      <c r="L278">
        <f t="shared" si="48"/>
        <v>229</v>
      </c>
      <c r="M278" s="6">
        <f t="shared" si="49"/>
        <v>26.940322580645155</v>
      </c>
      <c r="N278" s="13">
        <f t="shared" si="44"/>
        <v>26.940322580645155</v>
      </c>
      <c r="O278" s="6">
        <f t="shared" si="52"/>
        <v>3504.0825962180188</v>
      </c>
      <c r="P278" s="6">
        <f t="shared" si="53"/>
        <v>3510.7835058200221</v>
      </c>
      <c r="Q278" s="6">
        <f t="shared" si="50"/>
        <v>26.940322580645155</v>
      </c>
      <c r="T278" s="6">
        <f t="shared" si="43"/>
        <v>26.940322580645155</v>
      </c>
    </row>
    <row r="279" spans="1:20">
      <c r="B279">
        <f t="shared" si="51"/>
        <v>276</v>
      </c>
      <c r="C279">
        <f t="shared" si="45"/>
        <v>30</v>
      </c>
      <c r="D279">
        <v>275</v>
      </c>
      <c r="E279">
        <v>305</v>
      </c>
      <c r="F279">
        <f>TxSPLINE!F$13</f>
        <v>26.940322580645155</v>
      </c>
      <c r="G279">
        <f>TxSPLINE!F$14</f>
        <v>19.839333333333332</v>
      </c>
      <c r="H279" s="5">
        <f>TxSPLINE!K$13</f>
        <v>-1.5609407955893223E-2</v>
      </c>
      <c r="I279" s="5">
        <f>TxSPLINE!K$14</f>
        <v>7.0229930209527672E-3</v>
      </c>
      <c r="J279">
        <f t="shared" si="46"/>
        <v>0.96666666666666667</v>
      </c>
      <c r="K279">
        <f t="shared" si="47"/>
        <v>3.3333333333333333E-2</v>
      </c>
      <c r="L279">
        <f t="shared" si="48"/>
        <v>230</v>
      </c>
      <c r="M279" s="6">
        <f t="shared" si="49"/>
        <v>26.703622939068094</v>
      </c>
      <c r="N279" s="13">
        <f t="shared" si="44"/>
        <v>26.816923085105298</v>
      </c>
      <c r="O279" s="6">
        <f t="shared" si="52"/>
        <v>3530.7862191570871</v>
      </c>
      <c r="P279" s="6">
        <f t="shared" si="53"/>
        <v>3537.6004289051275</v>
      </c>
      <c r="Q279" s="6">
        <f t="shared" si="50"/>
        <v>26.816923085105298</v>
      </c>
      <c r="T279" s="6">
        <f t="shared" si="43"/>
        <v>26.816923085105298</v>
      </c>
    </row>
    <row r="280" spans="1:20">
      <c r="B280">
        <f t="shared" si="51"/>
        <v>277</v>
      </c>
      <c r="C280">
        <f t="shared" si="45"/>
        <v>30</v>
      </c>
      <c r="D280">
        <v>275</v>
      </c>
      <c r="E280">
        <v>305</v>
      </c>
      <c r="F280">
        <f>TxSPLINE!F$13</f>
        <v>26.940322580645155</v>
      </c>
      <c r="G280">
        <f>TxSPLINE!F$14</f>
        <v>19.839333333333332</v>
      </c>
      <c r="H280" s="5">
        <f>TxSPLINE!K$13</f>
        <v>-1.5609407955893223E-2</v>
      </c>
      <c r="I280" s="5">
        <f>TxSPLINE!K$14</f>
        <v>7.0229930209527672E-3</v>
      </c>
      <c r="J280">
        <f t="shared" si="46"/>
        <v>0.93333333333333335</v>
      </c>
      <c r="K280">
        <f t="shared" si="47"/>
        <v>6.6666666666666666E-2</v>
      </c>
      <c r="L280">
        <f t="shared" si="48"/>
        <v>231</v>
      </c>
      <c r="M280" s="6">
        <f t="shared" si="49"/>
        <v>26.466923297491032</v>
      </c>
      <c r="N280" s="13">
        <f t="shared" si="44"/>
        <v>26.678668594975441</v>
      </c>
      <c r="O280" s="6">
        <f t="shared" si="52"/>
        <v>3557.2531424545782</v>
      </c>
      <c r="P280" s="6">
        <f t="shared" si="53"/>
        <v>3564.279097500103</v>
      </c>
      <c r="Q280" s="6">
        <f t="shared" si="50"/>
        <v>26.678668594975441</v>
      </c>
      <c r="T280" s="6">
        <f t="shared" si="43"/>
        <v>26.678668594975441</v>
      </c>
    </row>
    <row r="281" spans="1:20">
      <c r="B281">
        <f t="shared" si="51"/>
        <v>278</v>
      </c>
      <c r="C281">
        <f t="shared" si="45"/>
        <v>30</v>
      </c>
      <c r="D281">
        <v>275</v>
      </c>
      <c r="E281">
        <v>305</v>
      </c>
      <c r="F281">
        <f>TxSPLINE!F$13</f>
        <v>26.940322580645155</v>
      </c>
      <c r="G281">
        <f>TxSPLINE!F$14</f>
        <v>19.839333333333332</v>
      </c>
      <c r="H281" s="5">
        <f>TxSPLINE!K$13</f>
        <v>-1.5609407955893223E-2</v>
      </c>
      <c r="I281" s="5">
        <f>TxSPLINE!K$14</f>
        <v>7.0229930209527672E-3</v>
      </c>
      <c r="J281">
        <f t="shared" si="46"/>
        <v>0.9</v>
      </c>
      <c r="K281">
        <f t="shared" si="47"/>
        <v>0.1</v>
      </c>
      <c r="L281">
        <f t="shared" si="48"/>
        <v>232</v>
      </c>
      <c r="M281" s="6">
        <f t="shared" si="49"/>
        <v>26.230223655913974</v>
      </c>
      <c r="N281" s="13">
        <f t="shared" si="44"/>
        <v>26.526313523621486</v>
      </c>
      <c r="O281" s="6">
        <f t="shared" si="52"/>
        <v>3583.4833661104922</v>
      </c>
      <c r="P281" s="6">
        <f t="shared" si="53"/>
        <v>3590.8054110237244</v>
      </c>
      <c r="Q281" s="6">
        <f t="shared" si="50"/>
        <v>26.526313523621486</v>
      </c>
      <c r="T281" s="6">
        <f t="shared" si="43"/>
        <v>26.526313523621486</v>
      </c>
    </row>
    <row r="282" spans="1:20">
      <c r="B282">
        <f t="shared" si="51"/>
        <v>279</v>
      </c>
      <c r="C282">
        <f t="shared" si="45"/>
        <v>30</v>
      </c>
      <c r="D282">
        <v>275</v>
      </c>
      <c r="E282">
        <v>305</v>
      </c>
      <c r="F282">
        <f>TxSPLINE!F$13</f>
        <v>26.940322580645155</v>
      </c>
      <c r="G282">
        <f>TxSPLINE!F$14</f>
        <v>19.839333333333332</v>
      </c>
      <c r="H282" s="5">
        <f>TxSPLINE!K$13</f>
        <v>-1.5609407955893223E-2</v>
      </c>
      <c r="I282" s="5">
        <f>TxSPLINE!K$14</f>
        <v>7.0229930209527672E-3</v>
      </c>
      <c r="J282">
        <f t="shared" si="46"/>
        <v>0.8666666666666667</v>
      </c>
      <c r="K282">
        <f t="shared" si="47"/>
        <v>0.13333333333333333</v>
      </c>
      <c r="L282">
        <f t="shared" si="48"/>
        <v>233</v>
      </c>
      <c r="M282" s="6">
        <f t="shared" si="49"/>
        <v>25.993524014336913</v>
      </c>
      <c r="N282" s="13">
        <f t="shared" si="44"/>
        <v>26.360612284409321</v>
      </c>
      <c r="O282" s="6">
        <f t="shared" si="52"/>
        <v>3609.476890124829</v>
      </c>
      <c r="P282" s="6">
        <f t="shared" si="53"/>
        <v>3617.1660233081338</v>
      </c>
      <c r="Q282" s="6">
        <f t="shared" si="50"/>
        <v>26.360612284409321</v>
      </c>
      <c r="T282" s="6">
        <f t="shared" si="43"/>
        <v>26.360612284409321</v>
      </c>
    </row>
    <row r="283" spans="1:20">
      <c r="B283">
        <f t="shared" si="51"/>
        <v>280</v>
      </c>
      <c r="C283">
        <f t="shared" si="45"/>
        <v>30</v>
      </c>
      <c r="D283">
        <v>275</v>
      </c>
      <c r="E283">
        <v>305</v>
      </c>
      <c r="F283">
        <f>TxSPLINE!F$13</f>
        <v>26.940322580645155</v>
      </c>
      <c r="G283">
        <f>TxSPLINE!F$14</f>
        <v>19.839333333333332</v>
      </c>
      <c r="H283" s="5">
        <f>TxSPLINE!K$13</f>
        <v>-1.5609407955893223E-2</v>
      </c>
      <c r="I283" s="5">
        <f>TxSPLINE!K$14</f>
        <v>7.0229930209527672E-3</v>
      </c>
      <c r="J283">
        <f t="shared" si="46"/>
        <v>0.83333333333333337</v>
      </c>
      <c r="K283">
        <f t="shared" si="47"/>
        <v>0.16666666666666666</v>
      </c>
      <c r="L283">
        <f t="shared" si="48"/>
        <v>234</v>
      </c>
      <c r="M283" s="6">
        <f t="shared" si="49"/>
        <v>25.756824372759851</v>
      </c>
      <c r="N283" s="13">
        <f t="shared" si="44"/>
        <v>26.182319290704836</v>
      </c>
      <c r="O283" s="6">
        <f t="shared" si="52"/>
        <v>3635.2337144975886</v>
      </c>
      <c r="P283" s="6">
        <f t="shared" si="53"/>
        <v>3643.3483425988388</v>
      </c>
      <c r="Q283" s="6">
        <f t="shared" si="50"/>
        <v>26.182319290704836</v>
      </c>
      <c r="T283" s="6">
        <f t="shared" si="43"/>
        <v>26.182319290704836</v>
      </c>
    </row>
    <row r="284" spans="1:20">
      <c r="B284">
        <f t="shared" si="51"/>
        <v>281</v>
      </c>
      <c r="C284">
        <f t="shared" si="45"/>
        <v>30</v>
      </c>
      <c r="D284">
        <v>275</v>
      </c>
      <c r="E284">
        <v>305</v>
      </c>
      <c r="F284">
        <f>TxSPLINE!F$13</f>
        <v>26.940322580645155</v>
      </c>
      <c r="G284">
        <f>TxSPLINE!F$14</f>
        <v>19.839333333333332</v>
      </c>
      <c r="H284" s="5">
        <f>TxSPLINE!K$13</f>
        <v>-1.5609407955893223E-2</v>
      </c>
      <c r="I284" s="5">
        <f>TxSPLINE!K$14</f>
        <v>7.0229930209527672E-3</v>
      </c>
      <c r="J284">
        <f t="shared" si="46"/>
        <v>0.8</v>
      </c>
      <c r="K284">
        <f t="shared" si="47"/>
        <v>0.2</v>
      </c>
      <c r="L284">
        <f t="shared" si="48"/>
        <v>235</v>
      </c>
      <c r="M284" s="6">
        <f t="shared" si="49"/>
        <v>25.52012473118279</v>
      </c>
      <c r="N284" s="13">
        <f t="shared" si="44"/>
        <v>25.992188955873939</v>
      </c>
      <c r="O284" s="6">
        <f t="shared" si="52"/>
        <v>3660.7538392287715</v>
      </c>
      <c r="P284" s="6">
        <f t="shared" si="53"/>
        <v>3669.3405315547129</v>
      </c>
      <c r="Q284" s="6">
        <f t="shared" si="50"/>
        <v>25.992188955873939</v>
      </c>
      <c r="T284" s="6">
        <f t="shared" si="43"/>
        <v>25.992188955873939</v>
      </c>
    </row>
    <row r="285" spans="1:20">
      <c r="B285">
        <f t="shared" si="51"/>
        <v>282</v>
      </c>
      <c r="C285">
        <f t="shared" si="45"/>
        <v>30</v>
      </c>
      <c r="D285">
        <v>275</v>
      </c>
      <c r="E285">
        <v>305</v>
      </c>
      <c r="F285">
        <f>TxSPLINE!F$13</f>
        <v>26.940322580645155</v>
      </c>
      <c r="G285">
        <f>TxSPLINE!F$14</f>
        <v>19.839333333333332</v>
      </c>
      <c r="H285" s="5">
        <f>TxSPLINE!K$13</f>
        <v>-1.5609407955893223E-2</v>
      </c>
      <c r="I285" s="5">
        <f>TxSPLINE!K$14</f>
        <v>7.0229930209527672E-3</v>
      </c>
      <c r="J285">
        <f t="shared" si="46"/>
        <v>0.76666666666666672</v>
      </c>
      <c r="K285">
        <f t="shared" si="47"/>
        <v>0.23333333333333334</v>
      </c>
      <c r="L285">
        <f t="shared" si="48"/>
        <v>236</v>
      </c>
      <c r="M285" s="6">
        <f t="shared" si="49"/>
        <v>25.283425089605732</v>
      </c>
      <c r="N285" s="13">
        <f t="shared" si="44"/>
        <v>25.790975693282515</v>
      </c>
      <c r="O285" s="6">
        <f t="shared" si="52"/>
        <v>3686.0372643183773</v>
      </c>
      <c r="P285" s="6">
        <f t="shared" si="53"/>
        <v>3695.1315072479956</v>
      </c>
      <c r="Q285" s="6">
        <f t="shared" si="50"/>
        <v>25.790975693282515</v>
      </c>
      <c r="T285" s="6">
        <f t="shared" si="43"/>
        <v>25.790975693282515</v>
      </c>
    </row>
    <row r="286" spans="1:20">
      <c r="B286">
        <f t="shared" si="51"/>
        <v>283</v>
      </c>
      <c r="C286">
        <f t="shared" si="45"/>
        <v>30</v>
      </c>
      <c r="D286">
        <v>275</v>
      </c>
      <c r="E286">
        <v>305</v>
      </c>
      <c r="F286">
        <f>TxSPLINE!F$13</f>
        <v>26.940322580645155</v>
      </c>
      <c r="G286">
        <f>TxSPLINE!F$14</f>
        <v>19.839333333333332</v>
      </c>
      <c r="H286" s="5">
        <f>TxSPLINE!K$13</f>
        <v>-1.5609407955893223E-2</v>
      </c>
      <c r="I286" s="5">
        <f>TxSPLINE!K$14</f>
        <v>7.0229930209527672E-3</v>
      </c>
      <c r="J286">
        <f t="shared" si="46"/>
        <v>0.73333333333333328</v>
      </c>
      <c r="K286">
        <f t="shared" si="47"/>
        <v>0.26666666666666666</v>
      </c>
      <c r="L286">
        <f t="shared" si="48"/>
        <v>237</v>
      </c>
      <c r="M286" s="6">
        <f t="shared" si="49"/>
        <v>25.046725448028667</v>
      </c>
      <c r="N286" s="13">
        <f t="shared" si="44"/>
        <v>25.579433916296459</v>
      </c>
      <c r="O286" s="6">
        <f t="shared" si="52"/>
        <v>3711.0839897664059</v>
      </c>
      <c r="P286" s="6">
        <f t="shared" si="53"/>
        <v>3720.7109411642919</v>
      </c>
      <c r="Q286" s="6">
        <f t="shared" si="50"/>
        <v>25.579433916296459</v>
      </c>
      <c r="T286" s="6">
        <f t="shared" si="43"/>
        <v>25.579433916296459</v>
      </c>
    </row>
    <row r="287" spans="1:20">
      <c r="B287">
        <f t="shared" si="51"/>
        <v>284</v>
      </c>
      <c r="C287">
        <f t="shared" si="45"/>
        <v>30</v>
      </c>
      <c r="D287">
        <v>275</v>
      </c>
      <c r="E287">
        <v>305</v>
      </c>
      <c r="F287">
        <f>TxSPLINE!F$13</f>
        <v>26.940322580645155</v>
      </c>
      <c r="G287">
        <f>TxSPLINE!F$14</f>
        <v>19.839333333333332</v>
      </c>
      <c r="H287" s="5">
        <f>TxSPLINE!K$13</f>
        <v>-1.5609407955893223E-2</v>
      </c>
      <c r="I287" s="5">
        <f>TxSPLINE!K$14</f>
        <v>7.0229930209527672E-3</v>
      </c>
      <c r="J287">
        <f t="shared" si="46"/>
        <v>0.7</v>
      </c>
      <c r="K287">
        <f t="shared" si="47"/>
        <v>0.3</v>
      </c>
      <c r="L287">
        <f t="shared" si="48"/>
        <v>238</v>
      </c>
      <c r="M287" s="6">
        <f t="shared" si="49"/>
        <v>24.810025806451605</v>
      </c>
      <c r="N287" s="13">
        <f t="shared" si="44"/>
        <v>25.358318038281674</v>
      </c>
      <c r="O287" s="6">
        <f t="shared" si="52"/>
        <v>3735.8940155728574</v>
      </c>
      <c r="P287" s="6">
        <f t="shared" si="53"/>
        <v>3746.0692592025734</v>
      </c>
      <c r="Q287" s="6">
        <f t="shared" si="50"/>
        <v>25.358318038281674</v>
      </c>
      <c r="T287" s="6">
        <f t="shared" si="43"/>
        <v>25.358318038281674</v>
      </c>
    </row>
    <row r="288" spans="1:20">
      <c r="B288">
        <f t="shared" si="51"/>
        <v>285</v>
      </c>
      <c r="C288">
        <f t="shared" si="45"/>
        <v>30</v>
      </c>
      <c r="D288">
        <v>275</v>
      </c>
      <c r="E288">
        <v>305</v>
      </c>
      <c r="F288">
        <f>TxSPLINE!F$13</f>
        <v>26.940322580645155</v>
      </c>
      <c r="G288">
        <f>TxSPLINE!F$14</f>
        <v>19.839333333333332</v>
      </c>
      <c r="H288" s="5">
        <f>TxSPLINE!K$13</f>
        <v>-1.5609407955893223E-2</v>
      </c>
      <c r="I288" s="5">
        <f>TxSPLINE!K$14</f>
        <v>7.0229930209527672E-3</v>
      </c>
      <c r="J288">
        <f t="shared" si="46"/>
        <v>0.66666666666666663</v>
      </c>
      <c r="K288">
        <f t="shared" si="47"/>
        <v>0.33333333333333331</v>
      </c>
      <c r="L288">
        <f t="shared" si="48"/>
        <v>239</v>
      </c>
      <c r="M288" s="6">
        <f t="shared" si="49"/>
        <v>24.573326164874544</v>
      </c>
      <c r="N288" s="13">
        <f t="shared" si="44"/>
        <v>25.128382472604045</v>
      </c>
      <c r="O288" s="6">
        <f t="shared" si="52"/>
        <v>3760.4673417377321</v>
      </c>
      <c r="P288" s="6">
        <f t="shared" si="53"/>
        <v>3771.1976416751777</v>
      </c>
      <c r="Q288" s="6">
        <f t="shared" si="50"/>
        <v>25.128382472604045</v>
      </c>
      <c r="T288" s="6">
        <f t="shared" si="43"/>
        <v>25.128382472604045</v>
      </c>
    </row>
    <row r="289" spans="2:20">
      <c r="B289">
        <f t="shared" si="51"/>
        <v>286</v>
      </c>
      <c r="C289">
        <f t="shared" si="45"/>
        <v>30</v>
      </c>
      <c r="D289">
        <v>275</v>
      </c>
      <c r="E289">
        <v>305</v>
      </c>
      <c r="F289">
        <f>TxSPLINE!F$13</f>
        <v>26.940322580645155</v>
      </c>
      <c r="G289">
        <f>TxSPLINE!F$14</f>
        <v>19.839333333333332</v>
      </c>
      <c r="H289" s="5">
        <f>TxSPLINE!K$13</f>
        <v>-1.5609407955893223E-2</v>
      </c>
      <c r="I289" s="5">
        <f>TxSPLINE!K$14</f>
        <v>7.0229930209527672E-3</v>
      </c>
      <c r="J289">
        <f t="shared" si="46"/>
        <v>0.6333333333333333</v>
      </c>
      <c r="K289">
        <f t="shared" si="47"/>
        <v>0.36666666666666664</v>
      </c>
      <c r="L289">
        <f t="shared" si="48"/>
        <v>240</v>
      </c>
      <c r="M289" s="6">
        <f t="shared" si="49"/>
        <v>24.336626523297486</v>
      </c>
      <c r="N289" s="13">
        <f t="shared" si="44"/>
        <v>24.890381632629477</v>
      </c>
      <c r="O289" s="6">
        <f t="shared" si="52"/>
        <v>3784.8039682610297</v>
      </c>
      <c r="P289" s="6">
        <f t="shared" si="53"/>
        <v>3796.0880233078074</v>
      </c>
      <c r="Q289" s="6">
        <f t="shared" si="50"/>
        <v>24.890381632629477</v>
      </c>
      <c r="T289" s="6">
        <f t="shared" si="43"/>
        <v>24.890381632629477</v>
      </c>
    </row>
    <row r="290" spans="2:20">
      <c r="B290">
        <f t="shared" si="51"/>
        <v>287</v>
      </c>
      <c r="C290">
        <f t="shared" si="45"/>
        <v>30</v>
      </c>
      <c r="D290">
        <v>275</v>
      </c>
      <c r="E290">
        <v>305</v>
      </c>
      <c r="F290">
        <f>TxSPLINE!F$13</f>
        <v>26.940322580645155</v>
      </c>
      <c r="G290">
        <f>TxSPLINE!F$14</f>
        <v>19.839333333333332</v>
      </c>
      <c r="H290" s="5">
        <f>TxSPLINE!K$13</f>
        <v>-1.5609407955893223E-2</v>
      </c>
      <c r="I290" s="5">
        <f>TxSPLINE!K$14</f>
        <v>7.0229930209527672E-3</v>
      </c>
      <c r="J290">
        <f t="shared" si="46"/>
        <v>0.6</v>
      </c>
      <c r="K290">
        <f t="shared" si="47"/>
        <v>0.4</v>
      </c>
      <c r="L290">
        <f t="shared" si="48"/>
        <v>241</v>
      </c>
      <c r="M290" s="6">
        <f t="shared" si="49"/>
        <v>24.099926881720428</v>
      </c>
      <c r="N290" s="13">
        <f t="shared" si="44"/>
        <v>24.64506993172386</v>
      </c>
      <c r="O290" s="6">
        <f t="shared" si="52"/>
        <v>3808.9038951427501</v>
      </c>
      <c r="P290" s="6">
        <f t="shared" si="53"/>
        <v>3820.7330932395312</v>
      </c>
      <c r="Q290" s="6">
        <f t="shared" si="50"/>
        <v>24.64506993172386</v>
      </c>
      <c r="T290" s="6">
        <f t="shared" si="43"/>
        <v>24.64506993172386</v>
      </c>
    </row>
    <row r="291" spans="2:20">
      <c r="B291">
        <f t="shared" si="51"/>
        <v>288</v>
      </c>
      <c r="C291">
        <f t="shared" si="45"/>
        <v>30</v>
      </c>
      <c r="D291">
        <v>275</v>
      </c>
      <c r="E291">
        <v>305</v>
      </c>
      <c r="F291">
        <f>TxSPLINE!F$13</f>
        <v>26.940322580645155</v>
      </c>
      <c r="G291">
        <f>TxSPLINE!F$14</f>
        <v>19.839333333333332</v>
      </c>
      <c r="H291" s="5">
        <f>TxSPLINE!K$13</f>
        <v>-1.5609407955893223E-2</v>
      </c>
      <c r="I291" s="5">
        <f>TxSPLINE!K$14</f>
        <v>7.0229930209527672E-3</v>
      </c>
      <c r="J291">
        <f t="shared" si="46"/>
        <v>0.56666666666666665</v>
      </c>
      <c r="K291">
        <f t="shared" si="47"/>
        <v>0.43333333333333335</v>
      </c>
      <c r="L291">
        <f t="shared" si="48"/>
        <v>242</v>
      </c>
      <c r="M291" s="6">
        <f t="shared" si="49"/>
        <v>23.863227240143367</v>
      </c>
      <c r="N291" s="13">
        <f t="shared" si="44"/>
        <v>24.393201783253083</v>
      </c>
      <c r="O291" s="6">
        <f t="shared" si="52"/>
        <v>3832.7671223828934</v>
      </c>
      <c r="P291" s="6">
        <f t="shared" si="53"/>
        <v>3845.1262950227842</v>
      </c>
      <c r="Q291" s="6">
        <f t="shared" si="50"/>
        <v>24.393201783253083</v>
      </c>
      <c r="T291" s="6">
        <f t="shared" si="43"/>
        <v>24.393201783253083</v>
      </c>
    </row>
    <row r="292" spans="2:20">
      <c r="B292">
        <f t="shared" si="51"/>
        <v>289</v>
      </c>
      <c r="C292">
        <f t="shared" si="45"/>
        <v>30</v>
      </c>
      <c r="D292">
        <v>275</v>
      </c>
      <c r="E292">
        <v>305</v>
      </c>
      <c r="F292">
        <f>TxSPLINE!F$13</f>
        <v>26.940322580645155</v>
      </c>
      <c r="G292">
        <f>TxSPLINE!F$14</f>
        <v>19.839333333333332</v>
      </c>
      <c r="H292" s="5">
        <f>TxSPLINE!K$13</f>
        <v>-1.5609407955893223E-2</v>
      </c>
      <c r="I292" s="5">
        <f>TxSPLINE!K$14</f>
        <v>7.0229930209527672E-3</v>
      </c>
      <c r="J292">
        <f t="shared" si="46"/>
        <v>0.53333333333333333</v>
      </c>
      <c r="K292">
        <f t="shared" si="47"/>
        <v>0.46666666666666667</v>
      </c>
      <c r="L292">
        <f t="shared" si="48"/>
        <v>243</v>
      </c>
      <c r="M292" s="6">
        <f t="shared" si="49"/>
        <v>23.626527598566305</v>
      </c>
      <c r="N292" s="13">
        <f t="shared" si="44"/>
        <v>24.135531600583047</v>
      </c>
      <c r="O292" s="6">
        <f t="shared" si="52"/>
        <v>3856.3936499814595</v>
      </c>
      <c r="P292" s="6">
        <f t="shared" si="53"/>
        <v>3869.2618266233671</v>
      </c>
      <c r="Q292" s="6">
        <f t="shared" si="50"/>
        <v>24.135531600583047</v>
      </c>
      <c r="T292" s="6">
        <f t="shared" si="43"/>
        <v>24.135531600583047</v>
      </c>
    </row>
    <row r="293" spans="2:20">
      <c r="B293">
        <f t="shared" si="51"/>
        <v>290</v>
      </c>
      <c r="C293">
        <f t="shared" si="45"/>
        <v>30</v>
      </c>
      <c r="D293">
        <v>275</v>
      </c>
      <c r="E293">
        <v>305</v>
      </c>
      <c r="F293">
        <f>TxSPLINE!F$13</f>
        <v>26.940322580645155</v>
      </c>
      <c r="G293">
        <f>TxSPLINE!F$14</f>
        <v>19.839333333333332</v>
      </c>
      <c r="H293" s="5">
        <f>TxSPLINE!K$13</f>
        <v>-1.5609407955893223E-2</v>
      </c>
      <c r="I293" s="5">
        <f>TxSPLINE!K$14</f>
        <v>7.0229930209527672E-3</v>
      </c>
      <c r="J293">
        <f t="shared" si="46"/>
        <v>0.5</v>
      </c>
      <c r="K293">
        <f t="shared" si="47"/>
        <v>0.5</v>
      </c>
      <c r="L293">
        <f t="shared" si="48"/>
        <v>244</v>
      </c>
      <c r="M293" s="6">
        <f t="shared" si="49"/>
        <v>23.389827956989244</v>
      </c>
      <c r="N293" s="13">
        <f t="shared" si="44"/>
        <v>23.872813797079644</v>
      </c>
      <c r="O293" s="6">
        <f t="shared" si="52"/>
        <v>3879.7834779384489</v>
      </c>
      <c r="P293" s="6">
        <f t="shared" si="53"/>
        <v>3893.1346404204469</v>
      </c>
      <c r="Q293" s="6">
        <f t="shared" si="50"/>
        <v>23.872813797079644</v>
      </c>
      <c r="T293" s="6">
        <f t="shared" si="43"/>
        <v>23.872813797079644</v>
      </c>
    </row>
    <row r="294" spans="2:20">
      <c r="B294">
        <f t="shared" si="51"/>
        <v>291</v>
      </c>
      <c r="C294">
        <f t="shared" si="45"/>
        <v>30</v>
      </c>
      <c r="D294">
        <v>275</v>
      </c>
      <c r="E294">
        <v>305</v>
      </c>
      <c r="F294">
        <f>TxSPLINE!F$13</f>
        <v>26.940322580645155</v>
      </c>
      <c r="G294">
        <f>TxSPLINE!F$14</f>
        <v>19.839333333333332</v>
      </c>
      <c r="H294" s="5">
        <f>TxSPLINE!K$13</f>
        <v>-1.5609407955893223E-2</v>
      </c>
      <c r="I294" s="5">
        <f>TxSPLINE!K$14</f>
        <v>7.0229930209527672E-3</v>
      </c>
      <c r="J294">
        <f t="shared" si="46"/>
        <v>0.46666666666666667</v>
      </c>
      <c r="K294">
        <f t="shared" si="47"/>
        <v>0.53333333333333333</v>
      </c>
      <c r="L294">
        <f t="shared" si="48"/>
        <v>245</v>
      </c>
      <c r="M294" s="6">
        <f t="shared" si="49"/>
        <v>23.153128315412182</v>
      </c>
      <c r="N294" s="13">
        <f t="shared" si="44"/>
        <v>23.605802786108772</v>
      </c>
      <c r="O294" s="6">
        <f t="shared" si="52"/>
        <v>3902.9366062538611</v>
      </c>
      <c r="P294" s="6">
        <f t="shared" si="53"/>
        <v>3916.7404432065555</v>
      </c>
      <c r="Q294" s="6">
        <f t="shared" si="50"/>
        <v>23.605802786108772</v>
      </c>
      <c r="T294" s="6">
        <f t="shared" si="43"/>
        <v>23.605802786108772</v>
      </c>
    </row>
    <row r="295" spans="2:20">
      <c r="B295">
        <f t="shared" si="51"/>
        <v>292</v>
      </c>
      <c r="C295">
        <f t="shared" si="45"/>
        <v>30</v>
      </c>
      <c r="D295">
        <v>275</v>
      </c>
      <c r="E295">
        <v>305</v>
      </c>
      <c r="F295">
        <f>TxSPLINE!F$13</f>
        <v>26.940322580645155</v>
      </c>
      <c r="G295">
        <f>TxSPLINE!F$14</f>
        <v>19.839333333333332</v>
      </c>
      <c r="H295" s="5">
        <f>TxSPLINE!K$13</f>
        <v>-1.5609407955893223E-2</v>
      </c>
      <c r="I295" s="5">
        <f>TxSPLINE!K$14</f>
        <v>7.0229930209527672E-3</v>
      </c>
      <c r="J295">
        <f t="shared" si="46"/>
        <v>0.43333333333333335</v>
      </c>
      <c r="K295">
        <f t="shared" si="47"/>
        <v>0.56666666666666665</v>
      </c>
      <c r="L295">
        <f t="shared" si="48"/>
        <v>246</v>
      </c>
      <c r="M295" s="6">
        <f t="shared" si="49"/>
        <v>22.916428673835121</v>
      </c>
      <c r="N295" s="13">
        <f t="shared" si="44"/>
        <v>23.335252981036327</v>
      </c>
      <c r="O295" s="6">
        <f t="shared" si="52"/>
        <v>3925.8530349276962</v>
      </c>
      <c r="P295" s="6">
        <f t="shared" si="53"/>
        <v>3940.0756961875918</v>
      </c>
      <c r="Q295" s="6">
        <f t="shared" si="50"/>
        <v>23.335252981036327</v>
      </c>
      <c r="T295" s="6">
        <f t="shared" si="43"/>
        <v>23.335252981036327</v>
      </c>
    </row>
    <row r="296" spans="2:20">
      <c r="B296">
        <f t="shared" si="51"/>
        <v>293</v>
      </c>
      <c r="C296">
        <f t="shared" si="45"/>
        <v>30</v>
      </c>
      <c r="D296">
        <v>275</v>
      </c>
      <c r="E296">
        <v>305</v>
      </c>
      <c r="F296">
        <f>TxSPLINE!F$13</f>
        <v>26.940322580645155</v>
      </c>
      <c r="G296">
        <f>TxSPLINE!F$14</f>
        <v>19.839333333333332</v>
      </c>
      <c r="H296" s="5">
        <f>TxSPLINE!K$13</f>
        <v>-1.5609407955893223E-2</v>
      </c>
      <c r="I296" s="5">
        <f>TxSPLINE!K$14</f>
        <v>7.0229930209527672E-3</v>
      </c>
      <c r="J296">
        <f t="shared" si="46"/>
        <v>0.4</v>
      </c>
      <c r="K296">
        <f t="shared" si="47"/>
        <v>0.6</v>
      </c>
      <c r="L296">
        <f t="shared" si="48"/>
        <v>247</v>
      </c>
      <c r="M296" s="6">
        <f t="shared" si="49"/>
        <v>22.679729032258059</v>
      </c>
      <c r="N296" s="13">
        <f t="shared" si="44"/>
        <v>23.061918795228198</v>
      </c>
      <c r="O296" s="6">
        <f t="shared" si="52"/>
        <v>3948.5327639599541</v>
      </c>
      <c r="P296" s="6">
        <f t="shared" si="53"/>
        <v>3963.1376149828202</v>
      </c>
      <c r="Q296" s="6">
        <f t="shared" si="50"/>
        <v>23.061918795228198</v>
      </c>
      <c r="T296" s="6">
        <f t="shared" si="43"/>
        <v>23.061918795228198</v>
      </c>
    </row>
    <row r="297" spans="2:20">
      <c r="B297">
        <f t="shared" si="51"/>
        <v>294</v>
      </c>
      <c r="C297">
        <f t="shared" si="45"/>
        <v>30</v>
      </c>
      <c r="D297">
        <v>275</v>
      </c>
      <c r="E297">
        <v>305</v>
      </c>
      <c r="F297">
        <f>TxSPLINE!F$13</f>
        <v>26.940322580645155</v>
      </c>
      <c r="G297">
        <f>TxSPLINE!F$14</f>
        <v>19.839333333333332</v>
      </c>
      <c r="H297" s="5">
        <f>TxSPLINE!K$13</f>
        <v>-1.5609407955893223E-2</v>
      </c>
      <c r="I297" s="5">
        <f>TxSPLINE!K$14</f>
        <v>7.0229930209527672E-3</v>
      </c>
      <c r="J297">
        <f t="shared" si="46"/>
        <v>0.36666666666666664</v>
      </c>
      <c r="K297">
        <f t="shared" si="47"/>
        <v>0.6333333333333333</v>
      </c>
      <c r="L297">
        <f t="shared" si="48"/>
        <v>248</v>
      </c>
      <c r="M297" s="6">
        <f t="shared" si="49"/>
        <v>22.443029390680998</v>
      </c>
      <c r="N297" s="13">
        <f t="shared" si="44"/>
        <v>22.786554642050284</v>
      </c>
      <c r="O297" s="6">
        <f t="shared" si="52"/>
        <v>3970.9757933506353</v>
      </c>
      <c r="P297" s="6">
        <f t="shared" si="53"/>
        <v>3985.9241696248705</v>
      </c>
      <c r="Q297" s="6">
        <f t="shared" si="50"/>
        <v>22.786554642050284</v>
      </c>
      <c r="T297" s="6">
        <f t="shared" si="43"/>
        <v>22.786554642050284</v>
      </c>
    </row>
    <row r="298" spans="2:20">
      <c r="B298">
        <f t="shared" si="51"/>
        <v>295</v>
      </c>
      <c r="C298">
        <f t="shared" si="45"/>
        <v>30</v>
      </c>
      <c r="D298">
        <v>275</v>
      </c>
      <c r="E298">
        <v>305</v>
      </c>
      <c r="F298">
        <f>TxSPLINE!F$13</f>
        <v>26.940322580645155</v>
      </c>
      <c r="G298">
        <f>TxSPLINE!F$14</f>
        <v>19.839333333333332</v>
      </c>
      <c r="H298" s="5">
        <f>TxSPLINE!K$13</f>
        <v>-1.5609407955893223E-2</v>
      </c>
      <c r="I298" s="5">
        <f>TxSPLINE!K$14</f>
        <v>7.0229930209527672E-3</v>
      </c>
      <c r="J298">
        <f t="shared" si="46"/>
        <v>0.33333333333333331</v>
      </c>
      <c r="K298">
        <f t="shared" si="47"/>
        <v>0.66666666666666663</v>
      </c>
      <c r="L298">
        <f t="shared" si="48"/>
        <v>249</v>
      </c>
      <c r="M298" s="6">
        <f t="shared" si="49"/>
        <v>22.206329749103936</v>
      </c>
      <c r="N298" s="13">
        <f t="shared" si="44"/>
        <v>22.50991493486848</v>
      </c>
      <c r="O298" s="6">
        <f t="shared" si="52"/>
        <v>3993.1821230997393</v>
      </c>
      <c r="P298" s="6">
        <f t="shared" si="53"/>
        <v>4008.4340845597389</v>
      </c>
      <c r="Q298" s="6">
        <f t="shared" si="50"/>
        <v>22.50991493486848</v>
      </c>
      <c r="T298" s="6">
        <f t="shared" si="43"/>
        <v>22.50991493486848</v>
      </c>
    </row>
    <row r="299" spans="2:20">
      <c r="B299">
        <f t="shared" si="51"/>
        <v>296</v>
      </c>
      <c r="C299">
        <f t="shared" si="45"/>
        <v>30</v>
      </c>
      <c r="D299">
        <v>275</v>
      </c>
      <c r="E299">
        <v>305</v>
      </c>
      <c r="F299">
        <f>TxSPLINE!F$13</f>
        <v>26.940322580645155</v>
      </c>
      <c r="G299">
        <f>TxSPLINE!F$14</f>
        <v>19.839333333333332</v>
      </c>
      <c r="H299" s="5">
        <f>TxSPLINE!K$13</f>
        <v>-1.5609407955893223E-2</v>
      </c>
      <c r="I299" s="5">
        <f>TxSPLINE!K$14</f>
        <v>7.0229930209527672E-3</v>
      </c>
      <c r="J299">
        <f t="shared" si="46"/>
        <v>0.3</v>
      </c>
      <c r="K299">
        <f t="shared" si="47"/>
        <v>0.7</v>
      </c>
      <c r="L299">
        <f t="shared" si="48"/>
        <v>250</v>
      </c>
      <c r="M299" s="6">
        <f t="shared" si="49"/>
        <v>21.969630107526879</v>
      </c>
      <c r="N299" s="13">
        <f t="shared" si="44"/>
        <v>22.232754087048686</v>
      </c>
      <c r="O299" s="6">
        <f t="shared" si="52"/>
        <v>4015.1517532072662</v>
      </c>
      <c r="P299" s="6">
        <f t="shared" si="53"/>
        <v>4030.6668386467877</v>
      </c>
      <c r="Q299" s="6">
        <f t="shared" si="50"/>
        <v>22.232754087048686</v>
      </c>
      <c r="T299" s="6">
        <f t="shared" si="43"/>
        <v>22.232754087048686</v>
      </c>
    </row>
    <row r="300" spans="2:20">
      <c r="B300">
        <f t="shared" si="51"/>
        <v>297</v>
      </c>
      <c r="C300">
        <f t="shared" si="45"/>
        <v>30</v>
      </c>
      <c r="D300">
        <v>275</v>
      </c>
      <c r="E300">
        <v>305</v>
      </c>
      <c r="F300">
        <f>TxSPLINE!F$13</f>
        <v>26.940322580645155</v>
      </c>
      <c r="G300">
        <f>TxSPLINE!F$14</f>
        <v>19.839333333333332</v>
      </c>
      <c r="H300" s="5">
        <f>TxSPLINE!K$13</f>
        <v>-1.5609407955893223E-2</v>
      </c>
      <c r="I300" s="5">
        <f>TxSPLINE!K$14</f>
        <v>7.0229930209527672E-3</v>
      </c>
      <c r="J300">
        <f t="shared" si="46"/>
        <v>0.26666666666666666</v>
      </c>
      <c r="K300">
        <f t="shared" si="47"/>
        <v>0.73333333333333328</v>
      </c>
      <c r="L300">
        <f t="shared" si="48"/>
        <v>251</v>
      </c>
      <c r="M300" s="6">
        <f t="shared" si="49"/>
        <v>21.732930465949817</v>
      </c>
      <c r="N300" s="13">
        <f t="shared" si="44"/>
        <v>21.955826511956783</v>
      </c>
      <c r="O300" s="6">
        <f t="shared" si="52"/>
        <v>4036.8846836732159</v>
      </c>
      <c r="P300" s="6">
        <f t="shared" si="53"/>
        <v>4052.6226651587444</v>
      </c>
      <c r="Q300" s="6">
        <f t="shared" si="50"/>
        <v>21.955826511956783</v>
      </c>
      <c r="T300" s="6">
        <f t="shared" si="43"/>
        <v>21.955826511956783</v>
      </c>
    </row>
    <row r="301" spans="2:20">
      <c r="B301">
        <f t="shared" si="51"/>
        <v>298</v>
      </c>
      <c r="C301">
        <f t="shared" si="45"/>
        <v>30</v>
      </c>
      <c r="D301">
        <v>275</v>
      </c>
      <c r="E301">
        <v>305</v>
      </c>
      <c r="F301">
        <f>TxSPLINE!F$13</f>
        <v>26.940322580645155</v>
      </c>
      <c r="G301">
        <f>TxSPLINE!F$14</f>
        <v>19.839333333333332</v>
      </c>
      <c r="H301" s="5">
        <f>TxSPLINE!K$13</f>
        <v>-1.5609407955893223E-2</v>
      </c>
      <c r="I301" s="5">
        <f>TxSPLINE!K$14</f>
        <v>7.0229930209527672E-3</v>
      </c>
      <c r="J301">
        <f t="shared" si="46"/>
        <v>0.23333333333333334</v>
      </c>
      <c r="K301">
        <f t="shared" si="47"/>
        <v>0.76666666666666672</v>
      </c>
      <c r="L301">
        <f t="shared" si="48"/>
        <v>252</v>
      </c>
      <c r="M301" s="6">
        <f t="shared" si="49"/>
        <v>21.496230824372759</v>
      </c>
      <c r="N301" s="13">
        <f t="shared" si="44"/>
        <v>21.67988662295868</v>
      </c>
      <c r="O301" s="6">
        <f t="shared" si="52"/>
        <v>4058.3809144975885</v>
      </c>
      <c r="P301" s="6">
        <f t="shared" si="53"/>
        <v>4074.3025517817032</v>
      </c>
      <c r="Q301" s="6">
        <f t="shared" si="50"/>
        <v>21.67988662295868</v>
      </c>
      <c r="T301" s="6">
        <f t="shared" si="43"/>
        <v>21.67988662295868</v>
      </c>
    </row>
    <row r="302" spans="2:20">
      <c r="B302">
        <f t="shared" si="51"/>
        <v>299</v>
      </c>
      <c r="C302">
        <f t="shared" si="45"/>
        <v>30</v>
      </c>
      <c r="D302">
        <v>275</v>
      </c>
      <c r="E302">
        <v>305</v>
      </c>
      <c r="F302">
        <f>TxSPLINE!F$13</f>
        <v>26.940322580645155</v>
      </c>
      <c r="G302">
        <f>TxSPLINE!F$14</f>
        <v>19.839333333333332</v>
      </c>
      <c r="H302" s="5">
        <f>TxSPLINE!K$13</f>
        <v>-1.5609407955893223E-2</v>
      </c>
      <c r="I302" s="5">
        <f>TxSPLINE!K$14</f>
        <v>7.0229930209527672E-3</v>
      </c>
      <c r="J302">
        <f t="shared" si="46"/>
        <v>0.2</v>
      </c>
      <c r="K302">
        <f t="shared" si="47"/>
        <v>0.8</v>
      </c>
      <c r="L302">
        <f t="shared" si="48"/>
        <v>253</v>
      </c>
      <c r="M302" s="6">
        <f t="shared" si="49"/>
        <v>21.259531182795698</v>
      </c>
      <c r="N302" s="13">
        <f t="shared" si="44"/>
        <v>21.405688833420264</v>
      </c>
      <c r="O302" s="6">
        <f t="shared" si="52"/>
        <v>4079.6404456803843</v>
      </c>
      <c r="P302" s="6">
        <f t="shared" si="53"/>
        <v>4095.7082406151235</v>
      </c>
      <c r="Q302" s="6">
        <f t="shared" si="50"/>
        <v>21.405688833420264</v>
      </c>
      <c r="T302" s="6">
        <f t="shared" si="43"/>
        <v>21.405688833420264</v>
      </c>
    </row>
    <row r="303" spans="2:20">
      <c r="B303">
        <f t="shared" si="51"/>
        <v>300</v>
      </c>
      <c r="C303">
        <f t="shared" si="45"/>
        <v>30</v>
      </c>
      <c r="D303">
        <v>275</v>
      </c>
      <c r="E303">
        <v>305</v>
      </c>
      <c r="F303">
        <f>TxSPLINE!F$13</f>
        <v>26.940322580645155</v>
      </c>
      <c r="G303">
        <f>TxSPLINE!F$14</f>
        <v>19.839333333333332</v>
      </c>
      <c r="H303" s="5">
        <f>TxSPLINE!K$13</f>
        <v>-1.5609407955893223E-2</v>
      </c>
      <c r="I303" s="5">
        <f>TxSPLINE!K$14</f>
        <v>7.0229930209527672E-3</v>
      </c>
      <c r="J303">
        <f t="shared" si="46"/>
        <v>0.16666666666666666</v>
      </c>
      <c r="K303">
        <f t="shared" si="47"/>
        <v>0.83333333333333337</v>
      </c>
      <c r="L303">
        <f t="shared" si="48"/>
        <v>254</v>
      </c>
      <c r="M303" s="6">
        <f t="shared" si="49"/>
        <v>21.022831541218636</v>
      </c>
      <c r="N303" s="13">
        <f t="shared" si="44"/>
        <v>21.133987556707428</v>
      </c>
      <c r="O303" s="6">
        <f t="shared" si="52"/>
        <v>4100.6632772216026</v>
      </c>
      <c r="P303" s="6">
        <f t="shared" si="53"/>
        <v>4116.8422281718313</v>
      </c>
      <c r="Q303" s="6">
        <f t="shared" si="50"/>
        <v>21.133987556707428</v>
      </c>
      <c r="T303" s="6">
        <f t="shared" si="43"/>
        <v>21.133987556707428</v>
      </c>
    </row>
    <row r="304" spans="2:20">
      <c r="B304">
        <f t="shared" si="51"/>
        <v>301</v>
      </c>
      <c r="C304">
        <f t="shared" si="45"/>
        <v>30</v>
      </c>
      <c r="D304">
        <v>275</v>
      </c>
      <c r="E304">
        <v>305</v>
      </c>
      <c r="F304">
        <f>TxSPLINE!F$13</f>
        <v>26.940322580645155</v>
      </c>
      <c r="G304">
        <f>TxSPLINE!F$14</f>
        <v>19.839333333333332</v>
      </c>
      <c r="H304" s="5">
        <f>TxSPLINE!K$13</f>
        <v>-1.5609407955893223E-2</v>
      </c>
      <c r="I304" s="5">
        <f>TxSPLINE!K$14</f>
        <v>7.0229930209527672E-3</v>
      </c>
      <c r="J304">
        <f t="shared" si="46"/>
        <v>0.13333333333333333</v>
      </c>
      <c r="K304">
        <f t="shared" si="47"/>
        <v>0.8666666666666667</v>
      </c>
      <c r="L304">
        <f t="shared" si="48"/>
        <v>255</v>
      </c>
      <c r="M304" s="6">
        <f t="shared" si="49"/>
        <v>20.786131899641575</v>
      </c>
      <c r="N304" s="13">
        <f t="shared" si="44"/>
        <v>20.865537206186072</v>
      </c>
      <c r="O304" s="6">
        <f t="shared" si="52"/>
        <v>4121.4494091212446</v>
      </c>
      <c r="P304" s="6">
        <f t="shared" si="53"/>
        <v>4137.707765378017</v>
      </c>
      <c r="Q304" s="6">
        <f t="shared" si="50"/>
        <v>20.865537206186072</v>
      </c>
      <c r="T304" s="6">
        <f t="shared" si="43"/>
        <v>20.865537206186072</v>
      </c>
    </row>
    <row r="305" spans="1:20">
      <c r="B305">
        <f t="shared" si="51"/>
        <v>302</v>
      </c>
      <c r="C305">
        <f t="shared" si="45"/>
        <v>30</v>
      </c>
      <c r="D305">
        <v>275</v>
      </c>
      <c r="E305">
        <v>305</v>
      </c>
      <c r="F305">
        <f>TxSPLINE!F$13</f>
        <v>26.940322580645155</v>
      </c>
      <c r="G305">
        <f>TxSPLINE!F$14</f>
        <v>19.839333333333332</v>
      </c>
      <c r="H305" s="5">
        <f>TxSPLINE!K$13</f>
        <v>-1.5609407955893223E-2</v>
      </c>
      <c r="I305" s="5">
        <f>TxSPLINE!K$14</f>
        <v>7.0229930209527672E-3</v>
      </c>
      <c r="J305">
        <f t="shared" si="46"/>
        <v>0.1</v>
      </c>
      <c r="K305">
        <f t="shared" si="47"/>
        <v>0.9</v>
      </c>
      <c r="L305">
        <f t="shared" si="48"/>
        <v>256</v>
      </c>
      <c r="M305" s="6">
        <f t="shared" si="49"/>
        <v>20.549432258064513</v>
      </c>
      <c r="N305" s="13">
        <f t="shared" si="44"/>
        <v>20.60109219522209</v>
      </c>
      <c r="O305" s="6">
        <f t="shared" si="52"/>
        <v>4141.9988413793089</v>
      </c>
      <c r="P305" s="6">
        <f t="shared" si="53"/>
        <v>4158.308857573239</v>
      </c>
      <c r="Q305" s="6">
        <f t="shared" si="50"/>
        <v>20.60109219522209</v>
      </c>
      <c r="T305" s="6">
        <f t="shared" si="43"/>
        <v>20.60109219522209</v>
      </c>
    </row>
    <row r="306" spans="1:20">
      <c r="B306">
        <f t="shared" si="51"/>
        <v>303</v>
      </c>
      <c r="C306">
        <f t="shared" si="45"/>
        <v>30</v>
      </c>
      <c r="D306">
        <v>275</v>
      </c>
      <c r="E306">
        <v>305</v>
      </c>
      <c r="F306">
        <f>TxSPLINE!F$13</f>
        <v>26.940322580645155</v>
      </c>
      <c r="G306">
        <f>TxSPLINE!F$14</f>
        <v>19.839333333333332</v>
      </c>
      <c r="H306" s="5">
        <f>TxSPLINE!K$13</f>
        <v>-1.5609407955893223E-2</v>
      </c>
      <c r="I306" s="5">
        <f>TxSPLINE!K$14</f>
        <v>7.0229930209527672E-3</v>
      </c>
      <c r="J306">
        <f t="shared" si="46"/>
        <v>6.6666666666666666E-2</v>
      </c>
      <c r="K306">
        <f t="shared" si="47"/>
        <v>0.93333333333333335</v>
      </c>
      <c r="L306">
        <f t="shared" si="48"/>
        <v>257</v>
      </c>
      <c r="M306" s="6">
        <f t="shared" si="49"/>
        <v>20.312732616487455</v>
      </c>
      <c r="N306" s="13">
        <f t="shared" si="44"/>
        <v>20.341406937181379</v>
      </c>
      <c r="O306" s="6">
        <f t="shared" si="52"/>
        <v>4162.3115739957966</v>
      </c>
      <c r="P306" s="6">
        <f t="shared" si="53"/>
        <v>4178.6502645104201</v>
      </c>
      <c r="Q306" s="6">
        <f t="shared" si="50"/>
        <v>20.341406937181379</v>
      </c>
      <c r="T306" s="6">
        <f t="shared" ref="T306:T369" si="54">N306</f>
        <v>20.341406937181379</v>
      </c>
    </row>
    <row r="307" spans="1:20">
      <c r="B307">
        <f t="shared" si="51"/>
        <v>304</v>
      </c>
      <c r="C307">
        <f t="shared" si="45"/>
        <v>30</v>
      </c>
      <c r="D307">
        <v>275</v>
      </c>
      <c r="E307">
        <v>305</v>
      </c>
      <c r="F307">
        <f>TxSPLINE!F$13</f>
        <v>26.940322580645155</v>
      </c>
      <c r="G307">
        <f>TxSPLINE!F$14</f>
        <v>19.839333333333332</v>
      </c>
      <c r="H307" s="5">
        <f>TxSPLINE!K$13</f>
        <v>-1.5609407955893223E-2</v>
      </c>
      <c r="I307" s="5">
        <f>TxSPLINE!K$14</f>
        <v>7.0229930209527672E-3</v>
      </c>
      <c r="J307">
        <f t="shared" si="46"/>
        <v>3.3333333333333333E-2</v>
      </c>
      <c r="K307">
        <f t="shared" si="47"/>
        <v>0.96666666666666667</v>
      </c>
      <c r="L307">
        <f t="shared" si="48"/>
        <v>258</v>
      </c>
      <c r="M307" s="6">
        <f t="shared" si="49"/>
        <v>20.076032974910394</v>
      </c>
      <c r="N307" s="13">
        <f t="shared" si="44"/>
        <v>20.087235845429827</v>
      </c>
      <c r="O307" s="6">
        <f t="shared" si="52"/>
        <v>4182.3876069707067</v>
      </c>
      <c r="P307" s="6">
        <f t="shared" si="53"/>
        <v>4198.73750035585</v>
      </c>
      <c r="Q307" s="6">
        <f t="shared" si="50"/>
        <v>20.087235845429827</v>
      </c>
      <c r="T307" s="6">
        <f t="shared" si="54"/>
        <v>20.087235845429827</v>
      </c>
    </row>
    <row r="308" spans="1:20">
      <c r="A308">
        <v>305</v>
      </c>
      <c r="B308">
        <f t="shared" si="51"/>
        <v>305</v>
      </c>
      <c r="C308">
        <f t="shared" si="45"/>
        <v>30</v>
      </c>
      <c r="D308">
        <v>275</v>
      </c>
      <c r="E308">
        <v>305</v>
      </c>
      <c r="F308">
        <f>TxSPLINE!F$13</f>
        <v>26.940322580645155</v>
      </c>
      <c r="G308">
        <f>TxSPLINE!F$14</f>
        <v>19.839333333333332</v>
      </c>
      <c r="H308" s="5">
        <f>TxSPLINE!K$13</f>
        <v>-1.5609407955893223E-2</v>
      </c>
      <c r="I308" s="5">
        <f>TxSPLINE!K$14</f>
        <v>7.0229930209527672E-3</v>
      </c>
      <c r="J308">
        <f t="shared" si="46"/>
        <v>0</v>
      </c>
      <c r="K308">
        <f t="shared" si="47"/>
        <v>1</v>
      </c>
      <c r="L308">
        <f t="shared" si="48"/>
        <v>259</v>
      </c>
      <c r="M308" s="6">
        <f t="shared" si="49"/>
        <v>19.839333333333332</v>
      </c>
      <c r="N308" s="13">
        <f t="shared" si="44"/>
        <v>19.839333333333332</v>
      </c>
      <c r="O308" s="6">
        <f t="shared" si="52"/>
        <v>4202.22694030404</v>
      </c>
      <c r="P308" s="6">
        <f t="shared" si="53"/>
        <v>4218.5768336891833</v>
      </c>
      <c r="Q308" s="6">
        <f t="shared" si="50"/>
        <v>19.839333333333332</v>
      </c>
      <c r="T308" s="6">
        <f t="shared" si="54"/>
        <v>19.839333333333332</v>
      </c>
    </row>
    <row r="309" spans="1:20">
      <c r="B309">
        <f t="shared" si="51"/>
        <v>306</v>
      </c>
      <c r="C309">
        <f t="shared" si="45"/>
        <v>31</v>
      </c>
      <c r="D309">
        <v>305</v>
      </c>
      <c r="E309">
        <v>336</v>
      </c>
      <c r="F309">
        <f>TxSPLINE!F$14</f>
        <v>19.839333333333332</v>
      </c>
      <c r="G309">
        <f>TxSPLINE!F$15</f>
        <v>14.620645161290319</v>
      </c>
      <c r="H309" s="5">
        <f>TxSPLINE!K$14</f>
        <v>7.0229930209527672E-3</v>
      </c>
      <c r="I309" s="5">
        <f>TxSPLINE!K$15</f>
        <v>6.9697616525759946E-4</v>
      </c>
      <c r="J309">
        <f t="shared" si="46"/>
        <v>0.967741935483871</v>
      </c>
      <c r="K309">
        <f t="shared" si="47"/>
        <v>3.2258064516129031E-2</v>
      </c>
      <c r="L309">
        <f t="shared" si="48"/>
        <v>260</v>
      </c>
      <c r="M309" s="6">
        <f t="shared" si="49"/>
        <v>19.670988553590011</v>
      </c>
      <c r="N309" s="13">
        <f t="shared" si="44"/>
        <v>19.598294067853502</v>
      </c>
      <c r="O309" s="6">
        <f t="shared" si="52"/>
        <v>4221.8979288576302</v>
      </c>
      <c r="P309" s="6">
        <f t="shared" si="53"/>
        <v>4238.1751277570365</v>
      </c>
      <c r="Q309" s="6">
        <f t="shared" si="50"/>
        <v>19.598294067853502</v>
      </c>
      <c r="T309" s="6">
        <f t="shared" si="54"/>
        <v>19.598294067853502</v>
      </c>
    </row>
    <row r="310" spans="1:20">
      <c r="B310">
        <f t="shared" si="51"/>
        <v>307</v>
      </c>
      <c r="C310">
        <f t="shared" si="45"/>
        <v>31</v>
      </c>
      <c r="D310">
        <v>305</v>
      </c>
      <c r="E310">
        <v>336</v>
      </c>
      <c r="F310">
        <f>TxSPLINE!F$14</f>
        <v>19.839333333333332</v>
      </c>
      <c r="G310">
        <f>TxSPLINE!F$15</f>
        <v>14.620645161290319</v>
      </c>
      <c r="H310" s="5">
        <f>TxSPLINE!K$14</f>
        <v>7.0229930209527672E-3</v>
      </c>
      <c r="I310" s="5">
        <f>TxSPLINE!K$15</f>
        <v>6.9697616525759946E-4</v>
      </c>
      <c r="J310">
        <f t="shared" si="46"/>
        <v>0.93548387096774188</v>
      </c>
      <c r="K310">
        <f t="shared" si="47"/>
        <v>6.4516129032258063E-2</v>
      </c>
      <c r="L310">
        <f t="shared" si="48"/>
        <v>261</v>
      </c>
      <c r="M310" s="6">
        <f t="shared" si="49"/>
        <v>19.502643773846685</v>
      </c>
      <c r="N310" s="13">
        <f t="shared" si="44"/>
        <v>19.364073730334756</v>
      </c>
      <c r="O310" s="6">
        <f t="shared" si="52"/>
        <v>4241.4005726314772</v>
      </c>
      <c r="P310" s="6">
        <f t="shared" si="53"/>
        <v>4257.5392014873714</v>
      </c>
      <c r="Q310" s="6">
        <f t="shared" si="50"/>
        <v>19.364073730334756</v>
      </c>
      <c r="T310" s="6">
        <f t="shared" si="54"/>
        <v>19.364073730334756</v>
      </c>
    </row>
    <row r="311" spans="1:20">
      <c r="B311">
        <f t="shared" si="51"/>
        <v>308</v>
      </c>
      <c r="C311">
        <f t="shared" si="45"/>
        <v>31</v>
      </c>
      <c r="D311">
        <v>305</v>
      </c>
      <c r="E311">
        <v>336</v>
      </c>
      <c r="F311">
        <f>TxSPLINE!F$14</f>
        <v>19.839333333333332</v>
      </c>
      <c r="G311">
        <f>TxSPLINE!F$15</f>
        <v>14.620645161290319</v>
      </c>
      <c r="H311" s="5">
        <f>TxSPLINE!K$14</f>
        <v>7.0229930209527672E-3</v>
      </c>
      <c r="I311" s="5">
        <f>TxSPLINE!K$15</f>
        <v>6.9697616525759946E-4</v>
      </c>
      <c r="J311">
        <f t="shared" si="46"/>
        <v>0.90322580645161288</v>
      </c>
      <c r="K311">
        <f t="shared" si="47"/>
        <v>9.6774193548387094E-2</v>
      </c>
      <c r="L311">
        <f t="shared" si="48"/>
        <v>262</v>
      </c>
      <c r="M311" s="6">
        <f t="shared" si="49"/>
        <v>19.334298994103364</v>
      </c>
      <c r="N311" s="13">
        <f t="shared" ref="N311:N374" si="55">Q311</f>
        <v>19.136468255717247</v>
      </c>
      <c r="O311" s="6">
        <f t="shared" si="52"/>
        <v>4260.7348716255801</v>
      </c>
      <c r="P311" s="6">
        <f t="shared" si="53"/>
        <v>4276.6756697430883</v>
      </c>
      <c r="Q311" s="6">
        <f t="shared" si="50"/>
        <v>19.136468255717247</v>
      </c>
      <c r="T311" s="6">
        <f t="shared" si="54"/>
        <v>19.136468255717247</v>
      </c>
    </row>
    <row r="312" spans="1:20">
      <c r="B312">
        <f t="shared" si="51"/>
        <v>309</v>
      </c>
      <c r="C312">
        <f t="shared" si="45"/>
        <v>31</v>
      </c>
      <c r="D312">
        <v>305</v>
      </c>
      <c r="E312">
        <v>336</v>
      </c>
      <c r="F312">
        <f>TxSPLINE!F$14</f>
        <v>19.839333333333332</v>
      </c>
      <c r="G312">
        <f>TxSPLINE!F$15</f>
        <v>14.620645161290319</v>
      </c>
      <c r="H312" s="5">
        <f>TxSPLINE!K$14</f>
        <v>7.0229930209527672E-3</v>
      </c>
      <c r="I312" s="5">
        <f>TxSPLINE!K$15</f>
        <v>6.9697616525759946E-4</v>
      </c>
      <c r="J312">
        <f t="shared" si="46"/>
        <v>0.87096774193548387</v>
      </c>
      <c r="K312">
        <f t="shared" si="47"/>
        <v>0.12903225806451613</v>
      </c>
      <c r="L312">
        <f t="shared" si="48"/>
        <v>263</v>
      </c>
      <c r="M312" s="6">
        <f t="shared" si="49"/>
        <v>19.165954214360042</v>
      </c>
      <c r="N312" s="13">
        <f t="shared" si="55"/>
        <v>18.915273578941108</v>
      </c>
      <c r="O312" s="6">
        <f t="shared" si="52"/>
        <v>4279.9008258399399</v>
      </c>
      <c r="P312" s="6">
        <f t="shared" si="53"/>
        <v>4295.5909433220295</v>
      </c>
      <c r="Q312" s="6">
        <f t="shared" si="50"/>
        <v>18.915273578941108</v>
      </c>
      <c r="T312" s="6">
        <f t="shared" si="54"/>
        <v>18.915273578941108</v>
      </c>
    </row>
    <row r="313" spans="1:20">
      <c r="B313">
        <f t="shared" si="51"/>
        <v>310</v>
      </c>
      <c r="C313">
        <f t="shared" si="45"/>
        <v>31</v>
      </c>
      <c r="D313">
        <v>305</v>
      </c>
      <c r="E313">
        <v>336</v>
      </c>
      <c r="F313">
        <f>TxSPLINE!F$14</f>
        <v>19.839333333333332</v>
      </c>
      <c r="G313">
        <f>TxSPLINE!F$15</f>
        <v>14.620645161290319</v>
      </c>
      <c r="H313" s="5">
        <f>TxSPLINE!K$14</f>
        <v>7.0229930209527672E-3</v>
      </c>
      <c r="I313" s="5">
        <f>TxSPLINE!K$15</f>
        <v>6.9697616525759946E-4</v>
      </c>
      <c r="J313">
        <f t="shared" si="46"/>
        <v>0.83870967741935487</v>
      </c>
      <c r="K313">
        <f t="shared" si="47"/>
        <v>0.16129032258064516</v>
      </c>
      <c r="L313">
        <f t="shared" si="48"/>
        <v>264</v>
      </c>
      <c r="M313" s="6">
        <f t="shared" si="49"/>
        <v>18.997609434616717</v>
      </c>
      <c r="N313" s="13">
        <f t="shared" si="55"/>
        <v>18.700285634946471</v>
      </c>
      <c r="O313" s="6">
        <f t="shared" si="52"/>
        <v>4298.8984352745565</v>
      </c>
      <c r="P313" s="6">
        <f t="shared" si="53"/>
        <v>4314.2912289569758</v>
      </c>
      <c r="Q313" s="6">
        <f t="shared" si="50"/>
        <v>18.700285634946471</v>
      </c>
      <c r="T313" s="6">
        <f t="shared" si="54"/>
        <v>18.700285634946471</v>
      </c>
    </row>
    <row r="314" spans="1:20">
      <c r="B314">
        <f t="shared" si="51"/>
        <v>311</v>
      </c>
      <c r="C314">
        <f t="shared" si="45"/>
        <v>31</v>
      </c>
      <c r="D314">
        <v>305</v>
      </c>
      <c r="E314">
        <v>336</v>
      </c>
      <c r="F314">
        <f>TxSPLINE!F$14</f>
        <v>19.839333333333332</v>
      </c>
      <c r="G314">
        <f>TxSPLINE!F$15</f>
        <v>14.620645161290319</v>
      </c>
      <c r="H314" s="5">
        <f>TxSPLINE!K$14</f>
        <v>7.0229930209527672E-3</v>
      </c>
      <c r="I314" s="5">
        <f>TxSPLINE!K$15</f>
        <v>6.9697616525759946E-4</v>
      </c>
      <c r="J314">
        <f t="shared" si="46"/>
        <v>0.80645161290322576</v>
      </c>
      <c r="K314">
        <f t="shared" si="47"/>
        <v>0.19354838709677419</v>
      </c>
      <c r="L314">
        <f t="shared" si="48"/>
        <v>265</v>
      </c>
      <c r="M314" s="6">
        <f t="shared" si="49"/>
        <v>18.829264654873395</v>
      </c>
      <c r="N314" s="13">
        <f t="shared" si="55"/>
        <v>18.491300358673488</v>
      </c>
      <c r="O314" s="6">
        <f t="shared" si="52"/>
        <v>4317.7276999294299</v>
      </c>
      <c r="P314" s="6">
        <f t="shared" si="53"/>
        <v>4332.7825293156493</v>
      </c>
      <c r="Q314" s="6">
        <f t="shared" si="50"/>
        <v>18.491300358673488</v>
      </c>
      <c r="T314" s="6">
        <f t="shared" si="54"/>
        <v>18.491300358673488</v>
      </c>
    </row>
    <row r="315" spans="1:20">
      <c r="B315">
        <f t="shared" si="51"/>
        <v>312</v>
      </c>
      <c r="C315">
        <f t="shared" si="45"/>
        <v>31</v>
      </c>
      <c r="D315">
        <v>305</v>
      </c>
      <c r="E315">
        <v>336</v>
      </c>
      <c r="F315">
        <f>TxSPLINE!F$14</f>
        <v>19.839333333333332</v>
      </c>
      <c r="G315">
        <f>TxSPLINE!F$15</f>
        <v>14.620645161290319</v>
      </c>
      <c r="H315" s="5">
        <f>TxSPLINE!K$14</f>
        <v>7.0229930209527672E-3</v>
      </c>
      <c r="I315" s="5">
        <f>TxSPLINE!K$15</f>
        <v>6.9697616525759946E-4</v>
      </c>
      <c r="J315">
        <f t="shared" si="46"/>
        <v>0.77419354838709675</v>
      </c>
      <c r="K315">
        <f t="shared" si="47"/>
        <v>0.22580645161290322</v>
      </c>
      <c r="L315">
        <f t="shared" si="48"/>
        <v>266</v>
      </c>
      <c r="M315" s="6">
        <f t="shared" si="49"/>
        <v>18.660919875130073</v>
      </c>
      <c r="N315" s="13">
        <f t="shared" si="55"/>
        <v>18.288113685062289</v>
      </c>
      <c r="O315" s="6">
        <f t="shared" si="52"/>
        <v>4336.3886198045602</v>
      </c>
      <c r="P315" s="6">
        <f t="shared" si="53"/>
        <v>4351.0706430007112</v>
      </c>
      <c r="Q315" s="6">
        <f t="shared" si="50"/>
        <v>18.288113685062289</v>
      </c>
      <c r="T315" s="6">
        <f t="shared" si="54"/>
        <v>18.288113685062289</v>
      </c>
    </row>
    <row r="316" spans="1:20">
      <c r="B316">
        <f t="shared" si="51"/>
        <v>313</v>
      </c>
      <c r="C316">
        <f t="shared" si="45"/>
        <v>31</v>
      </c>
      <c r="D316">
        <v>305</v>
      </c>
      <c r="E316">
        <v>336</v>
      </c>
      <c r="F316">
        <f>TxSPLINE!F$14</f>
        <v>19.839333333333332</v>
      </c>
      <c r="G316">
        <f>TxSPLINE!F$15</f>
        <v>14.620645161290319</v>
      </c>
      <c r="H316" s="5">
        <f>TxSPLINE!K$14</f>
        <v>7.0229930209527672E-3</v>
      </c>
      <c r="I316" s="5">
        <f>TxSPLINE!K$15</f>
        <v>6.9697616525759946E-4</v>
      </c>
      <c r="J316">
        <f t="shared" si="46"/>
        <v>0.74193548387096775</v>
      </c>
      <c r="K316">
        <f t="shared" si="47"/>
        <v>0.25806451612903225</v>
      </c>
      <c r="L316">
        <f t="shared" si="48"/>
        <v>267</v>
      </c>
      <c r="M316" s="6">
        <f t="shared" si="49"/>
        <v>18.492575095386748</v>
      </c>
      <c r="N316" s="13">
        <f t="shared" si="55"/>
        <v>18.090521549053008</v>
      </c>
      <c r="O316" s="6">
        <f t="shared" si="52"/>
        <v>4354.8811948999473</v>
      </c>
      <c r="P316" s="6">
        <f t="shared" si="53"/>
        <v>4369.1611645497642</v>
      </c>
      <c r="Q316" s="6">
        <f t="shared" si="50"/>
        <v>18.090521549053008</v>
      </c>
      <c r="T316" s="6">
        <f t="shared" si="54"/>
        <v>18.090521549053008</v>
      </c>
    </row>
    <row r="317" spans="1:20">
      <c r="B317">
        <f t="shared" si="51"/>
        <v>314</v>
      </c>
      <c r="C317">
        <f t="shared" si="45"/>
        <v>31</v>
      </c>
      <c r="D317">
        <v>305</v>
      </c>
      <c r="E317">
        <v>336</v>
      </c>
      <c r="F317">
        <f>TxSPLINE!F$14</f>
        <v>19.839333333333332</v>
      </c>
      <c r="G317">
        <f>TxSPLINE!F$15</f>
        <v>14.620645161290319</v>
      </c>
      <c r="H317" s="5">
        <f>TxSPLINE!K$14</f>
        <v>7.0229930209527672E-3</v>
      </c>
      <c r="I317" s="5">
        <f>TxSPLINE!K$15</f>
        <v>6.9697616525759946E-4</v>
      </c>
      <c r="J317">
        <f t="shared" si="46"/>
        <v>0.70967741935483875</v>
      </c>
      <c r="K317">
        <f t="shared" si="47"/>
        <v>0.29032258064516131</v>
      </c>
      <c r="L317">
        <f t="shared" si="48"/>
        <v>268</v>
      </c>
      <c r="M317" s="6">
        <f t="shared" si="49"/>
        <v>18.324230315643426</v>
      </c>
      <c r="N317" s="13">
        <f t="shared" si="55"/>
        <v>17.898319885585799</v>
      </c>
      <c r="O317" s="6">
        <f t="shared" si="52"/>
        <v>4373.2054252155904</v>
      </c>
      <c r="P317" s="6">
        <f t="shared" si="53"/>
        <v>4387.05948443535</v>
      </c>
      <c r="Q317" s="6">
        <f t="shared" si="50"/>
        <v>17.898319885585799</v>
      </c>
      <c r="T317" s="6">
        <f t="shared" si="54"/>
        <v>17.898319885585799</v>
      </c>
    </row>
    <row r="318" spans="1:20">
      <c r="B318">
        <f t="shared" si="51"/>
        <v>315</v>
      </c>
      <c r="C318">
        <f t="shared" si="45"/>
        <v>31</v>
      </c>
      <c r="D318">
        <v>305</v>
      </c>
      <c r="E318">
        <v>336</v>
      </c>
      <c r="F318">
        <f>TxSPLINE!F$14</f>
        <v>19.839333333333332</v>
      </c>
      <c r="G318">
        <f>TxSPLINE!F$15</f>
        <v>14.620645161290319</v>
      </c>
      <c r="H318" s="5">
        <f>TxSPLINE!K$14</f>
        <v>7.0229930209527672E-3</v>
      </c>
      <c r="I318" s="5">
        <f>TxSPLINE!K$15</f>
        <v>6.9697616525759946E-4</v>
      </c>
      <c r="J318">
        <f t="shared" si="46"/>
        <v>0.67741935483870963</v>
      </c>
      <c r="K318">
        <f t="shared" si="47"/>
        <v>0.32258064516129031</v>
      </c>
      <c r="L318">
        <f t="shared" si="48"/>
        <v>269</v>
      </c>
      <c r="M318" s="6">
        <f t="shared" si="49"/>
        <v>18.155885535900101</v>
      </c>
      <c r="N318" s="13">
        <f t="shared" si="55"/>
        <v>17.711304629600789</v>
      </c>
      <c r="O318" s="6">
        <f t="shared" si="52"/>
        <v>4391.3613107514902</v>
      </c>
      <c r="P318" s="6">
        <f t="shared" si="53"/>
        <v>4404.7707890649508</v>
      </c>
      <c r="Q318" s="6">
        <f t="shared" si="50"/>
        <v>17.711304629600789</v>
      </c>
      <c r="T318" s="6">
        <f t="shared" si="54"/>
        <v>17.711304629600789</v>
      </c>
    </row>
    <row r="319" spans="1:20">
      <c r="B319">
        <f t="shared" si="51"/>
        <v>316</v>
      </c>
      <c r="C319">
        <f t="shared" si="45"/>
        <v>31</v>
      </c>
      <c r="D319">
        <v>305</v>
      </c>
      <c r="E319">
        <v>336</v>
      </c>
      <c r="F319">
        <f>TxSPLINE!F$14</f>
        <v>19.839333333333332</v>
      </c>
      <c r="G319">
        <f>TxSPLINE!F$15</f>
        <v>14.620645161290319</v>
      </c>
      <c r="H319" s="5">
        <f>TxSPLINE!K$14</f>
        <v>7.0229930209527672E-3</v>
      </c>
      <c r="I319" s="5">
        <f>TxSPLINE!K$15</f>
        <v>6.9697616525759946E-4</v>
      </c>
      <c r="J319">
        <f t="shared" si="46"/>
        <v>0.64516129032258063</v>
      </c>
      <c r="K319">
        <f t="shared" si="47"/>
        <v>0.35483870967741937</v>
      </c>
      <c r="L319">
        <f t="shared" si="48"/>
        <v>270</v>
      </c>
      <c r="M319" s="6">
        <f t="shared" si="49"/>
        <v>17.987540756156779</v>
      </c>
      <c r="N319" s="13">
        <f t="shared" si="55"/>
        <v>17.529271716038121</v>
      </c>
      <c r="O319" s="6">
        <f t="shared" si="52"/>
        <v>4409.3488515076469</v>
      </c>
      <c r="P319" s="6">
        <f t="shared" si="53"/>
        <v>4422.300060780989</v>
      </c>
      <c r="Q319" s="6">
        <f t="shared" si="50"/>
        <v>17.529271716038121</v>
      </c>
      <c r="T319" s="6">
        <f t="shared" si="54"/>
        <v>17.529271716038121</v>
      </c>
    </row>
    <row r="320" spans="1:20">
      <c r="B320">
        <f t="shared" si="51"/>
        <v>317</v>
      </c>
      <c r="C320">
        <f t="shared" si="45"/>
        <v>31</v>
      </c>
      <c r="D320">
        <v>305</v>
      </c>
      <c r="E320">
        <v>336</v>
      </c>
      <c r="F320">
        <f>TxSPLINE!F$14</f>
        <v>19.839333333333332</v>
      </c>
      <c r="G320">
        <f>TxSPLINE!F$15</f>
        <v>14.620645161290319</v>
      </c>
      <c r="H320" s="5">
        <f>TxSPLINE!K$14</f>
        <v>7.0229930209527672E-3</v>
      </c>
      <c r="I320" s="5">
        <f>TxSPLINE!K$15</f>
        <v>6.9697616525759946E-4</v>
      </c>
      <c r="J320">
        <f t="shared" si="46"/>
        <v>0.61290322580645162</v>
      </c>
      <c r="K320">
        <f t="shared" si="47"/>
        <v>0.38709677419354838</v>
      </c>
      <c r="L320">
        <f t="shared" si="48"/>
        <v>271</v>
      </c>
      <c r="M320" s="6">
        <f t="shared" si="49"/>
        <v>17.819195976413457</v>
      </c>
      <c r="N320" s="13">
        <f t="shared" si="55"/>
        <v>17.352017079837935</v>
      </c>
      <c r="O320" s="6">
        <f t="shared" si="52"/>
        <v>4427.1680474840605</v>
      </c>
      <c r="P320" s="6">
        <f t="shared" si="53"/>
        <v>4439.6520778608274</v>
      </c>
      <c r="Q320" s="6">
        <f t="shared" si="50"/>
        <v>17.352017079837935</v>
      </c>
      <c r="T320" s="6">
        <f t="shared" si="54"/>
        <v>17.352017079837935</v>
      </c>
    </row>
    <row r="321" spans="2:20">
      <c r="B321">
        <f t="shared" si="51"/>
        <v>318</v>
      </c>
      <c r="C321">
        <f t="shared" si="45"/>
        <v>31</v>
      </c>
      <c r="D321">
        <v>305</v>
      </c>
      <c r="E321">
        <v>336</v>
      </c>
      <c r="F321">
        <f>TxSPLINE!F$14</f>
        <v>19.839333333333332</v>
      </c>
      <c r="G321">
        <f>TxSPLINE!F$15</f>
        <v>14.620645161290319</v>
      </c>
      <c r="H321" s="5">
        <f>TxSPLINE!K$14</f>
        <v>7.0229930209527672E-3</v>
      </c>
      <c r="I321" s="5">
        <f>TxSPLINE!K$15</f>
        <v>6.9697616525759946E-4</v>
      </c>
      <c r="J321">
        <f t="shared" si="46"/>
        <v>0.58064516129032262</v>
      </c>
      <c r="K321">
        <f t="shared" si="47"/>
        <v>0.41935483870967744</v>
      </c>
      <c r="L321">
        <f t="shared" si="48"/>
        <v>272</v>
      </c>
      <c r="M321" s="6">
        <f t="shared" si="49"/>
        <v>17.650851196670136</v>
      </c>
      <c r="N321" s="13">
        <f t="shared" si="55"/>
        <v>17.179336655940368</v>
      </c>
      <c r="O321" s="6">
        <f t="shared" si="52"/>
        <v>4444.8188986807309</v>
      </c>
      <c r="P321" s="6">
        <f t="shared" si="53"/>
        <v>4456.8314145167678</v>
      </c>
      <c r="Q321" s="6">
        <f t="shared" si="50"/>
        <v>17.179336655940368</v>
      </c>
      <c r="T321" s="6">
        <f t="shared" si="54"/>
        <v>17.179336655940368</v>
      </c>
    </row>
    <row r="322" spans="2:20">
      <c r="B322">
        <f t="shared" si="51"/>
        <v>319</v>
      </c>
      <c r="C322">
        <f t="shared" si="45"/>
        <v>31</v>
      </c>
      <c r="D322">
        <v>305</v>
      </c>
      <c r="E322">
        <v>336</v>
      </c>
      <c r="F322">
        <f>TxSPLINE!F$14</f>
        <v>19.839333333333332</v>
      </c>
      <c r="G322">
        <f>TxSPLINE!F$15</f>
        <v>14.620645161290319</v>
      </c>
      <c r="H322" s="5">
        <f>TxSPLINE!K$14</f>
        <v>7.0229930209527672E-3</v>
      </c>
      <c r="I322" s="5">
        <f>TxSPLINE!K$15</f>
        <v>6.9697616525759946E-4</v>
      </c>
      <c r="J322">
        <f t="shared" si="46"/>
        <v>0.54838709677419351</v>
      </c>
      <c r="K322">
        <f t="shared" si="47"/>
        <v>0.45161290322580644</v>
      </c>
      <c r="L322">
        <f t="shared" si="48"/>
        <v>273</v>
      </c>
      <c r="M322" s="6">
        <f t="shared" si="49"/>
        <v>17.48250641692681</v>
      </c>
      <c r="N322" s="13">
        <f t="shared" si="55"/>
        <v>17.011026379285557</v>
      </c>
      <c r="O322" s="6">
        <f t="shared" si="52"/>
        <v>4462.3014050976581</v>
      </c>
      <c r="P322" s="6">
        <f t="shared" si="53"/>
        <v>4473.8424408960536</v>
      </c>
      <c r="Q322" s="6">
        <f t="shared" si="50"/>
        <v>17.011026379285557</v>
      </c>
      <c r="T322" s="6">
        <f t="shared" si="54"/>
        <v>17.011026379285557</v>
      </c>
    </row>
    <row r="323" spans="2:20">
      <c r="B323">
        <f t="shared" si="51"/>
        <v>320</v>
      </c>
      <c r="C323">
        <f t="shared" si="45"/>
        <v>31</v>
      </c>
      <c r="D323">
        <v>305</v>
      </c>
      <c r="E323">
        <v>336</v>
      </c>
      <c r="F323">
        <f>TxSPLINE!F$14</f>
        <v>19.839333333333332</v>
      </c>
      <c r="G323">
        <f>TxSPLINE!F$15</f>
        <v>14.620645161290319</v>
      </c>
      <c r="H323" s="5">
        <f>TxSPLINE!K$14</f>
        <v>7.0229930209527672E-3</v>
      </c>
      <c r="I323" s="5">
        <f>TxSPLINE!K$15</f>
        <v>6.9697616525759946E-4</v>
      </c>
      <c r="J323">
        <f t="shared" si="46"/>
        <v>0.5161290322580645</v>
      </c>
      <c r="K323">
        <f t="shared" si="47"/>
        <v>0.4838709677419355</v>
      </c>
      <c r="L323">
        <f t="shared" si="48"/>
        <v>274</v>
      </c>
      <c r="M323" s="6">
        <f t="shared" si="49"/>
        <v>17.314161637183489</v>
      </c>
      <c r="N323" s="13">
        <f t="shared" si="55"/>
        <v>16.846882184813644</v>
      </c>
      <c r="O323" s="6">
        <f t="shared" si="52"/>
        <v>4479.6155667348412</v>
      </c>
      <c r="P323" s="6">
        <f t="shared" si="53"/>
        <v>4490.6893230808673</v>
      </c>
      <c r="Q323" s="6">
        <f t="shared" si="50"/>
        <v>16.846882184813644</v>
      </c>
      <c r="T323" s="6">
        <f t="shared" si="54"/>
        <v>16.846882184813644</v>
      </c>
    </row>
    <row r="324" spans="2:20">
      <c r="B324">
        <f t="shared" si="51"/>
        <v>321</v>
      </c>
      <c r="C324">
        <f t="shared" ref="C324:C387" si="56">E324-D324</f>
        <v>31</v>
      </c>
      <c r="D324">
        <v>305</v>
      </c>
      <c r="E324">
        <v>336</v>
      </c>
      <c r="F324">
        <f>TxSPLINE!F$14</f>
        <v>19.839333333333332</v>
      </c>
      <c r="G324">
        <f>TxSPLINE!F$15</f>
        <v>14.620645161290319</v>
      </c>
      <c r="H324" s="5">
        <f>TxSPLINE!K$14</f>
        <v>7.0229930209527672E-3</v>
      </c>
      <c r="I324" s="5">
        <f>TxSPLINE!K$15</f>
        <v>6.9697616525759946E-4</v>
      </c>
      <c r="J324">
        <f t="shared" ref="J324:J387" si="57">(E324-B324)/C324</f>
        <v>0.4838709677419355</v>
      </c>
      <c r="K324">
        <f t="shared" ref="K324:K387" si="58">(B324-D324)/C324</f>
        <v>0.5161290322580645</v>
      </c>
      <c r="L324">
        <f t="shared" ref="L324:L387" si="59">B324-46</f>
        <v>275</v>
      </c>
      <c r="M324" s="6">
        <f t="shared" ref="M324:M387" si="60">J324*F324+K324*G324</f>
        <v>17.145816857440167</v>
      </c>
      <c r="N324" s="13">
        <f t="shared" si="55"/>
        <v>16.686700007464768</v>
      </c>
      <c r="O324" s="6">
        <f t="shared" si="52"/>
        <v>4496.7613835922812</v>
      </c>
      <c r="P324" s="6">
        <f t="shared" si="53"/>
        <v>4507.3760230883317</v>
      </c>
      <c r="Q324" s="6">
        <f t="shared" ref="Q324:Q387" si="61">M324+(((J324^3-J324)*H324+(K324^3-K324)*I324))*(C324^2)/6</f>
        <v>16.686700007464768</v>
      </c>
      <c r="T324" s="6">
        <f t="shared" si="54"/>
        <v>16.686700007464768</v>
      </c>
    </row>
    <row r="325" spans="2:20">
      <c r="B325">
        <f t="shared" ref="B325:B388" si="62">B324+1</f>
        <v>322</v>
      </c>
      <c r="C325">
        <f t="shared" si="56"/>
        <v>31</v>
      </c>
      <c r="D325">
        <v>305</v>
      </c>
      <c r="E325">
        <v>336</v>
      </c>
      <c r="F325">
        <f>TxSPLINE!F$14</f>
        <v>19.839333333333332</v>
      </c>
      <c r="G325">
        <f>TxSPLINE!F$15</f>
        <v>14.620645161290319</v>
      </c>
      <c r="H325" s="5">
        <f>TxSPLINE!K$14</f>
        <v>7.0229930209527672E-3</v>
      </c>
      <c r="I325" s="5">
        <f>TxSPLINE!K$15</f>
        <v>6.9697616525759946E-4</v>
      </c>
      <c r="J325">
        <f t="shared" si="57"/>
        <v>0.45161290322580644</v>
      </c>
      <c r="K325">
        <f t="shared" si="58"/>
        <v>0.54838709677419351</v>
      </c>
      <c r="L325">
        <f t="shared" si="59"/>
        <v>276</v>
      </c>
      <c r="M325" s="6">
        <f t="shared" si="60"/>
        <v>16.977472077696838</v>
      </c>
      <c r="N325" s="13">
        <f t="shared" si="55"/>
        <v>16.530275782179057</v>
      </c>
      <c r="O325" s="6">
        <f t="shared" ref="O325:O388" si="63">O324+M325</f>
        <v>4513.738855669978</v>
      </c>
      <c r="P325" s="6">
        <f t="shared" ref="P325:P388" si="64">P324+N325</f>
        <v>4523.9062988705109</v>
      </c>
      <c r="Q325" s="6">
        <f t="shared" si="61"/>
        <v>16.530275782179057</v>
      </c>
      <c r="T325" s="6">
        <f t="shared" si="54"/>
        <v>16.530275782179057</v>
      </c>
    </row>
    <row r="326" spans="2:20">
      <c r="B326">
        <f t="shared" si="62"/>
        <v>323</v>
      </c>
      <c r="C326">
        <f t="shared" si="56"/>
        <v>31</v>
      </c>
      <c r="D326">
        <v>305</v>
      </c>
      <c r="E326">
        <v>336</v>
      </c>
      <c r="F326">
        <f>TxSPLINE!F$14</f>
        <v>19.839333333333332</v>
      </c>
      <c r="G326">
        <f>TxSPLINE!F$15</f>
        <v>14.620645161290319</v>
      </c>
      <c r="H326" s="5">
        <f>TxSPLINE!K$14</f>
        <v>7.0229930209527672E-3</v>
      </c>
      <c r="I326" s="5">
        <f>TxSPLINE!K$15</f>
        <v>6.9697616525759946E-4</v>
      </c>
      <c r="J326">
        <f t="shared" si="57"/>
        <v>0.41935483870967744</v>
      </c>
      <c r="K326">
        <f t="shared" si="58"/>
        <v>0.58064516129032262</v>
      </c>
      <c r="L326">
        <f t="shared" si="59"/>
        <v>277</v>
      </c>
      <c r="M326" s="6">
        <f t="shared" si="60"/>
        <v>16.80912729795352</v>
      </c>
      <c r="N326" s="13">
        <f t="shared" si="55"/>
        <v>16.377405443896674</v>
      </c>
      <c r="O326" s="6">
        <f t="shared" si="63"/>
        <v>4530.5479829679316</v>
      </c>
      <c r="P326" s="6">
        <f t="shared" si="64"/>
        <v>4540.2837043144073</v>
      </c>
      <c r="Q326" s="6">
        <f t="shared" si="61"/>
        <v>16.377405443896674</v>
      </c>
      <c r="T326" s="6">
        <f t="shared" si="54"/>
        <v>16.377405443896674</v>
      </c>
    </row>
    <row r="327" spans="2:20">
      <c r="B327">
        <f t="shared" si="62"/>
        <v>324</v>
      </c>
      <c r="C327">
        <f t="shared" si="56"/>
        <v>31</v>
      </c>
      <c r="D327">
        <v>305</v>
      </c>
      <c r="E327">
        <v>336</v>
      </c>
      <c r="F327">
        <f>TxSPLINE!F$14</f>
        <v>19.839333333333332</v>
      </c>
      <c r="G327">
        <f>TxSPLINE!F$15</f>
        <v>14.620645161290319</v>
      </c>
      <c r="H327" s="5">
        <f>TxSPLINE!K$14</f>
        <v>7.0229930209527672E-3</v>
      </c>
      <c r="I327" s="5">
        <f>TxSPLINE!K$15</f>
        <v>6.9697616525759946E-4</v>
      </c>
      <c r="J327">
        <f t="shared" si="57"/>
        <v>0.38709677419354838</v>
      </c>
      <c r="K327">
        <f t="shared" si="58"/>
        <v>0.61290322580645162</v>
      </c>
      <c r="L327">
        <f t="shared" si="59"/>
        <v>278</v>
      </c>
      <c r="M327" s="6">
        <f t="shared" si="60"/>
        <v>16.640782518210194</v>
      </c>
      <c r="N327" s="13">
        <f t="shared" si="55"/>
        <v>16.227884927557735</v>
      </c>
      <c r="O327" s="6">
        <f t="shared" si="63"/>
        <v>4547.1887654861421</v>
      </c>
      <c r="P327" s="6">
        <f t="shared" si="64"/>
        <v>4556.5115892419653</v>
      </c>
      <c r="Q327" s="6">
        <f t="shared" si="61"/>
        <v>16.227884927557735</v>
      </c>
      <c r="T327" s="6">
        <f t="shared" si="54"/>
        <v>16.227884927557735</v>
      </c>
    </row>
    <row r="328" spans="2:20">
      <c r="B328">
        <f t="shared" si="62"/>
        <v>325</v>
      </c>
      <c r="C328">
        <f t="shared" si="56"/>
        <v>31</v>
      </c>
      <c r="D328">
        <v>305</v>
      </c>
      <c r="E328">
        <v>336</v>
      </c>
      <c r="F328">
        <f>TxSPLINE!F$14</f>
        <v>19.839333333333332</v>
      </c>
      <c r="G328">
        <f>TxSPLINE!F$15</f>
        <v>14.620645161290319</v>
      </c>
      <c r="H328" s="5">
        <f>TxSPLINE!K$14</f>
        <v>7.0229930209527672E-3</v>
      </c>
      <c r="I328" s="5">
        <f>TxSPLINE!K$15</f>
        <v>6.9697616525759946E-4</v>
      </c>
      <c r="J328">
        <f t="shared" si="57"/>
        <v>0.35483870967741937</v>
      </c>
      <c r="K328">
        <f t="shared" si="58"/>
        <v>0.64516129032258063</v>
      </c>
      <c r="L328">
        <f t="shared" si="59"/>
        <v>279</v>
      </c>
      <c r="M328" s="6">
        <f t="shared" si="60"/>
        <v>16.472437738466873</v>
      </c>
      <c r="N328" s="13">
        <f t="shared" si="55"/>
        <v>16.08151016810239</v>
      </c>
      <c r="O328" s="6">
        <f t="shared" si="63"/>
        <v>4563.6612032246094</v>
      </c>
      <c r="P328" s="6">
        <f t="shared" si="64"/>
        <v>4572.5930994100681</v>
      </c>
      <c r="Q328" s="6">
        <f t="shared" si="61"/>
        <v>16.08151016810239</v>
      </c>
      <c r="T328" s="6">
        <f t="shared" si="54"/>
        <v>16.08151016810239</v>
      </c>
    </row>
    <row r="329" spans="2:20">
      <c r="B329">
        <f t="shared" si="62"/>
        <v>326</v>
      </c>
      <c r="C329">
        <f t="shared" si="56"/>
        <v>31</v>
      </c>
      <c r="D329">
        <v>305</v>
      </c>
      <c r="E329">
        <v>336</v>
      </c>
      <c r="F329">
        <f>TxSPLINE!F$14</f>
        <v>19.839333333333332</v>
      </c>
      <c r="G329">
        <f>TxSPLINE!F$15</f>
        <v>14.620645161290319</v>
      </c>
      <c r="H329" s="5">
        <f>TxSPLINE!K$14</f>
        <v>7.0229930209527672E-3</v>
      </c>
      <c r="I329" s="5">
        <f>TxSPLINE!K$15</f>
        <v>6.9697616525759946E-4</v>
      </c>
      <c r="J329">
        <f t="shared" si="57"/>
        <v>0.32258064516129031</v>
      </c>
      <c r="K329">
        <f t="shared" si="58"/>
        <v>0.67741935483870963</v>
      </c>
      <c r="L329">
        <f t="shared" si="59"/>
        <v>280</v>
      </c>
      <c r="M329" s="6">
        <f t="shared" si="60"/>
        <v>16.304092958723547</v>
      </c>
      <c r="N329" s="13">
        <f t="shared" si="55"/>
        <v>15.938077100470771</v>
      </c>
      <c r="O329" s="6">
        <f t="shared" si="63"/>
        <v>4579.9652961833326</v>
      </c>
      <c r="P329" s="6">
        <f t="shared" si="64"/>
        <v>4588.5311765105389</v>
      </c>
      <c r="Q329" s="6">
        <f t="shared" si="61"/>
        <v>15.938077100470771</v>
      </c>
      <c r="T329" s="6">
        <f t="shared" si="54"/>
        <v>15.938077100470771</v>
      </c>
    </row>
    <row r="330" spans="2:20">
      <c r="B330">
        <f t="shared" si="62"/>
        <v>327</v>
      </c>
      <c r="C330">
        <f t="shared" si="56"/>
        <v>31</v>
      </c>
      <c r="D330">
        <v>305</v>
      </c>
      <c r="E330">
        <v>336</v>
      </c>
      <c r="F330">
        <f>TxSPLINE!F$14</f>
        <v>19.839333333333332</v>
      </c>
      <c r="G330">
        <f>TxSPLINE!F$15</f>
        <v>14.620645161290319</v>
      </c>
      <c r="H330" s="5">
        <f>TxSPLINE!K$14</f>
        <v>7.0229930209527672E-3</v>
      </c>
      <c r="I330" s="5">
        <f>TxSPLINE!K$15</f>
        <v>6.9697616525759946E-4</v>
      </c>
      <c r="J330">
        <f t="shared" si="57"/>
        <v>0.29032258064516131</v>
      </c>
      <c r="K330">
        <f t="shared" si="58"/>
        <v>0.70967741935483875</v>
      </c>
      <c r="L330">
        <f t="shared" si="59"/>
        <v>281</v>
      </c>
      <c r="M330" s="6">
        <f t="shared" si="60"/>
        <v>16.135748178980229</v>
      </c>
      <c r="N330" s="13">
        <f t="shared" si="55"/>
        <v>15.79738165960303</v>
      </c>
      <c r="O330" s="6">
        <f t="shared" si="63"/>
        <v>4596.1010443623127</v>
      </c>
      <c r="P330" s="6">
        <f t="shared" si="64"/>
        <v>4604.3285581701421</v>
      </c>
      <c r="Q330" s="6">
        <f t="shared" si="61"/>
        <v>15.79738165960303</v>
      </c>
      <c r="T330" s="6">
        <f t="shared" si="54"/>
        <v>15.79738165960303</v>
      </c>
    </row>
    <row r="331" spans="2:20">
      <c r="B331">
        <f t="shared" si="62"/>
        <v>328</v>
      </c>
      <c r="C331">
        <f t="shared" si="56"/>
        <v>31</v>
      </c>
      <c r="D331">
        <v>305</v>
      </c>
      <c r="E331">
        <v>336</v>
      </c>
      <c r="F331">
        <f>TxSPLINE!F$14</f>
        <v>19.839333333333332</v>
      </c>
      <c r="G331">
        <f>TxSPLINE!F$15</f>
        <v>14.620645161290319</v>
      </c>
      <c r="H331" s="5">
        <f>TxSPLINE!K$14</f>
        <v>7.0229930209527672E-3</v>
      </c>
      <c r="I331" s="5">
        <f>TxSPLINE!K$15</f>
        <v>6.9697616525759946E-4</v>
      </c>
      <c r="J331">
        <f t="shared" si="57"/>
        <v>0.25806451612903225</v>
      </c>
      <c r="K331">
        <f t="shared" si="58"/>
        <v>0.74193548387096775</v>
      </c>
      <c r="L331">
        <f t="shared" si="59"/>
        <v>282</v>
      </c>
      <c r="M331" s="6">
        <f t="shared" si="60"/>
        <v>15.967403399236904</v>
      </c>
      <c r="N331" s="13">
        <f t="shared" si="55"/>
        <v>15.659219780439289</v>
      </c>
      <c r="O331" s="6">
        <f t="shared" si="63"/>
        <v>4612.0684477615496</v>
      </c>
      <c r="P331" s="6">
        <f t="shared" si="64"/>
        <v>4619.9877779505814</v>
      </c>
      <c r="Q331" s="6">
        <f t="shared" si="61"/>
        <v>15.659219780439289</v>
      </c>
      <c r="T331" s="6">
        <f t="shared" si="54"/>
        <v>15.659219780439289</v>
      </c>
    </row>
    <row r="332" spans="2:20">
      <c r="B332">
        <f t="shared" si="62"/>
        <v>329</v>
      </c>
      <c r="C332">
        <f t="shared" si="56"/>
        <v>31</v>
      </c>
      <c r="D332">
        <v>305</v>
      </c>
      <c r="E332">
        <v>336</v>
      </c>
      <c r="F332">
        <f>TxSPLINE!F$14</f>
        <v>19.839333333333332</v>
      </c>
      <c r="G332">
        <f>TxSPLINE!F$15</f>
        <v>14.620645161290319</v>
      </c>
      <c r="H332" s="5">
        <f>TxSPLINE!K$14</f>
        <v>7.0229930209527672E-3</v>
      </c>
      <c r="I332" s="5">
        <f>TxSPLINE!K$15</f>
        <v>6.9697616525759946E-4</v>
      </c>
      <c r="J332">
        <f t="shared" si="57"/>
        <v>0.22580645161290322</v>
      </c>
      <c r="K332">
        <f t="shared" si="58"/>
        <v>0.77419354838709675</v>
      </c>
      <c r="L332">
        <f t="shared" si="59"/>
        <v>283</v>
      </c>
      <c r="M332" s="6">
        <f t="shared" si="60"/>
        <v>15.79905861949358</v>
      </c>
      <c r="N332" s="13">
        <f t="shared" si="55"/>
        <v>15.523387397919695</v>
      </c>
      <c r="O332" s="6">
        <f t="shared" si="63"/>
        <v>4627.8675063810433</v>
      </c>
      <c r="P332" s="6">
        <f t="shared" si="64"/>
        <v>4635.511165348501</v>
      </c>
      <c r="Q332" s="6">
        <f t="shared" si="61"/>
        <v>15.523387397919695</v>
      </c>
      <c r="T332" s="6">
        <f t="shared" si="54"/>
        <v>15.523387397919695</v>
      </c>
    </row>
    <row r="333" spans="2:20">
      <c r="B333">
        <f t="shared" si="62"/>
        <v>330</v>
      </c>
      <c r="C333">
        <f t="shared" si="56"/>
        <v>31</v>
      </c>
      <c r="D333">
        <v>305</v>
      </c>
      <c r="E333">
        <v>336</v>
      </c>
      <c r="F333">
        <f>TxSPLINE!F$14</f>
        <v>19.839333333333332</v>
      </c>
      <c r="G333">
        <f>TxSPLINE!F$15</f>
        <v>14.620645161290319</v>
      </c>
      <c r="H333" s="5">
        <f>TxSPLINE!K$14</f>
        <v>7.0229930209527672E-3</v>
      </c>
      <c r="I333" s="5">
        <f>TxSPLINE!K$15</f>
        <v>6.9697616525759946E-4</v>
      </c>
      <c r="J333">
        <f t="shared" si="57"/>
        <v>0.19354838709677419</v>
      </c>
      <c r="K333">
        <f t="shared" si="58"/>
        <v>0.80645161290322576</v>
      </c>
      <c r="L333">
        <f t="shared" si="59"/>
        <v>284</v>
      </c>
      <c r="M333" s="6">
        <f t="shared" si="60"/>
        <v>15.630713839750257</v>
      </c>
      <c r="N333" s="13">
        <f t="shared" si="55"/>
        <v>15.389680446984388</v>
      </c>
      <c r="O333" s="6">
        <f t="shared" si="63"/>
        <v>4643.4982202207939</v>
      </c>
      <c r="P333" s="6">
        <f t="shared" si="64"/>
        <v>4650.9008457954851</v>
      </c>
      <c r="Q333" s="6">
        <f t="shared" si="61"/>
        <v>15.389680446984388</v>
      </c>
      <c r="T333" s="6">
        <f t="shared" si="54"/>
        <v>15.389680446984388</v>
      </c>
    </row>
    <row r="334" spans="2:20">
      <c r="B334">
        <f t="shared" si="62"/>
        <v>331</v>
      </c>
      <c r="C334">
        <f t="shared" si="56"/>
        <v>31</v>
      </c>
      <c r="D334">
        <v>305</v>
      </c>
      <c r="E334">
        <v>336</v>
      </c>
      <c r="F334">
        <f>TxSPLINE!F$14</f>
        <v>19.839333333333332</v>
      </c>
      <c r="G334">
        <f>TxSPLINE!F$15</f>
        <v>14.620645161290319</v>
      </c>
      <c r="H334" s="5">
        <f>TxSPLINE!K$14</f>
        <v>7.0229930209527672E-3</v>
      </c>
      <c r="I334" s="5">
        <f>TxSPLINE!K$15</f>
        <v>6.9697616525759946E-4</v>
      </c>
      <c r="J334">
        <f t="shared" si="57"/>
        <v>0.16129032258064516</v>
      </c>
      <c r="K334">
        <f t="shared" si="58"/>
        <v>0.83870967741935487</v>
      </c>
      <c r="L334">
        <f t="shared" si="59"/>
        <v>285</v>
      </c>
      <c r="M334" s="6">
        <f t="shared" si="60"/>
        <v>15.462369060006935</v>
      </c>
      <c r="N334" s="13">
        <f t="shared" si="55"/>
        <v>15.257894862573506</v>
      </c>
      <c r="O334" s="6">
        <f t="shared" si="63"/>
        <v>4658.9605892808004</v>
      </c>
      <c r="P334" s="6">
        <f t="shared" si="64"/>
        <v>4666.1587406580584</v>
      </c>
      <c r="Q334" s="6">
        <f t="shared" si="61"/>
        <v>15.257894862573506</v>
      </c>
      <c r="T334" s="6">
        <f t="shared" si="54"/>
        <v>15.257894862573506</v>
      </c>
    </row>
    <row r="335" spans="2:20">
      <c r="B335">
        <f t="shared" si="62"/>
        <v>332</v>
      </c>
      <c r="C335">
        <f t="shared" si="56"/>
        <v>31</v>
      </c>
      <c r="D335">
        <v>305</v>
      </c>
      <c r="E335">
        <v>336</v>
      </c>
      <c r="F335">
        <f>TxSPLINE!F$14</f>
        <v>19.839333333333332</v>
      </c>
      <c r="G335">
        <f>TxSPLINE!F$15</f>
        <v>14.620645161290319</v>
      </c>
      <c r="H335" s="5">
        <f>TxSPLINE!K$14</f>
        <v>7.0229930209527672E-3</v>
      </c>
      <c r="I335" s="5">
        <f>TxSPLINE!K$15</f>
        <v>6.9697616525759946E-4</v>
      </c>
      <c r="J335">
        <f t="shared" si="57"/>
        <v>0.12903225806451613</v>
      </c>
      <c r="K335">
        <f t="shared" si="58"/>
        <v>0.87096774193548387</v>
      </c>
      <c r="L335">
        <f t="shared" si="59"/>
        <v>286</v>
      </c>
      <c r="M335" s="6">
        <f t="shared" si="60"/>
        <v>15.294024280263612</v>
      </c>
      <c r="N335" s="13">
        <f t="shared" si="55"/>
        <v>15.127826579627186</v>
      </c>
      <c r="O335" s="6">
        <f t="shared" si="63"/>
        <v>4674.2546135610637</v>
      </c>
      <c r="P335" s="6">
        <f t="shared" si="64"/>
        <v>4681.2865672376856</v>
      </c>
      <c r="Q335" s="6">
        <f t="shared" si="61"/>
        <v>15.127826579627186</v>
      </c>
      <c r="T335" s="6">
        <f t="shared" si="54"/>
        <v>15.127826579627186</v>
      </c>
    </row>
    <row r="336" spans="2:20">
      <c r="B336">
        <f t="shared" si="62"/>
        <v>333</v>
      </c>
      <c r="C336">
        <f t="shared" si="56"/>
        <v>31</v>
      </c>
      <c r="D336">
        <v>305</v>
      </c>
      <c r="E336">
        <v>336</v>
      </c>
      <c r="F336">
        <f>TxSPLINE!F$14</f>
        <v>19.839333333333332</v>
      </c>
      <c r="G336">
        <f>TxSPLINE!F$15</f>
        <v>14.620645161290319</v>
      </c>
      <c r="H336" s="5">
        <f>TxSPLINE!K$14</f>
        <v>7.0229930209527672E-3</v>
      </c>
      <c r="I336" s="5">
        <f>TxSPLINE!K$15</f>
        <v>6.9697616525759946E-4</v>
      </c>
      <c r="J336">
        <f t="shared" si="57"/>
        <v>9.6774193548387094E-2</v>
      </c>
      <c r="K336">
        <f t="shared" si="58"/>
        <v>0.90322580645161288</v>
      </c>
      <c r="L336">
        <f t="shared" si="59"/>
        <v>287</v>
      </c>
      <c r="M336" s="6">
        <f t="shared" si="60"/>
        <v>15.125679500520288</v>
      </c>
      <c r="N336" s="13">
        <f t="shared" si="55"/>
        <v>14.999271533085569</v>
      </c>
      <c r="O336" s="6">
        <f t="shared" si="63"/>
        <v>4689.3802930615839</v>
      </c>
      <c r="P336" s="6">
        <f t="shared" si="64"/>
        <v>4696.2858387707711</v>
      </c>
      <c r="Q336" s="6">
        <f t="shared" si="61"/>
        <v>14.999271533085569</v>
      </c>
      <c r="T336" s="6">
        <f t="shared" si="54"/>
        <v>14.999271533085569</v>
      </c>
    </row>
    <row r="337" spans="1:20">
      <c r="B337">
        <f t="shared" si="62"/>
        <v>334</v>
      </c>
      <c r="C337">
        <f t="shared" si="56"/>
        <v>31</v>
      </c>
      <c r="D337">
        <v>305</v>
      </c>
      <c r="E337">
        <v>336</v>
      </c>
      <c r="F337">
        <f>TxSPLINE!F$14</f>
        <v>19.839333333333332</v>
      </c>
      <c r="G337">
        <f>TxSPLINE!F$15</f>
        <v>14.620645161290319</v>
      </c>
      <c r="H337" s="5">
        <f>TxSPLINE!K$14</f>
        <v>7.0229930209527672E-3</v>
      </c>
      <c r="I337" s="5">
        <f>TxSPLINE!K$15</f>
        <v>6.9697616525759946E-4</v>
      </c>
      <c r="J337">
        <f t="shared" si="57"/>
        <v>6.4516129032258063E-2</v>
      </c>
      <c r="K337">
        <f t="shared" si="58"/>
        <v>0.93548387096774188</v>
      </c>
      <c r="L337">
        <f t="shared" si="59"/>
        <v>288</v>
      </c>
      <c r="M337" s="6">
        <f t="shared" si="60"/>
        <v>14.957334720776965</v>
      </c>
      <c r="N337" s="13">
        <f t="shared" si="55"/>
        <v>14.872025657888793</v>
      </c>
      <c r="O337" s="6">
        <f t="shared" si="63"/>
        <v>4704.3376277823609</v>
      </c>
      <c r="P337" s="6">
        <f t="shared" si="64"/>
        <v>4711.1578644286601</v>
      </c>
      <c r="Q337" s="6">
        <f t="shared" si="61"/>
        <v>14.872025657888793</v>
      </c>
      <c r="T337" s="6">
        <f t="shared" si="54"/>
        <v>14.872025657888793</v>
      </c>
    </row>
    <row r="338" spans="1:20">
      <c r="B338">
        <f t="shared" si="62"/>
        <v>335</v>
      </c>
      <c r="C338">
        <f t="shared" si="56"/>
        <v>31</v>
      </c>
      <c r="D338">
        <v>305</v>
      </c>
      <c r="E338">
        <v>336</v>
      </c>
      <c r="F338">
        <f>TxSPLINE!F$14</f>
        <v>19.839333333333332</v>
      </c>
      <c r="G338">
        <f>TxSPLINE!F$15</f>
        <v>14.620645161290319</v>
      </c>
      <c r="H338" s="5">
        <f>TxSPLINE!K$14</f>
        <v>7.0229930209527672E-3</v>
      </c>
      <c r="I338" s="5">
        <f>TxSPLINE!K$15</f>
        <v>6.9697616525759946E-4</v>
      </c>
      <c r="J338">
        <f t="shared" si="57"/>
        <v>3.2258064516129031E-2</v>
      </c>
      <c r="K338">
        <f t="shared" si="58"/>
        <v>0.967741935483871</v>
      </c>
      <c r="L338">
        <f t="shared" si="59"/>
        <v>289</v>
      </c>
      <c r="M338" s="6">
        <f t="shared" si="60"/>
        <v>14.788989941033641</v>
      </c>
      <c r="N338" s="13">
        <f t="shared" si="55"/>
        <v>14.745884888976995</v>
      </c>
      <c r="O338" s="6">
        <f t="shared" si="63"/>
        <v>4719.1266177233947</v>
      </c>
      <c r="P338" s="6">
        <f t="shared" si="64"/>
        <v>4725.9037493176374</v>
      </c>
      <c r="Q338" s="6">
        <f t="shared" si="61"/>
        <v>14.745884888976995</v>
      </c>
      <c r="T338" s="6">
        <f t="shared" si="54"/>
        <v>14.745884888976995</v>
      </c>
    </row>
    <row r="339" spans="1:20">
      <c r="A339">
        <v>336</v>
      </c>
      <c r="B339">
        <f t="shared" si="62"/>
        <v>336</v>
      </c>
      <c r="C339">
        <f t="shared" si="56"/>
        <v>31</v>
      </c>
      <c r="D339">
        <v>305</v>
      </c>
      <c r="E339">
        <v>336</v>
      </c>
      <c r="F339">
        <f>TxSPLINE!F$14</f>
        <v>19.839333333333332</v>
      </c>
      <c r="G339">
        <f>TxSPLINE!F$15</f>
        <v>14.620645161290319</v>
      </c>
      <c r="H339" s="5">
        <f>TxSPLINE!K$14</f>
        <v>7.0229930209527672E-3</v>
      </c>
      <c r="I339" s="5">
        <f>TxSPLINE!K$15</f>
        <v>6.9697616525759946E-4</v>
      </c>
      <c r="J339">
        <f t="shared" si="57"/>
        <v>0</v>
      </c>
      <c r="K339">
        <f t="shared" si="58"/>
        <v>1</v>
      </c>
      <c r="L339">
        <f t="shared" si="59"/>
        <v>290</v>
      </c>
      <c r="M339" s="6">
        <f t="shared" si="60"/>
        <v>14.620645161290319</v>
      </c>
      <c r="N339" s="13">
        <f t="shared" si="55"/>
        <v>14.620645161290319</v>
      </c>
      <c r="O339" s="6">
        <f t="shared" si="63"/>
        <v>4733.7472628846854</v>
      </c>
      <c r="P339" s="6">
        <f t="shared" si="64"/>
        <v>4740.5243944789281</v>
      </c>
      <c r="Q339" s="6">
        <f t="shared" si="61"/>
        <v>14.620645161290319</v>
      </c>
      <c r="T339" s="6">
        <f t="shared" si="54"/>
        <v>14.620645161290319</v>
      </c>
    </row>
    <row r="340" spans="1:20">
      <c r="B340">
        <f t="shared" si="62"/>
        <v>337</v>
      </c>
      <c r="C340">
        <f t="shared" si="56"/>
        <v>30</v>
      </c>
      <c r="D340">
        <v>336</v>
      </c>
      <c r="E340">
        <v>366</v>
      </c>
      <c r="F340">
        <f>TxSPLINE!F$15</f>
        <v>14.620645161290319</v>
      </c>
      <c r="G340">
        <f>TxSPLINE!F$16</f>
        <v>9.7266666666666648</v>
      </c>
      <c r="H340" s="5">
        <f>TxSPLINE!K$15</f>
        <v>6.9697616525759946E-4</v>
      </c>
      <c r="I340" s="5">
        <f>TxSPLINE!K$16</f>
        <v>-9.0490298758585334E-3</v>
      </c>
      <c r="J340">
        <f t="shared" si="57"/>
        <v>0.96666666666666667</v>
      </c>
      <c r="K340">
        <f t="shared" si="58"/>
        <v>3.3333333333333333E-2</v>
      </c>
      <c r="L340">
        <f t="shared" si="59"/>
        <v>291</v>
      </c>
      <c r="M340" s="6">
        <f t="shared" si="60"/>
        <v>14.457512544802864</v>
      </c>
      <c r="N340" s="13">
        <f t="shared" si="55"/>
        <v>14.496082276134203</v>
      </c>
      <c r="O340" s="6">
        <f t="shared" si="63"/>
        <v>4748.2047754294881</v>
      </c>
      <c r="P340" s="6">
        <f t="shared" si="64"/>
        <v>4755.0204767550622</v>
      </c>
      <c r="Q340" s="6">
        <f t="shared" si="61"/>
        <v>14.496082276134203</v>
      </c>
      <c r="T340" s="6">
        <f t="shared" si="54"/>
        <v>14.496082276134203</v>
      </c>
    </row>
    <row r="341" spans="1:20">
      <c r="B341">
        <f t="shared" si="62"/>
        <v>338</v>
      </c>
      <c r="C341">
        <f t="shared" si="56"/>
        <v>30</v>
      </c>
      <c r="D341">
        <v>336</v>
      </c>
      <c r="E341">
        <v>366</v>
      </c>
      <c r="F341">
        <f>TxSPLINE!F$15</f>
        <v>14.620645161290319</v>
      </c>
      <c r="G341">
        <f>TxSPLINE!F$16</f>
        <v>9.7266666666666648</v>
      </c>
      <c r="H341" s="5">
        <f>TxSPLINE!K$15</f>
        <v>6.9697616525759946E-4</v>
      </c>
      <c r="I341" s="5">
        <f>TxSPLINE!K$16</f>
        <v>-9.0490298758585334E-3</v>
      </c>
      <c r="J341">
        <f t="shared" si="57"/>
        <v>0.93333333333333335</v>
      </c>
      <c r="K341">
        <f t="shared" si="58"/>
        <v>6.6666666666666666E-2</v>
      </c>
      <c r="L341">
        <f t="shared" si="59"/>
        <v>292</v>
      </c>
      <c r="M341" s="6">
        <f t="shared" si="60"/>
        <v>14.294379928315408</v>
      </c>
      <c r="N341" s="13">
        <f t="shared" si="55"/>
        <v>14.371891500275307</v>
      </c>
      <c r="O341" s="6">
        <f t="shared" si="63"/>
        <v>4762.4991553578038</v>
      </c>
      <c r="P341" s="6">
        <f t="shared" si="64"/>
        <v>4769.3923682553377</v>
      </c>
      <c r="Q341" s="6">
        <f t="shared" si="61"/>
        <v>14.371891500275307</v>
      </c>
      <c r="T341" s="6">
        <f t="shared" si="54"/>
        <v>14.371891500275307</v>
      </c>
    </row>
    <row r="342" spans="1:20">
      <c r="B342">
        <f t="shared" si="62"/>
        <v>339</v>
      </c>
      <c r="C342">
        <f t="shared" si="56"/>
        <v>30</v>
      </c>
      <c r="D342">
        <v>336</v>
      </c>
      <c r="E342">
        <v>366</v>
      </c>
      <c r="F342">
        <f>TxSPLINE!F$15</f>
        <v>14.620645161290319</v>
      </c>
      <c r="G342">
        <f>TxSPLINE!F$16</f>
        <v>9.7266666666666648</v>
      </c>
      <c r="H342" s="5">
        <f>TxSPLINE!K$15</f>
        <v>6.9697616525759946E-4</v>
      </c>
      <c r="I342" s="5">
        <f>TxSPLINE!K$16</f>
        <v>-9.0490298758585334E-3</v>
      </c>
      <c r="J342">
        <f t="shared" si="57"/>
        <v>0.9</v>
      </c>
      <c r="K342">
        <f t="shared" si="58"/>
        <v>0.1</v>
      </c>
      <c r="L342">
        <f t="shared" si="59"/>
        <v>293</v>
      </c>
      <c r="M342" s="6">
        <f t="shared" si="60"/>
        <v>14.131247311827956</v>
      </c>
      <c r="N342" s="13">
        <f t="shared" si="55"/>
        <v>14.247747966845598</v>
      </c>
      <c r="O342" s="6">
        <f t="shared" si="63"/>
        <v>4776.6304026696316</v>
      </c>
      <c r="P342" s="6">
        <f t="shared" si="64"/>
        <v>4783.6401162221837</v>
      </c>
      <c r="Q342" s="6">
        <f t="shared" si="61"/>
        <v>14.247747966845598</v>
      </c>
      <c r="T342" s="6">
        <f t="shared" si="54"/>
        <v>14.247747966845598</v>
      </c>
    </row>
    <row r="343" spans="1:20">
      <c r="B343">
        <f t="shared" si="62"/>
        <v>340</v>
      </c>
      <c r="C343">
        <f t="shared" si="56"/>
        <v>30</v>
      </c>
      <c r="D343">
        <v>336</v>
      </c>
      <c r="E343">
        <v>366</v>
      </c>
      <c r="F343">
        <f>TxSPLINE!F$15</f>
        <v>14.620645161290319</v>
      </c>
      <c r="G343">
        <f>TxSPLINE!F$16</f>
        <v>9.7266666666666648</v>
      </c>
      <c r="H343" s="5">
        <f>TxSPLINE!K$15</f>
        <v>6.9697616525759946E-4</v>
      </c>
      <c r="I343" s="5">
        <f>TxSPLINE!K$16</f>
        <v>-9.0490298758585334E-3</v>
      </c>
      <c r="J343">
        <f t="shared" si="57"/>
        <v>0.8666666666666667</v>
      </c>
      <c r="K343">
        <f t="shared" si="58"/>
        <v>0.13333333333333333</v>
      </c>
      <c r="L343">
        <f t="shared" si="59"/>
        <v>294</v>
      </c>
      <c r="M343" s="6">
        <f t="shared" si="60"/>
        <v>13.9681146953405</v>
      </c>
      <c r="N343" s="13">
        <f t="shared" si="55"/>
        <v>14.12332680897703</v>
      </c>
      <c r="O343" s="6">
        <f t="shared" si="63"/>
        <v>4790.5985173649724</v>
      </c>
      <c r="P343" s="6">
        <f t="shared" si="64"/>
        <v>4797.7634430311609</v>
      </c>
      <c r="Q343" s="6">
        <f t="shared" si="61"/>
        <v>14.12332680897703</v>
      </c>
      <c r="T343" s="6">
        <f t="shared" si="54"/>
        <v>14.12332680897703</v>
      </c>
    </row>
    <row r="344" spans="1:20">
      <c r="B344">
        <f t="shared" si="62"/>
        <v>341</v>
      </c>
      <c r="C344">
        <f t="shared" si="56"/>
        <v>30</v>
      </c>
      <c r="D344">
        <v>336</v>
      </c>
      <c r="E344">
        <v>366</v>
      </c>
      <c r="F344">
        <f>TxSPLINE!F$15</f>
        <v>14.620645161290319</v>
      </c>
      <c r="G344">
        <f>TxSPLINE!F$16</f>
        <v>9.7266666666666648</v>
      </c>
      <c r="H344" s="5">
        <f>TxSPLINE!K$15</f>
        <v>6.9697616525759946E-4</v>
      </c>
      <c r="I344" s="5">
        <f>TxSPLINE!K$16</f>
        <v>-9.0490298758585334E-3</v>
      </c>
      <c r="J344">
        <f t="shared" si="57"/>
        <v>0.83333333333333337</v>
      </c>
      <c r="K344">
        <f t="shared" si="58"/>
        <v>0.16666666666666666</v>
      </c>
      <c r="L344">
        <f t="shared" si="59"/>
        <v>295</v>
      </c>
      <c r="M344" s="6">
        <f t="shared" si="60"/>
        <v>13.804982078853044</v>
      </c>
      <c r="N344" s="13">
        <f t="shared" si="55"/>
        <v>13.998303159801573</v>
      </c>
      <c r="O344" s="6">
        <f t="shared" si="63"/>
        <v>4804.4034994438252</v>
      </c>
      <c r="P344" s="6">
        <f t="shared" si="64"/>
        <v>4811.7617461909622</v>
      </c>
      <c r="Q344" s="6">
        <f t="shared" si="61"/>
        <v>13.998303159801573</v>
      </c>
      <c r="T344" s="6">
        <f t="shared" si="54"/>
        <v>13.998303159801573</v>
      </c>
    </row>
    <row r="345" spans="1:20">
      <c r="B345">
        <f t="shared" si="62"/>
        <v>342</v>
      </c>
      <c r="C345">
        <f t="shared" si="56"/>
        <v>30</v>
      </c>
      <c r="D345">
        <v>336</v>
      </c>
      <c r="E345">
        <v>366</v>
      </c>
      <c r="F345">
        <f>TxSPLINE!F$15</f>
        <v>14.620645161290319</v>
      </c>
      <c r="G345">
        <f>TxSPLINE!F$16</f>
        <v>9.7266666666666648</v>
      </c>
      <c r="H345" s="5">
        <f>TxSPLINE!K$15</f>
        <v>6.9697616525759946E-4</v>
      </c>
      <c r="I345" s="5">
        <f>TxSPLINE!K$16</f>
        <v>-9.0490298758585334E-3</v>
      </c>
      <c r="J345">
        <f t="shared" si="57"/>
        <v>0.8</v>
      </c>
      <c r="K345">
        <f t="shared" si="58"/>
        <v>0.2</v>
      </c>
      <c r="L345">
        <f t="shared" si="59"/>
        <v>296</v>
      </c>
      <c r="M345" s="6">
        <f t="shared" si="60"/>
        <v>13.641849462365588</v>
      </c>
      <c r="N345" s="13">
        <f t="shared" si="55"/>
        <v>13.872352152451185</v>
      </c>
      <c r="O345" s="6">
        <f t="shared" si="63"/>
        <v>4818.0453489061911</v>
      </c>
      <c r="P345" s="6">
        <f t="shared" si="64"/>
        <v>4825.6340983434129</v>
      </c>
      <c r="Q345" s="6">
        <f t="shared" si="61"/>
        <v>13.872352152451185</v>
      </c>
      <c r="T345" s="6">
        <f t="shared" si="54"/>
        <v>13.872352152451185</v>
      </c>
    </row>
    <row r="346" spans="1:20">
      <c r="B346">
        <f t="shared" si="62"/>
        <v>343</v>
      </c>
      <c r="C346">
        <f t="shared" si="56"/>
        <v>30</v>
      </c>
      <c r="D346">
        <v>336</v>
      </c>
      <c r="E346">
        <v>366</v>
      </c>
      <c r="F346">
        <f>TxSPLINE!F$15</f>
        <v>14.620645161290319</v>
      </c>
      <c r="G346">
        <f>TxSPLINE!F$16</f>
        <v>9.7266666666666648</v>
      </c>
      <c r="H346" s="5">
        <f>TxSPLINE!K$15</f>
        <v>6.9697616525759946E-4</v>
      </c>
      <c r="I346" s="5">
        <f>TxSPLINE!K$16</f>
        <v>-9.0490298758585334E-3</v>
      </c>
      <c r="J346">
        <f t="shared" si="57"/>
        <v>0.76666666666666672</v>
      </c>
      <c r="K346">
        <f t="shared" si="58"/>
        <v>0.23333333333333334</v>
      </c>
      <c r="L346">
        <f t="shared" si="59"/>
        <v>297</v>
      </c>
      <c r="M346" s="6">
        <f t="shared" si="60"/>
        <v>13.478716845878134</v>
      </c>
      <c r="N346" s="13">
        <f t="shared" si="55"/>
        <v>13.745148920057835</v>
      </c>
      <c r="O346" s="6">
        <f t="shared" si="63"/>
        <v>4831.524065752069</v>
      </c>
      <c r="P346" s="6">
        <f t="shared" si="64"/>
        <v>4839.3792472634705</v>
      </c>
      <c r="Q346" s="6">
        <f t="shared" si="61"/>
        <v>13.745148920057835</v>
      </c>
      <c r="T346" s="6">
        <f t="shared" si="54"/>
        <v>13.745148920057835</v>
      </c>
    </row>
    <row r="347" spans="1:20">
      <c r="B347">
        <f t="shared" si="62"/>
        <v>344</v>
      </c>
      <c r="C347">
        <f t="shared" si="56"/>
        <v>30</v>
      </c>
      <c r="D347">
        <v>336</v>
      </c>
      <c r="E347">
        <v>366</v>
      </c>
      <c r="F347">
        <f>TxSPLINE!F$15</f>
        <v>14.620645161290319</v>
      </c>
      <c r="G347">
        <f>TxSPLINE!F$16</f>
        <v>9.7266666666666648</v>
      </c>
      <c r="H347" s="5">
        <f>TxSPLINE!K$15</f>
        <v>6.9697616525759946E-4</v>
      </c>
      <c r="I347" s="5">
        <f>TxSPLINE!K$16</f>
        <v>-9.0490298758585334E-3</v>
      </c>
      <c r="J347">
        <f t="shared" si="57"/>
        <v>0.73333333333333328</v>
      </c>
      <c r="K347">
        <f t="shared" si="58"/>
        <v>0.26666666666666666</v>
      </c>
      <c r="L347">
        <f t="shared" si="59"/>
        <v>298</v>
      </c>
      <c r="M347" s="6">
        <f t="shared" si="60"/>
        <v>13.315584229390678</v>
      </c>
      <c r="N347" s="13">
        <f t="shared" si="55"/>
        <v>13.61636859575348</v>
      </c>
      <c r="O347" s="6">
        <f t="shared" si="63"/>
        <v>4844.8396499814598</v>
      </c>
      <c r="P347" s="6">
        <f t="shared" si="64"/>
        <v>4852.995615859224</v>
      </c>
      <c r="Q347" s="6">
        <f t="shared" si="61"/>
        <v>13.61636859575348</v>
      </c>
      <c r="T347" s="6">
        <f t="shared" si="54"/>
        <v>13.61636859575348</v>
      </c>
    </row>
    <row r="348" spans="1:20">
      <c r="B348">
        <f t="shared" si="62"/>
        <v>345</v>
      </c>
      <c r="C348">
        <f t="shared" si="56"/>
        <v>30</v>
      </c>
      <c r="D348">
        <v>336</v>
      </c>
      <c r="E348">
        <v>366</v>
      </c>
      <c r="F348">
        <f>TxSPLINE!F$15</f>
        <v>14.620645161290319</v>
      </c>
      <c r="G348">
        <f>TxSPLINE!F$16</f>
        <v>9.7266666666666648</v>
      </c>
      <c r="H348" s="5">
        <f>TxSPLINE!K$15</f>
        <v>6.9697616525759946E-4</v>
      </c>
      <c r="I348" s="5">
        <f>TxSPLINE!K$16</f>
        <v>-9.0490298758585334E-3</v>
      </c>
      <c r="J348">
        <f t="shared" si="57"/>
        <v>0.7</v>
      </c>
      <c r="K348">
        <f t="shared" si="58"/>
        <v>0.3</v>
      </c>
      <c r="L348">
        <f t="shared" si="59"/>
        <v>299</v>
      </c>
      <c r="M348" s="6">
        <f t="shared" si="60"/>
        <v>13.152451612903223</v>
      </c>
      <c r="N348" s="13">
        <f t="shared" si="55"/>
        <v>13.485686312670085</v>
      </c>
      <c r="O348" s="6">
        <f t="shared" si="63"/>
        <v>4857.9921015943628</v>
      </c>
      <c r="P348" s="6">
        <f t="shared" si="64"/>
        <v>4866.4813021718937</v>
      </c>
      <c r="Q348" s="6">
        <f t="shared" si="61"/>
        <v>13.485686312670085</v>
      </c>
      <c r="T348" s="6">
        <f t="shared" si="54"/>
        <v>13.485686312670085</v>
      </c>
    </row>
    <row r="349" spans="1:20">
      <c r="B349">
        <f t="shared" si="62"/>
        <v>346</v>
      </c>
      <c r="C349">
        <f t="shared" si="56"/>
        <v>30</v>
      </c>
      <c r="D349">
        <v>336</v>
      </c>
      <c r="E349">
        <v>366</v>
      </c>
      <c r="F349">
        <f>TxSPLINE!F$15</f>
        <v>14.620645161290319</v>
      </c>
      <c r="G349">
        <f>TxSPLINE!F$16</f>
        <v>9.7266666666666648</v>
      </c>
      <c r="H349" s="5">
        <f>TxSPLINE!K$15</f>
        <v>6.9697616525759946E-4</v>
      </c>
      <c r="I349" s="5">
        <f>TxSPLINE!K$16</f>
        <v>-9.0490298758585334E-3</v>
      </c>
      <c r="J349">
        <f t="shared" si="57"/>
        <v>0.66666666666666663</v>
      </c>
      <c r="K349">
        <f t="shared" si="58"/>
        <v>0.33333333333333331</v>
      </c>
      <c r="L349">
        <f t="shared" si="59"/>
        <v>300</v>
      </c>
      <c r="M349" s="6">
        <f t="shared" si="60"/>
        <v>12.989318996415767</v>
      </c>
      <c r="N349" s="13">
        <f t="shared" si="55"/>
        <v>13.352777203939613</v>
      </c>
      <c r="O349" s="6">
        <f t="shared" si="63"/>
        <v>4870.9814205907787</v>
      </c>
      <c r="P349" s="6">
        <f t="shared" si="64"/>
        <v>4879.8340793758334</v>
      </c>
      <c r="Q349" s="6">
        <f t="shared" si="61"/>
        <v>13.352777203939613</v>
      </c>
      <c r="T349" s="6">
        <f t="shared" si="54"/>
        <v>13.352777203939613</v>
      </c>
    </row>
    <row r="350" spans="1:20">
      <c r="B350">
        <f t="shared" si="62"/>
        <v>347</v>
      </c>
      <c r="C350">
        <f t="shared" si="56"/>
        <v>30</v>
      </c>
      <c r="D350">
        <v>336</v>
      </c>
      <c r="E350">
        <v>366</v>
      </c>
      <c r="F350">
        <f>TxSPLINE!F$15</f>
        <v>14.620645161290319</v>
      </c>
      <c r="G350">
        <f>TxSPLINE!F$16</f>
        <v>9.7266666666666648</v>
      </c>
      <c r="H350" s="5">
        <f>TxSPLINE!K$15</f>
        <v>6.9697616525759946E-4</v>
      </c>
      <c r="I350" s="5">
        <f>TxSPLINE!K$16</f>
        <v>-9.0490298758585334E-3</v>
      </c>
      <c r="J350">
        <f t="shared" si="57"/>
        <v>0.6333333333333333</v>
      </c>
      <c r="K350">
        <f t="shared" si="58"/>
        <v>0.36666666666666664</v>
      </c>
      <c r="L350">
        <f t="shared" si="59"/>
        <v>301</v>
      </c>
      <c r="M350" s="6">
        <f t="shared" si="60"/>
        <v>12.826186379928313</v>
      </c>
      <c r="N350" s="13">
        <f t="shared" si="55"/>
        <v>13.217316402694028</v>
      </c>
      <c r="O350" s="6">
        <f t="shared" si="63"/>
        <v>4883.8076069707067</v>
      </c>
      <c r="P350" s="6">
        <f t="shared" si="64"/>
        <v>4893.0513957785279</v>
      </c>
      <c r="Q350" s="6">
        <f t="shared" si="61"/>
        <v>13.217316402694028</v>
      </c>
      <c r="T350" s="6">
        <f t="shared" si="54"/>
        <v>13.217316402694028</v>
      </c>
    </row>
    <row r="351" spans="1:20">
      <c r="B351">
        <f t="shared" si="62"/>
        <v>348</v>
      </c>
      <c r="C351">
        <f t="shared" si="56"/>
        <v>30</v>
      </c>
      <c r="D351">
        <v>336</v>
      </c>
      <c r="E351">
        <v>366</v>
      </c>
      <c r="F351">
        <f>TxSPLINE!F$15</f>
        <v>14.620645161290319</v>
      </c>
      <c r="G351">
        <f>TxSPLINE!F$16</f>
        <v>9.7266666666666648</v>
      </c>
      <c r="H351" s="5">
        <f>TxSPLINE!K$15</f>
        <v>6.9697616525759946E-4</v>
      </c>
      <c r="I351" s="5">
        <f>TxSPLINE!K$16</f>
        <v>-9.0490298758585334E-3</v>
      </c>
      <c r="J351">
        <f t="shared" si="57"/>
        <v>0.6</v>
      </c>
      <c r="K351">
        <f t="shared" si="58"/>
        <v>0.4</v>
      </c>
      <c r="L351">
        <f t="shared" si="59"/>
        <v>302</v>
      </c>
      <c r="M351" s="6">
        <f t="shared" si="60"/>
        <v>12.663053763440857</v>
      </c>
      <c r="N351" s="13">
        <f t="shared" si="55"/>
        <v>13.078979042065288</v>
      </c>
      <c r="O351" s="6">
        <f t="shared" si="63"/>
        <v>4896.4706607341477</v>
      </c>
      <c r="P351" s="6">
        <f t="shared" si="64"/>
        <v>4906.1303748205928</v>
      </c>
      <c r="Q351" s="6">
        <f t="shared" si="61"/>
        <v>13.078979042065288</v>
      </c>
      <c r="T351" s="6">
        <f t="shared" si="54"/>
        <v>13.078979042065288</v>
      </c>
    </row>
    <row r="352" spans="1:20">
      <c r="B352">
        <f t="shared" si="62"/>
        <v>349</v>
      </c>
      <c r="C352">
        <f t="shared" si="56"/>
        <v>30</v>
      </c>
      <c r="D352">
        <v>336</v>
      </c>
      <c r="E352">
        <v>366</v>
      </c>
      <c r="F352">
        <f>TxSPLINE!F$15</f>
        <v>14.620645161290319</v>
      </c>
      <c r="G352">
        <f>TxSPLINE!F$16</f>
        <v>9.7266666666666648</v>
      </c>
      <c r="H352" s="5">
        <f>TxSPLINE!K$15</f>
        <v>6.9697616525759946E-4</v>
      </c>
      <c r="I352" s="5">
        <f>TxSPLINE!K$16</f>
        <v>-9.0490298758585334E-3</v>
      </c>
      <c r="J352">
        <f t="shared" si="57"/>
        <v>0.56666666666666665</v>
      </c>
      <c r="K352">
        <f t="shared" si="58"/>
        <v>0.43333333333333335</v>
      </c>
      <c r="L352">
        <f t="shared" si="59"/>
        <v>303</v>
      </c>
      <c r="M352" s="6">
        <f t="shared" si="60"/>
        <v>12.499921146953403</v>
      </c>
      <c r="N352" s="13">
        <f t="shared" si="55"/>
        <v>12.937440255185363</v>
      </c>
      <c r="O352" s="6">
        <f t="shared" si="63"/>
        <v>4908.9705818811008</v>
      </c>
      <c r="P352" s="6">
        <f t="shared" si="64"/>
        <v>4919.0678150757785</v>
      </c>
      <c r="Q352" s="6">
        <f t="shared" si="61"/>
        <v>12.937440255185363</v>
      </c>
      <c r="T352" s="6">
        <f t="shared" si="54"/>
        <v>12.937440255185363</v>
      </c>
    </row>
    <row r="353" spans="2:20">
      <c r="B353">
        <f t="shared" si="62"/>
        <v>350</v>
      </c>
      <c r="C353">
        <f t="shared" si="56"/>
        <v>30</v>
      </c>
      <c r="D353">
        <v>336</v>
      </c>
      <c r="E353">
        <v>366</v>
      </c>
      <c r="F353">
        <f>TxSPLINE!F$15</f>
        <v>14.620645161290319</v>
      </c>
      <c r="G353">
        <f>TxSPLINE!F$16</f>
        <v>9.7266666666666648</v>
      </c>
      <c r="H353" s="5">
        <f>TxSPLINE!K$15</f>
        <v>6.9697616525759946E-4</v>
      </c>
      <c r="I353" s="5">
        <f>TxSPLINE!K$16</f>
        <v>-9.0490298758585334E-3</v>
      </c>
      <c r="J353">
        <f t="shared" si="57"/>
        <v>0.53333333333333333</v>
      </c>
      <c r="K353">
        <f t="shared" si="58"/>
        <v>0.46666666666666667</v>
      </c>
      <c r="L353">
        <f t="shared" si="59"/>
        <v>304</v>
      </c>
      <c r="M353" s="6">
        <f t="shared" si="60"/>
        <v>12.336788530465949</v>
      </c>
      <c r="N353" s="13">
        <f t="shared" si="55"/>
        <v>12.792375175186212</v>
      </c>
      <c r="O353" s="6">
        <f t="shared" si="63"/>
        <v>4921.3073704115668</v>
      </c>
      <c r="P353" s="6">
        <f t="shared" si="64"/>
        <v>4931.8601902509645</v>
      </c>
      <c r="Q353" s="6">
        <f t="shared" si="61"/>
        <v>12.792375175186212</v>
      </c>
      <c r="T353" s="6">
        <f t="shared" si="54"/>
        <v>12.792375175186212</v>
      </c>
    </row>
    <row r="354" spans="2:20">
      <c r="B354">
        <f t="shared" si="62"/>
        <v>351</v>
      </c>
      <c r="C354">
        <f t="shared" si="56"/>
        <v>30</v>
      </c>
      <c r="D354">
        <v>336</v>
      </c>
      <c r="E354">
        <v>366</v>
      </c>
      <c r="F354">
        <f>TxSPLINE!F$15</f>
        <v>14.620645161290319</v>
      </c>
      <c r="G354">
        <f>TxSPLINE!F$16</f>
        <v>9.7266666666666648</v>
      </c>
      <c r="H354" s="5">
        <f>TxSPLINE!K$15</f>
        <v>6.9697616525759946E-4</v>
      </c>
      <c r="I354" s="5">
        <f>TxSPLINE!K$16</f>
        <v>-9.0490298758585334E-3</v>
      </c>
      <c r="J354">
        <f t="shared" si="57"/>
        <v>0.5</v>
      </c>
      <c r="K354">
        <f t="shared" si="58"/>
        <v>0.5</v>
      </c>
      <c r="L354">
        <f t="shared" si="59"/>
        <v>305</v>
      </c>
      <c r="M354" s="6">
        <f t="shared" si="60"/>
        <v>12.173655913978493</v>
      </c>
      <c r="N354" s="13">
        <f t="shared" si="55"/>
        <v>12.643458935199796</v>
      </c>
      <c r="O354" s="6">
        <f t="shared" si="63"/>
        <v>4933.4810263255449</v>
      </c>
      <c r="P354" s="6">
        <f t="shared" si="64"/>
        <v>4944.5036491861647</v>
      </c>
      <c r="Q354" s="6">
        <f t="shared" si="61"/>
        <v>12.643458935199796</v>
      </c>
      <c r="T354" s="6">
        <f t="shared" si="54"/>
        <v>12.643458935199796</v>
      </c>
    </row>
    <row r="355" spans="2:20">
      <c r="B355">
        <f t="shared" si="62"/>
        <v>352</v>
      </c>
      <c r="C355">
        <f t="shared" si="56"/>
        <v>30</v>
      </c>
      <c r="D355">
        <v>336</v>
      </c>
      <c r="E355">
        <v>366</v>
      </c>
      <c r="F355">
        <f>TxSPLINE!F$15</f>
        <v>14.620645161290319</v>
      </c>
      <c r="G355">
        <f>TxSPLINE!F$16</f>
        <v>9.7266666666666648</v>
      </c>
      <c r="H355" s="5">
        <f>TxSPLINE!K$15</f>
        <v>6.9697616525759946E-4</v>
      </c>
      <c r="I355" s="5">
        <f>TxSPLINE!K$16</f>
        <v>-9.0490298758585334E-3</v>
      </c>
      <c r="J355">
        <f t="shared" si="57"/>
        <v>0.46666666666666667</v>
      </c>
      <c r="K355">
        <f t="shared" si="58"/>
        <v>0.53333333333333333</v>
      </c>
      <c r="L355">
        <f t="shared" si="59"/>
        <v>306</v>
      </c>
      <c r="M355" s="6">
        <f t="shared" si="60"/>
        <v>12.010523297491037</v>
      </c>
      <c r="N355" s="13">
        <f t="shared" si="55"/>
        <v>12.490366668358078</v>
      </c>
      <c r="O355" s="6">
        <f t="shared" si="63"/>
        <v>4945.491549623036</v>
      </c>
      <c r="P355" s="6">
        <f t="shared" si="64"/>
        <v>4956.9940158545223</v>
      </c>
      <c r="Q355" s="6">
        <f t="shared" si="61"/>
        <v>12.490366668358078</v>
      </c>
      <c r="T355" s="6">
        <f t="shared" si="54"/>
        <v>12.490366668358078</v>
      </c>
    </row>
    <row r="356" spans="2:20">
      <c r="B356">
        <f t="shared" si="62"/>
        <v>353</v>
      </c>
      <c r="C356">
        <f t="shared" si="56"/>
        <v>30</v>
      </c>
      <c r="D356">
        <v>336</v>
      </c>
      <c r="E356">
        <v>366</v>
      </c>
      <c r="F356">
        <f>TxSPLINE!F$15</f>
        <v>14.620645161290319</v>
      </c>
      <c r="G356">
        <f>TxSPLINE!F$16</f>
        <v>9.7266666666666648</v>
      </c>
      <c r="H356" s="5">
        <f>TxSPLINE!K$15</f>
        <v>6.9697616525759946E-4</v>
      </c>
      <c r="I356" s="5">
        <f>TxSPLINE!K$16</f>
        <v>-9.0490298758585334E-3</v>
      </c>
      <c r="J356">
        <f t="shared" si="57"/>
        <v>0.43333333333333335</v>
      </c>
      <c r="K356">
        <f t="shared" si="58"/>
        <v>0.56666666666666665</v>
      </c>
      <c r="L356">
        <f t="shared" si="59"/>
        <v>307</v>
      </c>
      <c r="M356" s="6">
        <f t="shared" si="60"/>
        <v>11.847390681003581</v>
      </c>
      <c r="N356" s="13">
        <f t="shared" si="55"/>
        <v>12.332773507793023</v>
      </c>
      <c r="O356" s="6">
        <f t="shared" si="63"/>
        <v>4957.3389403040392</v>
      </c>
      <c r="P356" s="6">
        <f t="shared" si="64"/>
        <v>4969.3267893623151</v>
      </c>
      <c r="Q356" s="6">
        <f t="shared" si="61"/>
        <v>12.332773507793023</v>
      </c>
      <c r="T356" s="6">
        <f t="shared" si="54"/>
        <v>12.332773507793023</v>
      </c>
    </row>
    <row r="357" spans="2:20">
      <c r="B357">
        <f t="shared" si="62"/>
        <v>354</v>
      </c>
      <c r="C357">
        <f t="shared" si="56"/>
        <v>30</v>
      </c>
      <c r="D357">
        <v>336</v>
      </c>
      <c r="E357">
        <v>366</v>
      </c>
      <c r="F357">
        <f>TxSPLINE!F$15</f>
        <v>14.620645161290319</v>
      </c>
      <c r="G357">
        <f>TxSPLINE!F$16</f>
        <v>9.7266666666666648</v>
      </c>
      <c r="H357" s="5">
        <f>TxSPLINE!K$15</f>
        <v>6.9697616525759946E-4</v>
      </c>
      <c r="I357" s="5">
        <f>TxSPLINE!K$16</f>
        <v>-9.0490298758585334E-3</v>
      </c>
      <c r="J357">
        <f t="shared" si="57"/>
        <v>0.4</v>
      </c>
      <c r="K357">
        <f t="shared" si="58"/>
        <v>0.6</v>
      </c>
      <c r="L357">
        <f t="shared" si="59"/>
        <v>308</v>
      </c>
      <c r="M357" s="6">
        <f t="shared" si="60"/>
        <v>11.684258064516126</v>
      </c>
      <c r="N357" s="13">
        <f t="shared" si="55"/>
        <v>12.170354586636595</v>
      </c>
      <c r="O357" s="6">
        <f t="shared" si="63"/>
        <v>4969.0231983685553</v>
      </c>
      <c r="P357" s="6">
        <f t="shared" si="64"/>
        <v>4981.4971439489518</v>
      </c>
      <c r="Q357" s="6">
        <f t="shared" si="61"/>
        <v>12.170354586636595</v>
      </c>
      <c r="T357" s="6">
        <f t="shared" si="54"/>
        <v>12.170354586636595</v>
      </c>
    </row>
    <row r="358" spans="2:20">
      <c r="B358">
        <f t="shared" si="62"/>
        <v>355</v>
      </c>
      <c r="C358">
        <f t="shared" si="56"/>
        <v>30</v>
      </c>
      <c r="D358">
        <v>336</v>
      </c>
      <c r="E358">
        <v>366</v>
      </c>
      <c r="F358">
        <f>TxSPLINE!F$15</f>
        <v>14.620645161290319</v>
      </c>
      <c r="G358">
        <f>TxSPLINE!F$16</f>
        <v>9.7266666666666648</v>
      </c>
      <c r="H358" s="5">
        <f>TxSPLINE!K$15</f>
        <v>6.9697616525759946E-4</v>
      </c>
      <c r="I358" s="5">
        <f>TxSPLINE!K$16</f>
        <v>-9.0490298758585334E-3</v>
      </c>
      <c r="J358">
        <f t="shared" si="57"/>
        <v>0.36666666666666664</v>
      </c>
      <c r="K358">
        <f t="shared" si="58"/>
        <v>0.6333333333333333</v>
      </c>
      <c r="L358">
        <f t="shared" si="59"/>
        <v>309</v>
      </c>
      <c r="M358" s="6">
        <f t="shared" si="60"/>
        <v>11.521125448028672</v>
      </c>
      <c r="N358" s="13">
        <f t="shared" si="55"/>
        <v>12.002785038020754</v>
      </c>
      <c r="O358" s="6">
        <f t="shared" si="63"/>
        <v>4980.5443238165844</v>
      </c>
      <c r="P358" s="6">
        <f t="shared" si="64"/>
        <v>4993.4999289869729</v>
      </c>
      <c r="Q358" s="6">
        <f t="shared" si="61"/>
        <v>12.002785038020754</v>
      </c>
      <c r="T358" s="6">
        <f t="shared" si="54"/>
        <v>12.002785038020754</v>
      </c>
    </row>
    <row r="359" spans="2:20">
      <c r="B359">
        <f t="shared" si="62"/>
        <v>356</v>
      </c>
      <c r="C359">
        <f t="shared" si="56"/>
        <v>30</v>
      </c>
      <c r="D359">
        <v>336</v>
      </c>
      <c r="E359">
        <v>366</v>
      </c>
      <c r="F359">
        <f>TxSPLINE!F$15</f>
        <v>14.620645161290319</v>
      </c>
      <c r="G359">
        <f>TxSPLINE!F$16</f>
        <v>9.7266666666666648</v>
      </c>
      <c r="H359" s="5">
        <f>TxSPLINE!K$15</f>
        <v>6.9697616525759946E-4</v>
      </c>
      <c r="I359" s="5">
        <f>TxSPLINE!K$16</f>
        <v>-9.0490298758585334E-3</v>
      </c>
      <c r="J359">
        <f t="shared" si="57"/>
        <v>0.33333333333333331</v>
      </c>
      <c r="K359">
        <f t="shared" si="58"/>
        <v>0.66666666666666663</v>
      </c>
      <c r="L359">
        <f t="shared" si="59"/>
        <v>310</v>
      </c>
      <c r="M359" s="6">
        <f t="shared" si="60"/>
        <v>11.357992831541216</v>
      </c>
      <c r="N359" s="13">
        <f t="shared" si="55"/>
        <v>11.829739995077464</v>
      </c>
      <c r="O359" s="6">
        <f t="shared" si="63"/>
        <v>4991.9023166481256</v>
      </c>
      <c r="P359" s="6">
        <f t="shared" si="64"/>
        <v>5005.32966898205</v>
      </c>
      <c r="Q359" s="6">
        <f t="shared" si="61"/>
        <v>11.829739995077464</v>
      </c>
      <c r="T359" s="6">
        <f t="shared" si="54"/>
        <v>11.829739995077464</v>
      </c>
    </row>
    <row r="360" spans="2:20">
      <c r="B360">
        <f t="shared" si="62"/>
        <v>357</v>
      </c>
      <c r="C360">
        <f t="shared" si="56"/>
        <v>30</v>
      </c>
      <c r="D360">
        <v>336</v>
      </c>
      <c r="E360">
        <v>366</v>
      </c>
      <c r="F360">
        <f>TxSPLINE!F$15</f>
        <v>14.620645161290319</v>
      </c>
      <c r="G360">
        <f>TxSPLINE!F$16</f>
        <v>9.7266666666666648</v>
      </c>
      <c r="H360" s="5">
        <f>TxSPLINE!K$15</f>
        <v>6.9697616525759946E-4</v>
      </c>
      <c r="I360" s="5">
        <f>TxSPLINE!K$16</f>
        <v>-9.0490298758585334E-3</v>
      </c>
      <c r="J360">
        <f t="shared" si="57"/>
        <v>0.3</v>
      </c>
      <c r="K360">
        <f t="shared" si="58"/>
        <v>0.7</v>
      </c>
      <c r="L360">
        <f t="shared" si="59"/>
        <v>311</v>
      </c>
      <c r="M360" s="6">
        <f t="shared" si="60"/>
        <v>11.19486021505376</v>
      </c>
      <c r="N360" s="13">
        <f t="shared" si="55"/>
        <v>11.650894590938686</v>
      </c>
      <c r="O360" s="6">
        <f t="shared" si="63"/>
        <v>5003.0971768631798</v>
      </c>
      <c r="P360" s="6">
        <f t="shared" si="64"/>
        <v>5016.980563572989</v>
      </c>
      <c r="Q360" s="6">
        <f t="shared" si="61"/>
        <v>11.650894590938686</v>
      </c>
      <c r="T360" s="6">
        <f t="shared" si="54"/>
        <v>11.650894590938686</v>
      </c>
    </row>
    <row r="361" spans="2:20">
      <c r="B361">
        <f t="shared" si="62"/>
        <v>358</v>
      </c>
      <c r="C361">
        <f t="shared" si="56"/>
        <v>30</v>
      </c>
      <c r="D361">
        <v>336</v>
      </c>
      <c r="E361">
        <v>366</v>
      </c>
      <c r="F361">
        <f>TxSPLINE!F$15</f>
        <v>14.620645161290319</v>
      </c>
      <c r="G361">
        <f>TxSPLINE!F$16</f>
        <v>9.7266666666666648</v>
      </c>
      <c r="H361" s="5">
        <f>TxSPLINE!K$15</f>
        <v>6.9697616525759946E-4</v>
      </c>
      <c r="I361" s="5">
        <f>TxSPLINE!K$16</f>
        <v>-9.0490298758585334E-3</v>
      </c>
      <c r="J361">
        <f t="shared" si="57"/>
        <v>0.26666666666666666</v>
      </c>
      <c r="K361">
        <f t="shared" si="58"/>
        <v>0.73333333333333328</v>
      </c>
      <c r="L361">
        <f t="shared" si="59"/>
        <v>312</v>
      </c>
      <c r="M361" s="6">
        <f t="shared" si="60"/>
        <v>11.031727598566306</v>
      </c>
      <c r="N361" s="13">
        <f t="shared" si="55"/>
        <v>11.465923958736386</v>
      </c>
      <c r="O361" s="6">
        <f t="shared" si="63"/>
        <v>5014.1289044617461</v>
      </c>
      <c r="P361" s="6">
        <f t="shared" si="64"/>
        <v>5028.4464875317253</v>
      </c>
      <c r="Q361" s="6">
        <f t="shared" si="61"/>
        <v>11.465923958736386</v>
      </c>
      <c r="T361" s="6">
        <f t="shared" si="54"/>
        <v>11.465923958736386</v>
      </c>
    </row>
    <row r="362" spans="2:20">
      <c r="B362">
        <f t="shared" si="62"/>
        <v>359</v>
      </c>
      <c r="C362">
        <f t="shared" si="56"/>
        <v>30</v>
      </c>
      <c r="D362">
        <v>336</v>
      </c>
      <c r="E362">
        <v>366</v>
      </c>
      <c r="F362">
        <f>TxSPLINE!F$15</f>
        <v>14.620645161290319</v>
      </c>
      <c r="G362">
        <f>TxSPLINE!F$16</f>
        <v>9.7266666666666648</v>
      </c>
      <c r="H362" s="5">
        <f>TxSPLINE!K$15</f>
        <v>6.9697616525759946E-4</v>
      </c>
      <c r="I362" s="5">
        <f>TxSPLINE!K$16</f>
        <v>-9.0490298758585334E-3</v>
      </c>
      <c r="J362">
        <f t="shared" si="57"/>
        <v>0.23333333333333334</v>
      </c>
      <c r="K362">
        <f t="shared" si="58"/>
        <v>0.76666666666666672</v>
      </c>
      <c r="L362">
        <f t="shared" si="59"/>
        <v>313</v>
      </c>
      <c r="M362" s="6">
        <f t="shared" si="60"/>
        <v>10.86859498207885</v>
      </c>
      <c r="N362" s="13">
        <f t="shared" si="55"/>
        <v>11.274503231602525</v>
      </c>
      <c r="O362" s="6">
        <f t="shared" si="63"/>
        <v>5024.9974994438253</v>
      </c>
      <c r="P362" s="6">
        <f t="shared" si="64"/>
        <v>5039.7209907633278</v>
      </c>
      <c r="Q362" s="6">
        <f t="shared" si="61"/>
        <v>11.274503231602525</v>
      </c>
      <c r="T362" s="6">
        <f t="shared" si="54"/>
        <v>11.274503231602525</v>
      </c>
    </row>
    <row r="363" spans="2:20">
      <c r="B363">
        <f t="shared" si="62"/>
        <v>360</v>
      </c>
      <c r="C363">
        <f t="shared" si="56"/>
        <v>30</v>
      </c>
      <c r="D363">
        <v>336</v>
      </c>
      <c r="E363">
        <v>366</v>
      </c>
      <c r="F363">
        <f>TxSPLINE!F$15</f>
        <v>14.620645161290319</v>
      </c>
      <c r="G363">
        <f>TxSPLINE!F$16</f>
        <v>9.7266666666666648</v>
      </c>
      <c r="H363" s="5">
        <f>TxSPLINE!K$15</f>
        <v>6.9697616525759946E-4</v>
      </c>
      <c r="I363" s="5">
        <f>TxSPLINE!K$16</f>
        <v>-9.0490298758585334E-3</v>
      </c>
      <c r="J363">
        <f t="shared" si="57"/>
        <v>0.2</v>
      </c>
      <c r="K363">
        <f t="shared" si="58"/>
        <v>0.8</v>
      </c>
      <c r="L363">
        <f t="shared" si="59"/>
        <v>314</v>
      </c>
      <c r="M363" s="6">
        <f t="shared" si="60"/>
        <v>10.705462365591396</v>
      </c>
      <c r="N363" s="13">
        <f t="shared" si="55"/>
        <v>11.076307542669065</v>
      </c>
      <c r="O363" s="6">
        <f t="shared" si="63"/>
        <v>5035.7029618094166</v>
      </c>
      <c r="P363" s="6">
        <f t="shared" si="64"/>
        <v>5050.7972983059972</v>
      </c>
      <c r="Q363" s="6">
        <f t="shared" si="61"/>
        <v>11.076307542669065</v>
      </c>
      <c r="T363" s="6">
        <f t="shared" si="54"/>
        <v>11.076307542669065</v>
      </c>
    </row>
    <row r="364" spans="2:20">
      <c r="B364">
        <f t="shared" si="62"/>
        <v>361</v>
      </c>
      <c r="C364">
        <f t="shared" si="56"/>
        <v>30</v>
      </c>
      <c r="D364">
        <v>336</v>
      </c>
      <c r="E364">
        <v>366</v>
      </c>
      <c r="F364">
        <f>TxSPLINE!F$15</f>
        <v>14.620645161290319</v>
      </c>
      <c r="G364">
        <f>TxSPLINE!F$16</f>
        <v>9.7266666666666648</v>
      </c>
      <c r="H364" s="5">
        <f>TxSPLINE!K$15</f>
        <v>6.9697616525759946E-4</v>
      </c>
      <c r="I364" s="5">
        <f>TxSPLINE!K$16</f>
        <v>-9.0490298758585334E-3</v>
      </c>
      <c r="J364">
        <f t="shared" si="57"/>
        <v>0.16666666666666666</v>
      </c>
      <c r="K364">
        <f t="shared" si="58"/>
        <v>0.83333333333333337</v>
      </c>
      <c r="L364">
        <f t="shared" si="59"/>
        <v>315</v>
      </c>
      <c r="M364" s="6">
        <f t="shared" si="60"/>
        <v>10.54232974910394</v>
      </c>
      <c r="N364" s="13">
        <f t="shared" si="55"/>
        <v>10.871012025067969</v>
      </c>
      <c r="O364" s="6">
        <f t="shared" si="63"/>
        <v>5046.2452915585209</v>
      </c>
      <c r="P364" s="6">
        <f t="shared" si="64"/>
        <v>5061.6683103310652</v>
      </c>
      <c r="Q364" s="6">
        <f t="shared" si="61"/>
        <v>10.871012025067969</v>
      </c>
      <c r="T364" s="6">
        <f t="shared" si="54"/>
        <v>10.871012025067969</v>
      </c>
    </row>
    <row r="365" spans="2:20">
      <c r="B365">
        <f t="shared" si="62"/>
        <v>362</v>
      </c>
      <c r="C365">
        <f t="shared" si="56"/>
        <v>30</v>
      </c>
      <c r="D365">
        <v>336</v>
      </c>
      <c r="E365">
        <v>366</v>
      </c>
      <c r="F365">
        <f>TxSPLINE!F$15</f>
        <v>14.620645161290319</v>
      </c>
      <c r="G365">
        <f>TxSPLINE!F$16</f>
        <v>9.7266666666666648</v>
      </c>
      <c r="H365" s="5">
        <f>TxSPLINE!K$15</f>
        <v>6.9697616525759946E-4</v>
      </c>
      <c r="I365" s="5">
        <f>TxSPLINE!K$16</f>
        <v>-9.0490298758585334E-3</v>
      </c>
      <c r="J365">
        <f t="shared" si="57"/>
        <v>0.13333333333333333</v>
      </c>
      <c r="K365">
        <f t="shared" si="58"/>
        <v>0.8666666666666667</v>
      </c>
      <c r="L365">
        <f t="shared" si="59"/>
        <v>316</v>
      </c>
      <c r="M365" s="6">
        <f t="shared" si="60"/>
        <v>10.379197132616486</v>
      </c>
      <c r="N365" s="13">
        <f t="shared" si="55"/>
        <v>10.658291811931203</v>
      </c>
      <c r="O365" s="6">
        <f t="shared" si="63"/>
        <v>5056.6244886911372</v>
      </c>
      <c r="P365" s="6">
        <f t="shared" si="64"/>
        <v>5072.3266021429963</v>
      </c>
      <c r="Q365" s="6">
        <f t="shared" si="61"/>
        <v>10.658291811931203</v>
      </c>
      <c r="T365" s="6">
        <f t="shared" si="54"/>
        <v>10.658291811931203</v>
      </c>
    </row>
    <row r="366" spans="2:20">
      <c r="B366">
        <f t="shared" si="62"/>
        <v>363</v>
      </c>
      <c r="C366">
        <f t="shared" si="56"/>
        <v>30</v>
      </c>
      <c r="D366">
        <v>336</v>
      </c>
      <c r="E366">
        <v>366</v>
      </c>
      <c r="F366">
        <f>TxSPLINE!F$15</f>
        <v>14.620645161290319</v>
      </c>
      <c r="G366">
        <f>TxSPLINE!F$16</f>
        <v>9.7266666666666648</v>
      </c>
      <c r="H366" s="5">
        <f>TxSPLINE!K$15</f>
        <v>6.9697616525759946E-4</v>
      </c>
      <c r="I366" s="5">
        <f>TxSPLINE!K$16</f>
        <v>-9.0490298758585334E-3</v>
      </c>
      <c r="J366">
        <f t="shared" si="57"/>
        <v>0.1</v>
      </c>
      <c r="K366">
        <f t="shared" si="58"/>
        <v>0.9</v>
      </c>
      <c r="L366">
        <f t="shared" si="59"/>
        <v>317</v>
      </c>
      <c r="M366" s="6">
        <f t="shared" si="60"/>
        <v>10.21606451612903</v>
      </c>
      <c r="N366" s="13">
        <f t="shared" si="55"/>
        <v>10.437822036390726</v>
      </c>
      <c r="O366" s="6">
        <f t="shared" si="63"/>
        <v>5066.8405532072666</v>
      </c>
      <c r="P366" s="6">
        <f t="shared" si="64"/>
        <v>5082.7644241793869</v>
      </c>
      <c r="Q366" s="6">
        <f t="shared" si="61"/>
        <v>10.437822036390726</v>
      </c>
      <c r="T366" s="6">
        <f t="shared" si="54"/>
        <v>10.437822036390726</v>
      </c>
    </row>
    <row r="367" spans="2:20">
      <c r="B367">
        <f t="shared" si="62"/>
        <v>364</v>
      </c>
      <c r="C367">
        <f t="shared" si="56"/>
        <v>30</v>
      </c>
      <c r="D367">
        <v>336</v>
      </c>
      <c r="E367">
        <v>366</v>
      </c>
      <c r="F367">
        <f>TxSPLINE!F$15</f>
        <v>14.620645161290319</v>
      </c>
      <c r="G367">
        <f>TxSPLINE!F$16</f>
        <v>9.7266666666666648</v>
      </c>
      <c r="H367" s="5">
        <f>TxSPLINE!K$15</f>
        <v>6.9697616525759946E-4</v>
      </c>
      <c r="I367" s="5">
        <f>TxSPLINE!K$16</f>
        <v>-9.0490298758585334E-3</v>
      </c>
      <c r="J367">
        <f t="shared" si="57"/>
        <v>6.6666666666666666E-2</v>
      </c>
      <c r="K367">
        <f t="shared" si="58"/>
        <v>0.93333333333333335</v>
      </c>
      <c r="L367">
        <f t="shared" si="59"/>
        <v>318</v>
      </c>
      <c r="M367" s="6">
        <f t="shared" si="60"/>
        <v>10.052931899641576</v>
      </c>
      <c r="N367" s="13">
        <f t="shared" si="55"/>
        <v>10.209277831578504</v>
      </c>
      <c r="O367" s="6">
        <f t="shared" si="63"/>
        <v>5076.893485106908</v>
      </c>
      <c r="P367" s="6">
        <f t="shared" si="64"/>
        <v>5092.9737020109651</v>
      </c>
      <c r="Q367" s="6">
        <f t="shared" si="61"/>
        <v>10.209277831578504</v>
      </c>
      <c r="T367" s="6">
        <f t="shared" si="54"/>
        <v>10.209277831578504</v>
      </c>
    </row>
    <row r="368" spans="2:20">
      <c r="B368">
        <f t="shared" si="62"/>
        <v>365</v>
      </c>
      <c r="C368">
        <f t="shared" si="56"/>
        <v>30</v>
      </c>
      <c r="D368">
        <v>336</v>
      </c>
      <c r="E368">
        <v>366</v>
      </c>
      <c r="F368">
        <f>TxSPLINE!F$15</f>
        <v>14.620645161290319</v>
      </c>
      <c r="G368">
        <f>TxSPLINE!F$16</f>
        <v>9.7266666666666648</v>
      </c>
      <c r="H368" s="5">
        <f>TxSPLINE!K$15</f>
        <v>6.9697616525759946E-4</v>
      </c>
      <c r="I368" s="5">
        <f>TxSPLINE!K$16</f>
        <v>-9.0490298758585334E-3</v>
      </c>
      <c r="J368">
        <f t="shared" si="57"/>
        <v>3.3333333333333333E-2</v>
      </c>
      <c r="K368">
        <f t="shared" si="58"/>
        <v>0.96666666666666667</v>
      </c>
      <c r="L368">
        <f t="shared" si="59"/>
        <v>319</v>
      </c>
      <c r="M368" s="6">
        <f t="shared" si="60"/>
        <v>9.8897992831541206</v>
      </c>
      <c r="N368" s="13">
        <f t="shared" si="55"/>
        <v>9.9723343306264951</v>
      </c>
      <c r="O368" s="6">
        <f t="shared" si="63"/>
        <v>5086.7832843900624</v>
      </c>
      <c r="P368" s="6">
        <f t="shared" si="64"/>
        <v>5102.9460363415919</v>
      </c>
      <c r="Q368" s="6">
        <f t="shared" si="61"/>
        <v>9.9723343306264951</v>
      </c>
      <c r="T368" s="6">
        <f t="shared" si="54"/>
        <v>9.9723343306264951</v>
      </c>
    </row>
    <row r="369" spans="1:20">
      <c r="A369">
        <v>366</v>
      </c>
      <c r="B369">
        <f t="shared" si="62"/>
        <v>366</v>
      </c>
      <c r="C369">
        <f t="shared" si="56"/>
        <v>30</v>
      </c>
      <c r="D369">
        <v>336</v>
      </c>
      <c r="E369">
        <v>366</v>
      </c>
      <c r="F369">
        <f>TxSPLINE!F$15</f>
        <v>14.620645161290319</v>
      </c>
      <c r="G369">
        <f>TxSPLINE!F$16</f>
        <v>9.7266666666666648</v>
      </c>
      <c r="H369" s="5">
        <f>TxSPLINE!K$15</f>
        <v>6.9697616525759946E-4</v>
      </c>
      <c r="I369" s="5">
        <f>TxSPLINE!K$16</f>
        <v>-9.0490298758585334E-3</v>
      </c>
      <c r="J369">
        <f t="shared" si="57"/>
        <v>0</v>
      </c>
      <c r="K369">
        <f t="shared" si="58"/>
        <v>1</v>
      </c>
      <c r="L369">
        <f t="shared" si="59"/>
        <v>320</v>
      </c>
      <c r="M369" s="6">
        <f t="shared" si="60"/>
        <v>9.7266666666666648</v>
      </c>
      <c r="N369" s="13">
        <f t="shared" si="55"/>
        <v>9.7266666666666648</v>
      </c>
      <c r="O369" s="6">
        <f t="shared" si="63"/>
        <v>5096.5099510567288</v>
      </c>
      <c r="P369" s="6">
        <f t="shared" si="64"/>
        <v>5112.6727030082584</v>
      </c>
      <c r="Q369" s="6">
        <f t="shared" si="61"/>
        <v>9.7266666666666648</v>
      </c>
      <c r="T369" s="6">
        <f t="shared" si="54"/>
        <v>9.7266666666666648</v>
      </c>
    </row>
    <row r="370" spans="1:20">
      <c r="B370">
        <f t="shared" si="62"/>
        <v>367</v>
      </c>
      <c r="C370">
        <f t="shared" si="56"/>
        <v>31</v>
      </c>
      <c r="D370">
        <v>366</v>
      </c>
      <c r="E370">
        <v>397</v>
      </c>
      <c r="F370">
        <f>TxSPLINE!F$16</f>
        <v>9.7266666666666648</v>
      </c>
      <c r="G370">
        <f>TxSPLINE!F$17</f>
        <v>1.5935483870967744</v>
      </c>
      <c r="H370" s="5">
        <f>TxSPLINE!K$16</f>
        <v>-9.0490298758585334E-3</v>
      </c>
      <c r="I370" s="5">
        <f>TxSPLINE!K$17</f>
        <v>1.5732778507861304E-2</v>
      </c>
      <c r="J370">
        <f t="shared" si="57"/>
        <v>0.967741935483871</v>
      </c>
      <c r="K370">
        <f t="shared" si="58"/>
        <v>3.2258064516129031E-2</v>
      </c>
      <c r="L370">
        <f t="shared" si="59"/>
        <v>321</v>
      </c>
      <c r="M370" s="6">
        <f t="shared" si="60"/>
        <v>9.4643080124869918</v>
      </c>
      <c r="N370" s="13">
        <f t="shared" si="55"/>
        <v>9.4721373528379278</v>
      </c>
      <c r="O370" s="6">
        <f t="shared" si="63"/>
        <v>5105.9742590692158</v>
      </c>
      <c r="P370" s="6">
        <f t="shared" si="64"/>
        <v>5122.1448403610966</v>
      </c>
      <c r="Q370" s="6">
        <f t="shared" si="61"/>
        <v>9.4721373528379278</v>
      </c>
      <c r="T370" s="6">
        <f t="shared" ref="T370:T414" si="65">N370</f>
        <v>9.4721373528379278</v>
      </c>
    </row>
    <row r="371" spans="1:20">
      <c r="B371">
        <f t="shared" si="62"/>
        <v>368</v>
      </c>
      <c r="C371">
        <f t="shared" si="56"/>
        <v>31</v>
      </c>
      <c r="D371">
        <v>366</v>
      </c>
      <c r="E371">
        <v>397</v>
      </c>
      <c r="F371">
        <f>TxSPLINE!F$16</f>
        <v>9.7266666666666648</v>
      </c>
      <c r="G371">
        <f>TxSPLINE!F$17</f>
        <v>1.5935483870967744</v>
      </c>
      <c r="H371" s="5">
        <f>TxSPLINE!K$16</f>
        <v>-9.0490298758585334E-3</v>
      </c>
      <c r="I371" s="5">
        <f>TxSPLINE!K$17</f>
        <v>1.5732778507861304E-2</v>
      </c>
      <c r="J371">
        <f t="shared" si="57"/>
        <v>0.93548387096774188</v>
      </c>
      <c r="K371">
        <f t="shared" si="58"/>
        <v>6.4516129032258063E-2</v>
      </c>
      <c r="L371">
        <f t="shared" si="59"/>
        <v>322</v>
      </c>
      <c r="M371" s="6">
        <f t="shared" si="60"/>
        <v>9.2019493583073153</v>
      </c>
      <c r="N371" s="13">
        <f t="shared" si="55"/>
        <v>9.209358422307</v>
      </c>
      <c r="O371" s="6">
        <f t="shared" si="63"/>
        <v>5115.1762084275233</v>
      </c>
      <c r="P371" s="6">
        <f t="shared" si="64"/>
        <v>5131.3541987834033</v>
      </c>
      <c r="Q371" s="6">
        <f t="shared" si="61"/>
        <v>9.209358422307</v>
      </c>
      <c r="T371" s="6">
        <f t="shared" si="65"/>
        <v>9.209358422307</v>
      </c>
    </row>
    <row r="372" spans="1:20">
      <c r="B372">
        <f t="shared" si="62"/>
        <v>369</v>
      </c>
      <c r="C372">
        <f t="shared" si="56"/>
        <v>31</v>
      </c>
      <c r="D372">
        <v>366</v>
      </c>
      <c r="E372">
        <v>397</v>
      </c>
      <c r="F372">
        <f>TxSPLINE!F$16</f>
        <v>9.7266666666666648</v>
      </c>
      <c r="G372">
        <f>TxSPLINE!F$17</f>
        <v>1.5935483870967744</v>
      </c>
      <c r="H372" s="5">
        <f>TxSPLINE!K$16</f>
        <v>-9.0490298758585334E-3</v>
      </c>
      <c r="I372" s="5">
        <f>TxSPLINE!K$17</f>
        <v>1.5732778507861304E-2</v>
      </c>
      <c r="J372">
        <f t="shared" si="57"/>
        <v>0.90322580645161288</v>
      </c>
      <c r="K372">
        <f t="shared" si="58"/>
        <v>9.6774193548387094E-2</v>
      </c>
      <c r="L372">
        <f t="shared" si="59"/>
        <v>323</v>
      </c>
      <c r="M372" s="6">
        <f t="shared" si="60"/>
        <v>8.9395907041276423</v>
      </c>
      <c r="N372" s="13">
        <f t="shared" si="55"/>
        <v>8.9391292882475515</v>
      </c>
      <c r="O372" s="6">
        <f t="shared" si="63"/>
        <v>5124.1157991316513</v>
      </c>
      <c r="P372" s="6">
        <f t="shared" si="64"/>
        <v>5140.2933280716506</v>
      </c>
      <c r="Q372" s="6">
        <f t="shared" si="61"/>
        <v>8.9391292882475515</v>
      </c>
      <c r="T372" s="6">
        <f t="shared" si="65"/>
        <v>8.9391292882475515</v>
      </c>
    </row>
    <row r="373" spans="1:20">
      <c r="B373">
        <f t="shared" si="62"/>
        <v>370</v>
      </c>
      <c r="C373">
        <f t="shared" si="56"/>
        <v>31</v>
      </c>
      <c r="D373">
        <v>366</v>
      </c>
      <c r="E373">
        <v>397</v>
      </c>
      <c r="F373">
        <f>TxSPLINE!F$16</f>
        <v>9.7266666666666648</v>
      </c>
      <c r="G373">
        <f>TxSPLINE!F$17</f>
        <v>1.5935483870967744</v>
      </c>
      <c r="H373" s="5">
        <f>TxSPLINE!K$16</f>
        <v>-9.0490298758585334E-3</v>
      </c>
      <c r="I373" s="5">
        <f>TxSPLINE!K$17</f>
        <v>1.5732778507861304E-2</v>
      </c>
      <c r="J373">
        <f t="shared" si="57"/>
        <v>0.87096774193548387</v>
      </c>
      <c r="K373">
        <f t="shared" si="58"/>
        <v>0.12903225806451613</v>
      </c>
      <c r="L373">
        <f t="shared" si="59"/>
        <v>324</v>
      </c>
      <c r="M373" s="6">
        <f t="shared" si="60"/>
        <v>8.6772320499479694</v>
      </c>
      <c r="N373" s="13">
        <f t="shared" si="55"/>
        <v>8.6622493638332489</v>
      </c>
      <c r="O373" s="6">
        <f t="shared" si="63"/>
        <v>5132.793031181599</v>
      </c>
      <c r="P373" s="6">
        <f t="shared" si="64"/>
        <v>5148.955577435484</v>
      </c>
      <c r="Q373" s="6">
        <f t="shared" si="61"/>
        <v>8.6622493638332489</v>
      </c>
      <c r="T373" s="6">
        <f t="shared" si="65"/>
        <v>8.6622493638332489</v>
      </c>
    </row>
    <row r="374" spans="1:20">
      <c r="B374">
        <f t="shared" si="62"/>
        <v>371</v>
      </c>
      <c r="C374">
        <f t="shared" si="56"/>
        <v>31</v>
      </c>
      <c r="D374">
        <v>366</v>
      </c>
      <c r="E374">
        <v>397</v>
      </c>
      <c r="F374">
        <f>TxSPLINE!F$16</f>
        <v>9.7266666666666648</v>
      </c>
      <c r="G374">
        <f>TxSPLINE!F$17</f>
        <v>1.5935483870967744</v>
      </c>
      <c r="H374" s="5">
        <f>TxSPLINE!K$16</f>
        <v>-9.0490298758585334E-3</v>
      </c>
      <c r="I374" s="5">
        <f>TxSPLINE!K$17</f>
        <v>1.5732778507861304E-2</v>
      </c>
      <c r="J374">
        <f t="shared" si="57"/>
        <v>0.83870967741935487</v>
      </c>
      <c r="K374">
        <f t="shared" si="58"/>
        <v>0.16129032258064516</v>
      </c>
      <c r="L374">
        <f t="shared" si="59"/>
        <v>325</v>
      </c>
      <c r="M374" s="6">
        <f t="shared" si="60"/>
        <v>8.4148733957682946</v>
      </c>
      <c r="N374" s="13">
        <f t="shared" si="55"/>
        <v>8.3795180622377607</v>
      </c>
      <c r="O374" s="6">
        <f t="shared" si="63"/>
        <v>5141.2079045773671</v>
      </c>
      <c r="P374" s="6">
        <f t="shared" si="64"/>
        <v>5157.3350954977213</v>
      </c>
      <c r="Q374" s="6">
        <f t="shared" si="61"/>
        <v>8.3795180622377607</v>
      </c>
      <c r="T374" s="6">
        <f t="shared" si="65"/>
        <v>8.3795180622377607</v>
      </c>
    </row>
    <row r="375" spans="1:20">
      <c r="B375">
        <f t="shared" si="62"/>
        <v>372</v>
      </c>
      <c r="C375">
        <f t="shared" si="56"/>
        <v>31</v>
      </c>
      <c r="D375">
        <v>366</v>
      </c>
      <c r="E375">
        <v>397</v>
      </c>
      <c r="F375">
        <f>TxSPLINE!F$16</f>
        <v>9.7266666666666648</v>
      </c>
      <c r="G375">
        <f>TxSPLINE!F$17</f>
        <v>1.5935483870967744</v>
      </c>
      <c r="H375" s="5">
        <f>TxSPLINE!K$16</f>
        <v>-9.0490298758585334E-3</v>
      </c>
      <c r="I375" s="5">
        <f>TxSPLINE!K$17</f>
        <v>1.5732778507861304E-2</v>
      </c>
      <c r="J375">
        <f t="shared" si="57"/>
        <v>0.80645161290322576</v>
      </c>
      <c r="K375">
        <f t="shared" si="58"/>
        <v>0.19354838709677419</v>
      </c>
      <c r="L375">
        <f t="shared" si="59"/>
        <v>326</v>
      </c>
      <c r="M375" s="6">
        <f t="shared" si="60"/>
        <v>8.1525147415886217</v>
      </c>
      <c r="N375" s="13">
        <f t="shared" ref="N375:N408" si="66">Q375</f>
        <v>8.0917347966347588</v>
      </c>
      <c r="O375" s="6">
        <f t="shared" si="63"/>
        <v>5149.3604193189558</v>
      </c>
      <c r="P375" s="6">
        <f t="shared" si="64"/>
        <v>5165.4268302943565</v>
      </c>
      <c r="Q375" s="6">
        <f t="shared" si="61"/>
        <v>8.0917347966347588</v>
      </c>
      <c r="T375" s="6">
        <f t="shared" si="65"/>
        <v>8.0917347966347588</v>
      </c>
    </row>
    <row r="376" spans="1:20">
      <c r="B376">
        <f t="shared" si="62"/>
        <v>373</v>
      </c>
      <c r="C376">
        <f t="shared" si="56"/>
        <v>31</v>
      </c>
      <c r="D376">
        <v>366</v>
      </c>
      <c r="E376">
        <v>397</v>
      </c>
      <c r="F376">
        <f>TxSPLINE!F$16</f>
        <v>9.7266666666666648</v>
      </c>
      <c r="G376">
        <f>TxSPLINE!F$17</f>
        <v>1.5935483870967744</v>
      </c>
      <c r="H376" s="5">
        <f>TxSPLINE!K$16</f>
        <v>-9.0490298758585334E-3</v>
      </c>
      <c r="I376" s="5">
        <f>TxSPLINE!K$17</f>
        <v>1.5732778507861304E-2</v>
      </c>
      <c r="J376">
        <f t="shared" si="57"/>
        <v>0.77419354838709675</v>
      </c>
      <c r="K376">
        <f t="shared" si="58"/>
        <v>0.22580645161290322</v>
      </c>
      <c r="L376">
        <f t="shared" si="59"/>
        <v>327</v>
      </c>
      <c r="M376" s="6">
        <f t="shared" si="60"/>
        <v>7.8901560874089469</v>
      </c>
      <c r="N376" s="13">
        <f t="shared" si="66"/>
        <v>7.7996989801979053</v>
      </c>
      <c r="O376" s="6">
        <f t="shared" si="63"/>
        <v>5157.250575406365</v>
      </c>
      <c r="P376" s="6">
        <f t="shared" si="64"/>
        <v>5173.2265292745542</v>
      </c>
      <c r="Q376" s="6">
        <f t="shared" si="61"/>
        <v>7.7996989801979053</v>
      </c>
      <c r="T376" s="6">
        <f t="shared" si="65"/>
        <v>7.7996989801979053</v>
      </c>
    </row>
    <row r="377" spans="1:20">
      <c r="B377">
        <f t="shared" si="62"/>
        <v>374</v>
      </c>
      <c r="C377">
        <f t="shared" si="56"/>
        <v>31</v>
      </c>
      <c r="D377">
        <v>366</v>
      </c>
      <c r="E377">
        <v>397</v>
      </c>
      <c r="F377">
        <f>TxSPLINE!F$16</f>
        <v>9.7266666666666648</v>
      </c>
      <c r="G377">
        <f>TxSPLINE!F$17</f>
        <v>1.5935483870967744</v>
      </c>
      <c r="H377" s="5">
        <f>TxSPLINE!K$16</f>
        <v>-9.0490298758585334E-3</v>
      </c>
      <c r="I377" s="5">
        <f>TxSPLINE!K$17</f>
        <v>1.5732778507861304E-2</v>
      </c>
      <c r="J377">
        <f t="shared" si="57"/>
        <v>0.74193548387096775</v>
      </c>
      <c r="K377">
        <f t="shared" si="58"/>
        <v>0.25806451612903225</v>
      </c>
      <c r="L377">
        <f t="shared" si="59"/>
        <v>328</v>
      </c>
      <c r="M377" s="6">
        <f t="shared" si="60"/>
        <v>7.6277974332292739</v>
      </c>
      <c r="N377" s="13">
        <f t="shared" si="66"/>
        <v>7.504210026100874</v>
      </c>
      <c r="O377" s="6">
        <f t="shared" si="63"/>
        <v>5164.8783728395947</v>
      </c>
      <c r="P377" s="6">
        <f t="shared" si="64"/>
        <v>5180.7307393006549</v>
      </c>
      <c r="Q377" s="6">
        <f t="shared" si="61"/>
        <v>7.504210026100874</v>
      </c>
      <c r="T377" s="6">
        <f t="shared" si="65"/>
        <v>7.504210026100874</v>
      </c>
    </row>
    <row r="378" spans="1:20">
      <c r="B378">
        <f t="shared" si="62"/>
        <v>375</v>
      </c>
      <c r="C378">
        <f t="shared" si="56"/>
        <v>31</v>
      </c>
      <c r="D378">
        <v>366</v>
      </c>
      <c r="E378">
        <v>397</v>
      </c>
      <c r="F378">
        <f>TxSPLINE!F$16</f>
        <v>9.7266666666666648</v>
      </c>
      <c r="G378">
        <f>TxSPLINE!F$17</f>
        <v>1.5935483870967744</v>
      </c>
      <c r="H378" s="5">
        <f>TxSPLINE!K$16</f>
        <v>-9.0490298758585334E-3</v>
      </c>
      <c r="I378" s="5">
        <f>TxSPLINE!K$17</f>
        <v>1.5732778507861304E-2</v>
      </c>
      <c r="J378">
        <f t="shared" si="57"/>
        <v>0.70967741935483875</v>
      </c>
      <c r="K378">
        <f t="shared" si="58"/>
        <v>0.29032258064516131</v>
      </c>
      <c r="L378">
        <f t="shared" si="59"/>
        <v>329</v>
      </c>
      <c r="M378" s="6">
        <f t="shared" si="60"/>
        <v>7.3654387790496001</v>
      </c>
      <c r="N378" s="13">
        <f t="shared" si="66"/>
        <v>7.2060673475173305</v>
      </c>
      <c r="O378" s="6">
        <f t="shared" si="63"/>
        <v>5172.243811618644</v>
      </c>
      <c r="P378" s="6">
        <f t="shared" si="64"/>
        <v>5187.936806648172</v>
      </c>
      <c r="Q378" s="6">
        <f t="shared" si="61"/>
        <v>7.2060673475173305</v>
      </c>
      <c r="T378" s="6">
        <f t="shared" si="65"/>
        <v>7.2060673475173305</v>
      </c>
    </row>
    <row r="379" spans="1:20">
      <c r="B379">
        <f t="shared" si="62"/>
        <v>376</v>
      </c>
      <c r="C379">
        <f t="shared" si="56"/>
        <v>31</v>
      </c>
      <c r="D379">
        <v>366</v>
      </c>
      <c r="E379">
        <v>397</v>
      </c>
      <c r="F379">
        <f>TxSPLINE!F$16</f>
        <v>9.7266666666666648</v>
      </c>
      <c r="G379">
        <f>TxSPLINE!F$17</f>
        <v>1.5935483870967744</v>
      </c>
      <c r="H379" s="5">
        <f>TxSPLINE!K$16</f>
        <v>-9.0490298758585334E-3</v>
      </c>
      <c r="I379" s="5">
        <f>TxSPLINE!K$17</f>
        <v>1.5732778507861304E-2</v>
      </c>
      <c r="J379">
        <f t="shared" si="57"/>
        <v>0.67741935483870963</v>
      </c>
      <c r="K379">
        <f t="shared" si="58"/>
        <v>0.32258064516129031</v>
      </c>
      <c r="L379">
        <f t="shared" si="59"/>
        <v>330</v>
      </c>
      <c r="M379" s="6">
        <f t="shared" si="60"/>
        <v>7.1030801248699253</v>
      </c>
      <c r="N379" s="13">
        <f t="shared" si="66"/>
        <v>6.9060703576209432</v>
      </c>
      <c r="O379" s="6">
        <f t="shared" si="63"/>
        <v>5179.3468917435139</v>
      </c>
      <c r="P379" s="6">
        <f t="shared" si="64"/>
        <v>5194.8428770057926</v>
      </c>
      <c r="Q379" s="6">
        <f t="shared" si="61"/>
        <v>6.9060703576209432</v>
      </c>
      <c r="T379" s="6">
        <f t="shared" si="65"/>
        <v>6.9060703576209432</v>
      </c>
    </row>
    <row r="380" spans="1:20">
      <c r="B380">
        <f t="shared" si="62"/>
        <v>377</v>
      </c>
      <c r="C380">
        <f t="shared" si="56"/>
        <v>31</v>
      </c>
      <c r="D380">
        <v>366</v>
      </c>
      <c r="E380">
        <v>397</v>
      </c>
      <c r="F380">
        <f>TxSPLINE!F$16</f>
        <v>9.7266666666666648</v>
      </c>
      <c r="G380">
        <f>TxSPLINE!F$17</f>
        <v>1.5935483870967744</v>
      </c>
      <c r="H380" s="5">
        <f>TxSPLINE!K$16</f>
        <v>-9.0490298758585334E-3</v>
      </c>
      <c r="I380" s="5">
        <f>TxSPLINE!K$17</f>
        <v>1.5732778507861304E-2</v>
      </c>
      <c r="J380">
        <f t="shared" si="57"/>
        <v>0.64516129032258063</v>
      </c>
      <c r="K380">
        <f t="shared" si="58"/>
        <v>0.35483870967741937</v>
      </c>
      <c r="L380">
        <f t="shared" si="59"/>
        <v>331</v>
      </c>
      <c r="M380" s="6">
        <f t="shared" si="60"/>
        <v>6.8407214706902515</v>
      </c>
      <c r="N380" s="13">
        <f t="shared" si="66"/>
        <v>6.6050184695853824</v>
      </c>
      <c r="O380" s="6">
        <f t="shared" si="63"/>
        <v>5186.1876132142042</v>
      </c>
      <c r="P380" s="6">
        <f t="shared" si="64"/>
        <v>5201.4478954753777</v>
      </c>
      <c r="Q380" s="6">
        <f t="shared" si="61"/>
        <v>6.6050184695853824</v>
      </c>
      <c r="T380" s="6">
        <f t="shared" si="65"/>
        <v>6.6050184695853824</v>
      </c>
    </row>
    <row r="381" spans="1:20">
      <c r="B381">
        <f t="shared" si="62"/>
        <v>378</v>
      </c>
      <c r="C381">
        <f t="shared" si="56"/>
        <v>31</v>
      </c>
      <c r="D381">
        <v>366</v>
      </c>
      <c r="E381">
        <v>397</v>
      </c>
      <c r="F381">
        <f>TxSPLINE!F$16</f>
        <v>9.7266666666666648</v>
      </c>
      <c r="G381">
        <f>TxSPLINE!F$17</f>
        <v>1.5935483870967744</v>
      </c>
      <c r="H381" s="5">
        <f>TxSPLINE!K$16</f>
        <v>-9.0490298758585334E-3</v>
      </c>
      <c r="I381" s="5">
        <f>TxSPLINE!K$17</f>
        <v>1.5732778507861304E-2</v>
      </c>
      <c r="J381">
        <f t="shared" si="57"/>
        <v>0.61290322580645162</v>
      </c>
      <c r="K381">
        <f t="shared" si="58"/>
        <v>0.38709677419354838</v>
      </c>
      <c r="L381">
        <f t="shared" si="59"/>
        <v>332</v>
      </c>
      <c r="M381" s="6">
        <f t="shared" si="60"/>
        <v>6.5783628165105776</v>
      </c>
      <c r="N381" s="13">
        <f t="shared" si="66"/>
        <v>6.3037110965843146</v>
      </c>
      <c r="O381" s="6">
        <f t="shared" si="63"/>
        <v>5192.7659760307151</v>
      </c>
      <c r="P381" s="6">
        <f t="shared" si="64"/>
        <v>5207.7516065719619</v>
      </c>
      <c r="Q381" s="6">
        <f t="shared" si="61"/>
        <v>6.3037110965843146</v>
      </c>
      <c r="T381" s="6">
        <f t="shared" si="65"/>
        <v>6.3037110965843146</v>
      </c>
    </row>
    <row r="382" spans="1:20">
      <c r="B382">
        <f t="shared" si="62"/>
        <v>379</v>
      </c>
      <c r="C382">
        <f t="shared" si="56"/>
        <v>31</v>
      </c>
      <c r="D382">
        <v>366</v>
      </c>
      <c r="E382">
        <v>397</v>
      </c>
      <c r="F382">
        <f>TxSPLINE!F$16</f>
        <v>9.7266666666666648</v>
      </c>
      <c r="G382">
        <f>TxSPLINE!F$17</f>
        <v>1.5935483870967744</v>
      </c>
      <c r="H382" s="5">
        <f>TxSPLINE!K$16</f>
        <v>-9.0490298758585334E-3</v>
      </c>
      <c r="I382" s="5">
        <f>TxSPLINE!K$17</f>
        <v>1.5732778507861304E-2</v>
      </c>
      <c r="J382">
        <f t="shared" si="57"/>
        <v>0.58064516129032262</v>
      </c>
      <c r="K382">
        <f t="shared" si="58"/>
        <v>0.41935483870967744</v>
      </c>
      <c r="L382">
        <f t="shared" si="59"/>
        <v>333</v>
      </c>
      <c r="M382" s="6">
        <f t="shared" si="60"/>
        <v>6.3160041623309038</v>
      </c>
      <c r="N382" s="13">
        <f t="shared" si="66"/>
        <v>6.0029476517914091</v>
      </c>
      <c r="O382" s="6">
        <f t="shared" si="63"/>
        <v>5199.0819801930456</v>
      </c>
      <c r="P382" s="6">
        <f t="shared" si="64"/>
        <v>5213.7545542237531</v>
      </c>
      <c r="Q382" s="6">
        <f t="shared" si="61"/>
        <v>6.0029476517914091</v>
      </c>
      <c r="T382" s="6">
        <f t="shared" si="65"/>
        <v>6.0029476517914091</v>
      </c>
    </row>
    <row r="383" spans="1:20">
      <c r="B383">
        <f t="shared" si="62"/>
        <v>380</v>
      </c>
      <c r="C383">
        <f t="shared" si="56"/>
        <v>31</v>
      </c>
      <c r="D383">
        <v>366</v>
      </c>
      <c r="E383">
        <v>397</v>
      </c>
      <c r="F383">
        <f>TxSPLINE!F$16</f>
        <v>9.7266666666666648</v>
      </c>
      <c r="G383">
        <f>TxSPLINE!F$17</f>
        <v>1.5935483870967744</v>
      </c>
      <c r="H383" s="5">
        <f>TxSPLINE!K$16</f>
        <v>-9.0490298758585334E-3</v>
      </c>
      <c r="I383" s="5">
        <f>TxSPLINE!K$17</f>
        <v>1.5732778507861304E-2</v>
      </c>
      <c r="J383">
        <f t="shared" si="57"/>
        <v>0.54838709677419351</v>
      </c>
      <c r="K383">
        <f t="shared" si="58"/>
        <v>0.45161290322580644</v>
      </c>
      <c r="L383">
        <f t="shared" si="59"/>
        <v>334</v>
      </c>
      <c r="M383" s="6">
        <f t="shared" si="60"/>
        <v>6.0536455081512299</v>
      </c>
      <c r="N383" s="13">
        <f t="shared" si="66"/>
        <v>5.7035275483803343</v>
      </c>
      <c r="O383" s="6">
        <f t="shared" si="63"/>
        <v>5205.1356257011967</v>
      </c>
      <c r="P383" s="6">
        <f t="shared" si="64"/>
        <v>5219.4580817721335</v>
      </c>
      <c r="Q383" s="6">
        <f t="shared" si="61"/>
        <v>5.7035275483803343</v>
      </c>
      <c r="T383" s="6">
        <f t="shared" si="65"/>
        <v>5.7035275483803343</v>
      </c>
    </row>
    <row r="384" spans="1:20">
      <c r="B384">
        <f t="shared" si="62"/>
        <v>381</v>
      </c>
      <c r="C384">
        <f t="shared" si="56"/>
        <v>31</v>
      </c>
      <c r="D384">
        <v>366</v>
      </c>
      <c r="E384">
        <v>397</v>
      </c>
      <c r="F384">
        <f>TxSPLINE!F$16</f>
        <v>9.7266666666666648</v>
      </c>
      <c r="G384">
        <f>TxSPLINE!F$17</f>
        <v>1.5935483870967744</v>
      </c>
      <c r="H384" s="5">
        <f>TxSPLINE!K$16</f>
        <v>-9.0490298758585334E-3</v>
      </c>
      <c r="I384" s="5">
        <f>TxSPLINE!K$17</f>
        <v>1.5732778507861304E-2</v>
      </c>
      <c r="J384">
        <f t="shared" si="57"/>
        <v>0.5161290322580645</v>
      </c>
      <c r="K384">
        <f t="shared" si="58"/>
        <v>0.4838709677419355</v>
      </c>
      <c r="L384">
        <f t="shared" si="59"/>
        <v>335</v>
      </c>
      <c r="M384" s="6">
        <f t="shared" si="60"/>
        <v>5.7912868539715561</v>
      </c>
      <c r="N384" s="13">
        <f t="shared" si="66"/>
        <v>5.4062501995247576</v>
      </c>
      <c r="O384" s="6">
        <f t="shared" si="63"/>
        <v>5210.9269125551682</v>
      </c>
      <c r="P384" s="6">
        <f t="shared" si="64"/>
        <v>5224.8643319716584</v>
      </c>
      <c r="Q384" s="6">
        <f t="shared" si="61"/>
        <v>5.4062501995247576</v>
      </c>
      <c r="T384" s="6">
        <f t="shared" si="65"/>
        <v>5.4062501995247576</v>
      </c>
    </row>
    <row r="385" spans="1:20">
      <c r="B385">
        <f t="shared" si="62"/>
        <v>382</v>
      </c>
      <c r="C385">
        <f t="shared" si="56"/>
        <v>31</v>
      </c>
      <c r="D385">
        <v>366</v>
      </c>
      <c r="E385">
        <v>397</v>
      </c>
      <c r="F385">
        <f>TxSPLINE!F$16</f>
        <v>9.7266666666666648</v>
      </c>
      <c r="G385">
        <f>TxSPLINE!F$17</f>
        <v>1.5935483870967744</v>
      </c>
      <c r="H385" s="5">
        <f>TxSPLINE!K$16</f>
        <v>-9.0490298758585334E-3</v>
      </c>
      <c r="I385" s="5">
        <f>TxSPLINE!K$17</f>
        <v>1.5732778507861304E-2</v>
      </c>
      <c r="J385">
        <f t="shared" si="57"/>
        <v>0.4838709677419355</v>
      </c>
      <c r="K385">
        <f t="shared" si="58"/>
        <v>0.5161290322580645</v>
      </c>
      <c r="L385">
        <f t="shared" si="59"/>
        <v>336</v>
      </c>
      <c r="M385" s="6">
        <f t="shared" si="60"/>
        <v>5.5289281997918831</v>
      </c>
      <c r="N385" s="13">
        <f t="shared" si="66"/>
        <v>5.1119150183983493</v>
      </c>
      <c r="O385" s="6">
        <f t="shared" si="63"/>
        <v>5216.4558407549603</v>
      </c>
      <c r="P385" s="6">
        <f t="shared" si="64"/>
        <v>5229.976246990057</v>
      </c>
      <c r="Q385" s="6">
        <f t="shared" si="61"/>
        <v>5.1119150183983493</v>
      </c>
      <c r="T385" s="6">
        <f t="shared" si="65"/>
        <v>5.1119150183983493</v>
      </c>
    </row>
    <row r="386" spans="1:20">
      <c r="B386">
        <f t="shared" si="62"/>
        <v>383</v>
      </c>
      <c r="C386">
        <f t="shared" si="56"/>
        <v>31</v>
      </c>
      <c r="D386">
        <v>366</v>
      </c>
      <c r="E386">
        <v>397</v>
      </c>
      <c r="F386">
        <f>TxSPLINE!F$16</f>
        <v>9.7266666666666648</v>
      </c>
      <c r="G386">
        <f>TxSPLINE!F$17</f>
        <v>1.5935483870967744</v>
      </c>
      <c r="H386" s="5">
        <f>TxSPLINE!K$16</f>
        <v>-9.0490298758585334E-3</v>
      </c>
      <c r="I386" s="5">
        <f>TxSPLINE!K$17</f>
        <v>1.5732778507861304E-2</v>
      </c>
      <c r="J386">
        <f t="shared" si="57"/>
        <v>0.45161290322580644</v>
      </c>
      <c r="K386">
        <f t="shared" si="58"/>
        <v>0.54838709677419351</v>
      </c>
      <c r="L386">
        <f t="shared" si="59"/>
        <v>337</v>
      </c>
      <c r="M386" s="6">
        <f t="shared" si="60"/>
        <v>5.2665695456122084</v>
      </c>
      <c r="N386" s="13">
        <f t="shared" si="66"/>
        <v>4.821321418174775</v>
      </c>
      <c r="O386" s="6">
        <f t="shared" si="63"/>
        <v>5221.7224103005728</v>
      </c>
      <c r="P386" s="6">
        <f t="shared" si="64"/>
        <v>5234.7975684082321</v>
      </c>
      <c r="Q386" s="6">
        <f t="shared" si="61"/>
        <v>4.821321418174775</v>
      </c>
      <c r="T386" s="6">
        <f t="shared" si="65"/>
        <v>4.821321418174775</v>
      </c>
    </row>
    <row r="387" spans="1:20">
      <c r="B387">
        <f t="shared" si="62"/>
        <v>384</v>
      </c>
      <c r="C387">
        <f t="shared" si="56"/>
        <v>31</v>
      </c>
      <c r="D387">
        <v>366</v>
      </c>
      <c r="E387">
        <v>397</v>
      </c>
      <c r="F387">
        <f>TxSPLINE!F$16</f>
        <v>9.7266666666666648</v>
      </c>
      <c r="G387">
        <f>TxSPLINE!F$17</f>
        <v>1.5935483870967744</v>
      </c>
      <c r="H387" s="5">
        <f>TxSPLINE!K$16</f>
        <v>-9.0490298758585334E-3</v>
      </c>
      <c r="I387" s="5">
        <f>TxSPLINE!K$17</f>
        <v>1.5732778507861304E-2</v>
      </c>
      <c r="J387">
        <f t="shared" si="57"/>
        <v>0.41935483870967744</v>
      </c>
      <c r="K387">
        <f t="shared" si="58"/>
        <v>0.58064516129032262</v>
      </c>
      <c r="L387">
        <f t="shared" si="59"/>
        <v>338</v>
      </c>
      <c r="M387" s="6">
        <f t="shared" si="60"/>
        <v>5.0042108914325354</v>
      </c>
      <c r="N387" s="13">
        <f t="shared" si="66"/>
        <v>4.5352688120277058</v>
      </c>
      <c r="O387" s="6">
        <f t="shared" si="63"/>
        <v>5226.726621192005</v>
      </c>
      <c r="P387" s="6">
        <f t="shared" si="64"/>
        <v>5239.3328372202595</v>
      </c>
      <c r="Q387" s="6">
        <f t="shared" si="61"/>
        <v>4.5352688120277058</v>
      </c>
      <c r="T387" s="6">
        <f t="shared" si="65"/>
        <v>4.5352688120277058</v>
      </c>
    </row>
    <row r="388" spans="1:20">
      <c r="B388">
        <f t="shared" si="62"/>
        <v>385</v>
      </c>
      <c r="C388">
        <f t="shared" ref="C388:C451" si="67">E388-D388</f>
        <v>31</v>
      </c>
      <c r="D388">
        <v>366</v>
      </c>
      <c r="E388">
        <v>397</v>
      </c>
      <c r="F388">
        <f>TxSPLINE!F$16</f>
        <v>9.7266666666666648</v>
      </c>
      <c r="G388">
        <f>TxSPLINE!F$17</f>
        <v>1.5935483870967744</v>
      </c>
      <c r="H388" s="5">
        <f>TxSPLINE!K$16</f>
        <v>-9.0490298758585334E-3</v>
      </c>
      <c r="I388" s="5">
        <f>TxSPLINE!K$17</f>
        <v>1.5732778507861304E-2</v>
      </c>
      <c r="J388">
        <f t="shared" ref="J388:J451" si="68">(E388-B388)/C388</f>
        <v>0.38709677419354838</v>
      </c>
      <c r="K388">
        <f t="shared" ref="K388:K451" si="69">(B388-D388)/C388</f>
        <v>0.61290322580645162</v>
      </c>
      <c r="L388">
        <f t="shared" ref="L388:L414" si="70">B388-46</f>
        <v>339</v>
      </c>
      <c r="M388" s="6">
        <f t="shared" ref="M388:M451" si="71">J388*F388+K388*G388</f>
        <v>4.7418522372528606</v>
      </c>
      <c r="N388" s="13">
        <f t="shared" si="66"/>
        <v>4.2545566131308075</v>
      </c>
      <c r="O388" s="6">
        <f t="shared" si="63"/>
        <v>5231.4684734292578</v>
      </c>
      <c r="P388" s="6">
        <f t="shared" si="64"/>
        <v>5243.5873938333907</v>
      </c>
      <c r="Q388" s="6">
        <f t="shared" ref="Q388:Q451" si="72">M388+(((J388^3-J388)*H388+(K388^3-K388)*I388))*(C388^2)/6</f>
        <v>4.2545566131308075</v>
      </c>
      <c r="T388" s="6">
        <f t="shared" si="65"/>
        <v>4.2545566131308075</v>
      </c>
    </row>
    <row r="389" spans="1:20">
      <c r="B389">
        <f t="shared" ref="B389:B452" si="73">B388+1</f>
        <v>386</v>
      </c>
      <c r="C389">
        <f t="shared" si="67"/>
        <v>31</v>
      </c>
      <c r="D389">
        <v>366</v>
      </c>
      <c r="E389">
        <v>397</v>
      </c>
      <c r="F389">
        <f>TxSPLINE!F$16</f>
        <v>9.7266666666666648</v>
      </c>
      <c r="G389">
        <f>TxSPLINE!F$17</f>
        <v>1.5935483870967744</v>
      </c>
      <c r="H389" s="5">
        <f>TxSPLINE!K$16</f>
        <v>-9.0490298758585334E-3</v>
      </c>
      <c r="I389" s="5">
        <f>TxSPLINE!K$17</f>
        <v>1.5732778507861304E-2</v>
      </c>
      <c r="J389">
        <f t="shared" si="68"/>
        <v>0.35483870967741937</v>
      </c>
      <c r="K389">
        <f t="shared" si="69"/>
        <v>0.64516129032258063</v>
      </c>
      <c r="L389">
        <f t="shared" si="70"/>
        <v>340</v>
      </c>
      <c r="M389" s="6">
        <f t="shared" si="71"/>
        <v>4.4794935830731868</v>
      </c>
      <c r="N389" s="13">
        <f t="shared" si="66"/>
        <v>3.9799842346577514</v>
      </c>
      <c r="O389" s="6">
        <f t="shared" ref="O389:O452" si="74">O388+M389</f>
        <v>5235.947967012331</v>
      </c>
      <c r="P389" s="6">
        <f t="shared" ref="P389:P452" si="75">P388+N389</f>
        <v>5247.5673780680481</v>
      </c>
      <c r="Q389" s="6">
        <f t="shared" si="72"/>
        <v>3.9799842346577514</v>
      </c>
      <c r="T389" s="6">
        <f t="shared" si="65"/>
        <v>3.9799842346577514</v>
      </c>
    </row>
    <row r="390" spans="1:20">
      <c r="B390">
        <f t="shared" si="73"/>
        <v>387</v>
      </c>
      <c r="C390">
        <f t="shared" si="67"/>
        <v>31</v>
      </c>
      <c r="D390">
        <v>366</v>
      </c>
      <c r="E390">
        <v>397</v>
      </c>
      <c r="F390">
        <f>TxSPLINE!F$16</f>
        <v>9.7266666666666648</v>
      </c>
      <c r="G390">
        <f>TxSPLINE!F$17</f>
        <v>1.5935483870967744</v>
      </c>
      <c r="H390" s="5">
        <f>TxSPLINE!K$16</f>
        <v>-9.0490298758585334E-3</v>
      </c>
      <c r="I390" s="5">
        <f>TxSPLINE!K$17</f>
        <v>1.5732778507861304E-2</v>
      </c>
      <c r="J390">
        <f t="shared" si="68"/>
        <v>0.32258064516129031</v>
      </c>
      <c r="K390">
        <f t="shared" si="69"/>
        <v>0.67741935483870963</v>
      </c>
      <c r="L390">
        <f t="shared" si="70"/>
        <v>341</v>
      </c>
      <c r="M390" s="6">
        <f t="shared" si="71"/>
        <v>4.2171349288935129</v>
      </c>
      <c r="N390" s="13">
        <f t="shared" si="66"/>
        <v>3.7123510897822039</v>
      </c>
      <c r="O390" s="6">
        <f t="shared" si="74"/>
        <v>5240.1651019412247</v>
      </c>
      <c r="P390" s="6">
        <f t="shared" si="75"/>
        <v>5251.2797291578299</v>
      </c>
      <c r="Q390" s="6">
        <f t="shared" si="72"/>
        <v>3.7123510897822039</v>
      </c>
      <c r="T390" s="6">
        <f t="shared" si="65"/>
        <v>3.7123510897822039</v>
      </c>
    </row>
    <row r="391" spans="1:20">
      <c r="B391">
        <f t="shared" si="73"/>
        <v>388</v>
      </c>
      <c r="C391">
        <f t="shared" si="67"/>
        <v>31</v>
      </c>
      <c r="D391">
        <v>366</v>
      </c>
      <c r="E391">
        <v>397</v>
      </c>
      <c r="F391">
        <f>TxSPLINE!F$16</f>
        <v>9.7266666666666648</v>
      </c>
      <c r="G391">
        <f>TxSPLINE!F$17</f>
        <v>1.5935483870967744</v>
      </c>
      <c r="H391" s="5">
        <f>TxSPLINE!K$16</f>
        <v>-9.0490298758585334E-3</v>
      </c>
      <c r="I391" s="5">
        <f>TxSPLINE!K$17</f>
        <v>1.5732778507861304E-2</v>
      </c>
      <c r="J391">
        <f t="shared" si="68"/>
        <v>0.29032258064516131</v>
      </c>
      <c r="K391">
        <f t="shared" si="69"/>
        <v>0.70967741935483875</v>
      </c>
      <c r="L391">
        <f t="shared" si="70"/>
        <v>342</v>
      </c>
      <c r="M391" s="6">
        <f t="shared" si="71"/>
        <v>3.9547762747138391</v>
      </c>
      <c r="N391" s="13">
        <f t="shared" si="66"/>
        <v>3.4524565916778345</v>
      </c>
      <c r="O391" s="6">
        <f t="shared" si="74"/>
        <v>5244.119878215939</v>
      </c>
      <c r="P391" s="6">
        <f t="shared" si="75"/>
        <v>5254.7321857495081</v>
      </c>
      <c r="Q391" s="6">
        <f t="shared" si="72"/>
        <v>3.4524565916778345</v>
      </c>
      <c r="T391" s="6">
        <f t="shared" si="65"/>
        <v>3.4524565916778345</v>
      </c>
    </row>
    <row r="392" spans="1:20">
      <c r="B392">
        <f t="shared" si="73"/>
        <v>389</v>
      </c>
      <c r="C392">
        <f t="shared" si="67"/>
        <v>31</v>
      </c>
      <c r="D392">
        <v>366</v>
      </c>
      <c r="E392">
        <v>397</v>
      </c>
      <c r="F392">
        <f>TxSPLINE!F$16</f>
        <v>9.7266666666666648</v>
      </c>
      <c r="G392">
        <f>TxSPLINE!F$17</f>
        <v>1.5935483870967744</v>
      </c>
      <c r="H392" s="5">
        <f>TxSPLINE!K$16</f>
        <v>-9.0490298758585334E-3</v>
      </c>
      <c r="I392" s="5">
        <f>TxSPLINE!K$17</f>
        <v>1.5732778507861304E-2</v>
      </c>
      <c r="J392">
        <f t="shared" si="68"/>
        <v>0.25806451612903225</v>
      </c>
      <c r="K392">
        <f t="shared" si="69"/>
        <v>0.74193548387096775</v>
      </c>
      <c r="L392">
        <f t="shared" si="70"/>
        <v>343</v>
      </c>
      <c r="M392" s="6">
        <f t="shared" si="71"/>
        <v>3.6924176205341652</v>
      </c>
      <c r="N392" s="13">
        <f t="shared" si="66"/>
        <v>3.2011001535183099</v>
      </c>
      <c r="O392" s="6">
        <f t="shared" si="74"/>
        <v>5247.8122958364729</v>
      </c>
      <c r="P392" s="6">
        <f t="shared" si="75"/>
        <v>5257.9332859030264</v>
      </c>
      <c r="Q392" s="6">
        <f t="shared" si="72"/>
        <v>3.2011001535183099</v>
      </c>
      <c r="T392" s="6">
        <f t="shared" si="65"/>
        <v>3.2011001535183099</v>
      </c>
    </row>
    <row r="393" spans="1:20">
      <c r="B393">
        <f t="shared" si="73"/>
        <v>390</v>
      </c>
      <c r="C393">
        <f t="shared" si="67"/>
        <v>31</v>
      </c>
      <c r="D393">
        <v>366</v>
      </c>
      <c r="E393">
        <v>397</v>
      </c>
      <c r="F393">
        <f>TxSPLINE!F$16</f>
        <v>9.7266666666666648</v>
      </c>
      <c r="G393">
        <f>TxSPLINE!F$17</f>
        <v>1.5935483870967744</v>
      </c>
      <c r="H393" s="5">
        <f>TxSPLINE!K$16</f>
        <v>-9.0490298758585334E-3</v>
      </c>
      <c r="I393" s="5">
        <f>TxSPLINE!K$17</f>
        <v>1.5732778507861304E-2</v>
      </c>
      <c r="J393">
        <f t="shared" si="68"/>
        <v>0.22580645161290322</v>
      </c>
      <c r="K393">
        <f t="shared" si="69"/>
        <v>0.77419354838709675</v>
      </c>
      <c r="L393">
        <f t="shared" si="70"/>
        <v>344</v>
      </c>
      <c r="M393" s="6">
        <f t="shared" si="71"/>
        <v>3.4300589663544914</v>
      </c>
      <c r="N393" s="13">
        <f t="shared" si="66"/>
        <v>2.9590811884772998</v>
      </c>
      <c r="O393" s="6">
        <f t="shared" si="74"/>
        <v>5251.2423548028273</v>
      </c>
      <c r="P393" s="6">
        <f t="shared" si="75"/>
        <v>5260.8923670915037</v>
      </c>
      <c r="Q393" s="6">
        <f t="shared" si="72"/>
        <v>2.9590811884772998</v>
      </c>
      <c r="T393" s="6">
        <f t="shared" si="65"/>
        <v>2.9590811884772998</v>
      </c>
    </row>
    <row r="394" spans="1:20">
      <c r="B394">
        <f t="shared" si="73"/>
        <v>391</v>
      </c>
      <c r="C394">
        <f t="shared" si="67"/>
        <v>31</v>
      </c>
      <c r="D394">
        <v>366</v>
      </c>
      <c r="E394">
        <v>397</v>
      </c>
      <c r="F394">
        <f>TxSPLINE!F$16</f>
        <v>9.7266666666666648</v>
      </c>
      <c r="G394">
        <f>TxSPLINE!F$17</f>
        <v>1.5935483870967744</v>
      </c>
      <c r="H394" s="5">
        <f>TxSPLINE!K$16</f>
        <v>-9.0490298758585334E-3</v>
      </c>
      <c r="I394" s="5">
        <f>TxSPLINE!K$17</f>
        <v>1.5732778507861304E-2</v>
      </c>
      <c r="J394">
        <f t="shared" si="68"/>
        <v>0.19354838709677419</v>
      </c>
      <c r="K394">
        <f t="shared" si="69"/>
        <v>0.80645161290322576</v>
      </c>
      <c r="L394">
        <f t="shared" si="70"/>
        <v>345</v>
      </c>
      <c r="M394" s="6">
        <f t="shared" si="71"/>
        <v>3.1677003121748175</v>
      </c>
      <c r="N394" s="13">
        <f t="shared" si="66"/>
        <v>2.7271991097284727</v>
      </c>
      <c r="O394" s="6">
        <f t="shared" si="74"/>
        <v>5254.4100551150023</v>
      </c>
      <c r="P394" s="6">
        <f t="shared" si="75"/>
        <v>5263.6195662012324</v>
      </c>
      <c r="Q394" s="6">
        <f t="shared" si="72"/>
        <v>2.7271991097284727</v>
      </c>
      <c r="T394" s="6">
        <f t="shared" si="65"/>
        <v>2.7271991097284727</v>
      </c>
    </row>
    <row r="395" spans="1:20">
      <c r="B395">
        <f t="shared" si="73"/>
        <v>392</v>
      </c>
      <c r="C395">
        <f t="shared" si="67"/>
        <v>31</v>
      </c>
      <c r="D395">
        <v>366</v>
      </c>
      <c r="E395">
        <v>397</v>
      </c>
      <c r="F395">
        <f>TxSPLINE!F$16</f>
        <v>9.7266666666666648</v>
      </c>
      <c r="G395">
        <f>TxSPLINE!F$17</f>
        <v>1.5935483870967744</v>
      </c>
      <c r="H395" s="5">
        <f>TxSPLINE!K$16</f>
        <v>-9.0490298758585334E-3</v>
      </c>
      <c r="I395" s="5">
        <f>TxSPLINE!K$17</f>
        <v>1.5732778507861304E-2</v>
      </c>
      <c r="J395">
        <f t="shared" si="68"/>
        <v>0.16129032258064516</v>
      </c>
      <c r="K395">
        <f t="shared" si="69"/>
        <v>0.83870967741935487</v>
      </c>
      <c r="L395">
        <f t="shared" si="70"/>
        <v>346</v>
      </c>
      <c r="M395" s="6">
        <f t="shared" si="71"/>
        <v>2.9053416579951437</v>
      </c>
      <c r="N395" s="13">
        <f t="shared" si="66"/>
        <v>2.5062533304454968</v>
      </c>
      <c r="O395" s="6">
        <f t="shared" si="74"/>
        <v>5257.3153967729977</v>
      </c>
      <c r="P395" s="6">
        <f t="shared" si="75"/>
        <v>5266.1258195316777</v>
      </c>
      <c r="Q395" s="6">
        <f t="shared" si="72"/>
        <v>2.5062533304454968</v>
      </c>
      <c r="T395" s="6">
        <f t="shared" si="65"/>
        <v>2.5062533304454968</v>
      </c>
    </row>
    <row r="396" spans="1:20">
      <c r="B396">
        <f t="shared" si="73"/>
        <v>393</v>
      </c>
      <c r="C396">
        <f t="shared" si="67"/>
        <v>31</v>
      </c>
      <c r="D396">
        <v>366</v>
      </c>
      <c r="E396">
        <v>397</v>
      </c>
      <c r="F396">
        <f>TxSPLINE!F$16</f>
        <v>9.7266666666666648</v>
      </c>
      <c r="G396">
        <f>TxSPLINE!F$17</f>
        <v>1.5935483870967744</v>
      </c>
      <c r="H396" s="5">
        <f>TxSPLINE!K$16</f>
        <v>-9.0490298758585334E-3</v>
      </c>
      <c r="I396" s="5">
        <f>TxSPLINE!K$17</f>
        <v>1.5732778507861304E-2</v>
      </c>
      <c r="J396">
        <f t="shared" si="68"/>
        <v>0.12903225806451613</v>
      </c>
      <c r="K396">
        <f t="shared" si="69"/>
        <v>0.87096774193548387</v>
      </c>
      <c r="L396">
        <f t="shared" si="70"/>
        <v>347</v>
      </c>
      <c r="M396" s="6">
        <f t="shared" si="71"/>
        <v>2.6429830038154698</v>
      </c>
      <c r="N396" s="13">
        <f t="shared" si="66"/>
        <v>2.2970432638020397</v>
      </c>
      <c r="O396" s="6">
        <f t="shared" si="74"/>
        <v>5259.9583797768128</v>
      </c>
      <c r="P396" s="6">
        <f t="shared" si="75"/>
        <v>5268.4228627954799</v>
      </c>
      <c r="Q396" s="6">
        <f t="shared" si="72"/>
        <v>2.2970432638020397</v>
      </c>
      <c r="T396" s="6">
        <f t="shared" si="65"/>
        <v>2.2970432638020397</v>
      </c>
    </row>
    <row r="397" spans="1:20">
      <c r="B397">
        <f t="shared" si="73"/>
        <v>394</v>
      </c>
      <c r="C397">
        <f t="shared" si="67"/>
        <v>31</v>
      </c>
      <c r="D397">
        <v>366</v>
      </c>
      <c r="E397">
        <v>397</v>
      </c>
      <c r="F397">
        <f>TxSPLINE!F$16</f>
        <v>9.7266666666666648</v>
      </c>
      <c r="G397">
        <f>TxSPLINE!F$17</f>
        <v>1.5935483870967744</v>
      </c>
      <c r="H397" s="5">
        <f>TxSPLINE!K$16</f>
        <v>-9.0490298758585334E-3</v>
      </c>
      <c r="I397" s="5">
        <f>TxSPLINE!K$17</f>
        <v>1.5732778507861304E-2</v>
      </c>
      <c r="J397">
        <f t="shared" si="68"/>
        <v>9.6774193548387094E-2</v>
      </c>
      <c r="K397">
        <f t="shared" si="69"/>
        <v>0.90322580645161288</v>
      </c>
      <c r="L397">
        <f t="shared" si="70"/>
        <v>348</v>
      </c>
      <c r="M397" s="6">
        <f t="shared" si="71"/>
        <v>2.3806243496357959</v>
      </c>
      <c r="N397" s="13">
        <f t="shared" si="66"/>
        <v>2.1003683229717707</v>
      </c>
      <c r="O397" s="6">
        <f t="shared" si="74"/>
        <v>5262.3390041264483</v>
      </c>
      <c r="P397" s="6">
        <f t="shared" si="75"/>
        <v>5270.5232311184518</v>
      </c>
      <c r="Q397" s="6">
        <f t="shared" si="72"/>
        <v>2.1003683229717707</v>
      </c>
      <c r="T397" s="6">
        <f t="shared" si="65"/>
        <v>2.1003683229717707</v>
      </c>
    </row>
    <row r="398" spans="1:20">
      <c r="B398">
        <f t="shared" si="73"/>
        <v>395</v>
      </c>
      <c r="C398">
        <f t="shared" si="67"/>
        <v>31</v>
      </c>
      <c r="D398">
        <v>366</v>
      </c>
      <c r="E398">
        <v>397</v>
      </c>
      <c r="F398">
        <f>TxSPLINE!F$16</f>
        <v>9.7266666666666648</v>
      </c>
      <c r="G398">
        <f>TxSPLINE!F$17</f>
        <v>1.5935483870967744</v>
      </c>
      <c r="H398" s="5">
        <f>TxSPLINE!K$16</f>
        <v>-9.0490298758585334E-3</v>
      </c>
      <c r="I398" s="5">
        <f>TxSPLINE!K$17</f>
        <v>1.5732778507861304E-2</v>
      </c>
      <c r="J398">
        <f t="shared" si="68"/>
        <v>6.4516129032258063E-2</v>
      </c>
      <c r="K398">
        <f t="shared" si="69"/>
        <v>0.93548387096774188</v>
      </c>
      <c r="L398">
        <f t="shared" si="70"/>
        <v>349</v>
      </c>
      <c r="M398" s="6">
        <f t="shared" si="71"/>
        <v>2.1182656954561221</v>
      </c>
      <c r="N398" s="13">
        <f t="shared" si="66"/>
        <v>1.9170279211283576</v>
      </c>
      <c r="O398" s="6">
        <f t="shared" si="74"/>
        <v>5264.4572698219044</v>
      </c>
      <c r="P398" s="6">
        <f t="shared" si="75"/>
        <v>5272.4402590395803</v>
      </c>
      <c r="Q398" s="6">
        <f t="shared" si="72"/>
        <v>1.9170279211283576</v>
      </c>
      <c r="T398" s="6">
        <f t="shared" si="65"/>
        <v>1.9170279211283576</v>
      </c>
    </row>
    <row r="399" spans="1:20">
      <c r="B399">
        <f t="shared" si="73"/>
        <v>396</v>
      </c>
      <c r="C399">
        <f t="shared" si="67"/>
        <v>31</v>
      </c>
      <c r="D399">
        <v>366</v>
      </c>
      <c r="E399">
        <v>397</v>
      </c>
      <c r="F399">
        <f>TxSPLINE!F$16</f>
        <v>9.7266666666666648</v>
      </c>
      <c r="G399">
        <f>TxSPLINE!F$17</f>
        <v>1.5935483870967744</v>
      </c>
      <c r="H399" s="5">
        <f>TxSPLINE!K$16</f>
        <v>-9.0490298758585334E-3</v>
      </c>
      <c r="I399" s="5">
        <f>TxSPLINE!K$17</f>
        <v>1.5732778507861304E-2</v>
      </c>
      <c r="J399">
        <f t="shared" si="68"/>
        <v>3.2258064516129031E-2</v>
      </c>
      <c r="K399">
        <f t="shared" si="69"/>
        <v>0.967741935483871</v>
      </c>
      <c r="L399">
        <f t="shared" si="70"/>
        <v>350</v>
      </c>
      <c r="M399" s="6">
        <f t="shared" si="71"/>
        <v>1.8559070412764482</v>
      </c>
      <c r="N399" s="13">
        <f t="shared" si="66"/>
        <v>1.7478214714454698</v>
      </c>
      <c r="O399" s="6">
        <f t="shared" si="74"/>
        <v>5266.3131768631811</v>
      </c>
      <c r="P399" s="6">
        <f t="shared" si="75"/>
        <v>5274.1880805110259</v>
      </c>
      <c r="Q399" s="6">
        <f t="shared" si="72"/>
        <v>1.7478214714454698</v>
      </c>
      <c r="T399" s="6">
        <f t="shared" si="65"/>
        <v>1.7478214714454698</v>
      </c>
    </row>
    <row r="400" spans="1:20">
      <c r="A400">
        <v>397</v>
      </c>
      <c r="B400">
        <f t="shared" si="73"/>
        <v>397</v>
      </c>
      <c r="C400">
        <f t="shared" si="67"/>
        <v>31</v>
      </c>
      <c r="D400">
        <v>366</v>
      </c>
      <c r="E400">
        <v>397</v>
      </c>
      <c r="F400">
        <f>TxSPLINE!F$16</f>
        <v>9.7266666666666648</v>
      </c>
      <c r="G400">
        <f>TxSPLINE!F$17</f>
        <v>1.5935483870967744</v>
      </c>
      <c r="H400" s="5">
        <f>TxSPLINE!K$16</f>
        <v>-9.0490298758585334E-3</v>
      </c>
      <c r="I400" s="5">
        <f>TxSPLINE!K$17</f>
        <v>1.5732778507861304E-2</v>
      </c>
      <c r="J400">
        <f t="shared" si="68"/>
        <v>0</v>
      </c>
      <c r="K400">
        <f t="shared" si="69"/>
        <v>1</v>
      </c>
      <c r="L400">
        <f t="shared" si="70"/>
        <v>351</v>
      </c>
      <c r="M400" s="6">
        <f t="shared" si="71"/>
        <v>1.5935483870967744</v>
      </c>
      <c r="N400" s="13">
        <f t="shared" si="66"/>
        <v>1.5935483870967744</v>
      </c>
      <c r="O400" s="6">
        <f t="shared" si="74"/>
        <v>5267.9067252502782</v>
      </c>
      <c r="P400" s="6">
        <f t="shared" si="75"/>
        <v>5275.781628898123</v>
      </c>
      <c r="Q400" s="6">
        <f t="shared" si="72"/>
        <v>1.5935483870967744</v>
      </c>
      <c r="T400" s="6">
        <f t="shared" si="65"/>
        <v>1.5935483870967744</v>
      </c>
    </row>
    <row r="401" spans="1:20">
      <c r="B401">
        <f t="shared" si="73"/>
        <v>398</v>
      </c>
      <c r="C401">
        <f t="shared" si="67"/>
        <v>29</v>
      </c>
      <c r="D401">
        <v>397</v>
      </c>
      <c r="E401">
        <v>426</v>
      </c>
      <c r="F401">
        <f>TxSPLINE!F$17</f>
        <v>1.5935483870967744</v>
      </c>
      <c r="G401">
        <f>TxSPLINE!F$18</f>
        <v>1.143870967741935</v>
      </c>
      <c r="H401" s="5">
        <f>TxSPLINE!K$17</f>
        <v>1.5732778507861304E-2</v>
      </c>
      <c r="I401" s="5">
        <f>TxSPLINE!K$18</f>
        <v>-4.3551130057387574E-3</v>
      </c>
      <c r="J401">
        <f t="shared" si="68"/>
        <v>0.96551724137931039</v>
      </c>
      <c r="K401">
        <f t="shared" si="69"/>
        <v>3.4482758620689655E-2</v>
      </c>
      <c r="L401">
        <f t="shared" si="70"/>
        <v>352</v>
      </c>
      <c r="M401" s="6">
        <f t="shared" si="71"/>
        <v>1.578042269187987</v>
      </c>
      <c r="N401" s="13">
        <f t="shared" si="66"/>
        <v>1.454759398074619</v>
      </c>
      <c r="O401" s="6">
        <f t="shared" si="74"/>
        <v>5269.484767519466</v>
      </c>
      <c r="P401" s="6">
        <f t="shared" si="75"/>
        <v>5277.2363882961972</v>
      </c>
      <c r="Q401" s="6">
        <f t="shared" si="72"/>
        <v>1.454759398074619</v>
      </c>
      <c r="T401" s="6">
        <f t="shared" si="65"/>
        <v>1.454759398074619</v>
      </c>
    </row>
    <row r="402" spans="1:20">
      <c r="B402">
        <f t="shared" si="73"/>
        <v>399</v>
      </c>
      <c r="C402">
        <f t="shared" si="67"/>
        <v>29</v>
      </c>
      <c r="D402">
        <v>397</v>
      </c>
      <c r="E402">
        <v>426</v>
      </c>
      <c r="F402">
        <f>TxSPLINE!F$17</f>
        <v>1.5935483870967744</v>
      </c>
      <c r="G402">
        <f>TxSPLINE!F$18</f>
        <v>1.143870967741935</v>
      </c>
      <c r="H402" s="5">
        <f>TxSPLINE!K$17</f>
        <v>1.5732778507861304E-2</v>
      </c>
      <c r="I402" s="5">
        <f>TxSPLINE!K$18</f>
        <v>-4.3551130057387574E-3</v>
      </c>
      <c r="J402">
        <f t="shared" si="68"/>
        <v>0.93103448275862066</v>
      </c>
      <c r="K402">
        <f t="shared" si="69"/>
        <v>6.8965517241379309E-2</v>
      </c>
      <c r="L402">
        <f t="shared" si="70"/>
        <v>353</v>
      </c>
      <c r="M402" s="6">
        <f t="shared" si="71"/>
        <v>1.5625361512791991</v>
      </c>
      <c r="N402" s="13">
        <f t="shared" si="66"/>
        <v>1.3310105016460616</v>
      </c>
      <c r="O402" s="6">
        <f t="shared" si="74"/>
        <v>5271.0473036707454</v>
      </c>
      <c r="P402" s="6">
        <f t="shared" si="75"/>
        <v>5278.5673987978435</v>
      </c>
      <c r="Q402" s="6">
        <f t="shared" si="72"/>
        <v>1.3310105016460616</v>
      </c>
      <c r="T402" s="6">
        <f t="shared" si="65"/>
        <v>1.3310105016460616</v>
      </c>
    </row>
    <row r="403" spans="1:20">
      <c r="B403">
        <f t="shared" si="73"/>
        <v>400</v>
      </c>
      <c r="C403">
        <f t="shared" si="67"/>
        <v>29</v>
      </c>
      <c r="D403">
        <v>397</v>
      </c>
      <c r="E403">
        <v>426</v>
      </c>
      <c r="F403">
        <f>TxSPLINE!F$17</f>
        <v>1.5935483870967744</v>
      </c>
      <c r="G403">
        <f>TxSPLINE!F$18</f>
        <v>1.143870967741935</v>
      </c>
      <c r="H403" s="5">
        <f>TxSPLINE!K$17</f>
        <v>1.5732778507861304E-2</v>
      </c>
      <c r="I403" s="5">
        <f>TxSPLINE!K$18</f>
        <v>-4.3551130057387574E-3</v>
      </c>
      <c r="J403">
        <f t="shared" si="68"/>
        <v>0.89655172413793105</v>
      </c>
      <c r="K403">
        <f t="shared" si="69"/>
        <v>0.10344827586206896</v>
      </c>
      <c r="L403">
        <f t="shared" si="70"/>
        <v>354</v>
      </c>
      <c r="M403" s="6">
        <f t="shared" si="71"/>
        <v>1.5470300333704117</v>
      </c>
      <c r="N403" s="13">
        <f t="shared" si="66"/>
        <v>1.2216090118968426</v>
      </c>
      <c r="O403" s="6">
        <f t="shared" si="74"/>
        <v>5272.5943337041153</v>
      </c>
      <c r="P403" s="6">
        <f t="shared" si="75"/>
        <v>5279.7890078097407</v>
      </c>
      <c r="Q403" s="6">
        <f t="shared" si="72"/>
        <v>1.2216090118968426</v>
      </c>
      <c r="T403" s="6">
        <f t="shared" si="65"/>
        <v>1.2216090118968426</v>
      </c>
    </row>
    <row r="404" spans="1:20">
      <c r="B404">
        <f t="shared" si="73"/>
        <v>401</v>
      </c>
      <c r="C404">
        <f t="shared" si="67"/>
        <v>29</v>
      </c>
      <c r="D404">
        <v>397</v>
      </c>
      <c r="E404">
        <v>426</v>
      </c>
      <c r="F404">
        <f>TxSPLINE!F$17</f>
        <v>1.5935483870967744</v>
      </c>
      <c r="G404">
        <f>TxSPLINE!F$18</f>
        <v>1.143870967741935</v>
      </c>
      <c r="H404" s="5">
        <f>TxSPLINE!K$17</f>
        <v>1.5732778507861304E-2</v>
      </c>
      <c r="I404" s="5">
        <f>TxSPLINE!K$18</f>
        <v>-4.3551130057387574E-3</v>
      </c>
      <c r="J404">
        <f t="shared" si="68"/>
        <v>0.86206896551724133</v>
      </c>
      <c r="K404">
        <f t="shared" si="69"/>
        <v>0.13793103448275862</v>
      </c>
      <c r="L404">
        <f t="shared" si="70"/>
        <v>355</v>
      </c>
      <c r="M404" s="6">
        <f t="shared" si="71"/>
        <v>1.5315239154616243</v>
      </c>
      <c r="N404" s="13">
        <f t="shared" si="66"/>
        <v>1.1258622429126981</v>
      </c>
      <c r="O404" s="6">
        <f t="shared" si="74"/>
        <v>5274.1258576195769</v>
      </c>
      <c r="P404" s="6">
        <f t="shared" si="75"/>
        <v>5280.914870052653</v>
      </c>
      <c r="Q404" s="6">
        <f t="shared" si="72"/>
        <v>1.1258622429126981</v>
      </c>
      <c r="T404" s="6">
        <f t="shared" si="65"/>
        <v>1.1258622429126981</v>
      </c>
    </row>
    <row r="405" spans="1:20">
      <c r="B405">
        <f t="shared" si="73"/>
        <v>402</v>
      </c>
      <c r="C405">
        <f t="shared" si="67"/>
        <v>29</v>
      </c>
      <c r="D405">
        <v>397</v>
      </c>
      <c r="E405">
        <v>426</v>
      </c>
      <c r="F405">
        <f>TxSPLINE!F$17</f>
        <v>1.5935483870967744</v>
      </c>
      <c r="G405">
        <f>TxSPLINE!F$18</f>
        <v>1.143870967741935</v>
      </c>
      <c r="H405" s="5">
        <f>TxSPLINE!K$17</f>
        <v>1.5732778507861304E-2</v>
      </c>
      <c r="I405" s="5">
        <f>TxSPLINE!K$18</f>
        <v>-4.3551130057387574E-3</v>
      </c>
      <c r="J405">
        <f t="shared" si="68"/>
        <v>0.82758620689655171</v>
      </c>
      <c r="K405">
        <f t="shared" si="69"/>
        <v>0.17241379310344829</v>
      </c>
      <c r="L405">
        <f t="shared" si="70"/>
        <v>356</v>
      </c>
      <c r="M405" s="6">
        <f t="shared" si="71"/>
        <v>1.5160177975528366</v>
      </c>
      <c r="N405" s="13">
        <f t="shared" si="66"/>
        <v>1.0430775087793667</v>
      </c>
      <c r="O405" s="6">
        <f t="shared" si="74"/>
        <v>5275.64187541713</v>
      </c>
      <c r="P405" s="6">
        <f t="shared" si="75"/>
        <v>5281.9579475614328</v>
      </c>
      <c r="Q405" s="6">
        <f t="shared" si="72"/>
        <v>1.0430775087793667</v>
      </c>
      <c r="T405" s="6">
        <f t="shared" si="65"/>
        <v>1.0430775087793667</v>
      </c>
    </row>
    <row r="406" spans="1:20">
      <c r="B406">
        <f t="shared" si="73"/>
        <v>403</v>
      </c>
      <c r="C406">
        <f t="shared" si="67"/>
        <v>29</v>
      </c>
      <c r="D406">
        <v>397</v>
      </c>
      <c r="E406">
        <v>426</v>
      </c>
      <c r="F406">
        <f>TxSPLINE!F$17</f>
        <v>1.5935483870967744</v>
      </c>
      <c r="G406">
        <f>TxSPLINE!F$18</f>
        <v>1.143870967741935</v>
      </c>
      <c r="H406" s="5">
        <f>TxSPLINE!K$17</f>
        <v>1.5732778507861304E-2</v>
      </c>
      <c r="I406" s="5">
        <f>TxSPLINE!K$18</f>
        <v>-4.3551130057387574E-3</v>
      </c>
      <c r="J406">
        <f t="shared" si="68"/>
        <v>0.7931034482758621</v>
      </c>
      <c r="K406">
        <f t="shared" si="69"/>
        <v>0.20689655172413793</v>
      </c>
      <c r="L406">
        <f t="shared" si="70"/>
        <v>357</v>
      </c>
      <c r="M406" s="6">
        <f t="shared" si="71"/>
        <v>1.5005116796440492</v>
      </c>
      <c r="N406" s="13">
        <f t="shared" si="66"/>
        <v>0.97256212358258665</v>
      </c>
      <c r="O406" s="6">
        <f t="shared" si="74"/>
        <v>5277.1423870967737</v>
      </c>
      <c r="P406" s="6">
        <f t="shared" si="75"/>
        <v>5282.9305096850157</v>
      </c>
      <c r="Q406" s="6">
        <f t="shared" si="72"/>
        <v>0.97256212358258665</v>
      </c>
      <c r="T406" s="6">
        <f t="shared" si="65"/>
        <v>0.97256212358258665</v>
      </c>
    </row>
    <row r="407" spans="1:20">
      <c r="B407">
        <f t="shared" si="73"/>
        <v>404</v>
      </c>
      <c r="C407">
        <f t="shared" si="67"/>
        <v>29</v>
      </c>
      <c r="D407">
        <v>397</v>
      </c>
      <c r="E407">
        <v>426</v>
      </c>
      <c r="F407">
        <f>TxSPLINE!F$17</f>
        <v>1.5935483870967744</v>
      </c>
      <c r="G407">
        <f>TxSPLINE!F$18</f>
        <v>1.143870967741935</v>
      </c>
      <c r="H407" s="5">
        <f>TxSPLINE!K$17</f>
        <v>1.5732778507861304E-2</v>
      </c>
      <c r="I407" s="5">
        <f>TxSPLINE!K$18</f>
        <v>-4.3551130057387574E-3</v>
      </c>
      <c r="J407">
        <f t="shared" si="68"/>
        <v>0.75862068965517238</v>
      </c>
      <c r="K407">
        <f t="shared" si="69"/>
        <v>0.2413793103448276</v>
      </c>
      <c r="L407">
        <f t="shared" si="70"/>
        <v>358</v>
      </c>
      <c r="M407" s="6">
        <f t="shared" si="71"/>
        <v>1.4850055617352615</v>
      </c>
      <c r="N407" s="13">
        <f t="shared" si="66"/>
        <v>0.91362340140809473</v>
      </c>
      <c r="O407" s="6">
        <f t="shared" si="74"/>
        <v>5278.6273926585091</v>
      </c>
      <c r="P407" s="6">
        <f t="shared" si="75"/>
        <v>5283.8441330864234</v>
      </c>
      <c r="Q407" s="6">
        <f t="shared" si="72"/>
        <v>0.91362340140809473</v>
      </c>
      <c r="T407" s="6">
        <f t="shared" si="65"/>
        <v>0.91362340140809473</v>
      </c>
    </row>
    <row r="408" spans="1:20">
      <c r="B408">
        <f t="shared" si="73"/>
        <v>405</v>
      </c>
      <c r="C408">
        <f t="shared" si="67"/>
        <v>29</v>
      </c>
      <c r="D408">
        <v>397</v>
      </c>
      <c r="E408">
        <v>426</v>
      </c>
      <c r="F408">
        <f>TxSPLINE!F$17</f>
        <v>1.5935483870967744</v>
      </c>
      <c r="G408">
        <f>TxSPLINE!F$18</f>
        <v>1.143870967741935</v>
      </c>
      <c r="H408" s="5">
        <f>TxSPLINE!K$17</f>
        <v>1.5732778507861304E-2</v>
      </c>
      <c r="I408" s="5">
        <f>TxSPLINE!K$18</f>
        <v>-4.3551130057387574E-3</v>
      </c>
      <c r="J408">
        <f t="shared" si="68"/>
        <v>0.72413793103448276</v>
      </c>
      <c r="K408">
        <f t="shared" si="69"/>
        <v>0.27586206896551724</v>
      </c>
      <c r="L408">
        <f t="shared" si="70"/>
        <v>359</v>
      </c>
      <c r="M408" s="6">
        <f t="shared" si="71"/>
        <v>1.4694994438264739</v>
      </c>
      <c r="N408" s="13">
        <f t="shared" si="66"/>
        <v>0.86556865634163005</v>
      </c>
      <c r="O408" s="6">
        <f t="shared" si="74"/>
        <v>5280.0968921023359</v>
      </c>
      <c r="P408" s="6">
        <f t="shared" si="75"/>
        <v>5284.709701742765</v>
      </c>
      <c r="Q408" s="6">
        <f t="shared" si="72"/>
        <v>0.86556865634163005</v>
      </c>
      <c r="T408" s="6">
        <f t="shared" si="65"/>
        <v>0.86556865634163005</v>
      </c>
    </row>
    <row r="409" spans="1:20">
      <c r="B409">
        <f t="shared" si="73"/>
        <v>406</v>
      </c>
      <c r="C409">
        <f t="shared" si="67"/>
        <v>29</v>
      </c>
      <c r="D409">
        <v>397</v>
      </c>
      <c r="E409">
        <v>426</v>
      </c>
      <c r="F409">
        <f>TxSPLINE!F$17</f>
        <v>1.5935483870967744</v>
      </c>
      <c r="G409">
        <f>TxSPLINE!F$18</f>
        <v>1.143870967741935</v>
      </c>
      <c r="H409" s="5">
        <f>TxSPLINE!K$17</f>
        <v>1.5732778507861304E-2</v>
      </c>
      <c r="I409" s="5">
        <f>TxSPLINE!K$18</f>
        <v>-4.3551130057387574E-3</v>
      </c>
      <c r="J409">
        <f t="shared" si="68"/>
        <v>0.68965517241379315</v>
      </c>
      <c r="K409">
        <f t="shared" si="69"/>
        <v>0.31034482758620691</v>
      </c>
      <c r="L409">
        <f t="shared" si="70"/>
        <v>360</v>
      </c>
      <c r="M409" s="6">
        <f t="shared" si="71"/>
        <v>1.4539933259176865</v>
      </c>
      <c r="N409" s="14">
        <f>N408+R$414</f>
        <v>0.85268700634486971</v>
      </c>
      <c r="O409" s="6">
        <f t="shared" si="74"/>
        <v>5281.5508854282534</v>
      </c>
      <c r="P409" s="6">
        <f t="shared" si="75"/>
        <v>5285.5623887491101</v>
      </c>
      <c r="Q409" s="6">
        <f t="shared" si="72"/>
        <v>0.82770520246893009</v>
      </c>
      <c r="T409" s="6">
        <f t="shared" si="65"/>
        <v>0.85268700634486971</v>
      </c>
    </row>
    <row r="410" spans="1:20">
      <c r="B410">
        <f t="shared" si="73"/>
        <v>407</v>
      </c>
      <c r="C410">
        <f t="shared" si="67"/>
        <v>29</v>
      </c>
      <c r="D410">
        <v>397</v>
      </c>
      <c r="E410">
        <v>426</v>
      </c>
      <c r="F410">
        <f>TxSPLINE!F$17</f>
        <v>1.5935483870967744</v>
      </c>
      <c r="G410">
        <f>TxSPLINE!F$18</f>
        <v>1.143870967741935</v>
      </c>
      <c r="H410" s="5">
        <f>TxSPLINE!K$17</f>
        <v>1.5732778507861304E-2</v>
      </c>
      <c r="I410" s="5">
        <f>TxSPLINE!K$18</f>
        <v>-4.3551130057387574E-3</v>
      </c>
      <c r="J410">
        <f t="shared" si="68"/>
        <v>0.65517241379310343</v>
      </c>
      <c r="K410">
        <f t="shared" si="69"/>
        <v>0.34482758620689657</v>
      </c>
      <c r="L410">
        <f t="shared" si="70"/>
        <v>361</v>
      </c>
      <c r="M410" s="6">
        <f t="shared" si="71"/>
        <v>1.4384872080088986</v>
      </c>
      <c r="N410" s="14">
        <f>N409+R$414</f>
        <v>0.83980535634810938</v>
      </c>
      <c r="O410" s="6">
        <f t="shared" si="74"/>
        <v>5282.9893726362625</v>
      </c>
      <c r="P410" s="6">
        <f t="shared" si="75"/>
        <v>5286.402194105458</v>
      </c>
      <c r="Q410" s="6">
        <f t="shared" si="72"/>
        <v>0.79934035387573243</v>
      </c>
      <c r="T410" s="6">
        <f t="shared" si="65"/>
        <v>0.83980535634810938</v>
      </c>
    </row>
    <row r="411" spans="1:20">
      <c r="B411">
        <f t="shared" si="73"/>
        <v>408</v>
      </c>
      <c r="C411">
        <f t="shared" si="67"/>
        <v>29</v>
      </c>
      <c r="D411">
        <v>397</v>
      </c>
      <c r="E411">
        <v>426</v>
      </c>
      <c r="F411">
        <f>TxSPLINE!F$17</f>
        <v>1.5935483870967744</v>
      </c>
      <c r="G411">
        <f>TxSPLINE!F$18</f>
        <v>1.143870967741935</v>
      </c>
      <c r="H411" s="5">
        <f>TxSPLINE!K$17</f>
        <v>1.5732778507861304E-2</v>
      </c>
      <c r="I411" s="5">
        <f>TxSPLINE!K$18</f>
        <v>-4.3551130057387574E-3</v>
      </c>
      <c r="J411">
        <f t="shared" si="68"/>
        <v>0.62068965517241381</v>
      </c>
      <c r="K411">
        <f t="shared" si="69"/>
        <v>0.37931034482758619</v>
      </c>
      <c r="L411">
        <f t="shared" si="70"/>
        <v>362</v>
      </c>
      <c r="M411" s="6">
        <f t="shared" si="71"/>
        <v>1.4229810901001112</v>
      </c>
      <c r="N411" s="14">
        <f>N410+R$414</f>
        <v>0.82692370635134904</v>
      </c>
      <c r="O411" s="6">
        <f t="shared" si="74"/>
        <v>5284.4123537263622</v>
      </c>
      <c r="P411" s="6">
        <f t="shared" si="75"/>
        <v>5287.2291178118094</v>
      </c>
      <c r="Q411" s="6">
        <f t="shared" si="72"/>
        <v>0.77978142464777589</v>
      </c>
      <c r="T411" s="6">
        <f t="shared" si="65"/>
        <v>0.82692370635134904</v>
      </c>
    </row>
    <row r="412" spans="1:20">
      <c r="B412">
        <f t="shared" si="73"/>
        <v>409</v>
      </c>
      <c r="C412">
        <f t="shared" si="67"/>
        <v>29</v>
      </c>
      <c r="D412">
        <v>397</v>
      </c>
      <c r="E412">
        <v>426</v>
      </c>
      <c r="F412">
        <f>TxSPLINE!F$17</f>
        <v>1.5935483870967744</v>
      </c>
      <c r="G412">
        <f>TxSPLINE!F$18</f>
        <v>1.143870967741935</v>
      </c>
      <c r="H412" s="5">
        <f>TxSPLINE!K$17</f>
        <v>1.5732778507861304E-2</v>
      </c>
      <c r="I412" s="5">
        <f>TxSPLINE!K$18</f>
        <v>-4.3551130057387574E-3</v>
      </c>
      <c r="J412">
        <f t="shared" si="68"/>
        <v>0.58620689655172409</v>
      </c>
      <c r="K412">
        <f t="shared" si="69"/>
        <v>0.41379310344827586</v>
      </c>
      <c r="L412">
        <f t="shared" si="70"/>
        <v>363</v>
      </c>
      <c r="M412" s="6">
        <f t="shared" si="71"/>
        <v>1.4074749721913236</v>
      </c>
      <c r="N412" s="14">
        <f>N411+R$414</f>
        <v>0.81404205635458871</v>
      </c>
      <c r="O412" s="6">
        <f t="shared" si="74"/>
        <v>5285.8198286985535</v>
      </c>
      <c r="P412" s="6">
        <f t="shared" si="75"/>
        <v>5288.0431598681644</v>
      </c>
      <c r="Q412" s="6">
        <f t="shared" si="72"/>
        <v>0.7683357288707976</v>
      </c>
      <c r="T412" s="6">
        <f t="shared" si="65"/>
        <v>0.81404205635458871</v>
      </c>
    </row>
    <row r="413" spans="1:20">
      <c r="B413">
        <f t="shared" si="73"/>
        <v>410</v>
      </c>
      <c r="C413">
        <f t="shared" si="67"/>
        <v>29</v>
      </c>
      <c r="D413">
        <v>397</v>
      </c>
      <c r="E413">
        <v>426</v>
      </c>
      <c r="F413">
        <f>TxSPLINE!F$17</f>
        <v>1.5935483870967744</v>
      </c>
      <c r="G413">
        <f>TxSPLINE!F$18</f>
        <v>1.143870967741935</v>
      </c>
      <c r="H413" s="5">
        <f>TxSPLINE!K$17</f>
        <v>1.5732778507861304E-2</v>
      </c>
      <c r="I413" s="5">
        <f>TxSPLINE!K$18</f>
        <v>-4.3551130057387574E-3</v>
      </c>
      <c r="J413">
        <f t="shared" si="68"/>
        <v>0.55172413793103448</v>
      </c>
      <c r="K413">
        <f t="shared" si="69"/>
        <v>0.44827586206896552</v>
      </c>
      <c r="L413">
        <f t="shared" si="70"/>
        <v>364</v>
      </c>
      <c r="M413" s="6">
        <f t="shared" si="71"/>
        <v>1.3919688542825361</v>
      </c>
      <c r="N413" s="14">
        <f>N412+R$414</f>
        <v>0.80116040635782837</v>
      </c>
      <c r="O413" s="6">
        <f t="shared" si="74"/>
        <v>5287.2117975528363</v>
      </c>
      <c r="P413" s="6">
        <f t="shared" si="75"/>
        <v>5288.844320274522</v>
      </c>
      <c r="Q413" s="6">
        <f t="shared" si="72"/>
        <v>0.76431058063053592</v>
      </c>
      <c r="T413" s="6">
        <f t="shared" si="65"/>
        <v>0.80116040635782837</v>
      </c>
    </row>
    <row r="414" spans="1:20">
      <c r="A414" s="10"/>
      <c r="B414" s="10">
        <f t="shared" si="73"/>
        <v>411</v>
      </c>
      <c r="C414" s="10">
        <f t="shared" si="67"/>
        <v>29</v>
      </c>
      <c r="D414" s="10">
        <v>397</v>
      </c>
      <c r="E414" s="10">
        <v>426</v>
      </c>
      <c r="F414" s="10">
        <f>TxSPLINE!F$17</f>
        <v>1.5935483870967744</v>
      </c>
      <c r="G414" s="10">
        <f>TxSPLINE!F$18</f>
        <v>1.143870967741935</v>
      </c>
      <c r="H414" s="15">
        <f>TxSPLINE!K$17</f>
        <v>1.5732778507861304E-2</v>
      </c>
      <c r="I414" s="15">
        <f>TxSPLINE!K$18</f>
        <v>-4.3551130057387574E-3</v>
      </c>
      <c r="J414" s="10">
        <f t="shared" si="68"/>
        <v>0.51724137931034486</v>
      </c>
      <c r="K414" s="10">
        <f t="shared" si="69"/>
        <v>0.48275862068965519</v>
      </c>
      <c r="L414" s="10">
        <f t="shared" si="70"/>
        <v>365</v>
      </c>
      <c r="M414" s="11">
        <f t="shared" si="71"/>
        <v>1.3764627363737487</v>
      </c>
      <c r="N414" s="11">
        <f>(Q50+Q414)/2</f>
        <v>0.80116040635782837</v>
      </c>
      <c r="O414" s="11">
        <f t="shared" si="74"/>
        <v>5288.5882602892098</v>
      </c>
      <c r="P414" s="11">
        <f t="shared" si="75"/>
        <v>5289.6454806808797</v>
      </c>
      <c r="Q414" s="11">
        <f t="shared" si="72"/>
        <v>0.76701329401272877</v>
      </c>
      <c r="R414" s="12">
        <f>(N414-Q408)/5</f>
        <v>-1.2881649996760336E-2</v>
      </c>
      <c r="T414" s="6">
        <f t="shared" si="65"/>
        <v>0.80116040635782837</v>
      </c>
    </row>
    <row r="415" spans="1:20">
      <c r="B415">
        <f t="shared" si="73"/>
        <v>412</v>
      </c>
      <c r="C415">
        <f t="shared" si="67"/>
        <v>29</v>
      </c>
      <c r="D415">
        <v>397</v>
      </c>
      <c r="E415">
        <v>426</v>
      </c>
      <c r="F415">
        <f>TxSPLINE!F$17</f>
        <v>1.5935483870967744</v>
      </c>
      <c r="G415">
        <f>TxSPLINE!F$18</f>
        <v>1.143870967741935</v>
      </c>
      <c r="H415" s="5">
        <f>TxSPLINE!K$17</f>
        <v>1.5732778507861304E-2</v>
      </c>
      <c r="I415" s="5">
        <f>TxSPLINE!K$18</f>
        <v>-4.3551130057387574E-3</v>
      </c>
      <c r="J415">
        <f t="shared" si="68"/>
        <v>0.48275862068965519</v>
      </c>
      <c r="K415">
        <f t="shared" si="69"/>
        <v>0.51724137931034486</v>
      </c>
      <c r="M415" s="6">
        <f t="shared" si="71"/>
        <v>1.3609566184649609</v>
      </c>
      <c r="N415" s="11">
        <f>(Q51+Q415)/2</f>
        <v>0.82226625594828107</v>
      </c>
      <c r="O415" s="6">
        <f t="shared" si="74"/>
        <v>5289.9492169076748</v>
      </c>
      <c r="P415" s="6">
        <f t="shared" si="75"/>
        <v>5290.467746936828</v>
      </c>
      <c r="Q415" s="6">
        <f t="shared" si="72"/>
        <v>0.77575118310311342</v>
      </c>
      <c r="T415" s="16">
        <f>N414</f>
        <v>0.80116040635782837</v>
      </c>
    </row>
    <row r="416" spans="1:20">
      <c r="B416">
        <f t="shared" si="73"/>
        <v>413</v>
      </c>
      <c r="C416">
        <f t="shared" si="67"/>
        <v>29</v>
      </c>
      <c r="D416">
        <v>397</v>
      </c>
      <c r="E416">
        <v>426</v>
      </c>
      <c r="F416">
        <f>TxSPLINE!F$17</f>
        <v>1.5935483870967744</v>
      </c>
      <c r="G416">
        <f>TxSPLINE!F$18</f>
        <v>1.143870967741935</v>
      </c>
      <c r="H416" s="5">
        <f>TxSPLINE!K$17</f>
        <v>1.5732778507861304E-2</v>
      </c>
      <c r="I416" s="5">
        <f>TxSPLINE!K$18</f>
        <v>-4.3551130057387574E-3</v>
      </c>
      <c r="J416">
        <f t="shared" si="68"/>
        <v>0.44827586206896552</v>
      </c>
      <c r="K416">
        <f t="shared" si="69"/>
        <v>0.55172413793103448</v>
      </c>
      <c r="M416" s="6">
        <f t="shared" si="71"/>
        <v>1.3454505005561734</v>
      </c>
      <c r="N416" s="6">
        <f t="shared" ref="N416:N460" si="76">M416+(((J416^3-J416)*H416+(K416^3-K416)*I416))*(C416^2)/6</f>
        <v>0.78983156198742877</v>
      </c>
      <c r="O416" s="6">
        <f t="shared" si="74"/>
        <v>5291.2946674082314</v>
      </c>
      <c r="P416" s="6">
        <f t="shared" si="75"/>
        <v>5291.2575784988157</v>
      </c>
      <c r="Q416" s="6">
        <f t="shared" si="72"/>
        <v>0.78983156198742877</v>
      </c>
    </row>
    <row r="417" spans="1:17">
      <c r="A417" s="8"/>
      <c r="B417" s="8">
        <f t="shared" si="73"/>
        <v>414</v>
      </c>
      <c r="C417" s="8">
        <f t="shared" si="67"/>
        <v>29</v>
      </c>
      <c r="D417" s="8">
        <v>397</v>
      </c>
      <c r="E417" s="8">
        <v>426</v>
      </c>
      <c r="F417" s="8">
        <f>TxSPLINE!F$17</f>
        <v>1.5935483870967744</v>
      </c>
      <c r="G417" s="8">
        <f>TxSPLINE!F$18</f>
        <v>1.143870967741935</v>
      </c>
      <c r="H417" s="3">
        <f>TxSPLINE!K$17</f>
        <v>1.5732778507861304E-2</v>
      </c>
      <c r="I417" s="3">
        <f>TxSPLINE!K$18</f>
        <v>-4.3551130057387574E-3</v>
      </c>
      <c r="J417" s="8">
        <f t="shared" si="68"/>
        <v>0.41379310344827586</v>
      </c>
      <c r="K417" s="8">
        <f t="shared" si="69"/>
        <v>0.58620689655172409</v>
      </c>
      <c r="L417" s="8"/>
      <c r="M417" s="13">
        <f t="shared" si="71"/>
        <v>1.3299443826473858</v>
      </c>
      <c r="N417" s="13">
        <f t="shared" si="76"/>
        <v>0.80856174475141185</v>
      </c>
      <c r="O417" s="13">
        <f t="shared" si="74"/>
        <v>5292.6246117908786</v>
      </c>
      <c r="P417" s="13">
        <f t="shared" si="75"/>
        <v>5292.0661402435671</v>
      </c>
      <c r="Q417" s="13">
        <f t="shared" si="72"/>
        <v>0.80856174475141185</v>
      </c>
    </row>
    <row r="418" spans="1:17">
      <c r="B418">
        <f t="shared" si="73"/>
        <v>415</v>
      </c>
      <c r="C418">
        <f t="shared" si="67"/>
        <v>29</v>
      </c>
      <c r="D418">
        <v>397</v>
      </c>
      <c r="E418">
        <v>426</v>
      </c>
      <c r="F418">
        <f>TxSPLINE!F$17</f>
        <v>1.5935483870967744</v>
      </c>
      <c r="G418">
        <f>TxSPLINE!F$18</f>
        <v>1.143870967741935</v>
      </c>
      <c r="H418" s="5">
        <f>TxSPLINE!K$17</f>
        <v>1.5732778507861304E-2</v>
      </c>
      <c r="I418" s="5">
        <f>TxSPLINE!K$18</f>
        <v>-4.3551130057387574E-3</v>
      </c>
      <c r="J418">
        <f t="shared" si="68"/>
        <v>0.37931034482758619</v>
      </c>
      <c r="K418">
        <f t="shared" si="69"/>
        <v>0.62068965517241381</v>
      </c>
      <c r="M418" s="6">
        <f t="shared" si="71"/>
        <v>1.3144382647385981</v>
      </c>
      <c r="N418" s="6">
        <f t="shared" si="76"/>
        <v>0.83124904548080125</v>
      </c>
      <c r="O418" s="6">
        <f t="shared" si="74"/>
        <v>5293.9390500556174</v>
      </c>
      <c r="P418" s="6">
        <f t="shared" si="75"/>
        <v>5292.8973892890481</v>
      </c>
      <c r="Q418" s="6">
        <f t="shared" si="72"/>
        <v>0.83124904548080125</v>
      </c>
    </row>
    <row r="419" spans="1:17">
      <c r="B419">
        <f t="shared" si="73"/>
        <v>416</v>
      </c>
      <c r="C419">
        <f t="shared" si="67"/>
        <v>29</v>
      </c>
      <c r="D419">
        <v>397</v>
      </c>
      <c r="E419">
        <v>426</v>
      </c>
      <c r="F419">
        <f>TxSPLINE!F$17</f>
        <v>1.5935483870967744</v>
      </c>
      <c r="G419">
        <f>TxSPLINE!F$18</f>
        <v>1.143870967741935</v>
      </c>
      <c r="H419" s="5">
        <f>TxSPLINE!K$17</f>
        <v>1.5732778507861304E-2</v>
      </c>
      <c r="I419" s="5">
        <f>TxSPLINE!K$18</f>
        <v>-4.3551130057387574E-3</v>
      </c>
      <c r="J419">
        <f t="shared" si="68"/>
        <v>0.34482758620689657</v>
      </c>
      <c r="K419">
        <f t="shared" si="69"/>
        <v>0.65517241379310343</v>
      </c>
      <c r="M419" s="6">
        <f t="shared" si="71"/>
        <v>1.2989321468298107</v>
      </c>
      <c r="N419" s="6">
        <f t="shared" si="76"/>
        <v>0.85720077826133489</v>
      </c>
      <c r="O419" s="6">
        <f t="shared" si="74"/>
        <v>5295.2379822024468</v>
      </c>
      <c r="P419" s="6">
        <f t="shared" si="75"/>
        <v>5293.7545900673094</v>
      </c>
      <c r="Q419" s="6">
        <f t="shared" si="72"/>
        <v>0.85720077826133489</v>
      </c>
    </row>
    <row r="420" spans="1:17">
      <c r="B420">
        <f t="shared" si="73"/>
        <v>417</v>
      </c>
      <c r="C420">
        <f t="shared" si="67"/>
        <v>29</v>
      </c>
      <c r="D420">
        <v>397</v>
      </c>
      <c r="E420">
        <v>426</v>
      </c>
      <c r="F420">
        <f>TxSPLINE!F$17</f>
        <v>1.5935483870967744</v>
      </c>
      <c r="G420">
        <f>TxSPLINE!F$18</f>
        <v>1.143870967741935</v>
      </c>
      <c r="H420" s="5">
        <f>TxSPLINE!K$17</f>
        <v>1.5732778507861304E-2</v>
      </c>
      <c r="I420" s="5">
        <f>TxSPLINE!K$18</f>
        <v>-4.3551130057387574E-3</v>
      </c>
      <c r="J420">
        <f t="shared" si="68"/>
        <v>0.31034482758620691</v>
      </c>
      <c r="K420">
        <f t="shared" si="69"/>
        <v>0.68965517241379315</v>
      </c>
      <c r="M420" s="6">
        <f t="shared" si="71"/>
        <v>1.2834260289210231</v>
      </c>
      <c r="N420" s="6">
        <f t="shared" si="76"/>
        <v>0.88572425717875025</v>
      </c>
      <c r="O420" s="6">
        <f t="shared" si="74"/>
        <v>5296.5214082313678</v>
      </c>
      <c r="P420" s="6">
        <f t="shared" si="75"/>
        <v>5294.6403143244879</v>
      </c>
      <c r="Q420" s="6">
        <f t="shared" si="72"/>
        <v>0.88572425717875025</v>
      </c>
    </row>
    <row r="421" spans="1:17">
      <c r="B421">
        <f t="shared" si="73"/>
        <v>418</v>
      </c>
      <c r="C421">
        <f t="shared" si="67"/>
        <v>29</v>
      </c>
      <c r="D421">
        <v>397</v>
      </c>
      <c r="E421">
        <v>426</v>
      </c>
      <c r="F421">
        <f>TxSPLINE!F$17</f>
        <v>1.5935483870967744</v>
      </c>
      <c r="G421">
        <f>TxSPLINE!F$18</f>
        <v>1.143870967741935</v>
      </c>
      <c r="H421" s="5">
        <f>TxSPLINE!K$17</f>
        <v>1.5732778507861304E-2</v>
      </c>
      <c r="I421" s="5">
        <f>TxSPLINE!K$18</f>
        <v>-4.3551130057387574E-3</v>
      </c>
      <c r="J421">
        <f t="shared" si="68"/>
        <v>0.27586206896551724</v>
      </c>
      <c r="K421">
        <f t="shared" si="69"/>
        <v>0.72413793103448276</v>
      </c>
      <c r="M421" s="6">
        <f t="shared" si="71"/>
        <v>1.2679199110122354</v>
      </c>
      <c r="N421" s="6">
        <f t="shared" si="76"/>
        <v>0.91612679631878535</v>
      </c>
      <c r="O421" s="6">
        <f t="shared" si="74"/>
        <v>5297.7893281423803</v>
      </c>
      <c r="P421" s="6">
        <f t="shared" si="75"/>
        <v>5295.556441120807</v>
      </c>
      <c r="Q421" s="6">
        <f t="shared" si="72"/>
        <v>0.91612679631878535</v>
      </c>
    </row>
    <row r="422" spans="1:17">
      <c r="B422">
        <f t="shared" si="73"/>
        <v>419</v>
      </c>
      <c r="C422">
        <f t="shared" si="67"/>
        <v>29</v>
      </c>
      <c r="D422">
        <v>397</v>
      </c>
      <c r="E422">
        <v>426</v>
      </c>
      <c r="F422">
        <f>TxSPLINE!F$17</f>
        <v>1.5935483870967744</v>
      </c>
      <c r="G422">
        <f>TxSPLINE!F$18</f>
        <v>1.143870967741935</v>
      </c>
      <c r="H422" s="5">
        <f>TxSPLINE!K$17</f>
        <v>1.5732778507861304E-2</v>
      </c>
      <c r="I422" s="5">
        <f>TxSPLINE!K$18</f>
        <v>-4.3551130057387574E-3</v>
      </c>
      <c r="J422">
        <f t="shared" si="68"/>
        <v>0.2413793103448276</v>
      </c>
      <c r="K422">
        <f t="shared" si="69"/>
        <v>0.75862068965517238</v>
      </c>
      <c r="M422" s="6">
        <f t="shared" si="71"/>
        <v>1.252413793103448</v>
      </c>
      <c r="N422" s="6">
        <f t="shared" si="76"/>
        <v>0.94771570976717867</v>
      </c>
      <c r="O422" s="6">
        <f t="shared" si="74"/>
        <v>5299.0417419354835</v>
      </c>
      <c r="P422" s="6">
        <f t="shared" si="75"/>
        <v>5296.5041568305742</v>
      </c>
      <c r="Q422" s="6">
        <f t="shared" si="72"/>
        <v>0.94771570976717867</v>
      </c>
    </row>
    <row r="423" spans="1:17">
      <c r="B423">
        <f t="shared" si="73"/>
        <v>420</v>
      </c>
      <c r="C423">
        <f t="shared" si="67"/>
        <v>29</v>
      </c>
      <c r="D423">
        <v>397</v>
      </c>
      <c r="E423">
        <v>426</v>
      </c>
      <c r="F423">
        <f>TxSPLINE!F$17</f>
        <v>1.5935483870967744</v>
      </c>
      <c r="G423">
        <f>TxSPLINE!F$18</f>
        <v>1.143870967741935</v>
      </c>
      <c r="H423" s="5">
        <f>TxSPLINE!K$17</f>
        <v>1.5732778507861304E-2</v>
      </c>
      <c r="I423" s="5">
        <f>TxSPLINE!K$18</f>
        <v>-4.3551130057387574E-3</v>
      </c>
      <c r="J423">
        <f t="shared" si="68"/>
        <v>0.20689655172413793</v>
      </c>
      <c r="K423">
        <f t="shared" si="69"/>
        <v>0.7931034482758621</v>
      </c>
      <c r="M423" s="6">
        <f t="shared" si="71"/>
        <v>1.2369076751946604</v>
      </c>
      <c r="N423" s="6">
        <f t="shared" si="76"/>
        <v>0.97979831160966735</v>
      </c>
      <c r="O423" s="6">
        <f t="shared" si="74"/>
        <v>5300.2786496106783</v>
      </c>
      <c r="P423" s="6">
        <f t="shared" si="75"/>
        <v>5297.4839551421837</v>
      </c>
      <c r="Q423" s="6">
        <f t="shared" si="72"/>
        <v>0.97979831160966735</v>
      </c>
    </row>
    <row r="424" spans="1:17">
      <c r="B424">
        <f t="shared" si="73"/>
        <v>421</v>
      </c>
      <c r="C424">
        <f t="shared" si="67"/>
        <v>29</v>
      </c>
      <c r="D424">
        <v>397</v>
      </c>
      <c r="E424">
        <v>426</v>
      </c>
      <c r="F424">
        <f>TxSPLINE!F$17</f>
        <v>1.5935483870967744</v>
      </c>
      <c r="G424">
        <f>TxSPLINE!F$18</f>
        <v>1.143870967741935</v>
      </c>
      <c r="H424" s="5">
        <f>TxSPLINE!K$17</f>
        <v>1.5732778507861304E-2</v>
      </c>
      <c r="I424" s="5">
        <f>TxSPLINE!K$18</f>
        <v>-4.3551130057387574E-3</v>
      </c>
      <c r="J424">
        <f t="shared" si="68"/>
        <v>0.17241379310344829</v>
      </c>
      <c r="K424">
        <f t="shared" si="69"/>
        <v>0.82758620689655171</v>
      </c>
      <c r="M424" s="6">
        <f t="shared" si="71"/>
        <v>1.2214015572858727</v>
      </c>
      <c r="N424" s="6">
        <f t="shared" si="76"/>
        <v>1.0116819159319899</v>
      </c>
      <c r="O424" s="6">
        <f t="shared" si="74"/>
        <v>5301.5000511679646</v>
      </c>
      <c r="P424" s="6">
        <f t="shared" si="75"/>
        <v>5298.4956370581158</v>
      </c>
      <c r="Q424" s="6">
        <f t="shared" si="72"/>
        <v>1.0116819159319899</v>
      </c>
    </row>
    <row r="425" spans="1:17">
      <c r="B425">
        <f t="shared" si="73"/>
        <v>422</v>
      </c>
      <c r="C425">
        <f t="shared" si="67"/>
        <v>29</v>
      </c>
      <c r="D425">
        <v>397</v>
      </c>
      <c r="E425">
        <v>426</v>
      </c>
      <c r="F425">
        <f>TxSPLINE!F$17</f>
        <v>1.5935483870967744</v>
      </c>
      <c r="G425">
        <f>TxSPLINE!F$18</f>
        <v>1.143870967741935</v>
      </c>
      <c r="H425" s="5">
        <f>TxSPLINE!K$17</f>
        <v>1.5732778507861304E-2</v>
      </c>
      <c r="I425" s="5">
        <f>TxSPLINE!K$18</f>
        <v>-4.3551130057387574E-3</v>
      </c>
      <c r="J425">
        <f t="shared" si="68"/>
        <v>0.13793103448275862</v>
      </c>
      <c r="K425">
        <f t="shared" si="69"/>
        <v>0.86206896551724133</v>
      </c>
      <c r="M425" s="6">
        <f t="shared" si="71"/>
        <v>1.2058954393770851</v>
      </c>
      <c r="N425" s="6">
        <f t="shared" si="76"/>
        <v>1.042673836819884</v>
      </c>
      <c r="O425" s="6">
        <f t="shared" si="74"/>
        <v>5302.7059466073415</v>
      </c>
      <c r="P425" s="6">
        <f t="shared" si="75"/>
        <v>5299.5383108949354</v>
      </c>
      <c r="Q425" s="6">
        <f t="shared" si="72"/>
        <v>1.042673836819884</v>
      </c>
    </row>
    <row r="426" spans="1:17">
      <c r="B426">
        <f t="shared" si="73"/>
        <v>423</v>
      </c>
      <c r="C426">
        <f t="shared" si="67"/>
        <v>29</v>
      </c>
      <c r="D426">
        <v>397</v>
      </c>
      <c r="E426">
        <v>426</v>
      </c>
      <c r="F426">
        <f>TxSPLINE!F$17</f>
        <v>1.5935483870967744</v>
      </c>
      <c r="G426">
        <f>TxSPLINE!F$18</f>
        <v>1.143870967741935</v>
      </c>
      <c r="H426" s="5">
        <f>TxSPLINE!K$17</f>
        <v>1.5732778507861304E-2</v>
      </c>
      <c r="I426" s="5">
        <f>TxSPLINE!K$18</f>
        <v>-4.3551130057387574E-3</v>
      </c>
      <c r="J426">
        <f t="shared" si="68"/>
        <v>0.10344827586206896</v>
      </c>
      <c r="K426">
        <f t="shared" si="69"/>
        <v>0.89655172413793105</v>
      </c>
      <c r="M426" s="6">
        <f t="shared" si="71"/>
        <v>1.1903893214682977</v>
      </c>
      <c r="N426" s="6">
        <f t="shared" si="76"/>
        <v>1.0720813883590876</v>
      </c>
      <c r="O426" s="6">
        <f t="shared" si="74"/>
        <v>5303.89633592881</v>
      </c>
      <c r="P426" s="6">
        <f t="shared" si="75"/>
        <v>5300.6103922832945</v>
      </c>
      <c r="Q426" s="6">
        <f t="shared" si="72"/>
        <v>1.0720813883590876</v>
      </c>
    </row>
    <row r="427" spans="1:17">
      <c r="B427">
        <f t="shared" si="73"/>
        <v>424</v>
      </c>
      <c r="C427">
        <f t="shared" si="67"/>
        <v>29</v>
      </c>
      <c r="D427">
        <v>397</v>
      </c>
      <c r="E427">
        <v>426</v>
      </c>
      <c r="F427">
        <f>TxSPLINE!F$17</f>
        <v>1.5935483870967744</v>
      </c>
      <c r="G427">
        <f>TxSPLINE!F$18</f>
        <v>1.143870967741935</v>
      </c>
      <c r="H427" s="5">
        <f>TxSPLINE!K$17</f>
        <v>1.5732778507861304E-2</v>
      </c>
      <c r="I427" s="5">
        <f>TxSPLINE!K$18</f>
        <v>-4.3551130057387574E-3</v>
      </c>
      <c r="J427">
        <f t="shared" si="68"/>
        <v>6.8965517241379309E-2</v>
      </c>
      <c r="K427">
        <f t="shared" si="69"/>
        <v>0.93103448275862066</v>
      </c>
      <c r="M427" s="6">
        <f t="shared" si="71"/>
        <v>1.1748832035595103</v>
      </c>
      <c r="N427" s="6">
        <f t="shared" si="76"/>
        <v>1.0992118846353389</v>
      </c>
      <c r="O427" s="6">
        <f t="shared" si="74"/>
        <v>5305.0712191323692</v>
      </c>
      <c r="P427" s="6">
        <f t="shared" si="75"/>
        <v>5301.7096041679297</v>
      </c>
      <c r="Q427" s="6">
        <f t="shared" si="72"/>
        <v>1.0992118846353389</v>
      </c>
    </row>
    <row r="428" spans="1:17">
      <c r="B428">
        <f t="shared" si="73"/>
        <v>425</v>
      </c>
      <c r="C428">
        <f t="shared" si="67"/>
        <v>29</v>
      </c>
      <c r="D428">
        <v>397</v>
      </c>
      <c r="E428">
        <v>426</v>
      </c>
      <c r="F428">
        <f>TxSPLINE!F$17</f>
        <v>1.5935483870967744</v>
      </c>
      <c r="G428">
        <f>TxSPLINE!F$18</f>
        <v>1.143870967741935</v>
      </c>
      <c r="H428" s="5">
        <f>TxSPLINE!K$17</f>
        <v>1.5732778507861304E-2</v>
      </c>
      <c r="I428" s="5">
        <f>TxSPLINE!K$18</f>
        <v>-4.3551130057387574E-3</v>
      </c>
      <c r="J428">
        <f t="shared" si="68"/>
        <v>3.4482758620689655E-2</v>
      </c>
      <c r="K428">
        <f t="shared" si="69"/>
        <v>0.96551724137931039</v>
      </c>
      <c r="M428" s="6">
        <f t="shared" si="71"/>
        <v>1.1593770856507226</v>
      </c>
      <c r="N428" s="6">
        <f t="shared" si="76"/>
        <v>1.1233726397343751</v>
      </c>
      <c r="O428" s="6">
        <f t="shared" si="74"/>
        <v>5306.2305962180199</v>
      </c>
      <c r="P428" s="6">
        <f t="shared" si="75"/>
        <v>5302.8329768076637</v>
      </c>
      <c r="Q428" s="6">
        <f t="shared" si="72"/>
        <v>1.1233726397343751</v>
      </c>
    </row>
    <row r="429" spans="1:17">
      <c r="A429">
        <v>426</v>
      </c>
      <c r="B429">
        <f t="shared" si="73"/>
        <v>426</v>
      </c>
      <c r="C429">
        <f t="shared" si="67"/>
        <v>29</v>
      </c>
      <c r="D429">
        <v>397</v>
      </c>
      <c r="E429">
        <v>426</v>
      </c>
      <c r="F429">
        <f>TxSPLINE!F$17</f>
        <v>1.5935483870967744</v>
      </c>
      <c r="G429">
        <f>TxSPLINE!F$18</f>
        <v>1.143870967741935</v>
      </c>
      <c r="H429" s="5">
        <f>TxSPLINE!K$17</f>
        <v>1.5732778507861304E-2</v>
      </c>
      <c r="I429" s="5">
        <f>TxSPLINE!K$18</f>
        <v>-4.3551130057387574E-3</v>
      </c>
      <c r="J429">
        <f t="shared" si="68"/>
        <v>0</v>
      </c>
      <c r="K429">
        <f t="shared" si="69"/>
        <v>1</v>
      </c>
      <c r="M429" s="6">
        <f t="shared" si="71"/>
        <v>1.143870967741935</v>
      </c>
      <c r="N429" s="6">
        <f t="shared" si="76"/>
        <v>1.143870967741935</v>
      </c>
      <c r="O429" s="6">
        <f t="shared" si="74"/>
        <v>5307.3744671857621</v>
      </c>
      <c r="P429" s="6">
        <f t="shared" si="75"/>
        <v>5303.976847775406</v>
      </c>
      <c r="Q429" s="6">
        <f t="shared" si="72"/>
        <v>1.143870967741935</v>
      </c>
    </row>
    <row r="430" spans="1:17">
      <c r="B430">
        <f t="shared" si="73"/>
        <v>427</v>
      </c>
      <c r="C430">
        <f t="shared" si="67"/>
        <v>31</v>
      </c>
      <c r="D430">
        <v>426</v>
      </c>
      <c r="E430">
        <v>457</v>
      </c>
      <c r="F430">
        <f>TxSPLINE!F$18</f>
        <v>1.143870967741935</v>
      </c>
      <c r="G430">
        <f>TxSPLINE!F$19</f>
        <v>0.59482758620689602</v>
      </c>
      <c r="H430" s="5">
        <f>TxSPLINE!K$18</f>
        <v>-4.3551130057387574E-3</v>
      </c>
      <c r="I430" s="5">
        <f>TxSPLINE!K$19</f>
        <v>1.713975176488155E-3</v>
      </c>
      <c r="J430">
        <f t="shared" si="68"/>
        <v>0.967741935483871</v>
      </c>
      <c r="K430">
        <f t="shared" si="69"/>
        <v>3.2258064516129031E-2</v>
      </c>
      <c r="M430" s="6">
        <f t="shared" si="71"/>
        <v>1.1261598909182242</v>
      </c>
      <c r="N430" s="6">
        <f t="shared" si="76"/>
        <v>1.1601622599024892</v>
      </c>
      <c r="O430" s="6">
        <f t="shared" si="74"/>
        <v>5308.5006270766808</v>
      </c>
      <c r="P430" s="6">
        <f t="shared" si="75"/>
        <v>5305.1370100353088</v>
      </c>
      <c r="Q430" s="6">
        <f t="shared" si="72"/>
        <v>1.1601622599024892</v>
      </c>
    </row>
    <row r="431" spans="1:17">
      <c r="B431">
        <f t="shared" si="73"/>
        <v>428</v>
      </c>
      <c r="C431">
        <f t="shared" si="67"/>
        <v>31</v>
      </c>
      <c r="D431">
        <v>426</v>
      </c>
      <c r="E431">
        <v>457</v>
      </c>
      <c r="F431">
        <f>TxSPLINE!F$18</f>
        <v>1.143870967741935</v>
      </c>
      <c r="G431">
        <f>TxSPLINE!F$19</f>
        <v>0.59482758620689602</v>
      </c>
      <c r="H431" s="5">
        <f>TxSPLINE!K$18</f>
        <v>-4.3551130057387574E-3</v>
      </c>
      <c r="I431" s="5">
        <f>TxSPLINE!K$19</f>
        <v>1.713975176488155E-3</v>
      </c>
      <c r="J431">
        <f t="shared" si="68"/>
        <v>0.93548387096774188</v>
      </c>
      <c r="K431">
        <f t="shared" si="69"/>
        <v>6.4516129032258063E-2</v>
      </c>
      <c r="M431" s="6">
        <f t="shared" si="71"/>
        <v>1.1084488140945132</v>
      </c>
      <c r="N431" s="6">
        <f t="shared" si="76"/>
        <v>1.172294216095441</v>
      </c>
      <c r="O431" s="6">
        <f t="shared" si="74"/>
        <v>5309.6090758907749</v>
      </c>
      <c r="P431" s="6">
        <f t="shared" si="75"/>
        <v>5306.3093042514038</v>
      </c>
      <c r="Q431" s="6">
        <f t="shared" si="72"/>
        <v>1.172294216095441</v>
      </c>
    </row>
    <row r="432" spans="1:17">
      <c r="B432">
        <f t="shared" si="73"/>
        <v>429</v>
      </c>
      <c r="C432">
        <f t="shared" si="67"/>
        <v>31</v>
      </c>
      <c r="D432">
        <v>426</v>
      </c>
      <c r="E432">
        <v>457</v>
      </c>
      <c r="F432">
        <f>TxSPLINE!F$18</f>
        <v>1.143870967741935</v>
      </c>
      <c r="G432">
        <f>TxSPLINE!F$19</f>
        <v>0.59482758620689602</v>
      </c>
      <c r="H432" s="5">
        <f>TxSPLINE!K$18</f>
        <v>-4.3551130057387574E-3</v>
      </c>
      <c r="I432" s="5">
        <f>TxSPLINE!K$19</f>
        <v>1.713975176488155E-3</v>
      </c>
      <c r="J432">
        <f t="shared" si="68"/>
        <v>0.90322580645161288</v>
      </c>
      <c r="K432">
        <f t="shared" si="69"/>
        <v>9.6774193548387094E-2</v>
      </c>
      <c r="M432" s="6">
        <f t="shared" si="71"/>
        <v>1.090737737270802</v>
      </c>
      <c r="N432" s="6">
        <f t="shared" si="76"/>
        <v>1.1804626133589262</v>
      </c>
      <c r="O432" s="6">
        <f t="shared" si="74"/>
        <v>5310.6998136280454</v>
      </c>
      <c r="P432" s="6">
        <f t="shared" si="75"/>
        <v>5307.4897668647627</v>
      </c>
      <c r="Q432" s="6">
        <f t="shared" si="72"/>
        <v>1.1804626133589262</v>
      </c>
    </row>
    <row r="433" spans="2:17">
      <c r="B433">
        <f t="shared" si="73"/>
        <v>430</v>
      </c>
      <c r="C433">
        <f t="shared" si="67"/>
        <v>31</v>
      </c>
      <c r="D433">
        <v>426</v>
      </c>
      <c r="E433">
        <v>457</v>
      </c>
      <c r="F433">
        <f>TxSPLINE!F$18</f>
        <v>1.143870967741935</v>
      </c>
      <c r="G433">
        <f>TxSPLINE!F$19</f>
        <v>0.59482758620689602</v>
      </c>
      <c r="H433" s="5">
        <f>TxSPLINE!K$18</f>
        <v>-4.3551130057387574E-3</v>
      </c>
      <c r="I433" s="5">
        <f>TxSPLINE!K$19</f>
        <v>1.713975176488155E-3</v>
      </c>
      <c r="J433">
        <f t="shared" si="68"/>
        <v>0.87096774193548387</v>
      </c>
      <c r="K433">
        <f t="shared" si="69"/>
        <v>0.12903225806451613</v>
      </c>
      <c r="M433" s="6">
        <f t="shared" si="71"/>
        <v>1.0730266604470913</v>
      </c>
      <c r="N433" s="6">
        <f t="shared" si="76"/>
        <v>1.1848632287310825</v>
      </c>
      <c r="O433" s="6">
        <f t="shared" si="74"/>
        <v>5311.7728402884923</v>
      </c>
      <c r="P433" s="6">
        <f t="shared" si="75"/>
        <v>5308.6746300934938</v>
      </c>
      <c r="Q433" s="6">
        <f t="shared" si="72"/>
        <v>1.1848632287310825</v>
      </c>
    </row>
    <row r="434" spans="2:17">
      <c r="B434">
        <f t="shared" si="73"/>
        <v>431</v>
      </c>
      <c r="C434">
        <f t="shared" si="67"/>
        <v>31</v>
      </c>
      <c r="D434">
        <v>426</v>
      </c>
      <c r="E434">
        <v>457</v>
      </c>
      <c r="F434">
        <f>TxSPLINE!F$18</f>
        <v>1.143870967741935</v>
      </c>
      <c r="G434">
        <f>TxSPLINE!F$19</f>
        <v>0.59482758620689602</v>
      </c>
      <c r="H434" s="5">
        <f>TxSPLINE!K$18</f>
        <v>-4.3551130057387574E-3</v>
      </c>
      <c r="I434" s="5">
        <f>TxSPLINE!K$19</f>
        <v>1.713975176488155E-3</v>
      </c>
      <c r="J434">
        <f t="shared" si="68"/>
        <v>0.83870967741935487</v>
      </c>
      <c r="K434">
        <f t="shared" si="69"/>
        <v>0.16129032258064516</v>
      </c>
      <c r="M434" s="6">
        <f t="shared" si="71"/>
        <v>1.0553155836233803</v>
      </c>
      <c r="N434" s="6">
        <f t="shared" si="76"/>
        <v>1.1856918392500448</v>
      </c>
      <c r="O434" s="6">
        <f t="shared" si="74"/>
        <v>5312.8281558721155</v>
      </c>
      <c r="P434" s="6">
        <f t="shared" si="75"/>
        <v>5309.8603219327442</v>
      </c>
      <c r="Q434" s="6">
        <f t="shared" si="72"/>
        <v>1.1856918392500448</v>
      </c>
    </row>
    <row r="435" spans="2:17">
      <c r="B435">
        <f t="shared" si="73"/>
        <v>432</v>
      </c>
      <c r="C435">
        <f t="shared" si="67"/>
        <v>31</v>
      </c>
      <c r="D435">
        <v>426</v>
      </c>
      <c r="E435">
        <v>457</v>
      </c>
      <c r="F435">
        <f>TxSPLINE!F$18</f>
        <v>1.143870967741935</v>
      </c>
      <c r="G435">
        <f>TxSPLINE!F$19</f>
        <v>0.59482758620689602</v>
      </c>
      <c r="H435" s="5">
        <f>TxSPLINE!K$18</f>
        <v>-4.3551130057387574E-3</v>
      </c>
      <c r="I435" s="5">
        <f>TxSPLINE!K$19</f>
        <v>1.713975176488155E-3</v>
      </c>
      <c r="J435">
        <f t="shared" si="68"/>
        <v>0.80645161290322576</v>
      </c>
      <c r="K435">
        <f t="shared" si="69"/>
        <v>0.19354838709677419</v>
      </c>
      <c r="M435" s="6">
        <f t="shared" si="71"/>
        <v>1.0376045067996693</v>
      </c>
      <c r="N435" s="6">
        <f t="shared" si="76"/>
        <v>1.1831442219539505</v>
      </c>
      <c r="O435" s="6">
        <f t="shared" si="74"/>
        <v>5313.8657603789152</v>
      </c>
      <c r="P435" s="6">
        <f t="shared" si="75"/>
        <v>5311.0434661546979</v>
      </c>
      <c r="Q435" s="6">
        <f t="shared" si="72"/>
        <v>1.1831442219539505</v>
      </c>
    </row>
    <row r="436" spans="2:17">
      <c r="B436">
        <f t="shared" si="73"/>
        <v>433</v>
      </c>
      <c r="C436">
        <f t="shared" si="67"/>
        <v>31</v>
      </c>
      <c r="D436">
        <v>426</v>
      </c>
      <c r="E436">
        <v>457</v>
      </c>
      <c r="F436">
        <f>TxSPLINE!F$18</f>
        <v>1.143870967741935</v>
      </c>
      <c r="G436">
        <f>TxSPLINE!F$19</f>
        <v>0.59482758620689602</v>
      </c>
      <c r="H436" s="5">
        <f>TxSPLINE!K$18</f>
        <v>-4.3551130057387574E-3</v>
      </c>
      <c r="I436" s="5">
        <f>TxSPLINE!K$19</f>
        <v>1.713975176488155E-3</v>
      </c>
      <c r="J436">
        <f t="shared" si="68"/>
        <v>0.77419354838709675</v>
      </c>
      <c r="K436">
        <f t="shared" si="69"/>
        <v>0.22580645161290322</v>
      </c>
      <c r="M436" s="6">
        <f t="shared" si="71"/>
        <v>1.0198934299759583</v>
      </c>
      <c r="N436" s="6">
        <f t="shared" si="76"/>
        <v>1.1774161538809353</v>
      </c>
      <c r="O436" s="6">
        <f t="shared" si="74"/>
        <v>5314.8856538088912</v>
      </c>
      <c r="P436" s="6">
        <f t="shared" si="75"/>
        <v>5312.2208823085784</v>
      </c>
      <c r="Q436" s="6">
        <f t="shared" si="72"/>
        <v>1.1774161538809353</v>
      </c>
    </row>
    <row r="437" spans="2:17">
      <c r="B437">
        <f t="shared" si="73"/>
        <v>434</v>
      </c>
      <c r="C437">
        <f t="shared" si="67"/>
        <v>31</v>
      </c>
      <c r="D437">
        <v>426</v>
      </c>
      <c r="E437">
        <v>457</v>
      </c>
      <c r="F437">
        <f>TxSPLINE!F$18</f>
        <v>1.143870967741935</v>
      </c>
      <c r="G437">
        <f>TxSPLINE!F$19</f>
        <v>0.59482758620689602</v>
      </c>
      <c r="H437" s="5">
        <f>TxSPLINE!K$18</f>
        <v>-4.3551130057387574E-3</v>
      </c>
      <c r="I437" s="5">
        <f>TxSPLINE!K$19</f>
        <v>1.713975176488155E-3</v>
      </c>
      <c r="J437">
        <f t="shared" si="68"/>
        <v>0.74193548387096775</v>
      </c>
      <c r="K437">
        <f t="shared" si="69"/>
        <v>0.25806451612903225</v>
      </c>
      <c r="M437" s="6">
        <f t="shared" si="71"/>
        <v>1.0021823531522474</v>
      </c>
      <c r="N437" s="6">
        <f t="shared" si="76"/>
        <v>1.168703412069136</v>
      </c>
      <c r="O437" s="6">
        <f t="shared" si="74"/>
        <v>5315.8878361620436</v>
      </c>
      <c r="P437" s="6">
        <f t="shared" si="75"/>
        <v>5313.389585720648</v>
      </c>
      <c r="Q437" s="6">
        <f t="shared" si="72"/>
        <v>1.168703412069136</v>
      </c>
    </row>
    <row r="438" spans="2:17">
      <c r="B438">
        <f t="shared" si="73"/>
        <v>435</v>
      </c>
      <c r="C438">
        <f t="shared" si="67"/>
        <v>31</v>
      </c>
      <c r="D438">
        <v>426</v>
      </c>
      <c r="E438">
        <v>457</v>
      </c>
      <c r="F438">
        <f>TxSPLINE!F$18</f>
        <v>1.143870967741935</v>
      </c>
      <c r="G438">
        <f>TxSPLINE!F$19</f>
        <v>0.59482758620689602</v>
      </c>
      <c r="H438" s="5">
        <f>TxSPLINE!K$18</f>
        <v>-4.3551130057387574E-3</v>
      </c>
      <c r="I438" s="5">
        <f>TxSPLINE!K$19</f>
        <v>1.713975176488155E-3</v>
      </c>
      <c r="J438">
        <f t="shared" si="68"/>
        <v>0.70967741935483875</v>
      </c>
      <c r="K438">
        <f t="shared" si="69"/>
        <v>0.29032258064516131</v>
      </c>
      <c r="M438" s="6">
        <f t="shared" si="71"/>
        <v>0.98447127632853659</v>
      </c>
      <c r="N438" s="6">
        <f t="shared" si="76"/>
        <v>1.1572017735566889</v>
      </c>
      <c r="O438" s="6">
        <f t="shared" si="74"/>
        <v>5316.8723074383724</v>
      </c>
      <c r="P438" s="6">
        <f t="shared" si="75"/>
        <v>5314.5467874942051</v>
      </c>
      <c r="Q438" s="6">
        <f t="shared" si="72"/>
        <v>1.1572017735566889</v>
      </c>
    </row>
    <row r="439" spans="2:17">
      <c r="B439">
        <f t="shared" si="73"/>
        <v>436</v>
      </c>
      <c r="C439">
        <f t="shared" si="67"/>
        <v>31</v>
      </c>
      <c r="D439">
        <v>426</v>
      </c>
      <c r="E439">
        <v>457</v>
      </c>
      <c r="F439">
        <f>TxSPLINE!F$18</f>
        <v>1.143870967741935</v>
      </c>
      <c r="G439">
        <f>TxSPLINE!F$19</f>
        <v>0.59482758620689602</v>
      </c>
      <c r="H439" s="5">
        <f>TxSPLINE!K$18</f>
        <v>-4.3551130057387574E-3</v>
      </c>
      <c r="I439" s="5">
        <f>TxSPLINE!K$19</f>
        <v>1.713975176488155E-3</v>
      </c>
      <c r="J439">
        <f t="shared" si="68"/>
        <v>0.67741935483870963</v>
      </c>
      <c r="K439">
        <f t="shared" si="69"/>
        <v>0.32258064516129031</v>
      </c>
      <c r="M439" s="6">
        <f t="shared" si="71"/>
        <v>0.96676019950482561</v>
      </c>
      <c r="N439" s="6">
        <f t="shared" si="76"/>
        <v>1.14310701538173</v>
      </c>
      <c r="O439" s="6">
        <f t="shared" si="74"/>
        <v>5317.8390676378776</v>
      </c>
      <c r="P439" s="6">
        <f t="shared" si="75"/>
        <v>5315.6898945095872</v>
      </c>
      <c r="Q439" s="6">
        <f t="shared" si="72"/>
        <v>1.14310701538173</v>
      </c>
    </row>
    <row r="440" spans="2:17">
      <c r="B440">
        <f t="shared" si="73"/>
        <v>437</v>
      </c>
      <c r="C440">
        <f t="shared" si="67"/>
        <v>31</v>
      </c>
      <c r="D440">
        <v>426</v>
      </c>
      <c r="E440">
        <v>457</v>
      </c>
      <c r="F440">
        <f>TxSPLINE!F$18</f>
        <v>1.143870967741935</v>
      </c>
      <c r="G440">
        <f>TxSPLINE!F$19</f>
        <v>0.59482758620689602</v>
      </c>
      <c r="H440" s="5">
        <f>TxSPLINE!K$18</f>
        <v>-4.3551130057387574E-3</v>
      </c>
      <c r="I440" s="5">
        <f>TxSPLINE!K$19</f>
        <v>1.713975176488155E-3</v>
      </c>
      <c r="J440">
        <f t="shared" si="68"/>
        <v>0.64516129032258063</v>
      </c>
      <c r="K440">
        <f t="shared" si="69"/>
        <v>0.35483870967741937</v>
      </c>
      <c r="M440" s="6">
        <f t="shared" si="71"/>
        <v>0.94904912268111474</v>
      </c>
      <c r="N440" s="6">
        <f t="shared" si="76"/>
        <v>1.126614914582396</v>
      </c>
      <c r="O440" s="6">
        <f t="shared" si="74"/>
        <v>5318.7881167605583</v>
      </c>
      <c r="P440" s="6">
        <f t="shared" si="75"/>
        <v>5316.8165094241695</v>
      </c>
      <c r="Q440" s="6">
        <f t="shared" si="72"/>
        <v>1.126614914582396</v>
      </c>
    </row>
    <row r="441" spans="2:17">
      <c r="B441">
        <f t="shared" si="73"/>
        <v>438</v>
      </c>
      <c r="C441">
        <f t="shared" si="67"/>
        <v>31</v>
      </c>
      <c r="D441">
        <v>426</v>
      </c>
      <c r="E441">
        <v>457</v>
      </c>
      <c r="F441">
        <f>TxSPLINE!F$18</f>
        <v>1.143870967741935</v>
      </c>
      <c r="G441">
        <f>TxSPLINE!F$19</f>
        <v>0.59482758620689602</v>
      </c>
      <c r="H441" s="5">
        <f>TxSPLINE!K$18</f>
        <v>-4.3551130057387574E-3</v>
      </c>
      <c r="I441" s="5">
        <f>TxSPLINE!K$19</f>
        <v>1.713975176488155E-3</v>
      </c>
      <c r="J441">
        <f t="shared" si="68"/>
        <v>0.61290322580645162</v>
      </c>
      <c r="K441">
        <f t="shared" si="69"/>
        <v>0.38709677419354838</v>
      </c>
      <c r="M441" s="6">
        <f t="shared" si="71"/>
        <v>0.93133804585740376</v>
      </c>
      <c r="N441" s="6">
        <f t="shared" si="76"/>
        <v>1.1079212481968228</v>
      </c>
      <c r="O441" s="6">
        <f t="shared" si="74"/>
        <v>5319.7194548064153</v>
      </c>
      <c r="P441" s="6">
        <f t="shared" si="75"/>
        <v>5317.9244306723667</v>
      </c>
      <c r="Q441" s="6">
        <f t="shared" si="72"/>
        <v>1.1079212481968228</v>
      </c>
    </row>
    <row r="442" spans="2:17">
      <c r="B442">
        <f t="shared" si="73"/>
        <v>439</v>
      </c>
      <c r="C442">
        <f t="shared" si="67"/>
        <v>31</v>
      </c>
      <c r="D442">
        <v>426</v>
      </c>
      <c r="E442">
        <v>457</v>
      </c>
      <c r="F442">
        <f>TxSPLINE!F$18</f>
        <v>1.143870967741935</v>
      </c>
      <c r="G442">
        <f>TxSPLINE!F$19</f>
        <v>0.59482758620689602</v>
      </c>
      <c r="H442" s="5">
        <f>TxSPLINE!K$18</f>
        <v>-4.3551130057387574E-3</v>
      </c>
      <c r="I442" s="5">
        <f>TxSPLINE!K$19</f>
        <v>1.713975176488155E-3</v>
      </c>
      <c r="J442">
        <f t="shared" si="68"/>
        <v>0.58064516129032262</v>
      </c>
      <c r="K442">
        <f t="shared" si="69"/>
        <v>0.41935483870967744</v>
      </c>
      <c r="M442" s="6">
        <f t="shared" si="71"/>
        <v>0.91362696903369289</v>
      </c>
      <c r="N442" s="6">
        <f t="shared" si="76"/>
        <v>1.0872217932631474</v>
      </c>
      <c r="O442" s="6">
        <f t="shared" si="74"/>
        <v>5320.6330817754488</v>
      </c>
      <c r="P442" s="6">
        <f t="shared" si="75"/>
        <v>5319.0116524656296</v>
      </c>
      <c r="Q442" s="6">
        <f t="shared" si="72"/>
        <v>1.0872217932631474</v>
      </c>
    </row>
    <row r="443" spans="2:17">
      <c r="B443">
        <f t="shared" si="73"/>
        <v>440</v>
      </c>
      <c r="C443">
        <f t="shared" si="67"/>
        <v>31</v>
      </c>
      <c r="D443">
        <v>426</v>
      </c>
      <c r="E443">
        <v>457</v>
      </c>
      <c r="F443">
        <f>TxSPLINE!F$18</f>
        <v>1.143870967741935</v>
      </c>
      <c r="G443">
        <f>TxSPLINE!F$19</f>
        <v>0.59482758620689602</v>
      </c>
      <c r="H443" s="5">
        <f>TxSPLINE!K$18</f>
        <v>-4.3551130057387574E-3</v>
      </c>
      <c r="I443" s="5">
        <f>TxSPLINE!K$19</f>
        <v>1.713975176488155E-3</v>
      </c>
      <c r="J443">
        <f t="shared" si="68"/>
        <v>0.54838709677419351</v>
      </c>
      <c r="K443">
        <f t="shared" si="69"/>
        <v>0.45161290322580644</v>
      </c>
      <c r="M443" s="6">
        <f t="shared" si="71"/>
        <v>0.8959158922099818</v>
      </c>
      <c r="N443" s="6">
        <f t="shared" si="76"/>
        <v>1.0647123268195056</v>
      </c>
      <c r="O443" s="6">
        <f t="shared" si="74"/>
        <v>5321.5289976676586</v>
      </c>
      <c r="P443" s="6">
        <f t="shared" si="75"/>
        <v>5320.0763647924487</v>
      </c>
      <c r="Q443" s="6">
        <f t="shared" si="72"/>
        <v>1.0647123268195056</v>
      </c>
    </row>
    <row r="444" spans="2:17">
      <c r="B444">
        <f t="shared" si="73"/>
        <v>441</v>
      </c>
      <c r="C444">
        <f t="shared" si="67"/>
        <v>31</v>
      </c>
      <c r="D444">
        <v>426</v>
      </c>
      <c r="E444">
        <v>457</v>
      </c>
      <c r="F444">
        <f>TxSPLINE!F$18</f>
        <v>1.143870967741935</v>
      </c>
      <c r="G444">
        <f>TxSPLINE!F$19</f>
        <v>0.59482758620689602</v>
      </c>
      <c r="H444" s="5">
        <f>TxSPLINE!K$18</f>
        <v>-4.3551130057387574E-3</v>
      </c>
      <c r="I444" s="5">
        <f>TxSPLINE!K$19</f>
        <v>1.713975176488155E-3</v>
      </c>
      <c r="J444">
        <f t="shared" si="68"/>
        <v>0.5161290322580645</v>
      </c>
      <c r="K444">
        <f t="shared" si="69"/>
        <v>0.4838709677419355</v>
      </c>
      <c r="M444" s="6">
        <f t="shared" si="71"/>
        <v>0.87820481538627093</v>
      </c>
      <c r="N444" s="6">
        <f t="shared" si="76"/>
        <v>1.0405886259040342</v>
      </c>
      <c r="O444" s="6">
        <f t="shared" si="74"/>
        <v>5322.4072024830448</v>
      </c>
      <c r="P444" s="6">
        <f t="shared" si="75"/>
        <v>5321.1169534183528</v>
      </c>
      <c r="Q444" s="6">
        <f t="shared" si="72"/>
        <v>1.0405886259040342</v>
      </c>
    </row>
    <row r="445" spans="2:17">
      <c r="B445">
        <f t="shared" si="73"/>
        <v>442</v>
      </c>
      <c r="C445">
        <f t="shared" si="67"/>
        <v>31</v>
      </c>
      <c r="D445">
        <v>426</v>
      </c>
      <c r="E445">
        <v>457</v>
      </c>
      <c r="F445">
        <f>TxSPLINE!F$18</f>
        <v>1.143870967741935</v>
      </c>
      <c r="G445">
        <f>TxSPLINE!F$19</f>
        <v>0.59482758620689602</v>
      </c>
      <c r="H445" s="5">
        <f>TxSPLINE!K$18</f>
        <v>-4.3551130057387574E-3</v>
      </c>
      <c r="I445" s="5">
        <f>TxSPLINE!K$19</f>
        <v>1.713975176488155E-3</v>
      </c>
      <c r="J445">
        <f t="shared" si="68"/>
        <v>0.4838709677419355</v>
      </c>
      <c r="K445">
        <f t="shared" si="69"/>
        <v>0.5161290322580645</v>
      </c>
      <c r="M445" s="6">
        <f t="shared" si="71"/>
        <v>0.86049373856256006</v>
      </c>
      <c r="N445" s="6">
        <f t="shared" si="76"/>
        <v>1.0150464675548692</v>
      </c>
      <c r="O445" s="6">
        <f t="shared" si="74"/>
        <v>5323.2676962216074</v>
      </c>
      <c r="P445" s="6">
        <f t="shared" si="75"/>
        <v>5322.131999885908</v>
      </c>
      <c r="Q445" s="6">
        <f t="shared" si="72"/>
        <v>1.0150464675548692</v>
      </c>
    </row>
    <row r="446" spans="2:17">
      <c r="B446">
        <f t="shared" si="73"/>
        <v>443</v>
      </c>
      <c r="C446">
        <f t="shared" si="67"/>
        <v>31</v>
      </c>
      <c r="D446">
        <v>426</v>
      </c>
      <c r="E446">
        <v>457</v>
      </c>
      <c r="F446">
        <f>TxSPLINE!F$18</f>
        <v>1.143870967741935</v>
      </c>
      <c r="G446">
        <f>TxSPLINE!F$19</f>
        <v>0.59482758620689602</v>
      </c>
      <c r="H446" s="5">
        <f>TxSPLINE!K$18</f>
        <v>-4.3551130057387574E-3</v>
      </c>
      <c r="I446" s="5">
        <f>TxSPLINE!K$19</f>
        <v>1.713975176488155E-3</v>
      </c>
      <c r="J446">
        <f t="shared" si="68"/>
        <v>0.45161290322580644</v>
      </c>
      <c r="K446">
        <f t="shared" si="69"/>
        <v>0.54838709677419351</v>
      </c>
      <c r="M446" s="6">
        <f t="shared" si="71"/>
        <v>0.84278266173884897</v>
      </c>
      <c r="N446" s="6">
        <f t="shared" si="76"/>
        <v>0.98828162881014681</v>
      </c>
      <c r="O446" s="6">
        <f t="shared" si="74"/>
        <v>5324.1104788833463</v>
      </c>
      <c r="P446" s="6">
        <f t="shared" si="75"/>
        <v>5323.120281514718</v>
      </c>
      <c r="Q446" s="6">
        <f t="shared" si="72"/>
        <v>0.98828162881014681</v>
      </c>
    </row>
    <row r="447" spans="2:17">
      <c r="B447">
        <f t="shared" si="73"/>
        <v>444</v>
      </c>
      <c r="C447">
        <f t="shared" si="67"/>
        <v>31</v>
      </c>
      <c r="D447">
        <v>426</v>
      </c>
      <c r="E447">
        <v>457</v>
      </c>
      <c r="F447">
        <f>TxSPLINE!F$18</f>
        <v>1.143870967741935</v>
      </c>
      <c r="G447">
        <f>TxSPLINE!F$19</f>
        <v>0.59482758620689602</v>
      </c>
      <c r="H447" s="5">
        <f>TxSPLINE!K$18</f>
        <v>-4.3551130057387574E-3</v>
      </c>
      <c r="I447" s="5">
        <f>TxSPLINE!K$19</f>
        <v>1.713975176488155E-3</v>
      </c>
      <c r="J447">
        <f t="shared" si="68"/>
        <v>0.41935483870967744</v>
      </c>
      <c r="K447">
        <f t="shared" si="69"/>
        <v>0.58064516129032262</v>
      </c>
      <c r="M447" s="6">
        <f t="shared" si="71"/>
        <v>0.82507158491513821</v>
      </c>
      <c r="N447" s="6">
        <f t="shared" si="76"/>
        <v>0.96048988670800417</v>
      </c>
      <c r="O447" s="6">
        <f t="shared" si="74"/>
        <v>5324.9355504682617</v>
      </c>
      <c r="P447" s="6">
        <f t="shared" si="75"/>
        <v>5324.0807714014263</v>
      </c>
      <c r="Q447" s="6">
        <f t="shared" si="72"/>
        <v>0.96048988670800417</v>
      </c>
    </row>
    <row r="448" spans="2:17">
      <c r="B448">
        <f t="shared" si="73"/>
        <v>445</v>
      </c>
      <c r="C448">
        <f t="shared" si="67"/>
        <v>31</v>
      </c>
      <c r="D448">
        <v>426</v>
      </c>
      <c r="E448">
        <v>457</v>
      </c>
      <c r="F448">
        <f>TxSPLINE!F$18</f>
        <v>1.143870967741935</v>
      </c>
      <c r="G448">
        <f>TxSPLINE!F$19</f>
        <v>0.59482758620689602</v>
      </c>
      <c r="H448" s="5">
        <f>TxSPLINE!K$18</f>
        <v>-4.3551130057387574E-3</v>
      </c>
      <c r="I448" s="5">
        <f>TxSPLINE!K$19</f>
        <v>1.713975176488155E-3</v>
      </c>
      <c r="J448">
        <f t="shared" si="68"/>
        <v>0.38709677419354838</v>
      </c>
      <c r="K448">
        <f t="shared" si="69"/>
        <v>0.61290322580645162</v>
      </c>
      <c r="M448" s="6">
        <f t="shared" si="71"/>
        <v>0.80736050809142723</v>
      </c>
      <c r="N448" s="6">
        <f t="shared" si="76"/>
        <v>0.9318670182865767</v>
      </c>
      <c r="O448" s="6">
        <f t="shared" si="74"/>
        <v>5325.7429109763534</v>
      </c>
      <c r="P448" s="6">
        <f t="shared" si="75"/>
        <v>5325.0126384197129</v>
      </c>
      <c r="Q448" s="6">
        <f t="shared" si="72"/>
        <v>0.9318670182865767</v>
      </c>
    </row>
    <row r="449" spans="1:17">
      <c r="B449">
        <f t="shared" si="73"/>
        <v>446</v>
      </c>
      <c r="C449">
        <f t="shared" si="67"/>
        <v>31</v>
      </c>
      <c r="D449">
        <v>426</v>
      </c>
      <c r="E449">
        <v>457</v>
      </c>
      <c r="F449">
        <f>TxSPLINE!F$18</f>
        <v>1.143870967741935</v>
      </c>
      <c r="G449">
        <f>TxSPLINE!F$19</f>
        <v>0.59482758620689602</v>
      </c>
      <c r="H449" s="5">
        <f>TxSPLINE!K$18</f>
        <v>-4.3551130057387574E-3</v>
      </c>
      <c r="I449" s="5">
        <f>TxSPLINE!K$19</f>
        <v>1.713975176488155E-3</v>
      </c>
      <c r="J449">
        <f t="shared" si="68"/>
        <v>0.35483870967741937</v>
      </c>
      <c r="K449">
        <f t="shared" si="69"/>
        <v>0.64516129032258063</v>
      </c>
      <c r="M449" s="6">
        <f t="shared" si="71"/>
        <v>0.78964943126771625</v>
      </c>
      <c r="N449" s="6">
        <f t="shared" si="76"/>
        <v>0.90260880058400128</v>
      </c>
      <c r="O449" s="6">
        <f t="shared" si="74"/>
        <v>5326.5325604076215</v>
      </c>
      <c r="P449" s="6">
        <f t="shared" si="75"/>
        <v>5325.9152472202968</v>
      </c>
      <c r="Q449" s="6">
        <f t="shared" si="72"/>
        <v>0.90260880058400128</v>
      </c>
    </row>
    <row r="450" spans="1:17">
      <c r="B450">
        <f t="shared" si="73"/>
        <v>447</v>
      </c>
      <c r="C450">
        <f t="shared" si="67"/>
        <v>31</v>
      </c>
      <c r="D450">
        <v>426</v>
      </c>
      <c r="E450">
        <v>457</v>
      </c>
      <c r="F450">
        <f>TxSPLINE!F$18</f>
        <v>1.143870967741935</v>
      </c>
      <c r="G450">
        <f>TxSPLINE!F$19</f>
        <v>0.59482758620689602</v>
      </c>
      <c r="H450" s="5">
        <f>TxSPLINE!K$18</f>
        <v>-4.3551130057387574E-3</v>
      </c>
      <c r="I450" s="5">
        <f>TxSPLINE!K$19</f>
        <v>1.713975176488155E-3</v>
      </c>
      <c r="J450">
        <f t="shared" si="68"/>
        <v>0.32258064516129031</v>
      </c>
      <c r="K450">
        <f t="shared" si="69"/>
        <v>0.67741935483870963</v>
      </c>
      <c r="M450" s="6">
        <f t="shared" si="71"/>
        <v>0.77193835444400527</v>
      </c>
      <c r="N450" s="6">
        <f t="shared" si="76"/>
        <v>0.87291101063841414</v>
      </c>
      <c r="O450" s="6">
        <f t="shared" si="74"/>
        <v>5327.3044987620651</v>
      </c>
      <c r="P450" s="6">
        <f t="shared" si="75"/>
        <v>5326.7881582309356</v>
      </c>
      <c r="Q450" s="6">
        <f t="shared" si="72"/>
        <v>0.87291101063841414</v>
      </c>
    </row>
    <row r="451" spans="1:17">
      <c r="B451">
        <f t="shared" si="73"/>
        <v>448</v>
      </c>
      <c r="C451">
        <f t="shared" si="67"/>
        <v>31</v>
      </c>
      <c r="D451">
        <v>426</v>
      </c>
      <c r="E451">
        <v>457</v>
      </c>
      <c r="F451">
        <f>TxSPLINE!F$18</f>
        <v>1.143870967741935</v>
      </c>
      <c r="G451">
        <f>TxSPLINE!F$19</f>
        <v>0.59482758620689602</v>
      </c>
      <c r="H451" s="5">
        <f>TxSPLINE!K$18</f>
        <v>-4.3551130057387574E-3</v>
      </c>
      <c r="I451" s="5">
        <f>TxSPLINE!K$19</f>
        <v>1.713975176488155E-3</v>
      </c>
      <c r="J451">
        <f t="shared" si="68"/>
        <v>0.29032258064516131</v>
      </c>
      <c r="K451">
        <f t="shared" si="69"/>
        <v>0.70967741935483875</v>
      </c>
      <c r="M451" s="6">
        <f t="shared" si="71"/>
        <v>0.75422727762029451</v>
      </c>
      <c r="N451" s="6">
        <f t="shared" si="76"/>
        <v>0.84296942548795184</v>
      </c>
      <c r="O451" s="6">
        <f t="shared" si="74"/>
        <v>5328.0587260396851</v>
      </c>
      <c r="P451" s="6">
        <f t="shared" si="75"/>
        <v>5327.6311276564238</v>
      </c>
      <c r="Q451" s="6">
        <f t="shared" si="72"/>
        <v>0.84296942548795184</v>
      </c>
    </row>
    <row r="452" spans="1:17">
      <c r="B452">
        <f t="shared" si="73"/>
        <v>449</v>
      </c>
      <c r="C452">
        <f t="shared" ref="C452:C460" si="77">E452-D452</f>
        <v>31</v>
      </c>
      <c r="D452">
        <v>426</v>
      </c>
      <c r="E452">
        <v>457</v>
      </c>
      <c r="F452">
        <f>TxSPLINE!F$18</f>
        <v>1.143870967741935</v>
      </c>
      <c r="G452">
        <f>TxSPLINE!F$19</f>
        <v>0.59482758620689602</v>
      </c>
      <c r="H452" s="5">
        <f>TxSPLINE!K$18</f>
        <v>-4.3551130057387574E-3</v>
      </c>
      <c r="I452" s="5">
        <f>TxSPLINE!K$19</f>
        <v>1.713975176488155E-3</v>
      </c>
      <c r="J452">
        <f t="shared" ref="J452:J460" si="78">(E452-B452)/C452</f>
        <v>0.25806451612903225</v>
      </c>
      <c r="K452">
        <f t="shared" ref="K452:K460" si="79">(B452-D452)/C452</f>
        <v>0.74193548387096775</v>
      </c>
      <c r="M452" s="6">
        <f t="shared" ref="M452:M460" si="80">J452*F452+K452*G452</f>
        <v>0.73651620079658353</v>
      </c>
      <c r="N452" s="6">
        <f t="shared" si="76"/>
        <v>0.81297982217075027</v>
      </c>
      <c r="O452" s="6">
        <f t="shared" si="74"/>
        <v>5328.7952422404815</v>
      </c>
      <c r="P452" s="6">
        <f t="shared" si="75"/>
        <v>5328.4441074785946</v>
      </c>
      <c r="Q452" s="6">
        <f t="shared" ref="Q452:Q460" si="81">M452+(((J452^3-J452)*H452+(K452^3-K452)*I452))*(C452^2)/6</f>
        <v>0.81297982217075027</v>
      </c>
    </row>
    <row r="453" spans="1:17">
      <c r="B453">
        <f t="shared" ref="B453:B460" si="82">B452+1</f>
        <v>450</v>
      </c>
      <c r="C453">
        <f t="shared" si="77"/>
        <v>31</v>
      </c>
      <c r="D453">
        <v>426</v>
      </c>
      <c r="E453">
        <v>457</v>
      </c>
      <c r="F453">
        <f>TxSPLINE!F$18</f>
        <v>1.143870967741935</v>
      </c>
      <c r="G453">
        <f>TxSPLINE!F$19</f>
        <v>0.59482758620689602</v>
      </c>
      <c r="H453" s="5">
        <f>TxSPLINE!K$18</f>
        <v>-4.3551130057387574E-3</v>
      </c>
      <c r="I453" s="5">
        <f>TxSPLINE!K$19</f>
        <v>1.713975176488155E-3</v>
      </c>
      <c r="J453">
        <f t="shared" si="78"/>
        <v>0.22580645161290322</v>
      </c>
      <c r="K453">
        <f t="shared" si="79"/>
        <v>0.77419354838709675</v>
      </c>
      <c r="M453" s="6">
        <f t="shared" si="80"/>
        <v>0.71880512397287255</v>
      </c>
      <c r="N453" s="6">
        <f t="shared" si="76"/>
        <v>0.78313797772494609</v>
      </c>
      <c r="O453" s="6">
        <f t="shared" ref="O453:O460" si="83">O452+M453</f>
        <v>5329.5140473644542</v>
      </c>
      <c r="P453" s="6">
        <f t="shared" ref="P453:P460" si="84">P452+N453</f>
        <v>5329.2272454563199</v>
      </c>
      <c r="Q453" s="6">
        <f t="shared" si="81"/>
        <v>0.78313797772494609</v>
      </c>
    </row>
    <row r="454" spans="1:17">
      <c r="B454">
        <f t="shared" si="82"/>
        <v>451</v>
      </c>
      <c r="C454">
        <f t="shared" si="77"/>
        <v>31</v>
      </c>
      <c r="D454">
        <v>426</v>
      </c>
      <c r="E454">
        <v>457</v>
      </c>
      <c r="F454">
        <f>TxSPLINE!F$18</f>
        <v>1.143870967741935</v>
      </c>
      <c r="G454">
        <f>TxSPLINE!F$19</f>
        <v>0.59482758620689602</v>
      </c>
      <c r="H454" s="5">
        <f>TxSPLINE!K$18</f>
        <v>-4.3551130057387574E-3</v>
      </c>
      <c r="I454" s="5">
        <f>TxSPLINE!K$19</f>
        <v>1.713975176488155E-3</v>
      </c>
      <c r="J454">
        <f t="shared" si="78"/>
        <v>0.19354838709677419</v>
      </c>
      <c r="K454">
        <f t="shared" si="79"/>
        <v>0.80645161290322576</v>
      </c>
      <c r="M454" s="6">
        <f t="shared" si="80"/>
        <v>0.70109404714916157</v>
      </c>
      <c r="N454" s="6">
        <f t="shared" si="76"/>
        <v>0.75363966918867553</v>
      </c>
      <c r="O454" s="6">
        <f t="shared" si="83"/>
        <v>5330.2151414116033</v>
      </c>
      <c r="P454" s="6">
        <f t="shared" si="84"/>
        <v>5329.9808851255084</v>
      </c>
      <c r="Q454" s="6">
        <f t="shared" si="81"/>
        <v>0.75363966918867553</v>
      </c>
    </row>
    <row r="455" spans="1:17">
      <c r="B455">
        <f t="shared" si="82"/>
        <v>452</v>
      </c>
      <c r="C455">
        <f t="shared" si="77"/>
        <v>31</v>
      </c>
      <c r="D455">
        <v>426</v>
      </c>
      <c r="E455">
        <v>457</v>
      </c>
      <c r="F455">
        <f>TxSPLINE!F$18</f>
        <v>1.143870967741935</v>
      </c>
      <c r="G455">
        <f>TxSPLINE!F$19</f>
        <v>0.59482758620689602</v>
      </c>
      <c r="H455" s="5">
        <f>TxSPLINE!K$18</f>
        <v>-4.3551130057387574E-3</v>
      </c>
      <c r="I455" s="5">
        <f>TxSPLINE!K$19</f>
        <v>1.713975176488155E-3</v>
      </c>
      <c r="J455">
        <f t="shared" si="78"/>
        <v>0.16129032258064516</v>
      </c>
      <c r="K455">
        <f t="shared" si="79"/>
        <v>0.83870967741935487</v>
      </c>
      <c r="M455" s="6">
        <f t="shared" si="80"/>
        <v>0.6833829703254507</v>
      </c>
      <c r="N455" s="6">
        <f t="shared" si="76"/>
        <v>0.72468067360007515</v>
      </c>
      <c r="O455" s="6">
        <f t="shared" si="83"/>
        <v>5330.8985243819288</v>
      </c>
      <c r="P455" s="6">
        <f t="shared" si="84"/>
        <v>5330.7055657991086</v>
      </c>
      <c r="Q455" s="6">
        <f t="shared" si="81"/>
        <v>0.72468067360007515</v>
      </c>
    </row>
    <row r="456" spans="1:17">
      <c r="B456">
        <f t="shared" si="82"/>
        <v>453</v>
      </c>
      <c r="C456">
        <f t="shared" si="77"/>
        <v>31</v>
      </c>
      <c r="D456">
        <v>426</v>
      </c>
      <c r="E456">
        <v>457</v>
      </c>
      <c r="F456">
        <f>TxSPLINE!F$18</f>
        <v>1.143870967741935</v>
      </c>
      <c r="G456">
        <f>TxSPLINE!F$19</f>
        <v>0.59482758620689602</v>
      </c>
      <c r="H456" s="5">
        <f>TxSPLINE!K$18</f>
        <v>-4.3551130057387574E-3</v>
      </c>
      <c r="I456" s="5">
        <f>TxSPLINE!K$19</f>
        <v>1.713975176488155E-3</v>
      </c>
      <c r="J456">
        <f t="shared" si="78"/>
        <v>0.12903225806451613</v>
      </c>
      <c r="K456">
        <f t="shared" si="79"/>
        <v>0.87096774193548387</v>
      </c>
      <c r="M456" s="6">
        <f t="shared" si="80"/>
        <v>0.66567189350173972</v>
      </c>
      <c r="N456" s="6">
        <f t="shared" si="76"/>
        <v>0.69645676799728107</v>
      </c>
      <c r="O456" s="6">
        <f t="shared" si="83"/>
        <v>5331.5641962754307</v>
      </c>
      <c r="P456" s="6">
        <f t="shared" si="84"/>
        <v>5331.4020225671056</v>
      </c>
      <c r="Q456" s="6">
        <f t="shared" si="81"/>
        <v>0.69645676799728107</v>
      </c>
    </row>
    <row r="457" spans="1:17">
      <c r="B457">
        <f t="shared" si="82"/>
        <v>454</v>
      </c>
      <c r="C457">
        <f t="shared" si="77"/>
        <v>31</v>
      </c>
      <c r="D457">
        <v>426</v>
      </c>
      <c r="E457">
        <v>457</v>
      </c>
      <c r="F457">
        <f>TxSPLINE!F$18</f>
        <v>1.143870967741935</v>
      </c>
      <c r="G457">
        <f>TxSPLINE!F$19</f>
        <v>0.59482758620689602</v>
      </c>
      <c r="H457" s="5">
        <f>TxSPLINE!K$18</f>
        <v>-4.3551130057387574E-3</v>
      </c>
      <c r="I457" s="5">
        <f>TxSPLINE!K$19</f>
        <v>1.713975176488155E-3</v>
      </c>
      <c r="J457">
        <f t="shared" si="78"/>
        <v>9.6774193548387094E-2</v>
      </c>
      <c r="K457">
        <f t="shared" si="79"/>
        <v>0.90322580645161288</v>
      </c>
      <c r="M457" s="6">
        <f t="shared" si="80"/>
        <v>0.64796081667802874</v>
      </c>
      <c r="N457" s="6">
        <f t="shared" si="76"/>
        <v>0.66916372941842983</v>
      </c>
      <c r="O457" s="6">
        <f t="shared" si="83"/>
        <v>5332.212157092109</v>
      </c>
      <c r="P457" s="6">
        <f t="shared" si="84"/>
        <v>5332.0711862965245</v>
      </c>
      <c r="Q457" s="6">
        <f t="shared" si="81"/>
        <v>0.66916372941842983</v>
      </c>
    </row>
    <row r="458" spans="1:17">
      <c r="B458">
        <f t="shared" si="82"/>
        <v>455</v>
      </c>
      <c r="C458">
        <f t="shared" si="77"/>
        <v>31</v>
      </c>
      <c r="D458">
        <v>426</v>
      </c>
      <c r="E458">
        <v>457</v>
      </c>
      <c r="F458">
        <f>TxSPLINE!F$18</f>
        <v>1.143870967741935</v>
      </c>
      <c r="G458">
        <f>TxSPLINE!F$19</f>
        <v>0.59482758620689602</v>
      </c>
      <c r="H458" s="5">
        <f>TxSPLINE!K$18</f>
        <v>-4.3551130057387574E-3</v>
      </c>
      <c r="I458" s="5">
        <f>TxSPLINE!K$19</f>
        <v>1.713975176488155E-3</v>
      </c>
      <c r="J458">
        <f t="shared" si="78"/>
        <v>6.4516129032258063E-2</v>
      </c>
      <c r="K458">
        <f t="shared" si="79"/>
        <v>0.93548387096774188</v>
      </c>
      <c r="M458" s="6">
        <f t="shared" si="80"/>
        <v>0.63024973985431787</v>
      </c>
      <c r="N458" s="6">
        <f t="shared" si="76"/>
        <v>0.64299733490165767</v>
      </c>
      <c r="O458" s="6">
        <f t="shared" si="83"/>
        <v>5332.8424068319637</v>
      </c>
      <c r="P458" s="6">
        <f t="shared" si="84"/>
        <v>5332.7141836314258</v>
      </c>
      <c r="Q458" s="6">
        <f t="shared" si="81"/>
        <v>0.64299733490165767</v>
      </c>
    </row>
    <row r="459" spans="1:17">
      <c r="B459">
        <f t="shared" si="82"/>
        <v>456</v>
      </c>
      <c r="C459">
        <f t="shared" si="77"/>
        <v>31</v>
      </c>
      <c r="D459">
        <v>426</v>
      </c>
      <c r="E459">
        <v>457</v>
      </c>
      <c r="F459">
        <f>TxSPLINE!F$18</f>
        <v>1.143870967741935</v>
      </c>
      <c r="G459">
        <f>TxSPLINE!F$19</f>
        <v>0.59482758620689602</v>
      </c>
      <c r="H459" s="5">
        <f>TxSPLINE!K$18</f>
        <v>-4.3551130057387574E-3</v>
      </c>
      <c r="I459" s="5">
        <f>TxSPLINE!K$19</f>
        <v>1.713975176488155E-3</v>
      </c>
      <c r="J459">
        <f t="shared" si="78"/>
        <v>3.2258064516129031E-2</v>
      </c>
      <c r="K459">
        <f t="shared" si="79"/>
        <v>0.967741935483871</v>
      </c>
      <c r="M459" s="6">
        <f t="shared" si="80"/>
        <v>0.612538663030607</v>
      </c>
      <c r="N459" s="6">
        <f t="shared" si="76"/>
        <v>0.61815336148510103</v>
      </c>
      <c r="O459" s="6">
        <f t="shared" si="83"/>
        <v>5333.4549454949947</v>
      </c>
      <c r="P459" s="6">
        <f t="shared" si="84"/>
        <v>5333.3323369929112</v>
      </c>
      <c r="Q459" s="6">
        <f t="shared" si="81"/>
        <v>0.61815336148510103</v>
      </c>
    </row>
    <row r="460" spans="1:17">
      <c r="A460">
        <v>457</v>
      </c>
      <c r="B460">
        <f t="shared" si="82"/>
        <v>457</v>
      </c>
      <c r="C460">
        <f t="shared" si="77"/>
        <v>31</v>
      </c>
      <c r="D460">
        <v>426</v>
      </c>
      <c r="E460">
        <v>457</v>
      </c>
      <c r="F460">
        <f>TxSPLINE!F$18</f>
        <v>1.143870967741935</v>
      </c>
      <c r="G460">
        <f>TxSPLINE!F$19</f>
        <v>0.59482758620689602</v>
      </c>
      <c r="H460" s="5">
        <f>TxSPLINE!K$18</f>
        <v>-4.3551130057387574E-3</v>
      </c>
      <c r="I460" s="5">
        <f>TxSPLINE!K$19</f>
        <v>1.713975176488155E-3</v>
      </c>
      <c r="J460">
        <f t="shared" si="78"/>
        <v>0</v>
      </c>
      <c r="K460">
        <f t="shared" si="79"/>
        <v>1</v>
      </c>
      <c r="M460" s="6">
        <f t="shared" si="80"/>
        <v>0.59482758620689602</v>
      </c>
      <c r="N460" s="6">
        <f t="shared" si="76"/>
        <v>0.59482758620689602</v>
      </c>
      <c r="O460" s="6">
        <f t="shared" si="83"/>
        <v>5334.0497730812012</v>
      </c>
      <c r="P460" s="6">
        <f t="shared" si="84"/>
        <v>5333.9271645791177</v>
      </c>
      <c r="Q460" s="6">
        <f t="shared" si="81"/>
        <v>0.59482758620689602</v>
      </c>
    </row>
    <row r="461" spans="1:17">
      <c r="H461" s="5"/>
      <c r="I461" s="5"/>
      <c r="M461" s="6"/>
      <c r="N461" s="6"/>
      <c r="O461" s="6"/>
      <c r="P461" s="6"/>
    </row>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dimension ref="A1:O19"/>
  <sheetViews>
    <sheetView workbookViewId="0">
      <selection activeCell="A69" sqref="A69"/>
    </sheetView>
  </sheetViews>
  <sheetFormatPr defaultRowHeight="12.75"/>
  <sheetData>
    <row r="1" spans="1:15">
      <c r="H1" t="s">
        <v>61</v>
      </c>
      <c r="I1">
        <v>0</v>
      </c>
    </row>
    <row r="2" spans="1:15">
      <c r="H2" t="s">
        <v>62</v>
      </c>
      <c r="I2">
        <v>0</v>
      </c>
    </row>
    <row r="3" spans="1:15">
      <c r="A3" t="s">
        <v>63</v>
      </c>
      <c r="B3" t="s">
        <v>64</v>
      </c>
      <c r="C3" t="s">
        <v>65</v>
      </c>
      <c r="D3" t="s">
        <v>66</v>
      </c>
      <c r="E3" t="s">
        <v>67</v>
      </c>
      <c r="F3" t="s">
        <v>68</v>
      </c>
      <c r="G3" t="s">
        <v>69</v>
      </c>
      <c r="H3" t="s">
        <v>70</v>
      </c>
      <c r="I3" t="s">
        <v>71</v>
      </c>
      <c r="J3" t="s">
        <v>72</v>
      </c>
      <c r="K3" t="s">
        <v>73</v>
      </c>
    </row>
    <row r="4" spans="1:15">
      <c r="A4">
        <v>11</v>
      </c>
      <c r="B4">
        <v>1</v>
      </c>
      <c r="D4" s="1">
        <v>320</v>
      </c>
      <c r="E4">
        <f t="shared" ref="E4:E19" si="0">D4-319</f>
        <v>1</v>
      </c>
      <c r="F4" s="1">
        <f>C16</f>
        <v>0.44114151485900671</v>
      </c>
      <c r="G4" s="2"/>
      <c r="H4" s="2"/>
      <c r="I4" s="3">
        <f>(3/(E5-E4))*((F5-F4)/(E5-E4)-I$1)</f>
        <v>-7.4714514370558753E-4</v>
      </c>
      <c r="J4" s="4">
        <v>-0.25</v>
      </c>
      <c r="K4" s="5">
        <f t="shared" ref="K4:K19" si="1">J4*K5+I4</f>
        <v>-9.7973097392408184E-4</v>
      </c>
    </row>
    <row r="5" spans="1:15">
      <c r="A5">
        <v>12</v>
      </c>
      <c r="B5">
        <f t="shared" ref="B5:B19" si="2">B4+1</f>
        <v>2</v>
      </c>
      <c r="D5" s="1">
        <v>351</v>
      </c>
      <c r="E5">
        <f t="shared" si="0"/>
        <v>32</v>
      </c>
      <c r="F5" s="1">
        <f>C17</f>
        <v>0.20180602049198348</v>
      </c>
      <c r="G5" s="2">
        <f t="shared" ref="G5:G19" si="3">(E5-E4)/(E6-E4)</f>
        <v>0.51666666666666672</v>
      </c>
      <c r="H5" s="2">
        <f t="shared" ref="H5:H19" si="4">G5*J4+2</f>
        <v>1.8708333333333333</v>
      </c>
      <c r="I5" s="5">
        <f t="shared" ref="I5:I18" si="5">(6*(((F6-F5)/(E6-E5))-((F5-F4)/(E5-E4)))/(E6-E4)-G5*I4)/H5</f>
        <v>7.8157263793013397E-4</v>
      </c>
      <c r="J5" s="6">
        <f t="shared" ref="J5:J18" si="6">(G5-1)/H5</f>
        <v>-0.25835189309576834</v>
      </c>
      <c r="K5" s="5">
        <f t="shared" si="1"/>
        <v>9.3034332087397716E-4</v>
      </c>
    </row>
    <row r="6" spans="1:15">
      <c r="A6" s="1">
        <v>1</v>
      </c>
      <c r="B6">
        <f t="shared" si="2"/>
        <v>3</v>
      </c>
      <c r="C6" s="7">
        <f>Climate!K11</f>
        <v>0.28999999999999998</v>
      </c>
      <c r="D6" s="8">
        <f t="shared" ref="D6:D17" si="7">365+INT(30.5*A6-14.6)</f>
        <v>380</v>
      </c>
      <c r="E6">
        <f t="shared" si="0"/>
        <v>61</v>
      </c>
      <c r="F6">
        <f t="shared" ref="F6:F17" si="8">C6</f>
        <v>0.28999999999999998</v>
      </c>
      <c r="G6" s="2">
        <f t="shared" si="3"/>
        <v>0.48333333333333334</v>
      </c>
      <c r="H6" s="2">
        <f t="shared" si="4"/>
        <v>1.8751299183370453</v>
      </c>
      <c r="I6" s="5">
        <f t="shared" si="5"/>
        <v>-5.6855914692168108E-5</v>
      </c>
      <c r="J6" s="6">
        <f t="shared" si="6"/>
        <v>-0.27553646369467094</v>
      </c>
      <c r="K6" s="5">
        <f t="shared" si="1"/>
        <v>-5.7584514346366886E-4</v>
      </c>
      <c r="L6" s="9"/>
      <c r="M6" s="9" t="s">
        <v>74</v>
      </c>
      <c r="N6" s="9"/>
      <c r="O6" s="9"/>
    </row>
    <row r="7" spans="1:15">
      <c r="A7" s="1">
        <v>2</v>
      </c>
      <c r="B7">
        <f t="shared" si="2"/>
        <v>4</v>
      </c>
      <c r="C7" s="7">
        <f>Climate!K12</f>
        <v>0.46833216623671287</v>
      </c>
      <c r="D7" s="8">
        <f t="shared" si="7"/>
        <v>411</v>
      </c>
      <c r="E7">
        <f t="shared" si="0"/>
        <v>92</v>
      </c>
      <c r="F7">
        <f t="shared" si="8"/>
        <v>0.46833216623671287</v>
      </c>
      <c r="G7" s="2">
        <f t="shared" si="3"/>
        <v>0.50819672131147542</v>
      </c>
      <c r="H7" s="2">
        <f t="shared" si="4"/>
        <v>1.8599732725486098</v>
      </c>
      <c r="I7" s="5">
        <f t="shared" si="5"/>
        <v>1.2337491734641371E-3</v>
      </c>
      <c r="J7" s="6">
        <f t="shared" si="6"/>
        <v>-0.26441416441142512</v>
      </c>
      <c r="K7" s="5">
        <f t="shared" si="1"/>
        <v>1.883559155156343E-3</v>
      </c>
    </row>
    <row r="8" spans="1:15">
      <c r="A8" s="1">
        <v>3</v>
      </c>
      <c r="B8">
        <f t="shared" si="2"/>
        <v>5</v>
      </c>
      <c r="C8" s="7">
        <f>Climate!K13</f>
        <v>1.3319948639124057</v>
      </c>
      <c r="D8" s="8">
        <f t="shared" si="7"/>
        <v>441</v>
      </c>
      <c r="E8">
        <f t="shared" si="0"/>
        <v>122</v>
      </c>
      <c r="F8">
        <f t="shared" si="8"/>
        <v>1.3319948639124057</v>
      </c>
      <c r="G8" s="2">
        <f t="shared" si="3"/>
        <v>0.49180327868852458</v>
      </c>
      <c r="H8" s="2">
        <f t="shared" si="4"/>
        <v>1.8699602470107746</v>
      </c>
      <c r="I8" s="5">
        <f t="shared" si="5"/>
        <v>-1.6617590999298589E-3</v>
      </c>
      <c r="J8" s="6">
        <f t="shared" si="6"/>
        <v>-0.2717687299095547</v>
      </c>
      <c r="K8" s="5">
        <f t="shared" si="1"/>
        <v>-2.4575460363050359E-3</v>
      </c>
    </row>
    <row r="9" spans="1:15">
      <c r="A9" s="1">
        <v>4</v>
      </c>
      <c r="B9">
        <f t="shared" si="2"/>
        <v>6</v>
      </c>
      <c r="C9" s="7">
        <f>Climate!K14</f>
        <v>1.4363211472069024</v>
      </c>
      <c r="D9" s="8">
        <f t="shared" si="7"/>
        <v>472</v>
      </c>
      <c r="E9">
        <f t="shared" si="0"/>
        <v>153</v>
      </c>
      <c r="F9">
        <f t="shared" si="8"/>
        <v>1.4363211472069024</v>
      </c>
      <c r="G9" s="2">
        <f t="shared" si="3"/>
        <v>0.50819672131147542</v>
      </c>
      <c r="H9" s="2">
        <f t="shared" si="4"/>
        <v>1.8618880225049803</v>
      </c>
      <c r="I9" s="5">
        <f t="shared" si="5"/>
        <v>2.7962199797499261E-3</v>
      </c>
      <c r="J9" s="6">
        <f t="shared" si="6"/>
        <v>-0.26414224311237228</v>
      </c>
      <c r="K9" s="5">
        <f t="shared" si="1"/>
        <v>2.9281769710592406E-3</v>
      </c>
    </row>
    <row r="10" spans="1:15">
      <c r="A10" s="1">
        <v>5</v>
      </c>
      <c r="B10">
        <f t="shared" si="2"/>
        <v>7</v>
      </c>
      <c r="C10" s="7">
        <f>Climate!K15</f>
        <v>2.8676151950536086</v>
      </c>
      <c r="D10" s="8">
        <f t="shared" si="7"/>
        <v>502</v>
      </c>
      <c r="E10">
        <f t="shared" si="0"/>
        <v>183</v>
      </c>
      <c r="F10">
        <f t="shared" si="8"/>
        <v>2.8676151950536086</v>
      </c>
      <c r="G10" s="2">
        <f t="shared" si="3"/>
        <v>0.49180327868852458</v>
      </c>
      <c r="H10" s="2">
        <f t="shared" si="4"/>
        <v>1.870093978797194</v>
      </c>
      <c r="I10" s="5">
        <f t="shared" si="5"/>
        <v>-9.2737355686054259E-4</v>
      </c>
      <c r="J10" s="6">
        <f t="shared" si="6"/>
        <v>-0.27174929552916754</v>
      </c>
      <c r="K10" s="5">
        <f t="shared" si="1"/>
        <v>-4.9956792126269983E-4</v>
      </c>
    </row>
    <row r="11" spans="1:15">
      <c r="A11" s="1">
        <v>6</v>
      </c>
      <c r="B11">
        <f t="shared" si="2"/>
        <v>8</v>
      </c>
      <c r="C11" s="7">
        <f>Climate!K16</f>
        <v>4.2334472483997461</v>
      </c>
      <c r="D11" s="8">
        <f t="shared" si="7"/>
        <v>533</v>
      </c>
      <c r="E11">
        <f t="shared" si="0"/>
        <v>214</v>
      </c>
      <c r="F11">
        <f t="shared" si="8"/>
        <v>4.2334472483997461</v>
      </c>
      <c r="G11" s="2">
        <f t="shared" si="3"/>
        <v>0.50819672131147542</v>
      </c>
      <c r="H11" s="2">
        <f t="shared" si="4"/>
        <v>1.8618978989933739</v>
      </c>
      <c r="I11" s="5">
        <f t="shared" si="5"/>
        <v>-1.7561884343528023E-3</v>
      </c>
      <c r="J11" s="6">
        <f t="shared" si="6"/>
        <v>-0.26414084196261012</v>
      </c>
      <c r="K11" s="5">
        <f t="shared" si="1"/>
        <v>-1.5742658495757733E-3</v>
      </c>
    </row>
    <row r="12" spans="1:15">
      <c r="A12" s="1">
        <v>7</v>
      </c>
      <c r="B12">
        <f t="shared" si="2"/>
        <v>9</v>
      </c>
      <c r="C12" s="7">
        <f>Climate!K17</f>
        <v>4.4141750173092893</v>
      </c>
      <c r="D12" s="8">
        <f t="shared" si="7"/>
        <v>563</v>
      </c>
      <c r="E12">
        <f t="shared" si="0"/>
        <v>244</v>
      </c>
      <c r="F12">
        <f t="shared" si="8"/>
        <v>4.4141750173092893</v>
      </c>
      <c r="G12" s="2">
        <f t="shared" si="3"/>
        <v>0.49180327868852458</v>
      </c>
      <c r="H12" s="2">
        <f t="shared" si="4"/>
        <v>1.870094667887241</v>
      </c>
      <c r="I12" s="5">
        <f t="shared" si="5"/>
        <v>-1.1361154373799693E-3</v>
      </c>
      <c r="J12" s="6">
        <f t="shared" si="6"/>
        <v>-0.27174919539534115</v>
      </c>
      <c r="K12" s="5">
        <f t="shared" si="1"/>
        <v>-6.8873326603078179E-4</v>
      </c>
    </row>
    <row r="13" spans="1:15">
      <c r="A13" s="1">
        <v>8</v>
      </c>
      <c r="B13">
        <f t="shared" si="2"/>
        <v>10</v>
      </c>
      <c r="C13" s="7">
        <f>Climate!K18</f>
        <v>3.6591010528330465</v>
      </c>
      <c r="D13" s="8">
        <f t="shared" si="7"/>
        <v>594</v>
      </c>
      <c r="E13">
        <f t="shared" si="0"/>
        <v>275</v>
      </c>
      <c r="F13">
        <f t="shared" si="8"/>
        <v>3.6591010528330465</v>
      </c>
      <c r="G13" s="2">
        <f t="shared" si="3"/>
        <v>0.50819672131147542</v>
      </c>
      <c r="H13" s="2">
        <f t="shared" si="4"/>
        <v>1.8618979498810562</v>
      </c>
      <c r="I13" s="5">
        <f t="shared" si="5"/>
        <v>-1.2839601991381496E-3</v>
      </c>
      <c r="J13" s="6">
        <f t="shared" si="6"/>
        <v>-0.26414083474335559</v>
      </c>
      <c r="K13" s="5">
        <f t="shared" si="1"/>
        <v>-1.6463054129685103E-3</v>
      </c>
    </row>
    <row r="14" spans="1:15">
      <c r="A14" s="1">
        <v>9</v>
      </c>
      <c r="B14">
        <f t="shared" si="2"/>
        <v>11</v>
      </c>
      <c r="C14" s="7">
        <f>Climate!K19</f>
        <v>2.0231525471596536</v>
      </c>
      <c r="D14" s="8">
        <f t="shared" si="7"/>
        <v>624</v>
      </c>
      <c r="E14">
        <f t="shared" si="0"/>
        <v>305</v>
      </c>
      <c r="F14">
        <f t="shared" si="8"/>
        <v>2.0231525471596536</v>
      </c>
      <c r="G14" s="2">
        <f t="shared" si="3"/>
        <v>0.49180327868852458</v>
      </c>
      <c r="H14" s="2">
        <f t="shared" si="4"/>
        <v>1.870094671437694</v>
      </c>
      <c r="I14" s="5">
        <f t="shared" si="5"/>
        <v>1.4542915947873994E-3</v>
      </c>
      <c r="J14" s="6">
        <f t="shared" si="6"/>
        <v>-0.2717491948794139</v>
      </c>
      <c r="K14" s="5">
        <f t="shared" si="1"/>
        <v>1.3717879485859222E-3</v>
      </c>
    </row>
    <row r="15" spans="1:15">
      <c r="A15" s="1">
        <v>10</v>
      </c>
      <c r="B15">
        <f t="shared" si="2"/>
        <v>12</v>
      </c>
      <c r="C15" s="7">
        <f>Climate!K20</f>
        <v>0.99080570399491297</v>
      </c>
      <c r="D15" s="8">
        <f t="shared" si="7"/>
        <v>655</v>
      </c>
      <c r="E15">
        <f t="shared" si="0"/>
        <v>336</v>
      </c>
      <c r="F15">
        <f t="shared" si="8"/>
        <v>0.99080570399491297</v>
      </c>
      <c r="G15" s="2">
        <f t="shared" si="3"/>
        <v>0.50819672131147542</v>
      </c>
      <c r="H15" s="2">
        <f t="shared" si="4"/>
        <v>1.8618979501432487</v>
      </c>
      <c r="I15" s="5">
        <f t="shared" si="5"/>
        <v>3.943903457375897E-4</v>
      </c>
      <c r="J15" s="6">
        <f t="shared" si="6"/>
        <v>-0.26414083470615923</v>
      </c>
      <c r="K15" s="5">
        <f t="shared" si="1"/>
        <v>3.0360217346030134E-4</v>
      </c>
    </row>
    <row r="16" spans="1:15">
      <c r="A16" s="1">
        <v>11</v>
      </c>
      <c r="B16">
        <f t="shared" si="2"/>
        <v>13</v>
      </c>
      <c r="C16" s="7">
        <f>Climate!K21</f>
        <v>0.44114151485900671</v>
      </c>
      <c r="D16" s="8">
        <f t="shared" si="7"/>
        <v>685</v>
      </c>
      <c r="E16">
        <f t="shared" si="0"/>
        <v>366</v>
      </c>
      <c r="F16">
        <f t="shared" si="8"/>
        <v>0.44114151485900671</v>
      </c>
      <c r="G16" s="2">
        <f t="shared" si="3"/>
        <v>0.49180327868852458</v>
      </c>
      <c r="H16" s="2">
        <f t="shared" si="4"/>
        <v>1.8700946714559872</v>
      </c>
      <c r="I16" s="5">
        <f t="shared" si="5"/>
        <v>4.5389241111007649E-4</v>
      </c>
      <c r="J16" s="6">
        <f t="shared" si="6"/>
        <v>-0.27174919487675564</v>
      </c>
      <c r="K16" s="5">
        <f t="shared" si="1"/>
        <v>3.4371123411601522E-4</v>
      </c>
    </row>
    <row r="17" spans="1:15">
      <c r="A17" s="1">
        <v>12</v>
      </c>
      <c r="B17">
        <f t="shared" si="2"/>
        <v>14</v>
      </c>
      <c r="C17" s="7">
        <f>Climate!K22</f>
        <v>0.20180602049198348</v>
      </c>
      <c r="D17" s="8">
        <f t="shared" si="7"/>
        <v>716</v>
      </c>
      <c r="E17">
        <f t="shared" si="0"/>
        <v>397</v>
      </c>
      <c r="F17">
        <f t="shared" si="8"/>
        <v>0.20180602049198348</v>
      </c>
      <c r="G17" s="2">
        <f t="shared" si="3"/>
        <v>0.51666666666666672</v>
      </c>
      <c r="H17" s="2">
        <f t="shared" si="4"/>
        <v>1.8595962493136762</v>
      </c>
      <c r="I17" s="5">
        <f t="shared" si="5"/>
        <v>4.5260151163646254E-4</v>
      </c>
      <c r="J17" s="6">
        <f t="shared" si="6"/>
        <v>-0.25991305021814159</v>
      </c>
      <c r="K17" s="5">
        <f t="shared" si="1"/>
        <v>4.0545171456361052E-4</v>
      </c>
      <c r="L17" s="9"/>
      <c r="M17" s="9" t="s">
        <v>75</v>
      </c>
      <c r="N17" s="9"/>
      <c r="O17" s="9"/>
    </row>
    <row r="18" spans="1:15">
      <c r="A18">
        <v>1</v>
      </c>
      <c r="B18">
        <f t="shared" si="2"/>
        <v>15</v>
      </c>
      <c r="D18" s="8">
        <f>730+INT(30.5*A18-14.6)</f>
        <v>745</v>
      </c>
      <c r="E18">
        <f t="shared" si="0"/>
        <v>426</v>
      </c>
      <c r="F18" s="1">
        <f>C6</f>
        <v>0.28999999999999998</v>
      </c>
      <c r="G18" s="2">
        <f t="shared" si="3"/>
        <v>0.48333333333333334</v>
      </c>
      <c r="H18" s="2">
        <f t="shared" si="4"/>
        <v>1.8743753590612315</v>
      </c>
      <c r="I18" s="5">
        <f t="shared" si="5"/>
        <v>2.7950903278240605E-5</v>
      </c>
      <c r="J18" s="6">
        <f t="shared" si="6"/>
        <v>-0.2756473852310114</v>
      </c>
      <c r="K18" s="5">
        <f t="shared" si="1"/>
        <v>1.8140603957084818E-4</v>
      </c>
      <c r="M18" s="3"/>
    </row>
    <row r="19" spans="1:15">
      <c r="A19">
        <v>2</v>
      </c>
      <c r="B19">
        <f t="shared" si="2"/>
        <v>16</v>
      </c>
      <c r="D19" s="8">
        <f>730+INT(30.5*A19-14.6)</f>
        <v>776</v>
      </c>
      <c r="E19">
        <f t="shared" si="0"/>
        <v>457</v>
      </c>
      <c r="F19" s="1">
        <f>C7</f>
        <v>0.46833216623671287</v>
      </c>
      <c r="G19" s="2">
        <f t="shared" si="3"/>
        <v>-7.2769953051643188E-2</v>
      </c>
      <c r="H19" s="2">
        <f t="shared" si="4"/>
        <v>2.0200588472820691</v>
      </c>
      <c r="I19" s="3">
        <f>(3/(E19-E18))*(I$2-(F19-F18))/(E19-E18)</f>
        <v>-5.5670811520305786E-4</v>
      </c>
      <c r="J19" s="4">
        <v>-0.25</v>
      </c>
      <c r="K19" s="5">
        <f t="shared" si="1"/>
        <v>-5.5670811520305786E-4</v>
      </c>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2:T627"/>
  <sheetViews>
    <sheetView workbookViewId="0">
      <selection activeCell="A69" sqref="A69"/>
    </sheetView>
  </sheetViews>
  <sheetFormatPr defaultRowHeight="12.75"/>
  <cols>
    <col min="18" max="18" width="11.28515625" bestFit="1" customWidth="1"/>
  </cols>
  <sheetData>
    <row r="2" spans="1:17">
      <c r="O2" t="s">
        <v>76</v>
      </c>
      <c r="P2" t="s">
        <v>77</v>
      </c>
    </row>
    <row r="3" spans="1:17">
      <c r="A3" t="s">
        <v>67</v>
      </c>
      <c r="B3" t="s">
        <v>78</v>
      </c>
      <c r="C3" t="s">
        <v>79</v>
      </c>
      <c r="D3" t="s">
        <v>80</v>
      </c>
      <c r="E3" t="s">
        <v>81</v>
      </c>
      <c r="F3" t="s">
        <v>82</v>
      </c>
      <c r="G3" t="s">
        <v>83</v>
      </c>
      <c r="H3" t="s">
        <v>84</v>
      </c>
      <c r="I3" t="s">
        <v>85</v>
      </c>
      <c r="J3" t="s">
        <v>86</v>
      </c>
      <c r="K3" t="s">
        <v>56</v>
      </c>
      <c r="L3" t="s">
        <v>87</v>
      </c>
      <c r="M3" t="s">
        <v>76</v>
      </c>
      <c r="N3" t="s">
        <v>77</v>
      </c>
      <c r="O3" t="s">
        <v>88</v>
      </c>
      <c r="P3" t="s">
        <v>88</v>
      </c>
      <c r="Q3" t="s">
        <v>77</v>
      </c>
    </row>
    <row r="4" spans="1:17">
      <c r="A4">
        <v>1</v>
      </c>
      <c r="B4">
        <v>1</v>
      </c>
      <c r="C4">
        <f t="shared" ref="C4:C67" si="0">E4-D4</f>
        <v>31</v>
      </c>
      <c r="D4">
        <v>1</v>
      </c>
      <c r="E4">
        <v>32</v>
      </c>
      <c r="F4">
        <f>PMSPLINE!F$4</f>
        <v>0.44114151485900671</v>
      </c>
      <c r="G4">
        <f>PMSPLINE!F$5</f>
        <v>0.20180602049198348</v>
      </c>
      <c r="H4" s="6">
        <f>PMSPLINE!K$4</f>
        <v>-9.7973097392408184E-4</v>
      </c>
      <c r="I4" s="6">
        <f>PMSPLINE!K$5</f>
        <v>9.3034332087397716E-4</v>
      </c>
      <c r="J4">
        <f t="shared" ref="J4:J67" si="1">(E4-B4)/C4</f>
        <v>1</v>
      </c>
      <c r="K4">
        <f t="shared" ref="K4:K67" si="2">(B4-D4)/C4</f>
        <v>0</v>
      </c>
      <c r="L4">
        <f t="shared" ref="L4:L67" si="3">B4-46</f>
        <v>-45</v>
      </c>
      <c r="M4" s="6">
        <f t="shared" ref="M4:M67" si="4">J4*F4+K4*G4</f>
        <v>0.44114151485900671</v>
      </c>
      <c r="N4" s="6">
        <f t="shared" ref="N4:N49" si="5">M4+(((J4^3-J4)*H4+(K4^3-K4)*I4))*(C4^2)/6</f>
        <v>0.44114151485900671</v>
      </c>
      <c r="O4" s="6">
        <f>M4</f>
        <v>0.44114151485900671</v>
      </c>
      <c r="P4" s="6">
        <f>N4</f>
        <v>0.44114151485900671</v>
      </c>
      <c r="Q4" s="6">
        <f t="shared" ref="Q4:Q67" si="6">M4+(((J4^3-J4)*H4+(K4^3-K4)*I4))*(C4^2)/6</f>
        <v>0.44114151485900671</v>
      </c>
    </row>
    <row r="5" spans="1:17">
      <c r="B5">
        <f t="shared" ref="B5:B68" si="7">B4+1</f>
        <v>2</v>
      </c>
      <c r="C5">
        <f t="shared" si="0"/>
        <v>31</v>
      </c>
      <c r="D5">
        <v>1</v>
      </c>
      <c r="E5">
        <v>32</v>
      </c>
      <c r="F5">
        <f>PMSPLINE!F$4</f>
        <v>0.44114151485900671</v>
      </c>
      <c r="G5">
        <f>PMSPLINE!F$5</f>
        <v>0.20180602049198348</v>
      </c>
      <c r="H5" s="6">
        <f>PMSPLINE!K$4</f>
        <v>-9.7973097392408184E-4</v>
      </c>
      <c r="I5" s="6">
        <f>PMSPLINE!K$5</f>
        <v>9.3034332087397716E-4</v>
      </c>
      <c r="J5">
        <f t="shared" si="1"/>
        <v>0.967741935483871</v>
      </c>
      <c r="K5">
        <f t="shared" si="2"/>
        <v>3.2258064516129031E-2</v>
      </c>
      <c r="L5">
        <f t="shared" si="3"/>
        <v>-44</v>
      </c>
      <c r="M5" s="6">
        <f t="shared" si="4"/>
        <v>0.43342101504071562</v>
      </c>
      <c r="N5" s="6">
        <f t="shared" si="5"/>
        <v>0.43825853167642559</v>
      </c>
      <c r="O5" s="6">
        <f t="shared" ref="O5:O68" si="8">O4+M5</f>
        <v>0.87456252989972239</v>
      </c>
      <c r="P5" s="6">
        <f t="shared" ref="P5:P68" si="9">P4+N5</f>
        <v>0.87940004653543236</v>
      </c>
      <c r="Q5" s="6">
        <f t="shared" si="6"/>
        <v>0.43825853167642559</v>
      </c>
    </row>
    <row r="6" spans="1:17">
      <c r="B6">
        <f t="shared" si="7"/>
        <v>3</v>
      </c>
      <c r="C6">
        <f t="shared" si="0"/>
        <v>31</v>
      </c>
      <c r="D6">
        <v>1</v>
      </c>
      <c r="E6">
        <v>32</v>
      </c>
      <c r="F6">
        <f>PMSPLINE!F$4</f>
        <v>0.44114151485900671</v>
      </c>
      <c r="G6">
        <f>PMSPLINE!F$5</f>
        <v>0.20180602049198348</v>
      </c>
      <c r="H6" s="6">
        <f>PMSPLINE!K$4</f>
        <v>-9.7973097392408184E-4</v>
      </c>
      <c r="I6" s="6">
        <f>PMSPLINE!K$5</f>
        <v>9.3034332087397716E-4</v>
      </c>
      <c r="J6">
        <f t="shared" si="1"/>
        <v>0.93548387096774188</v>
      </c>
      <c r="K6">
        <f t="shared" si="2"/>
        <v>6.4516129032258063E-2</v>
      </c>
      <c r="L6">
        <f t="shared" si="3"/>
        <v>-43</v>
      </c>
      <c r="M6" s="6">
        <f t="shared" si="4"/>
        <v>0.42570051522242458</v>
      </c>
      <c r="N6" s="6">
        <f t="shared" si="5"/>
        <v>0.43445743281975263</v>
      </c>
      <c r="O6" s="6">
        <f t="shared" si="8"/>
        <v>1.3002630451221471</v>
      </c>
      <c r="P6" s="6">
        <f t="shared" si="9"/>
        <v>1.3138574793551849</v>
      </c>
      <c r="Q6" s="6">
        <f t="shared" si="6"/>
        <v>0.43445743281975263</v>
      </c>
    </row>
    <row r="7" spans="1:17">
      <c r="B7">
        <f t="shared" si="7"/>
        <v>4</v>
      </c>
      <c r="C7">
        <f t="shared" si="0"/>
        <v>31</v>
      </c>
      <c r="D7">
        <v>1</v>
      </c>
      <c r="E7">
        <v>32</v>
      </c>
      <c r="F7">
        <f>PMSPLINE!F$4</f>
        <v>0.44114151485900671</v>
      </c>
      <c r="G7">
        <f>PMSPLINE!F$5</f>
        <v>0.20180602049198348</v>
      </c>
      <c r="H7" s="6">
        <f>PMSPLINE!K$4</f>
        <v>-9.7973097392408184E-4</v>
      </c>
      <c r="I7" s="6">
        <f>PMSPLINE!K$5</f>
        <v>9.3034332087397716E-4</v>
      </c>
      <c r="J7">
        <f t="shared" si="1"/>
        <v>0.90322580645161288</v>
      </c>
      <c r="K7">
        <f t="shared" si="2"/>
        <v>9.6774193548387094E-2</v>
      </c>
      <c r="L7">
        <f t="shared" si="3"/>
        <v>-42</v>
      </c>
      <c r="M7" s="6">
        <f t="shared" si="4"/>
        <v>0.41798001540413349</v>
      </c>
      <c r="N7" s="6">
        <f t="shared" si="5"/>
        <v>0.4297998335888199</v>
      </c>
      <c r="O7" s="6">
        <f t="shared" si="8"/>
        <v>1.7182430605262806</v>
      </c>
      <c r="P7" s="6">
        <f t="shared" si="9"/>
        <v>1.7436573129440047</v>
      </c>
      <c r="Q7" s="6">
        <f t="shared" si="6"/>
        <v>0.4297998335888199</v>
      </c>
    </row>
    <row r="8" spans="1:17">
      <c r="B8">
        <f t="shared" si="7"/>
        <v>5</v>
      </c>
      <c r="C8">
        <f t="shared" si="0"/>
        <v>31</v>
      </c>
      <c r="D8">
        <v>1</v>
      </c>
      <c r="E8">
        <v>32</v>
      </c>
      <c r="F8">
        <f>PMSPLINE!F$4</f>
        <v>0.44114151485900671</v>
      </c>
      <c r="G8">
        <f>PMSPLINE!F$5</f>
        <v>0.20180602049198348</v>
      </c>
      <c r="H8" s="6">
        <f>PMSPLINE!K$4</f>
        <v>-9.7973097392408184E-4</v>
      </c>
      <c r="I8" s="6">
        <f>PMSPLINE!K$5</f>
        <v>9.3034332087397716E-4</v>
      </c>
      <c r="J8">
        <f t="shared" si="1"/>
        <v>0.87096774193548387</v>
      </c>
      <c r="K8">
        <f t="shared" si="2"/>
        <v>0.12903225806451613</v>
      </c>
      <c r="L8">
        <f t="shared" si="3"/>
        <v>-41</v>
      </c>
      <c r="M8" s="6">
        <f t="shared" si="4"/>
        <v>0.41025951558584239</v>
      </c>
      <c r="N8" s="6">
        <f t="shared" si="5"/>
        <v>0.42434734928345968</v>
      </c>
      <c r="O8" s="6">
        <f t="shared" si="8"/>
        <v>2.128502576112123</v>
      </c>
      <c r="P8" s="6">
        <f t="shared" si="9"/>
        <v>2.1680046622274642</v>
      </c>
      <c r="Q8" s="6">
        <f t="shared" si="6"/>
        <v>0.42434734928345968</v>
      </c>
    </row>
    <row r="9" spans="1:17">
      <c r="B9">
        <f t="shared" si="7"/>
        <v>6</v>
      </c>
      <c r="C9">
        <f t="shared" si="0"/>
        <v>31</v>
      </c>
      <c r="D9">
        <v>1</v>
      </c>
      <c r="E9">
        <v>32</v>
      </c>
      <c r="F9">
        <f>PMSPLINE!F$4</f>
        <v>0.44114151485900671</v>
      </c>
      <c r="G9">
        <f>PMSPLINE!F$5</f>
        <v>0.20180602049198348</v>
      </c>
      <c r="H9" s="6">
        <f>PMSPLINE!K$4</f>
        <v>-9.7973097392408184E-4</v>
      </c>
      <c r="I9" s="6">
        <f>PMSPLINE!K$5</f>
        <v>9.3034332087397716E-4</v>
      </c>
      <c r="J9">
        <f t="shared" si="1"/>
        <v>0.83870967741935487</v>
      </c>
      <c r="K9">
        <f t="shared" si="2"/>
        <v>0.16129032258064516</v>
      </c>
      <c r="L9">
        <f t="shared" si="3"/>
        <v>-40</v>
      </c>
      <c r="M9" s="6">
        <f t="shared" si="4"/>
        <v>0.40253901576755136</v>
      </c>
      <c r="N9" s="6">
        <f t="shared" si="5"/>
        <v>0.41816159520350421</v>
      </c>
      <c r="O9" s="6">
        <f t="shared" si="8"/>
        <v>2.5310415918796743</v>
      </c>
      <c r="P9" s="6">
        <f t="shared" si="9"/>
        <v>2.5861662574309685</v>
      </c>
      <c r="Q9" s="6">
        <f t="shared" si="6"/>
        <v>0.41816159520350421</v>
      </c>
    </row>
    <row r="10" spans="1:17">
      <c r="B10">
        <f t="shared" si="7"/>
        <v>7</v>
      </c>
      <c r="C10">
        <f t="shared" si="0"/>
        <v>31</v>
      </c>
      <c r="D10">
        <v>1</v>
      </c>
      <c r="E10">
        <v>32</v>
      </c>
      <c r="F10">
        <f>PMSPLINE!F$4</f>
        <v>0.44114151485900671</v>
      </c>
      <c r="G10">
        <f>PMSPLINE!F$5</f>
        <v>0.20180602049198348</v>
      </c>
      <c r="H10" s="6">
        <f>PMSPLINE!K$4</f>
        <v>-9.7973097392408184E-4</v>
      </c>
      <c r="I10" s="6">
        <f>PMSPLINE!K$5</f>
        <v>9.3034332087397716E-4</v>
      </c>
      <c r="J10">
        <f t="shared" si="1"/>
        <v>0.80645161290322576</v>
      </c>
      <c r="K10">
        <f t="shared" si="2"/>
        <v>0.19354838709677419</v>
      </c>
      <c r="L10">
        <f t="shared" si="3"/>
        <v>-39</v>
      </c>
      <c r="M10" s="6">
        <f t="shared" si="4"/>
        <v>0.39481851594926026</v>
      </c>
      <c r="N10" s="6">
        <f t="shared" si="5"/>
        <v>0.41130418664878565</v>
      </c>
      <c r="O10" s="6">
        <f t="shared" si="8"/>
        <v>2.9258601078289344</v>
      </c>
      <c r="P10" s="6">
        <f t="shared" si="9"/>
        <v>2.9974704440797542</v>
      </c>
      <c r="Q10" s="6">
        <f t="shared" si="6"/>
        <v>0.41130418664878565</v>
      </c>
    </row>
    <row r="11" spans="1:17">
      <c r="B11">
        <f t="shared" si="7"/>
        <v>8</v>
      </c>
      <c r="C11">
        <f t="shared" si="0"/>
        <v>31</v>
      </c>
      <c r="D11">
        <v>1</v>
      </c>
      <c r="E11">
        <v>32</v>
      </c>
      <c r="F11">
        <f>PMSPLINE!F$4</f>
        <v>0.44114151485900671</v>
      </c>
      <c r="G11">
        <f>PMSPLINE!F$5</f>
        <v>0.20180602049198348</v>
      </c>
      <c r="H11" s="6">
        <f>PMSPLINE!K$4</f>
        <v>-9.7973097392408184E-4</v>
      </c>
      <c r="I11" s="6">
        <f>PMSPLINE!K$5</f>
        <v>9.3034332087397716E-4</v>
      </c>
      <c r="J11">
        <f t="shared" si="1"/>
        <v>0.77419354838709675</v>
      </c>
      <c r="K11">
        <f t="shared" si="2"/>
        <v>0.22580645161290322</v>
      </c>
      <c r="L11">
        <f t="shared" si="3"/>
        <v>-38</v>
      </c>
      <c r="M11" s="6">
        <f t="shared" si="4"/>
        <v>0.38709801613096922</v>
      </c>
      <c r="N11" s="6">
        <f t="shared" si="5"/>
        <v>0.40383673891913613</v>
      </c>
      <c r="O11" s="6">
        <f t="shared" si="8"/>
        <v>3.3129581239599037</v>
      </c>
      <c r="P11" s="6">
        <f t="shared" si="9"/>
        <v>3.4013071829988903</v>
      </c>
      <c r="Q11" s="6">
        <f t="shared" si="6"/>
        <v>0.40383673891913613</v>
      </c>
    </row>
    <row r="12" spans="1:17">
      <c r="B12">
        <f t="shared" si="7"/>
        <v>9</v>
      </c>
      <c r="C12">
        <f t="shared" si="0"/>
        <v>31</v>
      </c>
      <c r="D12">
        <v>1</v>
      </c>
      <c r="E12">
        <v>32</v>
      </c>
      <c r="F12">
        <f>PMSPLINE!F$4</f>
        <v>0.44114151485900671</v>
      </c>
      <c r="G12">
        <f>PMSPLINE!F$5</f>
        <v>0.20180602049198348</v>
      </c>
      <c r="H12" s="6">
        <f>PMSPLINE!K$4</f>
        <v>-9.7973097392408184E-4</v>
      </c>
      <c r="I12" s="6">
        <f>PMSPLINE!K$5</f>
        <v>9.3034332087397716E-4</v>
      </c>
      <c r="J12">
        <f t="shared" si="1"/>
        <v>0.74193548387096775</v>
      </c>
      <c r="K12">
        <f t="shared" si="2"/>
        <v>0.25806451612903225</v>
      </c>
      <c r="L12">
        <f t="shared" si="3"/>
        <v>-37</v>
      </c>
      <c r="M12" s="6">
        <f t="shared" si="4"/>
        <v>0.37937751631267813</v>
      </c>
      <c r="N12" s="6">
        <f t="shared" si="5"/>
        <v>0.39582086731438787</v>
      </c>
      <c r="O12" s="6">
        <f t="shared" si="8"/>
        <v>3.692335640272582</v>
      </c>
      <c r="P12" s="6">
        <f t="shared" si="9"/>
        <v>3.7971280503132783</v>
      </c>
      <c r="Q12" s="6">
        <f t="shared" si="6"/>
        <v>0.39582086731438787</v>
      </c>
    </row>
    <row r="13" spans="1:17">
      <c r="B13">
        <f t="shared" si="7"/>
        <v>10</v>
      </c>
      <c r="C13">
        <f t="shared" si="0"/>
        <v>31</v>
      </c>
      <c r="D13">
        <v>1</v>
      </c>
      <c r="E13">
        <v>32</v>
      </c>
      <c r="F13">
        <f>PMSPLINE!F$4</f>
        <v>0.44114151485900671</v>
      </c>
      <c r="G13">
        <f>PMSPLINE!F$5</f>
        <v>0.20180602049198348</v>
      </c>
      <c r="H13" s="6">
        <f>PMSPLINE!K$4</f>
        <v>-9.7973097392408184E-4</v>
      </c>
      <c r="I13" s="6">
        <f>PMSPLINE!K$5</f>
        <v>9.3034332087397716E-4</v>
      </c>
      <c r="J13">
        <f t="shared" si="1"/>
        <v>0.70967741935483875</v>
      </c>
      <c r="K13">
        <f t="shared" si="2"/>
        <v>0.29032258064516131</v>
      </c>
      <c r="L13">
        <f t="shared" si="3"/>
        <v>-36</v>
      </c>
      <c r="M13" s="6">
        <f t="shared" si="4"/>
        <v>0.37165701649438709</v>
      </c>
      <c r="N13" s="6">
        <f t="shared" si="5"/>
        <v>0.38731818713437316</v>
      </c>
      <c r="O13" s="6">
        <f t="shared" si="8"/>
        <v>4.0639926567669686</v>
      </c>
      <c r="P13" s="6">
        <f t="shared" si="9"/>
        <v>4.1844462374476512</v>
      </c>
      <c r="Q13" s="6">
        <f t="shared" si="6"/>
        <v>0.38731818713437316</v>
      </c>
    </row>
    <row r="14" spans="1:17">
      <c r="B14">
        <f t="shared" si="7"/>
        <v>11</v>
      </c>
      <c r="C14">
        <f t="shared" si="0"/>
        <v>31</v>
      </c>
      <c r="D14">
        <v>1</v>
      </c>
      <c r="E14">
        <v>32</v>
      </c>
      <c r="F14">
        <f>PMSPLINE!F$4</f>
        <v>0.44114151485900671</v>
      </c>
      <c r="G14">
        <f>PMSPLINE!F$5</f>
        <v>0.20180602049198348</v>
      </c>
      <c r="H14" s="6">
        <f>PMSPLINE!K$4</f>
        <v>-9.7973097392408184E-4</v>
      </c>
      <c r="I14" s="6">
        <f>PMSPLINE!K$5</f>
        <v>9.3034332087397716E-4</v>
      </c>
      <c r="J14">
        <f t="shared" si="1"/>
        <v>0.67741935483870963</v>
      </c>
      <c r="K14">
        <f t="shared" si="2"/>
        <v>0.32258064516129031</v>
      </c>
      <c r="L14">
        <f t="shared" si="3"/>
        <v>-35</v>
      </c>
      <c r="M14" s="6">
        <f t="shared" si="4"/>
        <v>0.363936516676096</v>
      </c>
      <c r="N14" s="6">
        <f t="shared" si="5"/>
        <v>0.37839031367892412</v>
      </c>
      <c r="O14" s="6">
        <f t="shared" si="8"/>
        <v>4.427929173443065</v>
      </c>
      <c r="P14" s="6">
        <f t="shared" si="9"/>
        <v>4.5628365511265754</v>
      </c>
      <c r="Q14" s="6">
        <f t="shared" si="6"/>
        <v>0.37839031367892412</v>
      </c>
    </row>
    <row r="15" spans="1:17">
      <c r="B15">
        <f t="shared" si="7"/>
        <v>12</v>
      </c>
      <c r="C15">
        <f t="shared" si="0"/>
        <v>31</v>
      </c>
      <c r="D15">
        <v>1</v>
      </c>
      <c r="E15">
        <v>32</v>
      </c>
      <c r="F15">
        <f>PMSPLINE!F$4</f>
        <v>0.44114151485900671</v>
      </c>
      <c r="G15">
        <f>PMSPLINE!F$5</f>
        <v>0.20180602049198348</v>
      </c>
      <c r="H15" s="6">
        <f>PMSPLINE!K$4</f>
        <v>-9.7973097392408184E-4</v>
      </c>
      <c r="I15" s="6">
        <f>PMSPLINE!K$5</f>
        <v>9.3034332087397716E-4</v>
      </c>
      <c r="J15">
        <f t="shared" si="1"/>
        <v>0.64516129032258063</v>
      </c>
      <c r="K15">
        <f t="shared" si="2"/>
        <v>0.35483870967741937</v>
      </c>
      <c r="L15">
        <f t="shared" si="3"/>
        <v>-34</v>
      </c>
      <c r="M15" s="6">
        <f t="shared" si="4"/>
        <v>0.35621601685780491</v>
      </c>
      <c r="N15" s="6">
        <f t="shared" si="5"/>
        <v>0.36909886224787292</v>
      </c>
      <c r="O15" s="6">
        <f t="shared" si="8"/>
        <v>4.7841451903008698</v>
      </c>
      <c r="P15" s="6">
        <f t="shared" si="9"/>
        <v>4.9319354133744486</v>
      </c>
      <c r="Q15" s="6">
        <f t="shared" si="6"/>
        <v>0.36909886224787292</v>
      </c>
    </row>
    <row r="16" spans="1:17">
      <c r="B16">
        <f t="shared" si="7"/>
        <v>13</v>
      </c>
      <c r="C16">
        <f t="shared" si="0"/>
        <v>31</v>
      </c>
      <c r="D16">
        <v>1</v>
      </c>
      <c r="E16">
        <v>32</v>
      </c>
      <c r="F16">
        <f>PMSPLINE!F$4</f>
        <v>0.44114151485900671</v>
      </c>
      <c r="G16">
        <f>PMSPLINE!F$5</f>
        <v>0.20180602049198348</v>
      </c>
      <c r="H16" s="6">
        <f>PMSPLINE!K$4</f>
        <v>-9.7973097392408184E-4</v>
      </c>
      <c r="I16" s="6">
        <f>PMSPLINE!K$5</f>
        <v>9.3034332087397716E-4</v>
      </c>
      <c r="J16">
        <f t="shared" si="1"/>
        <v>0.61290322580645162</v>
      </c>
      <c r="K16">
        <f t="shared" si="2"/>
        <v>0.38709677419354838</v>
      </c>
      <c r="L16">
        <f t="shared" si="3"/>
        <v>-33</v>
      </c>
      <c r="M16" s="6">
        <f t="shared" si="4"/>
        <v>0.34849551703951387</v>
      </c>
      <c r="N16" s="6">
        <f t="shared" si="5"/>
        <v>0.35950544814105184</v>
      </c>
      <c r="O16" s="6">
        <f t="shared" si="8"/>
        <v>5.1326407073403839</v>
      </c>
      <c r="P16" s="6">
        <f t="shared" si="9"/>
        <v>5.2914408615155004</v>
      </c>
      <c r="Q16" s="6">
        <f t="shared" si="6"/>
        <v>0.35950544814105184</v>
      </c>
    </row>
    <row r="17" spans="2:17">
      <c r="B17">
        <f t="shared" si="7"/>
        <v>14</v>
      </c>
      <c r="C17">
        <f t="shared" si="0"/>
        <v>31</v>
      </c>
      <c r="D17">
        <v>1</v>
      </c>
      <c r="E17">
        <v>32</v>
      </c>
      <c r="F17">
        <f>PMSPLINE!F$4</f>
        <v>0.44114151485900671</v>
      </c>
      <c r="G17">
        <f>PMSPLINE!F$5</f>
        <v>0.20180602049198348</v>
      </c>
      <c r="H17" s="6">
        <f>PMSPLINE!K$4</f>
        <v>-9.7973097392408184E-4</v>
      </c>
      <c r="I17" s="6">
        <f>PMSPLINE!K$5</f>
        <v>9.3034332087397716E-4</v>
      </c>
      <c r="J17">
        <f t="shared" si="1"/>
        <v>0.58064516129032262</v>
      </c>
      <c r="K17">
        <f t="shared" si="2"/>
        <v>0.41935483870967744</v>
      </c>
      <c r="L17">
        <f t="shared" si="3"/>
        <v>-32</v>
      </c>
      <c r="M17" s="6">
        <f t="shared" si="4"/>
        <v>0.34077501722122283</v>
      </c>
      <c r="N17" s="6">
        <f t="shared" si="5"/>
        <v>0.34967168665829301</v>
      </c>
      <c r="O17" s="6">
        <f t="shared" si="8"/>
        <v>5.4734157245616064</v>
      </c>
      <c r="P17" s="6">
        <f t="shared" si="9"/>
        <v>5.6411125481737932</v>
      </c>
      <c r="Q17" s="6">
        <f t="shared" si="6"/>
        <v>0.34967168665829301</v>
      </c>
    </row>
    <row r="18" spans="2:17">
      <c r="B18">
        <f t="shared" si="7"/>
        <v>15</v>
      </c>
      <c r="C18">
        <f t="shared" si="0"/>
        <v>31</v>
      </c>
      <c r="D18">
        <v>1</v>
      </c>
      <c r="E18">
        <v>32</v>
      </c>
      <c r="F18">
        <f>PMSPLINE!F$4</f>
        <v>0.44114151485900671</v>
      </c>
      <c r="G18">
        <f>PMSPLINE!F$5</f>
        <v>0.20180602049198348</v>
      </c>
      <c r="H18" s="6">
        <f>PMSPLINE!K$4</f>
        <v>-9.7973097392408184E-4</v>
      </c>
      <c r="I18" s="6">
        <f>PMSPLINE!K$5</f>
        <v>9.3034332087397716E-4</v>
      </c>
      <c r="J18">
        <f t="shared" si="1"/>
        <v>0.54838709677419351</v>
      </c>
      <c r="K18">
        <f t="shared" si="2"/>
        <v>0.45161290322580644</v>
      </c>
      <c r="L18">
        <f t="shared" si="3"/>
        <v>-31</v>
      </c>
      <c r="M18" s="6">
        <f t="shared" si="4"/>
        <v>0.33305451740293168</v>
      </c>
      <c r="N18" s="6">
        <f t="shared" si="5"/>
        <v>0.33965919309942855</v>
      </c>
      <c r="O18" s="6">
        <f t="shared" si="8"/>
        <v>5.8064702419645382</v>
      </c>
      <c r="P18" s="6">
        <f t="shared" si="9"/>
        <v>5.9807717412732213</v>
      </c>
      <c r="Q18" s="6">
        <f t="shared" si="6"/>
        <v>0.33965919309942855</v>
      </c>
    </row>
    <row r="19" spans="2:17">
      <c r="B19">
        <f t="shared" si="7"/>
        <v>16</v>
      </c>
      <c r="C19">
        <f t="shared" si="0"/>
        <v>31</v>
      </c>
      <c r="D19">
        <v>1</v>
      </c>
      <c r="E19">
        <v>32</v>
      </c>
      <c r="F19">
        <f>PMSPLINE!F$4</f>
        <v>0.44114151485900671</v>
      </c>
      <c r="G19">
        <f>PMSPLINE!F$5</f>
        <v>0.20180602049198348</v>
      </c>
      <c r="H19" s="6">
        <f>PMSPLINE!K$4</f>
        <v>-9.7973097392408184E-4</v>
      </c>
      <c r="I19" s="6">
        <f>PMSPLINE!K$5</f>
        <v>9.3034332087397716E-4</v>
      </c>
      <c r="J19">
        <f t="shared" si="1"/>
        <v>0.5161290322580645</v>
      </c>
      <c r="K19">
        <f t="shared" si="2"/>
        <v>0.4838709677419355</v>
      </c>
      <c r="L19">
        <f t="shared" si="3"/>
        <v>-30</v>
      </c>
      <c r="M19" s="6">
        <f t="shared" si="4"/>
        <v>0.32533401758464064</v>
      </c>
      <c r="N19" s="6">
        <f t="shared" si="5"/>
        <v>0.32952958276429084</v>
      </c>
      <c r="O19" s="6">
        <f t="shared" si="8"/>
        <v>6.1318042595491793</v>
      </c>
      <c r="P19" s="6">
        <f t="shared" si="9"/>
        <v>6.3103013240375123</v>
      </c>
      <c r="Q19" s="6">
        <f t="shared" si="6"/>
        <v>0.32952958276429084</v>
      </c>
    </row>
    <row r="20" spans="2:17">
      <c r="B20">
        <f t="shared" si="7"/>
        <v>17</v>
      </c>
      <c r="C20">
        <f t="shared" si="0"/>
        <v>31</v>
      </c>
      <c r="D20">
        <v>1</v>
      </c>
      <c r="E20">
        <v>32</v>
      </c>
      <c r="F20">
        <f>PMSPLINE!F$4</f>
        <v>0.44114151485900671</v>
      </c>
      <c r="G20">
        <f>PMSPLINE!F$5</f>
        <v>0.20180602049198348</v>
      </c>
      <c r="H20" s="6">
        <f>PMSPLINE!K$4</f>
        <v>-9.7973097392408184E-4</v>
      </c>
      <c r="I20" s="6">
        <f>PMSPLINE!K$5</f>
        <v>9.3034332087397716E-4</v>
      </c>
      <c r="J20">
        <f t="shared" si="1"/>
        <v>0.4838709677419355</v>
      </c>
      <c r="K20">
        <f t="shared" si="2"/>
        <v>0.5161290322580645</v>
      </c>
      <c r="L20">
        <f t="shared" si="3"/>
        <v>-29</v>
      </c>
      <c r="M20" s="6">
        <f t="shared" si="4"/>
        <v>0.31761351776634955</v>
      </c>
      <c r="N20" s="6">
        <f t="shared" si="5"/>
        <v>0.3193444709527119</v>
      </c>
      <c r="O20" s="6">
        <f t="shared" si="8"/>
        <v>6.4494177773155288</v>
      </c>
      <c r="P20" s="6">
        <f t="shared" si="9"/>
        <v>6.6296457949902239</v>
      </c>
      <c r="Q20" s="6">
        <f t="shared" si="6"/>
        <v>0.3193444709527119</v>
      </c>
    </row>
    <row r="21" spans="2:17">
      <c r="B21">
        <f t="shared" si="7"/>
        <v>18</v>
      </c>
      <c r="C21">
        <f t="shared" si="0"/>
        <v>31</v>
      </c>
      <c r="D21">
        <v>1</v>
      </c>
      <c r="E21">
        <v>32</v>
      </c>
      <c r="F21">
        <f>PMSPLINE!F$4</f>
        <v>0.44114151485900671</v>
      </c>
      <c r="G21">
        <f>PMSPLINE!F$5</f>
        <v>0.20180602049198348</v>
      </c>
      <c r="H21" s="6">
        <f>PMSPLINE!K$4</f>
        <v>-9.7973097392408184E-4</v>
      </c>
      <c r="I21" s="6">
        <f>PMSPLINE!K$5</f>
        <v>9.3034332087397716E-4</v>
      </c>
      <c r="J21">
        <f t="shared" si="1"/>
        <v>0.45161290322580644</v>
      </c>
      <c r="K21">
        <f t="shared" si="2"/>
        <v>0.54838709677419351</v>
      </c>
      <c r="L21">
        <f t="shared" si="3"/>
        <v>-28</v>
      </c>
      <c r="M21" s="6">
        <f t="shared" si="4"/>
        <v>0.30989301794805846</v>
      </c>
      <c r="N21" s="6">
        <f t="shared" si="5"/>
        <v>0.30916547296452407</v>
      </c>
      <c r="O21" s="6">
        <f t="shared" si="8"/>
        <v>6.7593107952635876</v>
      </c>
      <c r="P21" s="6">
        <f t="shared" si="9"/>
        <v>6.9388112679547476</v>
      </c>
      <c r="Q21" s="6">
        <f t="shared" si="6"/>
        <v>0.30916547296452407</v>
      </c>
    </row>
    <row r="22" spans="2:17">
      <c r="B22">
        <f t="shared" si="7"/>
        <v>19</v>
      </c>
      <c r="C22">
        <f t="shared" si="0"/>
        <v>31</v>
      </c>
      <c r="D22">
        <v>1</v>
      </c>
      <c r="E22">
        <v>32</v>
      </c>
      <c r="F22">
        <f>PMSPLINE!F$4</f>
        <v>0.44114151485900671</v>
      </c>
      <c r="G22">
        <f>PMSPLINE!F$5</f>
        <v>0.20180602049198348</v>
      </c>
      <c r="H22" s="6">
        <f>PMSPLINE!K$4</f>
        <v>-9.7973097392408184E-4</v>
      </c>
      <c r="I22" s="6">
        <f>PMSPLINE!K$5</f>
        <v>9.3034332087397716E-4</v>
      </c>
      <c r="J22">
        <f t="shared" si="1"/>
        <v>0.41935483870967744</v>
      </c>
      <c r="K22">
        <f t="shared" si="2"/>
        <v>0.58064516129032262</v>
      </c>
      <c r="L22">
        <f t="shared" si="3"/>
        <v>-27</v>
      </c>
      <c r="M22" s="6">
        <f t="shared" si="4"/>
        <v>0.30217251812976742</v>
      </c>
      <c r="N22" s="6">
        <f t="shared" si="5"/>
        <v>0.29905420409955952</v>
      </c>
      <c r="O22" s="6">
        <f t="shared" si="8"/>
        <v>7.0614833133933548</v>
      </c>
      <c r="P22" s="6">
        <f t="shared" si="9"/>
        <v>7.237865472054307</v>
      </c>
      <c r="Q22" s="6">
        <f t="shared" si="6"/>
        <v>0.29905420409955952</v>
      </c>
    </row>
    <row r="23" spans="2:17">
      <c r="B23">
        <f t="shared" si="7"/>
        <v>20</v>
      </c>
      <c r="C23">
        <f t="shared" si="0"/>
        <v>31</v>
      </c>
      <c r="D23">
        <v>1</v>
      </c>
      <c r="E23">
        <v>32</v>
      </c>
      <c r="F23">
        <f>PMSPLINE!F$4</f>
        <v>0.44114151485900671</v>
      </c>
      <c r="G23">
        <f>PMSPLINE!F$5</f>
        <v>0.20180602049198348</v>
      </c>
      <c r="H23" s="6">
        <f>PMSPLINE!K$4</f>
        <v>-9.7973097392408184E-4</v>
      </c>
      <c r="I23" s="6">
        <f>PMSPLINE!K$5</f>
        <v>9.3034332087397716E-4</v>
      </c>
      <c r="J23">
        <f t="shared" si="1"/>
        <v>0.38709677419354838</v>
      </c>
      <c r="K23">
        <f t="shared" si="2"/>
        <v>0.61290322580645162</v>
      </c>
      <c r="L23">
        <f t="shared" si="3"/>
        <v>-26</v>
      </c>
      <c r="M23" s="6">
        <f t="shared" si="4"/>
        <v>0.29445201831147638</v>
      </c>
      <c r="N23" s="6">
        <f t="shared" si="5"/>
        <v>0.28907227965765037</v>
      </c>
      <c r="O23" s="6">
        <f t="shared" si="8"/>
        <v>7.3559353317048313</v>
      </c>
      <c r="P23" s="6">
        <f t="shared" si="9"/>
        <v>7.5269377517119569</v>
      </c>
      <c r="Q23" s="6">
        <f t="shared" si="6"/>
        <v>0.28907227965765037</v>
      </c>
    </row>
    <row r="24" spans="2:17">
      <c r="B24">
        <f t="shared" si="7"/>
        <v>21</v>
      </c>
      <c r="C24">
        <f t="shared" si="0"/>
        <v>31</v>
      </c>
      <c r="D24">
        <v>1</v>
      </c>
      <c r="E24">
        <v>32</v>
      </c>
      <c r="F24">
        <f>PMSPLINE!F$4</f>
        <v>0.44114151485900671</v>
      </c>
      <c r="G24">
        <f>PMSPLINE!F$5</f>
        <v>0.20180602049198348</v>
      </c>
      <c r="H24" s="6">
        <f>PMSPLINE!K$4</f>
        <v>-9.7973097392408184E-4</v>
      </c>
      <c r="I24" s="6">
        <f>PMSPLINE!K$5</f>
        <v>9.3034332087397716E-4</v>
      </c>
      <c r="J24">
        <f t="shared" si="1"/>
        <v>0.35483870967741937</v>
      </c>
      <c r="K24">
        <f t="shared" si="2"/>
        <v>0.64516129032258063</v>
      </c>
      <c r="L24">
        <f t="shared" si="3"/>
        <v>-25</v>
      </c>
      <c r="M24" s="6">
        <f t="shared" si="4"/>
        <v>0.28673151849318523</v>
      </c>
      <c r="N24" s="6">
        <f t="shared" si="5"/>
        <v>0.27928131493862873</v>
      </c>
      <c r="O24" s="6">
        <f t="shared" si="8"/>
        <v>7.6426668501980162</v>
      </c>
      <c r="P24" s="6">
        <f t="shared" si="9"/>
        <v>7.806219066650586</v>
      </c>
      <c r="Q24" s="6">
        <f t="shared" si="6"/>
        <v>0.27928131493862873</v>
      </c>
    </row>
    <row r="25" spans="2:17">
      <c r="B25">
        <f t="shared" si="7"/>
        <v>22</v>
      </c>
      <c r="C25">
        <f t="shared" si="0"/>
        <v>31</v>
      </c>
      <c r="D25">
        <v>1</v>
      </c>
      <c r="E25">
        <v>32</v>
      </c>
      <c r="F25">
        <f>PMSPLINE!F$4</f>
        <v>0.44114151485900671</v>
      </c>
      <c r="G25">
        <f>PMSPLINE!F$5</f>
        <v>0.20180602049198348</v>
      </c>
      <c r="H25" s="6">
        <f>PMSPLINE!K$4</f>
        <v>-9.7973097392408184E-4</v>
      </c>
      <c r="I25" s="6">
        <f>PMSPLINE!K$5</f>
        <v>9.3034332087397716E-4</v>
      </c>
      <c r="J25">
        <f t="shared" si="1"/>
        <v>0.32258064516129031</v>
      </c>
      <c r="K25">
        <f t="shared" si="2"/>
        <v>0.67741935483870963</v>
      </c>
      <c r="L25">
        <f t="shared" si="3"/>
        <v>-24</v>
      </c>
      <c r="M25" s="6">
        <f t="shared" si="4"/>
        <v>0.2790110186748942</v>
      </c>
      <c r="N25" s="6">
        <f t="shared" si="5"/>
        <v>0.26974292524232707</v>
      </c>
      <c r="O25" s="6">
        <f t="shared" si="8"/>
        <v>7.9216778688729104</v>
      </c>
      <c r="P25" s="6">
        <f t="shared" si="9"/>
        <v>8.0759619918929122</v>
      </c>
      <c r="Q25" s="6">
        <f t="shared" si="6"/>
        <v>0.26974292524232707</v>
      </c>
    </row>
    <row r="26" spans="2:17">
      <c r="B26">
        <f t="shared" si="7"/>
        <v>23</v>
      </c>
      <c r="C26">
        <f t="shared" si="0"/>
        <v>31</v>
      </c>
      <c r="D26">
        <v>1</v>
      </c>
      <c r="E26">
        <v>32</v>
      </c>
      <c r="F26">
        <f>PMSPLINE!F$4</f>
        <v>0.44114151485900671</v>
      </c>
      <c r="G26">
        <f>PMSPLINE!F$5</f>
        <v>0.20180602049198348</v>
      </c>
      <c r="H26" s="6">
        <f>PMSPLINE!K$4</f>
        <v>-9.7973097392408184E-4</v>
      </c>
      <c r="I26" s="6">
        <f>PMSPLINE!K$5</f>
        <v>9.3034332087397716E-4</v>
      </c>
      <c r="J26">
        <f t="shared" si="1"/>
        <v>0.29032258064516131</v>
      </c>
      <c r="K26">
        <f t="shared" si="2"/>
        <v>0.70967741935483875</v>
      </c>
      <c r="L26">
        <f t="shared" si="3"/>
        <v>-23</v>
      </c>
      <c r="M26" s="6">
        <f t="shared" si="4"/>
        <v>0.27129051885660316</v>
      </c>
      <c r="N26" s="6">
        <f t="shared" si="5"/>
        <v>0.26051872586857744</v>
      </c>
      <c r="O26" s="6">
        <f t="shared" si="8"/>
        <v>8.192968387729513</v>
      </c>
      <c r="P26" s="6">
        <f t="shared" si="9"/>
        <v>8.3364807177614892</v>
      </c>
      <c r="Q26" s="6">
        <f t="shared" si="6"/>
        <v>0.26051872586857744</v>
      </c>
    </row>
    <row r="27" spans="2:17">
      <c r="B27">
        <f t="shared" si="7"/>
        <v>24</v>
      </c>
      <c r="C27">
        <f t="shared" si="0"/>
        <v>31</v>
      </c>
      <c r="D27">
        <v>1</v>
      </c>
      <c r="E27">
        <v>32</v>
      </c>
      <c r="F27">
        <f>PMSPLINE!F$4</f>
        <v>0.44114151485900671</v>
      </c>
      <c r="G27">
        <f>PMSPLINE!F$5</f>
        <v>0.20180602049198348</v>
      </c>
      <c r="H27" s="6">
        <f>PMSPLINE!K$4</f>
        <v>-9.7973097392408184E-4</v>
      </c>
      <c r="I27" s="6">
        <f>PMSPLINE!K$5</f>
        <v>9.3034332087397716E-4</v>
      </c>
      <c r="J27">
        <f t="shared" si="1"/>
        <v>0.25806451612903225</v>
      </c>
      <c r="K27">
        <f t="shared" si="2"/>
        <v>0.74193548387096775</v>
      </c>
      <c r="L27">
        <f t="shared" si="3"/>
        <v>-22</v>
      </c>
      <c r="M27" s="6">
        <f t="shared" si="4"/>
        <v>0.26357001903831206</v>
      </c>
      <c r="N27" s="6">
        <f t="shared" si="5"/>
        <v>0.2516703321172119</v>
      </c>
      <c r="O27" s="6">
        <f t="shared" si="8"/>
        <v>8.4565384067678249</v>
      </c>
      <c r="P27" s="6">
        <f t="shared" si="9"/>
        <v>8.5881510498787019</v>
      </c>
      <c r="Q27" s="6">
        <f t="shared" si="6"/>
        <v>0.2516703321172119</v>
      </c>
    </row>
    <row r="28" spans="2:17">
      <c r="B28">
        <f t="shared" si="7"/>
        <v>25</v>
      </c>
      <c r="C28">
        <f t="shared" si="0"/>
        <v>31</v>
      </c>
      <c r="D28">
        <v>1</v>
      </c>
      <c r="E28">
        <v>32</v>
      </c>
      <c r="F28">
        <f>PMSPLINE!F$4</f>
        <v>0.44114151485900671</v>
      </c>
      <c r="G28">
        <f>PMSPLINE!F$5</f>
        <v>0.20180602049198348</v>
      </c>
      <c r="H28" s="6">
        <f>PMSPLINE!K$4</f>
        <v>-9.7973097392408184E-4</v>
      </c>
      <c r="I28" s="6">
        <f>PMSPLINE!K$5</f>
        <v>9.3034332087397716E-4</v>
      </c>
      <c r="J28">
        <f t="shared" si="1"/>
        <v>0.22580645161290322</v>
      </c>
      <c r="K28">
        <f t="shared" si="2"/>
        <v>0.77419354838709675</v>
      </c>
      <c r="L28">
        <f t="shared" si="3"/>
        <v>-21</v>
      </c>
      <c r="M28" s="6">
        <f t="shared" si="4"/>
        <v>0.25584951922002097</v>
      </c>
      <c r="N28" s="6">
        <f t="shared" si="5"/>
        <v>0.24325935928806286</v>
      </c>
      <c r="O28" s="6">
        <f t="shared" si="8"/>
        <v>8.7123879259878461</v>
      </c>
      <c r="P28" s="6">
        <f t="shared" si="9"/>
        <v>8.8314104091667645</v>
      </c>
      <c r="Q28" s="6">
        <f t="shared" si="6"/>
        <v>0.24325935928806286</v>
      </c>
    </row>
    <row r="29" spans="2:17">
      <c r="B29">
        <f t="shared" si="7"/>
        <v>26</v>
      </c>
      <c r="C29">
        <f t="shared" si="0"/>
        <v>31</v>
      </c>
      <c r="D29">
        <v>1</v>
      </c>
      <c r="E29">
        <v>32</v>
      </c>
      <c r="F29">
        <f>PMSPLINE!F$4</f>
        <v>0.44114151485900671</v>
      </c>
      <c r="G29">
        <f>PMSPLINE!F$5</f>
        <v>0.20180602049198348</v>
      </c>
      <c r="H29" s="6">
        <f>PMSPLINE!K$4</f>
        <v>-9.7973097392408184E-4</v>
      </c>
      <c r="I29" s="6">
        <f>PMSPLINE!K$5</f>
        <v>9.3034332087397716E-4</v>
      </c>
      <c r="J29">
        <f t="shared" si="1"/>
        <v>0.19354838709677419</v>
      </c>
      <c r="K29">
        <f t="shared" si="2"/>
        <v>0.80645161290322576</v>
      </c>
      <c r="L29">
        <f t="shared" si="3"/>
        <v>-20</v>
      </c>
      <c r="M29" s="6">
        <f t="shared" si="4"/>
        <v>0.24812901940172991</v>
      </c>
      <c r="N29" s="6">
        <f t="shared" si="5"/>
        <v>0.2353474226809624</v>
      </c>
      <c r="O29" s="6">
        <f t="shared" si="8"/>
        <v>8.9605169453895765</v>
      </c>
      <c r="P29" s="6">
        <f t="shared" si="9"/>
        <v>9.0667578318477275</v>
      </c>
      <c r="Q29" s="6">
        <f t="shared" si="6"/>
        <v>0.2353474226809624</v>
      </c>
    </row>
    <row r="30" spans="2:17">
      <c r="B30">
        <f t="shared" si="7"/>
        <v>27</v>
      </c>
      <c r="C30">
        <f t="shared" si="0"/>
        <v>31</v>
      </c>
      <c r="D30">
        <v>1</v>
      </c>
      <c r="E30">
        <v>32</v>
      </c>
      <c r="F30">
        <f>PMSPLINE!F$4</f>
        <v>0.44114151485900671</v>
      </c>
      <c r="G30">
        <f>PMSPLINE!F$5</f>
        <v>0.20180602049198348</v>
      </c>
      <c r="H30" s="6">
        <f>PMSPLINE!K$4</f>
        <v>-9.7973097392408184E-4</v>
      </c>
      <c r="I30" s="6">
        <f>PMSPLINE!K$5</f>
        <v>9.3034332087397716E-4</v>
      </c>
      <c r="J30">
        <f t="shared" si="1"/>
        <v>0.16129032258064516</v>
      </c>
      <c r="K30">
        <f t="shared" si="2"/>
        <v>0.83870967741935487</v>
      </c>
      <c r="L30">
        <f t="shared" si="3"/>
        <v>-19</v>
      </c>
      <c r="M30" s="6">
        <f t="shared" si="4"/>
        <v>0.24040851958343884</v>
      </c>
      <c r="N30" s="6">
        <f t="shared" si="5"/>
        <v>0.22799613759574278</v>
      </c>
      <c r="O30" s="6">
        <f t="shared" si="8"/>
        <v>9.2009254649730146</v>
      </c>
      <c r="P30" s="6">
        <f t="shared" si="9"/>
        <v>9.2947539694434695</v>
      </c>
      <c r="Q30" s="6">
        <f t="shared" si="6"/>
        <v>0.22799613759574278</v>
      </c>
    </row>
    <row r="31" spans="2:17">
      <c r="B31">
        <f t="shared" si="7"/>
        <v>28</v>
      </c>
      <c r="C31">
        <f t="shared" si="0"/>
        <v>31</v>
      </c>
      <c r="D31">
        <v>1</v>
      </c>
      <c r="E31">
        <v>32</v>
      </c>
      <c r="F31">
        <f>PMSPLINE!F$4</f>
        <v>0.44114151485900671</v>
      </c>
      <c r="G31">
        <f>PMSPLINE!F$5</f>
        <v>0.20180602049198348</v>
      </c>
      <c r="H31" s="6">
        <f>PMSPLINE!K$4</f>
        <v>-9.7973097392408184E-4</v>
      </c>
      <c r="I31" s="6">
        <f>PMSPLINE!K$5</f>
        <v>9.3034332087397716E-4</v>
      </c>
      <c r="J31">
        <f t="shared" si="1"/>
        <v>0.12903225806451613</v>
      </c>
      <c r="K31">
        <f t="shared" si="2"/>
        <v>0.87096774193548387</v>
      </c>
      <c r="L31">
        <f t="shared" si="3"/>
        <v>-18</v>
      </c>
      <c r="M31" s="6">
        <f t="shared" si="4"/>
        <v>0.23268801976514777</v>
      </c>
      <c r="N31" s="6">
        <f t="shared" si="5"/>
        <v>0.22126711933223614</v>
      </c>
      <c r="O31" s="6">
        <f t="shared" si="8"/>
        <v>9.4336134847381619</v>
      </c>
      <c r="P31" s="6">
        <f t="shared" si="9"/>
        <v>9.5160210887757053</v>
      </c>
      <c r="Q31" s="6">
        <f t="shared" si="6"/>
        <v>0.22126711933223614</v>
      </c>
    </row>
    <row r="32" spans="2:17">
      <c r="B32">
        <f t="shared" si="7"/>
        <v>29</v>
      </c>
      <c r="C32">
        <f t="shared" si="0"/>
        <v>31</v>
      </c>
      <c r="D32">
        <v>1</v>
      </c>
      <c r="E32">
        <v>32</v>
      </c>
      <c r="F32">
        <f>PMSPLINE!F$4</f>
        <v>0.44114151485900671</v>
      </c>
      <c r="G32">
        <f>PMSPLINE!F$5</f>
        <v>0.20180602049198348</v>
      </c>
      <c r="H32" s="6">
        <f>PMSPLINE!K$4</f>
        <v>-9.7973097392408184E-4</v>
      </c>
      <c r="I32" s="6">
        <f>PMSPLINE!K$5</f>
        <v>9.3034332087397716E-4</v>
      </c>
      <c r="J32">
        <f t="shared" si="1"/>
        <v>9.6774193548387094E-2</v>
      </c>
      <c r="K32">
        <f t="shared" si="2"/>
        <v>0.90322580645161288</v>
      </c>
      <c r="L32">
        <f t="shared" si="3"/>
        <v>-17</v>
      </c>
      <c r="M32" s="6">
        <f t="shared" si="4"/>
        <v>0.22496751994685671</v>
      </c>
      <c r="N32" s="6">
        <f t="shared" si="5"/>
        <v>0.21522198319027469</v>
      </c>
      <c r="O32" s="6">
        <f t="shared" si="8"/>
        <v>9.6585810046850185</v>
      </c>
      <c r="P32" s="6">
        <f t="shared" si="9"/>
        <v>9.7312430719659808</v>
      </c>
      <c r="Q32" s="6">
        <f t="shared" si="6"/>
        <v>0.21522198319027469</v>
      </c>
    </row>
    <row r="33" spans="1:17">
      <c r="B33">
        <f t="shared" si="7"/>
        <v>30</v>
      </c>
      <c r="C33">
        <f t="shared" si="0"/>
        <v>31</v>
      </c>
      <c r="D33">
        <v>1</v>
      </c>
      <c r="E33">
        <v>32</v>
      </c>
      <c r="F33">
        <f>PMSPLINE!F$4</f>
        <v>0.44114151485900671</v>
      </c>
      <c r="G33">
        <f>PMSPLINE!F$5</f>
        <v>0.20180602049198348</v>
      </c>
      <c r="H33" s="6">
        <f>PMSPLINE!K$4</f>
        <v>-9.7973097392408184E-4</v>
      </c>
      <c r="I33" s="6">
        <f>PMSPLINE!K$5</f>
        <v>9.3034332087397716E-4</v>
      </c>
      <c r="J33">
        <f t="shared" si="1"/>
        <v>6.4516129032258063E-2</v>
      </c>
      <c r="K33">
        <f t="shared" si="2"/>
        <v>0.93548387096774188</v>
      </c>
      <c r="L33">
        <f t="shared" si="3"/>
        <v>-16</v>
      </c>
      <c r="M33" s="6">
        <f t="shared" si="4"/>
        <v>0.21724702012856562</v>
      </c>
      <c r="N33" s="6">
        <f t="shared" si="5"/>
        <v>0.2099223444696906</v>
      </c>
      <c r="O33" s="6">
        <f t="shared" si="8"/>
        <v>9.8758280248135843</v>
      </c>
      <c r="P33" s="6">
        <f t="shared" si="9"/>
        <v>9.9411654164356715</v>
      </c>
      <c r="Q33" s="6">
        <f t="shared" si="6"/>
        <v>0.2099223444696906</v>
      </c>
    </row>
    <row r="34" spans="1:17">
      <c r="B34">
        <f t="shared" si="7"/>
        <v>31</v>
      </c>
      <c r="C34">
        <f t="shared" si="0"/>
        <v>31</v>
      </c>
      <c r="D34">
        <v>1</v>
      </c>
      <c r="E34">
        <v>32</v>
      </c>
      <c r="F34">
        <f>PMSPLINE!F$4</f>
        <v>0.44114151485900671</v>
      </c>
      <c r="G34">
        <f>PMSPLINE!F$5</f>
        <v>0.20180602049198348</v>
      </c>
      <c r="H34" s="6">
        <f>PMSPLINE!K$4</f>
        <v>-9.7973097392408184E-4</v>
      </c>
      <c r="I34" s="6">
        <f>PMSPLINE!K$5</f>
        <v>9.3034332087397716E-4</v>
      </c>
      <c r="J34">
        <f t="shared" si="1"/>
        <v>3.2258064516129031E-2</v>
      </c>
      <c r="K34">
        <f t="shared" si="2"/>
        <v>0.967741935483871</v>
      </c>
      <c r="L34">
        <f t="shared" si="3"/>
        <v>-15</v>
      </c>
      <c r="M34" s="6">
        <f t="shared" si="4"/>
        <v>0.20952652031027458</v>
      </c>
      <c r="N34" s="6">
        <f t="shared" si="5"/>
        <v>0.20542981847031619</v>
      </c>
      <c r="O34" s="6">
        <f t="shared" si="8"/>
        <v>10.08535454512386</v>
      </c>
      <c r="P34" s="6">
        <f t="shared" si="9"/>
        <v>10.146595234905988</v>
      </c>
      <c r="Q34" s="6">
        <f t="shared" si="6"/>
        <v>0.20542981847031619</v>
      </c>
    </row>
    <row r="35" spans="1:17">
      <c r="A35">
        <v>32</v>
      </c>
      <c r="B35">
        <f t="shared" si="7"/>
        <v>32</v>
      </c>
      <c r="C35">
        <f t="shared" si="0"/>
        <v>31</v>
      </c>
      <c r="D35">
        <v>1</v>
      </c>
      <c r="E35">
        <v>32</v>
      </c>
      <c r="F35">
        <f>PMSPLINE!F$4</f>
        <v>0.44114151485900671</v>
      </c>
      <c r="G35">
        <f>PMSPLINE!F$5</f>
        <v>0.20180602049198348</v>
      </c>
      <c r="H35" s="6">
        <f>PMSPLINE!K$4</f>
        <v>-9.7973097392408184E-4</v>
      </c>
      <c r="I35" s="6">
        <f>PMSPLINE!K$5</f>
        <v>9.3034332087397716E-4</v>
      </c>
      <c r="J35">
        <f t="shared" si="1"/>
        <v>0</v>
      </c>
      <c r="K35">
        <f t="shared" si="2"/>
        <v>1</v>
      </c>
      <c r="L35">
        <f t="shared" si="3"/>
        <v>-14</v>
      </c>
      <c r="M35" s="6">
        <f t="shared" si="4"/>
        <v>0.20180602049198348</v>
      </c>
      <c r="N35" s="6">
        <f t="shared" si="5"/>
        <v>0.20180602049198348</v>
      </c>
      <c r="O35" s="6">
        <f t="shared" si="8"/>
        <v>10.287160565615842</v>
      </c>
      <c r="P35" s="6">
        <f t="shared" si="9"/>
        <v>10.34840125539797</v>
      </c>
      <c r="Q35" s="6">
        <f t="shared" si="6"/>
        <v>0.20180602049198348</v>
      </c>
    </row>
    <row r="36" spans="1:17">
      <c r="B36">
        <f t="shared" si="7"/>
        <v>33</v>
      </c>
      <c r="C36">
        <f t="shared" si="0"/>
        <v>29</v>
      </c>
      <c r="D36">
        <v>32</v>
      </c>
      <c r="E36">
        <v>61</v>
      </c>
      <c r="F36">
        <f>PMSPLINE!F$5</f>
        <v>0.20180602049198348</v>
      </c>
      <c r="G36">
        <f>PMSPLINE!F$6</f>
        <v>0.28999999999999998</v>
      </c>
      <c r="H36" s="6">
        <f>PMSPLINE!K$5</f>
        <v>9.3034332087397716E-4</v>
      </c>
      <c r="I36" s="6">
        <f>PMSPLINE!K$6</f>
        <v>-5.7584514346366886E-4</v>
      </c>
      <c r="J36">
        <f t="shared" si="1"/>
        <v>0.96551724137931039</v>
      </c>
      <c r="K36">
        <f t="shared" si="2"/>
        <v>3.4482758620689655E-2</v>
      </c>
      <c r="L36">
        <f t="shared" si="3"/>
        <v>-13</v>
      </c>
      <c r="M36" s="6">
        <f t="shared" si="4"/>
        <v>0.20484719219915648</v>
      </c>
      <c r="N36" s="6">
        <f t="shared" si="5"/>
        <v>0.19909364036234395</v>
      </c>
      <c r="O36" s="6">
        <f t="shared" si="8"/>
        <v>10.492007757814999</v>
      </c>
      <c r="P36" s="6">
        <f t="shared" si="9"/>
        <v>10.547494895760314</v>
      </c>
      <c r="Q36" s="6">
        <f t="shared" si="6"/>
        <v>0.19909364036234395</v>
      </c>
    </row>
    <row r="37" spans="1:17">
      <c r="B37">
        <f t="shared" si="7"/>
        <v>34</v>
      </c>
      <c r="C37">
        <f t="shared" si="0"/>
        <v>29</v>
      </c>
      <c r="D37">
        <v>32</v>
      </c>
      <c r="E37">
        <v>61</v>
      </c>
      <c r="F37">
        <f>PMSPLINE!F$5</f>
        <v>0.20180602049198348</v>
      </c>
      <c r="G37">
        <f>PMSPLINE!F$6</f>
        <v>0.28999999999999998</v>
      </c>
      <c r="H37" s="6">
        <f>PMSPLINE!K$5</f>
        <v>9.3034332087397716E-4</v>
      </c>
      <c r="I37" s="6">
        <f>PMSPLINE!K$6</f>
        <v>-5.7584514346366886E-4</v>
      </c>
      <c r="J37">
        <f t="shared" si="1"/>
        <v>0.93103448275862066</v>
      </c>
      <c r="K37">
        <f t="shared" si="2"/>
        <v>6.8965517241379309E-2</v>
      </c>
      <c r="L37">
        <f t="shared" si="3"/>
        <v>-12</v>
      </c>
      <c r="M37" s="6">
        <f t="shared" si="4"/>
        <v>0.20788836390632945</v>
      </c>
      <c r="N37" s="6">
        <f t="shared" si="5"/>
        <v>0.19725966602032527</v>
      </c>
      <c r="O37" s="6">
        <f t="shared" si="8"/>
        <v>10.699896121721329</v>
      </c>
      <c r="P37" s="6">
        <f t="shared" si="9"/>
        <v>10.74475456178064</v>
      </c>
      <c r="Q37" s="6">
        <f t="shared" si="6"/>
        <v>0.19725966602032527</v>
      </c>
    </row>
    <row r="38" spans="1:17">
      <c r="B38">
        <f t="shared" si="7"/>
        <v>35</v>
      </c>
      <c r="C38">
        <f t="shared" si="0"/>
        <v>29</v>
      </c>
      <c r="D38">
        <v>32</v>
      </c>
      <c r="E38">
        <v>61</v>
      </c>
      <c r="F38">
        <f>PMSPLINE!F$5</f>
        <v>0.20180602049198348</v>
      </c>
      <c r="G38">
        <f>PMSPLINE!F$6</f>
        <v>0.28999999999999998</v>
      </c>
      <c r="H38" s="6">
        <f>PMSPLINE!K$5</f>
        <v>9.3034332087397716E-4</v>
      </c>
      <c r="I38" s="6">
        <f>PMSPLINE!K$6</f>
        <v>-5.7584514346366886E-4</v>
      </c>
      <c r="J38">
        <f t="shared" si="1"/>
        <v>0.89655172413793105</v>
      </c>
      <c r="K38">
        <f t="shared" si="2"/>
        <v>0.10344827586206896</v>
      </c>
      <c r="L38">
        <f t="shared" si="3"/>
        <v>-11</v>
      </c>
      <c r="M38" s="6">
        <f t="shared" si="4"/>
        <v>0.21092953561350244</v>
      </c>
      <c r="N38" s="6">
        <f t="shared" si="5"/>
        <v>0.19625215993267461</v>
      </c>
      <c r="O38" s="6">
        <f t="shared" si="8"/>
        <v>10.910825657334831</v>
      </c>
      <c r="P38" s="6">
        <f t="shared" si="9"/>
        <v>10.941006721713315</v>
      </c>
      <c r="Q38" s="6">
        <f t="shared" si="6"/>
        <v>0.19625215993267461</v>
      </c>
    </row>
    <row r="39" spans="1:17">
      <c r="B39">
        <f t="shared" si="7"/>
        <v>36</v>
      </c>
      <c r="C39">
        <f t="shared" si="0"/>
        <v>29</v>
      </c>
      <c r="D39">
        <v>32</v>
      </c>
      <c r="E39">
        <v>61</v>
      </c>
      <c r="F39">
        <f>PMSPLINE!F$5</f>
        <v>0.20180602049198348</v>
      </c>
      <c r="G39">
        <f>PMSPLINE!F$6</f>
        <v>0.28999999999999998</v>
      </c>
      <c r="H39" s="6">
        <f>PMSPLINE!K$5</f>
        <v>9.3034332087397716E-4</v>
      </c>
      <c r="I39" s="6">
        <f>PMSPLINE!K$6</f>
        <v>-5.7584514346366886E-4</v>
      </c>
      <c r="J39">
        <f t="shared" si="1"/>
        <v>0.86206896551724133</v>
      </c>
      <c r="K39">
        <f t="shared" si="2"/>
        <v>0.13793103448275862</v>
      </c>
      <c r="L39">
        <f t="shared" si="3"/>
        <v>-10</v>
      </c>
      <c r="M39" s="6">
        <f t="shared" si="4"/>
        <v>0.21397070732067541</v>
      </c>
      <c r="N39" s="6">
        <f t="shared" si="5"/>
        <v>0.19601918456613879</v>
      </c>
      <c r="O39" s="6">
        <f t="shared" si="8"/>
        <v>11.124796364655506</v>
      </c>
      <c r="P39" s="6">
        <f t="shared" si="9"/>
        <v>11.137025906279453</v>
      </c>
      <c r="Q39" s="6">
        <f t="shared" si="6"/>
        <v>0.19601918456613879</v>
      </c>
    </row>
    <row r="40" spans="1:17">
      <c r="B40">
        <f t="shared" si="7"/>
        <v>37</v>
      </c>
      <c r="C40">
        <f t="shared" si="0"/>
        <v>29</v>
      </c>
      <c r="D40">
        <v>32</v>
      </c>
      <c r="E40">
        <v>61</v>
      </c>
      <c r="F40">
        <f>PMSPLINE!F$5</f>
        <v>0.20180602049198348</v>
      </c>
      <c r="G40">
        <f>PMSPLINE!F$6</f>
        <v>0.28999999999999998</v>
      </c>
      <c r="H40" s="6">
        <f>PMSPLINE!K$5</f>
        <v>9.3034332087397716E-4</v>
      </c>
      <c r="I40" s="6">
        <f>PMSPLINE!K$6</f>
        <v>-5.7584514346366886E-4</v>
      </c>
      <c r="J40">
        <f t="shared" si="1"/>
        <v>0.82758620689655171</v>
      </c>
      <c r="K40">
        <f t="shared" si="2"/>
        <v>0.17241379310344829</v>
      </c>
      <c r="L40">
        <f t="shared" si="3"/>
        <v>-9</v>
      </c>
      <c r="M40" s="6">
        <f t="shared" si="4"/>
        <v>0.21701187902784841</v>
      </c>
      <c r="N40" s="6">
        <f t="shared" si="5"/>
        <v>0.19650880238746493</v>
      </c>
      <c r="O40" s="6">
        <f t="shared" si="8"/>
        <v>11.341808243683355</v>
      </c>
      <c r="P40" s="6">
        <f t="shared" si="9"/>
        <v>11.333534708666917</v>
      </c>
      <c r="Q40" s="6">
        <f t="shared" si="6"/>
        <v>0.19650880238746493</v>
      </c>
    </row>
    <row r="41" spans="1:17">
      <c r="B41">
        <f t="shared" si="7"/>
        <v>38</v>
      </c>
      <c r="C41">
        <f t="shared" si="0"/>
        <v>29</v>
      </c>
      <c r="D41">
        <v>32</v>
      </c>
      <c r="E41">
        <v>61</v>
      </c>
      <c r="F41">
        <f>PMSPLINE!F$5</f>
        <v>0.20180602049198348</v>
      </c>
      <c r="G41">
        <f>PMSPLINE!F$6</f>
        <v>0.28999999999999998</v>
      </c>
      <c r="H41" s="6">
        <f>PMSPLINE!K$5</f>
        <v>9.3034332087397716E-4</v>
      </c>
      <c r="I41" s="6">
        <f>PMSPLINE!K$6</f>
        <v>-5.7584514346366886E-4</v>
      </c>
      <c r="J41">
        <f t="shared" si="1"/>
        <v>0.7931034482758621</v>
      </c>
      <c r="K41">
        <f t="shared" si="2"/>
        <v>0.20689655172413793</v>
      </c>
      <c r="L41">
        <f t="shared" si="3"/>
        <v>-8</v>
      </c>
      <c r="M41" s="6">
        <f t="shared" si="4"/>
        <v>0.22005305073502138</v>
      </c>
      <c r="N41" s="6">
        <f t="shared" si="5"/>
        <v>0.19766907586339988</v>
      </c>
      <c r="O41" s="6">
        <f t="shared" si="8"/>
        <v>11.561861294418376</v>
      </c>
      <c r="P41" s="6">
        <f t="shared" si="9"/>
        <v>11.531203784530318</v>
      </c>
      <c r="Q41" s="6">
        <f t="shared" si="6"/>
        <v>0.19766907586339988</v>
      </c>
    </row>
    <row r="42" spans="1:17">
      <c r="B42">
        <f t="shared" si="7"/>
        <v>39</v>
      </c>
      <c r="C42">
        <f t="shared" si="0"/>
        <v>29</v>
      </c>
      <c r="D42">
        <v>32</v>
      </c>
      <c r="E42">
        <v>61</v>
      </c>
      <c r="F42">
        <f>PMSPLINE!F$5</f>
        <v>0.20180602049198348</v>
      </c>
      <c r="G42">
        <f>PMSPLINE!F$6</f>
        <v>0.28999999999999998</v>
      </c>
      <c r="H42" s="6">
        <f>PMSPLINE!K$5</f>
        <v>9.3034332087397716E-4</v>
      </c>
      <c r="I42" s="6">
        <f>PMSPLINE!K$6</f>
        <v>-5.7584514346366886E-4</v>
      </c>
      <c r="J42">
        <f t="shared" si="1"/>
        <v>0.75862068965517238</v>
      </c>
      <c r="K42">
        <f t="shared" si="2"/>
        <v>0.2413793103448276</v>
      </c>
      <c r="L42">
        <f t="shared" si="3"/>
        <v>-7</v>
      </c>
      <c r="M42" s="6">
        <f t="shared" si="4"/>
        <v>0.22309422244219435</v>
      </c>
      <c r="N42" s="6">
        <f t="shared" si="5"/>
        <v>0.19944806746069069</v>
      </c>
      <c r="O42" s="6">
        <f t="shared" si="8"/>
        <v>11.78495551686057</v>
      </c>
      <c r="P42" s="6">
        <f t="shared" si="9"/>
        <v>11.730651851991009</v>
      </c>
      <c r="Q42" s="6">
        <f t="shared" si="6"/>
        <v>0.19944806746069069</v>
      </c>
    </row>
    <row r="43" spans="1:17">
      <c r="B43">
        <f t="shared" si="7"/>
        <v>40</v>
      </c>
      <c r="C43">
        <f t="shared" si="0"/>
        <v>29</v>
      </c>
      <c r="D43">
        <v>32</v>
      </c>
      <c r="E43">
        <v>61</v>
      </c>
      <c r="F43">
        <f>PMSPLINE!F$5</f>
        <v>0.20180602049198348</v>
      </c>
      <c r="G43">
        <f>PMSPLINE!F$6</f>
        <v>0.28999999999999998</v>
      </c>
      <c r="H43" s="6">
        <f>PMSPLINE!K$5</f>
        <v>9.3034332087397716E-4</v>
      </c>
      <c r="I43" s="6">
        <f>PMSPLINE!K$6</f>
        <v>-5.7584514346366886E-4</v>
      </c>
      <c r="J43">
        <f t="shared" si="1"/>
        <v>0.72413793103448276</v>
      </c>
      <c r="K43">
        <f t="shared" si="2"/>
        <v>0.27586206896551724</v>
      </c>
      <c r="L43">
        <f t="shared" si="3"/>
        <v>-6</v>
      </c>
      <c r="M43" s="6">
        <f t="shared" si="4"/>
        <v>0.22613539414936734</v>
      </c>
      <c r="N43" s="6">
        <f t="shared" si="5"/>
        <v>0.20179383964608433</v>
      </c>
      <c r="O43" s="6">
        <f t="shared" si="8"/>
        <v>12.011090911009937</v>
      </c>
      <c r="P43" s="6">
        <f t="shared" si="9"/>
        <v>11.932445691637094</v>
      </c>
      <c r="Q43" s="6">
        <f t="shared" si="6"/>
        <v>0.20179383964608433</v>
      </c>
    </row>
    <row r="44" spans="1:17">
      <c r="B44">
        <f t="shared" si="7"/>
        <v>41</v>
      </c>
      <c r="C44">
        <f t="shared" si="0"/>
        <v>29</v>
      </c>
      <c r="D44">
        <v>32</v>
      </c>
      <c r="E44">
        <v>61</v>
      </c>
      <c r="F44">
        <f>PMSPLINE!F$5</f>
        <v>0.20180602049198348</v>
      </c>
      <c r="G44">
        <f>PMSPLINE!F$6</f>
        <v>0.28999999999999998</v>
      </c>
      <c r="H44" s="6">
        <f>PMSPLINE!K$5</f>
        <v>9.3034332087397716E-4</v>
      </c>
      <c r="I44" s="6">
        <f>PMSPLINE!K$6</f>
        <v>-5.7584514346366886E-4</v>
      </c>
      <c r="J44">
        <f t="shared" si="1"/>
        <v>0.68965517241379315</v>
      </c>
      <c r="K44">
        <f t="shared" si="2"/>
        <v>0.31034482758620691</v>
      </c>
      <c r="L44">
        <f t="shared" si="3"/>
        <v>-5</v>
      </c>
      <c r="M44" s="6">
        <f t="shared" si="4"/>
        <v>0.22917656585654034</v>
      </c>
      <c r="N44" s="6">
        <f t="shared" si="5"/>
        <v>0.2046544548863278</v>
      </c>
      <c r="O44" s="6">
        <f t="shared" si="8"/>
        <v>12.240267476866478</v>
      </c>
      <c r="P44" s="6">
        <f t="shared" si="9"/>
        <v>12.137100146523421</v>
      </c>
      <c r="Q44" s="6">
        <f t="shared" si="6"/>
        <v>0.2046544548863278</v>
      </c>
    </row>
    <row r="45" spans="1:17">
      <c r="B45">
        <f t="shared" si="7"/>
        <v>42</v>
      </c>
      <c r="C45">
        <f t="shared" si="0"/>
        <v>29</v>
      </c>
      <c r="D45">
        <v>32</v>
      </c>
      <c r="E45">
        <v>61</v>
      </c>
      <c r="F45">
        <f>PMSPLINE!F$5</f>
        <v>0.20180602049198348</v>
      </c>
      <c r="G45">
        <f>PMSPLINE!F$6</f>
        <v>0.28999999999999998</v>
      </c>
      <c r="H45" s="6">
        <f>PMSPLINE!K$5</f>
        <v>9.3034332087397716E-4</v>
      </c>
      <c r="I45" s="6">
        <f>PMSPLINE!K$6</f>
        <v>-5.7584514346366886E-4</v>
      </c>
      <c r="J45">
        <f t="shared" si="1"/>
        <v>0.65517241379310343</v>
      </c>
      <c r="K45">
        <f t="shared" si="2"/>
        <v>0.34482758620689657</v>
      </c>
      <c r="L45">
        <f t="shared" si="3"/>
        <v>-4</v>
      </c>
      <c r="M45" s="6">
        <f t="shared" si="4"/>
        <v>0.23221773756371331</v>
      </c>
      <c r="N45" s="6">
        <f t="shared" si="5"/>
        <v>0.207977975648168</v>
      </c>
      <c r="O45" s="6">
        <f t="shared" si="8"/>
        <v>12.472485214430192</v>
      </c>
      <c r="P45" s="6">
        <f t="shared" si="9"/>
        <v>12.345078122171589</v>
      </c>
      <c r="Q45" s="6">
        <f t="shared" si="6"/>
        <v>0.207977975648168</v>
      </c>
    </row>
    <row r="46" spans="1:17">
      <c r="B46">
        <f t="shared" si="7"/>
        <v>43</v>
      </c>
      <c r="C46">
        <f t="shared" si="0"/>
        <v>29</v>
      </c>
      <c r="D46">
        <v>32</v>
      </c>
      <c r="E46">
        <v>61</v>
      </c>
      <c r="F46">
        <f>PMSPLINE!F$5</f>
        <v>0.20180602049198348</v>
      </c>
      <c r="G46">
        <f>PMSPLINE!F$6</f>
        <v>0.28999999999999998</v>
      </c>
      <c r="H46" s="6">
        <f>PMSPLINE!K$5</f>
        <v>9.3034332087397716E-4</v>
      </c>
      <c r="I46" s="6">
        <f>PMSPLINE!K$6</f>
        <v>-5.7584514346366886E-4</v>
      </c>
      <c r="J46">
        <f t="shared" si="1"/>
        <v>0.62068965517241381</v>
      </c>
      <c r="K46">
        <f t="shared" si="2"/>
        <v>0.37931034482758619</v>
      </c>
      <c r="L46">
        <f t="shared" si="3"/>
        <v>-3</v>
      </c>
      <c r="M46" s="6">
        <f t="shared" si="4"/>
        <v>0.2352589092708863</v>
      </c>
      <c r="N46" s="6">
        <f t="shared" si="5"/>
        <v>0.21171246439835198</v>
      </c>
      <c r="O46" s="6">
        <f t="shared" si="8"/>
        <v>12.707744123701078</v>
      </c>
      <c r="P46" s="6">
        <f t="shared" si="9"/>
        <v>12.556790586569941</v>
      </c>
      <c r="Q46" s="6">
        <f t="shared" si="6"/>
        <v>0.21171246439835198</v>
      </c>
    </row>
    <row r="47" spans="1:17">
      <c r="B47">
        <f t="shared" si="7"/>
        <v>44</v>
      </c>
      <c r="C47">
        <f t="shared" si="0"/>
        <v>29</v>
      </c>
      <c r="D47">
        <v>32</v>
      </c>
      <c r="E47">
        <v>61</v>
      </c>
      <c r="F47">
        <f>PMSPLINE!F$5</f>
        <v>0.20180602049198348</v>
      </c>
      <c r="G47">
        <f>PMSPLINE!F$6</f>
        <v>0.28999999999999998</v>
      </c>
      <c r="H47" s="6">
        <f>PMSPLINE!K$5</f>
        <v>9.3034332087397716E-4</v>
      </c>
      <c r="I47" s="6">
        <f>PMSPLINE!K$6</f>
        <v>-5.7584514346366886E-4</v>
      </c>
      <c r="J47">
        <f t="shared" si="1"/>
        <v>0.58620689655172409</v>
      </c>
      <c r="K47">
        <f t="shared" si="2"/>
        <v>0.41379310344827586</v>
      </c>
      <c r="L47">
        <f t="shared" si="3"/>
        <v>-2</v>
      </c>
      <c r="M47" s="6">
        <f t="shared" si="4"/>
        <v>0.23830008097805927</v>
      </c>
      <c r="N47" s="6">
        <f t="shared" si="5"/>
        <v>0.21580598360362666</v>
      </c>
      <c r="O47" s="6">
        <f t="shared" si="8"/>
        <v>12.946044204679136</v>
      </c>
      <c r="P47" s="6">
        <f t="shared" si="9"/>
        <v>12.772596570173567</v>
      </c>
      <c r="Q47" s="6">
        <f t="shared" si="6"/>
        <v>0.21580598360362666</v>
      </c>
    </row>
    <row r="48" spans="1:17">
      <c r="B48">
        <f t="shared" si="7"/>
        <v>45</v>
      </c>
      <c r="C48">
        <f t="shared" si="0"/>
        <v>29</v>
      </c>
      <c r="D48">
        <v>32</v>
      </c>
      <c r="E48">
        <v>61</v>
      </c>
      <c r="F48">
        <f>PMSPLINE!F$5</f>
        <v>0.20180602049198348</v>
      </c>
      <c r="G48">
        <f>PMSPLINE!F$6</f>
        <v>0.28999999999999998</v>
      </c>
      <c r="H48" s="6">
        <f>PMSPLINE!K$5</f>
        <v>9.3034332087397716E-4</v>
      </c>
      <c r="I48" s="6">
        <f>PMSPLINE!K$6</f>
        <v>-5.7584514346366886E-4</v>
      </c>
      <c r="J48">
        <f t="shared" si="1"/>
        <v>0.55172413793103448</v>
      </c>
      <c r="K48">
        <f t="shared" si="2"/>
        <v>0.44827586206896552</v>
      </c>
      <c r="L48">
        <f t="shared" si="3"/>
        <v>-1</v>
      </c>
      <c r="M48" s="6">
        <f t="shared" si="4"/>
        <v>0.24134125268523227</v>
      </c>
      <c r="N48" s="6">
        <f t="shared" si="5"/>
        <v>0.22020659573073909</v>
      </c>
      <c r="O48" s="6">
        <f t="shared" si="8"/>
        <v>13.187385457364369</v>
      </c>
      <c r="P48" s="6">
        <f t="shared" si="9"/>
        <v>12.992803165904306</v>
      </c>
      <c r="Q48" s="6">
        <f t="shared" si="6"/>
        <v>0.22020659573073909</v>
      </c>
    </row>
    <row r="49" spans="1:20">
      <c r="B49">
        <f t="shared" si="7"/>
        <v>46</v>
      </c>
      <c r="C49">
        <f t="shared" si="0"/>
        <v>29</v>
      </c>
      <c r="D49">
        <v>32</v>
      </c>
      <c r="E49">
        <v>61</v>
      </c>
      <c r="F49">
        <f>PMSPLINE!F$5</f>
        <v>0.20180602049198348</v>
      </c>
      <c r="G49">
        <f>PMSPLINE!F$6</f>
        <v>0.28999999999999998</v>
      </c>
      <c r="H49" s="6">
        <f>PMSPLINE!K$5</f>
        <v>9.3034332087397716E-4</v>
      </c>
      <c r="I49" s="6">
        <f>PMSPLINE!K$6</f>
        <v>-5.7584514346366886E-4</v>
      </c>
      <c r="J49">
        <f t="shared" si="1"/>
        <v>0.51724137931034486</v>
      </c>
      <c r="K49">
        <f t="shared" si="2"/>
        <v>0.48275862068965519</v>
      </c>
      <c r="L49">
        <f t="shared" si="3"/>
        <v>0</v>
      </c>
      <c r="M49" s="6">
        <f t="shared" si="4"/>
        <v>0.24438242439240526</v>
      </c>
      <c r="N49" s="6">
        <f t="shared" si="5"/>
        <v>0.22486236324643619</v>
      </c>
      <c r="O49" s="6">
        <f t="shared" si="8"/>
        <v>13.431767881756775</v>
      </c>
      <c r="P49" s="6">
        <f t="shared" si="9"/>
        <v>13.217665529150741</v>
      </c>
      <c r="Q49" s="6">
        <f t="shared" si="6"/>
        <v>0.22486236324643619</v>
      </c>
    </row>
    <row r="50" spans="1:20">
      <c r="A50" s="10"/>
      <c r="B50" s="10">
        <f t="shared" si="7"/>
        <v>47</v>
      </c>
      <c r="C50" s="10">
        <f t="shared" si="0"/>
        <v>29</v>
      </c>
      <c r="D50" s="10">
        <v>32</v>
      </c>
      <c r="E50" s="10">
        <v>61</v>
      </c>
      <c r="F50" s="10">
        <f>PMSPLINE!F$5</f>
        <v>0.20180602049198348</v>
      </c>
      <c r="G50" s="10">
        <f>PMSPLINE!F$6</f>
        <v>0.28999999999999998</v>
      </c>
      <c r="H50" s="11">
        <f>PMSPLINE!K$5</f>
        <v>9.3034332087397716E-4</v>
      </c>
      <c r="I50" s="11">
        <f>PMSPLINE!K$6</f>
        <v>-5.7584514346366886E-4</v>
      </c>
      <c r="J50" s="10">
        <f t="shared" si="1"/>
        <v>0.48275862068965519</v>
      </c>
      <c r="K50" s="10">
        <f t="shared" si="2"/>
        <v>0.51724137931034486</v>
      </c>
      <c r="L50" s="10">
        <f t="shared" si="3"/>
        <v>1</v>
      </c>
      <c r="M50" s="11">
        <f t="shared" si="4"/>
        <v>0.24742359609957823</v>
      </c>
      <c r="N50" s="11">
        <f>(Q50+Q414)/2</f>
        <v>0.2215792704707612</v>
      </c>
      <c r="O50" s="11">
        <f t="shared" si="8"/>
        <v>13.679191477856353</v>
      </c>
      <c r="P50" s="11">
        <f t="shared" si="9"/>
        <v>13.439244799621502</v>
      </c>
      <c r="Q50" s="11">
        <f t="shared" si="6"/>
        <v>0.22972134861746493</v>
      </c>
      <c r="R50" s="12">
        <f>(N55-N50)/5</f>
        <v>6.7334918335933526E-3</v>
      </c>
      <c r="S50">
        <v>1</v>
      </c>
      <c r="T50" s="6">
        <f t="shared" ref="T50:T113" si="10">N50</f>
        <v>0.2215792704707612</v>
      </c>
    </row>
    <row r="51" spans="1:20">
      <c r="B51">
        <f t="shared" si="7"/>
        <v>48</v>
      </c>
      <c r="C51">
        <f t="shared" si="0"/>
        <v>29</v>
      </c>
      <c r="D51">
        <v>32</v>
      </c>
      <c r="E51">
        <v>61</v>
      </c>
      <c r="F51">
        <f>PMSPLINE!F$5</f>
        <v>0.20180602049198348</v>
      </c>
      <c r="G51">
        <f>PMSPLINE!F$6</f>
        <v>0.28999999999999998</v>
      </c>
      <c r="H51" s="6">
        <f>PMSPLINE!K$5</f>
        <v>9.3034332087397716E-4</v>
      </c>
      <c r="I51" s="6">
        <f>PMSPLINE!K$6</f>
        <v>-5.7584514346366886E-4</v>
      </c>
      <c r="J51">
        <f t="shared" si="1"/>
        <v>0.44827586206896552</v>
      </c>
      <c r="K51">
        <f t="shared" si="2"/>
        <v>0.55172413793103448</v>
      </c>
      <c r="L51">
        <f t="shared" si="3"/>
        <v>2</v>
      </c>
      <c r="M51" s="13">
        <f t="shared" si="4"/>
        <v>0.2504647678067512</v>
      </c>
      <c r="N51" s="14">
        <f>N50+R$50</f>
        <v>0.22831276230435454</v>
      </c>
      <c r="O51" s="6">
        <f t="shared" si="8"/>
        <v>13.929656245663104</v>
      </c>
      <c r="P51" s="6">
        <f t="shared" si="9"/>
        <v>13.667557561925856</v>
      </c>
      <c r="Q51" s="6">
        <f t="shared" si="6"/>
        <v>0.23473161431057232</v>
      </c>
      <c r="S51">
        <v>2</v>
      </c>
      <c r="T51" s="6">
        <f t="shared" si="10"/>
        <v>0.22831276230435454</v>
      </c>
    </row>
    <row r="52" spans="1:20">
      <c r="B52">
        <f t="shared" si="7"/>
        <v>49</v>
      </c>
      <c r="C52">
        <f t="shared" si="0"/>
        <v>29</v>
      </c>
      <c r="D52">
        <v>32</v>
      </c>
      <c r="E52">
        <v>61</v>
      </c>
      <c r="F52">
        <f>PMSPLINE!F$5</f>
        <v>0.20180602049198348</v>
      </c>
      <c r="G52">
        <f>PMSPLINE!F$6</f>
        <v>0.28999999999999998</v>
      </c>
      <c r="H52" s="6">
        <f>PMSPLINE!K$5</f>
        <v>9.3034332087397716E-4</v>
      </c>
      <c r="I52" s="6">
        <f>PMSPLINE!K$6</f>
        <v>-5.7584514346366886E-4</v>
      </c>
      <c r="J52">
        <f t="shared" si="1"/>
        <v>0.41379310344827586</v>
      </c>
      <c r="K52">
        <f t="shared" si="2"/>
        <v>0.58620689655172409</v>
      </c>
      <c r="L52">
        <f t="shared" si="3"/>
        <v>3</v>
      </c>
      <c r="M52" s="13">
        <f t="shared" si="4"/>
        <v>0.25350593951392419</v>
      </c>
      <c r="N52" s="14">
        <f>N51+R$50</f>
        <v>0.23504625413794789</v>
      </c>
      <c r="O52" s="6">
        <f t="shared" si="8"/>
        <v>14.183162185177029</v>
      </c>
      <c r="P52" s="6">
        <f t="shared" si="9"/>
        <v>13.902603816063804</v>
      </c>
      <c r="Q52" s="6">
        <f t="shared" si="6"/>
        <v>0.23984122279250536</v>
      </c>
      <c r="S52">
        <v>3</v>
      </c>
      <c r="T52" s="6">
        <f t="shared" si="10"/>
        <v>0.23504625413794789</v>
      </c>
    </row>
    <row r="53" spans="1:20">
      <c r="B53">
        <f t="shared" si="7"/>
        <v>50</v>
      </c>
      <c r="C53">
        <f t="shared" si="0"/>
        <v>29</v>
      </c>
      <c r="D53">
        <v>32</v>
      </c>
      <c r="E53">
        <v>61</v>
      </c>
      <c r="F53">
        <f>PMSPLINE!F$5</f>
        <v>0.20180602049198348</v>
      </c>
      <c r="G53">
        <f>PMSPLINE!F$6</f>
        <v>0.28999999999999998</v>
      </c>
      <c r="H53" s="6">
        <f>PMSPLINE!K$5</f>
        <v>9.3034332087397716E-4</v>
      </c>
      <c r="I53" s="6">
        <f>PMSPLINE!K$6</f>
        <v>-5.7584514346366886E-4</v>
      </c>
      <c r="J53">
        <f t="shared" si="1"/>
        <v>0.37931034482758619</v>
      </c>
      <c r="K53">
        <f t="shared" si="2"/>
        <v>0.62068965517241381</v>
      </c>
      <c r="L53">
        <f t="shared" si="3"/>
        <v>4</v>
      </c>
      <c r="M53" s="13">
        <f t="shared" si="4"/>
        <v>0.25654711122109719</v>
      </c>
      <c r="N53" s="14">
        <f>N52+R$50</f>
        <v>0.24177974597154123</v>
      </c>
      <c r="O53" s="6">
        <f t="shared" si="8"/>
        <v>14.439709296398126</v>
      </c>
      <c r="P53" s="6">
        <f t="shared" si="9"/>
        <v>14.144383562035346</v>
      </c>
      <c r="Q53" s="6">
        <f t="shared" si="6"/>
        <v>0.24499823653001099</v>
      </c>
      <c r="S53">
        <v>4</v>
      </c>
      <c r="T53" s="6">
        <f t="shared" si="10"/>
        <v>0.24177974597154123</v>
      </c>
    </row>
    <row r="54" spans="1:20">
      <c r="B54">
        <f t="shared" si="7"/>
        <v>51</v>
      </c>
      <c r="C54">
        <f t="shared" si="0"/>
        <v>29</v>
      </c>
      <c r="D54">
        <v>32</v>
      </c>
      <c r="E54">
        <v>61</v>
      </c>
      <c r="F54">
        <f>PMSPLINE!F$5</f>
        <v>0.20180602049198348</v>
      </c>
      <c r="G54">
        <f>PMSPLINE!F$6</f>
        <v>0.28999999999999998</v>
      </c>
      <c r="H54" s="6">
        <f>PMSPLINE!K$5</f>
        <v>9.3034332087397716E-4</v>
      </c>
      <c r="I54" s="6">
        <f>PMSPLINE!K$6</f>
        <v>-5.7584514346366886E-4</v>
      </c>
      <c r="J54">
        <f t="shared" si="1"/>
        <v>0.34482758620689657</v>
      </c>
      <c r="K54">
        <f t="shared" si="2"/>
        <v>0.65517241379310343</v>
      </c>
      <c r="L54">
        <f t="shared" si="3"/>
        <v>5</v>
      </c>
      <c r="M54" s="13">
        <f t="shared" si="4"/>
        <v>0.25958828292827013</v>
      </c>
      <c r="N54" s="14">
        <f>N53+R$50</f>
        <v>0.24851323780513457</v>
      </c>
      <c r="O54" s="6">
        <f t="shared" si="8"/>
        <v>14.699297579326396</v>
      </c>
      <c r="P54" s="6">
        <f t="shared" si="9"/>
        <v>14.39289679984048</v>
      </c>
      <c r="Q54" s="6">
        <f t="shared" si="6"/>
        <v>0.25015071798983612</v>
      </c>
      <c r="S54">
        <v>5</v>
      </c>
      <c r="T54" s="6">
        <f t="shared" si="10"/>
        <v>0.24851323780513457</v>
      </c>
    </row>
    <row r="55" spans="1:20">
      <c r="B55">
        <f t="shared" si="7"/>
        <v>52</v>
      </c>
      <c r="C55">
        <f t="shared" si="0"/>
        <v>29</v>
      </c>
      <c r="D55">
        <v>32</v>
      </c>
      <c r="E55">
        <v>61</v>
      </c>
      <c r="F55">
        <f>PMSPLINE!F$5</f>
        <v>0.20180602049198348</v>
      </c>
      <c r="G55">
        <f>PMSPLINE!F$6</f>
        <v>0.28999999999999998</v>
      </c>
      <c r="H55" s="6">
        <f>PMSPLINE!K$5</f>
        <v>9.3034332087397716E-4</v>
      </c>
      <c r="I55" s="6">
        <f>PMSPLINE!K$6</f>
        <v>-5.7584514346366886E-4</v>
      </c>
      <c r="J55">
        <f t="shared" si="1"/>
        <v>0.31034482758620691</v>
      </c>
      <c r="K55">
        <f t="shared" si="2"/>
        <v>0.68965517241379315</v>
      </c>
      <c r="L55">
        <f t="shared" si="3"/>
        <v>6</v>
      </c>
      <c r="M55" s="13">
        <f t="shared" si="4"/>
        <v>0.26262945463544318</v>
      </c>
      <c r="N55" s="13">
        <f t="shared" ref="N55:N118" si="11">Q55</f>
        <v>0.25524672963872796</v>
      </c>
      <c r="O55" s="6">
        <f t="shared" si="8"/>
        <v>14.961927033961839</v>
      </c>
      <c r="P55" s="6">
        <f t="shared" si="9"/>
        <v>14.648143529479208</v>
      </c>
      <c r="Q55" s="6">
        <f t="shared" si="6"/>
        <v>0.25524672963872796</v>
      </c>
      <c r="S55">
        <v>6</v>
      </c>
      <c r="T55" s="6">
        <f t="shared" si="10"/>
        <v>0.25524672963872796</v>
      </c>
    </row>
    <row r="56" spans="1:20">
      <c r="B56">
        <f t="shared" si="7"/>
        <v>53</v>
      </c>
      <c r="C56">
        <f t="shared" si="0"/>
        <v>29</v>
      </c>
      <c r="D56">
        <v>32</v>
      </c>
      <c r="E56">
        <v>61</v>
      </c>
      <c r="F56">
        <f>PMSPLINE!F$5</f>
        <v>0.20180602049198348</v>
      </c>
      <c r="G56">
        <f>PMSPLINE!F$6</f>
        <v>0.28999999999999998</v>
      </c>
      <c r="H56" s="6">
        <f>PMSPLINE!K$5</f>
        <v>9.3034332087397716E-4</v>
      </c>
      <c r="I56" s="6">
        <f>PMSPLINE!K$6</f>
        <v>-5.7584514346366886E-4</v>
      </c>
      <c r="J56">
        <f t="shared" si="1"/>
        <v>0.27586206896551724</v>
      </c>
      <c r="K56">
        <f t="shared" si="2"/>
        <v>0.72413793103448276</v>
      </c>
      <c r="L56">
        <f t="shared" si="3"/>
        <v>7</v>
      </c>
      <c r="M56" s="13">
        <f t="shared" si="4"/>
        <v>0.26567062634261612</v>
      </c>
      <c r="N56" s="13">
        <f t="shared" si="11"/>
        <v>0.2602343339434332</v>
      </c>
      <c r="O56" s="6">
        <f t="shared" si="8"/>
        <v>15.227597660304456</v>
      </c>
      <c r="P56" s="6">
        <f t="shared" si="9"/>
        <v>14.908377863422642</v>
      </c>
      <c r="Q56" s="6">
        <f t="shared" si="6"/>
        <v>0.2602343339434332</v>
      </c>
      <c r="S56">
        <v>7</v>
      </c>
      <c r="T56" s="6">
        <f t="shared" si="10"/>
        <v>0.2602343339434332</v>
      </c>
    </row>
    <row r="57" spans="1:20">
      <c r="B57">
        <f t="shared" si="7"/>
        <v>54</v>
      </c>
      <c r="C57">
        <f t="shared" si="0"/>
        <v>29</v>
      </c>
      <c r="D57">
        <v>32</v>
      </c>
      <c r="E57">
        <v>61</v>
      </c>
      <c r="F57">
        <f>PMSPLINE!F$5</f>
        <v>0.20180602049198348</v>
      </c>
      <c r="G57">
        <f>PMSPLINE!F$6</f>
        <v>0.28999999999999998</v>
      </c>
      <c r="H57" s="6">
        <f>PMSPLINE!K$5</f>
        <v>9.3034332087397716E-4</v>
      </c>
      <c r="I57" s="6">
        <f>PMSPLINE!K$6</f>
        <v>-5.7584514346366886E-4</v>
      </c>
      <c r="J57">
        <f t="shared" si="1"/>
        <v>0.2413793103448276</v>
      </c>
      <c r="K57">
        <f t="shared" si="2"/>
        <v>0.75862068965517238</v>
      </c>
      <c r="L57">
        <f t="shared" si="3"/>
        <v>8</v>
      </c>
      <c r="M57" s="13">
        <f t="shared" si="4"/>
        <v>0.26871179804978906</v>
      </c>
      <c r="N57" s="13">
        <f t="shared" si="11"/>
        <v>0.26506159337069896</v>
      </c>
      <c r="O57" s="6">
        <f t="shared" si="8"/>
        <v>15.496309458354245</v>
      </c>
      <c r="P57" s="6">
        <f t="shared" si="9"/>
        <v>15.173439456793341</v>
      </c>
      <c r="Q57" s="6">
        <f t="shared" si="6"/>
        <v>0.26506159337069896</v>
      </c>
      <c r="S57">
        <v>8</v>
      </c>
      <c r="T57" s="6">
        <f t="shared" si="10"/>
        <v>0.26506159337069896</v>
      </c>
    </row>
    <row r="58" spans="1:20">
      <c r="B58">
        <f t="shared" si="7"/>
        <v>55</v>
      </c>
      <c r="C58">
        <f t="shared" si="0"/>
        <v>29</v>
      </c>
      <c r="D58">
        <v>32</v>
      </c>
      <c r="E58">
        <v>61</v>
      </c>
      <c r="F58">
        <f>PMSPLINE!F$5</f>
        <v>0.20180602049198348</v>
      </c>
      <c r="G58">
        <f>PMSPLINE!F$6</f>
        <v>0.28999999999999998</v>
      </c>
      <c r="H58" s="6">
        <f>PMSPLINE!K$5</f>
        <v>9.3034332087397716E-4</v>
      </c>
      <c r="I58" s="6">
        <f>PMSPLINE!K$6</f>
        <v>-5.7584514346366886E-4</v>
      </c>
      <c r="J58">
        <f t="shared" si="1"/>
        <v>0.20689655172413793</v>
      </c>
      <c r="K58">
        <f t="shared" si="2"/>
        <v>0.7931034482758621</v>
      </c>
      <c r="L58">
        <f t="shared" si="3"/>
        <v>9</v>
      </c>
      <c r="M58" s="13">
        <f t="shared" si="4"/>
        <v>0.27175296975696206</v>
      </c>
      <c r="N58" s="13">
        <f t="shared" si="11"/>
        <v>0.26967657038727227</v>
      </c>
      <c r="O58" s="6">
        <f t="shared" si="8"/>
        <v>15.768062428111207</v>
      </c>
      <c r="P58" s="6">
        <f t="shared" si="9"/>
        <v>15.443116027180613</v>
      </c>
      <c r="Q58" s="6">
        <f t="shared" si="6"/>
        <v>0.26967657038727227</v>
      </c>
      <c r="S58">
        <v>9</v>
      </c>
      <c r="T58" s="6">
        <f t="shared" si="10"/>
        <v>0.26967657038727227</v>
      </c>
    </row>
    <row r="59" spans="1:20">
      <c r="B59">
        <f t="shared" si="7"/>
        <v>56</v>
      </c>
      <c r="C59">
        <f t="shared" si="0"/>
        <v>29</v>
      </c>
      <c r="D59">
        <v>32</v>
      </c>
      <c r="E59">
        <v>61</v>
      </c>
      <c r="F59">
        <f>PMSPLINE!F$5</f>
        <v>0.20180602049198348</v>
      </c>
      <c r="G59">
        <f>PMSPLINE!F$6</f>
        <v>0.28999999999999998</v>
      </c>
      <c r="H59" s="6">
        <f>PMSPLINE!K$5</f>
        <v>9.3034332087397716E-4</v>
      </c>
      <c r="I59" s="6">
        <f>PMSPLINE!K$6</f>
        <v>-5.7584514346366886E-4</v>
      </c>
      <c r="J59">
        <f t="shared" si="1"/>
        <v>0.17241379310344829</v>
      </c>
      <c r="K59">
        <f t="shared" si="2"/>
        <v>0.82758620689655171</v>
      </c>
      <c r="L59">
        <f t="shared" si="3"/>
        <v>10</v>
      </c>
      <c r="M59" s="13">
        <f t="shared" si="4"/>
        <v>0.27479414146413506</v>
      </c>
      <c r="N59" s="13">
        <f t="shared" si="11"/>
        <v>0.27402732745990005</v>
      </c>
      <c r="O59" s="6">
        <f t="shared" si="8"/>
        <v>16.042856569575342</v>
      </c>
      <c r="P59" s="6">
        <f t="shared" si="9"/>
        <v>15.717143354640513</v>
      </c>
      <c r="Q59" s="6">
        <f t="shared" si="6"/>
        <v>0.27402732745990005</v>
      </c>
      <c r="S59">
        <v>10</v>
      </c>
      <c r="T59" s="6">
        <f t="shared" si="10"/>
        <v>0.27402732745990005</v>
      </c>
    </row>
    <row r="60" spans="1:20">
      <c r="B60">
        <f t="shared" si="7"/>
        <v>57</v>
      </c>
      <c r="C60">
        <f t="shared" si="0"/>
        <v>29</v>
      </c>
      <c r="D60">
        <v>32</v>
      </c>
      <c r="E60">
        <v>61</v>
      </c>
      <c r="F60">
        <f>PMSPLINE!F$5</f>
        <v>0.20180602049198348</v>
      </c>
      <c r="G60">
        <f>PMSPLINE!F$6</f>
        <v>0.28999999999999998</v>
      </c>
      <c r="H60" s="6">
        <f>PMSPLINE!K$5</f>
        <v>9.3034332087397716E-4</v>
      </c>
      <c r="I60" s="6">
        <f>PMSPLINE!K$6</f>
        <v>-5.7584514346366886E-4</v>
      </c>
      <c r="J60">
        <f t="shared" si="1"/>
        <v>0.13793103448275862</v>
      </c>
      <c r="K60">
        <f t="shared" si="2"/>
        <v>0.86206896551724133</v>
      </c>
      <c r="L60">
        <f t="shared" si="3"/>
        <v>11</v>
      </c>
      <c r="M60" s="13">
        <f t="shared" si="4"/>
        <v>0.27783531317130805</v>
      </c>
      <c r="N60" s="13">
        <f t="shared" si="11"/>
        <v>0.27806192705532923</v>
      </c>
      <c r="O60" s="6">
        <f t="shared" si="8"/>
        <v>16.320691882746651</v>
      </c>
      <c r="P60" s="6">
        <f t="shared" si="9"/>
        <v>15.995205281695842</v>
      </c>
      <c r="Q60" s="6">
        <f t="shared" si="6"/>
        <v>0.27806192705532923</v>
      </c>
      <c r="S60">
        <v>11</v>
      </c>
      <c r="T60" s="6">
        <f t="shared" si="10"/>
        <v>0.27806192705532923</v>
      </c>
    </row>
    <row r="61" spans="1:20">
      <c r="B61">
        <f t="shared" si="7"/>
        <v>58</v>
      </c>
      <c r="C61">
        <f t="shared" si="0"/>
        <v>29</v>
      </c>
      <c r="D61">
        <v>32</v>
      </c>
      <c r="E61">
        <v>61</v>
      </c>
      <c r="F61">
        <f>PMSPLINE!F$5</f>
        <v>0.20180602049198348</v>
      </c>
      <c r="G61">
        <f>PMSPLINE!F$6</f>
        <v>0.28999999999999998</v>
      </c>
      <c r="H61" s="6">
        <f>PMSPLINE!K$5</f>
        <v>9.3034332087397716E-4</v>
      </c>
      <c r="I61" s="6">
        <f>PMSPLINE!K$6</f>
        <v>-5.7584514346366886E-4</v>
      </c>
      <c r="J61">
        <f t="shared" si="1"/>
        <v>0.10344827586206896</v>
      </c>
      <c r="K61">
        <f t="shared" si="2"/>
        <v>0.89655172413793105</v>
      </c>
      <c r="L61">
        <f t="shared" si="3"/>
        <v>12</v>
      </c>
      <c r="M61" s="13">
        <f t="shared" si="4"/>
        <v>0.28087648487848105</v>
      </c>
      <c r="N61" s="13">
        <f t="shared" si="11"/>
        <v>0.28172843164030686</v>
      </c>
      <c r="O61" s="6">
        <f t="shared" si="8"/>
        <v>16.601568367625131</v>
      </c>
      <c r="P61" s="6">
        <f t="shared" si="9"/>
        <v>16.276933713336149</v>
      </c>
      <c r="Q61" s="6">
        <f t="shared" si="6"/>
        <v>0.28172843164030686</v>
      </c>
      <c r="S61">
        <v>12</v>
      </c>
      <c r="T61" s="6">
        <f t="shared" si="10"/>
        <v>0.28172843164030686</v>
      </c>
    </row>
    <row r="62" spans="1:20">
      <c r="B62">
        <f t="shared" si="7"/>
        <v>59</v>
      </c>
      <c r="C62">
        <f t="shared" si="0"/>
        <v>29</v>
      </c>
      <c r="D62">
        <v>32</v>
      </c>
      <c r="E62">
        <v>61</v>
      </c>
      <c r="F62">
        <f>PMSPLINE!F$5</f>
        <v>0.20180602049198348</v>
      </c>
      <c r="G62">
        <f>PMSPLINE!F$6</f>
        <v>0.28999999999999998</v>
      </c>
      <c r="H62" s="6">
        <f>PMSPLINE!K$5</f>
        <v>9.3034332087397716E-4</v>
      </c>
      <c r="I62" s="6">
        <f>PMSPLINE!K$6</f>
        <v>-5.7584514346366886E-4</v>
      </c>
      <c r="J62">
        <f t="shared" si="1"/>
        <v>6.8965517241379309E-2</v>
      </c>
      <c r="K62">
        <f t="shared" si="2"/>
        <v>0.93103448275862066</v>
      </c>
      <c r="L62">
        <f t="shared" si="3"/>
        <v>13</v>
      </c>
      <c r="M62" s="13">
        <f t="shared" si="4"/>
        <v>0.28391765658565399</v>
      </c>
      <c r="N62" s="13">
        <f t="shared" si="11"/>
        <v>0.28497490368157985</v>
      </c>
      <c r="O62" s="6">
        <f t="shared" si="8"/>
        <v>16.885486024210785</v>
      </c>
      <c r="P62" s="6">
        <f t="shared" si="9"/>
        <v>16.561908617017728</v>
      </c>
      <c r="Q62" s="6">
        <f t="shared" si="6"/>
        <v>0.28497490368157985</v>
      </c>
      <c r="S62">
        <v>13</v>
      </c>
      <c r="T62" s="6">
        <f t="shared" si="10"/>
        <v>0.28497490368157985</v>
      </c>
    </row>
    <row r="63" spans="1:20">
      <c r="B63">
        <f t="shared" si="7"/>
        <v>60</v>
      </c>
      <c r="C63">
        <f t="shared" si="0"/>
        <v>29</v>
      </c>
      <c r="D63">
        <v>32</v>
      </c>
      <c r="E63">
        <v>61</v>
      </c>
      <c r="F63">
        <f>PMSPLINE!F$5</f>
        <v>0.20180602049198348</v>
      </c>
      <c r="G63">
        <f>PMSPLINE!F$6</f>
        <v>0.28999999999999998</v>
      </c>
      <c r="H63" s="6">
        <f>PMSPLINE!K$5</f>
        <v>9.3034332087397716E-4</v>
      </c>
      <c r="I63" s="6">
        <f>PMSPLINE!K$6</f>
        <v>-5.7584514346366886E-4</v>
      </c>
      <c r="J63">
        <f t="shared" si="1"/>
        <v>3.4482758620689655E-2</v>
      </c>
      <c r="K63">
        <f t="shared" si="2"/>
        <v>0.96551724137931039</v>
      </c>
      <c r="L63">
        <f t="shared" si="3"/>
        <v>14</v>
      </c>
      <c r="M63" s="13">
        <f t="shared" si="4"/>
        <v>0.28695882829282698</v>
      </c>
      <c r="N63" s="13">
        <f t="shared" si="11"/>
        <v>0.28774940564589524</v>
      </c>
      <c r="O63" s="6">
        <f t="shared" si="8"/>
        <v>17.172444852503613</v>
      </c>
      <c r="P63" s="6">
        <f t="shared" si="9"/>
        <v>16.849658022663622</v>
      </c>
      <c r="Q63" s="6">
        <f t="shared" si="6"/>
        <v>0.28774940564589524</v>
      </c>
      <c r="S63">
        <v>14</v>
      </c>
      <c r="T63" s="6">
        <f t="shared" si="10"/>
        <v>0.28774940564589524</v>
      </c>
    </row>
    <row r="64" spans="1:20">
      <c r="A64">
        <v>61</v>
      </c>
      <c r="B64">
        <f t="shared" si="7"/>
        <v>61</v>
      </c>
      <c r="C64">
        <f t="shared" si="0"/>
        <v>29</v>
      </c>
      <c r="D64">
        <v>32</v>
      </c>
      <c r="E64">
        <v>61</v>
      </c>
      <c r="F64">
        <f>PMSPLINE!F$5</f>
        <v>0.20180602049198348</v>
      </c>
      <c r="G64">
        <f>PMSPLINE!F$6</f>
        <v>0.28999999999999998</v>
      </c>
      <c r="H64" s="6">
        <f>PMSPLINE!K$5</f>
        <v>9.3034332087397716E-4</v>
      </c>
      <c r="I64" s="6">
        <f>PMSPLINE!K$6</f>
        <v>-5.7584514346366886E-4</v>
      </c>
      <c r="J64">
        <f t="shared" si="1"/>
        <v>0</v>
      </c>
      <c r="K64">
        <f t="shared" si="2"/>
        <v>1</v>
      </c>
      <c r="L64">
        <f t="shared" si="3"/>
        <v>15</v>
      </c>
      <c r="M64" s="13">
        <f t="shared" si="4"/>
        <v>0.28999999999999998</v>
      </c>
      <c r="N64" s="13">
        <f t="shared" si="11"/>
        <v>0.28999999999999998</v>
      </c>
      <c r="O64" s="6">
        <f t="shared" si="8"/>
        <v>17.462444852503612</v>
      </c>
      <c r="P64" s="6">
        <f t="shared" si="9"/>
        <v>17.139658022663621</v>
      </c>
      <c r="Q64" s="6">
        <f t="shared" si="6"/>
        <v>0.28999999999999998</v>
      </c>
      <c r="S64">
        <v>15</v>
      </c>
      <c r="T64" s="6">
        <f t="shared" si="10"/>
        <v>0.28999999999999998</v>
      </c>
    </row>
    <row r="65" spans="2:20">
      <c r="B65">
        <f t="shared" si="7"/>
        <v>62</v>
      </c>
      <c r="C65">
        <f t="shared" si="0"/>
        <v>31</v>
      </c>
      <c r="D65">
        <v>61</v>
      </c>
      <c r="E65">
        <v>92</v>
      </c>
      <c r="F65">
        <f>PMSPLINE!F$6</f>
        <v>0.28999999999999998</v>
      </c>
      <c r="G65">
        <f>PMSPLINE!F$7</f>
        <v>0.46833216623671287</v>
      </c>
      <c r="H65" s="6">
        <f>PMSPLINE!K$6</f>
        <v>-5.7584514346366886E-4</v>
      </c>
      <c r="I65" s="6">
        <f>PMSPLINE!K$7</f>
        <v>1.883559155156343E-3</v>
      </c>
      <c r="J65">
        <f t="shared" si="1"/>
        <v>0.967741935483871</v>
      </c>
      <c r="K65">
        <f t="shared" si="2"/>
        <v>3.2258064516129031E-2</v>
      </c>
      <c r="L65">
        <f t="shared" si="3"/>
        <v>16</v>
      </c>
      <c r="M65" s="6">
        <f t="shared" si="4"/>
        <v>0.29575265052376493</v>
      </c>
      <c r="N65" s="13">
        <f t="shared" si="11"/>
        <v>0.29169662806993923</v>
      </c>
      <c r="O65" s="6">
        <f t="shared" si="8"/>
        <v>17.758197503027379</v>
      </c>
      <c r="P65" s="6">
        <f t="shared" si="9"/>
        <v>17.43135465073356</v>
      </c>
      <c r="Q65" s="6">
        <f t="shared" si="6"/>
        <v>0.29169662806993923</v>
      </c>
      <c r="S65">
        <v>16</v>
      </c>
      <c r="T65" s="6">
        <f t="shared" si="10"/>
        <v>0.29169662806993923</v>
      </c>
    </row>
    <row r="66" spans="2:20">
      <c r="B66">
        <f t="shared" si="7"/>
        <v>63</v>
      </c>
      <c r="C66">
        <f t="shared" si="0"/>
        <v>31</v>
      </c>
      <c r="D66">
        <v>61</v>
      </c>
      <c r="E66">
        <v>92</v>
      </c>
      <c r="F66">
        <f>PMSPLINE!F$6</f>
        <v>0.28999999999999998</v>
      </c>
      <c r="G66">
        <f>PMSPLINE!F$7</f>
        <v>0.46833216623671287</v>
      </c>
      <c r="H66" s="6">
        <f>PMSPLINE!K$6</f>
        <v>-5.7584514346366886E-4</v>
      </c>
      <c r="I66" s="6">
        <f>PMSPLINE!K$7</f>
        <v>1.883559155156343E-3</v>
      </c>
      <c r="J66">
        <f t="shared" si="1"/>
        <v>0.93548387096774188</v>
      </c>
      <c r="K66">
        <f t="shared" si="2"/>
        <v>6.4516129032258063E-2</v>
      </c>
      <c r="L66">
        <f t="shared" si="3"/>
        <v>17</v>
      </c>
      <c r="M66" s="6">
        <f t="shared" si="4"/>
        <v>0.30150530104752982</v>
      </c>
      <c r="N66" s="13">
        <f t="shared" si="11"/>
        <v>0.29289674661895093</v>
      </c>
      <c r="O66" s="6">
        <f t="shared" si="8"/>
        <v>18.059702804074909</v>
      </c>
      <c r="P66" s="6">
        <f t="shared" si="9"/>
        <v>17.724251397352511</v>
      </c>
      <c r="Q66" s="6">
        <f t="shared" si="6"/>
        <v>0.29289674661895093</v>
      </c>
      <c r="S66">
        <v>17</v>
      </c>
      <c r="T66" s="6">
        <f t="shared" si="10"/>
        <v>0.29289674661895093</v>
      </c>
    </row>
    <row r="67" spans="2:20">
      <c r="B67">
        <f t="shared" si="7"/>
        <v>64</v>
      </c>
      <c r="C67">
        <f t="shared" si="0"/>
        <v>31</v>
      </c>
      <c r="D67">
        <v>61</v>
      </c>
      <c r="E67">
        <v>92</v>
      </c>
      <c r="F67">
        <f>PMSPLINE!F$6</f>
        <v>0.28999999999999998</v>
      </c>
      <c r="G67">
        <f>PMSPLINE!F$7</f>
        <v>0.46833216623671287</v>
      </c>
      <c r="H67" s="6">
        <f>PMSPLINE!K$6</f>
        <v>-5.7584514346366886E-4</v>
      </c>
      <c r="I67" s="6">
        <f>PMSPLINE!K$7</f>
        <v>1.883559155156343E-3</v>
      </c>
      <c r="J67">
        <f t="shared" si="1"/>
        <v>0.90322580645161288</v>
      </c>
      <c r="K67">
        <f t="shared" si="2"/>
        <v>9.6774193548387094E-2</v>
      </c>
      <c r="L67">
        <f t="shared" si="3"/>
        <v>18</v>
      </c>
      <c r="M67" s="6">
        <f t="shared" si="4"/>
        <v>0.30725795157129476</v>
      </c>
      <c r="N67" s="13">
        <f t="shared" si="11"/>
        <v>0.29367969126957127</v>
      </c>
      <c r="O67" s="6">
        <f t="shared" si="8"/>
        <v>18.366960755646204</v>
      </c>
      <c r="P67" s="6">
        <f t="shared" si="9"/>
        <v>18.017931088622081</v>
      </c>
      <c r="Q67" s="6">
        <f t="shared" si="6"/>
        <v>0.29367969126957127</v>
      </c>
      <c r="S67">
        <v>18</v>
      </c>
      <c r="T67" s="6">
        <f t="shared" si="10"/>
        <v>0.29367969126957127</v>
      </c>
    </row>
    <row r="68" spans="2:20">
      <c r="B68">
        <f t="shared" si="7"/>
        <v>65</v>
      </c>
      <c r="C68">
        <f t="shared" ref="C68:C131" si="12">E68-D68</f>
        <v>31</v>
      </c>
      <c r="D68">
        <v>61</v>
      </c>
      <c r="E68">
        <v>92</v>
      </c>
      <c r="F68">
        <f>PMSPLINE!F$6</f>
        <v>0.28999999999999998</v>
      </c>
      <c r="G68">
        <f>PMSPLINE!F$7</f>
        <v>0.46833216623671287</v>
      </c>
      <c r="H68" s="6">
        <f>PMSPLINE!K$6</f>
        <v>-5.7584514346366886E-4</v>
      </c>
      <c r="I68" s="6">
        <f>PMSPLINE!K$7</f>
        <v>1.883559155156343E-3</v>
      </c>
      <c r="J68">
        <f t="shared" ref="J68:J131" si="13">(E68-B68)/C68</f>
        <v>0.87096774193548387</v>
      </c>
      <c r="K68">
        <f t="shared" ref="K68:K131" si="14">(B68-D68)/C68</f>
        <v>0.12903225806451613</v>
      </c>
      <c r="L68">
        <f t="shared" ref="L68:L131" si="15">B68-46</f>
        <v>19</v>
      </c>
      <c r="M68" s="6">
        <f t="shared" ref="M68:M131" si="16">J68*F68+K68*G68</f>
        <v>0.31301060209505971</v>
      </c>
      <c r="N68" s="13">
        <f t="shared" si="11"/>
        <v>0.2941247976443363</v>
      </c>
      <c r="O68" s="6">
        <f t="shared" si="8"/>
        <v>18.679971357741262</v>
      </c>
      <c r="P68" s="6">
        <f t="shared" si="9"/>
        <v>18.312055886266418</v>
      </c>
      <c r="Q68" s="6">
        <f t="shared" ref="Q68:Q131" si="17">M68+(((J68^3-J68)*H68+(K68^3-K68)*I68))*(C68^2)/6</f>
        <v>0.2941247976443363</v>
      </c>
      <c r="S68">
        <v>19</v>
      </c>
      <c r="T68" s="6">
        <f t="shared" si="10"/>
        <v>0.2941247976443363</v>
      </c>
    </row>
    <row r="69" spans="2:20">
      <c r="B69">
        <f t="shared" ref="B69:B132" si="18">B68+1</f>
        <v>66</v>
      </c>
      <c r="C69">
        <f t="shared" si="12"/>
        <v>31</v>
      </c>
      <c r="D69">
        <v>61</v>
      </c>
      <c r="E69">
        <v>92</v>
      </c>
      <c r="F69">
        <f>PMSPLINE!F$6</f>
        <v>0.28999999999999998</v>
      </c>
      <c r="G69">
        <f>PMSPLINE!F$7</f>
        <v>0.46833216623671287</v>
      </c>
      <c r="H69" s="6">
        <f>PMSPLINE!K$6</f>
        <v>-5.7584514346366886E-4</v>
      </c>
      <c r="I69" s="6">
        <f>PMSPLINE!K$7</f>
        <v>1.883559155156343E-3</v>
      </c>
      <c r="J69">
        <f t="shared" si="13"/>
        <v>0.83870967741935487</v>
      </c>
      <c r="K69">
        <f t="shared" si="14"/>
        <v>0.16129032258064516</v>
      </c>
      <c r="L69">
        <f t="shared" si="15"/>
        <v>20</v>
      </c>
      <c r="M69" s="6">
        <f t="shared" si="16"/>
        <v>0.31876325261882466</v>
      </c>
      <c r="N69" s="13">
        <f t="shared" si="11"/>
        <v>0.29431140136578215</v>
      </c>
      <c r="O69" s="6">
        <f t="shared" ref="O69:O132" si="19">O68+M69</f>
        <v>18.998734610360088</v>
      </c>
      <c r="P69" s="6">
        <f t="shared" ref="P69:P132" si="20">P68+N69</f>
        <v>18.606367287632199</v>
      </c>
      <c r="Q69" s="6">
        <f t="shared" si="17"/>
        <v>0.29431140136578215</v>
      </c>
      <c r="S69">
        <v>20</v>
      </c>
      <c r="T69" s="6">
        <f t="shared" si="10"/>
        <v>0.29431140136578215</v>
      </c>
    </row>
    <row r="70" spans="2:20">
      <c r="B70">
        <f t="shared" si="18"/>
        <v>67</v>
      </c>
      <c r="C70">
        <f t="shared" si="12"/>
        <v>31</v>
      </c>
      <c r="D70">
        <v>61</v>
      </c>
      <c r="E70">
        <v>92</v>
      </c>
      <c r="F70">
        <f>PMSPLINE!F$6</f>
        <v>0.28999999999999998</v>
      </c>
      <c r="G70">
        <f>PMSPLINE!F$7</f>
        <v>0.46833216623671287</v>
      </c>
      <c r="H70" s="6">
        <f>PMSPLINE!K$6</f>
        <v>-5.7584514346366886E-4</v>
      </c>
      <c r="I70" s="6">
        <f>PMSPLINE!K$7</f>
        <v>1.883559155156343E-3</v>
      </c>
      <c r="J70">
        <f t="shared" si="13"/>
        <v>0.80645161290322576</v>
      </c>
      <c r="K70">
        <f t="shared" si="14"/>
        <v>0.19354838709677419</v>
      </c>
      <c r="L70">
        <f t="shared" si="15"/>
        <v>21</v>
      </c>
      <c r="M70" s="6">
        <f t="shared" si="16"/>
        <v>0.32451590314258955</v>
      </c>
      <c r="N70" s="13">
        <f t="shared" si="11"/>
        <v>0.29431883805644499</v>
      </c>
      <c r="O70" s="6">
        <f t="shared" si="19"/>
        <v>19.323250513502678</v>
      </c>
      <c r="P70" s="6">
        <f t="shared" si="20"/>
        <v>18.900686125688644</v>
      </c>
      <c r="Q70" s="6">
        <f t="shared" si="17"/>
        <v>0.29431883805644499</v>
      </c>
      <c r="S70">
        <v>21</v>
      </c>
      <c r="T70" s="6">
        <f t="shared" si="10"/>
        <v>0.29431883805644499</v>
      </c>
    </row>
    <row r="71" spans="2:20">
      <c r="B71">
        <f t="shared" si="18"/>
        <v>68</v>
      </c>
      <c r="C71">
        <f t="shared" si="12"/>
        <v>31</v>
      </c>
      <c r="D71">
        <v>61</v>
      </c>
      <c r="E71">
        <v>92</v>
      </c>
      <c r="F71">
        <f>PMSPLINE!F$6</f>
        <v>0.28999999999999998</v>
      </c>
      <c r="G71">
        <f>PMSPLINE!F$7</f>
        <v>0.46833216623671287</v>
      </c>
      <c r="H71" s="6">
        <f>PMSPLINE!K$6</f>
        <v>-5.7584514346366886E-4</v>
      </c>
      <c r="I71" s="6">
        <f>PMSPLINE!K$7</f>
        <v>1.883559155156343E-3</v>
      </c>
      <c r="J71">
        <f t="shared" si="13"/>
        <v>0.77419354838709675</v>
      </c>
      <c r="K71">
        <f t="shared" si="14"/>
        <v>0.22580645161290322</v>
      </c>
      <c r="L71">
        <f t="shared" si="15"/>
        <v>22</v>
      </c>
      <c r="M71" s="6">
        <f t="shared" si="16"/>
        <v>0.33026855366635449</v>
      </c>
      <c r="N71" s="13">
        <f t="shared" si="11"/>
        <v>0.294226443338861</v>
      </c>
      <c r="O71" s="6">
        <f t="shared" si="19"/>
        <v>19.653519067169032</v>
      </c>
      <c r="P71" s="6">
        <f t="shared" si="20"/>
        <v>19.194912569027505</v>
      </c>
      <c r="Q71" s="6">
        <f t="shared" si="17"/>
        <v>0.294226443338861</v>
      </c>
      <c r="S71">
        <v>22</v>
      </c>
      <c r="T71" s="6">
        <f t="shared" si="10"/>
        <v>0.294226443338861</v>
      </c>
    </row>
    <row r="72" spans="2:20">
      <c r="B72">
        <f t="shared" si="18"/>
        <v>69</v>
      </c>
      <c r="C72">
        <f t="shared" si="12"/>
        <v>31</v>
      </c>
      <c r="D72">
        <v>61</v>
      </c>
      <c r="E72">
        <v>92</v>
      </c>
      <c r="F72">
        <f>PMSPLINE!F$6</f>
        <v>0.28999999999999998</v>
      </c>
      <c r="G72">
        <f>PMSPLINE!F$7</f>
        <v>0.46833216623671287</v>
      </c>
      <c r="H72" s="6">
        <f>PMSPLINE!K$6</f>
        <v>-5.7584514346366886E-4</v>
      </c>
      <c r="I72" s="6">
        <f>PMSPLINE!K$7</f>
        <v>1.883559155156343E-3</v>
      </c>
      <c r="J72">
        <f t="shared" si="13"/>
        <v>0.74193548387096775</v>
      </c>
      <c r="K72">
        <f t="shared" si="14"/>
        <v>0.25806451612903225</v>
      </c>
      <c r="L72">
        <f t="shared" si="15"/>
        <v>23</v>
      </c>
      <c r="M72" s="6">
        <f t="shared" si="16"/>
        <v>0.33602120419011944</v>
      </c>
      <c r="N72" s="13">
        <f t="shared" si="11"/>
        <v>0.29411355283556617</v>
      </c>
      <c r="O72" s="6">
        <f t="shared" si="19"/>
        <v>19.98954027135915</v>
      </c>
      <c r="P72" s="6">
        <f t="shared" si="20"/>
        <v>19.48902612186307</v>
      </c>
      <c r="Q72" s="6">
        <f t="shared" si="17"/>
        <v>0.29411355283556617</v>
      </c>
      <c r="S72">
        <v>23</v>
      </c>
      <c r="T72" s="6">
        <f t="shared" si="10"/>
        <v>0.29411355283556617</v>
      </c>
    </row>
    <row r="73" spans="2:20">
      <c r="B73">
        <f t="shared" si="18"/>
        <v>70</v>
      </c>
      <c r="C73">
        <f t="shared" si="12"/>
        <v>31</v>
      </c>
      <c r="D73">
        <v>61</v>
      </c>
      <c r="E73">
        <v>92</v>
      </c>
      <c r="F73">
        <f>PMSPLINE!F$6</f>
        <v>0.28999999999999998</v>
      </c>
      <c r="G73">
        <f>PMSPLINE!F$7</f>
        <v>0.46833216623671287</v>
      </c>
      <c r="H73" s="6">
        <f>PMSPLINE!K$6</f>
        <v>-5.7584514346366886E-4</v>
      </c>
      <c r="I73" s="6">
        <f>PMSPLINE!K$7</f>
        <v>1.883559155156343E-3</v>
      </c>
      <c r="J73">
        <f t="shared" si="13"/>
        <v>0.70967741935483875</v>
      </c>
      <c r="K73">
        <f t="shared" si="14"/>
        <v>0.29032258064516131</v>
      </c>
      <c r="L73">
        <f t="shared" si="15"/>
        <v>24</v>
      </c>
      <c r="M73" s="6">
        <f t="shared" si="16"/>
        <v>0.34177385471388438</v>
      </c>
      <c r="N73" s="13">
        <f t="shared" si="11"/>
        <v>0.29405950216909676</v>
      </c>
      <c r="O73" s="6">
        <f t="shared" si="19"/>
        <v>20.331314126073035</v>
      </c>
      <c r="P73" s="6">
        <f t="shared" si="20"/>
        <v>19.783085624032168</v>
      </c>
      <c r="Q73" s="6">
        <f t="shared" si="17"/>
        <v>0.29405950216909676</v>
      </c>
      <c r="S73">
        <v>24</v>
      </c>
      <c r="T73" s="6">
        <f t="shared" si="10"/>
        <v>0.29405950216909676</v>
      </c>
    </row>
    <row r="74" spans="2:20">
      <c r="B74">
        <f t="shared" si="18"/>
        <v>71</v>
      </c>
      <c r="C74">
        <f t="shared" si="12"/>
        <v>31</v>
      </c>
      <c r="D74">
        <v>61</v>
      </c>
      <c r="E74">
        <v>92</v>
      </c>
      <c r="F74">
        <f>PMSPLINE!F$6</f>
        <v>0.28999999999999998</v>
      </c>
      <c r="G74">
        <f>PMSPLINE!F$7</f>
        <v>0.46833216623671287</v>
      </c>
      <c r="H74" s="6">
        <f>PMSPLINE!K$6</f>
        <v>-5.7584514346366886E-4</v>
      </c>
      <c r="I74" s="6">
        <f>PMSPLINE!K$7</f>
        <v>1.883559155156343E-3</v>
      </c>
      <c r="J74">
        <f t="shared" si="13"/>
        <v>0.67741935483870963</v>
      </c>
      <c r="K74">
        <f t="shared" si="14"/>
        <v>0.32258064516129031</v>
      </c>
      <c r="L74">
        <f t="shared" si="15"/>
        <v>25</v>
      </c>
      <c r="M74" s="6">
        <f t="shared" si="16"/>
        <v>0.34752650523764927</v>
      </c>
      <c r="N74" s="13">
        <f t="shared" si="11"/>
        <v>0.29414362696198881</v>
      </c>
      <c r="O74" s="6">
        <f t="shared" si="19"/>
        <v>20.678840631310685</v>
      </c>
      <c r="P74" s="6">
        <f t="shared" si="20"/>
        <v>20.077229250994158</v>
      </c>
      <c r="Q74" s="6">
        <f t="shared" si="17"/>
        <v>0.29414362696198881</v>
      </c>
      <c r="S74">
        <v>25</v>
      </c>
      <c r="T74" s="6">
        <f t="shared" si="10"/>
        <v>0.29414362696198881</v>
      </c>
    </row>
    <row r="75" spans="2:20">
      <c r="B75">
        <f t="shared" si="18"/>
        <v>72</v>
      </c>
      <c r="C75">
        <f t="shared" si="12"/>
        <v>31</v>
      </c>
      <c r="D75">
        <v>61</v>
      </c>
      <c r="E75">
        <v>92</v>
      </c>
      <c r="F75">
        <f>PMSPLINE!F$6</f>
        <v>0.28999999999999998</v>
      </c>
      <c r="G75">
        <f>PMSPLINE!F$7</f>
        <v>0.46833216623671287</v>
      </c>
      <c r="H75" s="6">
        <f>PMSPLINE!K$6</f>
        <v>-5.7584514346366886E-4</v>
      </c>
      <c r="I75" s="6">
        <f>PMSPLINE!K$7</f>
        <v>1.883559155156343E-3</v>
      </c>
      <c r="J75">
        <f t="shared" si="13"/>
        <v>0.64516129032258063</v>
      </c>
      <c r="K75">
        <f t="shared" si="14"/>
        <v>0.35483870967741937</v>
      </c>
      <c r="L75">
        <f t="shared" si="15"/>
        <v>26</v>
      </c>
      <c r="M75" s="6">
        <f t="shared" si="16"/>
        <v>0.35327915576141422</v>
      </c>
      <c r="N75" s="13">
        <f t="shared" si="11"/>
        <v>0.29444526283677852</v>
      </c>
      <c r="O75" s="6">
        <f t="shared" si="19"/>
        <v>21.032119787072098</v>
      </c>
      <c r="P75" s="6">
        <f t="shared" si="20"/>
        <v>20.371674513830936</v>
      </c>
      <c r="Q75" s="6">
        <f t="shared" si="17"/>
        <v>0.29444526283677852</v>
      </c>
      <c r="S75">
        <v>26</v>
      </c>
      <c r="T75" s="6">
        <f t="shared" si="10"/>
        <v>0.29444526283677852</v>
      </c>
    </row>
    <row r="76" spans="2:20">
      <c r="B76">
        <f t="shared" si="18"/>
        <v>73</v>
      </c>
      <c r="C76">
        <f t="shared" si="12"/>
        <v>31</v>
      </c>
      <c r="D76">
        <v>61</v>
      </c>
      <c r="E76">
        <v>92</v>
      </c>
      <c r="F76">
        <f>PMSPLINE!F$6</f>
        <v>0.28999999999999998</v>
      </c>
      <c r="G76">
        <f>PMSPLINE!F$7</f>
        <v>0.46833216623671287</v>
      </c>
      <c r="H76" s="6">
        <f>PMSPLINE!K$6</f>
        <v>-5.7584514346366886E-4</v>
      </c>
      <c r="I76" s="6">
        <f>PMSPLINE!K$7</f>
        <v>1.883559155156343E-3</v>
      </c>
      <c r="J76">
        <f t="shared" si="13"/>
        <v>0.61290322580645162</v>
      </c>
      <c r="K76">
        <f t="shared" si="14"/>
        <v>0.38709677419354838</v>
      </c>
      <c r="L76">
        <f t="shared" si="15"/>
        <v>27</v>
      </c>
      <c r="M76" s="6">
        <f t="shared" si="16"/>
        <v>0.35903180628517917</v>
      </c>
      <c r="N76" s="13">
        <f t="shared" si="11"/>
        <v>0.29504374541600198</v>
      </c>
      <c r="O76" s="6">
        <f t="shared" si="19"/>
        <v>21.391151593357279</v>
      </c>
      <c r="P76" s="6">
        <f t="shared" si="20"/>
        <v>20.666718259246938</v>
      </c>
      <c r="Q76" s="6">
        <f t="shared" si="17"/>
        <v>0.29504374541600198</v>
      </c>
      <c r="S76">
        <v>27</v>
      </c>
      <c r="T76" s="6">
        <f t="shared" si="10"/>
        <v>0.29504374541600198</v>
      </c>
    </row>
    <row r="77" spans="2:20">
      <c r="B77">
        <f t="shared" si="18"/>
        <v>74</v>
      </c>
      <c r="C77">
        <f t="shared" si="12"/>
        <v>31</v>
      </c>
      <c r="D77">
        <v>61</v>
      </c>
      <c r="E77">
        <v>92</v>
      </c>
      <c r="F77">
        <f>PMSPLINE!F$6</f>
        <v>0.28999999999999998</v>
      </c>
      <c r="G77">
        <f>PMSPLINE!F$7</f>
        <v>0.46833216623671287</v>
      </c>
      <c r="H77" s="6">
        <f>PMSPLINE!K$6</f>
        <v>-5.7584514346366886E-4</v>
      </c>
      <c r="I77" s="6">
        <f>PMSPLINE!K$7</f>
        <v>1.883559155156343E-3</v>
      </c>
      <c r="J77">
        <f t="shared" si="13"/>
        <v>0.58064516129032262</v>
      </c>
      <c r="K77">
        <f t="shared" si="14"/>
        <v>0.41935483870967744</v>
      </c>
      <c r="L77">
        <f t="shared" si="15"/>
        <v>28</v>
      </c>
      <c r="M77" s="6">
        <f t="shared" si="16"/>
        <v>0.36478445680894411</v>
      </c>
      <c r="N77" s="13">
        <f t="shared" si="11"/>
        <v>0.29601841032219528</v>
      </c>
      <c r="O77" s="6">
        <f t="shared" si="19"/>
        <v>21.755936050166223</v>
      </c>
      <c r="P77" s="6">
        <f t="shared" si="20"/>
        <v>20.962736669569132</v>
      </c>
      <c r="Q77" s="6">
        <f t="shared" si="17"/>
        <v>0.29601841032219528</v>
      </c>
      <c r="S77">
        <v>28</v>
      </c>
      <c r="T77" s="6">
        <f t="shared" si="10"/>
        <v>0.29601841032219528</v>
      </c>
    </row>
    <row r="78" spans="2:20">
      <c r="B78">
        <f t="shared" si="18"/>
        <v>75</v>
      </c>
      <c r="C78">
        <f t="shared" si="12"/>
        <v>31</v>
      </c>
      <c r="D78">
        <v>61</v>
      </c>
      <c r="E78">
        <v>92</v>
      </c>
      <c r="F78">
        <f>PMSPLINE!F$6</f>
        <v>0.28999999999999998</v>
      </c>
      <c r="G78">
        <f>PMSPLINE!F$7</f>
        <v>0.46833216623671287</v>
      </c>
      <c r="H78" s="6">
        <f>PMSPLINE!K$6</f>
        <v>-5.7584514346366886E-4</v>
      </c>
      <c r="I78" s="6">
        <f>PMSPLINE!K$7</f>
        <v>1.883559155156343E-3</v>
      </c>
      <c r="J78">
        <f t="shared" si="13"/>
        <v>0.54838709677419351</v>
      </c>
      <c r="K78">
        <f t="shared" si="14"/>
        <v>0.45161290322580644</v>
      </c>
      <c r="L78">
        <f t="shared" si="15"/>
        <v>29</v>
      </c>
      <c r="M78" s="6">
        <f t="shared" si="16"/>
        <v>0.370537107332709</v>
      </c>
      <c r="N78" s="13">
        <f t="shared" si="11"/>
        <v>0.29744859317789463</v>
      </c>
      <c r="O78" s="6">
        <f t="shared" si="19"/>
        <v>22.126473157498932</v>
      </c>
      <c r="P78" s="6">
        <f t="shared" si="20"/>
        <v>21.260185262747026</v>
      </c>
      <c r="Q78" s="6">
        <f t="shared" si="17"/>
        <v>0.29744859317789463</v>
      </c>
      <c r="S78">
        <v>29</v>
      </c>
      <c r="T78" s="6">
        <f t="shared" si="10"/>
        <v>0.29744859317789463</v>
      </c>
    </row>
    <row r="79" spans="2:20">
      <c r="B79">
        <f t="shared" si="18"/>
        <v>76</v>
      </c>
      <c r="C79">
        <f t="shared" si="12"/>
        <v>31</v>
      </c>
      <c r="D79">
        <v>61</v>
      </c>
      <c r="E79">
        <v>92</v>
      </c>
      <c r="F79">
        <f>PMSPLINE!F$6</f>
        <v>0.28999999999999998</v>
      </c>
      <c r="G79">
        <f>PMSPLINE!F$7</f>
        <v>0.46833216623671287</v>
      </c>
      <c r="H79" s="6">
        <f>PMSPLINE!K$6</f>
        <v>-5.7584514346366886E-4</v>
      </c>
      <c r="I79" s="6">
        <f>PMSPLINE!K$7</f>
        <v>1.883559155156343E-3</v>
      </c>
      <c r="J79">
        <f t="shared" si="13"/>
        <v>0.5161290322580645</v>
      </c>
      <c r="K79">
        <f t="shared" si="14"/>
        <v>0.4838709677419355</v>
      </c>
      <c r="L79">
        <f t="shared" si="15"/>
        <v>30</v>
      </c>
      <c r="M79" s="6">
        <f t="shared" si="16"/>
        <v>0.37628975785647395</v>
      </c>
      <c r="N79" s="13">
        <f t="shared" si="11"/>
        <v>0.29941362960563611</v>
      </c>
      <c r="O79" s="6">
        <f t="shared" si="19"/>
        <v>22.502762915355405</v>
      </c>
      <c r="P79" s="6">
        <f t="shared" si="20"/>
        <v>21.55959889235266</v>
      </c>
      <c r="Q79" s="6">
        <f t="shared" si="17"/>
        <v>0.29941362960563611</v>
      </c>
      <c r="S79">
        <v>30</v>
      </c>
      <c r="T79" s="6">
        <f t="shared" si="10"/>
        <v>0.29941362960563611</v>
      </c>
    </row>
    <row r="80" spans="2:20">
      <c r="B80">
        <f t="shared" si="18"/>
        <v>77</v>
      </c>
      <c r="C80">
        <f t="shared" si="12"/>
        <v>31</v>
      </c>
      <c r="D80">
        <v>61</v>
      </c>
      <c r="E80">
        <v>92</v>
      </c>
      <c r="F80">
        <f>PMSPLINE!F$6</f>
        <v>0.28999999999999998</v>
      </c>
      <c r="G80">
        <f>PMSPLINE!F$7</f>
        <v>0.46833216623671287</v>
      </c>
      <c r="H80" s="6">
        <f>PMSPLINE!K$6</f>
        <v>-5.7584514346366886E-4</v>
      </c>
      <c r="I80" s="6">
        <f>PMSPLINE!K$7</f>
        <v>1.883559155156343E-3</v>
      </c>
      <c r="J80">
        <f t="shared" si="13"/>
        <v>0.4838709677419355</v>
      </c>
      <c r="K80">
        <f t="shared" si="14"/>
        <v>0.5161290322580645</v>
      </c>
      <c r="L80">
        <f t="shared" si="15"/>
        <v>31</v>
      </c>
      <c r="M80" s="6">
        <f t="shared" si="16"/>
        <v>0.3820424083802389</v>
      </c>
      <c r="N80" s="13">
        <f t="shared" si="11"/>
        <v>0.30199285522795583</v>
      </c>
      <c r="O80" s="6">
        <f t="shared" si="19"/>
        <v>22.884805323735645</v>
      </c>
      <c r="P80" s="6">
        <f t="shared" si="20"/>
        <v>21.861591747580615</v>
      </c>
      <c r="Q80" s="6">
        <f t="shared" si="17"/>
        <v>0.30199285522795583</v>
      </c>
      <c r="S80">
        <v>31</v>
      </c>
      <c r="T80" s="6">
        <f t="shared" si="10"/>
        <v>0.30199285522795583</v>
      </c>
    </row>
    <row r="81" spans="1:20">
      <c r="B81">
        <f t="shared" si="18"/>
        <v>78</v>
      </c>
      <c r="C81">
        <f t="shared" si="12"/>
        <v>31</v>
      </c>
      <c r="D81">
        <v>61</v>
      </c>
      <c r="E81">
        <v>92</v>
      </c>
      <c r="F81">
        <f>PMSPLINE!F$6</f>
        <v>0.28999999999999998</v>
      </c>
      <c r="G81">
        <f>PMSPLINE!F$7</f>
        <v>0.46833216623671287</v>
      </c>
      <c r="H81" s="6">
        <f>PMSPLINE!K$6</f>
        <v>-5.7584514346366886E-4</v>
      </c>
      <c r="I81" s="6">
        <f>PMSPLINE!K$7</f>
        <v>1.883559155156343E-3</v>
      </c>
      <c r="J81">
        <f t="shared" si="13"/>
        <v>0.45161290322580644</v>
      </c>
      <c r="K81">
        <f t="shared" si="14"/>
        <v>0.54838709677419351</v>
      </c>
      <c r="L81">
        <f t="shared" si="15"/>
        <v>32</v>
      </c>
      <c r="M81" s="6">
        <f t="shared" si="16"/>
        <v>0.38779505890400379</v>
      </c>
      <c r="N81" s="13">
        <f t="shared" si="11"/>
        <v>0.30526560566738997</v>
      </c>
      <c r="O81" s="6">
        <f t="shared" si="19"/>
        <v>23.272600382639649</v>
      </c>
      <c r="P81" s="6">
        <f t="shared" si="20"/>
        <v>22.166857353248005</v>
      </c>
      <c r="Q81" s="6">
        <f t="shared" si="17"/>
        <v>0.30526560566738997</v>
      </c>
      <c r="S81">
        <v>32</v>
      </c>
      <c r="T81" s="6">
        <f t="shared" si="10"/>
        <v>0.30526560566738997</v>
      </c>
    </row>
    <row r="82" spans="1:20">
      <c r="B82">
        <f t="shared" si="18"/>
        <v>79</v>
      </c>
      <c r="C82">
        <f t="shared" si="12"/>
        <v>31</v>
      </c>
      <c r="D82">
        <v>61</v>
      </c>
      <c r="E82">
        <v>92</v>
      </c>
      <c r="F82">
        <f>PMSPLINE!F$6</f>
        <v>0.28999999999999998</v>
      </c>
      <c r="G82">
        <f>PMSPLINE!F$7</f>
        <v>0.46833216623671287</v>
      </c>
      <c r="H82" s="6">
        <f>PMSPLINE!K$6</f>
        <v>-5.7584514346366886E-4</v>
      </c>
      <c r="I82" s="6">
        <f>PMSPLINE!K$7</f>
        <v>1.883559155156343E-3</v>
      </c>
      <c r="J82">
        <f t="shared" si="13"/>
        <v>0.41935483870967744</v>
      </c>
      <c r="K82">
        <f t="shared" si="14"/>
        <v>0.58064516129032262</v>
      </c>
      <c r="L82">
        <f t="shared" si="15"/>
        <v>33</v>
      </c>
      <c r="M82" s="6">
        <f t="shared" si="16"/>
        <v>0.39354770942776873</v>
      </c>
      <c r="N82" s="13">
        <f t="shared" si="11"/>
        <v>0.3093112165464747</v>
      </c>
      <c r="O82" s="6">
        <f t="shared" si="19"/>
        <v>23.666148092067417</v>
      </c>
      <c r="P82" s="6">
        <f t="shared" si="20"/>
        <v>22.476168569794481</v>
      </c>
      <c r="Q82" s="6">
        <f t="shared" si="17"/>
        <v>0.3093112165464747</v>
      </c>
      <c r="S82">
        <v>33</v>
      </c>
      <c r="T82" s="6">
        <f t="shared" si="10"/>
        <v>0.3093112165464747</v>
      </c>
    </row>
    <row r="83" spans="1:20">
      <c r="B83">
        <f t="shared" si="18"/>
        <v>80</v>
      </c>
      <c r="C83">
        <f t="shared" si="12"/>
        <v>31</v>
      </c>
      <c r="D83">
        <v>61</v>
      </c>
      <c r="E83">
        <v>92</v>
      </c>
      <c r="F83">
        <f>PMSPLINE!F$6</f>
        <v>0.28999999999999998</v>
      </c>
      <c r="G83">
        <f>PMSPLINE!F$7</f>
        <v>0.46833216623671287</v>
      </c>
      <c r="H83" s="6">
        <f>PMSPLINE!K$6</f>
        <v>-5.7584514346366886E-4</v>
      </c>
      <c r="I83" s="6">
        <f>PMSPLINE!K$7</f>
        <v>1.883559155156343E-3</v>
      </c>
      <c r="J83">
        <f t="shared" si="13"/>
        <v>0.38709677419354838</v>
      </c>
      <c r="K83">
        <f t="shared" si="14"/>
        <v>0.61290322580645162</v>
      </c>
      <c r="L83">
        <f t="shared" si="15"/>
        <v>34</v>
      </c>
      <c r="M83" s="6">
        <f t="shared" si="16"/>
        <v>0.39930035995153368</v>
      </c>
      <c r="N83" s="13">
        <f t="shared" si="11"/>
        <v>0.31420902348774604</v>
      </c>
      <c r="O83" s="6">
        <f t="shared" si="19"/>
        <v>24.065448452018948</v>
      </c>
      <c r="P83" s="6">
        <f t="shared" si="20"/>
        <v>22.790377593282226</v>
      </c>
      <c r="Q83" s="6">
        <f t="shared" si="17"/>
        <v>0.31420902348774604</v>
      </c>
      <c r="S83">
        <v>34</v>
      </c>
      <c r="T83" s="6">
        <f t="shared" si="10"/>
        <v>0.31420902348774604</v>
      </c>
    </row>
    <row r="84" spans="1:20">
      <c r="B84">
        <f t="shared" si="18"/>
        <v>81</v>
      </c>
      <c r="C84">
        <f t="shared" si="12"/>
        <v>31</v>
      </c>
      <c r="D84">
        <v>61</v>
      </c>
      <c r="E84">
        <v>92</v>
      </c>
      <c r="F84">
        <f>PMSPLINE!F$6</f>
        <v>0.28999999999999998</v>
      </c>
      <c r="G84">
        <f>PMSPLINE!F$7</f>
        <v>0.46833216623671287</v>
      </c>
      <c r="H84" s="6">
        <f>PMSPLINE!K$6</f>
        <v>-5.7584514346366886E-4</v>
      </c>
      <c r="I84" s="6">
        <f>PMSPLINE!K$7</f>
        <v>1.883559155156343E-3</v>
      </c>
      <c r="J84">
        <f t="shared" si="13"/>
        <v>0.35483870967741937</v>
      </c>
      <c r="K84">
        <f t="shared" si="14"/>
        <v>0.64516129032258063</v>
      </c>
      <c r="L84">
        <f t="shared" si="15"/>
        <v>35</v>
      </c>
      <c r="M84" s="6">
        <f t="shared" si="16"/>
        <v>0.40505301047529862</v>
      </c>
      <c r="N84" s="13">
        <f t="shared" si="11"/>
        <v>0.3200383621137402</v>
      </c>
      <c r="O84" s="6">
        <f t="shared" si="19"/>
        <v>24.470501462494248</v>
      </c>
      <c r="P84" s="6">
        <f t="shared" si="20"/>
        <v>23.110415955395968</v>
      </c>
      <c r="Q84" s="6">
        <f t="shared" si="17"/>
        <v>0.3200383621137402</v>
      </c>
      <c r="S84">
        <v>35</v>
      </c>
      <c r="T84" s="6">
        <f t="shared" si="10"/>
        <v>0.3200383621137402</v>
      </c>
    </row>
    <row r="85" spans="1:20">
      <c r="B85">
        <f t="shared" si="18"/>
        <v>82</v>
      </c>
      <c r="C85">
        <f t="shared" si="12"/>
        <v>31</v>
      </c>
      <c r="D85">
        <v>61</v>
      </c>
      <c r="E85">
        <v>92</v>
      </c>
      <c r="F85">
        <f>PMSPLINE!F$6</f>
        <v>0.28999999999999998</v>
      </c>
      <c r="G85">
        <f>PMSPLINE!F$7</f>
        <v>0.46833216623671287</v>
      </c>
      <c r="H85" s="6">
        <f>PMSPLINE!K$6</f>
        <v>-5.7584514346366886E-4</v>
      </c>
      <c r="I85" s="6">
        <f>PMSPLINE!K$7</f>
        <v>1.883559155156343E-3</v>
      </c>
      <c r="J85">
        <f t="shared" si="13"/>
        <v>0.32258064516129031</v>
      </c>
      <c r="K85">
        <f t="shared" si="14"/>
        <v>0.67741935483870963</v>
      </c>
      <c r="L85">
        <f t="shared" si="15"/>
        <v>36</v>
      </c>
      <c r="M85" s="6">
        <f t="shared" si="16"/>
        <v>0.41080566099906357</v>
      </c>
      <c r="N85" s="13">
        <f t="shared" si="11"/>
        <v>0.32687856804699328</v>
      </c>
      <c r="O85" s="6">
        <f t="shared" si="19"/>
        <v>24.881307123493311</v>
      </c>
      <c r="P85" s="6">
        <f t="shared" si="20"/>
        <v>23.437294523442961</v>
      </c>
      <c r="Q85" s="6">
        <f t="shared" si="17"/>
        <v>0.32687856804699328</v>
      </c>
      <c r="S85">
        <v>36</v>
      </c>
      <c r="T85" s="6">
        <f t="shared" si="10"/>
        <v>0.32687856804699328</v>
      </c>
    </row>
    <row r="86" spans="1:20">
      <c r="B86">
        <f t="shared" si="18"/>
        <v>83</v>
      </c>
      <c r="C86">
        <f t="shared" si="12"/>
        <v>31</v>
      </c>
      <c r="D86">
        <v>61</v>
      </c>
      <c r="E86">
        <v>92</v>
      </c>
      <c r="F86">
        <f>PMSPLINE!F$6</f>
        <v>0.28999999999999998</v>
      </c>
      <c r="G86">
        <f>PMSPLINE!F$7</f>
        <v>0.46833216623671287</v>
      </c>
      <c r="H86" s="6">
        <f>PMSPLINE!K$6</f>
        <v>-5.7584514346366886E-4</v>
      </c>
      <c r="I86" s="6">
        <f>PMSPLINE!K$7</f>
        <v>1.883559155156343E-3</v>
      </c>
      <c r="J86">
        <f t="shared" si="13"/>
        <v>0.29032258064516131</v>
      </c>
      <c r="K86">
        <f t="shared" si="14"/>
        <v>0.70967741935483875</v>
      </c>
      <c r="L86">
        <f t="shared" si="15"/>
        <v>37</v>
      </c>
      <c r="M86" s="6">
        <f t="shared" si="16"/>
        <v>0.41655831152282852</v>
      </c>
      <c r="N86" s="13">
        <f t="shared" si="11"/>
        <v>0.33480897691004141</v>
      </c>
      <c r="O86" s="6">
        <f t="shared" si="19"/>
        <v>25.297865435016138</v>
      </c>
      <c r="P86" s="6">
        <f t="shared" si="20"/>
        <v>23.772103500353001</v>
      </c>
      <c r="Q86" s="6">
        <f t="shared" si="17"/>
        <v>0.33480897691004141</v>
      </c>
      <c r="S86">
        <v>37</v>
      </c>
      <c r="T86" s="6">
        <f t="shared" si="10"/>
        <v>0.33480897691004141</v>
      </c>
    </row>
    <row r="87" spans="1:20">
      <c r="B87">
        <f t="shared" si="18"/>
        <v>84</v>
      </c>
      <c r="C87">
        <f t="shared" si="12"/>
        <v>31</v>
      </c>
      <c r="D87">
        <v>61</v>
      </c>
      <c r="E87">
        <v>92</v>
      </c>
      <c r="F87">
        <f>PMSPLINE!F$6</f>
        <v>0.28999999999999998</v>
      </c>
      <c r="G87">
        <f>PMSPLINE!F$7</f>
        <v>0.46833216623671287</v>
      </c>
      <c r="H87" s="6">
        <f>PMSPLINE!K$6</f>
        <v>-5.7584514346366886E-4</v>
      </c>
      <c r="I87" s="6">
        <f>PMSPLINE!K$7</f>
        <v>1.883559155156343E-3</v>
      </c>
      <c r="J87">
        <f t="shared" si="13"/>
        <v>0.25806451612903225</v>
      </c>
      <c r="K87">
        <f t="shared" si="14"/>
        <v>0.74193548387096775</v>
      </c>
      <c r="L87">
        <f t="shared" si="15"/>
        <v>38</v>
      </c>
      <c r="M87" s="6">
        <f t="shared" si="16"/>
        <v>0.42231096204659341</v>
      </c>
      <c r="N87" s="13">
        <f t="shared" si="11"/>
        <v>0.34390892432542064</v>
      </c>
      <c r="O87" s="6">
        <f t="shared" si="19"/>
        <v>25.720176397062733</v>
      </c>
      <c r="P87" s="6">
        <f t="shared" si="20"/>
        <v>24.116012424678424</v>
      </c>
      <c r="Q87" s="6">
        <f t="shared" si="17"/>
        <v>0.34390892432542064</v>
      </c>
      <c r="S87">
        <v>38</v>
      </c>
      <c r="T87" s="6">
        <f t="shared" si="10"/>
        <v>0.34390892432542064</v>
      </c>
    </row>
    <row r="88" spans="1:20">
      <c r="B88">
        <f t="shared" si="18"/>
        <v>85</v>
      </c>
      <c r="C88">
        <f t="shared" si="12"/>
        <v>31</v>
      </c>
      <c r="D88">
        <v>61</v>
      </c>
      <c r="E88">
        <v>92</v>
      </c>
      <c r="F88">
        <f>PMSPLINE!F$6</f>
        <v>0.28999999999999998</v>
      </c>
      <c r="G88">
        <f>PMSPLINE!F$7</f>
        <v>0.46833216623671287</v>
      </c>
      <c r="H88" s="6">
        <f>PMSPLINE!K$6</f>
        <v>-5.7584514346366886E-4</v>
      </c>
      <c r="I88" s="6">
        <f>PMSPLINE!K$7</f>
        <v>1.883559155156343E-3</v>
      </c>
      <c r="J88">
        <f t="shared" si="13"/>
        <v>0.22580645161290322</v>
      </c>
      <c r="K88">
        <f t="shared" si="14"/>
        <v>0.77419354838709675</v>
      </c>
      <c r="L88">
        <f t="shared" si="15"/>
        <v>39</v>
      </c>
      <c r="M88" s="6">
        <f t="shared" si="16"/>
        <v>0.42806361257035835</v>
      </c>
      <c r="N88" s="13">
        <f t="shared" si="11"/>
        <v>0.35425774591566722</v>
      </c>
      <c r="O88" s="6">
        <f t="shared" si="19"/>
        <v>26.148240009633092</v>
      </c>
      <c r="P88" s="6">
        <f t="shared" si="20"/>
        <v>24.470270170594091</v>
      </c>
      <c r="Q88" s="6">
        <f t="shared" si="17"/>
        <v>0.35425774591566722</v>
      </c>
      <c r="S88">
        <v>39</v>
      </c>
      <c r="T88" s="6">
        <f t="shared" si="10"/>
        <v>0.35425774591566722</v>
      </c>
    </row>
    <row r="89" spans="1:20">
      <c r="B89">
        <f t="shared" si="18"/>
        <v>86</v>
      </c>
      <c r="C89">
        <f t="shared" si="12"/>
        <v>31</v>
      </c>
      <c r="D89">
        <v>61</v>
      </c>
      <c r="E89">
        <v>92</v>
      </c>
      <c r="F89">
        <f>PMSPLINE!F$6</f>
        <v>0.28999999999999998</v>
      </c>
      <c r="G89">
        <f>PMSPLINE!F$7</f>
        <v>0.46833216623671287</v>
      </c>
      <c r="H89" s="6">
        <f>PMSPLINE!K$6</f>
        <v>-5.7584514346366886E-4</v>
      </c>
      <c r="I89" s="6">
        <f>PMSPLINE!K$7</f>
        <v>1.883559155156343E-3</v>
      </c>
      <c r="J89">
        <f t="shared" si="13"/>
        <v>0.19354838709677419</v>
      </c>
      <c r="K89">
        <f t="shared" si="14"/>
        <v>0.80645161290322576</v>
      </c>
      <c r="L89">
        <f t="shared" si="15"/>
        <v>40</v>
      </c>
      <c r="M89" s="6">
        <f t="shared" si="16"/>
        <v>0.43381626309412324</v>
      </c>
      <c r="N89" s="13">
        <f t="shared" si="11"/>
        <v>0.36593477730331719</v>
      </c>
      <c r="O89" s="6">
        <f t="shared" si="19"/>
        <v>26.582056272727215</v>
      </c>
      <c r="P89" s="6">
        <f t="shared" si="20"/>
        <v>24.836204947897407</v>
      </c>
      <c r="Q89" s="6">
        <f t="shared" si="17"/>
        <v>0.36593477730331719</v>
      </c>
      <c r="S89">
        <v>40</v>
      </c>
      <c r="T89" s="6">
        <f t="shared" si="10"/>
        <v>0.36593477730331719</v>
      </c>
    </row>
    <row r="90" spans="1:20">
      <c r="B90">
        <f t="shared" si="18"/>
        <v>87</v>
      </c>
      <c r="C90">
        <f t="shared" si="12"/>
        <v>31</v>
      </c>
      <c r="D90">
        <v>61</v>
      </c>
      <c r="E90">
        <v>92</v>
      </c>
      <c r="F90">
        <f>PMSPLINE!F$6</f>
        <v>0.28999999999999998</v>
      </c>
      <c r="G90">
        <f>PMSPLINE!F$7</f>
        <v>0.46833216623671287</v>
      </c>
      <c r="H90" s="6">
        <f>PMSPLINE!K$6</f>
        <v>-5.7584514346366886E-4</v>
      </c>
      <c r="I90" s="6">
        <f>PMSPLINE!K$7</f>
        <v>1.883559155156343E-3</v>
      </c>
      <c r="J90">
        <f t="shared" si="13"/>
        <v>0.16129032258064516</v>
      </c>
      <c r="K90">
        <f t="shared" si="14"/>
        <v>0.83870967741935487</v>
      </c>
      <c r="L90">
        <f t="shared" si="15"/>
        <v>41</v>
      </c>
      <c r="M90" s="6">
        <f t="shared" si="16"/>
        <v>0.43956891361788819</v>
      </c>
      <c r="N90" s="13">
        <f t="shared" si="11"/>
        <v>0.37901935411090687</v>
      </c>
      <c r="O90" s="6">
        <f t="shared" si="19"/>
        <v>27.021625186345101</v>
      </c>
      <c r="P90" s="6">
        <f t="shared" si="20"/>
        <v>25.215224302008313</v>
      </c>
      <c r="Q90" s="6">
        <f t="shared" si="17"/>
        <v>0.37901935411090687</v>
      </c>
      <c r="S90">
        <v>41</v>
      </c>
      <c r="T90" s="6">
        <f t="shared" si="10"/>
        <v>0.37901935411090687</v>
      </c>
    </row>
    <row r="91" spans="1:20">
      <c r="B91">
        <f t="shared" si="18"/>
        <v>88</v>
      </c>
      <c r="C91">
        <f t="shared" si="12"/>
        <v>31</v>
      </c>
      <c r="D91">
        <v>61</v>
      </c>
      <c r="E91">
        <v>92</v>
      </c>
      <c r="F91">
        <f>PMSPLINE!F$6</f>
        <v>0.28999999999999998</v>
      </c>
      <c r="G91">
        <f>PMSPLINE!F$7</f>
        <v>0.46833216623671287</v>
      </c>
      <c r="H91" s="6">
        <f>PMSPLINE!K$6</f>
        <v>-5.7584514346366886E-4</v>
      </c>
      <c r="I91" s="6">
        <f>PMSPLINE!K$7</f>
        <v>1.883559155156343E-3</v>
      </c>
      <c r="J91">
        <f t="shared" si="13"/>
        <v>0.12903225806451613</v>
      </c>
      <c r="K91">
        <f t="shared" si="14"/>
        <v>0.87096774193548387</v>
      </c>
      <c r="L91">
        <f t="shared" si="15"/>
        <v>42</v>
      </c>
      <c r="M91" s="6">
        <f t="shared" si="16"/>
        <v>0.44532156414165314</v>
      </c>
      <c r="N91" s="13">
        <f t="shared" si="11"/>
        <v>0.39359081196097212</v>
      </c>
      <c r="O91" s="6">
        <f t="shared" si="19"/>
        <v>27.466946750486755</v>
      </c>
      <c r="P91" s="6">
        <f t="shared" si="20"/>
        <v>25.608815113969285</v>
      </c>
      <c r="Q91" s="6">
        <f t="shared" si="17"/>
        <v>0.39359081196097212</v>
      </c>
      <c r="S91">
        <v>42</v>
      </c>
      <c r="T91" s="6">
        <f t="shared" si="10"/>
        <v>0.39359081196097212</v>
      </c>
    </row>
    <row r="92" spans="1:20">
      <c r="B92">
        <f t="shared" si="18"/>
        <v>89</v>
      </c>
      <c r="C92">
        <f t="shared" si="12"/>
        <v>31</v>
      </c>
      <c r="D92">
        <v>61</v>
      </c>
      <c r="E92">
        <v>92</v>
      </c>
      <c r="F92">
        <f>PMSPLINE!F$6</f>
        <v>0.28999999999999998</v>
      </c>
      <c r="G92">
        <f>PMSPLINE!F$7</f>
        <v>0.46833216623671287</v>
      </c>
      <c r="H92" s="6">
        <f>PMSPLINE!K$6</f>
        <v>-5.7584514346366886E-4</v>
      </c>
      <c r="I92" s="6">
        <f>PMSPLINE!K$7</f>
        <v>1.883559155156343E-3</v>
      </c>
      <c r="J92">
        <f t="shared" si="13"/>
        <v>9.6774193548387094E-2</v>
      </c>
      <c r="K92">
        <f t="shared" si="14"/>
        <v>0.90322580645161288</v>
      </c>
      <c r="L92">
        <f t="shared" si="15"/>
        <v>43</v>
      </c>
      <c r="M92" s="6">
        <f t="shared" si="16"/>
        <v>0.45107421466541808</v>
      </c>
      <c r="N92" s="13">
        <f t="shared" si="11"/>
        <v>0.40972848647604926</v>
      </c>
      <c r="O92" s="6">
        <f t="shared" si="19"/>
        <v>27.918020965152174</v>
      </c>
      <c r="P92" s="6">
        <f t="shared" si="20"/>
        <v>26.018543600445334</v>
      </c>
      <c r="Q92" s="6">
        <f t="shared" si="17"/>
        <v>0.40972848647604926</v>
      </c>
      <c r="S92">
        <v>43</v>
      </c>
      <c r="T92" s="6">
        <f t="shared" si="10"/>
        <v>0.40972848647604926</v>
      </c>
    </row>
    <row r="93" spans="1:20">
      <c r="B93">
        <f t="shared" si="18"/>
        <v>90</v>
      </c>
      <c r="C93">
        <f t="shared" si="12"/>
        <v>31</v>
      </c>
      <c r="D93">
        <v>61</v>
      </c>
      <c r="E93">
        <v>92</v>
      </c>
      <c r="F93">
        <f>PMSPLINE!F$6</f>
        <v>0.28999999999999998</v>
      </c>
      <c r="G93">
        <f>PMSPLINE!F$7</f>
        <v>0.46833216623671287</v>
      </c>
      <c r="H93" s="6">
        <f>PMSPLINE!K$6</f>
        <v>-5.7584514346366886E-4</v>
      </c>
      <c r="I93" s="6">
        <f>PMSPLINE!K$7</f>
        <v>1.883559155156343E-3</v>
      </c>
      <c r="J93">
        <f t="shared" si="13"/>
        <v>6.4516129032258063E-2</v>
      </c>
      <c r="K93">
        <f t="shared" si="14"/>
        <v>0.93548387096774188</v>
      </c>
      <c r="L93">
        <f t="shared" si="15"/>
        <v>44</v>
      </c>
      <c r="M93" s="6">
        <f t="shared" si="16"/>
        <v>0.45682686518918303</v>
      </c>
      <c r="N93" s="13">
        <f t="shared" si="11"/>
        <v>0.42751171327867432</v>
      </c>
      <c r="O93" s="6">
        <f t="shared" si="19"/>
        <v>28.374847830341356</v>
      </c>
      <c r="P93" s="6">
        <f t="shared" si="20"/>
        <v>26.44605531372401</v>
      </c>
      <c r="Q93" s="6">
        <f t="shared" si="17"/>
        <v>0.42751171327867432</v>
      </c>
      <c r="S93">
        <v>44</v>
      </c>
      <c r="T93" s="6">
        <f t="shared" si="10"/>
        <v>0.42751171327867432</v>
      </c>
    </row>
    <row r="94" spans="1:20">
      <c r="B94">
        <f t="shared" si="18"/>
        <v>91</v>
      </c>
      <c r="C94">
        <f t="shared" si="12"/>
        <v>31</v>
      </c>
      <c r="D94">
        <v>61</v>
      </c>
      <c r="E94">
        <v>92</v>
      </c>
      <c r="F94">
        <f>PMSPLINE!F$6</f>
        <v>0.28999999999999998</v>
      </c>
      <c r="G94">
        <f>PMSPLINE!F$7</f>
        <v>0.46833216623671287</v>
      </c>
      <c r="H94" s="6">
        <f>PMSPLINE!K$6</f>
        <v>-5.7584514346366886E-4</v>
      </c>
      <c r="I94" s="6">
        <f>PMSPLINE!K$7</f>
        <v>1.883559155156343E-3</v>
      </c>
      <c r="J94">
        <f t="shared" si="13"/>
        <v>3.2258064516129031E-2</v>
      </c>
      <c r="K94">
        <f t="shared" si="14"/>
        <v>0.967741935483871</v>
      </c>
      <c r="L94">
        <f t="shared" si="15"/>
        <v>45</v>
      </c>
      <c r="M94" s="6">
        <f t="shared" si="16"/>
        <v>0.46257951571294792</v>
      </c>
      <c r="N94" s="13">
        <f t="shared" si="11"/>
        <v>0.44701982799138351</v>
      </c>
      <c r="O94" s="6">
        <f t="shared" si="19"/>
        <v>28.837427346054305</v>
      </c>
      <c r="P94" s="6">
        <f t="shared" si="20"/>
        <v>26.893075141715393</v>
      </c>
      <c r="Q94" s="6">
        <f t="shared" si="17"/>
        <v>0.44701982799138351</v>
      </c>
      <c r="S94">
        <v>45</v>
      </c>
      <c r="T94" s="6">
        <f t="shared" si="10"/>
        <v>0.44701982799138351</v>
      </c>
    </row>
    <row r="95" spans="1:20">
      <c r="A95">
        <v>92</v>
      </c>
      <c r="B95">
        <f t="shared" si="18"/>
        <v>92</v>
      </c>
      <c r="C95">
        <f t="shared" si="12"/>
        <v>31</v>
      </c>
      <c r="D95">
        <v>61</v>
      </c>
      <c r="E95">
        <v>92</v>
      </c>
      <c r="F95">
        <f>PMSPLINE!F$6</f>
        <v>0.28999999999999998</v>
      </c>
      <c r="G95">
        <f>PMSPLINE!F$7</f>
        <v>0.46833216623671287</v>
      </c>
      <c r="H95" s="6">
        <f>PMSPLINE!K$6</f>
        <v>-5.7584514346366886E-4</v>
      </c>
      <c r="I95" s="6">
        <f>PMSPLINE!K$7</f>
        <v>1.883559155156343E-3</v>
      </c>
      <c r="J95">
        <f t="shared" si="13"/>
        <v>0</v>
      </c>
      <c r="K95">
        <f t="shared" si="14"/>
        <v>1</v>
      </c>
      <c r="L95">
        <f t="shared" si="15"/>
        <v>46</v>
      </c>
      <c r="M95" s="6">
        <f t="shared" si="16"/>
        <v>0.46833216623671287</v>
      </c>
      <c r="N95" s="13">
        <f t="shared" si="11"/>
        <v>0.46833216623671287</v>
      </c>
      <c r="O95" s="6">
        <f t="shared" si="19"/>
        <v>29.305759512291019</v>
      </c>
      <c r="P95" s="6">
        <f t="shared" si="20"/>
        <v>27.361407307952106</v>
      </c>
      <c r="Q95" s="6">
        <f t="shared" si="17"/>
        <v>0.46833216623671287</v>
      </c>
      <c r="S95">
        <v>46</v>
      </c>
      <c r="T95" s="6">
        <f t="shared" si="10"/>
        <v>0.46833216623671287</v>
      </c>
    </row>
    <row r="96" spans="1:20">
      <c r="B96">
        <f t="shared" si="18"/>
        <v>93</v>
      </c>
      <c r="C96">
        <f t="shared" si="12"/>
        <v>30</v>
      </c>
      <c r="D96">
        <v>92</v>
      </c>
      <c r="E96">
        <v>122</v>
      </c>
      <c r="F96">
        <f>PMSPLINE!F$7</f>
        <v>0.46833216623671287</v>
      </c>
      <c r="G96">
        <f>PMSPLINE!F$8</f>
        <v>1.3319948639124057</v>
      </c>
      <c r="H96">
        <f>PMSPLINE!K$7</f>
        <v>1.883559155156343E-3</v>
      </c>
      <c r="I96">
        <f>PMSPLINE!K$8</f>
        <v>-2.4575460363050359E-3</v>
      </c>
      <c r="J96">
        <f t="shared" si="13"/>
        <v>0.96666666666666667</v>
      </c>
      <c r="K96">
        <f t="shared" si="14"/>
        <v>3.3333333333333333E-2</v>
      </c>
      <c r="L96">
        <f t="shared" si="15"/>
        <v>47</v>
      </c>
      <c r="M96" s="6">
        <f t="shared" si="16"/>
        <v>0.49712092282590264</v>
      </c>
      <c r="N96" s="13">
        <f t="shared" si="11"/>
        <v>0.4914907237823789</v>
      </c>
      <c r="O96" s="6">
        <f t="shared" si="19"/>
        <v>29.802880435116922</v>
      </c>
      <c r="P96" s="6">
        <f t="shared" si="20"/>
        <v>27.852898031734487</v>
      </c>
      <c r="Q96" s="6">
        <f t="shared" si="17"/>
        <v>0.4914907237823789</v>
      </c>
      <c r="S96">
        <v>47</v>
      </c>
      <c r="T96" s="6">
        <f t="shared" si="10"/>
        <v>0.4914907237823789</v>
      </c>
    </row>
    <row r="97" spans="2:20">
      <c r="B97">
        <f t="shared" si="18"/>
        <v>94</v>
      </c>
      <c r="C97">
        <f t="shared" si="12"/>
        <v>30</v>
      </c>
      <c r="D97">
        <v>92</v>
      </c>
      <c r="E97">
        <v>122</v>
      </c>
      <c r="F97">
        <f>PMSPLINE!F$7</f>
        <v>0.46833216623671287</v>
      </c>
      <c r="G97">
        <f>PMSPLINE!F$8</f>
        <v>1.3319948639124057</v>
      </c>
      <c r="H97">
        <f>PMSPLINE!K$7</f>
        <v>1.883559155156343E-3</v>
      </c>
      <c r="I97">
        <f>PMSPLINE!K$8</f>
        <v>-2.4575460363050359E-3</v>
      </c>
      <c r="J97">
        <f t="shared" si="13"/>
        <v>0.93333333333333335</v>
      </c>
      <c r="K97">
        <f t="shared" si="14"/>
        <v>6.6666666666666666E-2</v>
      </c>
      <c r="L97">
        <f t="shared" si="15"/>
        <v>48</v>
      </c>
      <c r="M97" s="6">
        <f t="shared" si="16"/>
        <v>0.52590967941509237</v>
      </c>
      <c r="N97" s="13">
        <f t="shared" si="11"/>
        <v>0.51638813697681918</v>
      </c>
      <c r="O97" s="6">
        <f t="shared" si="19"/>
        <v>30.328790114532016</v>
      </c>
      <c r="P97" s="6">
        <f t="shared" si="20"/>
        <v>28.369286168711305</v>
      </c>
      <c r="Q97" s="6">
        <f t="shared" si="17"/>
        <v>0.51638813697681918</v>
      </c>
      <c r="S97">
        <v>48</v>
      </c>
      <c r="T97" s="6">
        <f t="shared" si="10"/>
        <v>0.51638813697681918</v>
      </c>
    </row>
    <row r="98" spans="2:20">
      <c r="B98">
        <f t="shared" si="18"/>
        <v>95</v>
      </c>
      <c r="C98">
        <f t="shared" si="12"/>
        <v>30</v>
      </c>
      <c r="D98">
        <v>92</v>
      </c>
      <c r="E98">
        <v>122</v>
      </c>
      <c r="F98">
        <f>PMSPLINE!F$7</f>
        <v>0.46833216623671287</v>
      </c>
      <c r="G98">
        <f>PMSPLINE!F$8</f>
        <v>1.3319948639124057</v>
      </c>
      <c r="H98">
        <f>PMSPLINE!K$7</f>
        <v>1.883559155156343E-3</v>
      </c>
      <c r="I98">
        <f>PMSPLINE!K$8</f>
        <v>-2.4575460363050359E-3</v>
      </c>
      <c r="J98">
        <f t="shared" si="13"/>
        <v>0.9</v>
      </c>
      <c r="K98">
        <f t="shared" si="14"/>
        <v>0.1</v>
      </c>
      <c r="L98">
        <f t="shared" si="15"/>
        <v>49</v>
      </c>
      <c r="M98" s="6">
        <f t="shared" si="16"/>
        <v>0.55469843600428215</v>
      </c>
      <c r="N98" s="13">
        <f t="shared" si="11"/>
        <v>0.54287970231365179</v>
      </c>
      <c r="O98" s="6">
        <f t="shared" si="19"/>
        <v>30.883488550536299</v>
      </c>
      <c r="P98" s="6">
        <f t="shared" si="20"/>
        <v>28.912165871024957</v>
      </c>
      <c r="Q98" s="6">
        <f t="shared" si="17"/>
        <v>0.54287970231365179</v>
      </c>
      <c r="S98">
        <v>49</v>
      </c>
      <c r="T98" s="6">
        <f t="shared" si="10"/>
        <v>0.54287970231365179</v>
      </c>
    </row>
    <row r="99" spans="2:20">
      <c r="B99">
        <f t="shared" si="18"/>
        <v>96</v>
      </c>
      <c r="C99">
        <f t="shared" si="12"/>
        <v>30</v>
      </c>
      <c r="D99">
        <v>92</v>
      </c>
      <c r="E99">
        <v>122</v>
      </c>
      <c r="F99">
        <f>PMSPLINE!F$7</f>
        <v>0.46833216623671287</v>
      </c>
      <c r="G99">
        <f>PMSPLINE!F$8</f>
        <v>1.3319948639124057</v>
      </c>
      <c r="H99">
        <f>PMSPLINE!K$7</f>
        <v>1.883559155156343E-3</v>
      </c>
      <c r="I99">
        <f>PMSPLINE!K$8</f>
        <v>-2.4575460363050359E-3</v>
      </c>
      <c r="J99">
        <f t="shared" si="13"/>
        <v>0.8666666666666667</v>
      </c>
      <c r="K99">
        <f t="shared" si="14"/>
        <v>0.13333333333333333</v>
      </c>
      <c r="L99">
        <f t="shared" si="15"/>
        <v>50</v>
      </c>
      <c r="M99" s="6">
        <f t="shared" si="16"/>
        <v>0.58348719259347193</v>
      </c>
      <c r="N99" s="13">
        <f t="shared" si="11"/>
        <v>0.57082071628649456</v>
      </c>
      <c r="O99" s="6">
        <f t="shared" si="19"/>
        <v>31.466975743129773</v>
      </c>
      <c r="P99" s="6">
        <f t="shared" si="20"/>
        <v>29.482986587311451</v>
      </c>
      <c r="Q99" s="6">
        <f t="shared" si="17"/>
        <v>0.57082071628649456</v>
      </c>
      <c r="S99">
        <v>50</v>
      </c>
      <c r="T99" s="6">
        <f t="shared" si="10"/>
        <v>0.57082071628649456</v>
      </c>
    </row>
    <row r="100" spans="2:20">
      <c r="B100">
        <f t="shared" si="18"/>
        <v>97</v>
      </c>
      <c r="C100">
        <f t="shared" si="12"/>
        <v>30</v>
      </c>
      <c r="D100">
        <v>92</v>
      </c>
      <c r="E100">
        <v>122</v>
      </c>
      <c r="F100">
        <f>PMSPLINE!F$7</f>
        <v>0.46833216623671287</v>
      </c>
      <c r="G100">
        <f>PMSPLINE!F$8</f>
        <v>1.3319948639124057</v>
      </c>
      <c r="H100">
        <f>PMSPLINE!K$7</f>
        <v>1.883559155156343E-3</v>
      </c>
      <c r="I100">
        <f>PMSPLINE!K$8</f>
        <v>-2.4575460363050359E-3</v>
      </c>
      <c r="J100">
        <f t="shared" si="13"/>
        <v>0.83333333333333337</v>
      </c>
      <c r="K100">
        <f t="shared" si="14"/>
        <v>0.16666666666666666</v>
      </c>
      <c r="L100">
        <f t="shared" si="15"/>
        <v>51</v>
      </c>
      <c r="M100" s="6">
        <f t="shared" si="16"/>
        <v>0.61227594918266171</v>
      </c>
      <c r="N100" s="13">
        <f t="shared" si="11"/>
        <v>0.60006647538896551</v>
      </c>
      <c r="O100" s="6">
        <f t="shared" si="19"/>
        <v>32.079251692312432</v>
      </c>
      <c r="P100" s="6">
        <f t="shared" si="20"/>
        <v>30.083053062700415</v>
      </c>
      <c r="Q100" s="6">
        <f t="shared" si="17"/>
        <v>0.60006647538896551</v>
      </c>
      <c r="S100">
        <v>51</v>
      </c>
      <c r="T100" s="6">
        <f t="shared" si="10"/>
        <v>0.60006647538896551</v>
      </c>
    </row>
    <row r="101" spans="2:20">
      <c r="B101">
        <f t="shared" si="18"/>
        <v>98</v>
      </c>
      <c r="C101">
        <f t="shared" si="12"/>
        <v>30</v>
      </c>
      <c r="D101">
        <v>92</v>
      </c>
      <c r="E101">
        <v>122</v>
      </c>
      <c r="F101">
        <f>PMSPLINE!F$7</f>
        <v>0.46833216623671287</v>
      </c>
      <c r="G101">
        <f>PMSPLINE!F$8</f>
        <v>1.3319948639124057</v>
      </c>
      <c r="H101">
        <f>PMSPLINE!K$7</f>
        <v>1.883559155156343E-3</v>
      </c>
      <c r="I101">
        <f>PMSPLINE!K$8</f>
        <v>-2.4575460363050359E-3</v>
      </c>
      <c r="J101">
        <f t="shared" si="13"/>
        <v>0.8</v>
      </c>
      <c r="K101">
        <f t="shared" si="14"/>
        <v>0.2</v>
      </c>
      <c r="L101">
        <f t="shared" si="15"/>
        <v>52</v>
      </c>
      <c r="M101" s="6">
        <f t="shared" si="16"/>
        <v>0.64106470577185148</v>
      </c>
      <c r="N101" s="13">
        <f t="shared" si="11"/>
        <v>0.63047227611468248</v>
      </c>
      <c r="O101" s="6">
        <f t="shared" si="19"/>
        <v>32.720316398084286</v>
      </c>
      <c r="P101" s="6">
        <f t="shared" si="20"/>
        <v>30.713525338815099</v>
      </c>
      <c r="Q101" s="6">
        <f t="shared" si="17"/>
        <v>0.63047227611468248</v>
      </c>
      <c r="S101">
        <v>52</v>
      </c>
      <c r="T101" s="6">
        <f t="shared" si="10"/>
        <v>0.63047227611468248</v>
      </c>
    </row>
    <row r="102" spans="2:20">
      <c r="B102">
        <f t="shared" si="18"/>
        <v>99</v>
      </c>
      <c r="C102">
        <f t="shared" si="12"/>
        <v>30</v>
      </c>
      <c r="D102">
        <v>92</v>
      </c>
      <c r="E102">
        <v>122</v>
      </c>
      <c r="F102">
        <f>PMSPLINE!F$7</f>
        <v>0.46833216623671287</v>
      </c>
      <c r="G102">
        <f>PMSPLINE!F$8</f>
        <v>1.3319948639124057</v>
      </c>
      <c r="H102">
        <f>PMSPLINE!K$7</f>
        <v>1.883559155156343E-3</v>
      </c>
      <c r="I102">
        <f>PMSPLINE!K$8</f>
        <v>-2.4575460363050359E-3</v>
      </c>
      <c r="J102">
        <f t="shared" si="13"/>
        <v>0.76666666666666672</v>
      </c>
      <c r="K102">
        <f t="shared" si="14"/>
        <v>0.23333333333333334</v>
      </c>
      <c r="L102">
        <f t="shared" si="15"/>
        <v>53</v>
      </c>
      <c r="M102" s="6">
        <f t="shared" si="16"/>
        <v>0.66985346236104126</v>
      </c>
      <c r="N102" s="13">
        <f t="shared" si="11"/>
        <v>0.66189341495726361</v>
      </c>
      <c r="O102" s="6">
        <f t="shared" si="19"/>
        <v>33.390169860445326</v>
      </c>
      <c r="P102" s="6">
        <f t="shared" si="20"/>
        <v>31.375418753772362</v>
      </c>
      <c r="Q102" s="6">
        <f t="shared" si="17"/>
        <v>0.66189341495726361</v>
      </c>
      <c r="S102">
        <v>53</v>
      </c>
      <c r="T102" s="6">
        <f t="shared" si="10"/>
        <v>0.66189341495726361</v>
      </c>
    </row>
    <row r="103" spans="2:20">
      <c r="B103">
        <f t="shared" si="18"/>
        <v>100</v>
      </c>
      <c r="C103">
        <f t="shared" si="12"/>
        <v>30</v>
      </c>
      <c r="D103">
        <v>92</v>
      </c>
      <c r="E103">
        <v>122</v>
      </c>
      <c r="F103">
        <f>PMSPLINE!F$7</f>
        <v>0.46833216623671287</v>
      </c>
      <c r="G103">
        <f>PMSPLINE!F$8</f>
        <v>1.3319948639124057</v>
      </c>
      <c r="H103">
        <f>PMSPLINE!K$7</f>
        <v>1.883559155156343E-3</v>
      </c>
      <c r="I103">
        <f>PMSPLINE!K$8</f>
        <v>-2.4575460363050359E-3</v>
      </c>
      <c r="J103">
        <f t="shared" si="13"/>
        <v>0.73333333333333328</v>
      </c>
      <c r="K103">
        <f t="shared" si="14"/>
        <v>0.26666666666666666</v>
      </c>
      <c r="L103">
        <f t="shared" si="15"/>
        <v>54</v>
      </c>
      <c r="M103" s="6">
        <f t="shared" si="16"/>
        <v>0.69864221895023093</v>
      </c>
      <c r="N103" s="13">
        <f t="shared" si="11"/>
        <v>0.69418518841032661</v>
      </c>
      <c r="O103" s="6">
        <f t="shared" si="19"/>
        <v>34.088812079395559</v>
      </c>
      <c r="P103" s="6">
        <f t="shared" si="20"/>
        <v>32.069603942182688</v>
      </c>
      <c r="Q103" s="6">
        <f t="shared" si="17"/>
        <v>0.69418518841032661</v>
      </c>
      <c r="S103">
        <v>54</v>
      </c>
      <c r="T103" s="6">
        <f t="shared" si="10"/>
        <v>0.69418518841032661</v>
      </c>
    </row>
    <row r="104" spans="2:20">
      <c r="B104">
        <f t="shared" si="18"/>
        <v>101</v>
      </c>
      <c r="C104">
        <f t="shared" si="12"/>
        <v>30</v>
      </c>
      <c r="D104">
        <v>92</v>
      </c>
      <c r="E104">
        <v>122</v>
      </c>
      <c r="F104">
        <f>PMSPLINE!F$7</f>
        <v>0.46833216623671287</v>
      </c>
      <c r="G104">
        <f>PMSPLINE!F$8</f>
        <v>1.3319948639124057</v>
      </c>
      <c r="H104">
        <f>PMSPLINE!K$7</f>
        <v>1.883559155156343E-3</v>
      </c>
      <c r="I104">
        <f>PMSPLINE!K$8</f>
        <v>-2.4575460363050359E-3</v>
      </c>
      <c r="J104">
        <f t="shared" si="13"/>
        <v>0.7</v>
      </c>
      <c r="K104">
        <f t="shared" si="14"/>
        <v>0.3</v>
      </c>
      <c r="L104">
        <f t="shared" si="15"/>
        <v>55</v>
      </c>
      <c r="M104" s="6">
        <f t="shared" si="16"/>
        <v>0.72743097553942071</v>
      </c>
      <c r="N104" s="13">
        <f t="shared" si="11"/>
        <v>0.72720289296748974</v>
      </c>
      <c r="O104" s="6">
        <f t="shared" si="19"/>
        <v>34.816243054934979</v>
      </c>
      <c r="P104" s="6">
        <f t="shared" si="20"/>
        <v>32.796806835150178</v>
      </c>
      <c r="Q104" s="6">
        <f t="shared" si="17"/>
        <v>0.72720289296748974</v>
      </c>
      <c r="S104">
        <v>55</v>
      </c>
      <c r="T104" s="6">
        <f t="shared" si="10"/>
        <v>0.72720289296748974</v>
      </c>
    </row>
    <row r="105" spans="2:20">
      <c r="B105">
        <f t="shared" si="18"/>
        <v>102</v>
      </c>
      <c r="C105">
        <f t="shared" si="12"/>
        <v>30</v>
      </c>
      <c r="D105">
        <v>92</v>
      </c>
      <c r="E105">
        <v>122</v>
      </c>
      <c r="F105">
        <f>PMSPLINE!F$7</f>
        <v>0.46833216623671287</v>
      </c>
      <c r="G105">
        <f>PMSPLINE!F$8</f>
        <v>1.3319948639124057</v>
      </c>
      <c r="H105">
        <f>PMSPLINE!K$7</f>
        <v>1.883559155156343E-3</v>
      </c>
      <c r="I105">
        <f>PMSPLINE!K$8</f>
        <v>-2.4575460363050359E-3</v>
      </c>
      <c r="J105">
        <f t="shared" si="13"/>
        <v>0.66666666666666663</v>
      </c>
      <c r="K105">
        <f t="shared" si="14"/>
        <v>0.33333333333333331</v>
      </c>
      <c r="L105">
        <f t="shared" si="15"/>
        <v>56</v>
      </c>
      <c r="M105" s="6">
        <f t="shared" si="16"/>
        <v>0.75621973212861038</v>
      </c>
      <c r="N105" s="13">
        <f t="shared" si="11"/>
        <v>0.76080182512237071</v>
      </c>
      <c r="O105" s="6">
        <f t="shared" si="19"/>
        <v>35.572462787063593</v>
      </c>
      <c r="P105" s="6">
        <f t="shared" si="20"/>
        <v>33.55760866027255</v>
      </c>
      <c r="Q105" s="6">
        <f t="shared" si="17"/>
        <v>0.76080182512237071</v>
      </c>
      <c r="S105">
        <v>56</v>
      </c>
      <c r="T105" s="6">
        <f t="shared" si="10"/>
        <v>0.76080182512237071</v>
      </c>
    </row>
    <row r="106" spans="2:20">
      <c r="B106">
        <f t="shared" si="18"/>
        <v>103</v>
      </c>
      <c r="C106">
        <f t="shared" si="12"/>
        <v>30</v>
      </c>
      <c r="D106">
        <v>92</v>
      </c>
      <c r="E106">
        <v>122</v>
      </c>
      <c r="F106">
        <f>PMSPLINE!F$7</f>
        <v>0.46833216623671287</v>
      </c>
      <c r="G106">
        <f>PMSPLINE!F$8</f>
        <v>1.3319948639124057</v>
      </c>
      <c r="H106">
        <f>PMSPLINE!K$7</f>
        <v>1.883559155156343E-3</v>
      </c>
      <c r="I106">
        <f>PMSPLINE!K$8</f>
        <v>-2.4575460363050359E-3</v>
      </c>
      <c r="J106">
        <f t="shared" si="13"/>
        <v>0.6333333333333333</v>
      </c>
      <c r="K106">
        <f t="shared" si="14"/>
        <v>0.36666666666666664</v>
      </c>
      <c r="L106">
        <f t="shared" si="15"/>
        <v>57</v>
      </c>
      <c r="M106" s="6">
        <f t="shared" si="16"/>
        <v>0.78500848871780016</v>
      </c>
      <c r="N106" s="13">
        <f t="shared" si="11"/>
        <v>0.79483728136858767</v>
      </c>
      <c r="O106" s="6">
        <f t="shared" si="19"/>
        <v>36.357471275781393</v>
      </c>
      <c r="P106" s="6">
        <f t="shared" si="20"/>
        <v>34.352445941641136</v>
      </c>
      <c r="Q106" s="6">
        <f t="shared" si="17"/>
        <v>0.79483728136858767</v>
      </c>
      <c r="S106">
        <v>57</v>
      </c>
      <c r="T106" s="6">
        <f t="shared" si="10"/>
        <v>0.79483728136858767</v>
      </c>
    </row>
    <row r="107" spans="2:20">
      <c r="B107">
        <f t="shared" si="18"/>
        <v>104</v>
      </c>
      <c r="C107">
        <f t="shared" si="12"/>
        <v>30</v>
      </c>
      <c r="D107">
        <v>92</v>
      </c>
      <c r="E107">
        <v>122</v>
      </c>
      <c r="F107">
        <f>PMSPLINE!F$7</f>
        <v>0.46833216623671287</v>
      </c>
      <c r="G107">
        <f>PMSPLINE!F$8</f>
        <v>1.3319948639124057</v>
      </c>
      <c r="H107">
        <f>PMSPLINE!K$7</f>
        <v>1.883559155156343E-3</v>
      </c>
      <c r="I107">
        <f>PMSPLINE!K$8</f>
        <v>-2.4575460363050359E-3</v>
      </c>
      <c r="J107">
        <f t="shared" si="13"/>
        <v>0.6</v>
      </c>
      <c r="K107">
        <f t="shared" si="14"/>
        <v>0.4</v>
      </c>
      <c r="L107">
        <f t="shared" si="15"/>
        <v>58</v>
      </c>
      <c r="M107" s="6">
        <f t="shared" si="16"/>
        <v>0.81379724530698994</v>
      </c>
      <c r="N107" s="13">
        <f t="shared" si="11"/>
        <v>0.82916455819975843</v>
      </c>
      <c r="O107" s="6">
        <f t="shared" si="19"/>
        <v>37.171268521088379</v>
      </c>
      <c r="P107" s="6">
        <f t="shared" si="20"/>
        <v>35.181610499840893</v>
      </c>
      <c r="Q107" s="6">
        <f t="shared" si="17"/>
        <v>0.82916455819975843</v>
      </c>
      <c r="S107">
        <v>58</v>
      </c>
      <c r="T107" s="6">
        <f t="shared" si="10"/>
        <v>0.82916455819975843</v>
      </c>
    </row>
    <row r="108" spans="2:20">
      <c r="B108">
        <f t="shared" si="18"/>
        <v>105</v>
      </c>
      <c r="C108">
        <f t="shared" si="12"/>
        <v>30</v>
      </c>
      <c r="D108">
        <v>92</v>
      </c>
      <c r="E108">
        <v>122</v>
      </c>
      <c r="F108">
        <f>PMSPLINE!F$7</f>
        <v>0.46833216623671287</v>
      </c>
      <c r="G108">
        <f>PMSPLINE!F$8</f>
        <v>1.3319948639124057</v>
      </c>
      <c r="H108">
        <f>PMSPLINE!K$7</f>
        <v>1.883559155156343E-3</v>
      </c>
      <c r="I108">
        <f>PMSPLINE!K$8</f>
        <v>-2.4575460363050359E-3</v>
      </c>
      <c r="J108">
        <f t="shared" si="13"/>
        <v>0.56666666666666665</v>
      </c>
      <c r="K108">
        <f t="shared" si="14"/>
        <v>0.43333333333333335</v>
      </c>
      <c r="L108">
        <f t="shared" si="15"/>
        <v>59</v>
      </c>
      <c r="M108" s="6">
        <f t="shared" si="16"/>
        <v>0.84258600189617983</v>
      </c>
      <c r="N108" s="13">
        <f t="shared" si="11"/>
        <v>0.86363895210950103</v>
      </c>
      <c r="O108" s="6">
        <f t="shared" si="19"/>
        <v>38.013854522984559</v>
      </c>
      <c r="P108" s="6">
        <f t="shared" si="20"/>
        <v>36.045249451950397</v>
      </c>
      <c r="Q108" s="6">
        <f t="shared" si="17"/>
        <v>0.86363895210950103</v>
      </c>
      <c r="S108">
        <v>59</v>
      </c>
      <c r="T108" s="6">
        <f t="shared" si="10"/>
        <v>0.86363895210950103</v>
      </c>
    </row>
    <row r="109" spans="2:20">
      <c r="B109">
        <f t="shared" si="18"/>
        <v>106</v>
      </c>
      <c r="C109">
        <f t="shared" si="12"/>
        <v>30</v>
      </c>
      <c r="D109">
        <v>92</v>
      </c>
      <c r="E109">
        <v>122</v>
      </c>
      <c r="F109">
        <f>PMSPLINE!F$7</f>
        <v>0.46833216623671287</v>
      </c>
      <c r="G109">
        <f>PMSPLINE!F$8</f>
        <v>1.3319948639124057</v>
      </c>
      <c r="H109">
        <f>PMSPLINE!K$7</f>
        <v>1.883559155156343E-3</v>
      </c>
      <c r="I109">
        <f>PMSPLINE!K$8</f>
        <v>-2.4575460363050359E-3</v>
      </c>
      <c r="J109">
        <f t="shared" si="13"/>
        <v>0.53333333333333333</v>
      </c>
      <c r="K109">
        <f t="shared" si="14"/>
        <v>0.46666666666666667</v>
      </c>
      <c r="L109">
        <f t="shared" si="15"/>
        <v>60</v>
      </c>
      <c r="M109" s="6">
        <f t="shared" si="16"/>
        <v>0.8713747584853696</v>
      </c>
      <c r="N109" s="13">
        <f t="shared" si="11"/>
        <v>0.8981157595914333</v>
      </c>
      <c r="O109" s="6">
        <f t="shared" si="19"/>
        <v>38.885229281469925</v>
      </c>
      <c r="P109" s="6">
        <f t="shared" si="20"/>
        <v>36.943365211541831</v>
      </c>
      <c r="Q109" s="6">
        <f t="shared" si="17"/>
        <v>0.8981157595914333</v>
      </c>
      <c r="S109">
        <v>60</v>
      </c>
      <c r="T109" s="6">
        <f t="shared" si="10"/>
        <v>0.8981157595914333</v>
      </c>
    </row>
    <row r="110" spans="2:20">
      <c r="B110">
        <f t="shared" si="18"/>
        <v>107</v>
      </c>
      <c r="C110">
        <f t="shared" si="12"/>
        <v>30</v>
      </c>
      <c r="D110">
        <v>92</v>
      </c>
      <c r="E110">
        <v>122</v>
      </c>
      <c r="F110">
        <f>PMSPLINE!F$7</f>
        <v>0.46833216623671287</v>
      </c>
      <c r="G110">
        <f>PMSPLINE!F$8</f>
        <v>1.3319948639124057</v>
      </c>
      <c r="H110">
        <f>PMSPLINE!K$7</f>
        <v>1.883559155156343E-3</v>
      </c>
      <c r="I110">
        <f>PMSPLINE!K$8</f>
        <v>-2.4575460363050359E-3</v>
      </c>
      <c r="J110">
        <f t="shared" si="13"/>
        <v>0.5</v>
      </c>
      <c r="K110">
        <f t="shared" si="14"/>
        <v>0.5</v>
      </c>
      <c r="L110">
        <f t="shared" si="15"/>
        <v>61</v>
      </c>
      <c r="M110" s="6">
        <f t="shared" si="16"/>
        <v>0.90016351507455927</v>
      </c>
      <c r="N110" s="13">
        <f t="shared" si="11"/>
        <v>0.93245027713917328</v>
      </c>
      <c r="O110" s="6">
        <f t="shared" si="19"/>
        <v>39.785392796544485</v>
      </c>
      <c r="P110" s="6">
        <f t="shared" si="20"/>
        <v>37.875815488681006</v>
      </c>
      <c r="Q110" s="6">
        <f t="shared" si="17"/>
        <v>0.93245027713917328</v>
      </c>
      <c r="S110">
        <v>61</v>
      </c>
      <c r="T110" s="6">
        <f t="shared" si="10"/>
        <v>0.93245027713917328</v>
      </c>
    </row>
    <row r="111" spans="2:20">
      <c r="B111">
        <f t="shared" si="18"/>
        <v>108</v>
      </c>
      <c r="C111">
        <f t="shared" si="12"/>
        <v>30</v>
      </c>
      <c r="D111">
        <v>92</v>
      </c>
      <c r="E111">
        <v>122</v>
      </c>
      <c r="F111">
        <f>PMSPLINE!F$7</f>
        <v>0.46833216623671287</v>
      </c>
      <c r="G111">
        <f>PMSPLINE!F$8</f>
        <v>1.3319948639124057</v>
      </c>
      <c r="H111">
        <f>PMSPLINE!K$7</f>
        <v>1.883559155156343E-3</v>
      </c>
      <c r="I111">
        <f>PMSPLINE!K$8</f>
        <v>-2.4575460363050359E-3</v>
      </c>
      <c r="J111">
        <f t="shared" si="13"/>
        <v>0.46666666666666667</v>
      </c>
      <c r="K111">
        <f t="shared" si="14"/>
        <v>0.53333333333333333</v>
      </c>
      <c r="L111">
        <f t="shared" si="15"/>
        <v>62</v>
      </c>
      <c r="M111" s="6">
        <f t="shared" si="16"/>
        <v>0.92895227166374905</v>
      </c>
      <c r="N111" s="13">
        <f t="shared" si="11"/>
        <v>0.96649780124633888</v>
      </c>
      <c r="O111" s="6">
        <f t="shared" si="19"/>
        <v>40.714345068208232</v>
      </c>
      <c r="P111" s="6">
        <f t="shared" si="20"/>
        <v>38.842313289927347</v>
      </c>
      <c r="Q111" s="6">
        <f t="shared" si="17"/>
        <v>0.96649780124633888</v>
      </c>
      <c r="S111">
        <v>62</v>
      </c>
      <c r="T111" s="6">
        <f t="shared" si="10"/>
        <v>0.96649780124633888</v>
      </c>
    </row>
    <row r="112" spans="2:20">
      <c r="B112">
        <f t="shared" si="18"/>
        <v>109</v>
      </c>
      <c r="C112">
        <f t="shared" si="12"/>
        <v>30</v>
      </c>
      <c r="D112">
        <v>92</v>
      </c>
      <c r="E112">
        <v>122</v>
      </c>
      <c r="F112">
        <f>PMSPLINE!F$7</f>
        <v>0.46833216623671287</v>
      </c>
      <c r="G112">
        <f>PMSPLINE!F$8</f>
        <v>1.3319948639124057</v>
      </c>
      <c r="H112">
        <f>PMSPLINE!K$7</f>
        <v>1.883559155156343E-3</v>
      </c>
      <c r="I112">
        <f>PMSPLINE!K$8</f>
        <v>-2.4575460363050359E-3</v>
      </c>
      <c r="J112">
        <f t="shared" si="13"/>
        <v>0.43333333333333335</v>
      </c>
      <c r="K112">
        <f t="shared" si="14"/>
        <v>0.56666666666666665</v>
      </c>
      <c r="L112">
        <f t="shared" si="15"/>
        <v>63</v>
      </c>
      <c r="M112" s="6">
        <f t="shared" si="16"/>
        <v>0.95774102825293872</v>
      </c>
      <c r="N112" s="13">
        <f t="shared" si="11"/>
        <v>1.0001136284065482</v>
      </c>
      <c r="O112" s="6">
        <f t="shared" si="19"/>
        <v>41.672086096461172</v>
      </c>
      <c r="P112" s="6">
        <f t="shared" si="20"/>
        <v>39.842426918333892</v>
      </c>
      <c r="Q112" s="6">
        <f t="shared" si="17"/>
        <v>1.0001136284065482</v>
      </c>
      <c r="S112">
        <v>63</v>
      </c>
      <c r="T112" s="6">
        <f t="shared" si="10"/>
        <v>1.0001136284065482</v>
      </c>
    </row>
    <row r="113" spans="1:20">
      <c r="B113">
        <f t="shared" si="18"/>
        <v>110</v>
      </c>
      <c r="C113">
        <f t="shared" si="12"/>
        <v>30</v>
      </c>
      <c r="D113">
        <v>92</v>
      </c>
      <c r="E113">
        <v>122</v>
      </c>
      <c r="F113">
        <f>PMSPLINE!F$7</f>
        <v>0.46833216623671287</v>
      </c>
      <c r="G113">
        <f>PMSPLINE!F$8</f>
        <v>1.3319948639124057</v>
      </c>
      <c r="H113">
        <f>PMSPLINE!K$7</f>
        <v>1.883559155156343E-3</v>
      </c>
      <c r="I113">
        <f>PMSPLINE!K$8</f>
        <v>-2.4575460363050359E-3</v>
      </c>
      <c r="J113">
        <f t="shared" si="13"/>
        <v>0.4</v>
      </c>
      <c r="K113">
        <f t="shared" si="14"/>
        <v>0.6</v>
      </c>
      <c r="L113">
        <f t="shared" si="15"/>
        <v>64</v>
      </c>
      <c r="M113" s="6">
        <f t="shared" si="16"/>
        <v>0.98652978484212861</v>
      </c>
      <c r="N113" s="13">
        <f t="shared" si="11"/>
        <v>1.0331530551134189</v>
      </c>
      <c r="O113" s="6">
        <f t="shared" si="19"/>
        <v>42.658615881303298</v>
      </c>
      <c r="P113" s="6">
        <f t="shared" si="20"/>
        <v>40.875579973447309</v>
      </c>
      <c r="Q113" s="6">
        <f t="shared" si="17"/>
        <v>1.0331530551134189</v>
      </c>
      <c r="S113">
        <v>64</v>
      </c>
      <c r="T113" s="6">
        <f t="shared" si="10"/>
        <v>1.0331530551134189</v>
      </c>
    </row>
    <row r="114" spans="1:20">
      <c r="B114">
        <f t="shared" si="18"/>
        <v>111</v>
      </c>
      <c r="C114">
        <f t="shared" si="12"/>
        <v>30</v>
      </c>
      <c r="D114">
        <v>92</v>
      </c>
      <c r="E114">
        <v>122</v>
      </c>
      <c r="F114">
        <f>PMSPLINE!F$7</f>
        <v>0.46833216623671287</v>
      </c>
      <c r="G114">
        <f>PMSPLINE!F$8</f>
        <v>1.3319948639124057</v>
      </c>
      <c r="H114">
        <f>PMSPLINE!K$7</f>
        <v>1.883559155156343E-3</v>
      </c>
      <c r="I114">
        <f>PMSPLINE!K$8</f>
        <v>-2.4575460363050359E-3</v>
      </c>
      <c r="J114">
        <f t="shared" si="13"/>
        <v>0.36666666666666664</v>
      </c>
      <c r="K114">
        <f t="shared" si="14"/>
        <v>0.6333333333333333</v>
      </c>
      <c r="L114">
        <f t="shared" si="15"/>
        <v>65</v>
      </c>
      <c r="M114" s="6">
        <f t="shared" si="16"/>
        <v>1.0153185414313184</v>
      </c>
      <c r="N114" s="13">
        <f t="shared" si="11"/>
        <v>1.0654713778605693</v>
      </c>
      <c r="O114" s="6">
        <f t="shared" si="19"/>
        <v>43.673934422734618</v>
      </c>
      <c r="P114" s="6">
        <f t="shared" si="20"/>
        <v>41.941051351307877</v>
      </c>
      <c r="Q114" s="6">
        <f t="shared" si="17"/>
        <v>1.0654713778605693</v>
      </c>
      <c r="S114">
        <v>65</v>
      </c>
      <c r="T114" s="6">
        <f t="shared" ref="T114:T177" si="21">N114</f>
        <v>1.0654713778605693</v>
      </c>
    </row>
    <row r="115" spans="1:20">
      <c r="B115">
        <f t="shared" si="18"/>
        <v>112</v>
      </c>
      <c r="C115">
        <f t="shared" si="12"/>
        <v>30</v>
      </c>
      <c r="D115">
        <v>92</v>
      </c>
      <c r="E115">
        <v>122</v>
      </c>
      <c r="F115">
        <f>PMSPLINE!F$7</f>
        <v>0.46833216623671287</v>
      </c>
      <c r="G115">
        <f>PMSPLINE!F$8</f>
        <v>1.3319948639124057</v>
      </c>
      <c r="H115">
        <f>PMSPLINE!K$7</f>
        <v>1.883559155156343E-3</v>
      </c>
      <c r="I115">
        <f>PMSPLINE!K$8</f>
        <v>-2.4575460363050359E-3</v>
      </c>
      <c r="J115">
        <f t="shared" si="13"/>
        <v>0.33333333333333331</v>
      </c>
      <c r="K115">
        <f t="shared" si="14"/>
        <v>0.66666666666666663</v>
      </c>
      <c r="L115">
        <f t="shared" si="15"/>
        <v>66</v>
      </c>
      <c r="M115" s="6">
        <f t="shared" si="16"/>
        <v>1.0441072980205079</v>
      </c>
      <c r="N115" s="13">
        <f t="shared" si="11"/>
        <v>1.096923893141617</v>
      </c>
      <c r="O115" s="6">
        <f t="shared" si="19"/>
        <v>44.718041720755124</v>
      </c>
      <c r="P115" s="6">
        <f t="shared" si="20"/>
        <v>43.037975244449491</v>
      </c>
      <c r="Q115" s="6">
        <f t="shared" si="17"/>
        <v>1.096923893141617</v>
      </c>
      <c r="S115">
        <v>66</v>
      </c>
      <c r="T115" s="6">
        <f t="shared" si="21"/>
        <v>1.096923893141617</v>
      </c>
    </row>
    <row r="116" spans="1:20">
      <c r="B116">
        <f t="shared" si="18"/>
        <v>113</v>
      </c>
      <c r="C116">
        <f t="shared" si="12"/>
        <v>30</v>
      </c>
      <c r="D116">
        <v>92</v>
      </c>
      <c r="E116">
        <v>122</v>
      </c>
      <c r="F116">
        <f>PMSPLINE!F$7</f>
        <v>0.46833216623671287</v>
      </c>
      <c r="G116">
        <f>PMSPLINE!F$8</f>
        <v>1.3319948639124057</v>
      </c>
      <c r="H116">
        <f>PMSPLINE!K$7</f>
        <v>1.883559155156343E-3</v>
      </c>
      <c r="I116">
        <f>PMSPLINE!K$8</f>
        <v>-2.4575460363050359E-3</v>
      </c>
      <c r="J116">
        <f t="shared" si="13"/>
        <v>0.3</v>
      </c>
      <c r="K116">
        <f t="shared" si="14"/>
        <v>0.7</v>
      </c>
      <c r="L116">
        <f t="shared" si="15"/>
        <v>67</v>
      </c>
      <c r="M116" s="6">
        <f t="shared" si="16"/>
        <v>1.0728960546096977</v>
      </c>
      <c r="N116" s="13">
        <f t="shared" si="11"/>
        <v>1.1273658974501801</v>
      </c>
      <c r="O116" s="6">
        <f t="shared" si="19"/>
        <v>45.790937775364824</v>
      </c>
      <c r="P116" s="6">
        <f t="shared" si="20"/>
        <v>44.165341141899674</v>
      </c>
      <c r="Q116" s="6">
        <f t="shared" si="17"/>
        <v>1.1273658974501801</v>
      </c>
      <c r="S116">
        <v>67</v>
      </c>
      <c r="T116" s="6">
        <f t="shared" si="21"/>
        <v>1.1273658974501801</v>
      </c>
    </row>
    <row r="117" spans="1:20">
      <c r="B117">
        <f t="shared" si="18"/>
        <v>114</v>
      </c>
      <c r="C117">
        <f t="shared" si="12"/>
        <v>30</v>
      </c>
      <c r="D117">
        <v>92</v>
      </c>
      <c r="E117">
        <v>122</v>
      </c>
      <c r="F117">
        <f>PMSPLINE!F$7</f>
        <v>0.46833216623671287</v>
      </c>
      <c r="G117">
        <f>PMSPLINE!F$8</f>
        <v>1.3319948639124057</v>
      </c>
      <c r="H117">
        <f>PMSPLINE!K$7</f>
        <v>1.883559155156343E-3</v>
      </c>
      <c r="I117">
        <f>PMSPLINE!K$8</f>
        <v>-2.4575460363050359E-3</v>
      </c>
      <c r="J117">
        <f t="shared" si="13"/>
        <v>0.26666666666666666</v>
      </c>
      <c r="K117">
        <f t="shared" si="14"/>
        <v>0.73333333333333328</v>
      </c>
      <c r="L117">
        <f t="shared" si="15"/>
        <v>68</v>
      </c>
      <c r="M117" s="6">
        <f t="shared" si="16"/>
        <v>1.1016848111988875</v>
      </c>
      <c r="N117" s="13">
        <f t="shared" si="11"/>
        <v>1.1566526872798768</v>
      </c>
      <c r="O117" s="6">
        <f t="shared" si="19"/>
        <v>46.892622586563711</v>
      </c>
      <c r="P117" s="6">
        <f t="shared" si="20"/>
        <v>45.321993829179547</v>
      </c>
      <c r="Q117" s="6">
        <f t="shared" si="17"/>
        <v>1.1566526872798768</v>
      </c>
      <c r="S117">
        <v>68</v>
      </c>
      <c r="T117" s="6">
        <f t="shared" si="21"/>
        <v>1.1566526872798768</v>
      </c>
    </row>
    <row r="118" spans="1:20">
      <c r="B118">
        <f t="shared" si="18"/>
        <v>115</v>
      </c>
      <c r="C118">
        <f t="shared" si="12"/>
        <v>30</v>
      </c>
      <c r="D118">
        <v>92</v>
      </c>
      <c r="E118">
        <v>122</v>
      </c>
      <c r="F118">
        <f>PMSPLINE!F$7</f>
        <v>0.46833216623671287</v>
      </c>
      <c r="G118">
        <f>PMSPLINE!F$8</f>
        <v>1.3319948639124057</v>
      </c>
      <c r="H118">
        <f>PMSPLINE!K$7</f>
        <v>1.883559155156343E-3</v>
      </c>
      <c r="I118">
        <f>PMSPLINE!K$8</f>
        <v>-2.4575460363050359E-3</v>
      </c>
      <c r="J118">
        <f t="shared" si="13"/>
        <v>0.23333333333333334</v>
      </c>
      <c r="K118">
        <f t="shared" si="14"/>
        <v>0.76666666666666672</v>
      </c>
      <c r="L118">
        <f t="shared" si="15"/>
        <v>69</v>
      </c>
      <c r="M118" s="6">
        <f t="shared" si="16"/>
        <v>1.1304735677880775</v>
      </c>
      <c r="N118" s="13">
        <f t="shared" si="11"/>
        <v>1.1846395591243248</v>
      </c>
      <c r="O118" s="6">
        <f t="shared" si="19"/>
        <v>48.023096154351791</v>
      </c>
      <c r="P118" s="6">
        <f t="shared" si="20"/>
        <v>46.506633388303875</v>
      </c>
      <c r="Q118" s="6">
        <f t="shared" si="17"/>
        <v>1.1846395591243248</v>
      </c>
      <c r="S118">
        <v>69</v>
      </c>
      <c r="T118" s="6">
        <f t="shared" si="21"/>
        <v>1.1846395591243248</v>
      </c>
    </row>
    <row r="119" spans="1:20">
      <c r="B119">
        <f t="shared" si="18"/>
        <v>116</v>
      </c>
      <c r="C119">
        <f t="shared" si="12"/>
        <v>30</v>
      </c>
      <c r="D119">
        <v>92</v>
      </c>
      <c r="E119">
        <v>122</v>
      </c>
      <c r="F119">
        <f>PMSPLINE!F$7</f>
        <v>0.46833216623671287</v>
      </c>
      <c r="G119">
        <f>PMSPLINE!F$8</f>
        <v>1.3319948639124057</v>
      </c>
      <c r="H119">
        <f>PMSPLINE!K$7</f>
        <v>1.883559155156343E-3</v>
      </c>
      <c r="I119">
        <f>PMSPLINE!K$8</f>
        <v>-2.4575460363050359E-3</v>
      </c>
      <c r="J119">
        <f t="shared" si="13"/>
        <v>0.2</v>
      </c>
      <c r="K119">
        <f t="shared" si="14"/>
        <v>0.8</v>
      </c>
      <c r="L119">
        <f t="shared" si="15"/>
        <v>70</v>
      </c>
      <c r="M119" s="6">
        <f t="shared" si="16"/>
        <v>1.1592623243772673</v>
      </c>
      <c r="N119" s="13">
        <f t="shared" ref="N119:N182" si="22">Q119</f>
        <v>1.211181809477142</v>
      </c>
      <c r="O119" s="6">
        <f t="shared" si="19"/>
        <v>49.182358478729057</v>
      </c>
      <c r="P119" s="6">
        <f t="shared" si="20"/>
        <v>47.717815197781015</v>
      </c>
      <c r="Q119" s="6">
        <f t="shared" si="17"/>
        <v>1.211181809477142</v>
      </c>
      <c r="S119">
        <v>70</v>
      </c>
      <c r="T119" s="6">
        <f t="shared" si="21"/>
        <v>1.211181809477142</v>
      </c>
    </row>
    <row r="120" spans="1:20">
      <c r="B120">
        <f t="shared" si="18"/>
        <v>117</v>
      </c>
      <c r="C120">
        <f t="shared" si="12"/>
        <v>30</v>
      </c>
      <c r="D120">
        <v>92</v>
      </c>
      <c r="E120">
        <v>122</v>
      </c>
      <c r="F120">
        <f>PMSPLINE!F$7</f>
        <v>0.46833216623671287</v>
      </c>
      <c r="G120">
        <f>PMSPLINE!F$8</f>
        <v>1.3319948639124057</v>
      </c>
      <c r="H120">
        <f>PMSPLINE!K$7</f>
        <v>1.883559155156343E-3</v>
      </c>
      <c r="I120">
        <f>PMSPLINE!K$8</f>
        <v>-2.4575460363050359E-3</v>
      </c>
      <c r="J120">
        <f t="shared" si="13"/>
        <v>0.16666666666666666</v>
      </c>
      <c r="K120">
        <f t="shared" si="14"/>
        <v>0.83333333333333337</v>
      </c>
      <c r="L120">
        <f t="shared" si="15"/>
        <v>71</v>
      </c>
      <c r="M120" s="6">
        <f t="shared" si="16"/>
        <v>1.1880510809664568</v>
      </c>
      <c r="N120" s="13">
        <f t="shared" si="22"/>
        <v>1.2361347348319465</v>
      </c>
      <c r="O120" s="6">
        <f t="shared" si="19"/>
        <v>50.370409559695517</v>
      </c>
      <c r="P120" s="6">
        <f t="shared" si="20"/>
        <v>48.953949932612964</v>
      </c>
      <c r="Q120" s="6">
        <f t="shared" si="17"/>
        <v>1.2361347348319465</v>
      </c>
      <c r="S120">
        <v>71</v>
      </c>
      <c r="T120" s="6">
        <f t="shared" si="21"/>
        <v>1.2361347348319465</v>
      </c>
    </row>
    <row r="121" spans="1:20">
      <c r="B121">
        <f t="shared" si="18"/>
        <v>118</v>
      </c>
      <c r="C121">
        <f t="shared" si="12"/>
        <v>30</v>
      </c>
      <c r="D121">
        <v>92</v>
      </c>
      <c r="E121">
        <v>122</v>
      </c>
      <c r="F121">
        <f>PMSPLINE!F$7</f>
        <v>0.46833216623671287</v>
      </c>
      <c r="G121">
        <f>PMSPLINE!F$8</f>
        <v>1.3319948639124057</v>
      </c>
      <c r="H121">
        <f>PMSPLINE!K$7</f>
        <v>1.883559155156343E-3</v>
      </c>
      <c r="I121">
        <f>PMSPLINE!K$8</f>
        <v>-2.4575460363050359E-3</v>
      </c>
      <c r="J121">
        <f t="shared" si="13"/>
        <v>0.13333333333333333</v>
      </c>
      <c r="K121">
        <f t="shared" si="14"/>
        <v>0.8666666666666667</v>
      </c>
      <c r="L121">
        <f t="shared" si="15"/>
        <v>72</v>
      </c>
      <c r="M121" s="6">
        <f t="shared" si="16"/>
        <v>1.2168398375556468</v>
      </c>
      <c r="N121" s="13">
        <f t="shared" si="22"/>
        <v>1.2593536316823561</v>
      </c>
      <c r="O121" s="6">
        <f t="shared" si="19"/>
        <v>51.587249397251163</v>
      </c>
      <c r="P121" s="6">
        <f t="shared" si="20"/>
        <v>50.213303564295323</v>
      </c>
      <c r="Q121" s="6">
        <f t="shared" si="17"/>
        <v>1.2593536316823561</v>
      </c>
      <c r="S121">
        <v>72</v>
      </c>
      <c r="T121" s="6">
        <f t="shared" si="21"/>
        <v>1.2593536316823561</v>
      </c>
    </row>
    <row r="122" spans="1:20">
      <c r="B122">
        <f t="shared" si="18"/>
        <v>119</v>
      </c>
      <c r="C122">
        <f t="shared" si="12"/>
        <v>30</v>
      </c>
      <c r="D122">
        <v>92</v>
      </c>
      <c r="E122">
        <v>122</v>
      </c>
      <c r="F122">
        <f>PMSPLINE!F$7</f>
        <v>0.46833216623671287</v>
      </c>
      <c r="G122">
        <f>PMSPLINE!F$8</f>
        <v>1.3319948639124057</v>
      </c>
      <c r="H122">
        <f>PMSPLINE!K$7</f>
        <v>1.883559155156343E-3</v>
      </c>
      <c r="I122">
        <f>PMSPLINE!K$8</f>
        <v>-2.4575460363050359E-3</v>
      </c>
      <c r="J122">
        <f t="shared" si="13"/>
        <v>0.1</v>
      </c>
      <c r="K122">
        <f t="shared" si="14"/>
        <v>0.9</v>
      </c>
      <c r="L122">
        <f t="shared" si="15"/>
        <v>73</v>
      </c>
      <c r="M122" s="6">
        <f t="shared" si="16"/>
        <v>1.2456285941448366</v>
      </c>
      <c r="N122" s="13">
        <f t="shared" si="22"/>
        <v>1.2806937965219891</v>
      </c>
      <c r="O122" s="6">
        <f t="shared" si="19"/>
        <v>52.832877991396003</v>
      </c>
      <c r="P122" s="6">
        <f t="shared" si="20"/>
        <v>51.49399736081731</v>
      </c>
      <c r="Q122" s="6">
        <f t="shared" si="17"/>
        <v>1.2806937965219891</v>
      </c>
      <c r="S122">
        <v>73</v>
      </c>
      <c r="T122" s="6">
        <f t="shared" si="21"/>
        <v>1.2806937965219891</v>
      </c>
    </row>
    <row r="123" spans="1:20">
      <c r="B123">
        <f t="shared" si="18"/>
        <v>120</v>
      </c>
      <c r="C123">
        <f t="shared" si="12"/>
        <v>30</v>
      </c>
      <c r="D123">
        <v>92</v>
      </c>
      <c r="E123">
        <v>122</v>
      </c>
      <c r="F123">
        <f>PMSPLINE!F$7</f>
        <v>0.46833216623671287</v>
      </c>
      <c r="G123">
        <f>PMSPLINE!F$8</f>
        <v>1.3319948639124057</v>
      </c>
      <c r="H123">
        <f>PMSPLINE!K$7</f>
        <v>1.883559155156343E-3</v>
      </c>
      <c r="I123">
        <f>PMSPLINE!K$8</f>
        <v>-2.4575460363050359E-3</v>
      </c>
      <c r="J123">
        <f t="shared" si="13"/>
        <v>6.6666666666666666E-2</v>
      </c>
      <c r="K123">
        <f t="shared" si="14"/>
        <v>0.93333333333333335</v>
      </c>
      <c r="L123">
        <f t="shared" si="15"/>
        <v>74</v>
      </c>
      <c r="M123" s="6">
        <f t="shared" si="16"/>
        <v>1.2744173507340262</v>
      </c>
      <c r="N123" s="13">
        <f t="shared" si="22"/>
        <v>1.3000105258444627</v>
      </c>
      <c r="O123" s="6">
        <f t="shared" si="19"/>
        <v>54.10729534213003</v>
      </c>
      <c r="P123" s="6">
        <f t="shared" si="20"/>
        <v>52.794007886661774</v>
      </c>
      <c r="Q123" s="6">
        <f t="shared" si="17"/>
        <v>1.3000105258444627</v>
      </c>
      <c r="S123">
        <v>74</v>
      </c>
      <c r="T123" s="6">
        <f t="shared" si="21"/>
        <v>1.3000105258444627</v>
      </c>
    </row>
    <row r="124" spans="1:20">
      <c r="B124">
        <f t="shared" si="18"/>
        <v>121</v>
      </c>
      <c r="C124">
        <f t="shared" si="12"/>
        <v>30</v>
      </c>
      <c r="D124">
        <v>92</v>
      </c>
      <c r="E124">
        <v>122</v>
      </c>
      <c r="F124">
        <f>PMSPLINE!F$7</f>
        <v>0.46833216623671287</v>
      </c>
      <c r="G124">
        <f>PMSPLINE!F$8</f>
        <v>1.3319948639124057</v>
      </c>
      <c r="H124">
        <f>PMSPLINE!K$7</f>
        <v>1.883559155156343E-3</v>
      </c>
      <c r="I124">
        <f>PMSPLINE!K$8</f>
        <v>-2.4575460363050359E-3</v>
      </c>
      <c r="J124">
        <f t="shared" si="13"/>
        <v>3.3333333333333333E-2</v>
      </c>
      <c r="K124">
        <f t="shared" si="14"/>
        <v>0.96666666666666667</v>
      </c>
      <c r="L124">
        <f t="shared" si="15"/>
        <v>75</v>
      </c>
      <c r="M124" s="6">
        <f t="shared" si="16"/>
        <v>1.303206107323216</v>
      </c>
      <c r="N124" s="13">
        <f t="shared" si="22"/>
        <v>1.3171591161433958</v>
      </c>
      <c r="O124" s="6">
        <f t="shared" si="19"/>
        <v>55.410501449453243</v>
      </c>
      <c r="P124" s="6">
        <f t="shared" si="20"/>
        <v>54.111167002805168</v>
      </c>
      <c r="Q124" s="6">
        <f t="shared" si="17"/>
        <v>1.3171591161433958</v>
      </c>
      <c r="S124">
        <v>75</v>
      </c>
      <c r="T124" s="6">
        <f t="shared" si="21"/>
        <v>1.3171591161433958</v>
      </c>
    </row>
    <row r="125" spans="1:20">
      <c r="A125">
        <v>122</v>
      </c>
      <c r="B125">
        <f t="shared" si="18"/>
        <v>122</v>
      </c>
      <c r="C125">
        <f t="shared" si="12"/>
        <v>30</v>
      </c>
      <c r="D125">
        <v>92</v>
      </c>
      <c r="E125">
        <v>122</v>
      </c>
      <c r="F125">
        <f>PMSPLINE!F$7</f>
        <v>0.46833216623671287</v>
      </c>
      <c r="G125">
        <f>PMSPLINE!F$8</f>
        <v>1.3319948639124057</v>
      </c>
      <c r="H125">
        <f>PMSPLINE!K$7</f>
        <v>1.883559155156343E-3</v>
      </c>
      <c r="I125">
        <f>PMSPLINE!K$8</f>
        <v>-2.4575460363050359E-3</v>
      </c>
      <c r="J125">
        <f t="shared" si="13"/>
        <v>0</v>
      </c>
      <c r="K125">
        <f t="shared" si="14"/>
        <v>1</v>
      </c>
      <c r="L125">
        <f t="shared" si="15"/>
        <v>76</v>
      </c>
      <c r="M125" s="6">
        <f t="shared" si="16"/>
        <v>1.3319948639124057</v>
      </c>
      <c r="N125" s="13">
        <f t="shared" si="22"/>
        <v>1.3319948639124057</v>
      </c>
      <c r="O125" s="6">
        <f t="shared" si="19"/>
        <v>56.742496313365649</v>
      </c>
      <c r="P125" s="6">
        <f t="shared" si="20"/>
        <v>55.443161866717574</v>
      </c>
      <c r="Q125" s="6">
        <f t="shared" si="17"/>
        <v>1.3319948639124057</v>
      </c>
      <c r="S125">
        <v>76</v>
      </c>
      <c r="T125" s="6">
        <f t="shared" si="21"/>
        <v>1.3319948639124057</v>
      </c>
    </row>
    <row r="126" spans="1:20">
      <c r="B126">
        <f t="shared" si="18"/>
        <v>123</v>
      </c>
      <c r="C126">
        <f t="shared" si="12"/>
        <v>31</v>
      </c>
      <c r="D126">
        <v>122</v>
      </c>
      <c r="E126">
        <v>153</v>
      </c>
      <c r="F126">
        <f>PMSPLINE!F$8</f>
        <v>1.3319948639124057</v>
      </c>
      <c r="G126">
        <f>PMSPLINE!F$9</f>
        <v>1.4363211472069024</v>
      </c>
      <c r="H126">
        <f>PMSPLINE!K$8</f>
        <v>-2.4575460363050359E-3</v>
      </c>
      <c r="I126">
        <f>PMSPLINE!K$9</f>
        <v>2.9281769710592406E-3</v>
      </c>
      <c r="J126">
        <f t="shared" si="13"/>
        <v>0.967741935483871</v>
      </c>
      <c r="K126">
        <f t="shared" si="14"/>
        <v>3.2258064516129031E-2</v>
      </c>
      <c r="L126">
        <f t="shared" si="15"/>
        <v>77</v>
      </c>
      <c r="M126" s="6">
        <f t="shared" si="16"/>
        <v>1.3353602278896477</v>
      </c>
      <c r="N126" s="13">
        <f t="shared" si="22"/>
        <v>1.3444261383962139</v>
      </c>
      <c r="O126" s="6">
        <f t="shared" si="19"/>
        <v>58.077856541255294</v>
      </c>
      <c r="P126" s="6">
        <f t="shared" si="20"/>
        <v>56.78758800511379</v>
      </c>
      <c r="Q126" s="6">
        <f t="shared" si="17"/>
        <v>1.3444261383962139</v>
      </c>
      <c r="S126">
        <v>77</v>
      </c>
      <c r="T126" s="6">
        <f t="shared" si="21"/>
        <v>1.3444261383962139</v>
      </c>
    </row>
    <row r="127" spans="1:20">
      <c r="B127">
        <f t="shared" si="18"/>
        <v>124</v>
      </c>
      <c r="C127">
        <f t="shared" si="12"/>
        <v>31</v>
      </c>
      <c r="D127">
        <v>122</v>
      </c>
      <c r="E127">
        <v>153</v>
      </c>
      <c r="F127">
        <f>PMSPLINE!F$8</f>
        <v>1.3319948639124057</v>
      </c>
      <c r="G127">
        <f>PMSPLINE!F$9</f>
        <v>1.4363211472069024</v>
      </c>
      <c r="H127">
        <f>PMSPLINE!K$8</f>
        <v>-2.4575460363050359E-3</v>
      </c>
      <c r="I127">
        <f>PMSPLINE!K$9</f>
        <v>2.9281769710592406E-3</v>
      </c>
      <c r="J127">
        <f t="shared" si="13"/>
        <v>0.93548387096774188</v>
      </c>
      <c r="K127">
        <f t="shared" si="14"/>
        <v>6.4516129032258063E-2</v>
      </c>
      <c r="L127">
        <f t="shared" si="15"/>
        <v>78</v>
      </c>
      <c r="M127" s="6">
        <f t="shared" si="16"/>
        <v>1.3387255918668892</v>
      </c>
      <c r="N127" s="13">
        <f t="shared" si="22"/>
        <v>1.3545735998439545</v>
      </c>
      <c r="O127" s="6">
        <f t="shared" si="19"/>
        <v>59.416582133122184</v>
      </c>
      <c r="P127" s="6">
        <f t="shared" si="20"/>
        <v>58.142161604957742</v>
      </c>
      <c r="Q127" s="6">
        <f t="shared" si="17"/>
        <v>1.3545735998439545</v>
      </c>
      <c r="S127">
        <v>78</v>
      </c>
      <c r="T127" s="6">
        <f t="shared" si="21"/>
        <v>1.3545735998439545</v>
      </c>
    </row>
    <row r="128" spans="1:20">
      <c r="B128">
        <f t="shared" si="18"/>
        <v>125</v>
      </c>
      <c r="C128">
        <f t="shared" si="12"/>
        <v>31</v>
      </c>
      <c r="D128">
        <v>122</v>
      </c>
      <c r="E128">
        <v>153</v>
      </c>
      <c r="F128">
        <f>PMSPLINE!F$8</f>
        <v>1.3319948639124057</v>
      </c>
      <c r="G128">
        <f>PMSPLINE!F$9</f>
        <v>1.4363211472069024</v>
      </c>
      <c r="H128">
        <f>PMSPLINE!K$8</f>
        <v>-2.4575460363050359E-3</v>
      </c>
      <c r="I128">
        <f>PMSPLINE!K$9</f>
        <v>2.9281769710592406E-3</v>
      </c>
      <c r="J128">
        <f t="shared" si="13"/>
        <v>0.90322580645161288</v>
      </c>
      <c r="K128">
        <f t="shared" si="14"/>
        <v>9.6774193548387094E-2</v>
      </c>
      <c r="L128">
        <f t="shared" si="15"/>
        <v>79</v>
      </c>
      <c r="M128" s="6">
        <f t="shared" si="16"/>
        <v>1.3420909558441312</v>
      </c>
      <c r="N128" s="13">
        <f t="shared" si="22"/>
        <v>1.3626109812558653</v>
      </c>
      <c r="O128" s="6">
        <f t="shared" si="19"/>
        <v>60.758673088966312</v>
      </c>
      <c r="P128" s="6">
        <f t="shared" si="20"/>
        <v>59.504772586213605</v>
      </c>
      <c r="Q128" s="6">
        <f t="shared" si="17"/>
        <v>1.3626109812558653</v>
      </c>
      <c r="S128">
        <v>79</v>
      </c>
      <c r="T128" s="6">
        <f t="shared" si="21"/>
        <v>1.3626109812558653</v>
      </c>
    </row>
    <row r="129" spans="2:20">
      <c r="B129">
        <f t="shared" si="18"/>
        <v>126</v>
      </c>
      <c r="C129">
        <f t="shared" si="12"/>
        <v>31</v>
      </c>
      <c r="D129">
        <v>122</v>
      </c>
      <c r="E129">
        <v>153</v>
      </c>
      <c r="F129">
        <f>PMSPLINE!F$8</f>
        <v>1.3319948639124057</v>
      </c>
      <c r="G129">
        <f>PMSPLINE!F$9</f>
        <v>1.4363211472069024</v>
      </c>
      <c r="H129">
        <f>PMSPLINE!K$8</f>
        <v>-2.4575460363050359E-3</v>
      </c>
      <c r="I129">
        <f>PMSPLINE!K$9</f>
        <v>2.9281769710592406E-3</v>
      </c>
      <c r="J129">
        <f t="shared" si="13"/>
        <v>0.87096774193548387</v>
      </c>
      <c r="K129">
        <f t="shared" si="14"/>
        <v>0.12903225806451613</v>
      </c>
      <c r="L129">
        <f t="shared" si="15"/>
        <v>80</v>
      </c>
      <c r="M129" s="6">
        <f t="shared" si="16"/>
        <v>1.3454563198213729</v>
      </c>
      <c r="N129" s="13">
        <f t="shared" si="22"/>
        <v>1.3687120156321837</v>
      </c>
      <c r="O129" s="6">
        <f t="shared" si="19"/>
        <v>62.104129408787685</v>
      </c>
      <c r="P129" s="6">
        <f t="shared" si="20"/>
        <v>60.873484601845789</v>
      </c>
      <c r="Q129" s="6">
        <f t="shared" si="17"/>
        <v>1.3687120156321837</v>
      </c>
      <c r="S129">
        <v>80</v>
      </c>
      <c r="T129" s="6">
        <f t="shared" si="21"/>
        <v>1.3687120156321837</v>
      </c>
    </row>
    <row r="130" spans="2:20">
      <c r="B130">
        <f t="shared" si="18"/>
        <v>127</v>
      </c>
      <c r="C130">
        <f t="shared" si="12"/>
        <v>31</v>
      </c>
      <c r="D130">
        <v>122</v>
      </c>
      <c r="E130">
        <v>153</v>
      </c>
      <c r="F130">
        <f>PMSPLINE!F$8</f>
        <v>1.3319948639124057</v>
      </c>
      <c r="G130">
        <f>PMSPLINE!F$9</f>
        <v>1.4363211472069024</v>
      </c>
      <c r="H130">
        <f>PMSPLINE!K$8</f>
        <v>-2.4575460363050359E-3</v>
      </c>
      <c r="I130">
        <f>PMSPLINE!K$9</f>
        <v>2.9281769710592406E-3</v>
      </c>
      <c r="J130">
        <f t="shared" si="13"/>
        <v>0.83870967741935487</v>
      </c>
      <c r="K130">
        <f t="shared" si="14"/>
        <v>0.16129032258064516</v>
      </c>
      <c r="L130">
        <f t="shared" si="15"/>
        <v>81</v>
      </c>
      <c r="M130" s="6">
        <f t="shared" si="16"/>
        <v>1.3488216837986149</v>
      </c>
      <c r="N130" s="13">
        <f t="shared" si="22"/>
        <v>1.3730504359731475</v>
      </c>
      <c r="O130" s="6">
        <f t="shared" si="19"/>
        <v>63.452951092586297</v>
      </c>
      <c r="P130" s="6">
        <f t="shared" si="20"/>
        <v>62.246535037818937</v>
      </c>
      <c r="Q130" s="6">
        <f t="shared" si="17"/>
        <v>1.3730504359731475</v>
      </c>
      <c r="S130">
        <v>81</v>
      </c>
      <c r="T130" s="6">
        <f t="shared" si="21"/>
        <v>1.3730504359731475</v>
      </c>
    </row>
    <row r="131" spans="2:20">
      <c r="B131">
        <f t="shared" si="18"/>
        <v>128</v>
      </c>
      <c r="C131">
        <f t="shared" si="12"/>
        <v>31</v>
      </c>
      <c r="D131">
        <v>122</v>
      </c>
      <c r="E131">
        <v>153</v>
      </c>
      <c r="F131">
        <f>PMSPLINE!F$8</f>
        <v>1.3319948639124057</v>
      </c>
      <c r="G131">
        <f>PMSPLINE!F$9</f>
        <v>1.4363211472069024</v>
      </c>
      <c r="H131">
        <f>PMSPLINE!K$8</f>
        <v>-2.4575460363050359E-3</v>
      </c>
      <c r="I131">
        <f>PMSPLINE!K$9</f>
        <v>2.9281769710592406E-3</v>
      </c>
      <c r="J131">
        <f t="shared" si="13"/>
        <v>0.80645161290322576</v>
      </c>
      <c r="K131">
        <f t="shared" si="14"/>
        <v>0.19354838709677419</v>
      </c>
      <c r="L131">
        <f t="shared" si="15"/>
        <v>82</v>
      </c>
      <c r="M131" s="6">
        <f t="shared" si="16"/>
        <v>1.3521870477758566</v>
      </c>
      <c r="N131" s="13">
        <f t="shared" si="22"/>
        <v>1.3757999752789938</v>
      </c>
      <c r="O131" s="6">
        <f t="shared" si="19"/>
        <v>64.805138140362146</v>
      </c>
      <c r="P131" s="6">
        <f t="shared" si="20"/>
        <v>63.622335013097931</v>
      </c>
      <c r="Q131" s="6">
        <f t="shared" si="17"/>
        <v>1.3757999752789938</v>
      </c>
      <c r="S131">
        <v>82</v>
      </c>
      <c r="T131" s="6">
        <f t="shared" si="21"/>
        <v>1.3757999752789938</v>
      </c>
    </row>
    <row r="132" spans="2:20">
      <c r="B132">
        <f t="shared" si="18"/>
        <v>129</v>
      </c>
      <c r="C132">
        <f t="shared" ref="C132:C195" si="23">E132-D132</f>
        <v>31</v>
      </c>
      <c r="D132">
        <v>122</v>
      </c>
      <c r="E132">
        <v>153</v>
      </c>
      <c r="F132">
        <f>PMSPLINE!F$8</f>
        <v>1.3319948639124057</v>
      </c>
      <c r="G132">
        <f>PMSPLINE!F$9</f>
        <v>1.4363211472069024</v>
      </c>
      <c r="H132">
        <f>PMSPLINE!K$8</f>
        <v>-2.4575460363050359E-3</v>
      </c>
      <c r="I132">
        <f>PMSPLINE!K$9</f>
        <v>2.9281769710592406E-3</v>
      </c>
      <c r="J132">
        <f t="shared" ref="J132:J195" si="24">(E132-B132)/C132</f>
        <v>0.77419354838709675</v>
      </c>
      <c r="K132">
        <f t="shared" ref="K132:K195" si="25">(B132-D132)/C132</f>
        <v>0.22580645161290322</v>
      </c>
      <c r="L132">
        <f t="shared" ref="L132:L195" si="26">B132-46</f>
        <v>83</v>
      </c>
      <c r="M132" s="6">
        <f t="shared" ref="M132:M195" si="27">J132*F132+K132*G132</f>
        <v>1.3555524117530986</v>
      </c>
      <c r="N132" s="13">
        <f t="shared" si="22"/>
        <v>1.3771343665499607</v>
      </c>
      <c r="O132" s="6">
        <f t="shared" si="19"/>
        <v>66.160690552115241</v>
      </c>
      <c r="P132" s="6">
        <f t="shared" si="20"/>
        <v>64.999469379647891</v>
      </c>
      <c r="Q132" s="6">
        <f t="shared" ref="Q132:Q195" si="28">M132+(((J132^3-J132)*H132+(K132^3-K132)*I132))*(C132^2)/6</f>
        <v>1.3771343665499607</v>
      </c>
      <c r="S132">
        <v>83</v>
      </c>
      <c r="T132" s="6">
        <f t="shared" si="21"/>
        <v>1.3771343665499607</v>
      </c>
    </row>
    <row r="133" spans="2:20">
      <c r="B133">
        <f t="shared" ref="B133:B196" si="29">B132+1</f>
        <v>130</v>
      </c>
      <c r="C133">
        <f t="shared" si="23"/>
        <v>31</v>
      </c>
      <c r="D133">
        <v>122</v>
      </c>
      <c r="E133">
        <v>153</v>
      </c>
      <c r="F133">
        <f>PMSPLINE!F$8</f>
        <v>1.3319948639124057</v>
      </c>
      <c r="G133">
        <f>PMSPLINE!F$9</f>
        <v>1.4363211472069024</v>
      </c>
      <c r="H133">
        <f>PMSPLINE!K$8</f>
        <v>-2.4575460363050359E-3</v>
      </c>
      <c r="I133">
        <f>PMSPLINE!K$9</f>
        <v>2.9281769710592406E-3</v>
      </c>
      <c r="J133">
        <f t="shared" si="24"/>
        <v>0.74193548387096775</v>
      </c>
      <c r="K133">
        <f t="shared" si="25"/>
        <v>0.25806451612903225</v>
      </c>
      <c r="L133">
        <f t="shared" si="26"/>
        <v>84</v>
      </c>
      <c r="M133" s="6">
        <f t="shared" si="27"/>
        <v>1.3589177757303403</v>
      </c>
      <c r="N133" s="13">
        <f t="shared" si="22"/>
        <v>1.3772273427862851</v>
      </c>
      <c r="O133" s="6">
        <f t="shared" ref="O133:O196" si="30">O132+M133</f>
        <v>67.519608327845589</v>
      </c>
      <c r="P133" s="6">
        <f t="shared" ref="P133:P196" si="31">P132+N133</f>
        <v>66.376696722434176</v>
      </c>
      <c r="Q133" s="6">
        <f t="shared" si="28"/>
        <v>1.3772273427862851</v>
      </c>
      <c r="S133">
        <v>84</v>
      </c>
      <c r="T133" s="6">
        <f t="shared" si="21"/>
        <v>1.3772273427862851</v>
      </c>
    </row>
    <row r="134" spans="2:20">
      <c r="B134">
        <f t="shared" si="29"/>
        <v>131</v>
      </c>
      <c r="C134">
        <f t="shared" si="23"/>
        <v>31</v>
      </c>
      <c r="D134">
        <v>122</v>
      </c>
      <c r="E134">
        <v>153</v>
      </c>
      <c r="F134">
        <f>PMSPLINE!F$8</f>
        <v>1.3319948639124057</v>
      </c>
      <c r="G134">
        <f>PMSPLINE!F$9</f>
        <v>1.4363211472069024</v>
      </c>
      <c r="H134">
        <f>PMSPLINE!K$8</f>
        <v>-2.4575460363050359E-3</v>
      </c>
      <c r="I134">
        <f>PMSPLINE!K$9</f>
        <v>2.9281769710592406E-3</v>
      </c>
      <c r="J134">
        <f t="shared" si="24"/>
        <v>0.70967741935483875</v>
      </c>
      <c r="K134">
        <f t="shared" si="25"/>
        <v>0.29032258064516131</v>
      </c>
      <c r="L134">
        <f t="shared" si="26"/>
        <v>85</v>
      </c>
      <c r="M134" s="6">
        <f t="shared" si="27"/>
        <v>1.3622831397075823</v>
      </c>
      <c r="N134" s="13">
        <f t="shared" si="22"/>
        <v>1.3762526369882051</v>
      </c>
      <c r="O134" s="6">
        <f t="shared" si="30"/>
        <v>68.881891467553174</v>
      </c>
      <c r="P134" s="6">
        <f t="shared" si="31"/>
        <v>67.752949359422374</v>
      </c>
      <c r="Q134" s="6">
        <f t="shared" si="28"/>
        <v>1.3762526369882051</v>
      </c>
      <c r="S134">
        <v>85</v>
      </c>
      <c r="T134" s="6">
        <f t="shared" si="21"/>
        <v>1.3762526369882051</v>
      </c>
    </row>
    <row r="135" spans="2:20">
      <c r="B135">
        <f t="shared" si="29"/>
        <v>132</v>
      </c>
      <c r="C135">
        <f t="shared" si="23"/>
        <v>31</v>
      </c>
      <c r="D135">
        <v>122</v>
      </c>
      <c r="E135">
        <v>153</v>
      </c>
      <c r="F135">
        <f>PMSPLINE!F$8</f>
        <v>1.3319948639124057</v>
      </c>
      <c r="G135">
        <f>PMSPLINE!F$9</f>
        <v>1.4363211472069024</v>
      </c>
      <c r="H135">
        <f>PMSPLINE!K$8</f>
        <v>-2.4575460363050359E-3</v>
      </c>
      <c r="I135">
        <f>PMSPLINE!K$9</f>
        <v>2.9281769710592406E-3</v>
      </c>
      <c r="J135">
        <f t="shared" si="24"/>
        <v>0.67741935483870963</v>
      </c>
      <c r="K135">
        <f t="shared" si="25"/>
        <v>0.32258064516129031</v>
      </c>
      <c r="L135">
        <f t="shared" si="26"/>
        <v>86</v>
      </c>
      <c r="M135" s="6">
        <f t="shared" si="27"/>
        <v>1.3656485036848238</v>
      </c>
      <c r="N135" s="13">
        <f t="shared" si="22"/>
        <v>1.3743839821559578</v>
      </c>
      <c r="O135" s="6">
        <f t="shared" si="30"/>
        <v>70.247539971237998</v>
      </c>
      <c r="P135" s="6">
        <f t="shared" si="31"/>
        <v>69.127333341578336</v>
      </c>
      <c r="Q135" s="6">
        <f t="shared" si="28"/>
        <v>1.3743839821559578</v>
      </c>
      <c r="S135">
        <v>86</v>
      </c>
      <c r="T135" s="6">
        <f t="shared" si="21"/>
        <v>1.3743839821559578</v>
      </c>
    </row>
    <row r="136" spans="2:20">
      <c r="B136">
        <f t="shared" si="29"/>
        <v>133</v>
      </c>
      <c r="C136">
        <f t="shared" si="23"/>
        <v>31</v>
      </c>
      <c r="D136">
        <v>122</v>
      </c>
      <c r="E136">
        <v>153</v>
      </c>
      <c r="F136">
        <f>PMSPLINE!F$8</f>
        <v>1.3319948639124057</v>
      </c>
      <c r="G136">
        <f>PMSPLINE!F$9</f>
        <v>1.4363211472069024</v>
      </c>
      <c r="H136">
        <f>PMSPLINE!K$8</f>
        <v>-2.4575460363050359E-3</v>
      </c>
      <c r="I136">
        <f>PMSPLINE!K$9</f>
        <v>2.9281769710592406E-3</v>
      </c>
      <c r="J136">
        <f t="shared" si="24"/>
        <v>0.64516129032258063</v>
      </c>
      <c r="K136">
        <f t="shared" si="25"/>
        <v>0.35483870967741937</v>
      </c>
      <c r="L136">
        <f t="shared" si="26"/>
        <v>87</v>
      </c>
      <c r="M136" s="6">
        <f t="shared" si="27"/>
        <v>1.3690138676620658</v>
      </c>
      <c r="N136" s="13">
        <f t="shared" si="22"/>
        <v>1.3717951112897815</v>
      </c>
      <c r="O136" s="6">
        <f t="shared" si="30"/>
        <v>71.61655383890006</v>
      </c>
      <c r="P136" s="6">
        <f t="shared" si="31"/>
        <v>70.499128452868121</v>
      </c>
      <c r="Q136" s="6">
        <f t="shared" si="28"/>
        <v>1.3717951112897815</v>
      </c>
      <c r="S136">
        <v>87</v>
      </c>
      <c r="T136" s="6">
        <f t="shared" si="21"/>
        <v>1.3717951112897815</v>
      </c>
    </row>
    <row r="137" spans="2:20">
      <c r="B137">
        <f t="shared" si="29"/>
        <v>134</v>
      </c>
      <c r="C137">
        <f t="shared" si="23"/>
        <v>31</v>
      </c>
      <c r="D137">
        <v>122</v>
      </c>
      <c r="E137">
        <v>153</v>
      </c>
      <c r="F137">
        <f>PMSPLINE!F$8</f>
        <v>1.3319948639124057</v>
      </c>
      <c r="G137">
        <f>PMSPLINE!F$9</f>
        <v>1.4363211472069024</v>
      </c>
      <c r="H137">
        <f>PMSPLINE!K$8</f>
        <v>-2.4575460363050359E-3</v>
      </c>
      <c r="I137">
        <f>PMSPLINE!K$9</f>
        <v>2.9281769710592406E-3</v>
      </c>
      <c r="J137">
        <f t="shared" si="24"/>
        <v>0.61290322580645162</v>
      </c>
      <c r="K137">
        <f t="shared" si="25"/>
        <v>0.38709677419354838</v>
      </c>
      <c r="L137">
        <f t="shared" si="26"/>
        <v>88</v>
      </c>
      <c r="M137" s="6">
        <f t="shared" si="27"/>
        <v>1.3723792316393078</v>
      </c>
      <c r="N137" s="13">
        <f t="shared" si="22"/>
        <v>1.3686597573899133</v>
      </c>
      <c r="O137" s="6">
        <f t="shared" si="30"/>
        <v>72.988933070539375</v>
      </c>
      <c r="P137" s="6">
        <f t="shared" si="31"/>
        <v>71.867788210258027</v>
      </c>
      <c r="Q137" s="6">
        <f t="shared" si="28"/>
        <v>1.3686597573899133</v>
      </c>
      <c r="S137">
        <v>88</v>
      </c>
      <c r="T137" s="6">
        <f t="shared" si="21"/>
        <v>1.3686597573899133</v>
      </c>
    </row>
    <row r="138" spans="2:20">
      <c r="B138">
        <f t="shared" si="29"/>
        <v>135</v>
      </c>
      <c r="C138">
        <f t="shared" si="23"/>
        <v>31</v>
      </c>
      <c r="D138">
        <v>122</v>
      </c>
      <c r="E138">
        <v>153</v>
      </c>
      <c r="F138">
        <f>PMSPLINE!F$8</f>
        <v>1.3319948639124057</v>
      </c>
      <c r="G138">
        <f>PMSPLINE!F$9</f>
        <v>1.4363211472069024</v>
      </c>
      <c r="H138">
        <f>PMSPLINE!K$8</f>
        <v>-2.4575460363050359E-3</v>
      </c>
      <c r="I138">
        <f>PMSPLINE!K$9</f>
        <v>2.9281769710592406E-3</v>
      </c>
      <c r="J138">
        <f t="shared" si="24"/>
        <v>0.58064516129032262</v>
      </c>
      <c r="K138">
        <f t="shared" si="25"/>
        <v>0.41935483870967744</v>
      </c>
      <c r="L138">
        <f t="shared" si="26"/>
        <v>89</v>
      </c>
      <c r="M138" s="6">
        <f t="shared" si="27"/>
        <v>1.3757445956165495</v>
      </c>
      <c r="N138" s="13">
        <f t="shared" si="22"/>
        <v>1.3651516534565904</v>
      </c>
      <c r="O138" s="6">
        <f t="shared" si="30"/>
        <v>74.364677666155927</v>
      </c>
      <c r="P138" s="6">
        <f t="shared" si="31"/>
        <v>73.23293986371462</v>
      </c>
      <c r="Q138" s="6">
        <f t="shared" si="28"/>
        <v>1.3651516534565904</v>
      </c>
      <c r="S138">
        <v>89</v>
      </c>
      <c r="T138" s="6">
        <f t="shared" si="21"/>
        <v>1.3651516534565904</v>
      </c>
    </row>
    <row r="139" spans="2:20">
      <c r="B139">
        <f t="shared" si="29"/>
        <v>136</v>
      </c>
      <c r="C139">
        <f t="shared" si="23"/>
        <v>31</v>
      </c>
      <c r="D139">
        <v>122</v>
      </c>
      <c r="E139">
        <v>153</v>
      </c>
      <c r="F139">
        <f>PMSPLINE!F$8</f>
        <v>1.3319948639124057</v>
      </c>
      <c r="G139">
        <f>PMSPLINE!F$9</f>
        <v>1.4363211472069024</v>
      </c>
      <c r="H139">
        <f>PMSPLINE!K$8</f>
        <v>-2.4575460363050359E-3</v>
      </c>
      <c r="I139">
        <f>PMSPLINE!K$9</f>
        <v>2.9281769710592406E-3</v>
      </c>
      <c r="J139">
        <f t="shared" si="24"/>
        <v>0.54838709677419351</v>
      </c>
      <c r="K139">
        <f t="shared" si="25"/>
        <v>0.45161290322580644</v>
      </c>
      <c r="L139">
        <f t="shared" si="26"/>
        <v>90</v>
      </c>
      <c r="M139" s="6">
        <f t="shared" si="27"/>
        <v>1.3791099595937912</v>
      </c>
      <c r="N139" s="13">
        <f t="shared" si="22"/>
        <v>1.3614445324900508</v>
      </c>
      <c r="O139" s="6">
        <f t="shared" si="30"/>
        <v>75.743787625749718</v>
      </c>
      <c r="P139" s="6">
        <f t="shared" si="31"/>
        <v>74.594384396204674</v>
      </c>
      <c r="Q139" s="6">
        <f t="shared" si="28"/>
        <v>1.3614445324900508</v>
      </c>
      <c r="S139">
        <v>90</v>
      </c>
      <c r="T139" s="6">
        <f t="shared" si="21"/>
        <v>1.3614445324900508</v>
      </c>
    </row>
    <row r="140" spans="2:20">
      <c r="B140">
        <f t="shared" si="29"/>
        <v>137</v>
      </c>
      <c r="C140">
        <f t="shared" si="23"/>
        <v>31</v>
      </c>
      <c r="D140">
        <v>122</v>
      </c>
      <c r="E140">
        <v>153</v>
      </c>
      <c r="F140">
        <f>PMSPLINE!F$8</f>
        <v>1.3319948639124057</v>
      </c>
      <c r="G140">
        <f>PMSPLINE!F$9</f>
        <v>1.4363211472069024</v>
      </c>
      <c r="H140">
        <f>PMSPLINE!K$8</f>
        <v>-2.4575460363050359E-3</v>
      </c>
      <c r="I140">
        <f>PMSPLINE!K$9</f>
        <v>2.9281769710592406E-3</v>
      </c>
      <c r="J140">
        <f t="shared" si="24"/>
        <v>0.5161290322580645</v>
      </c>
      <c r="K140">
        <f t="shared" si="25"/>
        <v>0.4838709677419355</v>
      </c>
      <c r="L140">
        <f t="shared" si="26"/>
        <v>91</v>
      </c>
      <c r="M140" s="6">
        <f t="shared" si="27"/>
        <v>1.3824753235710332</v>
      </c>
      <c r="N140" s="13">
        <f t="shared" si="22"/>
        <v>1.3577121274905322</v>
      </c>
      <c r="O140" s="6">
        <f t="shared" si="30"/>
        <v>77.126262949320747</v>
      </c>
      <c r="P140" s="6">
        <f t="shared" si="31"/>
        <v>75.952096523695204</v>
      </c>
      <c r="Q140" s="6">
        <f t="shared" si="28"/>
        <v>1.3577121274905322</v>
      </c>
      <c r="S140">
        <v>91</v>
      </c>
      <c r="T140" s="6">
        <f t="shared" si="21"/>
        <v>1.3577121274905322</v>
      </c>
    </row>
    <row r="141" spans="2:20">
      <c r="B141">
        <f t="shared" si="29"/>
        <v>138</v>
      </c>
      <c r="C141">
        <f t="shared" si="23"/>
        <v>31</v>
      </c>
      <c r="D141">
        <v>122</v>
      </c>
      <c r="E141">
        <v>153</v>
      </c>
      <c r="F141">
        <f>PMSPLINE!F$8</f>
        <v>1.3319948639124057</v>
      </c>
      <c r="G141">
        <f>PMSPLINE!F$9</f>
        <v>1.4363211472069024</v>
      </c>
      <c r="H141">
        <f>PMSPLINE!K$8</f>
        <v>-2.4575460363050359E-3</v>
      </c>
      <c r="I141">
        <f>PMSPLINE!K$9</f>
        <v>2.9281769710592406E-3</v>
      </c>
      <c r="J141">
        <f t="shared" si="24"/>
        <v>0.4838709677419355</v>
      </c>
      <c r="K141">
        <f t="shared" si="25"/>
        <v>0.5161290322580645</v>
      </c>
      <c r="L141">
        <f t="shared" si="26"/>
        <v>92</v>
      </c>
      <c r="M141" s="6">
        <f t="shared" si="27"/>
        <v>1.3858406875482749</v>
      </c>
      <c r="N141" s="13">
        <f t="shared" si="22"/>
        <v>1.3541281714582716</v>
      </c>
      <c r="O141" s="6">
        <f t="shared" si="30"/>
        <v>78.512103636869028</v>
      </c>
      <c r="P141" s="6">
        <f t="shared" si="31"/>
        <v>77.306224695153475</v>
      </c>
      <c r="Q141" s="6">
        <f t="shared" si="28"/>
        <v>1.3541281714582716</v>
      </c>
      <c r="S141">
        <v>92</v>
      </c>
      <c r="T141" s="6">
        <f t="shared" si="21"/>
        <v>1.3541281714582716</v>
      </c>
    </row>
    <row r="142" spans="2:20">
      <c r="B142">
        <f t="shared" si="29"/>
        <v>139</v>
      </c>
      <c r="C142">
        <f t="shared" si="23"/>
        <v>31</v>
      </c>
      <c r="D142">
        <v>122</v>
      </c>
      <c r="E142">
        <v>153</v>
      </c>
      <c r="F142">
        <f>PMSPLINE!F$8</f>
        <v>1.3319948639124057</v>
      </c>
      <c r="G142">
        <f>PMSPLINE!F$9</f>
        <v>1.4363211472069024</v>
      </c>
      <c r="H142">
        <f>PMSPLINE!K$8</f>
        <v>-2.4575460363050359E-3</v>
      </c>
      <c r="I142">
        <f>PMSPLINE!K$9</f>
        <v>2.9281769710592406E-3</v>
      </c>
      <c r="J142">
        <f t="shared" si="24"/>
        <v>0.45161290322580644</v>
      </c>
      <c r="K142">
        <f t="shared" si="25"/>
        <v>0.54838709677419351</v>
      </c>
      <c r="L142">
        <f t="shared" si="26"/>
        <v>93</v>
      </c>
      <c r="M142" s="6">
        <f t="shared" si="27"/>
        <v>1.3892060515255167</v>
      </c>
      <c r="N142" s="13">
        <f t="shared" si="22"/>
        <v>1.3508663973935069</v>
      </c>
      <c r="O142" s="6">
        <f t="shared" si="30"/>
        <v>79.901309688394548</v>
      </c>
      <c r="P142" s="6">
        <f t="shared" si="31"/>
        <v>78.657091092546978</v>
      </c>
      <c r="Q142" s="6">
        <f t="shared" si="28"/>
        <v>1.3508663973935069</v>
      </c>
      <c r="S142">
        <v>93</v>
      </c>
      <c r="T142" s="6">
        <f t="shared" si="21"/>
        <v>1.3508663973935069</v>
      </c>
    </row>
    <row r="143" spans="2:20">
      <c r="B143">
        <f t="shared" si="29"/>
        <v>140</v>
      </c>
      <c r="C143">
        <f t="shared" si="23"/>
        <v>31</v>
      </c>
      <c r="D143">
        <v>122</v>
      </c>
      <c r="E143">
        <v>153</v>
      </c>
      <c r="F143">
        <f>PMSPLINE!F$8</f>
        <v>1.3319948639124057</v>
      </c>
      <c r="G143">
        <f>PMSPLINE!F$9</f>
        <v>1.4363211472069024</v>
      </c>
      <c r="H143">
        <f>PMSPLINE!K$8</f>
        <v>-2.4575460363050359E-3</v>
      </c>
      <c r="I143">
        <f>PMSPLINE!K$9</f>
        <v>2.9281769710592406E-3</v>
      </c>
      <c r="J143">
        <f t="shared" si="24"/>
        <v>0.41935483870967744</v>
      </c>
      <c r="K143">
        <f t="shared" si="25"/>
        <v>0.58064516129032262</v>
      </c>
      <c r="L143">
        <f t="shared" si="26"/>
        <v>94</v>
      </c>
      <c r="M143" s="6">
        <f t="shared" si="27"/>
        <v>1.3925714155027586</v>
      </c>
      <c r="N143" s="13">
        <f t="shared" si="22"/>
        <v>1.3481005382964759</v>
      </c>
      <c r="O143" s="6">
        <f t="shared" si="30"/>
        <v>81.293881103897306</v>
      </c>
      <c r="P143" s="6">
        <f t="shared" si="31"/>
        <v>80.005191630843456</v>
      </c>
      <c r="Q143" s="6">
        <f t="shared" si="28"/>
        <v>1.3481005382964759</v>
      </c>
      <c r="S143">
        <v>94</v>
      </c>
      <c r="T143" s="6">
        <f t="shared" si="21"/>
        <v>1.3481005382964759</v>
      </c>
    </row>
    <row r="144" spans="2:20">
      <c r="B144">
        <f t="shared" si="29"/>
        <v>141</v>
      </c>
      <c r="C144">
        <f t="shared" si="23"/>
        <v>31</v>
      </c>
      <c r="D144">
        <v>122</v>
      </c>
      <c r="E144">
        <v>153</v>
      </c>
      <c r="F144">
        <f>PMSPLINE!F$8</f>
        <v>1.3319948639124057</v>
      </c>
      <c r="G144">
        <f>PMSPLINE!F$9</f>
        <v>1.4363211472069024</v>
      </c>
      <c r="H144">
        <f>PMSPLINE!K$8</f>
        <v>-2.4575460363050359E-3</v>
      </c>
      <c r="I144">
        <f>PMSPLINE!K$9</f>
        <v>2.9281769710592406E-3</v>
      </c>
      <c r="J144">
        <f t="shared" si="24"/>
        <v>0.38709677419354838</v>
      </c>
      <c r="K144">
        <f t="shared" si="25"/>
        <v>0.61290322580645162</v>
      </c>
      <c r="L144">
        <f t="shared" si="26"/>
        <v>95</v>
      </c>
      <c r="M144" s="6">
        <f t="shared" si="27"/>
        <v>1.3959367794800004</v>
      </c>
      <c r="N144" s="13">
        <f t="shared" si="22"/>
        <v>1.3460043271674156</v>
      </c>
      <c r="O144" s="6">
        <f t="shared" si="30"/>
        <v>82.689817883377302</v>
      </c>
      <c r="P144" s="6">
        <f t="shared" si="31"/>
        <v>81.351195958010877</v>
      </c>
      <c r="Q144" s="6">
        <f t="shared" si="28"/>
        <v>1.3460043271674156</v>
      </c>
      <c r="S144">
        <v>95</v>
      </c>
      <c r="T144" s="6">
        <f t="shared" si="21"/>
        <v>1.3460043271674156</v>
      </c>
    </row>
    <row r="145" spans="1:20">
      <c r="B145">
        <f t="shared" si="29"/>
        <v>142</v>
      </c>
      <c r="C145">
        <f t="shared" si="23"/>
        <v>31</v>
      </c>
      <c r="D145">
        <v>122</v>
      </c>
      <c r="E145">
        <v>153</v>
      </c>
      <c r="F145">
        <f>PMSPLINE!F$8</f>
        <v>1.3319948639124057</v>
      </c>
      <c r="G145">
        <f>PMSPLINE!F$9</f>
        <v>1.4363211472069024</v>
      </c>
      <c r="H145">
        <f>PMSPLINE!K$8</f>
        <v>-2.4575460363050359E-3</v>
      </c>
      <c r="I145">
        <f>PMSPLINE!K$9</f>
        <v>2.9281769710592406E-3</v>
      </c>
      <c r="J145">
        <f t="shared" si="24"/>
        <v>0.35483870967741937</v>
      </c>
      <c r="K145">
        <f t="shared" si="25"/>
        <v>0.64516129032258063</v>
      </c>
      <c r="L145">
        <f t="shared" si="26"/>
        <v>96</v>
      </c>
      <c r="M145" s="6">
        <f t="shared" si="27"/>
        <v>1.3993021434572424</v>
      </c>
      <c r="N145" s="13">
        <f t="shared" si="22"/>
        <v>1.3447514970065642</v>
      </c>
      <c r="O145" s="6">
        <f t="shared" si="30"/>
        <v>84.08912002683455</v>
      </c>
      <c r="P145" s="6">
        <f t="shared" si="31"/>
        <v>82.695947455017446</v>
      </c>
      <c r="Q145" s="6">
        <f t="shared" si="28"/>
        <v>1.3447514970065642</v>
      </c>
      <c r="S145">
        <v>96</v>
      </c>
      <c r="T145" s="6">
        <f t="shared" si="21"/>
        <v>1.3447514970065642</v>
      </c>
    </row>
    <row r="146" spans="1:20">
      <c r="B146">
        <f t="shared" si="29"/>
        <v>143</v>
      </c>
      <c r="C146">
        <f t="shared" si="23"/>
        <v>31</v>
      </c>
      <c r="D146">
        <v>122</v>
      </c>
      <c r="E146">
        <v>153</v>
      </c>
      <c r="F146">
        <f>PMSPLINE!F$8</f>
        <v>1.3319948639124057</v>
      </c>
      <c r="G146">
        <f>PMSPLINE!F$9</f>
        <v>1.4363211472069024</v>
      </c>
      <c r="H146">
        <f>PMSPLINE!K$8</f>
        <v>-2.4575460363050359E-3</v>
      </c>
      <c r="I146">
        <f>PMSPLINE!K$9</f>
        <v>2.9281769710592406E-3</v>
      </c>
      <c r="J146">
        <f t="shared" si="24"/>
        <v>0.32258064516129031</v>
      </c>
      <c r="K146">
        <f t="shared" si="25"/>
        <v>0.67741935483870963</v>
      </c>
      <c r="L146">
        <f t="shared" si="26"/>
        <v>97</v>
      </c>
      <c r="M146" s="6">
        <f t="shared" si="27"/>
        <v>1.4026675074344839</v>
      </c>
      <c r="N146" s="13">
        <f t="shared" si="22"/>
        <v>1.3445157808141583</v>
      </c>
      <c r="O146" s="6">
        <f t="shared" si="30"/>
        <v>85.491787534269037</v>
      </c>
      <c r="P146" s="6">
        <f t="shared" si="31"/>
        <v>84.040463235831609</v>
      </c>
      <c r="Q146" s="6">
        <f t="shared" si="28"/>
        <v>1.3445157808141583</v>
      </c>
      <c r="S146">
        <v>97</v>
      </c>
      <c r="T146" s="6">
        <f t="shared" si="21"/>
        <v>1.3445157808141583</v>
      </c>
    </row>
    <row r="147" spans="1:20">
      <c r="B147">
        <f t="shared" si="29"/>
        <v>144</v>
      </c>
      <c r="C147">
        <f t="shared" si="23"/>
        <v>31</v>
      </c>
      <c r="D147">
        <v>122</v>
      </c>
      <c r="E147">
        <v>153</v>
      </c>
      <c r="F147">
        <f>PMSPLINE!F$8</f>
        <v>1.3319948639124057</v>
      </c>
      <c r="G147">
        <f>PMSPLINE!F$9</f>
        <v>1.4363211472069024</v>
      </c>
      <c r="H147">
        <f>PMSPLINE!K$8</f>
        <v>-2.4575460363050359E-3</v>
      </c>
      <c r="I147">
        <f>PMSPLINE!K$9</f>
        <v>2.9281769710592406E-3</v>
      </c>
      <c r="J147">
        <f t="shared" si="24"/>
        <v>0.29032258064516131</v>
      </c>
      <c r="K147">
        <f t="shared" si="25"/>
        <v>0.70967741935483875</v>
      </c>
      <c r="L147">
        <f t="shared" si="26"/>
        <v>98</v>
      </c>
      <c r="M147" s="6">
        <f t="shared" si="27"/>
        <v>1.4060328714117261</v>
      </c>
      <c r="N147" s="13">
        <f t="shared" si="22"/>
        <v>1.3454709115904369</v>
      </c>
      <c r="O147" s="6">
        <f t="shared" si="30"/>
        <v>86.897820405680761</v>
      </c>
      <c r="P147" s="6">
        <f t="shared" si="31"/>
        <v>85.385934147422049</v>
      </c>
      <c r="Q147" s="6">
        <f t="shared" si="28"/>
        <v>1.3454709115904369</v>
      </c>
      <c r="S147">
        <v>98</v>
      </c>
      <c r="T147" s="6">
        <f t="shared" si="21"/>
        <v>1.3454709115904369</v>
      </c>
    </row>
    <row r="148" spans="1:20">
      <c r="B148">
        <f t="shared" si="29"/>
        <v>145</v>
      </c>
      <c r="C148">
        <f t="shared" si="23"/>
        <v>31</v>
      </c>
      <c r="D148">
        <v>122</v>
      </c>
      <c r="E148">
        <v>153</v>
      </c>
      <c r="F148">
        <f>PMSPLINE!F$8</f>
        <v>1.3319948639124057</v>
      </c>
      <c r="G148">
        <f>PMSPLINE!F$9</f>
        <v>1.4363211472069024</v>
      </c>
      <c r="H148">
        <f>PMSPLINE!K$8</f>
        <v>-2.4575460363050359E-3</v>
      </c>
      <c r="I148">
        <f>PMSPLINE!K$9</f>
        <v>2.9281769710592406E-3</v>
      </c>
      <c r="J148">
        <f t="shared" si="24"/>
        <v>0.25806451612903225</v>
      </c>
      <c r="K148">
        <f t="shared" si="25"/>
        <v>0.74193548387096775</v>
      </c>
      <c r="L148">
        <f t="shared" si="26"/>
        <v>99</v>
      </c>
      <c r="M148" s="6">
        <f t="shared" si="27"/>
        <v>1.4093982353889678</v>
      </c>
      <c r="N148" s="13">
        <f t="shared" si="22"/>
        <v>1.3477906223356362</v>
      </c>
      <c r="O148" s="6">
        <f t="shared" si="30"/>
        <v>88.307218641069724</v>
      </c>
      <c r="P148" s="6">
        <f t="shared" si="31"/>
        <v>86.733724769757686</v>
      </c>
      <c r="Q148" s="6">
        <f t="shared" si="28"/>
        <v>1.3477906223356362</v>
      </c>
      <c r="S148">
        <v>99</v>
      </c>
      <c r="T148" s="6">
        <f t="shared" si="21"/>
        <v>1.3477906223356362</v>
      </c>
    </row>
    <row r="149" spans="1:20">
      <c r="B149">
        <f t="shared" si="29"/>
        <v>146</v>
      </c>
      <c r="C149">
        <f t="shared" si="23"/>
        <v>31</v>
      </c>
      <c r="D149">
        <v>122</v>
      </c>
      <c r="E149">
        <v>153</v>
      </c>
      <c r="F149">
        <f>PMSPLINE!F$8</f>
        <v>1.3319948639124057</v>
      </c>
      <c r="G149">
        <f>PMSPLINE!F$9</f>
        <v>1.4363211472069024</v>
      </c>
      <c r="H149">
        <f>PMSPLINE!K$8</f>
        <v>-2.4575460363050359E-3</v>
      </c>
      <c r="I149">
        <f>PMSPLINE!K$9</f>
        <v>2.9281769710592406E-3</v>
      </c>
      <c r="J149">
        <f t="shared" si="24"/>
        <v>0.22580645161290322</v>
      </c>
      <c r="K149">
        <f t="shared" si="25"/>
        <v>0.77419354838709675</v>
      </c>
      <c r="L149">
        <f t="shared" si="26"/>
        <v>100</v>
      </c>
      <c r="M149" s="6">
        <f t="shared" si="27"/>
        <v>1.4127635993662095</v>
      </c>
      <c r="N149" s="13">
        <f t="shared" si="22"/>
        <v>1.3516486460499944</v>
      </c>
      <c r="O149" s="6">
        <f t="shared" si="30"/>
        <v>89.71998224043594</v>
      </c>
      <c r="P149" s="6">
        <f t="shared" si="31"/>
        <v>88.08537341580768</v>
      </c>
      <c r="Q149" s="6">
        <f t="shared" si="28"/>
        <v>1.3516486460499944</v>
      </c>
      <c r="S149">
        <v>100</v>
      </c>
      <c r="T149" s="6">
        <f t="shared" si="21"/>
        <v>1.3516486460499944</v>
      </c>
    </row>
    <row r="150" spans="1:20">
      <c r="B150">
        <f t="shared" si="29"/>
        <v>147</v>
      </c>
      <c r="C150">
        <f t="shared" si="23"/>
        <v>31</v>
      </c>
      <c r="D150">
        <v>122</v>
      </c>
      <c r="E150">
        <v>153</v>
      </c>
      <c r="F150">
        <f>PMSPLINE!F$8</f>
        <v>1.3319948639124057</v>
      </c>
      <c r="G150">
        <f>PMSPLINE!F$9</f>
        <v>1.4363211472069024</v>
      </c>
      <c r="H150">
        <f>PMSPLINE!K$8</f>
        <v>-2.4575460363050359E-3</v>
      </c>
      <c r="I150">
        <f>PMSPLINE!K$9</f>
        <v>2.9281769710592406E-3</v>
      </c>
      <c r="J150">
        <f t="shared" si="24"/>
        <v>0.19354838709677419</v>
      </c>
      <c r="K150">
        <f t="shared" si="25"/>
        <v>0.80645161290322576</v>
      </c>
      <c r="L150">
        <f t="shared" si="26"/>
        <v>101</v>
      </c>
      <c r="M150" s="6">
        <f t="shared" si="27"/>
        <v>1.4161289633434513</v>
      </c>
      <c r="N150" s="13">
        <f t="shared" si="22"/>
        <v>1.3572187157337487</v>
      </c>
      <c r="O150" s="6">
        <f t="shared" si="30"/>
        <v>91.136111203779393</v>
      </c>
      <c r="P150" s="6">
        <f t="shared" si="31"/>
        <v>89.442592131541431</v>
      </c>
      <c r="Q150" s="6">
        <f t="shared" si="28"/>
        <v>1.3572187157337487</v>
      </c>
      <c r="S150">
        <v>101</v>
      </c>
      <c r="T150" s="6">
        <f t="shared" si="21"/>
        <v>1.3572187157337487</v>
      </c>
    </row>
    <row r="151" spans="1:20">
      <c r="B151">
        <f t="shared" si="29"/>
        <v>148</v>
      </c>
      <c r="C151">
        <f t="shared" si="23"/>
        <v>31</v>
      </c>
      <c r="D151">
        <v>122</v>
      </c>
      <c r="E151">
        <v>153</v>
      </c>
      <c r="F151">
        <f>PMSPLINE!F$8</f>
        <v>1.3319948639124057</v>
      </c>
      <c r="G151">
        <f>PMSPLINE!F$9</f>
        <v>1.4363211472069024</v>
      </c>
      <c r="H151">
        <f>PMSPLINE!K$8</f>
        <v>-2.4575460363050359E-3</v>
      </c>
      <c r="I151">
        <f>PMSPLINE!K$9</f>
        <v>2.9281769710592406E-3</v>
      </c>
      <c r="J151">
        <f t="shared" si="24"/>
        <v>0.16129032258064516</v>
      </c>
      <c r="K151">
        <f t="shared" si="25"/>
        <v>0.83870967741935487</v>
      </c>
      <c r="L151">
        <f t="shared" si="26"/>
        <v>102</v>
      </c>
      <c r="M151" s="6">
        <f t="shared" si="27"/>
        <v>1.4194943273206932</v>
      </c>
      <c r="N151" s="13">
        <f t="shared" si="22"/>
        <v>1.3646745643871374</v>
      </c>
      <c r="O151" s="6">
        <f t="shared" si="30"/>
        <v>92.555605531100085</v>
      </c>
      <c r="P151" s="6">
        <f t="shared" si="31"/>
        <v>90.807266695928575</v>
      </c>
      <c r="Q151" s="6">
        <f t="shared" si="28"/>
        <v>1.3646745643871374</v>
      </c>
      <c r="S151">
        <v>102</v>
      </c>
      <c r="T151" s="6">
        <f t="shared" si="21"/>
        <v>1.3646745643871374</v>
      </c>
    </row>
    <row r="152" spans="1:20">
      <c r="B152">
        <f t="shared" si="29"/>
        <v>149</v>
      </c>
      <c r="C152">
        <f t="shared" si="23"/>
        <v>31</v>
      </c>
      <c r="D152">
        <v>122</v>
      </c>
      <c r="E152">
        <v>153</v>
      </c>
      <c r="F152">
        <f>PMSPLINE!F$8</f>
        <v>1.3319948639124057</v>
      </c>
      <c r="G152">
        <f>PMSPLINE!F$9</f>
        <v>1.4363211472069024</v>
      </c>
      <c r="H152">
        <f>PMSPLINE!K$8</f>
        <v>-2.4575460363050359E-3</v>
      </c>
      <c r="I152">
        <f>PMSPLINE!K$9</f>
        <v>2.9281769710592406E-3</v>
      </c>
      <c r="J152">
        <f t="shared" si="24"/>
        <v>0.12903225806451613</v>
      </c>
      <c r="K152">
        <f t="shared" si="25"/>
        <v>0.87096774193548387</v>
      </c>
      <c r="L152">
        <f t="shared" si="26"/>
        <v>103</v>
      </c>
      <c r="M152" s="6">
        <f t="shared" si="27"/>
        <v>1.422859691297935</v>
      </c>
      <c r="N152" s="13">
        <f t="shared" si="22"/>
        <v>1.3741899250103971</v>
      </c>
      <c r="O152" s="6">
        <f t="shared" si="30"/>
        <v>93.978465222398015</v>
      </c>
      <c r="P152" s="6">
        <f t="shared" si="31"/>
        <v>92.181456620938974</v>
      </c>
      <c r="Q152" s="6">
        <f t="shared" si="28"/>
        <v>1.3741899250103971</v>
      </c>
      <c r="S152">
        <v>103</v>
      </c>
      <c r="T152" s="6">
        <f t="shared" si="21"/>
        <v>1.3741899250103971</v>
      </c>
    </row>
    <row r="153" spans="1:20">
      <c r="B153">
        <f t="shared" si="29"/>
        <v>150</v>
      </c>
      <c r="C153">
        <f t="shared" si="23"/>
        <v>31</v>
      </c>
      <c r="D153">
        <v>122</v>
      </c>
      <c r="E153">
        <v>153</v>
      </c>
      <c r="F153">
        <f>PMSPLINE!F$8</f>
        <v>1.3319948639124057</v>
      </c>
      <c r="G153">
        <f>PMSPLINE!F$9</f>
        <v>1.4363211472069024</v>
      </c>
      <c r="H153">
        <f>PMSPLINE!K$8</f>
        <v>-2.4575460363050359E-3</v>
      </c>
      <c r="I153">
        <f>PMSPLINE!K$9</f>
        <v>2.9281769710592406E-3</v>
      </c>
      <c r="J153">
        <f t="shared" si="24"/>
        <v>9.6774193548387094E-2</v>
      </c>
      <c r="K153">
        <f t="shared" si="25"/>
        <v>0.90322580645161288</v>
      </c>
      <c r="L153">
        <f t="shared" si="26"/>
        <v>104</v>
      </c>
      <c r="M153" s="6">
        <f t="shared" si="27"/>
        <v>1.426225055275177</v>
      </c>
      <c r="N153" s="13">
        <f t="shared" si="22"/>
        <v>1.3859385306037662</v>
      </c>
      <c r="O153" s="6">
        <f t="shared" si="30"/>
        <v>95.404690277673197</v>
      </c>
      <c r="P153" s="6">
        <f t="shared" si="31"/>
        <v>93.56739515154274</v>
      </c>
      <c r="Q153" s="6">
        <f t="shared" si="28"/>
        <v>1.3859385306037662</v>
      </c>
      <c r="S153">
        <v>104</v>
      </c>
      <c r="T153" s="6">
        <f t="shared" si="21"/>
        <v>1.3859385306037662</v>
      </c>
    </row>
    <row r="154" spans="1:20">
      <c r="B154">
        <f t="shared" si="29"/>
        <v>151</v>
      </c>
      <c r="C154">
        <f t="shared" si="23"/>
        <v>31</v>
      </c>
      <c r="D154">
        <v>122</v>
      </c>
      <c r="E154">
        <v>153</v>
      </c>
      <c r="F154">
        <f>PMSPLINE!F$8</f>
        <v>1.3319948639124057</v>
      </c>
      <c r="G154">
        <f>PMSPLINE!F$9</f>
        <v>1.4363211472069024</v>
      </c>
      <c r="H154">
        <f>PMSPLINE!K$8</f>
        <v>-2.4575460363050359E-3</v>
      </c>
      <c r="I154">
        <f>PMSPLINE!K$9</f>
        <v>2.9281769710592406E-3</v>
      </c>
      <c r="J154">
        <f t="shared" si="24"/>
        <v>6.4516129032258063E-2</v>
      </c>
      <c r="K154">
        <f t="shared" si="25"/>
        <v>0.93548387096774188</v>
      </c>
      <c r="L154">
        <f t="shared" si="26"/>
        <v>105</v>
      </c>
      <c r="M154" s="6">
        <f t="shared" si="27"/>
        <v>1.4295904192524187</v>
      </c>
      <c r="N154" s="13">
        <f t="shared" si="22"/>
        <v>1.4000941141674814</v>
      </c>
      <c r="O154" s="6">
        <f t="shared" si="30"/>
        <v>96.834280696925617</v>
      </c>
      <c r="P154" s="6">
        <f t="shared" si="31"/>
        <v>94.967489265710228</v>
      </c>
      <c r="Q154" s="6">
        <f t="shared" si="28"/>
        <v>1.4000941141674814</v>
      </c>
      <c r="S154">
        <v>105</v>
      </c>
      <c r="T154" s="6">
        <f t="shared" si="21"/>
        <v>1.4000941141674814</v>
      </c>
    </row>
    <row r="155" spans="1:20">
      <c r="B155">
        <f t="shared" si="29"/>
        <v>152</v>
      </c>
      <c r="C155">
        <f t="shared" si="23"/>
        <v>31</v>
      </c>
      <c r="D155">
        <v>122</v>
      </c>
      <c r="E155">
        <v>153</v>
      </c>
      <c r="F155">
        <f>PMSPLINE!F$8</f>
        <v>1.3319948639124057</v>
      </c>
      <c r="G155">
        <f>PMSPLINE!F$9</f>
        <v>1.4363211472069024</v>
      </c>
      <c r="H155">
        <f>PMSPLINE!K$8</f>
        <v>-2.4575460363050359E-3</v>
      </c>
      <c r="I155">
        <f>PMSPLINE!K$9</f>
        <v>2.9281769710592406E-3</v>
      </c>
      <c r="J155">
        <f t="shared" si="24"/>
        <v>3.2258064516129031E-2</v>
      </c>
      <c r="K155">
        <f t="shared" si="25"/>
        <v>0.967741935483871</v>
      </c>
      <c r="L155">
        <f t="shared" si="26"/>
        <v>106</v>
      </c>
      <c r="M155" s="6">
        <f t="shared" si="27"/>
        <v>1.4329557832296607</v>
      </c>
      <c r="N155" s="13">
        <f t="shared" si="22"/>
        <v>1.4168304087017813</v>
      </c>
      <c r="O155" s="6">
        <f t="shared" si="30"/>
        <v>98.267236480155276</v>
      </c>
      <c r="P155" s="6">
        <f t="shared" si="31"/>
        <v>96.384319674412012</v>
      </c>
      <c r="Q155" s="6">
        <f t="shared" si="28"/>
        <v>1.4168304087017813</v>
      </c>
      <c r="S155">
        <v>106</v>
      </c>
      <c r="T155" s="6">
        <f t="shared" si="21"/>
        <v>1.4168304087017813</v>
      </c>
    </row>
    <row r="156" spans="1:20">
      <c r="A156">
        <v>153</v>
      </c>
      <c r="B156">
        <f t="shared" si="29"/>
        <v>153</v>
      </c>
      <c r="C156">
        <f t="shared" si="23"/>
        <v>31</v>
      </c>
      <c r="D156">
        <v>122</v>
      </c>
      <c r="E156">
        <v>153</v>
      </c>
      <c r="F156">
        <f>PMSPLINE!F$8</f>
        <v>1.3319948639124057</v>
      </c>
      <c r="G156">
        <f>PMSPLINE!F$9</f>
        <v>1.4363211472069024</v>
      </c>
      <c r="H156">
        <f>PMSPLINE!K$8</f>
        <v>-2.4575460363050359E-3</v>
      </c>
      <c r="I156">
        <f>PMSPLINE!K$9</f>
        <v>2.9281769710592406E-3</v>
      </c>
      <c r="J156">
        <f t="shared" si="24"/>
        <v>0</v>
      </c>
      <c r="K156">
        <f t="shared" si="25"/>
        <v>1</v>
      </c>
      <c r="L156">
        <f t="shared" si="26"/>
        <v>107</v>
      </c>
      <c r="M156" s="6">
        <f t="shared" si="27"/>
        <v>1.4363211472069024</v>
      </c>
      <c r="N156" s="13">
        <f t="shared" si="22"/>
        <v>1.4363211472069024</v>
      </c>
      <c r="O156" s="6">
        <f t="shared" si="30"/>
        <v>99.703557627362173</v>
      </c>
      <c r="P156" s="6">
        <f t="shared" si="31"/>
        <v>97.820640821618909</v>
      </c>
      <c r="Q156" s="6">
        <f t="shared" si="28"/>
        <v>1.4363211472069024</v>
      </c>
      <c r="S156">
        <v>107</v>
      </c>
      <c r="T156" s="6">
        <f t="shared" si="21"/>
        <v>1.4363211472069024</v>
      </c>
    </row>
    <row r="157" spans="1:20">
      <c r="B157">
        <f t="shared" si="29"/>
        <v>154</v>
      </c>
      <c r="C157">
        <f t="shared" si="23"/>
        <v>30</v>
      </c>
      <c r="D157">
        <v>153</v>
      </c>
      <c r="E157">
        <v>183</v>
      </c>
      <c r="F157">
        <f>PMSPLINE!F$9</f>
        <v>1.4363211472069024</v>
      </c>
      <c r="G157">
        <f>PMSPLINE!F$10</f>
        <v>2.8676151950536086</v>
      </c>
      <c r="H157" s="5">
        <f>PMSPLINE!K$9</f>
        <v>2.9281769710592406E-3</v>
      </c>
      <c r="I157" s="5">
        <f>PMSPLINE!K$10</f>
        <v>-4.9956792126269983E-4</v>
      </c>
      <c r="J157">
        <f t="shared" si="24"/>
        <v>0.96666666666666667</v>
      </c>
      <c r="K157">
        <f t="shared" si="25"/>
        <v>3.3333333333333333E-2</v>
      </c>
      <c r="L157">
        <f t="shared" si="26"/>
        <v>108</v>
      </c>
      <c r="M157" s="6">
        <f t="shared" si="27"/>
        <v>1.4840309488017926</v>
      </c>
      <c r="N157" s="13">
        <f t="shared" si="22"/>
        <v>1.4586920641558638</v>
      </c>
      <c r="O157" s="6">
        <f t="shared" si="30"/>
        <v>101.18758857616396</v>
      </c>
      <c r="P157" s="6">
        <f t="shared" si="31"/>
        <v>99.279332885774778</v>
      </c>
      <c r="Q157" s="6">
        <f t="shared" si="28"/>
        <v>1.4586920641558638</v>
      </c>
      <c r="S157">
        <v>108</v>
      </c>
      <c r="T157" s="6">
        <f t="shared" si="21"/>
        <v>1.4586920641558638</v>
      </c>
    </row>
    <row r="158" spans="1:20">
      <c r="B158">
        <f t="shared" si="29"/>
        <v>155</v>
      </c>
      <c r="C158">
        <f t="shared" si="23"/>
        <v>30</v>
      </c>
      <c r="D158">
        <v>153</v>
      </c>
      <c r="E158">
        <v>183</v>
      </c>
      <c r="F158">
        <f>PMSPLINE!F$9</f>
        <v>1.4363211472069024</v>
      </c>
      <c r="G158">
        <f>PMSPLINE!F$10</f>
        <v>2.8676151950536086</v>
      </c>
      <c r="H158" s="5">
        <f>PMSPLINE!K$9</f>
        <v>2.9281769710592406E-3</v>
      </c>
      <c r="I158" s="5">
        <f>PMSPLINE!K$10</f>
        <v>-4.9956792126269983E-4</v>
      </c>
      <c r="J158">
        <f t="shared" si="24"/>
        <v>0.93333333333333335</v>
      </c>
      <c r="K158">
        <f t="shared" si="25"/>
        <v>6.6666666666666666E-2</v>
      </c>
      <c r="L158">
        <f t="shared" si="26"/>
        <v>109</v>
      </c>
      <c r="M158" s="6">
        <f t="shared" si="27"/>
        <v>1.5317407503966829</v>
      </c>
      <c r="N158" s="13">
        <f t="shared" si="22"/>
        <v>1.4838768999128071</v>
      </c>
      <c r="O158" s="6">
        <f t="shared" si="30"/>
        <v>102.71932932656064</v>
      </c>
      <c r="P158" s="6">
        <f t="shared" si="31"/>
        <v>100.76320978568758</v>
      </c>
      <c r="Q158" s="6">
        <f t="shared" si="28"/>
        <v>1.4838768999128071</v>
      </c>
      <c r="S158">
        <v>109</v>
      </c>
      <c r="T158" s="6">
        <f t="shared" si="21"/>
        <v>1.4838768999128071</v>
      </c>
    </row>
    <row r="159" spans="1:20">
      <c r="B159">
        <f t="shared" si="29"/>
        <v>156</v>
      </c>
      <c r="C159">
        <f t="shared" si="23"/>
        <v>30</v>
      </c>
      <c r="D159">
        <v>153</v>
      </c>
      <c r="E159">
        <v>183</v>
      </c>
      <c r="F159">
        <f>PMSPLINE!F$9</f>
        <v>1.4363211472069024</v>
      </c>
      <c r="G159">
        <f>PMSPLINE!F$10</f>
        <v>2.8676151950536086</v>
      </c>
      <c r="H159" s="5">
        <f>PMSPLINE!K$9</f>
        <v>2.9281769710592406E-3</v>
      </c>
      <c r="I159" s="5">
        <f>PMSPLINE!K$10</f>
        <v>-4.9956792126269983E-4</v>
      </c>
      <c r="J159">
        <f t="shared" si="24"/>
        <v>0.9</v>
      </c>
      <c r="K159">
        <f t="shared" si="25"/>
        <v>0.1</v>
      </c>
      <c r="L159">
        <f t="shared" si="26"/>
        <v>110</v>
      </c>
      <c r="M159" s="6">
        <f t="shared" si="27"/>
        <v>1.5794505519915729</v>
      </c>
      <c r="N159" s="13">
        <f t="shared" si="22"/>
        <v>1.5117613963146546</v>
      </c>
      <c r="O159" s="6">
        <f t="shared" si="30"/>
        <v>104.29877987855221</v>
      </c>
      <c r="P159" s="6">
        <f t="shared" si="31"/>
        <v>102.27497118200223</v>
      </c>
      <c r="Q159" s="6">
        <f t="shared" si="28"/>
        <v>1.5117613963146546</v>
      </c>
      <c r="S159">
        <v>110</v>
      </c>
      <c r="T159" s="6">
        <f t="shared" si="21"/>
        <v>1.5117613963146546</v>
      </c>
    </row>
    <row r="160" spans="1:20">
      <c r="B160">
        <f t="shared" si="29"/>
        <v>157</v>
      </c>
      <c r="C160">
        <f t="shared" si="23"/>
        <v>30</v>
      </c>
      <c r="D160">
        <v>153</v>
      </c>
      <c r="E160">
        <v>183</v>
      </c>
      <c r="F160">
        <f>PMSPLINE!F$9</f>
        <v>1.4363211472069024</v>
      </c>
      <c r="G160">
        <f>PMSPLINE!F$10</f>
        <v>2.8676151950536086</v>
      </c>
      <c r="H160" s="5">
        <f>PMSPLINE!K$9</f>
        <v>2.9281769710592406E-3</v>
      </c>
      <c r="I160" s="5">
        <f>PMSPLINE!K$10</f>
        <v>-4.9956792126269983E-4</v>
      </c>
      <c r="J160">
        <f t="shared" si="24"/>
        <v>0.8666666666666667</v>
      </c>
      <c r="K160">
        <f t="shared" si="25"/>
        <v>0.13333333333333333</v>
      </c>
      <c r="L160">
        <f t="shared" si="26"/>
        <v>111</v>
      </c>
      <c r="M160" s="6">
        <f t="shared" si="27"/>
        <v>1.6271603535864632</v>
      </c>
      <c r="N160" s="13">
        <f t="shared" si="22"/>
        <v>1.5422312951983292</v>
      </c>
      <c r="O160" s="6">
        <f t="shared" si="30"/>
        <v>105.92594023213867</v>
      </c>
      <c r="P160" s="6">
        <f t="shared" si="31"/>
        <v>103.81720247720057</v>
      </c>
      <c r="Q160" s="6">
        <f t="shared" si="28"/>
        <v>1.5422312951983292</v>
      </c>
      <c r="S160">
        <v>111</v>
      </c>
      <c r="T160" s="6">
        <f t="shared" si="21"/>
        <v>1.5422312951983292</v>
      </c>
    </row>
    <row r="161" spans="2:20">
      <c r="B161">
        <f t="shared" si="29"/>
        <v>158</v>
      </c>
      <c r="C161">
        <f t="shared" si="23"/>
        <v>30</v>
      </c>
      <c r="D161">
        <v>153</v>
      </c>
      <c r="E161">
        <v>183</v>
      </c>
      <c r="F161">
        <f>PMSPLINE!F$9</f>
        <v>1.4363211472069024</v>
      </c>
      <c r="G161">
        <f>PMSPLINE!F$10</f>
        <v>2.8676151950536086</v>
      </c>
      <c r="H161" s="5">
        <f>PMSPLINE!K$9</f>
        <v>2.9281769710592406E-3</v>
      </c>
      <c r="I161" s="5">
        <f>PMSPLINE!K$10</f>
        <v>-4.9956792126269983E-4</v>
      </c>
      <c r="J161">
        <f t="shared" si="24"/>
        <v>0.83333333333333337</v>
      </c>
      <c r="K161">
        <f t="shared" si="25"/>
        <v>0.16666666666666666</v>
      </c>
      <c r="L161">
        <f t="shared" si="26"/>
        <v>112</v>
      </c>
      <c r="M161" s="6">
        <f t="shared" si="27"/>
        <v>1.6748701551813534</v>
      </c>
      <c r="N161" s="13">
        <f t="shared" si="22"/>
        <v>1.5751723384007537</v>
      </c>
      <c r="O161" s="6">
        <f t="shared" si="30"/>
        <v>107.60081038732002</v>
      </c>
      <c r="P161" s="6">
        <f t="shared" si="31"/>
        <v>105.39237481560131</v>
      </c>
      <c r="Q161" s="6">
        <f t="shared" si="28"/>
        <v>1.5751723384007537</v>
      </c>
      <c r="S161">
        <v>112</v>
      </c>
      <c r="T161" s="6">
        <f t="shared" si="21"/>
        <v>1.5751723384007537</v>
      </c>
    </row>
    <row r="162" spans="2:20">
      <c r="B162">
        <f t="shared" si="29"/>
        <v>159</v>
      </c>
      <c r="C162">
        <f t="shared" si="23"/>
        <v>30</v>
      </c>
      <c r="D162">
        <v>153</v>
      </c>
      <c r="E162">
        <v>183</v>
      </c>
      <c r="F162">
        <f>PMSPLINE!F$9</f>
        <v>1.4363211472069024</v>
      </c>
      <c r="G162">
        <f>PMSPLINE!F$10</f>
        <v>2.8676151950536086</v>
      </c>
      <c r="H162" s="5">
        <f>PMSPLINE!K$9</f>
        <v>2.9281769710592406E-3</v>
      </c>
      <c r="I162" s="5">
        <f>PMSPLINE!K$10</f>
        <v>-4.9956792126269983E-4</v>
      </c>
      <c r="J162">
        <f t="shared" si="24"/>
        <v>0.8</v>
      </c>
      <c r="K162">
        <f t="shared" si="25"/>
        <v>0.2</v>
      </c>
      <c r="L162">
        <f t="shared" si="26"/>
        <v>113</v>
      </c>
      <c r="M162" s="6">
        <f t="shared" si="27"/>
        <v>1.7225799567762436</v>
      </c>
      <c r="N162" s="13">
        <f t="shared" si="22"/>
        <v>1.6104702677588503</v>
      </c>
      <c r="O162" s="6">
        <f t="shared" si="30"/>
        <v>109.32339034409627</v>
      </c>
      <c r="P162" s="6">
        <f t="shared" si="31"/>
        <v>107.00284508336017</v>
      </c>
      <c r="Q162" s="6">
        <f t="shared" si="28"/>
        <v>1.6104702677588503</v>
      </c>
      <c r="S162">
        <v>113</v>
      </c>
      <c r="T162" s="6">
        <f t="shared" si="21"/>
        <v>1.6104702677588503</v>
      </c>
    </row>
    <row r="163" spans="2:20">
      <c r="B163">
        <f t="shared" si="29"/>
        <v>160</v>
      </c>
      <c r="C163">
        <f t="shared" si="23"/>
        <v>30</v>
      </c>
      <c r="D163">
        <v>153</v>
      </c>
      <c r="E163">
        <v>183</v>
      </c>
      <c r="F163">
        <f>PMSPLINE!F$9</f>
        <v>1.4363211472069024</v>
      </c>
      <c r="G163">
        <f>PMSPLINE!F$10</f>
        <v>2.8676151950536086</v>
      </c>
      <c r="H163" s="5">
        <f>PMSPLINE!K$9</f>
        <v>2.9281769710592406E-3</v>
      </c>
      <c r="I163" s="5">
        <f>PMSPLINE!K$10</f>
        <v>-4.9956792126269983E-4</v>
      </c>
      <c r="J163">
        <f t="shared" si="24"/>
        <v>0.76666666666666672</v>
      </c>
      <c r="K163">
        <f t="shared" si="25"/>
        <v>0.23333333333333334</v>
      </c>
      <c r="L163">
        <f t="shared" si="26"/>
        <v>114</v>
      </c>
      <c r="M163" s="6">
        <f t="shared" si="27"/>
        <v>1.7702897583711339</v>
      </c>
      <c r="N163" s="13">
        <f t="shared" si="22"/>
        <v>1.6480108251095418</v>
      </c>
      <c r="O163" s="6">
        <f t="shared" si="30"/>
        <v>111.0936801024674</v>
      </c>
      <c r="P163" s="6">
        <f t="shared" si="31"/>
        <v>108.65085590846971</v>
      </c>
      <c r="Q163" s="6">
        <f t="shared" si="28"/>
        <v>1.6480108251095418</v>
      </c>
      <c r="S163">
        <v>114</v>
      </c>
      <c r="T163" s="6">
        <f t="shared" si="21"/>
        <v>1.6480108251095418</v>
      </c>
    </row>
    <row r="164" spans="2:20">
      <c r="B164">
        <f t="shared" si="29"/>
        <v>161</v>
      </c>
      <c r="C164">
        <f t="shared" si="23"/>
        <v>30</v>
      </c>
      <c r="D164">
        <v>153</v>
      </c>
      <c r="E164">
        <v>183</v>
      </c>
      <c r="F164">
        <f>PMSPLINE!F$9</f>
        <v>1.4363211472069024</v>
      </c>
      <c r="G164">
        <f>PMSPLINE!F$10</f>
        <v>2.8676151950536086</v>
      </c>
      <c r="H164" s="5">
        <f>PMSPLINE!K$9</f>
        <v>2.9281769710592406E-3</v>
      </c>
      <c r="I164" s="5">
        <f>PMSPLINE!K$10</f>
        <v>-4.9956792126269983E-4</v>
      </c>
      <c r="J164">
        <f t="shared" si="24"/>
        <v>0.73333333333333328</v>
      </c>
      <c r="K164">
        <f t="shared" si="25"/>
        <v>0.26666666666666666</v>
      </c>
      <c r="L164">
        <f t="shared" si="26"/>
        <v>115</v>
      </c>
      <c r="M164" s="6">
        <f t="shared" si="27"/>
        <v>1.8179995599660241</v>
      </c>
      <c r="N164" s="13">
        <f t="shared" si="22"/>
        <v>1.6876797522897506</v>
      </c>
      <c r="O164" s="6">
        <f t="shared" si="30"/>
        <v>112.91167966243343</v>
      </c>
      <c r="P164" s="6">
        <f t="shared" si="31"/>
        <v>110.33853566075946</v>
      </c>
      <c r="Q164" s="6">
        <f t="shared" si="28"/>
        <v>1.6876797522897506</v>
      </c>
      <c r="S164">
        <v>115</v>
      </c>
      <c r="T164" s="6">
        <f t="shared" si="21"/>
        <v>1.6876797522897506</v>
      </c>
    </row>
    <row r="165" spans="2:20">
      <c r="B165">
        <f t="shared" si="29"/>
        <v>162</v>
      </c>
      <c r="C165">
        <f t="shared" si="23"/>
        <v>30</v>
      </c>
      <c r="D165">
        <v>153</v>
      </c>
      <c r="E165">
        <v>183</v>
      </c>
      <c r="F165">
        <f>PMSPLINE!F$9</f>
        <v>1.4363211472069024</v>
      </c>
      <c r="G165">
        <f>PMSPLINE!F$10</f>
        <v>2.8676151950536086</v>
      </c>
      <c r="H165" s="5">
        <f>PMSPLINE!K$9</f>
        <v>2.9281769710592406E-3</v>
      </c>
      <c r="I165" s="5">
        <f>PMSPLINE!K$10</f>
        <v>-4.9956792126269983E-4</v>
      </c>
      <c r="J165">
        <f t="shared" si="24"/>
        <v>0.7</v>
      </c>
      <c r="K165">
        <f t="shared" si="25"/>
        <v>0.3</v>
      </c>
      <c r="L165">
        <f t="shared" si="26"/>
        <v>116</v>
      </c>
      <c r="M165" s="6">
        <f t="shared" si="27"/>
        <v>1.8657093615609142</v>
      </c>
      <c r="N165" s="13">
        <f t="shared" si="22"/>
        <v>1.7293627911363993</v>
      </c>
      <c r="O165" s="6">
        <f t="shared" si="30"/>
        <v>114.77738902399435</v>
      </c>
      <c r="P165" s="6">
        <f t="shared" si="31"/>
        <v>112.06789845189586</v>
      </c>
      <c r="Q165" s="6">
        <f t="shared" si="28"/>
        <v>1.7293627911363993</v>
      </c>
      <c r="S165">
        <v>116</v>
      </c>
      <c r="T165" s="6">
        <f t="shared" si="21"/>
        <v>1.7293627911363993</v>
      </c>
    </row>
    <row r="166" spans="2:20">
      <c r="B166">
        <f t="shared" si="29"/>
        <v>163</v>
      </c>
      <c r="C166">
        <f t="shared" si="23"/>
        <v>30</v>
      </c>
      <c r="D166">
        <v>153</v>
      </c>
      <c r="E166">
        <v>183</v>
      </c>
      <c r="F166">
        <f>PMSPLINE!F$9</f>
        <v>1.4363211472069024</v>
      </c>
      <c r="G166">
        <f>PMSPLINE!F$10</f>
        <v>2.8676151950536086</v>
      </c>
      <c r="H166" s="5">
        <f>PMSPLINE!K$9</f>
        <v>2.9281769710592406E-3</v>
      </c>
      <c r="I166" s="5">
        <f>PMSPLINE!K$10</f>
        <v>-4.9956792126269983E-4</v>
      </c>
      <c r="J166">
        <f t="shared" si="24"/>
        <v>0.66666666666666663</v>
      </c>
      <c r="K166">
        <f t="shared" si="25"/>
        <v>0.33333333333333331</v>
      </c>
      <c r="L166">
        <f t="shared" si="26"/>
        <v>117</v>
      </c>
      <c r="M166" s="6">
        <f t="shared" si="27"/>
        <v>1.9134191631558044</v>
      </c>
      <c r="N166" s="13">
        <f t="shared" si="22"/>
        <v>1.772945683486411</v>
      </c>
      <c r="O166" s="6">
        <f t="shared" si="30"/>
        <v>116.69080818715015</v>
      </c>
      <c r="P166" s="6">
        <f t="shared" si="31"/>
        <v>113.84084413538227</v>
      </c>
      <c r="Q166" s="6">
        <f t="shared" si="28"/>
        <v>1.772945683486411</v>
      </c>
      <c r="S166">
        <v>117</v>
      </c>
      <c r="T166" s="6">
        <f t="shared" si="21"/>
        <v>1.772945683486411</v>
      </c>
    </row>
    <row r="167" spans="2:20">
      <c r="B167">
        <f t="shared" si="29"/>
        <v>164</v>
      </c>
      <c r="C167">
        <f t="shared" si="23"/>
        <v>30</v>
      </c>
      <c r="D167">
        <v>153</v>
      </c>
      <c r="E167">
        <v>183</v>
      </c>
      <c r="F167">
        <f>PMSPLINE!F$9</f>
        <v>1.4363211472069024</v>
      </c>
      <c r="G167">
        <f>PMSPLINE!F$10</f>
        <v>2.8676151950536086</v>
      </c>
      <c r="H167" s="5">
        <f>PMSPLINE!K$9</f>
        <v>2.9281769710592406E-3</v>
      </c>
      <c r="I167" s="5">
        <f>PMSPLINE!K$10</f>
        <v>-4.9956792126269983E-4</v>
      </c>
      <c r="J167">
        <f t="shared" si="24"/>
        <v>0.6333333333333333</v>
      </c>
      <c r="K167">
        <f t="shared" si="25"/>
        <v>0.36666666666666664</v>
      </c>
      <c r="L167">
        <f t="shared" si="26"/>
        <v>118</v>
      </c>
      <c r="M167" s="6">
        <f t="shared" si="27"/>
        <v>1.9611289647506944</v>
      </c>
      <c r="N167" s="13">
        <f t="shared" si="22"/>
        <v>1.8183141711767077</v>
      </c>
      <c r="O167" s="6">
        <f t="shared" si="30"/>
        <v>118.65193715190085</v>
      </c>
      <c r="P167" s="6">
        <f t="shared" si="31"/>
        <v>115.65915830655898</v>
      </c>
      <c r="Q167" s="6">
        <f t="shared" si="28"/>
        <v>1.8183141711767077</v>
      </c>
      <c r="S167">
        <v>118</v>
      </c>
      <c r="T167" s="6">
        <f t="shared" si="21"/>
        <v>1.8183141711767077</v>
      </c>
    </row>
    <row r="168" spans="2:20">
      <c r="B168">
        <f t="shared" si="29"/>
        <v>165</v>
      </c>
      <c r="C168">
        <f t="shared" si="23"/>
        <v>30</v>
      </c>
      <c r="D168">
        <v>153</v>
      </c>
      <c r="E168">
        <v>183</v>
      </c>
      <c r="F168">
        <f>PMSPLINE!F$9</f>
        <v>1.4363211472069024</v>
      </c>
      <c r="G168">
        <f>PMSPLINE!F$10</f>
        <v>2.8676151950536086</v>
      </c>
      <c r="H168" s="5">
        <f>PMSPLINE!K$9</f>
        <v>2.9281769710592406E-3</v>
      </c>
      <c r="I168" s="5">
        <f>PMSPLINE!K$10</f>
        <v>-4.9956792126269983E-4</v>
      </c>
      <c r="J168">
        <f t="shared" si="24"/>
        <v>0.6</v>
      </c>
      <c r="K168">
        <f t="shared" si="25"/>
        <v>0.4</v>
      </c>
      <c r="L168">
        <f t="shared" si="26"/>
        <v>119</v>
      </c>
      <c r="M168" s="6">
        <f t="shared" si="27"/>
        <v>2.0088387663455851</v>
      </c>
      <c r="N168" s="13">
        <f t="shared" si="22"/>
        <v>1.8653539960442129</v>
      </c>
      <c r="O168" s="6">
        <f t="shared" si="30"/>
        <v>120.66077591824644</v>
      </c>
      <c r="P168" s="6">
        <f t="shared" si="31"/>
        <v>117.52451230260318</v>
      </c>
      <c r="Q168" s="6">
        <f t="shared" si="28"/>
        <v>1.8653539960442129</v>
      </c>
      <c r="S168">
        <v>119</v>
      </c>
      <c r="T168" s="6">
        <f t="shared" si="21"/>
        <v>1.8653539960442129</v>
      </c>
    </row>
    <row r="169" spans="2:20">
      <c r="B169">
        <f t="shared" si="29"/>
        <v>166</v>
      </c>
      <c r="C169">
        <f t="shared" si="23"/>
        <v>30</v>
      </c>
      <c r="D169">
        <v>153</v>
      </c>
      <c r="E169">
        <v>183</v>
      </c>
      <c r="F169">
        <f>PMSPLINE!F$9</f>
        <v>1.4363211472069024</v>
      </c>
      <c r="G169">
        <f>PMSPLINE!F$10</f>
        <v>2.8676151950536086</v>
      </c>
      <c r="H169" s="5">
        <f>PMSPLINE!K$9</f>
        <v>2.9281769710592406E-3</v>
      </c>
      <c r="I169" s="5">
        <f>PMSPLINE!K$10</f>
        <v>-4.9956792126269983E-4</v>
      </c>
      <c r="J169">
        <f t="shared" si="24"/>
        <v>0.56666666666666665</v>
      </c>
      <c r="K169">
        <f t="shared" si="25"/>
        <v>0.43333333333333335</v>
      </c>
      <c r="L169">
        <f t="shared" si="26"/>
        <v>120</v>
      </c>
      <c r="M169" s="6">
        <f t="shared" si="27"/>
        <v>2.0565485679404754</v>
      </c>
      <c r="N169" s="13">
        <f t="shared" si="22"/>
        <v>1.9139508999258481</v>
      </c>
      <c r="O169" s="6">
        <f t="shared" si="30"/>
        <v>122.71732448618693</v>
      </c>
      <c r="P169" s="6">
        <f t="shared" si="31"/>
        <v>119.43846320252904</v>
      </c>
      <c r="Q169" s="6">
        <f t="shared" si="28"/>
        <v>1.9139508999258481</v>
      </c>
      <c r="S169">
        <v>120</v>
      </c>
      <c r="T169" s="6">
        <f t="shared" si="21"/>
        <v>1.9139508999258481</v>
      </c>
    </row>
    <row r="170" spans="2:20">
      <c r="B170">
        <f t="shared" si="29"/>
        <v>167</v>
      </c>
      <c r="C170">
        <f t="shared" si="23"/>
        <v>30</v>
      </c>
      <c r="D170">
        <v>153</v>
      </c>
      <c r="E170">
        <v>183</v>
      </c>
      <c r="F170">
        <f>PMSPLINE!F$9</f>
        <v>1.4363211472069024</v>
      </c>
      <c r="G170">
        <f>PMSPLINE!F$10</f>
        <v>2.8676151950536086</v>
      </c>
      <c r="H170" s="5">
        <f>PMSPLINE!K$9</f>
        <v>2.9281769710592406E-3</v>
      </c>
      <c r="I170" s="5">
        <f>PMSPLINE!K$10</f>
        <v>-4.9956792126269983E-4</v>
      </c>
      <c r="J170">
        <f t="shared" si="24"/>
        <v>0.53333333333333333</v>
      </c>
      <c r="K170">
        <f t="shared" si="25"/>
        <v>0.46666666666666667</v>
      </c>
      <c r="L170">
        <f t="shared" si="26"/>
        <v>121</v>
      </c>
      <c r="M170" s="6">
        <f t="shared" si="27"/>
        <v>2.1042583695353652</v>
      </c>
      <c r="N170" s="13">
        <f t="shared" si="22"/>
        <v>1.9639906246585359</v>
      </c>
      <c r="O170" s="6">
        <f t="shared" si="30"/>
        <v>124.82158285572228</v>
      </c>
      <c r="P170" s="6">
        <f t="shared" si="31"/>
        <v>121.40245382718757</v>
      </c>
      <c r="Q170" s="6">
        <f t="shared" si="28"/>
        <v>1.9639906246585359</v>
      </c>
      <c r="S170">
        <v>121</v>
      </c>
      <c r="T170" s="6">
        <f t="shared" si="21"/>
        <v>1.9639906246585359</v>
      </c>
    </row>
    <row r="171" spans="2:20">
      <c r="B171">
        <f t="shared" si="29"/>
        <v>168</v>
      </c>
      <c r="C171">
        <f t="shared" si="23"/>
        <v>30</v>
      </c>
      <c r="D171">
        <v>153</v>
      </c>
      <c r="E171">
        <v>183</v>
      </c>
      <c r="F171">
        <f>PMSPLINE!F$9</f>
        <v>1.4363211472069024</v>
      </c>
      <c r="G171">
        <f>PMSPLINE!F$10</f>
        <v>2.8676151950536086</v>
      </c>
      <c r="H171" s="5">
        <f>PMSPLINE!K$9</f>
        <v>2.9281769710592406E-3</v>
      </c>
      <c r="I171" s="5">
        <f>PMSPLINE!K$10</f>
        <v>-4.9956792126269983E-4</v>
      </c>
      <c r="J171">
        <f t="shared" si="24"/>
        <v>0.5</v>
      </c>
      <c r="K171">
        <f t="shared" si="25"/>
        <v>0.5</v>
      </c>
      <c r="L171">
        <f t="shared" si="26"/>
        <v>122</v>
      </c>
      <c r="M171" s="6">
        <f t="shared" si="27"/>
        <v>2.1519681711302554</v>
      </c>
      <c r="N171" s="13">
        <f t="shared" si="22"/>
        <v>2.0153589120792001</v>
      </c>
      <c r="O171" s="6">
        <f t="shared" si="30"/>
        <v>126.97355102685253</v>
      </c>
      <c r="P171" s="6">
        <f t="shared" si="31"/>
        <v>123.41781273926676</v>
      </c>
      <c r="Q171" s="6">
        <f t="shared" si="28"/>
        <v>2.0153589120792001</v>
      </c>
      <c r="S171">
        <v>122</v>
      </c>
      <c r="T171" s="6">
        <f t="shared" si="21"/>
        <v>2.0153589120792001</v>
      </c>
    </row>
    <row r="172" spans="2:20">
      <c r="B172">
        <f t="shared" si="29"/>
        <v>169</v>
      </c>
      <c r="C172">
        <f t="shared" si="23"/>
        <v>30</v>
      </c>
      <c r="D172">
        <v>153</v>
      </c>
      <c r="E172">
        <v>183</v>
      </c>
      <c r="F172">
        <f>PMSPLINE!F$9</f>
        <v>1.4363211472069024</v>
      </c>
      <c r="G172">
        <f>PMSPLINE!F$10</f>
        <v>2.8676151950536086</v>
      </c>
      <c r="H172" s="5">
        <f>PMSPLINE!K$9</f>
        <v>2.9281769710592406E-3</v>
      </c>
      <c r="I172" s="5">
        <f>PMSPLINE!K$10</f>
        <v>-4.9956792126269983E-4</v>
      </c>
      <c r="J172">
        <f t="shared" si="24"/>
        <v>0.46666666666666667</v>
      </c>
      <c r="K172">
        <f t="shared" si="25"/>
        <v>0.53333333333333333</v>
      </c>
      <c r="L172">
        <f t="shared" si="26"/>
        <v>123</v>
      </c>
      <c r="M172" s="6">
        <f t="shared" si="27"/>
        <v>2.1996779727251456</v>
      </c>
      <c r="N172" s="13">
        <f t="shared" si="22"/>
        <v>2.0679415040247622</v>
      </c>
      <c r="O172" s="6">
        <f t="shared" si="30"/>
        <v>129.17322899957767</v>
      </c>
      <c r="P172" s="6">
        <f t="shared" si="31"/>
        <v>125.48575424329152</v>
      </c>
      <c r="Q172" s="6">
        <f t="shared" si="28"/>
        <v>2.0679415040247622</v>
      </c>
      <c r="S172">
        <v>123</v>
      </c>
      <c r="T172" s="6">
        <f t="shared" si="21"/>
        <v>2.0679415040247622</v>
      </c>
    </row>
    <row r="173" spans="2:20">
      <c r="B173">
        <f t="shared" si="29"/>
        <v>170</v>
      </c>
      <c r="C173">
        <f t="shared" si="23"/>
        <v>30</v>
      </c>
      <c r="D173">
        <v>153</v>
      </c>
      <c r="E173">
        <v>183</v>
      </c>
      <c r="F173">
        <f>PMSPLINE!F$9</f>
        <v>1.4363211472069024</v>
      </c>
      <c r="G173">
        <f>PMSPLINE!F$10</f>
        <v>2.8676151950536086</v>
      </c>
      <c r="H173" s="5">
        <f>PMSPLINE!K$9</f>
        <v>2.9281769710592406E-3</v>
      </c>
      <c r="I173" s="5">
        <f>PMSPLINE!K$10</f>
        <v>-4.9956792126269983E-4</v>
      </c>
      <c r="J173">
        <f t="shared" si="24"/>
        <v>0.43333333333333335</v>
      </c>
      <c r="K173">
        <f t="shared" si="25"/>
        <v>0.56666666666666665</v>
      </c>
      <c r="L173">
        <f t="shared" si="26"/>
        <v>124</v>
      </c>
      <c r="M173" s="6">
        <f t="shared" si="27"/>
        <v>2.2473877743200359</v>
      </c>
      <c r="N173" s="13">
        <f t="shared" si="22"/>
        <v>2.1216241423321454</v>
      </c>
      <c r="O173" s="6">
        <f t="shared" si="30"/>
        <v>131.42061677389771</v>
      </c>
      <c r="P173" s="6">
        <f t="shared" si="31"/>
        <v>127.60737838562368</v>
      </c>
      <c r="Q173" s="6">
        <f t="shared" si="28"/>
        <v>2.1216241423321454</v>
      </c>
      <c r="S173">
        <v>124</v>
      </c>
      <c r="T173" s="6">
        <f t="shared" si="21"/>
        <v>2.1216241423321454</v>
      </c>
    </row>
    <row r="174" spans="2:20">
      <c r="B174">
        <f t="shared" si="29"/>
        <v>171</v>
      </c>
      <c r="C174">
        <f t="shared" si="23"/>
        <v>30</v>
      </c>
      <c r="D174">
        <v>153</v>
      </c>
      <c r="E174">
        <v>183</v>
      </c>
      <c r="F174">
        <f>PMSPLINE!F$9</f>
        <v>1.4363211472069024</v>
      </c>
      <c r="G174">
        <f>PMSPLINE!F$10</f>
        <v>2.8676151950536086</v>
      </c>
      <c r="H174" s="5">
        <f>PMSPLINE!K$9</f>
        <v>2.9281769710592406E-3</v>
      </c>
      <c r="I174" s="5">
        <f>PMSPLINE!K$10</f>
        <v>-4.9956792126269983E-4</v>
      </c>
      <c r="J174">
        <f t="shared" si="24"/>
        <v>0.4</v>
      </c>
      <c r="K174">
        <f t="shared" si="25"/>
        <v>0.6</v>
      </c>
      <c r="L174">
        <f t="shared" si="26"/>
        <v>125</v>
      </c>
      <c r="M174" s="6">
        <f t="shared" si="27"/>
        <v>2.2950975759149261</v>
      </c>
      <c r="N174" s="13">
        <f t="shared" si="22"/>
        <v>2.1762925688382717</v>
      </c>
      <c r="O174" s="6">
        <f t="shared" si="30"/>
        <v>133.71571434981263</v>
      </c>
      <c r="P174" s="6">
        <f t="shared" si="31"/>
        <v>129.78367095446194</v>
      </c>
      <c r="Q174" s="6">
        <f t="shared" si="28"/>
        <v>2.1762925688382717</v>
      </c>
      <c r="S174">
        <v>125</v>
      </c>
      <c r="T174" s="6">
        <f t="shared" si="21"/>
        <v>2.1762925688382717</v>
      </c>
    </row>
    <row r="175" spans="2:20">
      <c r="B175">
        <f t="shared" si="29"/>
        <v>172</v>
      </c>
      <c r="C175">
        <f t="shared" si="23"/>
        <v>30</v>
      </c>
      <c r="D175">
        <v>153</v>
      </c>
      <c r="E175">
        <v>183</v>
      </c>
      <c r="F175">
        <f>PMSPLINE!F$9</f>
        <v>1.4363211472069024</v>
      </c>
      <c r="G175">
        <f>PMSPLINE!F$10</f>
        <v>2.8676151950536086</v>
      </c>
      <c r="H175" s="5">
        <f>PMSPLINE!K$9</f>
        <v>2.9281769710592406E-3</v>
      </c>
      <c r="I175" s="5">
        <f>PMSPLINE!K$10</f>
        <v>-4.9956792126269983E-4</v>
      </c>
      <c r="J175">
        <f t="shared" si="24"/>
        <v>0.36666666666666664</v>
      </c>
      <c r="K175">
        <f t="shared" si="25"/>
        <v>0.6333333333333333</v>
      </c>
      <c r="L175">
        <f t="shared" si="26"/>
        <v>126</v>
      </c>
      <c r="M175" s="6">
        <f t="shared" si="27"/>
        <v>2.3428073775098164</v>
      </c>
      <c r="N175" s="13">
        <f t="shared" si="22"/>
        <v>2.2318325253800646</v>
      </c>
      <c r="O175" s="6">
        <f t="shared" si="30"/>
        <v>136.05852172732244</v>
      </c>
      <c r="P175" s="6">
        <f t="shared" si="31"/>
        <v>132.01550347984201</v>
      </c>
      <c r="Q175" s="6">
        <f t="shared" si="28"/>
        <v>2.2318325253800646</v>
      </c>
      <c r="S175">
        <v>126</v>
      </c>
      <c r="T175" s="6">
        <f t="shared" si="21"/>
        <v>2.2318325253800646</v>
      </c>
    </row>
    <row r="176" spans="2:20">
      <c r="B176">
        <f t="shared" si="29"/>
        <v>173</v>
      </c>
      <c r="C176">
        <f t="shared" si="23"/>
        <v>30</v>
      </c>
      <c r="D176">
        <v>153</v>
      </c>
      <c r="E176">
        <v>183</v>
      </c>
      <c r="F176">
        <f>PMSPLINE!F$9</f>
        <v>1.4363211472069024</v>
      </c>
      <c r="G176">
        <f>PMSPLINE!F$10</f>
        <v>2.8676151950536086</v>
      </c>
      <c r="H176" s="5">
        <f>PMSPLINE!K$9</f>
        <v>2.9281769710592406E-3</v>
      </c>
      <c r="I176" s="5">
        <f>PMSPLINE!K$10</f>
        <v>-4.9956792126269983E-4</v>
      </c>
      <c r="J176">
        <f t="shared" si="24"/>
        <v>0.33333333333333331</v>
      </c>
      <c r="K176">
        <f t="shared" si="25"/>
        <v>0.66666666666666663</v>
      </c>
      <c r="L176">
        <f t="shared" si="26"/>
        <v>127</v>
      </c>
      <c r="M176" s="6">
        <f t="shared" si="27"/>
        <v>2.3905171791047066</v>
      </c>
      <c r="N176" s="13">
        <f t="shared" si="22"/>
        <v>2.2881297537944461</v>
      </c>
      <c r="O176" s="6">
        <f t="shared" si="30"/>
        <v>138.44903890642715</v>
      </c>
      <c r="P176" s="6">
        <f t="shared" si="31"/>
        <v>134.30363323363645</v>
      </c>
      <c r="Q176" s="6">
        <f t="shared" si="28"/>
        <v>2.2881297537944461</v>
      </c>
      <c r="S176">
        <v>127</v>
      </c>
      <c r="T176" s="6">
        <f t="shared" si="21"/>
        <v>2.2881297537944461</v>
      </c>
    </row>
    <row r="177" spans="1:20">
      <c r="B177">
        <f t="shared" si="29"/>
        <v>174</v>
      </c>
      <c r="C177">
        <f t="shared" si="23"/>
        <v>30</v>
      </c>
      <c r="D177">
        <v>153</v>
      </c>
      <c r="E177">
        <v>183</v>
      </c>
      <c r="F177">
        <f>PMSPLINE!F$9</f>
        <v>1.4363211472069024</v>
      </c>
      <c r="G177">
        <f>PMSPLINE!F$10</f>
        <v>2.8676151950536086</v>
      </c>
      <c r="H177" s="5">
        <f>PMSPLINE!K$9</f>
        <v>2.9281769710592406E-3</v>
      </c>
      <c r="I177" s="5">
        <f>PMSPLINE!K$10</f>
        <v>-4.9956792126269983E-4</v>
      </c>
      <c r="J177">
        <f t="shared" si="24"/>
        <v>0.3</v>
      </c>
      <c r="K177">
        <f t="shared" si="25"/>
        <v>0.7</v>
      </c>
      <c r="L177">
        <f t="shared" si="26"/>
        <v>128</v>
      </c>
      <c r="M177" s="6">
        <f t="shared" si="27"/>
        <v>2.4382269806995964</v>
      </c>
      <c r="N177" s="13">
        <f t="shared" si="22"/>
        <v>2.3450699959183381</v>
      </c>
      <c r="O177" s="6">
        <f t="shared" si="30"/>
        <v>140.88726588712674</v>
      </c>
      <c r="P177" s="6">
        <f t="shared" si="31"/>
        <v>136.6487032295548</v>
      </c>
      <c r="Q177" s="6">
        <f t="shared" si="28"/>
        <v>2.3450699959183381</v>
      </c>
      <c r="S177">
        <v>128</v>
      </c>
      <c r="T177" s="6">
        <f t="shared" si="21"/>
        <v>2.3450699959183381</v>
      </c>
    </row>
    <row r="178" spans="1:20">
      <c r="B178">
        <f t="shared" si="29"/>
        <v>175</v>
      </c>
      <c r="C178">
        <f t="shared" si="23"/>
        <v>30</v>
      </c>
      <c r="D178">
        <v>153</v>
      </c>
      <c r="E178">
        <v>183</v>
      </c>
      <c r="F178">
        <f>PMSPLINE!F$9</f>
        <v>1.4363211472069024</v>
      </c>
      <c r="G178">
        <f>PMSPLINE!F$10</f>
        <v>2.8676151950536086</v>
      </c>
      <c r="H178" s="5">
        <f>PMSPLINE!K$9</f>
        <v>2.9281769710592406E-3</v>
      </c>
      <c r="I178" s="5">
        <f>PMSPLINE!K$10</f>
        <v>-4.9956792126269983E-4</v>
      </c>
      <c r="J178">
        <f t="shared" si="24"/>
        <v>0.26666666666666666</v>
      </c>
      <c r="K178">
        <f t="shared" si="25"/>
        <v>0.73333333333333328</v>
      </c>
      <c r="L178">
        <f t="shared" si="26"/>
        <v>129</v>
      </c>
      <c r="M178" s="6">
        <f t="shared" si="27"/>
        <v>2.4859367822944867</v>
      </c>
      <c r="N178" s="13">
        <f t="shared" si="22"/>
        <v>2.4025389935886645</v>
      </c>
      <c r="O178" s="6">
        <f t="shared" si="30"/>
        <v>143.37320266942123</v>
      </c>
      <c r="P178" s="6">
        <f t="shared" si="31"/>
        <v>139.05124222314348</v>
      </c>
      <c r="Q178" s="6">
        <f t="shared" si="28"/>
        <v>2.4025389935886645</v>
      </c>
      <c r="S178">
        <v>129</v>
      </c>
      <c r="T178" s="6">
        <f t="shared" ref="T178:T241" si="32">N178</f>
        <v>2.4025389935886645</v>
      </c>
    </row>
    <row r="179" spans="1:20">
      <c r="B179">
        <f t="shared" si="29"/>
        <v>176</v>
      </c>
      <c r="C179">
        <f t="shared" si="23"/>
        <v>30</v>
      </c>
      <c r="D179">
        <v>153</v>
      </c>
      <c r="E179">
        <v>183</v>
      </c>
      <c r="F179">
        <f>PMSPLINE!F$9</f>
        <v>1.4363211472069024</v>
      </c>
      <c r="G179">
        <f>PMSPLINE!F$10</f>
        <v>2.8676151950536086</v>
      </c>
      <c r="H179" s="5">
        <f>PMSPLINE!K$9</f>
        <v>2.9281769710592406E-3</v>
      </c>
      <c r="I179" s="5">
        <f>PMSPLINE!K$10</f>
        <v>-4.9956792126269983E-4</v>
      </c>
      <c r="J179">
        <f t="shared" si="24"/>
        <v>0.23333333333333334</v>
      </c>
      <c r="K179">
        <f t="shared" si="25"/>
        <v>0.76666666666666672</v>
      </c>
      <c r="L179">
        <f t="shared" si="26"/>
        <v>130</v>
      </c>
      <c r="M179" s="6">
        <f t="shared" si="27"/>
        <v>2.5336465838893774</v>
      </c>
      <c r="N179" s="13">
        <f t="shared" si="22"/>
        <v>2.4604224886423482</v>
      </c>
      <c r="O179" s="6">
        <f t="shared" si="30"/>
        <v>145.90684925331061</v>
      </c>
      <c r="P179" s="6">
        <f t="shared" si="31"/>
        <v>141.51166471178581</v>
      </c>
      <c r="Q179" s="6">
        <f t="shared" si="28"/>
        <v>2.4604224886423482</v>
      </c>
      <c r="S179">
        <v>130</v>
      </c>
      <c r="T179" s="6">
        <f t="shared" si="32"/>
        <v>2.4604224886423482</v>
      </c>
    </row>
    <row r="180" spans="1:20">
      <c r="B180">
        <f t="shared" si="29"/>
        <v>177</v>
      </c>
      <c r="C180">
        <f t="shared" si="23"/>
        <v>30</v>
      </c>
      <c r="D180">
        <v>153</v>
      </c>
      <c r="E180">
        <v>183</v>
      </c>
      <c r="F180">
        <f>PMSPLINE!F$9</f>
        <v>1.4363211472069024</v>
      </c>
      <c r="G180">
        <f>PMSPLINE!F$10</f>
        <v>2.8676151950536086</v>
      </c>
      <c r="H180" s="5">
        <f>PMSPLINE!K$9</f>
        <v>2.9281769710592406E-3</v>
      </c>
      <c r="I180" s="5">
        <f>PMSPLINE!K$10</f>
        <v>-4.9956792126269983E-4</v>
      </c>
      <c r="J180">
        <f t="shared" si="24"/>
        <v>0.2</v>
      </c>
      <c r="K180">
        <f t="shared" si="25"/>
        <v>0.8</v>
      </c>
      <c r="L180">
        <f t="shared" si="26"/>
        <v>131</v>
      </c>
      <c r="M180" s="6">
        <f t="shared" si="27"/>
        <v>2.5813563854842676</v>
      </c>
      <c r="N180" s="13">
        <f t="shared" si="22"/>
        <v>2.51860622291631</v>
      </c>
      <c r="O180" s="6">
        <f t="shared" si="30"/>
        <v>148.48820563879488</v>
      </c>
      <c r="P180" s="6">
        <f t="shared" si="31"/>
        <v>144.03027093470212</v>
      </c>
      <c r="Q180" s="6">
        <f t="shared" si="28"/>
        <v>2.51860622291631</v>
      </c>
      <c r="S180">
        <v>131</v>
      </c>
      <c r="T180" s="6">
        <f t="shared" si="32"/>
        <v>2.51860622291631</v>
      </c>
    </row>
    <row r="181" spans="1:20">
      <c r="B181">
        <f t="shared" si="29"/>
        <v>178</v>
      </c>
      <c r="C181">
        <f t="shared" si="23"/>
        <v>30</v>
      </c>
      <c r="D181">
        <v>153</v>
      </c>
      <c r="E181">
        <v>183</v>
      </c>
      <c r="F181">
        <f>PMSPLINE!F$9</f>
        <v>1.4363211472069024</v>
      </c>
      <c r="G181">
        <f>PMSPLINE!F$10</f>
        <v>2.8676151950536086</v>
      </c>
      <c r="H181" s="5">
        <f>PMSPLINE!K$9</f>
        <v>2.9281769710592406E-3</v>
      </c>
      <c r="I181" s="5">
        <f>PMSPLINE!K$10</f>
        <v>-4.9956792126269983E-4</v>
      </c>
      <c r="J181">
        <f t="shared" si="24"/>
        <v>0.16666666666666666</v>
      </c>
      <c r="K181">
        <f t="shared" si="25"/>
        <v>0.83333333333333337</v>
      </c>
      <c r="L181">
        <f t="shared" si="26"/>
        <v>132</v>
      </c>
      <c r="M181" s="6">
        <f t="shared" si="27"/>
        <v>2.6290661870791574</v>
      </c>
      <c r="N181" s="13">
        <f t="shared" si="22"/>
        <v>2.5769759382474735</v>
      </c>
      <c r="O181" s="6">
        <f t="shared" si="30"/>
        <v>151.11727182587404</v>
      </c>
      <c r="P181" s="6">
        <f t="shared" si="31"/>
        <v>146.60724687294959</v>
      </c>
      <c r="Q181" s="6">
        <f t="shared" si="28"/>
        <v>2.5769759382474735</v>
      </c>
      <c r="S181">
        <v>132</v>
      </c>
      <c r="T181" s="6">
        <f t="shared" si="32"/>
        <v>2.5769759382474735</v>
      </c>
    </row>
    <row r="182" spans="1:20">
      <c r="B182">
        <f t="shared" si="29"/>
        <v>179</v>
      </c>
      <c r="C182">
        <f t="shared" si="23"/>
        <v>30</v>
      </c>
      <c r="D182">
        <v>153</v>
      </c>
      <c r="E182">
        <v>183</v>
      </c>
      <c r="F182">
        <f>PMSPLINE!F$9</f>
        <v>1.4363211472069024</v>
      </c>
      <c r="G182">
        <f>PMSPLINE!F$10</f>
        <v>2.8676151950536086</v>
      </c>
      <c r="H182" s="5">
        <f>PMSPLINE!K$9</f>
        <v>2.9281769710592406E-3</v>
      </c>
      <c r="I182" s="5">
        <f>PMSPLINE!K$10</f>
        <v>-4.9956792126269983E-4</v>
      </c>
      <c r="J182">
        <f t="shared" si="24"/>
        <v>0.13333333333333333</v>
      </c>
      <c r="K182">
        <f t="shared" si="25"/>
        <v>0.8666666666666667</v>
      </c>
      <c r="L182">
        <f t="shared" si="26"/>
        <v>133</v>
      </c>
      <c r="M182" s="6">
        <f t="shared" si="27"/>
        <v>2.6767759886740481</v>
      </c>
      <c r="N182" s="13">
        <f t="shared" si="22"/>
        <v>2.6354173764727618</v>
      </c>
      <c r="O182" s="6">
        <f t="shared" si="30"/>
        <v>153.79404781454809</v>
      </c>
      <c r="P182" s="6">
        <f t="shared" si="31"/>
        <v>149.24266424942235</v>
      </c>
      <c r="Q182" s="6">
        <f t="shared" si="28"/>
        <v>2.6354173764727618</v>
      </c>
      <c r="S182">
        <v>133</v>
      </c>
      <c r="T182" s="6">
        <f t="shared" si="32"/>
        <v>2.6354173764727618</v>
      </c>
    </row>
    <row r="183" spans="1:20">
      <c r="B183">
        <f t="shared" si="29"/>
        <v>180</v>
      </c>
      <c r="C183">
        <f t="shared" si="23"/>
        <v>30</v>
      </c>
      <c r="D183">
        <v>153</v>
      </c>
      <c r="E183">
        <v>183</v>
      </c>
      <c r="F183">
        <f>PMSPLINE!F$9</f>
        <v>1.4363211472069024</v>
      </c>
      <c r="G183">
        <f>PMSPLINE!F$10</f>
        <v>2.8676151950536086</v>
      </c>
      <c r="H183" s="5">
        <f>PMSPLINE!K$9</f>
        <v>2.9281769710592406E-3</v>
      </c>
      <c r="I183" s="5">
        <f>PMSPLINE!K$10</f>
        <v>-4.9956792126269983E-4</v>
      </c>
      <c r="J183">
        <f t="shared" si="24"/>
        <v>0.1</v>
      </c>
      <c r="K183">
        <f t="shared" si="25"/>
        <v>0.9</v>
      </c>
      <c r="L183">
        <f t="shared" si="26"/>
        <v>134</v>
      </c>
      <c r="M183" s="6">
        <f t="shared" si="27"/>
        <v>2.7244857902689379</v>
      </c>
      <c r="N183" s="13">
        <f t="shared" ref="N183:N246" si="33">Q183</f>
        <v>2.6938162794290963</v>
      </c>
      <c r="O183" s="6">
        <f t="shared" si="30"/>
        <v>156.51853360481704</v>
      </c>
      <c r="P183" s="6">
        <f t="shared" si="31"/>
        <v>151.93648052885143</v>
      </c>
      <c r="Q183" s="6">
        <f t="shared" si="28"/>
        <v>2.6938162794290963</v>
      </c>
      <c r="S183">
        <v>134</v>
      </c>
      <c r="T183" s="6">
        <f t="shared" si="32"/>
        <v>2.6938162794290963</v>
      </c>
    </row>
    <row r="184" spans="1:20">
      <c r="B184">
        <f t="shared" si="29"/>
        <v>181</v>
      </c>
      <c r="C184">
        <f t="shared" si="23"/>
        <v>30</v>
      </c>
      <c r="D184">
        <v>153</v>
      </c>
      <c r="E184">
        <v>183</v>
      </c>
      <c r="F184">
        <f>PMSPLINE!F$9</f>
        <v>1.4363211472069024</v>
      </c>
      <c r="G184">
        <f>PMSPLINE!F$10</f>
        <v>2.8676151950536086</v>
      </c>
      <c r="H184" s="5">
        <f>PMSPLINE!K$9</f>
        <v>2.9281769710592406E-3</v>
      </c>
      <c r="I184" s="5">
        <f>PMSPLINE!K$10</f>
        <v>-4.9956792126269983E-4</v>
      </c>
      <c r="J184">
        <f t="shared" si="24"/>
        <v>6.6666666666666666E-2</v>
      </c>
      <c r="K184">
        <f t="shared" si="25"/>
        <v>0.93333333333333335</v>
      </c>
      <c r="L184">
        <f t="shared" si="26"/>
        <v>135</v>
      </c>
      <c r="M184" s="6">
        <f t="shared" si="27"/>
        <v>2.7721955918638281</v>
      </c>
      <c r="N184" s="13">
        <f t="shared" si="33"/>
        <v>2.7520583889534009</v>
      </c>
      <c r="O184" s="6">
        <f t="shared" si="30"/>
        <v>159.29072919668087</v>
      </c>
      <c r="P184" s="6">
        <f t="shared" si="31"/>
        <v>154.68853891780483</v>
      </c>
      <c r="Q184" s="6">
        <f t="shared" si="28"/>
        <v>2.7520583889534009</v>
      </c>
      <c r="S184">
        <v>135</v>
      </c>
      <c r="T184" s="6">
        <f t="shared" si="32"/>
        <v>2.7520583889534009</v>
      </c>
    </row>
    <row r="185" spans="1:20">
      <c r="B185">
        <f t="shared" si="29"/>
        <v>182</v>
      </c>
      <c r="C185">
        <f t="shared" si="23"/>
        <v>30</v>
      </c>
      <c r="D185">
        <v>153</v>
      </c>
      <c r="E185">
        <v>183</v>
      </c>
      <c r="F185">
        <f>PMSPLINE!F$9</f>
        <v>1.4363211472069024</v>
      </c>
      <c r="G185">
        <f>PMSPLINE!F$10</f>
        <v>2.8676151950536086</v>
      </c>
      <c r="H185" s="5">
        <f>PMSPLINE!K$9</f>
        <v>2.9281769710592406E-3</v>
      </c>
      <c r="I185" s="5">
        <f>PMSPLINE!K$10</f>
        <v>-4.9956792126269983E-4</v>
      </c>
      <c r="J185">
        <f t="shared" si="24"/>
        <v>3.3333333333333333E-2</v>
      </c>
      <c r="K185">
        <f t="shared" si="25"/>
        <v>0.96666666666666667</v>
      </c>
      <c r="L185">
        <f t="shared" si="26"/>
        <v>136</v>
      </c>
      <c r="M185" s="6">
        <f t="shared" si="27"/>
        <v>2.8199053934587184</v>
      </c>
      <c r="N185" s="13">
        <f t="shared" si="33"/>
        <v>2.8100294468825973</v>
      </c>
      <c r="O185" s="6">
        <f t="shared" si="30"/>
        <v>162.1106345901396</v>
      </c>
      <c r="P185" s="6">
        <f t="shared" si="31"/>
        <v>157.49856836468743</v>
      </c>
      <c r="Q185" s="6">
        <f t="shared" si="28"/>
        <v>2.8100294468825973</v>
      </c>
      <c r="S185">
        <v>136</v>
      </c>
      <c r="T185" s="6">
        <f t="shared" si="32"/>
        <v>2.8100294468825973</v>
      </c>
    </row>
    <row r="186" spans="1:20">
      <c r="A186">
        <v>183</v>
      </c>
      <c r="B186">
        <f t="shared" si="29"/>
        <v>183</v>
      </c>
      <c r="C186">
        <f t="shared" si="23"/>
        <v>30</v>
      </c>
      <c r="D186">
        <v>153</v>
      </c>
      <c r="E186">
        <v>183</v>
      </c>
      <c r="F186">
        <f>PMSPLINE!F$9</f>
        <v>1.4363211472069024</v>
      </c>
      <c r="G186">
        <f>PMSPLINE!F$10</f>
        <v>2.8676151950536086</v>
      </c>
      <c r="H186" s="5">
        <f>PMSPLINE!K$9</f>
        <v>2.9281769710592406E-3</v>
      </c>
      <c r="I186" s="5">
        <f>PMSPLINE!K$10</f>
        <v>-4.9956792126269983E-4</v>
      </c>
      <c r="J186">
        <f t="shared" si="24"/>
        <v>0</v>
      </c>
      <c r="K186">
        <f t="shared" si="25"/>
        <v>1</v>
      </c>
      <c r="L186">
        <f t="shared" si="26"/>
        <v>137</v>
      </c>
      <c r="M186" s="6">
        <f t="shared" si="27"/>
        <v>2.8676151950536086</v>
      </c>
      <c r="N186" s="13">
        <f t="shared" si="33"/>
        <v>2.8676151950536086</v>
      </c>
      <c r="O186" s="6">
        <f t="shared" si="30"/>
        <v>164.97824978519321</v>
      </c>
      <c r="P186" s="6">
        <f t="shared" si="31"/>
        <v>160.36618355974105</v>
      </c>
      <c r="Q186" s="6">
        <f t="shared" si="28"/>
        <v>2.8676151950536086</v>
      </c>
      <c r="S186">
        <v>137</v>
      </c>
      <c r="T186" s="6">
        <f t="shared" si="32"/>
        <v>2.8676151950536086</v>
      </c>
    </row>
    <row r="187" spans="1:20">
      <c r="B187">
        <f t="shared" si="29"/>
        <v>184</v>
      </c>
      <c r="C187">
        <f t="shared" si="23"/>
        <v>31</v>
      </c>
      <c r="D187">
        <v>183</v>
      </c>
      <c r="E187">
        <v>214</v>
      </c>
      <c r="F187">
        <f>PMSPLINE!F$10</f>
        <v>2.8676151950536086</v>
      </c>
      <c r="G187">
        <f>PMSPLINE!F$11</f>
        <v>4.2334472483997461</v>
      </c>
      <c r="H187" s="5">
        <f>PMSPLINE!K$10</f>
        <v>-4.9956792126269983E-4</v>
      </c>
      <c r="I187" s="5">
        <f>PMSPLINE!K$11</f>
        <v>-1.5742658495757733E-3</v>
      </c>
      <c r="J187">
        <f t="shared" si="24"/>
        <v>0.967741935483871</v>
      </c>
      <c r="K187">
        <f t="shared" si="25"/>
        <v>3.2258064516129031E-2</v>
      </c>
      <c r="L187">
        <f t="shared" si="26"/>
        <v>138</v>
      </c>
      <c r="M187" s="6">
        <f t="shared" si="27"/>
        <v>2.9116742935486455</v>
      </c>
      <c r="N187" s="13">
        <f t="shared" si="33"/>
        <v>2.9247146403846855</v>
      </c>
      <c r="O187" s="6">
        <f t="shared" si="30"/>
        <v>167.88992407874187</v>
      </c>
      <c r="P187" s="6">
        <f t="shared" si="31"/>
        <v>163.29089820012572</v>
      </c>
      <c r="Q187" s="6">
        <f t="shared" si="28"/>
        <v>2.9247146403846855</v>
      </c>
      <c r="S187">
        <v>138</v>
      </c>
      <c r="T187" s="6">
        <f t="shared" si="32"/>
        <v>2.9247146403846855</v>
      </c>
    </row>
    <row r="188" spans="1:20">
      <c r="B188">
        <f t="shared" si="29"/>
        <v>185</v>
      </c>
      <c r="C188">
        <f t="shared" si="23"/>
        <v>31</v>
      </c>
      <c r="D188">
        <v>183</v>
      </c>
      <c r="E188">
        <v>214</v>
      </c>
      <c r="F188">
        <f>PMSPLINE!F$10</f>
        <v>2.8676151950536086</v>
      </c>
      <c r="G188">
        <f>PMSPLINE!F$11</f>
        <v>4.2334472483997461</v>
      </c>
      <c r="H188" s="5">
        <f>PMSPLINE!K$10</f>
        <v>-4.9956792126269983E-4</v>
      </c>
      <c r="I188" s="5">
        <f>PMSPLINE!K$11</f>
        <v>-1.5742658495757733E-3</v>
      </c>
      <c r="J188">
        <f t="shared" si="24"/>
        <v>0.93548387096774188</v>
      </c>
      <c r="K188">
        <f t="shared" si="25"/>
        <v>6.4516129032258063E-2</v>
      </c>
      <c r="L188">
        <f t="shared" si="26"/>
        <v>139</v>
      </c>
      <c r="M188" s="6">
        <f t="shared" si="27"/>
        <v>2.9557333920436819</v>
      </c>
      <c r="N188" s="13">
        <f t="shared" si="33"/>
        <v>2.9812798501193929</v>
      </c>
      <c r="O188" s="6">
        <f t="shared" si="30"/>
        <v>170.84565747078554</v>
      </c>
      <c r="P188" s="6">
        <f t="shared" si="31"/>
        <v>166.27217805024512</v>
      </c>
      <c r="Q188" s="6">
        <f t="shared" si="28"/>
        <v>2.9812798501193929</v>
      </c>
      <c r="S188">
        <v>139</v>
      </c>
      <c r="T188" s="6">
        <f t="shared" si="32"/>
        <v>2.9812798501193929</v>
      </c>
    </row>
    <row r="189" spans="1:20">
      <c r="B189">
        <f t="shared" si="29"/>
        <v>186</v>
      </c>
      <c r="C189">
        <f t="shared" si="23"/>
        <v>31</v>
      </c>
      <c r="D189">
        <v>183</v>
      </c>
      <c r="E189">
        <v>214</v>
      </c>
      <c r="F189">
        <f>PMSPLINE!F$10</f>
        <v>2.8676151950536086</v>
      </c>
      <c r="G189">
        <f>PMSPLINE!F$11</f>
        <v>4.2334472483997461</v>
      </c>
      <c r="H189" s="5">
        <f>PMSPLINE!K$10</f>
        <v>-4.9956792126269983E-4</v>
      </c>
      <c r="I189" s="5">
        <f>PMSPLINE!K$11</f>
        <v>-1.5742658495757733E-3</v>
      </c>
      <c r="J189">
        <f t="shared" si="24"/>
        <v>0.90322580645161288</v>
      </c>
      <c r="K189">
        <f t="shared" si="25"/>
        <v>9.6774193548387094E-2</v>
      </c>
      <c r="L189">
        <f t="shared" si="26"/>
        <v>140</v>
      </c>
      <c r="M189" s="6">
        <f t="shared" si="27"/>
        <v>2.9997924905387183</v>
      </c>
      <c r="N189" s="13">
        <f t="shared" si="33"/>
        <v>3.0372761565826236</v>
      </c>
      <c r="O189" s="6">
        <f t="shared" si="30"/>
        <v>173.84544996132425</v>
      </c>
      <c r="P189" s="6">
        <f t="shared" si="31"/>
        <v>169.30945420682775</v>
      </c>
      <c r="Q189" s="6">
        <f t="shared" si="28"/>
        <v>3.0372761565826236</v>
      </c>
      <c r="S189">
        <v>140</v>
      </c>
      <c r="T189" s="6">
        <f t="shared" si="32"/>
        <v>3.0372761565826236</v>
      </c>
    </row>
    <row r="190" spans="1:20">
      <c r="B190">
        <f t="shared" si="29"/>
        <v>187</v>
      </c>
      <c r="C190">
        <f t="shared" si="23"/>
        <v>31</v>
      </c>
      <c r="D190">
        <v>183</v>
      </c>
      <c r="E190">
        <v>214</v>
      </c>
      <c r="F190">
        <f>PMSPLINE!F$10</f>
        <v>2.8676151950536086</v>
      </c>
      <c r="G190">
        <f>PMSPLINE!F$11</f>
        <v>4.2334472483997461</v>
      </c>
      <c r="H190" s="5">
        <f>PMSPLINE!K$10</f>
        <v>-4.9956792126269983E-4</v>
      </c>
      <c r="I190" s="5">
        <f>PMSPLINE!K$11</f>
        <v>-1.5742658495757733E-3</v>
      </c>
      <c r="J190">
        <f t="shared" si="24"/>
        <v>0.87096774193548387</v>
      </c>
      <c r="K190">
        <f t="shared" si="25"/>
        <v>0.12903225806451613</v>
      </c>
      <c r="L190">
        <f t="shared" si="26"/>
        <v>141</v>
      </c>
      <c r="M190" s="6">
        <f t="shared" si="27"/>
        <v>3.0438515890337552</v>
      </c>
      <c r="N190" s="13">
        <f t="shared" si="33"/>
        <v>3.0926688920992711</v>
      </c>
      <c r="O190" s="6">
        <f t="shared" si="30"/>
        <v>176.889301550358</v>
      </c>
      <c r="P190" s="6">
        <f t="shared" si="31"/>
        <v>172.40212309892704</v>
      </c>
      <c r="Q190" s="6">
        <f t="shared" si="28"/>
        <v>3.0926688920992711</v>
      </c>
      <c r="S190">
        <v>141</v>
      </c>
      <c r="T190" s="6">
        <f t="shared" si="32"/>
        <v>3.0926688920992711</v>
      </c>
    </row>
    <row r="191" spans="1:20">
      <c r="B191">
        <f t="shared" si="29"/>
        <v>188</v>
      </c>
      <c r="C191">
        <f t="shared" si="23"/>
        <v>31</v>
      </c>
      <c r="D191">
        <v>183</v>
      </c>
      <c r="E191">
        <v>214</v>
      </c>
      <c r="F191">
        <f>PMSPLINE!F$10</f>
        <v>2.8676151950536086</v>
      </c>
      <c r="G191">
        <f>PMSPLINE!F$11</f>
        <v>4.2334472483997461</v>
      </c>
      <c r="H191" s="5">
        <f>PMSPLINE!K$10</f>
        <v>-4.9956792126269983E-4</v>
      </c>
      <c r="I191" s="5">
        <f>PMSPLINE!K$11</f>
        <v>-1.5742658495757733E-3</v>
      </c>
      <c r="J191">
        <f t="shared" si="24"/>
        <v>0.83870967741935487</v>
      </c>
      <c r="K191">
        <f t="shared" si="25"/>
        <v>0.16129032258064516</v>
      </c>
      <c r="L191">
        <f t="shared" si="26"/>
        <v>142</v>
      </c>
      <c r="M191" s="6">
        <f t="shared" si="27"/>
        <v>3.0879106875287921</v>
      </c>
      <c r="N191" s="13">
        <f t="shared" si="33"/>
        <v>3.1474233889942287</v>
      </c>
      <c r="O191" s="6">
        <f t="shared" si="30"/>
        <v>179.97721223788679</v>
      </c>
      <c r="P191" s="6">
        <f t="shared" si="31"/>
        <v>175.54954648792128</v>
      </c>
      <c r="Q191" s="6">
        <f t="shared" si="28"/>
        <v>3.1474233889942287</v>
      </c>
      <c r="S191">
        <v>142</v>
      </c>
      <c r="T191" s="6">
        <f t="shared" si="32"/>
        <v>3.1474233889942287</v>
      </c>
    </row>
    <row r="192" spans="1:20">
      <c r="B192">
        <f t="shared" si="29"/>
        <v>189</v>
      </c>
      <c r="C192">
        <f t="shared" si="23"/>
        <v>31</v>
      </c>
      <c r="D192">
        <v>183</v>
      </c>
      <c r="E192">
        <v>214</v>
      </c>
      <c r="F192">
        <f>PMSPLINE!F$10</f>
        <v>2.8676151950536086</v>
      </c>
      <c r="G192">
        <f>PMSPLINE!F$11</f>
        <v>4.2334472483997461</v>
      </c>
      <c r="H192" s="5">
        <f>PMSPLINE!K$10</f>
        <v>-4.9956792126269983E-4</v>
      </c>
      <c r="I192" s="5">
        <f>PMSPLINE!K$11</f>
        <v>-1.5742658495757733E-3</v>
      </c>
      <c r="J192">
        <f t="shared" si="24"/>
        <v>0.80645161290322576</v>
      </c>
      <c r="K192">
        <f t="shared" si="25"/>
        <v>0.19354838709677419</v>
      </c>
      <c r="L192">
        <f t="shared" si="26"/>
        <v>143</v>
      </c>
      <c r="M192" s="6">
        <f t="shared" si="27"/>
        <v>3.1319697860238285</v>
      </c>
      <c r="N192" s="13">
        <f t="shared" si="33"/>
        <v>3.2015049795923889</v>
      </c>
      <c r="O192" s="6">
        <f t="shared" si="30"/>
        <v>183.10918202391062</v>
      </c>
      <c r="P192" s="6">
        <f t="shared" si="31"/>
        <v>178.75105146751366</v>
      </c>
      <c r="Q192" s="6">
        <f t="shared" si="28"/>
        <v>3.2015049795923889</v>
      </c>
      <c r="S192">
        <v>143</v>
      </c>
      <c r="T192" s="6">
        <f t="shared" si="32"/>
        <v>3.2015049795923889</v>
      </c>
    </row>
    <row r="193" spans="2:20">
      <c r="B193">
        <f t="shared" si="29"/>
        <v>190</v>
      </c>
      <c r="C193">
        <f t="shared" si="23"/>
        <v>31</v>
      </c>
      <c r="D193">
        <v>183</v>
      </c>
      <c r="E193">
        <v>214</v>
      </c>
      <c r="F193">
        <f>PMSPLINE!F$10</f>
        <v>2.8676151950536086</v>
      </c>
      <c r="G193">
        <f>PMSPLINE!F$11</f>
        <v>4.2334472483997461</v>
      </c>
      <c r="H193" s="5">
        <f>PMSPLINE!K$10</f>
        <v>-4.9956792126269983E-4</v>
      </c>
      <c r="I193" s="5">
        <f>PMSPLINE!K$11</f>
        <v>-1.5742658495757733E-3</v>
      </c>
      <c r="J193">
        <f t="shared" si="24"/>
        <v>0.77419354838709675</v>
      </c>
      <c r="K193">
        <f t="shared" si="25"/>
        <v>0.22580645161290322</v>
      </c>
      <c r="L193">
        <f t="shared" si="26"/>
        <v>144</v>
      </c>
      <c r="M193" s="6">
        <f t="shared" si="27"/>
        <v>3.1760288845188658</v>
      </c>
      <c r="N193" s="13">
        <f t="shared" si="33"/>
        <v>3.254878996218646</v>
      </c>
      <c r="O193" s="6">
        <f t="shared" si="30"/>
        <v>186.28521090842949</v>
      </c>
      <c r="P193" s="6">
        <f t="shared" si="31"/>
        <v>182.00593046373231</v>
      </c>
      <c r="Q193" s="6">
        <f t="shared" si="28"/>
        <v>3.254878996218646</v>
      </c>
      <c r="S193">
        <v>144</v>
      </c>
      <c r="T193" s="6">
        <f t="shared" si="32"/>
        <v>3.254878996218646</v>
      </c>
    </row>
    <row r="194" spans="2:20">
      <c r="B194">
        <f t="shared" si="29"/>
        <v>191</v>
      </c>
      <c r="C194">
        <f t="shared" si="23"/>
        <v>31</v>
      </c>
      <c r="D194">
        <v>183</v>
      </c>
      <c r="E194">
        <v>214</v>
      </c>
      <c r="F194">
        <f>PMSPLINE!F$10</f>
        <v>2.8676151950536086</v>
      </c>
      <c r="G194">
        <f>PMSPLINE!F$11</f>
        <v>4.2334472483997461</v>
      </c>
      <c r="H194" s="5">
        <f>PMSPLINE!K$10</f>
        <v>-4.9956792126269983E-4</v>
      </c>
      <c r="I194" s="5">
        <f>PMSPLINE!K$11</f>
        <v>-1.5742658495757733E-3</v>
      </c>
      <c r="J194">
        <f t="shared" si="24"/>
        <v>0.74193548387096775</v>
      </c>
      <c r="K194">
        <f t="shared" si="25"/>
        <v>0.25806451612903225</v>
      </c>
      <c r="L194">
        <f t="shared" si="26"/>
        <v>145</v>
      </c>
      <c r="M194" s="6">
        <f t="shared" si="27"/>
        <v>3.2200879830139018</v>
      </c>
      <c r="N194" s="13">
        <f t="shared" si="33"/>
        <v>3.3075107711978906</v>
      </c>
      <c r="O194" s="6">
        <f t="shared" si="30"/>
        <v>189.5052988914434</v>
      </c>
      <c r="P194" s="6">
        <f t="shared" si="31"/>
        <v>185.3134412349302</v>
      </c>
      <c r="Q194" s="6">
        <f t="shared" si="28"/>
        <v>3.3075107711978906</v>
      </c>
      <c r="S194">
        <v>145</v>
      </c>
      <c r="T194" s="6">
        <f t="shared" si="32"/>
        <v>3.3075107711978906</v>
      </c>
    </row>
    <row r="195" spans="2:20">
      <c r="B195">
        <f t="shared" si="29"/>
        <v>192</v>
      </c>
      <c r="C195">
        <f t="shared" si="23"/>
        <v>31</v>
      </c>
      <c r="D195">
        <v>183</v>
      </c>
      <c r="E195">
        <v>214</v>
      </c>
      <c r="F195">
        <f>PMSPLINE!F$10</f>
        <v>2.8676151950536086</v>
      </c>
      <c r="G195">
        <f>PMSPLINE!F$11</f>
        <v>4.2334472483997461</v>
      </c>
      <c r="H195" s="5">
        <f>PMSPLINE!K$10</f>
        <v>-4.9956792126269983E-4</v>
      </c>
      <c r="I195" s="5">
        <f>PMSPLINE!K$11</f>
        <v>-1.5742658495757733E-3</v>
      </c>
      <c r="J195">
        <f t="shared" si="24"/>
        <v>0.70967741935483875</v>
      </c>
      <c r="K195">
        <f t="shared" si="25"/>
        <v>0.29032258064516131</v>
      </c>
      <c r="L195">
        <f t="shared" si="26"/>
        <v>146</v>
      </c>
      <c r="M195" s="6">
        <f t="shared" si="27"/>
        <v>3.2641470815089391</v>
      </c>
      <c r="N195" s="13">
        <f t="shared" si="33"/>
        <v>3.3593656368550193</v>
      </c>
      <c r="O195" s="6">
        <f t="shared" si="30"/>
        <v>192.76944597295235</v>
      </c>
      <c r="P195" s="6">
        <f t="shared" si="31"/>
        <v>188.67280687178521</v>
      </c>
      <c r="Q195" s="6">
        <f t="shared" si="28"/>
        <v>3.3593656368550193</v>
      </c>
      <c r="S195">
        <v>146</v>
      </c>
      <c r="T195" s="6">
        <f t="shared" si="32"/>
        <v>3.3593656368550193</v>
      </c>
    </row>
    <row r="196" spans="2:20">
      <c r="B196">
        <f t="shared" si="29"/>
        <v>193</v>
      </c>
      <c r="C196">
        <f t="shared" ref="C196:C259" si="34">E196-D196</f>
        <v>31</v>
      </c>
      <c r="D196">
        <v>183</v>
      </c>
      <c r="E196">
        <v>214</v>
      </c>
      <c r="F196">
        <f>PMSPLINE!F$10</f>
        <v>2.8676151950536086</v>
      </c>
      <c r="G196">
        <f>PMSPLINE!F$11</f>
        <v>4.2334472483997461</v>
      </c>
      <c r="H196" s="5">
        <f>PMSPLINE!K$10</f>
        <v>-4.9956792126269983E-4</v>
      </c>
      <c r="I196" s="5">
        <f>PMSPLINE!K$11</f>
        <v>-1.5742658495757733E-3</v>
      </c>
      <c r="J196">
        <f t="shared" ref="J196:J259" si="35">(E196-B196)/C196</f>
        <v>0.67741935483870963</v>
      </c>
      <c r="K196">
        <f t="shared" ref="K196:K259" si="36">(B196-D196)/C196</f>
        <v>0.32258064516129031</v>
      </c>
      <c r="L196">
        <f t="shared" ref="L196:L259" si="37">B196-46</f>
        <v>147</v>
      </c>
      <c r="M196" s="6">
        <f t="shared" ref="M196:M259" si="38">J196*F196+K196*G196</f>
        <v>3.3082061800039755</v>
      </c>
      <c r="N196" s="13">
        <f t="shared" si="33"/>
        <v>3.4104089255149224</v>
      </c>
      <c r="O196" s="6">
        <f t="shared" si="30"/>
        <v>196.07765215295632</v>
      </c>
      <c r="P196" s="6">
        <f t="shared" si="31"/>
        <v>192.08321579730014</v>
      </c>
      <c r="Q196" s="6">
        <f t="shared" ref="Q196:Q259" si="39">M196+(((J196^3-J196)*H196+(K196^3-K196)*I196))*(C196^2)/6</f>
        <v>3.4104089255149224</v>
      </c>
      <c r="S196">
        <v>147</v>
      </c>
      <c r="T196" s="6">
        <f t="shared" si="32"/>
        <v>3.4104089255149224</v>
      </c>
    </row>
    <row r="197" spans="2:20">
      <c r="B197">
        <f t="shared" ref="B197:B260" si="40">B196+1</f>
        <v>194</v>
      </c>
      <c r="C197">
        <f t="shared" si="34"/>
        <v>31</v>
      </c>
      <c r="D197">
        <v>183</v>
      </c>
      <c r="E197">
        <v>214</v>
      </c>
      <c r="F197">
        <f>PMSPLINE!F$10</f>
        <v>2.8676151950536086</v>
      </c>
      <c r="G197">
        <f>PMSPLINE!F$11</f>
        <v>4.2334472483997461</v>
      </c>
      <c r="H197" s="5">
        <f>PMSPLINE!K$10</f>
        <v>-4.9956792126269983E-4</v>
      </c>
      <c r="I197" s="5">
        <f>PMSPLINE!K$11</f>
        <v>-1.5742658495757733E-3</v>
      </c>
      <c r="J197">
        <f t="shared" si="35"/>
        <v>0.64516129032258063</v>
      </c>
      <c r="K197">
        <f t="shared" si="36"/>
        <v>0.35483870967741937</v>
      </c>
      <c r="L197">
        <f t="shared" si="37"/>
        <v>148</v>
      </c>
      <c r="M197" s="6">
        <f t="shared" si="38"/>
        <v>3.3522652784990123</v>
      </c>
      <c r="N197" s="13">
        <f t="shared" si="33"/>
        <v>3.4606059695024944</v>
      </c>
      <c r="O197" s="6">
        <f t="shared" ref="O197:O260" si="41">O196+M197</f>
        <v>199.42991743145532</v>
      </c>
      <c r="P197" s="6">
        <f t="shared" ref="P197:P260" si="42">P196+N197</f>
        <v>195.54382176680264</v>
      </c>
      <c r="Q197" s="6">
        <f t="shared" si="39"/>
        <v>3.4606059695024944</v>
      </c>
      <c r="S197">
        <v>148</v>
      </c>
      <c r="T197" s="6">
        <f t="shared" si="32"/>
        <v>3.4606059695024944</v>
      </c>
    </row>
    <row r="198" spans="2:20">
      <c r="B198">
        <f t="shared" si="40"/>
        <v>195</v>
      </c>
      <c r="C198">
        <f t="shared" si="34"/>
        <v>31</v>
      </c>
      <c r="D198">
        <v>183</v>
      </c>
      <c r="E198">
        <v>214</v>
      </c>
      <c r="F198">
        <f>PMSPLINE!F$10</f>
        <v>2.8676151950536086</v>
      </c>
      <c r="G198">
        <f>PMSPLINE!F$11</f>
        <v>4.2334472483997461</v>
      </c>
      <c r="H198" s="5">
        <f>PMSPLINE!K$10</f>
        <v>-4.9956792126269983E-4</v>
      </c>
      <c r="I198" s="5">
        <f>PMSPLINE!K$11</f>
        <v>-1.5742658495757733E-3</v>
      </c>
      <c r="J198">
        <f t="shared" si="35"/>
        <v>0.61290322580645162</v>
      </c>
      <c r="K198">
        <f t="shared" si="36"/>
        <v>0.38709677419354838</v>
      </c>
      <c r="L198">
        <f t="shared" si="37"/>
        <v>149</v>
      </c>
      <c r="M198" s="6">
        <f t="shared" si="38"/>
        <v>3.3963243769940488</v>
      </c>
      <c r="N198" s="13">
        <f t="shared" si="33"/>
        <v>3.5099221011426276</v>
      </c>
      <c r="O198" s="6">
        <f t="shared" si="41"/>
        <v>202.82624180844937</v>
      </c>
      <c r="P198" s="6">
        <f t="shared" si="42"/>
        <v>199.05374386794526</v>
      </c>
      <c r="Q198" s="6">
        <f t="shared" si="39"/>
        <v>3.5099221011426276</v>
      </c>
      <c r="S198">
        <v>149</v>
      </c>
      <c r="T198" s="6">
        <f t="shared" si="32"/>
        <v>3.5099221011426276</v>
      </c>
    </row>
    <row r="199" spans="2:20">
      <c r="B199">
        <f t="shared" si="40"/>
        <v>196</v>
      </c>
      <c r="C199">
        <f t="shared" si="34"/>
        <v>31</v>
      </c>
      <c r="D199">
        <v>183</v>
      </c>
      <c r="E199">
        <v>214</v>
      </c>
      <c r="F199">
        <f>PMSPLINE!F$10</f>
        <v>2.8676151950536086</v>
      </c>
      <c r="G199">
        <f>PMSPLINE!F$11</f>
        <v>4.2334472483997461</v>
      </c>
      <c r="H199" s="5">
        <f>PMSPLINE!K$10</f>
        <v>-4.9956792126269983E-4</v>
      </c>
      <c r="I199" s="5">
        <f>PMSPLINE!K$11</f>
        <v>-1.5742658495757733E-3</v>
      </c>
      <c r="J199">
        <f t="shared" si="35"/>
        <v>0.58064516129032262</v>
      </c>
      <c r="K199">
        <f t="shared" si="36"/>
        <v>0.41935483870967744</v>
      </c>
      <c r="L199">
        <f t="shared" si="37"/>
        <v>150</v>
      </c>
      <c r="M199" s="6">
        <f t="shared" si="38"/>
        <v>3.4403834754890861</v>
      </c>
      <c r="N199" s="13">
        <f t="shared" si="33"/>
        <v>3.5583226527602165</v>
      </c>
      <c r="O199" s="6">
        <f t="shared" si="41"/>
        <v>206.26662528393845</v>
      </c>
      <c r="P199" s="6">
        <f t="shared" si="42"/>
        <v>202.61206652070547</v>
      </c>
      <c r="Q199" s="6">
        <f t="shared" si="39"/>
        <v>3.5583226527602165</v>
      </c>
      <c r="S199">
        <v>150</v>
      </c>
      <c r="T199" s="6">
        <f t="shared" si="32"/>
        <v>3.5583226527602165</v>
      </c>
    </row>
    <row r="200" spans="2:20">
      <c r="B200">
        <f t="shared" si="40"/>
        <v>197</v>
      </c>
      <c r="C200">
        <f t="shared" si="34"/>
        <v>31</v>
      </c>
      <c r="D200">
        <v>183</v>
      </c>
      <c r="E200">
        <v>214</v>
      </c>
      <c r="F200">
        <f>PMSPLINE!F$10</f>
        <v>2.8676151950536086</v>
      </c>
      <c r="G200">
        <f>PMSPLINE!F$11</f>
        <v>4.2334472483997461</v>
      </c>
      <c r="H200" s="5">
        <f>PMSPLINE!K$10</f>
        <v>-4.9956792126269983E-4</v>
      </c>
      <c r="I200" s="5">
        <f>PMSPLINE!K$11</f>
        <v>-1.5742658495757733E-3</v>
      </c>
      <c r="J200">
        <f t="shared" si="35"/>
        <v>0.54838709677419351</v>
      </c>
      <c r="K200">
        <f t="shared" si="36"/>
        <v>0.45161290322580644</v>
      </c>
      <c r="L200">
        <f t="shared" si="37"/>
        <v>151</v>
      </c>
      <c r="M200" s="6">
        <f t="shared" si="38"/>
        <v>3.484442573984122</v>
      </c>
      <c r="N200" s="13">
        <f t="shared" si="33"/>
        <v>3.6057729566801524</v>
      </c>
      <c r="O200" s="6">
        <f t="shared" si="41"/>
        <v>209.75106785792258</v>
      </c>
      <c r="P200" s="6">
        <f t="shared" si="42"/>
        <v>206.21783947738561</v>
      </c>
      <c r="Q200" s="6">
        <f t="shared" si="39"/>
        <v>3.6057729566801524</v>
      </c>
      <c r="S200">
        <v>151</v>
      </c>
      <c r="T200" s="6">
        <f t="shared" si="32"/>
        <v>3.6057729566801524</v>
      </c>
    </row>
    <row r="201" spans="2:20">
      <c r="B201">
        <f t="shared" si="40"/>
        <v>198</v>
      </c>
      <c r="C201">
        <f t="shared" si="34"/>
        <v>31</v>
      </c>
      <c r="D201">
        <v>183</v>
      </c>
      <c r="E201">
        <v>214</v>
      </c>
      <c r="F201">
        <f>PMSPLINE!F$10</f>
        <v>2.8676151950536086</v>
      </c>
      <c r="G201">
        <f>PMSPLINE!F$11</f>
        <v>4.2334472483997461</v>
      </c>
      <c r="H201" s="5">
        <f>PMSPLINE!K$10</f>
        <v>-4.9956792126269983E-4</v>
      </c>
      <c r="I201" s="5">
        <f>PMSPLINE!K$11</f>
        <v>-1.5742658495757733E-3</v>
      </c>
      <c r="J201">
        <f t="shared" si="35"/>
        <v>0.5161290322580645</v>
      </c>
      <c r="K201">
        <f t="shared" si="36"/>
        <v>0.4838709677419355</v>
      </c>
      <c r="L201">
        <f t="shared" si="37"/>
        <v>152</v>
      </c>
      <c r="M201" s="6">
        <f t="shared" si="38"/>
        <v>3.5285016724791589</v>
      </c>
      <c r="N201" s="13">
        <f t="shared" si="33"/>
        <v>3.6522383452273299</v>
      </c>
      <c r="O201" s="6">
        <f t="shared" si="41"/>
        <v>213.27956953040174</v>
      </c>
      <c r="P201" s="6">
        <f t="shared" si="42"/>
        <v>209.87007782261293</v>
      </c>
      <c r="Q201" s="6">
        <f t="shared" si="39"/>
        <v>3.6522383452273299</v>
      </c>
      <c r="S201">
        <v>152</v>
      </c>
      <c r="T201" s="6">
        <f t="shared" si="32"/>
        <v>3.6522383452273299</v>
      </c>
    </row>
    <row r="202" spans="2:20">
      <c r="B202">
        <f t="shared" si="40"/>
        <v>199</v>
      </c>
      <c r="C202">
        <f t="shared" si="34"/>
        <v>31</v>
      </c>
      <c r="D202">
        <v>183</v>
      </c>
      <c r="E202">
        <v>214</v>
      </c>
      <c r="F202">
        <f>PMSPLINE!F$10</f>
        <v>2.8676151950536086</v>
      </c>
      <c r="G202">
        <f>PMSPLINE!F$11</f>
        <v>4.2334472483997461</v>
      </c>
      <c r="H202" s="5">
        <f>PMSPLINE!K$10</f>
        <v>-4.9956792126269983E-4</v>
      </c>
      <c r="I202" s="5">
        <f>PMSPLINE!K$11</f>
        <v>-1.5742658495757733E-3</v>
      </c>
      <c r="J202">
        <f t="shared" si="35"/>
        <v>0.4838709677419355</v>
      </c>
      <c r="K202">
        <f t="shared" si="36"/>
        <v>0.5161290322580645</v>
      </c>
      <c r="L202">
        <f t="shared" si="37"/>
        <v>153</v>
      </c>
      <c r="M202" s="6">
        <f t="shared" si="38"/>
        <v>3.5725607709741958</v>
      </c>
      <c r="N202" s="13">
        <f t="shared" si="33"/>
        <v>3.6976841507266416</v>
      </c>
      <c r="O202" s="6">
        <f t="shared" si="41"/>
        <v>216.85213030137595</v>
      </c>
      <c r="P202" s="6">
        <f t="shared" si="42"/>
        <v>213.56776197333957</v>
      </c>
      <c r="Q202" s="6">
        <f t="shared" si="39"/>
        <v>3.6976841507266416</v>
      </c>
      <c r="S202">
        <v>153</v>
      </c>
      <c r="T202" s="6">
        <f t="shared" si="32"/>
        <v>3.6976841507266416</v>
      </c>
    </row>
    <row r="203" spans="2:20">
      <c r="B203">
        <f t="shared" si="40"/>
        <v>200</v>
      </c>
      <c r="C203">
        <f t="shared" si="34"/>
        <v>31</v>
      </c>
      <c r="D203">
        <v>183</v>
      </c>
      <c r="E203">
        <v>214</v>
      </c>
      <c r="F203">
        <f>PMSPLINE!F$10</f>
        <v>2.8676151950536086</v>
      </c>
      <c r="G203">
        <f>PMSPLINE!F$11</f>
        <v>4.2334472483997461</v>
      </c>
      <c r="H203" s="5">
        <f>PMSPLINE!K$10</f>
        <v>-4.9956792126269983E-4</v>
      </c>
      <c r="I203" s="5">
        <f>PMSPLINE!K$11</f>
        <v>-1.5742658495757733E-3</v>
      </c>
      <c r="J203">
        <f t="shared" si="35"/>
        <v>0.45161290322580644</v>
      </c>
      <c r="K203">
        <f t="shared" si="36"/>
        <v>0.54838709677419351</v>
      </c>
      <c r="L203">
        <f t="shared" si="37"/>
        <v>154</v>
      </c>
      <c r="M203" s="6">
        <f t="shared" si="38"/>
        <v>3.6166198694692322</v>
      </c>
      <c r="N203" s="13">
        <f t="shared" si="33"/>
        <v>3.7420757055029803</v>
      </c>
      <c r="O203" s="6">
        <f t="shared" si="41"/>
        <v>220.46875017084517</v>
      </c>
      <c r="P203" s="6">
        <f t="shared" si="42"/>
        <v>217.30983767884254</v>
      </c>
      <c r="Q203" s="6">
        <f t="shared" si="39"/>
        <v>3.7420757055029803</v>
      </c>
      <c r="S203">
        <v>154</v>
      </c>
      <c r="T203" s="6">
        <f t="shared" si="32"/>
        <v>3.7420757055029803</v>
      </c>
    </row>
    <row r="204" spans="2:20">
      <c r="B204">
        <f t="shared" si="40"/>
        <v>201</v>
      </c>
      <c r="C204">
        <f t="shared" si="34"/>
        <v>31</v>
      </c>
      <c r="D204">
        <v>183</v>
      </c>
      <c r="E204">
        <v>214</v>
      </c>
      <c r="F204">
        <f>PMSPLINE!F$10</f>
        <v>2.8676151950536086</v>
      </c>
      <c r="G204">
        <f>PMSPLINE!F$11</f>
        <v>4.2334472483997461</v>
      </c>
      <c r="H204" s="5">
        <f>PMSPLINE!K$10</f>
        <v>-4.9956792126269983E-4</v>
      </c>
      <c r="I204" s="5">
        <f>PMSPLINE!K$11</f>
        <v>-1.5742658495757733E-3</v>
      </c>
      <c r="J204">
        <f t="shared" si="35"/>
        <v>0.41935483870967744</v>
      </c>
      <c r="K204">
        <f t="shared" si="36"/>
        <v>0.58064516129032262</v>
      </c>
      <c r="L204">
        <f t="shared" si="37"/>
        <v>155</v>
      </c>
      <c r="M204" s="6">
        <f t="shared" si="38"/>
        <v>3.6606789679642695</v>
      </c>
      <c r="N204" s="13">
        <f t="shared" si="33"/>
        <v>3.7853783418812403</v>
      </c>
      <c r="O204" s="6">
        <f t="shared" si="41"/>
        <v>224.12942913880943</v>
      </c>
      <c r="P204" s="6">
        <f t="shared" si="42"/>
        <v>221.09521602072377</v>
      </c>
      <c r="Q204" s="6">
        <f t="shared" si="39"/>
        <v>3.7853783418812403</v>
      </c>
      <c r="S204">
        <v>155</v>
      </c>
      <c r="T204" s="6">
        <f t="shared" si="32"/>
        <v>3.7853783418812403</v>
      </c>
    </row>
    <row r="205" spans="2:20">
      <c r="B205">
        <f t="shared" si="40"/>
        <v>202</v>
      </c>
      <c r="C205">
        <f t="shared" si="34"/>
        <v>31</v>
      </c>
      <c r="D205">
        <v>183</v>
      </c>
      <c r="E205">
        <v>214</v>
      </c>
      <c r="F205">
        <f>PMSPLINE!F$10</f>
        <v>2.8676151950536086</v>
      </c>
      <c r="G205">
        <f>PMSPLINE!F$11</f>
        <v>4.2334472483997461</v>
      </c>
      <c r="H205" s="5">
        <f>PMSPLINE!K$10</f>
        <v>-4.9956792126269983E-4</v>
      </c>
      <c r="I205" s="5">
        <f>PMSPLINE!K$11</f>
        <v>-1.5742658495757733E-3</v>
      </c>
      <c r="J205">
        <f t="shared" si="35"/>
        <v>0.38709677419354838</v>
      </c>
      <c r="K205">
        <f t="shared" si="36"/>
        <v>0.61290322580645162</v>
      </c>
      <c r="L205">
        <f t="shared" si="37"/>
        <v>156</v>
      </c>
      <c r="M205" s="6">
        <f t="shared" si="38"/>
        <v>3.7047380664593055</v>
      </c>
      <c r="N205" s="13">
        <f t="shared" si="33"/>
        <v>3.8275573921863124</v>
      </c>
      <c r="O205" s="6">
        <f t="shared" si="41"/>
        <v>227.83416720526873</v>
      </c>
      <c r="P205" s="6">
        <f t="shared" si="42"/>
        <v>224.92277341291009</v>
      </c>
      <c r="Q205" s="6">
        <f t="shared" si="39"/>
        <v>3.8275573921863124</v>
      </c>
      <c r="S205">
        <v>156</v>
      </c>
      <c r="T205" s="6">
        <f t="shared" si="32"/>
        <v>3.8275573921863124</v>
      </c>
    </row>
    <row r="206" spans="2:20">
      <c r="B206">
        <f t="shared" si="40"/>
        <v>203</v>
      </c>
      <c r="C206">
        <f t="shared" si="34"/>
        <v>31</v>
      </c>
      <c r="D206">
        <v>183</v>
      </c>
      <c r="E206">
        <v>214</v>
      </c>
      <c r="F206">
        <f>PMSPLINE!F$10</f>
        <v>2.8676151950536086</v>
      </c>
      <c r="G206">
        <f>PMSPLINE!F$11</f>
        <v>4.2334472483997461</v>
      </c>
      <c r="H206" s="5">
        <f>PMSPLINE!K$10</f>
        <v>-4.9956792126269983E-4</v>
      </c>
      <c r="I206" s="5">
        <f>PMSPLINE!K$11</f>
        <v>-1.5742658495757733E-3</v>
      </c>
      <c r="J206">
        <f t="shared" si="35"/>
        <v>0.35483870967741937</v>
      </c>
      <c r="K206">
        <f t="shared" si="36"/>
        <v>0.64516129032258063</v>
      </c>
      <c r="L206">
        <f t="shared" si="37"/>
        <v>157</v>
      </c>
      <c r="M206" s="6">
        <f t="shared" si="38"/>
        <v>3.7487971649543423</v>
      </c>
      <c r="N206" s="13">
        <f t="shared" si="33"/>
        <v>3.8685781887430926</v>
      </c>
      <c r="O206" s="6">
        <f t="shared" si="41"/>
        <v>231.58296437022307</v>
      </c>
      <c r="P206" s="6">
        <f t="shared" si="42"/>
        <v>228.79135160165319</v>
      </c>
      <c r="Q206" s="6">
        <f t="shared" si="39"/>
        <v>3.8685781887430926</v>
      </c>
      <c r="S206">
        <v>157</v>
      </c>
      <c r="T206" s="6">
        <f t="shared" si="32"/>
        <v>3.8685781887430926</v>
      </c>
    </row>
    <row r="207" spans="2:20">
      <c r="B207">
        <f t="shared" si="40"/>
        <v>204</v>
      </c>
      <c r="C207">
        <f t="shared" si="34"/>
        <v>31</v>
      </c>
      <c r="D207">
        <v>183</v>
      </c>
      <c r="E207">
        <v>214</v>
      </c>
      <c r="F207">
        <f>PMSPLINE!F$10</f>
        <v>2.8676151950536086</v>
      </c>
      <c r="G207">
        <f>PMSPLINE!F$11</f>
        <v>4.2334472483997461</v>
      </c>
      <c r="H207" s="5">
        <f>PMSPLINE!K$10</f>
        <v>-4.9956792126269983E-4</v>
      </c>
      <c r="I207" s="5">
        <f>PMSPLINE!K$11</f>
        <v>-1.5742658495757733E-3</v>
      </c>
      <c r="J207">
        <f t="shared" si="35"/>
        <v>0.32258064516129031</v>
      </c>
      <c r="K207">
        <f t="shared" si="36"/>
        <v>0.67741935483870963</v>
      </c>
      <c r="L207">
        <f t="shared" si="37"/>
        <v>158</v>
      </c>
      <c r="M207" s="6">
        <f t="shared" si="38"/>
        <v>3.7928562634493792</v>
      </c>
      <c r="N207" s="13">
        <f t="shared" si="33"/>
        <v>3.9084060638764724</v>
      </c>
      <c r="O207" s="6">
        <f t="shared" si="41"/>
        <v>235.37582063367245</v>
      </c>
      <c r="P207" s="6">
        <f t="shared" si="42"/>
        <v>232.69975766552966</v>
      </c>
      <c r="Q207" s="6">
        <f t="shared" si="39"/>
        <v>3.9084060638764724</v>
      </c>
      <c r="S207">
        <v>158</v>
      </c>
      <c r="T207" s="6">
        <f t="shared" si="32"/>
        <v>3.9084060638764724</v>
      </c>
    </row>
    <row r="208" spans="2:20">
      <c r="B208">
        <f t="shared" si="40"/>
        <v>205</v>
      </c>
      <c r="C208">
        <f t="shared" si="34"/>
        <v>31</v>
      </c>
      <c r="D208">
        <v>183</v>
      </c>
      <c r="E208">
        <v>214</v>
      </c>
      <c r="F208">
        <f>PMSPLINE!F$10</f>
        <v>2.8676151950536086</v>
      </c>
      <c r="G208">
        <f>PMSPLINE!F$11</f>
        <v>4.2334472483997461</v>
      </c>
      <c r="H208" s="5">
        <f>PMSPLINE!K$10</f>
        <v>-4.9956792126269983E-4</v>
      </c>
      <c r="I208" s="5">
        <f>PMSPLINE!K$11</f>
        <v>-1.5742658495757733E-3</v>
      </c>
      <c r="J208">
        <f t="shared" si="35"/>
        <v>0.29032258064516131</v>
      </c>
      <c r="K208">
        <f t="shared" si="36"/>
        <v>0.70967741935483875</v>
      </c>
      <c r="L208">
        <f t="shared" si="37"/>
        <v>159</v>
      </c>
      <c r="M208" s="6">
        <f t="shared" si="38"/>
        <v>3.8369153619444161</v>
      </c>
      <c r="N208" s="13">
        <f t="shared" si="33"/>
        <v>3.9470063499113448</v>
      </c>
      <c r="O208" s="6">
        <f t="shared" si="41"/>
        <v>239.21273599561687</v>
      </c>
      <c r="P208" s="6">
        <f t="shared" si="42"/>
        <v>236.64676401544099</v>
      </c>
      <c r="Q208" s="6">
        <f t="shared" si="39"/>
        <v>3.9470063499113448</v>
      </c>
      <c r="S208">
        <v>159</v>
      </c>
      <c r="T208" s="6">
        <f t="shared" si="32"/>
        <v>3.9470063499113448</v>
      </c>
    </row>
    <row r="209" spans="1:20">
      <c r="B209">
        <f t="shared" si="40"/>
        <v>206</v>
      </c>
      <c r="C209">
        <f t="shared" si="34"/>
        <v>31</v>
      </c>
      <c r="D209">
        <v>183</v>
      </c>
      <c r="E209">
        <v>214</v>
      </c>
      <c r="F209">
        <f>PMSPLINE!F$10</f>
        <v>2.8676151950536086</v>
      </c>
      <c r="G209">
        <f>PMSPLINE!F$11</f>
        <v>4.2334472483997461</v>
      </c>
      <c r="H209" s="5">
        <f>PMSPLINE!K$10</f>
        <v>-4.9956792126269983E-4</v>
      </c>
      <c r="I209" s="5">
        <f>PMSPLINE!K$11</f>
        <v>-1.5742658495757733E-3</v>
      </c>
      <c r="J209">
        <f t="shared" si="35"/>
        <v>0.25806451612903225</v>
      </c>
      <c r="K209">
        <f t="shared" si="36"/>
        <v>0.74193548387096775</v>
      </c>
      <c r="L209">
        <f t="shared" si="37"/>
        <v>160</v>
      </c>
      <c r="M209" s="6">
        <f t="shared" si="38"/>
        <v>3.8809744604394529</v>
      </c>
      <c r="N209" s="13">
        <f t="shared" si="33"/>
        <v>3.9843443791726036</v>
      </c>
      <c r="O209" s="6">
        <f t="shared" si="41"/>
        <v>243.09371045605633</v>
      </c>
      <c r="P209" s="6">
        <f t="shared" si="42"/>
        <v>240.63110839461359</v>
      </c>
      <c r="Q209" s="6">
        <f t="shared" si="39"/>
        <v>3.9843443791726036</v>
      </c>
      <c r="S209">
        <v>160</v>
      </c>
      <c r="T209" s="6">
        <f t="shared" si="32"/>
        <v>3.9843443791726036</v>
      </c>
    </row>
    <row r="210" spans="1:20">
      <c r="B210">
        <f t="shared" si="40"/>
        <v>207</v>
      </c>
      <c r="C210">
        <f t="shared" si="34"/>
        <v>31</v>
      </c>
      <c r="D210">
        <v>183</v>
      </c>
      <c r="E210">
        <v>214</v>
      </c>
      <c r="F210">
        <f>PMSPLINE!F$10</f>
        <v>2.8676151950536086</v>
      </c>
      <c r="G210">
        <f>PMSPLINE!F$11</f>
        <v>4.2334472483997461</v>
      </c>
      <c r="H210" s="5">
        <f>PMSPLINE!K$10</f>
        <v>-4.9956792126269983E-4</v>
      </c>
      <c r="I210" s="5">
        <f>PMSPLINE!K$11</f>
        <v>-1.5742658495757733E-3</v>
      </c>
      <c r="J210">
        <f t="shared" si="35"/>
        <v>0.22580645161290322</v>
      </c>
      <c r="K210">
        <f t="shared" si="36"/>
        <v>0.77419354838709675</v>
      </c>
      <c r="L210">
        <f t="shared" si="37"/>
        <v>161</v>
      </c>
      <c r="M210" s="6">
        <f t="shared" si="38"/>
        <v>3.9250335589344889</v>
      </c>
      <c r="N210" s="13">
        <f t="shared" si="33"/>
        <v>4.020385483985141</v>
      </c>
      <c r="O210" s="6">
        <f t="shared" si="41"/>
        <v>247.01874401499083</v>
      </c>
      <c r="P210" s="6">
        <f t="shared" si="42"/>
        <v>244.65149387859873</v>
      </c>
      <c r="Q210" s="6">
        <f t="shared" si="39"/>
        <v>4.020385483985141</v>
      </c>
      <c r="S210">
        <v>161</v>
      </c>
      <c r="T210" s="6">
        <f t="shared" si="32"/>
        <v>4.020385483985141</v>
      </c>
    </row>
    <row r="211" spans="1:20">
      <c r="B211">
        <f t="shared" si="40"/>
        <v>208</v>
      </c>
      <c r="C211">
        <f t="shared" si="34"/>
        <v>31</v>
      </c>
      <c r="D211">
        <v>183</v>
      </c>
      <c r="E211">
        <v>214</v>
      </c>
      <c r="F211">
        <f>PMSPLINE!F$10</f>
        <v>2.8676151950536086</v>
      </c>
      <c r="G211">
        <f>PMSPLINE!F$11</f>
        <v>4.2334472483997461</v>
      </c>
      <c r="H211" s="5">
        <f>PMSPLINE!K$10</f>
        <v>-4.9956792126269983E-4</v>
      </c>
      <c r="I211" s="5">
        <f>PMSPLINE!K$11</f>
        <v>-1.5742658495757733E-3</v>
      </c>
      <c r="J211">
        <f t="shared" si="35"/>
        <v>0.19354838709677419</v>
      </c>
      <c r="K211">
        <f t="shared" si="36"/>
        <v>0.80645161290322576</v>
      </c>
      <c r="L211">
        <f t="shared" si="37"/>
        <v>162</v>
      </c>
      <c r="M211" s="6">
        <f t="shared" si="38"/>
        <v>3.9690926574295258</v>
      </c>
      <c r="N211" s="13">
        <f t="shared" si="33"/>
        <v>4.0550949966738505</v>
      </c>
      <c r="O211" s="6">
        <f t="shared" si="41"/>
        <v>250.98783667242034</v>
      </c>
      <c r="P211" s="6">
        <f t="shared" si="42"/>
        <v>248.70658887527259</v>
      </c>
      <c r="Q211" s="6">
        <f t="shared" si="39"/>
        <v>4.0550949966738505</v>
      </c>
      <c r="S211">
        <v>162</v>
      </c>
      <c r="T211" s="6">
        <f t="shared" si="32"/>
        <v>4.0550949966738505</v>
      </c>
    </row>
    <row r="212" spans="1:20">
      <c r="B212">
        <f t="shared" si="40"/>
        <v>209</v>
      </c>
      <c r="C212">
        <f t="shared" si="34"/>
        <v>31</v>
      </c>
      <c r="D212">
        <v>183</v>
      </c>
      <c r="E212">
        <v>214</v>
      </c>
      <c r="F212">
        <f>PMSPLINE!F$10</f>
        <v>2.8676151950536086</v>
      </c>
      <c r="G212">
        <f>PMSPLINE!F$11</f>
        <v>4.2334472483997461</v>
      </c>
      <c r="H212" s="5">
        <f>PMSPLINE!K$10</f>
        <v>-4.9956792126269983E-4</v>
      </c>
      <c r="I212" s="5">
        <f>PMSPLINE!K$11</f>
        <v>-1.5742658495757733E-3</v>
      </c>
      <c r="J212">
        <f t="shared" si="35"/>
        <v>0.16129032258064516</v>
      </c>
      <c r="K212">
        <f t="shared" si="36"/>
        <v>0.83870967741935487</v>
      </c>
      <c r="L212">
        <f t="shared" si="37"/>
        <v>163</v>
      </c>
      <c r="M212" s="6">
        <f t="shared" si="38"/>
        <v>4.0131517559245626</v>
      </c>
      <c r="N212" s="13">
        <f t="shared" si="33"/>
        <v>4.0884382495636267</v>
      </c>
      <c r="O212" s="6">
        <f t="shared" si="41"/>
        <v>255.0009884283449</v>
      </c>
      <c r="P212" s="6">
        <f t="shared" si="42"/>
        <v>252.79502712483622</v>
      </c>
      <c r="Q212" s="6">
        <f t="shared" si="39"/>
        <v>4.0884382495636267</v>
      </c>
      <c r="S212">
        <v>163</v>
      </c>
      <c r="T212" s="6">
        <f t="shared" si="32"/>
        <v>4.0884382495636267</v>
      </c>
    </row>
    <row r="213" spans="1:20">
      <c r="B213">
        <f t="shared" si="40"/>
        <v>210</v>
      </c>
      <c r="C213">
        <f t="shared" si="34"/>
        <v>31</v>
      </c>
      <c r="D213">
        <v>183</v>
      </c>
      <c r="E213">
        <v>214</v>
      </c>
      <c r="F213">
        <f>PMSPLINE!F$10</f>
        <v>2.8676151950536086</v>
      </c>
      <c r="G213">
        <f>PMSPLINE!F$11</f>
        <v>4.2334472483997461</v>
      </c>
      <c r="H213" s="5">
        <f>PMSPLINE!K$10</f>
        <v>-4.9956792126269983E-4</v>
      </c>
      <c r="I213" s="5">
        <f>PMSPLINE!K$11</f>
        <v>-1.5742658495757733E-3</v>
      </c>
      <c r="J213">
        <f t="shared" si="35"/>
        <v>0.12903225806451613</v>
      </c>
      <c r="K213">
        <f t="shared" si="36"/>
        <v>0.87096774193548387</v>
      </c>
      <c r="L213">
        <f t="shared" si="37"/>
        <v>164</v>
      </c>
      <c r="M213" s="6">
        <f t="shared" si="38"/>
        <v>4.0572108544195995</v>
      </c>
      <c r="N213" s="13">
        <f t="shared" si="33"/>
        <v>4.1203805749793609</v>
      </c>
      <c r="O213" s="6">
        <f t="shared" si="41"/>
        <v>259.05819928276452</v>
      </c>
      <c r="P213" s="6">
        <f t="shared" si="42"/>
        <v>256.9154076998156</v>
      </c>
      <c r="Q213" s="6">
        <f t="shared" si="39"/>
        <v>4.1203805749793609</v>
      </c>
      <c r="S213">
        <v>164</v>
      </c>
      <c r="T213" s="6">
        <f t="shared" si="32"/>
        <v>4.1203805749793609</v>
      </c>
    </row>
    <row r="214" spans="1:20">
      <c r="B214">
        <f t="shared" si="40"/>
        <v>211</v>
      </c>
      <c r="C214">
        <f t="shared" si="34"/>
        <v>31</v>
      </c>
      <c r="D214">
        <v>183</v>
      </c>
      <c r="E214">
        <v>214</v>
      </c>
      <c r="F214">
        <f>PMSPLINE!F$10</f>
        <v>2.8676151950536086</v>
      </c>
      <c r="G214">
        <f>PMSPLINE!F$11</f>
        <v>4.2334472483997461</v>
      </c>
      <c r="H214" s="5">
        <f>PMSPLINE!K$10</f>
        <v>-4.9956792126269983E-4</v>
      </c>
      <c r="I214" s="5">
        <f>PMSPLINE!K$11</f>
        <v>-1.5742658495757733E-3</v>
      </c>
      <c r="J214">
        <f t="shared" si="35"/>
        <v>9.6774193548387094E-2</v>
      </c>
      <c r="K214">
        <f t="shared" si="36"/>
        <v>0.90322580645161288</v>
      </c>
      <c r="L214">
        <f t="shared" si="37"/>
        <v>165</v>
      </c>
      <c r="M214" s="6">
        <f t="shared" si="38"/>
        <v>4.1012699529146364</v>
      </c>
      <c r="N214" s="13">
        <f t="shared" si="33"/>
        <v>4.1508873052459467</v>
      </c>
      <c r="O214" s="6">
        <f t="shared" si="41"/>
        <v>263.15946923567918</v>
      </c>
      <c r="P214" s="6">
        <f t="shared" si="42"/>
        <v>261.06629500506153</v>
      </c>
      <c r="Q214" s="6">
        <f t="shared" si="39"/>
        <v>4.1508873052459467</v>
      </c>
      <c r="S214">
        <v>165</v>
      </c>
      <c r="T214" s="6">
        <f t="shared" si="32"/>
        <v>4.1508873052459467</v>
      </c>
    </row>
    <row r="215" spans="1:20">
      <c r="B215">
        <f t="shared" si="40"/>
        <v>212</v>
      </c>
      <c r="C215">
        <f t="shared" si="34"/>
        <v>31</v>
      </c>
      <c r="D215">
        <v>183</v>
      </c>
      <c r="E215">
        <v>214</v>
      </c>
      <c r="F215">
        <f>PMSPLINE!F$10</f>
        <v>2.8676151950536086</v>
      </c>
      <c r="G215">
        <f>PMSPLINE!F$11</f>
        <v>4.2334472483997461</v>
      </c>
      <c r="H215" s="5">
        <f>PMSPLINE!K$10</f>
        <v>-4.9956792126269983E-4</v>
      </c>
      <c r="I215" s="5">
        <f>PMSPLINE!K$11</f>
        <v>-1.5742658495757733E-3</v>
      </c>
      <c r="J215">
        <f t="shared" si="35"/>
        <v>6.4516129032258063E-2</v>
      </c>
      <c r="K215">
        <f t="shared" si="36"/>
        <v>0.93548387096774188</v>
      </c>
      <c r="L215">
        <f t="shared" si="37"/>
        <v>166</v>
      </c>
      <c r="M215" s="6">
        <f t="shared" si="38"/>
        <v>4.1453290514096723</v>
      </c>
      <c r="N215" s="13">
        <f t="shared" si="33"/>
        <v>4.1799237726882774</v>
      </c>
      <c r="O215" s="6">
        <f t="shared" si="41"/>
        <v>267.30479828708883</v>
      </c>
      <c r="P215" s="6">
        <f t="shared" si="42"/>
        <v>265.24621877774979</v>
      </c>
      <c r="Q215" s="6">
        <f t="shared" si="39"/>
        <v>4.1799237726882774</v>
      </c>
      <c r="S215">
        <v>166</v>
      </c>
      <c r="T215" s="6">
        <f t="shared" si="32"/>
        <v>4.1799237726882774</v>
      </c>
    </row>
    <row r="216" spans="1:20">
      <c r="B216">
        <f t="shared" si="40"/>
        <v>213</v>
      </c>
      <c r="C216">
        <f t="shared" si="34"/>
        <v>31</v>
      </c>
      <c r="D216">
        <v>183</v>
      </c>
      <c r="E216">
        <v>214</v>
      </c>
      <c r="F216">
        <f>PMSPLINE!F$10</f>
        <v>2.8676151950536086</v>
      </c>
      <c r="G216">
        <f>PMSPLINE!F$11</f>
        <v>4.2334472483997461</v>
      </c>
      <c r="H216" s="5">
        <f>PMSPLINE!K$10</f>
        <v>-4.9956792126269983E-4</v>
      </c>
      <c r="I216" s="5">
        <f>PMSPLINE!K$11</f>
        <v>-1.5742658495757733E-3</v>
      </c>
      <c r="J216">
        <f t="shared" si="35"/>
        <v>3.2258064516129031E-2</v>
      </c>
      <c r="K216">
        <f t="shared" si="36"/>
        <v>0.967741935483871</v>
      </c>
      <c r="L216">
        <f t="shared" si="37"/>
        <v>167</v>
      </c>
      <c r="M216" s="6">
        <f t="shared" si="38"/>
        <v>4.1893881499047092</v>
      </c>
      <c r="N216" s="13">
        <f t="shared" si="33"/>
        <v>4.2074553096312464</v>
      </c>
      <c r="O216" s="6">
        <f t="shared" si="41"/>
        <v>271.49418643699352</v>
      </c>
      <c r="P216" s="6">
        <f t="shared" si="42"/>
        <v>269.45367408738105</v>
      </c>
      <c r="Q216" s="6">
        <f t="shared" si="39"/>
        <v>4.2074553096312464</v>
      </c>
      <c r="S216">
        <v>167</v>
      </c>
      <c r="T216" s="6">
        <f t="shared" si="32"/>
        <v>4.2074553096312464</v>
      </c>
    </row>
    <row r="217" spans="1:20">
      <c r="A217">
        <v>214</v>
      </c>
      <c r="B217">
        <f t="shared" si="40"/>
        <v>214</v>
      </c>
      <c r="C217">
        <f t="shared" si="34"/>
        <v>31</v>
      </c>
      <c r="D217">
        <v>183</v>
      </c>
      <c r="E217">
        <v>214</v>
      </c>
      <c r="F217">
        <f>PMSPLINE!F$10</f>
        <v>2.8676151950536086</v>
      </c>
      <c r="G217">
        <f>PMSPLINE!F$11</f>
        <v>4.2334472483997461</v>
      </c>
      <c r="H217" s="5">
        <f>PMSPLINE!K$10</f>
        <v>-4.9956792126269983E-4</v>
      </c>
      <c r="I217" s="5">
        <f>PMSPLINE!K$11</f>
        <v>-1.5742658495757733E-3</v>
      </c>
      <c r="J217">
        <f t="shared" si="35"/>
        <v>0</v>
      </c>
      <c r="K217">
        <f t="shared" si="36"/>
        <v>1</v>
      </c>
      <c r="L217">
        <f t="shared" si="37"/>
        <v>168</v>
      </c>
      <c r="M217" s="6">
        <f t="shared" si="38"/>
        <v>4.2334472483997461</v>
      </c>
      <c r="N217" s="13">
        <f t="shared" si="33"/>
        <v>4.2334472483997461</v>
      </c>
      <c r="O217" s="6">
        <f t="shared" si="41"/>
        <v>275.72763368539324</v>
      </c>
      <c r="P217" s="6">
        <f t="shared" si="42"/>
        <v>273.68712133578077</v>
      </c>
      <c r="Q217" s="6">
        <f t="shared" si="39"/>
        <v>4.2334472483997461</v>
      </c>
      <c r="S217">
        <v>168</v>
      </c>
      <c r="T217" s="6">
        <f t="shared" si="32"/>
        <v>4.2334472483997461</v>
      </c>
    </row>
    <row r="218" spans="1:20">
      <c r="B218">
        <f t="shared" si="40"/>
        <v>215</v>
      </c>
      <c r="C218">
        <f t="shared" si="34"/>
        <v>30</v>
      </c>
      <c r="D218">
        <v>214</v>
      </c>
      <c r="E218">
        <v>244</v>
      </c>
      <c r="F218">
        <f>PMSPLINE!F$11</f>
        <v>4.2334472483997461</v>
      </c>
      <c r="G218">
        <f>PMSPLINE!F$12</f>
        <v>4.4141750173092893</v>
      </c>
      <c r="H218" s="5">
        <f>PMSPLINE!K$11</f>
        <v>-1.5742658495757733E-3</v>
      </c>
      <c r="I218" s="5">
        <f>PMSPLINE!K$12</f>
        <v>-6.8873326603078179E-4</v>
      </c>
      <c r="J218">
        <f t="shared" si="35"/>
        <v>0.96666666666666667</v>
      </c>
      <c r="K218">
        <f t="shared" si="36"/>
        <v>3.3333333333333333E-2</v>
      </c>
      <c r="L218">
        <f t="shared" si="37"/>
        <v>169</v>
      </c>
      <c r="M218" s="6">
        <f t="shared" si="38"/>
        <v>4.2394715073633975</v>
      </c>
      <c r="N218" s="13">
        <f t="shared" si="33"/>
        <v>4.2578756188899858</v>
      </c>
      <c r="O218" s="6">
        <f t="shared" si="41"/>
        <v>279.96710519275666</v>
      </c>
      <c r="P218" s="6">
        <f t="shared" si="42"/>
        <v>277.94499695467078</v>
      </c>
      <c r="Q218" s="6">
        <f t="shared" si="39"/>
        <v>4.2578756188899858</v>
      </c>
      <c r="S218">
        <v>169</v>
      </c>
      <c r="T218" s="6">
        <f t="shared" si="32"/>
        <v>4.2578756188899858</v>
      </c>
    </row>
    <row r="219" spans="1:20">
      <c r="B219">
        <f t="shared" si="40"/>
        <v>216</v>
      </c>
      <c r="C219">
        <f t="shared" si="34"/>
        <v>30</v>
      </c>
      <c r="D219">
        <v>214</v>
      </c>
      <c r="E219">
        <v>244</v>
      </c>
      <c r="F219">
        <f>PMSPLINE!F$11</f>
        <v>4.2334472483997461</v>
      </c>
      <c r="G219">
        <f>PMSPLINE!F$12</f>
        <v>4.4141750173092893</v>
      </c>
      <c r="H219" s="5">
        <f>PMSPLINE!K$11</f>
        <v>-1.5742658495757733E-3</v>
      </c>
      <c r="I219" s="5">
        <f>PMSPLINE!K$12</f>
        <v>-6.8873326603078179E-4</v>
      </c>
      <c r="J219">
        <f t="shared" si="35"/>
        <v>0.93333333333333335</v>
      </c>
      <c r="K219">
        <f t="shared" si="36"/>
        <v>6.6666666666666666E-2</v>
      </c>
      <c r="L219">
        <f t="shared" si="37"/>
        <v>170</v>
      </c>
      <c r="M219" s="6">
        <f t="shared" si="38"/>
        <v>4.2454957663270489</v>
      </c>
      <c r="N219" s="13">
        <f t="shared" si="33"/>
        <v>4.2807592412834339</v>
      </c>
      <c r="O219" s="6">
        <f t="shared" si="41"/>
        <v>284.21260095908372</v>
      </c>
      <c r="P219" s="6">
        <f t="shared" si="42"/>
        <v>282.2257561959542</v>
      </c>
      <c r="Q219" s="6">
        <f t="shared" si="39"/>
        <v>4.2807592412834339</v>
      </c>
      <c r="S219">
        <v>170</v>
      </c>
      <c r="T219" s="6">
        <f t="shared" si="32"/>
        <v>4.2807592412834339</v>
      </c>
    </row>
    <row r="220" spans="1:20">
      <c r="B220">
        <f t="shared" si="40"/>
        <v>217</v>
      </c>
      <c r="C220">
        <f t="shared" si="34"/>
        <v>30</v>
      </c>
      <c r="D220">
        <v>214</v>
      </c>
      <c r="E220">
        <v>244</v>
      </c>
      <c r="F220">
        <f>PMSPLINE!F$11</f>
        <v>4.2334472483997461</v>
      </c>
      <c r="G220">
        <f>PMSPLINE!F$12</f>
        <v>4.4141750173092893</v>
      </c>
      <c r="H220" s="5">
        <f>PMSPLINE!K$11</f>
        <v>-1.5742658495757733E-3</v>
      </c>
      <c r="I220" s="5">
        <f>PMSPLINE!K$12</f>
        <v>-6.8873326603078179E-4</v>
      </c>
      <c r="J220">
        <f t="shared" si="35"/>
        <v>0.9</v>
      </c>
      <c r="K220">
        <f t="shared" si="36"/>
        <v>0.1</v>
      </c>
      <c r="L220">
        <f t="shared" si="37"/>
        <v>171</v>
      </c>
      <c r="M220" s="6">
        <f t="shared" si="38"/>
        <v>4.2515200252907004</v>
      </c>
      <c r="N220" s="13">
        <f t="shared" si="33"/>
        <v>4.3021276333328764</v>
      </c>
      <c r="O220" s="6">
        <f t="shared" si="41"/>
        <v>288.4641209843744</v>
      </c>
      <c r="P220" s="6">
        <f t="shared" si="42"/>
        <v>286.52788382928708</v>
      </c>
      <c r="Q220" s="6">
        <f t="shared" si="39"/>
        <v>4.3021276333328764</v>
      </c>
      <c r="S220">
        <v>171</v>
      </c>
      <c r="T220" s="6">
        <f t="shared" si="32"/>
        <v>4.3021276333328764</v>
      </c>
    </row>
    <row r="221" spans="1:20">
      <c r="B221">
        <f t="shared" si="40"/>
        <v>218</v>
      </c>
      <c r="C221">
        <f t="shared" si="34"/>
        <v>30</v>
      </c>
      <c r="D221">
        <v>214</v>
      </c>
      <c r="E221">
        <v>244</v>
      </c>
      <c r="F221">
        <f>PMSPLINE!F$11</f>
        <v>4.2334472483997461</v>
      </c>
      <c r="G221">
        <f>PMSPLINE!F$12</f>
        <v>4.4141750173092893</v>
      </c>
      <c r="H221" s="5">
        <f>PMSPLINE!K$11</f>
        <v>-1.5742658495757733E-3</v>
      </c>
      <c r="I221" s="5">
        <f>PMSPLINE!K$12</f>
        <v>-6.8873326603078179E-4</v>
      </c>
      <c r="J221">
        <f t="shared" si="35"/>
        <v>0.8666666666666667</v>
      </c>
      <c r="K221">
        <f t="shared" si="36"/>
        <v>0.13333333333333333</v>
      </c>
      <c r="L221">
        <f t="shared" si="37"/>
        <v>172</v>
      </c>
      <c r="M221" s="6">
        <f t="shared" si="38"/>
        <v>4.2575442842543518</v>
      </c>
      <c r="N221" s="13">
        <f t="shared" si="33"/>
        <v>4.3220103127910967</v>
      </c>
      <c r="O221" s="6">
        <f t="shared" si="41"/>
        <v>292.72166526862878</v>
      </c>
      <c r="P221" s="6">
        <f t="shared" si="42"/>
        <v>290.8498941420782</v>
      </c>
      <c r="Q221" s="6">
        <f t="shared" si="39"/>
        <v>4.3220103127910967</v>
      </c>
      <c r="S221">
        <v>172</v>
      </c>
      <c r="T221" s="6">
        <f t="shared" si="32"/>
        <v>4.3220103127910967</v>
      </c>
    </row>
    <row r="222" spans="1:20">
      <c r="B222">
        <f t="shared" si="40"/>
        <v>219</v>
      </c>
      <c r="C222">
        <f t="shared" si="34"/>
        <v>30</v>
      </c>
      <c r="D222">
        <v>214</v>
      </c>
      <c r="E222">
        <v>244</v>
      </c>
      <c r="F222">
        <f>PMSPLINE!F$11</f>
        <v>4.2334472483997461</v>
      </c>
      <c r="G222">
        <f>PMSPLINE!F$12</f>
        <v>4.4141750173092893</v>
      </c>
      <c r="H222" s="5">
        <f>PMSPLINE!K$11</f>
        <v>-1.5742658495757733E-3</v>
      </c>
      <c r="I222" s="5">
        <f>PMSPLINE!K$12</f>
        <v>-6.8873326603078179E-4</v>
      </c>
      <c r="J222">
        <f t="shared" si="35"/>
        <v>0.83333333333333337</v>
      </c>
      <c r="K222">
        <f t="shared" si="36"/>
        <v>0.16666666666666666</v>
      </c>
      <c r="L222">
        <f t="shared" si="37"/>
        <v>173</v>
      </c>
      <c r="M222" s="6">
        <f t="shared" si="38"/>
        <v>4.2635685432180033</v>
      </c>
      <c r="N222" s="13">
        <f t="shared" si="33"/>
        <v>4.3404367974108817</v>
      </c>
      <c r="O222" s="6">
        <f t="shared" si="41"/>
        <v>296.9852338118468</v>
      </c>
      <c r="P222" s="6">
        <f t="shared" si="42"/>
        <v>295.19033093948906</v>
      </c>
      <c r="Q222" s="6">
        <f t="shared" si="39"/>
        <v>4.3404367974108817</v>
      </c>
      <c r="S222">
        <v>173</v>
      </c>
      <c r="T222" s="6">
        <f t="shared" si="32"/>
        <v>4.3404367974108817</v>
      </c>
    </row>
    <row r="223" spans="1:20">
      <c r="B223">
        <f t="shared" si="40"/>
        <v>220</v>
      </c>
      <c r="C223">
        <f t="shared" si="34"/>
        <v>30</v>
      </c>
      <c r="D223">
        <v>214</v>
      </c>
      <c r="E223">
        <v>244</v>
      </c>
      <c r="F223">
        <f>PMSPLINE!F$11</f>
        <v>4.2334472483997461</v>
      </c>
      <c r="G223">
        <f>PMSPLINE!F$12</f>
        <v>4.4141750173092893</v>
      </c>
      <c r="H223" s="5">
        <f>PMSPLINE!K$11</f>
        <v>-1.5742658495757733E-3</v>
      </c>
      <c r="I223" s="5">
        <f>PMSPLINE!K$12</f>
        <v>-6.8873326603078179E-4</v>
      </c>
      <c r="J223">
        <f t="shared" si="35"/>
        <v>0.8</v>
      </c>
      <c r="K223">
        <f t="shared" si="36"/>
        <v>0.2</v>
      </c>
      <c r="L223">
        <f t="shared" si="37"/>
        <v>174</v>
      </c>
      <c r="M223" s="6">
        <f t="shared" si="38"/>
        <v>4.2695928021816556</v>
      </c>
      <c r="N223" s="13">
        <f t="shared" si="33"/>
        <v>4.3574366049450157</v>
      </c>
      <c r="O223" s="6">
        <f t="shared" si="41"/>
        <v>301.25482661402845</v>
      </c>
      <c r="P223" s="6">
        <f t="shared" si="42"/>
        <v>299.54776754443407</v>
      </c>
      <c r="Q223" s="6">
        <f t="shared" si="39"/>
        <v>4.3574366049450157</v>
      </c>
      <c r="S223">
        <v>174</v>
      </c>
      <c r="T223" s="6">
        <f t="shared" si="32"/>
        <v>4.3574366049450157</v>
      </c>
    </row>
    <row r="224" spans="1:20">
      <c r="B224">
        <f t="shared" si="40"/>
        <v>221</v>
      </c>
      <c r="C224">
        <f t="shared" si="34"/>
        <v>30</v>
      </c>
      <c r="D224">
        <v>214</v>
      </c>
      <c r="E224">
        <v>244</v>
      </c>
      <c r="F224">
        <f>PMSPLINE!F$11</f>
        <v>4.2334472483997461</v>
      </c>
      <c r="G224">
        <f>PMSPLINE!F$12</f>
        <v>4.4141750173092893</v>
      </c>
      <c r="H224" s="5">
        <f>PMSPLINE!K$11</f>
        <v>-1.5742658495757733E-3</v>
      </c>
      <c r="I224" s="5">
        <f>PMSPLINE!K$12</f>
        <v>-6.8873326603078179E-4</v>
      </c>
      <c r="J224">
        <f t="shared" si="35"/>
        <v>0.76666666666666672</v>
      </c>
      <c r="K224">
        <f t="shared" si="36"/>
        <v>0.23333333333333334</v>
      </c>
      <c r="L224">
        <f t="shared" si="37"/>
        <v>175</v>
      </c>
      <c r="M224" s="6">
        <f t="shared" si="38"/>
        <v>4.2756170611453062</v>
      </c>
      <c r="N224" s="13">
        <f t="shared" si="33"/>
        <v>4.3730392531462812</v>
      </c>
      <c r="O224" s="6">
        <f t="shared" si="41"/>
        <v>305.53044367517373</v>
      </c>
      <c r="P224" s="6">
        <f t="shared" si="42"/>
        <v>303.92080679758033</v>
      </c>
      <c r="Q224" s="6">
        <f t="shared" si="39"/>
        <v>4.3730392531462812</v>
      </c>
      <c r="S224">
        <v>175</v>
      </c>
      <c r="T224" s="6">
        <f t="shared" si="32"/>
        <v>4.3730392531462812</v>
      </c>
    </row>
    <row r="225" spans="2:20">
      <c r="B225">
        <f t="shared" si="40"/>
        <v>222</v>
      </c>
      <c r="C225">
        <f t="shared" si="34"/>
        <v>30</v>
      </c>
      <c r="D225">
        <v>214</v>
      </c>
      <c r="E225">
        <v>244</v>
      </c>
      <c r="F225">
        <f>PMSPLINE!F$11</f>
        <v>4.2334472483997461</v>
      </c>
      <c r="G225">
        <f>PMSPLINE!F$12</f>
        <v>4.4141750173092893</v>
      </c>
      <c r="H225" s="5">
        <f>PMSPLINE!K$11</f>
        <v>-1.5742658495757733E-3</v>
      </c>
      <c r="I225" s="5">
        <f>PMSPLINE!K$12</f>
        <v>-6.8873326603078179E-4</v>
      </c>
      <c r="J225">
        <f t="shared" si="35"/>
        <v>0.73333333333333328</v>
      </c>
      <c r="K225">
        <f t="shared" si="36"/>
        <v>0.26666666666666666</v>
      </c>
      <c r="L225">
        <f t="shared" si="37"/>
        <v>176</v>
      </c>
      <c r="M225" s="6">
        <f t="shared" si="38"/>
        <v>4.2816413201089576</v>
      </c>
      <c r="N225" s="13">
        <f t="shared" si="33"/>
        <v>4.387274259767465</v>
      </c>
      <c r="O225" s="6">
        <f t="shared" si="41"/>
        <v>309.8120849952827</v>
      </c>
      <c r="P225" s="6">
        <f t="shared" si="42"/>
        <v>308.30808105734781</v>
      </c>
      <c r="Q225" s="6">
        <f t="shared" si="39"/>
        <v>4.387274259767465</v>
      </c>
      <c r="S225">
        <v>176</v>
      </c>
      <c r="T225" s="6">
        <f t="shared" si="32"/>
        <v>4.387274259767465</v>
      </c>
    </row>
    <row r="226" spans="2:20">
      <c r="B226">
        <f t="shared" si="40"/>
        <v>223</v>
      </c>
      <c r="C226">
        <f t="shared" si="34"/>
        <v>30</v>
      </c>
      <c r="D226">
        <v>214</v>
      </c>
      <c r="E226">
        <v>244</v>
      </c>
      <c r="F226">
        <f>PMSPLINE!F$11</f>
        <v>4.2334472483997461</v>
      </c>
      <c r="G226">
        <f>PMSPLINE!F$12</f>
        <v>4.4141750173092893</v>
      </c>
      <c r="H226" s="5">
        <f>PMSPLINE!K$11</f>
        <v>-1.5742658495757733E-3</v>
      </c>
      <c r="I226" s="5">
        <f>PMSPLINE!K$12</f>
        <v>-6.8873326603078179E-4</v>
      </c>
      <c r="J226">
        <f t="shared" si="35"/>
        <v>0.7</v>
      </c>
      <c r="K226">
        <f t="shared" si="36"/>
        <v>0.3</v>
      </c>
      <c r="L226">
        <f t="shared" si="37"/>
        <v>177</v>
      </c>
      <c r="M226" s="6">
        <f t="shared" si="38"/>
        <v>4.287665579072609</v>
      </c>
      <c r="N226" s="13">
        <f t="shared" si="33"/>
        <v>4.4001711425613523</v>
      </c>
      <c r="O226" s="6">
        <f t="shared" si="41"/>
        <v>314.09975057435531</v>
      </c>
      <c r="P226" s="6">
        <f t="shared" si="42"/>
        <v>312.70825219990917</v>
      </c>
      <c r="Q226" s="6">
        <f t="shared" si="39"/>
        <v>4.4001711425613523</v>
      </c>
      <c r="S226">
        <v>177</v>
      </c>
      <c r="T226" s="6">
        <f t="shared" si="32"/>
        <v>4.4001711425613523</v>
      </c>
    </row>
    <row r="227" spans="2:20">
      <c r="B227">
        <f t="shared" si="40"/>
        <v>224</v>
      </c>
      <c r="C227">
        <f t="shared" si="34"/>
        <v>30</v>
      </c>
      <c r="D227">
        <v>214</v>
      </c>
      <c r="E227">
        <v>244</v>
      </c>
      <c r="F227">
        <f>PMSPLINE!F$11</f>
        <v>4.2334472483997461</v>
      </c>
      <c r="G227">
        <f>PMSPLINE!F$12</f>
        <v>4.4141750173092893</v>
      </c>
      <c r="H227" s="5">
        <f>PMSPLINE!K$11</f>
        <v>-1.5742658495757733E-3</v>
      </c>
      <c r="I227" s="5">
        <f>PMSPLINE!K$12</f>
        <v>-6.8873326603078179E-4</v>
      </c>
      <c r="J227">
        <f t="shared" si="35"/>
        <v>0.66666666666666663</v>
      </c>
      <c r="K227">
        <f t="shared" si="36"/>
        <v>0.33333333333333331</v>
      </c>
      <c r="L227">
        <f t="shared" si="37"/>
        <v>178</v>
      </c>
      <c r="M227" s="6">
        <f t="shared" si="38"/>
        <v>4.2936898380362605</v>
      </c>
      <c r="N227" s="13">
        <f t="shared" si="33"/>
        <v>4.4117594192807275</v>
      </c>
      <c r="O227" s="6">
        <f t="shared" si="41"/>
        <v>318.39344041239156</v>
      </c>
      <c r="P227" s="6">
        <f t="shared" si="42"/>
        <v>317.12001161918988</v>
      </c>
      <c r="Q227" s="6">
        <f t="shared" si="39"/>
        <v>4.4117594192807275</v>
      </c>
      <c r="S227">
        <v>178</v>
      </c>
      <c r="T227" s="6">
        <f t="shared" si="32"/>
        <v>4.4117594192807275</v>
      </c>
    </row>
    <row r="228" spans="2:20">
      <c r="B228">
        <f t="shared" si="40"/>
        <v>225</v>
      </c>
      <c r="C228">
        <f t="shared" si="34"/>
        <v>30</v>
      </c>
      <c r="D228">
        <v>214</v>
      </c>
      <c r="E228">
        <v>244</v>
      </c>
      <c r="F228">
        <f>PMSPLINE!F$11</f>
        <v>4.2334472483997461</v>
      </c>
      <c r="G228">
        <f>PMSPLINE!F$12</f>
        <v>4.4141750173092893</v>
      </c>
      <c r="H228" s="5">
        <f>PMSPLINE!K$11</f>
        <v>-1.5742658495757733E-3</v>
      </c>
      <c r="I228" s="5">
        <f>PMSPLINE!K$12</f>
        <v>-6.8873326603078179E-4</v>
      </c>
      <c r="J228">
        <f t="shared" si="35"/>
        <v>0.6333333333333333</v>
      </c>
      <c r="K228">
        <f t="shared" si="36"/>
        <v>0.36666666666666664</v>
      </c>
      <c r="L228">
        <f t="shared" si="37"/>
        <v>179</v>
      </c>
      <c r="M228" s="6">
        <f t="shared" si="38"/>
        <v>4.2997140969999119</v>
      </c>
      <c r="N228" s="13">
        <f t="shared" si="33"/>
        <v>4.4220686076783746</v>
      </c>
      <c r="O228" s="6">
        <f t="shared" si="41"/>
        <v>322.69315450939149</v>
      </c>
      <c r="P228" s="6">
        <f t="shared" si="42"/>
        <v>321.54208022686828</v>
      </c>
      <c r="Q228" s="6">
        <f t="shared" si="39"/>
        <v>4.4220686076783746</v>
      </c>
      <c r="S228">
        <v>179</v>
      </c>
      <c r="T228" s="6">
        <f t="shared" si="32"/>
        <v>4.4220686076783746</v>
      </c>
    </row>
    <row r="229" spans="2:20">
      <c r="B229">
        <f t="shared" si="40"/>
        <v>226</v>
      </c>
      <c r="C229">
        <f t="shared" si="34"/>
        <v>30</v>
      </c>
      <c r="D229">
        <v>214</v>
      </c>
      <c r="E229">
        <v>244</v>
      </c>
      <c r="F229">
        <f>PMSPLINE!F$11</f>
        <v>4.2334472483997461</v>
      </c>
      <c r="G229">
        <f>PMSPLINE!F$12</f>
        <v>4.4141750173092893</v>
      </c>
      <c r="H229" s="5">
        <f>PMSPLINE!K$11</f>
        <v>-1.5742658495757733E-3</v>
      </c>
      <c r="I229" s="5">
        <f>PMSPLINE!K$12</f>
        <v>-6.8873326603078179E-4</v>
      </c>
      <c r="J229">
        <f t="shared" si="35"/>
        <v>0.6</v>
      </c>
      <c r="K229">
        <f t="shared" si="36"/>
        <v>0.4</v>
      </c>
      <c r="L229">
        <f t="shared" si="37"/>
        <v>180</v>
      </c>
      <c r="M229" s="6">
        <f t="shared" si="38"/>
        <v>4.3057383559635634</v>
      </c>
      <c r="N229" s="13">
        <f t="shared" si="33"/>
        <v>4.431128225507079</v>
      </c>
      <c r="O229" s="6">
        <f t="shared" si="41"/>
        <v>326.99889286535506</v>
      </c>
      <c r="P229" s="6">
        <f t="shared" si="42"/>
        <v>325.97320845237533</v>
      </c>
      <c r="Q229" s="6">
        <f t="shared" si="39"/>
        <v>4.431128225507079</v>
      </c>
      <c r="S229">
        <v>180</v>
      </c>
      <c r="T229" s="6">
        <f t="shared" si="32"/>
        <v>4.431128225507079</v>
      </c>
    </row>
    <row r="230" spans="2:20">
      <c r="B230">
        <f t="shared" si="40"/>
        <v>227</v>
      </c>
      <c r="C230">
        <f t="shared" si="34"/>
        <v>30</v>
      </c>
      <c r="D230">
        <v>214</v>
      </c>
      <c r="E230">
        <v>244</v>
      </c>
      <c r="F230">
        <f>PMSPLINE!F$11</f>
        <v>4.2334472483997461</v>
      </c>
      <c r="G230">
        <f>PMSPLINE!F$12</f>
        <v>4.4141750173092893</v>
      </c>
      <c r="H230" s="5">
        <f>PMSPLINE!K$11</f>
        <v>-1.5742658495757733E-3</v>
      </c>
      <c r="I230" s="5">
        <f>PMSPLINE!K$12</f>
        <v>-6.8873326603078179E-4</v>
      </c>
      <c r="J230">
        <f t="shared" si="35"/>
        <v>0.56666666666666665</v>
      </c>
      <c r="K230">
        <f t="shared" si="36"/>
        <v>0.43333333333333335</v>
      </c>
      <c r="L230">
        <f t="shared" si="37"/>
        <v>181</v>
      </c>
      <c r="M230" s="6">
        <f t="shared" si="38"/>
        <v>4.3117626149272148</v>
      </c>
      <c r="N230" s="13">
        <f t="shared" si="33"/>
        <v>4.4389677905196265</v>
      </c>
      <c r="O230" s="6">
        <f t="shared" si="41"/>
        <v>331.31065548028226</v>
      </c>
      <c r="P230" s="6">
        <f t="shared" si="42"/>
        <v>330.41217624289493</v>
      </c>
      <c r="Q230" s="6">
        <f t="shared" si="39"/>
        <v>4.4389677905196265</v>
      </c>
      <c r="S230">
        <v>181</v>
      </c>
      <c r="T230" s="6">
        <f t="shared" si="32"/>
        <v>4.4389677905196265</v>
      </c>
    </row>
    <row r="231" spans="2:20">
      <c r="B231">
        <f t="shared" si="40"/>
        <v>228</v>
      </c>
      <c r="C231">
        <f t="shared" si="34"/>
        <v>30</v>
      </c>
      <c r="D231">
        <v>214</v>
      </c>
      <c r="E231">
        <v>244</v>
      </c>
      <c r="F231">
        <f>PMSPLINE!F$11</f>
        <v>4.2334472483997461</v>
      </c>
      <c r="G231">
        <f>PMSPLINE!F$12</f>
        <v>4.4141750173092893</v>
      </c>
      <c r="H231" s="5">
        <f>PMSPLINE!K$11</f>
        <v>-1.5742658495757733E-3</v>
      </c>
      <c r="I231" s="5">
        <f>PMSPLINE!K$12</f>
        <v>-6.8873326603078179E-4</v>
      </c>
      <c r="J231">
        <f t="shared" si="35"/>
        <v>0.53333333333333333</v>
      </c>
      <c r="K231">
        <f t="shared" si="36"/>
        <v>0.46666666666666667</v>
      </c>
      <c r="L231">
        <f t="shared" si="37"/>
        <v>182</v>
      </c>
      <c r="M231" s="6">
        <f t="shared" si="38"/>
        <v>4.3177868738908662</v>
      </c>
      <c r="N231" s="13">
        <f t="shared" si="33"/>
        <v>4.4456168204688007</v>
      </c>
      <c r="O231" s="6">
        <f t="shared" si="41"/>
        <v>335.6284423541731</v>
      </c>
      <c r="P231" s="6">
        <f t="shared" si="42"/>
        <v>334.85779306336372</v>
      </c>
      <c r="Q231" s="6">
        <f t="shared" si="39"/>
        <v>4.4456168204688007</v>
      </c>
      <c r="S231">
        <v>182</v>
      </c>
      <c r="T231" s="6">
        <f t="shared" si="32"/>
        <v>4.4456168204688007</v>
      </c>
    </row>
    <row r="232" spans="2:20">
      <c r="B232">
        <f t="shared" si="40"/>
        <v>229</v>
      </c>
      <c r="C232">
        <f t="shared" si="34"/>
        <v>30</v>
      </c>
      <c r="D232">
        <v>214</v>
      </c>
      <c r="E232">
        <v>244</v>
      </c>
      <c r="F232">
        <f>PMSPLINE!F$11</f>
        <v>4.2334472483997461</v>
      </c>
      <c r="G232">
        <f>PMSPLINE!F$12</f>
        <v>4.4141750173092893</v>
      </c>
      <c r="H232" s="5">
        <f>PMSPLINE!K$11</f>
        <v>-1.5742658495757733E-3</v>
      </c>
      <c r="I232" s="5">
        <f>PMSPLINE!K$12</f>
        <v>-6.8873326603078179E-4</v>
      </c>
      <c r="J232">
        <f t="shared" si="35"/>
        <v>0.5</v>
      </c>
      <c r="K232">
        <f t="shared" si="36"/>
        <v>0.5</v>
      </c>
      <c r="L232">
        <f t="shared" si="37"/>
        <v>183</v>
      </c>
      <c r="M232" s="6">
        <f t="shared" si="38"/>
        <v>4.3238111328545177</v>
      </c>
      <c r="N232" s="13">
        <f t="shared" si="33"/>
        <v>4.4511048331073866</v>
      </c>
      <c r="O232" s="6">
        <f t="shared" si="41"/>
        <v>339.95225348702763</v>
      </c>
      <c r="P232" s="6">
        <f t="shared" si="42"/>
        <v>339.30889789647108</v>
      </c>
      <c r="Q232" s="6">
        <f t="shared" si="39"/>
        <v>4.4511048331073866</v>
      </c>
      <c r="S232">
        <v>183</v>
      </c>
      <c r="T232" s="6">
        <f t="shared" si="32"/>
        <v>4.4511048331073866</v>
      </c>
    </row>
    <row r="233" spans="2:20">
      <c r="B233">
        <f t="shared" si="40"/>
        <v>230</v>
      </c>
      <c r="C233">
        <f t="shared" si="34"/>
        <v>30</v>
      </c>
      <c r="D233">
        <v>214</v>
      </c>
      <c r="E233">
        <v>244</v>
      </c>
      <c r="F233">
        <f>PMSPLINE!F$11</f>
        <v>4.2334472483997461</v>
      </c>
      <c r="G233">
        <f>PMSPLINE!F$12</f>
        <v>4.4141750173092893</v>
      </c>
      <c r="H233" s="5">
        <f>PMSPLINE!K$11</f>
        <v>-1.5742658495757733E-3</v>
      </c>
      <c r="I233" s="5">
        <f>PMSPLINE!K$12</f>
        <v>-6.8873326603078179E-4</v>
      </c>
      <c r="J233">
        <f t="shared" si="35"/>
        <v>0.46666666666666667</v>
      </c>
      <c r="K233">
        <f t="shared" si="36"/>
        <v>0.53333333333333333</v>
      </c>
      <c r="L233">
        <f t="shared" si="37"/>
        <v>184</v>
      </c>
      <c r="M233" s="6">
        <f t="shared" si="38"/>
        <v>4.3298353918181691</v>
      </c>
      <c r="N233" s="13">
        <f t="shared" si="33"/>
        <v>4.4554613461881694</v>
      </c>
      <c r="O233" s="6">
        <f t="shared" si="41"/>
        <v>344.2820888788458</v>
      </c>
      <c r="P233" s="6">
        <f t="shared" si="42"/>
        <v>343.76435924265922</v>
      </c>
      <c r="Q233" s="6">
        <f t="shared" si="39"/>
        <v>4.4554613461881694</v>
      </c>
      <c r="S233">
        <v>184</v>
      </c>
      <c r="T233" s="6">
        <f t="shared" si="32"/>
        <v>4.4554613461881694</v>
      </c>
    </row>
    <row r="234" spans="2:20">
      <c r="B234">
        <f t="shared" si="40"/>
        <v>231</v>
      </c>
      <c r="C234">
        <f t="shared" si="34"/>
        <v>30</v>
      </c>
      <c r="D234">
        <v>214</v>
      </c>
      <c r="E234">
        <v>244</v>
      </c>
      <c r="F234">
        <f>PMSPLINE!F$11</f>
        <v>4.2334472483997461</v>
      </c>
      <c r="G234">
        <f>PMSPLINE!F$12</f>
        <v>4.4141750173092893</v>
      </c>
      <c r="H234" s="5">
        <f>PMSPLINE!K$11</f>
        <v>-1.5742658495757733E-3</v>
      </c>
      <c r="I234" s="5">
        <f>PMSPLINE!K$12</f>
        <v>-6.8873326603078179E-4</v>
      </c>
      <c r="J234">
        <f t="shared" si="35"/>
        <v>0.43333333333333335</v>
      </c>
      <c r="K234">
        <f t="shared" si="36"/>
        <v>0.56666666666666665</v>
      </c>
      <c r="L234">
        <f t="shared" si="37"/>
        <v>185</v>
      </c>
      <c r="M234" s="6">
        <f t="shared" si="38"/>
        <v>4.3358596507818206</v>
      </c>
      <c r="N234" s="13">
        <f t="shared" si="33"/>
        <v>4.4587158774639333</v>
      </c>
      <c r="O234" s="6">
        <f t="shared" si="41"/>
        <v>348.6179485296276</v>
      </c>
      <c r="P234" s="6">
        <f t="shared" si="42"/>
        <v>348.22307512012316</v>
      </c>
      <c r="Q234" s="6">
        <f t="shared" si="39"/>
        <v>4.4587158774639333</v>
      </c>
      <c r="S234">
        <v>185</v>
      </c>
      <c r="T234" s="6">
        <f t="shared" si="32"/>
        <v>4.4587158774639333</v>
      </c>
    </row>
    <row r="235" spans="2:20">
      <c r="B235">
        <f t="shared" si="40"/>
        <v>232</v>
      </c>
      <c r="C235">
        <f t="shared" si="34"/>
        <v>30</v>
      </c>
      <c r="D235">
        <v>214</v>
      </c>
      <c r="E235">
        <v>244</v>
      </c>
      <c r="F235">
        <f>PMSPLINE!F$11</f>
        <v>4.2334472483997461</v>
      </c>
      <c r="G235">
        <f>PMSPLINE!F$12</f>
        <v>4.4141750173092893</v>
      </c>
      <c r="H235" s="5">
        <f>PMSPLINE!K$11</f>
        <v>-1.5742658495757733E-3</v>
      </c>
      <c r="I235" s="5">
        <f>PMSPLINE!K$12</f>
        <v>-6.8873326603078179E-4</v>
      </c>
      <c r="J235">
        <f t="shared" si="35"/>
        <v>0.4</v>
      </c>
      <c r="K235">
        <f t="shared" si="36"/>
        <v>0.6</v>
      </c>
      <c r="L235">
        <f t="shared" si="37"/>
        <v>186</v>
      </c>
      <c r="M235" s="6">
        <f t="shared" si="38"/>
        <v>4.341883909745472</v>
      </c>
      <c r="N235" s="13">
        <f t="shared" si="33"/>
        <v>4.4608979446874644</v>
      </c>
      <c r="O235" s="6">
        <f t="shared" si="41"/>
        <v>352.95983243937309</v>
      </c>
      <c r="P235" s="6">
        <f t="shared" si="42"/>
        <v>352.68397306481063</v>
      </c>
      <c r="Q235" s="6">
        <f t="shared" si="39"/>
        <v>4.4608979446874644</v>
      </c>
      <c r="S235">
        <v>186</v>
      </c>
      <c r="T235" s="6">
        <f t="shared" si="32"/>
        <v>4.4608979446874644</v>
      </c>
    </row>
    <row r="236" spans="2:20">
      <c r="B236">
        <f t="shared" si="40"/>
        <v>233</v>
      </c>
      <c r="C236">
        <f t="shared" si="34"/>
        <v>30</v>
      </c>
      <c r="D236">
        <v>214</v>
      </c>
      <c r="E236">
        <v>244</v>
      </c>
      <c r="F236">
        <f>PMSPLINE!F$11</f>
        <v>4.2334472483997461</v>
      </c>
      <c r="G236">
        <f>PMSPLINE!F$12</f>
        <v>4.4141750173092893</v>
      </c>
      <c r="H236" s="5">
        <f>PMSPLINE!K$11</f>
        <v>-1.5742658495757733E-3</v>
      </c>
      <c r="I236" s="5">
        <f>PMSPLINE!K$12</f>
        <v>-6.8873326603078179E-4</v>
      </c>
      <c r="J236">
        <f t="shared" si="35"/>
        <v>0.36666666666666664</v>
      </c>
      <c r="K236">
        <f t="shared" si="36"/>
        <v>0.6333333333333333</v>
      </c>
      <c r="L236">
        <f t="shared" si="37"/>
        <v>187</v>
      </c>
      <c r="M236" s="6">
        <f t="shared" si="38"/>
        <v>4.3479081687091234</v>
      </c>
      <c r="N236" s="13">
        <f t="shared" si="33"/>
        <v>4.462037065611546</v>
      </c>
      <c r="O236" s="6">
        <f t="shared" si="41"/>
        <v>357.30774060808221</v>
      </c>
      <c r="P236" s="6">
        <f t="shared" si="42"/>
        <v>357.14601013042216</v>
      </c>
      <c r="Q236" s="6">
        <f t="shared" si="39"/>
        <v>4.462037065611546</v>
      </c>
      <c r="S236">
        <v>187</v>
      </c>
      <c r="T236" s="6">
        <f t="shared" si="32"/>
        <v>4.462037065611546</v>
      </c>
    </row>
    <row r="237" spans="2:20">
      <c r="B237">
        <f t="shared" si="40"/>
        <v>234</v>
      </c>
      <c r="C237">
        <f t="shared" si="34"/>
        <v>30</v>
      </c>
      <c r="D237">
        <v>214</v>
      </c>
      <c r="E237">
        <v>244</v>
      </c>
      <c r="F237">
        <f>PMSPLINE!F$11</f>
        <v>4.2334472483997461</v>
      </c>
      <c r="G237">
        <f>PMSPLINE!F$12</f>
        <v>4.4141750173092893</v>
      </c>
      <c r="H237" s="5">
        <f>PMSPLINE!K$11</f>
        <v>-1.5742658495757733E-3</v>
      </c>
      <c r="I237" s="5">
        <f>PMSPLINE!K$12</f>
        <v>-6.8873326603078179E-4</v>
      </c>
      <c r="J237">
        <f t="shared" si="35"/>
        <v>0.33333333333333331</v>
      </c>
      <c r="K237">
        <f t="shared" si="36"/>
        <v>0.66666666666666663</v>
      </c>
      <c r="L237">
        <f t="shared" si="37"/>
        <v>188</v>
      </c>
      <c r="M237" s="6">
        <f t="shared" si="38"/>
        <v>4.3539324276727749</v>
      </c>
      <c r="N237" s="13">
        <f t="shared" si="33"/>
        <v>4.4621627579889642</v>
      </c>
      <c r="O237" s="6">
        <f t="shared" si="41"/>
        <v>361.66167303575497</v>
      </c>
      <c r="P237" s="6">
        <f t="shared" si="42"/>
        <v>361.6081728884111</v>
      </c>
      <c r="Q237" s="6">
        <f t="shared" si="39"/>
        <v>4.4621627579889642</v>
      </c>
      <c r="S237">
        <v>188</v>
      </c>
      <c r="T237" s="6">
        <f t="shared" si="32"/>
        <v>4.4621627579889642</v>
      </c>
    </row>
    <row r="238" spans="2:20">
      <c r="B238">
        <f t="shared" si="40"/>
        <v>235</v>
      </c>
      <c r="C238">
        <f t="shared" si="34"/>
        <v>30</v>
      </c>
      <c r="D238">
        <v>214</v>
      </c>
      <c r="E238">
        <v>244</v>
      </c>
      <c r="F238">
        <f>PMSPLINE!F$11</f>
        <v>4.2334472483997461</v>
      </c>
      <c r="G238">
        <f>PMSPLINE!F$12</f>
        <v>4.4141750173092893</v>
      </c>
      <c r="H238" s="5">
        <f>PMSPLINE!K$11</f>
        <v>-1.5742658495757733E-3</v>
      </c>
      <c r="I238" s="5">
        <f>PMSPLINE!K$12</f>
        <v>-6.8873326603078179E-4</v>
      </c>
      <c r="J238">
        <f t="shared" si="35"/>
        <v>0.3</v>
      </c>
      <c r="K238">
        <f t="shared" si="36"/>
        <v>0.7</v>
      </c>
      <c r="L238">
        <f t="shared" si="37"/>
        <v>189</v>
      </c>
      <c r="M238" s="6">
        <f t="shared" si="38"/>
        <v>4.3599566866364263</v>
      </c>
      <c r="N238" s="13">
        <f t="shared" si="33"/>
        <v>4.4613045395725024</v>
      </c>
      <c r="O238" s="6">
        <f t="shared" si="41"/>
        <v>366.02162972239142</v>
      </c>
      <c r="P238" s="6">
        <f t="shared" si="42"/>
        <v>366.0694774279836</v>
      </c>
      <c r="Q238" s="6">
        <f t="shared" si="39"/>
        <v>4.4613045395725024</v>
      </c>
      <c r="S238">
        <v>189</v>
      </c>
      <c r="T238" s="6">
        <f t="shared" si="32"/>
        <v>4.4613045395725024</v>
      </c>
    </row>
    <row r="239" spans="2:20">
      <c r="B239">
        <f t="shared" si="40"/>
        <v>236</v>
      </c>
      <c r="C239">
        <f t="shared" si="34"/>
        <v>30</v>
      </c>
      <c r="D239">
        <v>214</v>
      </c>
      <c r="E239">
        <v>244</v>
      </c>
      <c r="F239">
        <f>PMSPLINE!F$11</f>
        <v>4.2334472483997461</v>
      </c>
      <c r="G239">
        <f>PMSPLINE!F$12</f>
        <v>4.4141750173092893</v>
      </c>
      <c r="H239" s="5">
        <f>PMSPLINE!K$11</f>
        <v>-1.5742658495757733E-3</v>
      </c>
      <c r="I239" s="5">
        <f>PMSPLINE!K$12</f>
        <v>-6.8873326603078179E-4</v>
      </c>
      <c r="J239">
        <f t="shared" si="35"/>
        <v>0.26666666666666666</v>
      </c>
      <c r="K239">
        <f t="shared" si="36"/>
        <v>0.73333333333333328</v>
      </c>
      <c r="L239">
        <f t="shared" si="37"/>
        <v>190</v>
      </c>
      <c r="M239" s="6">
        <f t="shared" si="38"/>
        <v>4.3659809456000778</v>
      </c>
      <c r="N239" s="13">
        <f t="shared" si="33"/>
        <v>4.4594919281149474</v>
      </c>
      <c r="O239" s="6">
        <f t="shared" si="41"/>
        <v>370.38761066799151</v>
      </c>
      <c r="P239" s="6">
        <f t="shared" si="42"/>
        <v>370.52896935609857</v>
      </c>
      <c r="Q239" s="6">
        <f t="shared" si="39"/>
        <v>4.4594919281149474</v>
      </c>
      <c r="S239">
        <v>190</v>
      </c>
      <c r="T239" s="6">
        <f t="shared" si="32"/>
        <v>4.4594919281149474</v>
      </c>
    </row>
    <row r="240" spans="2:20">
      <c r="B240">
        <f t="shared" si="40"/>
        <v>237</v>
      </c>
      <c r="C240">
        <f t="shared" si="34"/>
        <v>30</v>
      </c>
      <c r="D240">
        <v>214</v>
      </c>
      <c r="E240">
        <v>244</v>
      </c>
      <c r="F240">
        <f>PMSPLINE!F$11</f>
        <v>4.2334472483997461</v>
      </c>
      <c r="G240">
        <f>PMSPLINE!F$12</f>
        <v>4.4141750173092893</v>
      </c>
      <c r="H240" s="5">
        <f>PMSPLINE!K$11</f>
        <v>-1.5742658495757733E-3</v>
      </c>
      <c r="I240" s="5">
        <f>PMSPLINE!K$12</f>
        <v>-6.8873326603078179E-4</v>
      </c>
      <c r="J240">
        <f t="shared" si="35"/>
        <v>0.23333333333333334</v>
      </c>
      <c r="K240">
        <f t="shared" si="36"/>
        <v>0.76666666666666672</v>
      </c>
      <c r="L240">
        <f t="shared" si="37"/>
        <v>191</v>
      </c>
      <c r="M240" s="6">
        <f t="shared" si="38"/>
        <v>4.3720052045637292</v>
      </c>
      <c r="N240" s="13">
        <f t="shared" si="33"/>
        <v>4.4567544413690818</v>
      </c>
      <c r="O240" s="6">
        <f t="shared" si="41"/>
        <v>374.75961587255523</v>
      </c>
      <c r="P240" s="6">
        <f t="shared" si="42"/>
        <v>374.98572379746764</v>
      </c>
      <c r="Q240" s="6">
        <f t="shared" si="39"/>
        <v>4.4567544413690818</v>
      </c>
      <c r="S240">
        <v>191</v>
      </c>
      <c r="T240" s="6">
        <f t="shared" si="32"/>
        <v>4.4567544413690818</v>
      </c>
    </row>
    <row r="241" spans="1:20">
      <c r="B241">
        <f t="shared" si="40"/>
        <v>238</v>
      </c>
      <c r="C241">
        <f t="shared" si="34"/>
        <v>30</v>
      </c>
      <c r="D241">
        <v>214</v>
      </c>
      <c r="E241">
        <v>244</v>
      </c>
      <c r="F241">
        <f>PMSPLINE!F$11</f>
        <v>4.2334472483997461</v>
      </c>
      <c r="G241">
        <f>PMSPLINE!F$12</f>
        <v>4.4141750173092893</v>
      </c>
      <c r="H241" s="5">
        <f>PMSPLINE!K$11</f>
        <v>-1.5742658495757733E-3</v>
      </c>
      <c r="I241" s="5">
        <f>PMSPLINE!K$12</f>
        <v>-6.8873326603078179E-4</v>
      </c>
      <c r="J241">
        <f t="shared" si="35"/>
        <v>0.2</v>
      </c>
      <c r="K241">
        <f t="shared" si="36"/>
        <v>0.8</v>
      </c>
      <c r="L241">
        <f t="shared" si="37"/>
        <v>192</v>
      </c>
      <c r="M241" s="6">
        <f t="shared" si="38"/>
        <v>4.3780294635273815</v>
      </c>
      <c r="N241" s="13">
        <f t="shared" si="33"/>
        <v>4.4531215970876934</v>
      </c>
      <c r="O241" s="6">
        <f t="shared" si="41"/>
        <v>379.13764533608258</v>
      </c>
      <c r="P241" s="6">
        <f t="shared" si="42"/>
        <v>379.43884539455536</v>
      </c>
      <c r="Q241" s="6">
        <f t="shared" si="39"/>
        <v>4.4531215970876934</v>
      </c>
      <c r="S241">
        <v>192</v>
      </c>
      <c r="T241" s="6">
        <f t="shared" si="32"/>
        <v>4.4531215970876934</v>
      </c>
    </row>
    <row r="242" spans="1:20">
      <c r="B242">
        <f t="shared" si="40"/>
        <v>239</v>
      </c>
      <c r="C242">
        <f t="shared" si="34"/>
        <v>30</v>
      </c>
      <c r="D242">
        <v>214</v>
      </c>
      <c r="E242">
        <v>244</v>
      </c>
      <c r="F242">
        <f>PMSPLINE!F$11</f>
        <v>4.2334472483997461</v>
      </c>
      <c r="G242">
        <f>PMSPLINE!F$12</f>
        <v>4.4141750173092893</v>
      </c>
      <c r="H242" s="5">
        <f>PMSPLINE!K$11</f>
        <v>-1.5742658495757733E-3</v>
      </c>
      <c r="I242" s="5">
        <f>PMSPLINE!K$12</f>
        <v>-6.8873326603078179E-4</v>
      </c>
      <c r="J242">
        <f t="shared" si="35"/>
        <v>0.16666666666666666</v>
      </c>
      <c r="K242">
        <f t="shared" si="36"/>
        <v>0.83333333333333337</v>
      </c>
      <c r="L242">
        <f t="shared" si="37"/>
        <v>193</v>
      </c>
      <c r="M242" s="6">
        <f t="shared" si="38"/>
        <v>4.3840537224910321</v>
      </c>
      <c r="N242" s="13">
        <f t="shared" si="33"/>
        <v>4.4486229130235637</v>
      </c>
      <c r="O242" s="6">
        <f t="shared" si="41"/>
        <v>383.52169905857363</v>
      </c>
      <c r="P242" s="6">
        <f t="shared" si="42"/>
        <v>383.8874683075789</v>
      </c>
      <c r="Q242" s="6">
        <f t="shared" si="39"/>
        <v>4.4486229130235637</v>
      </c>
      <c r="S242">
        <v>193</v>
      </c>
      <c r="T242" s="6">
        <f t="shared" ref="T242:T305" si="43">N242</f>
        <v>4.4486229130235637</v>
      </c>
    </row>
    <row r="243" spans="1:20">
      <c r="B243">
        <f t="shared" si="40"/>
        <v>240</v>
      </c>
      <c r="C243">
        <f t="shared" si="34"/>
        <v>30</v>
      </c>
      <c r="D243">
        <v>214</v>
      </c>
      <c r="E243">
        <v>244</v>
      </c>
      <c r="F243">
        <f>PMSPLINE!F$11</f>
        <v>4.2334472483997461</v>
      </c>
      <c r="G243">
        <f>PMSPLINE!F$12</f>
        <v>4.4141750173092893</v>
      </c>
      <c r="H243" s="5">
        <f>PMSPLINE!K$11</f>
        <v>-1.5742658495757733E-3</v>
      </c>
      <c r="I243" s="5">
        <f>PMSPLINE!K$12</f>
        <v>-6.8873326603078179E-4</v>
      </c>
      <c r="J243">
        <f t="shared" si="35"/>
        <v>0.13333333333333333</v>
      </c>
      <c r="K243">
        <f t="shared" si="36"/>
        <v>0.8666666666666667</v>
      </c>
      <c r="L243">
        <f t="shared" si="37"/>
        <v>194</v>
      </c>
      <c r="M243" s="6">
        <f t="shared" si="38"/>
        <v>4.3900779814546835</v>
      </c>
      <c r="N243" s="13">
        <f t="shared" si="33"/>
        <v>4.4432879069294788</v>
      </c>
      <c r="O243" s="6">
        <f t="shared" si="41"/>
        <v>387.91177704002831</v>
      </c>
      <c r="P243" s="6">
        <f t="shared" si="42"/>
        <v>388.33075621450837</v>
      </c>
      <c r="Q243" s="6">
        <f t="shared" si="39"/>
        <v>4.4432879069294788</v>
      </c>
      <c r="S243">
        <v>194</v>
      </c>
      <c r="T243" s="6">
        <f t="shared" si="43"/>
        <v>4.4432879069294788</v>
      </c>
    </row>
    <row r="244" spans="1:20">
      <c r="B244">
        <f t="shared" si="40"/>
        <v>241</v>
      </c>
      <c r="C244">
        <f t="shared" si="34"/>
        <v>30</v>
      </c>
      <c r="D244">
        <v>214</v>
      </c>
      <c r="E244">
        <v>244</v>
      </c>
      <c r="F244">
        <f>PMSPLINE!F$11</f>
        <v>4.2334472483997461</v>
      </c>
      <c r="G244">
        <f>PMSPLINE!F$12</f>
        <v>4.4141750173092893</v>
      </c>
      <c r="H244" s="5">
        <f>PMSPLINE!K$11</f>
        <v>-1.5742658495757733E-3</v>
      </c>
      <c r="I244" s="5">
        <f>PMSPLINE!K$12</f>
        <v>-6.8873326603078179E-4</v>
      </c>
      <c r="J244">
        <f t="shared" si="35"/>
        <v>0.1</v>
      </c>
      <c r="K244">
        <f t="shared" si="36"/>
        <v>0.9</v>
      </c>
      <c r="L244">
        <f t="shared" si="37"/>
        <v>195</v>
      </c>
      <c r="M244" s="6">
        <f t="shared" si="38"/>
        <v>4.396102240418335</v>
      </c>
      <c r="N244" s="13">
        <f t="shared" si="33"/>
        <v>4.4371460965582248</v>
      </c>
      <c r="O244" s="6">
        <f t="shared" si="41"/>
        <v>392.30787928044663</v>
      </c>
      <c r="P244" s="6">
        <f t="shared" si="42"/>
        <v>392.76790231106662</v>
      </c>
      <c r="Q244" s="6">
        <f t="shared" si="39"/>
        <v>4.4371460965582248</v>
      </c>
      <c r="S244">
        <v>195</v>
      </c>
      <c r="T244" s="6">
        <f t="shared" si="43"/>
        <v>4.4371460965582248</v>
      </c>
    </row>
    <row r="245" spans="1:20">
      <c r="B245">
        <f t="shared" si="40"/>
        <v>242</v>
      </c>
      <c r="C245">
        <f t="shared" si="34"/>
        <v>30</v>
      </c>
      <c r="D245">
        <v>214</v>
      </c>
      <c r="E245">
        <v>244</v>
      </c>
      <c r="F245">
        <f>PMSPLINE!F$11</f>
        <v>4.2334472483997461</v>
      </c>
      <c r="G245">
        <f>PMSPLINE!F$12</f>
        <v>4.4141750173092893</v>
      </c>
      <c r="H245" s="5">
        <f>PMSPLINE!K$11</f>
        <v>-1.5742658495757733E-3</v>
      </c>
      <c r="I245" s="5">
        <f>PMSPLINE!K$12</f>
        <v>-6.8873326603078179E-4</v>
      </c>
      <c r="J245">
        <f t="shared" si="35"/>
        <v>6.6666666666666666E-2</v>
      </c>
      <c r="K245">
        <f t="shared" si="36"/>
        <v>0.93333333333333335</v>
      </c>
      <c r="L245">
        <f t="shared" si="37"/>
        <v>196</v>
      </c>
      <c r="M245" s="6">
        <f t="shared" si="38"/>
        <v>4.4021264993819864</v>
      </c>
      <c r="N245" s="13">
        <f t="shared" si="33"/>
        <v>4.4302269996625849</v>
      </c>
      <c r="O245" s="6">
        <f t="shared" si="41"/>
        <v>396.71000577982863</v>
      </c>
      <c r="P245" s="6">
        <f t="shared" si="42"/>
        <v>397.1981293107292</v>
      </c>
      <c r="Q245" s="6">
        <f t="shared" si="39"/>
        <v>4.4302269996625849</v>
      </c>
      <c r="S245">
        <v>196</v>
      </c>
      <c r="T245" s="6">
        <f t="shared" si="43"/>
        <v>4.4302269996625849</v>
      </c>
    </row>
    <row r="246" spans="1:20">
      <c r="B246">
        <f t="shared" si="40"/>
        <v>243</v>
      </c>
      <c r="C246">
        <f t="shared" si="34"/>
        <v>30</v>
      </c>
      <c r="D246">
        <v>214</v>
      </c>
      <c r="E246">
        <v>244</v>
      </c>
      <c r="F246">
        <f>PMSPLINE!F$11</f>
        <v>4.2334472483997461</v>
      </c>
      <c r="G246">
        <f>PMSPLINE!F$12</f>
        <v>4.4141750173092893</v>
      </c>
      <c r="H246" s="5">
        <f>PMSPLINE!K$11</f>
        <v>-1.5742658495757733E-3</v>
      </c>
      <c r="I246" s="5">
        <f>PMSPLINE!K$12</f>
        <v>-6.8873326603078179E-4</v>
      </c>
      <c r="J246">
        <f t="shared" si="35"/>
        <v>3.3333333333333333E-2</v>
      </c>
      <c r="K246">
        <f t="shared" si="36"/>
        <v>0.96666666666666667</v>
      </c>
      <c r="L246">
        <f t="shared" si="37"/>
        <v>197</v>
      </c>
      <c r="M246" s="6">
        <f t="shared" si="38"/>
        <v>4.4081507583456379</v>
      </c>
      <c r="N246" s="13">
        <f t="shared" si="33"/>
        <v>4.4225601339953453</v>
      </c>
      <c r="O246" s="6">
        <f t="shared" si="41"/>
        <v>401.11815653817428</v>
      </c>
      <c r="P246" s="6">
        <f t="shared" si="42"/>
        <v>401.62068944472452</v>
      </c>
      <c r="Q246" s="6">
        <f t="shared" si="39"/>
        <v>4.4225601339953453</v>
      </c>
      <c r="S246">
        <v>197</v>
      </c>
      <c r="T246" s="6">
        <f t="shared" si="43"/>
        <v>4.4225601339953453</v>
      </c>
    </row>
    <row r="247" spans="1:20">
      <c r="A247">
        <v>244</v>
      </c>
      <c r="B247">
        <f t="shared" si="40"/>
        <v>244</v>
      </c>
      <c r="C247">
        <f t="shared" si="34"/>
        <v>30</v>
      </c>
      <c r="D247">
        <v>214</v>
      </c>
      <c r="E247">
        <v>244</v>
      </c>
      <c r="F247">
        <f>PMSPLINE!F$11</f>
        <v>4.2334472483997461</v>
      </c>
      <c r="G247">
        <f>PMSPLINE!F$12</f>
        <v>4.4141750173092893</v>
      </c>
      <c r="H247" s="5">
        <f>PMSPLINE!K$11</f>
        <v>-1.5742658495757733E-3</v>
      </c>
      <c r="I247" s="5">
        <f>PMSPLINE!K$12</f>
        <v>-6.8873326603078179E-4</v>
      </c>
      <c r="J247">
        <f t="shared" si="35"/>
        <v>0</v>
      </c>
      <c r="K247">
        <f t="shared" si="36"/>
        <v>1</v>
      </c>
      <c r="L247">
        <f t="shared" si="37"/>
        <v>198</v>
      </c>
      <c r="M247" s="6">
        <f t="shared" si="38"/>
        <v>4.4141750173092893</v>
      </c>
      <c r="N247" s="13">
        <f t="shared" ref="N247:N310" si="44">Q247</f>
        <v>4.4141750173092893</v>
      </c>
      <c r="O247" s="6">
        <f t="shared" si="41"/>
        <v>405.53233155548355</v>
      </c>
      <c r="P247" s="6">
        <f t="shared" si="42"/>
        <v>406.0348644620338</v>
      </c>
      <c r="Q247" s="6">
        <f t="shared" si="39"/>
        <v>4.4141750173092893</v>
      </c>
      <c r="S247">
        <v>198</v>
      </c>
      <c r="T247" s="6">
        <f t="shared" si="43"/>
        <v>4.4141750173092893</v>
      </c>
    </row>
    <row r="248" spans="1:20">
      <c r="B248">
        <f t="shared" si="40"/>
        <v>245</v>
      </c>
      <c r="C248">
        <f t="shared" si="34"/>
        <v>31</v>
      </c>
      <c r="D248">
        <v>244</v>
      </c>
      <c r="E248">
        <v>275</v>
      </c>
      <c r="F248">
        <f>PMSPLINE!F$12</f>
        <v>4.4141750173092893</v>
      </c>
      <c r="G248">
        <f>PMSPLINE!F$13</f>
        <v>3.6591010528330465</v>
      </c>
      <c r="H248" s="5">
        <f>PMSPLINE!K$12</f>
        <v>-6.8873326603078179E-4</v>
      </c>
      <c r="I248" s="5">
        <f>PMSPLINE!K$13</f>
        <v>-1.6463054129685103E-3</v>
      </c>
      <c r="J248">
        <f t="shared" si="35"/>
        <v>0.967741935483871</v>
      </c>
      <c r="K248">
        <f t="shared" si="36"/>
        <v>3.2258064516129031E-2</v>
      </c>
      <c r="L248">
        <f t="shared" si="37"/>
        <v>199</v>
      </c>
      <c r="M248" s="6">
        <f t="shared" si="38"/>
        <v>4.3898177926487651</v>
      </c>
      <c r="N248" s="13">
        <f t="shared" si="44"/>
        <v>4.4050910994943893</v>
      </c>
      <c r="O248" s="6">
        <f t="shared" si="41"/>
        <v>409.92214934813234</v>
      </c>
      <c r="P248" s="6">
        <f t="shared" si="42"/>
        <v>410.43995556152817</v>
      </c>
      <c r="Q248" s="6">
        <f t="shared" si="39"/>
        <v>4.4050910994943893</v>
      </c>
      <c r="S248">
        <v>199</v>
      </c>
      <c r="T248" s="6">
        <f t="shared" si="43"/>
        <v>4.4050910994943893</v>
      </c>
    </row>
    <row r="249" spans="1:20">
      <c r="B249">
        <f t="shared" si="40"/>
        <v>246</v>
      </c>
      <c r="C249">
        <f t="shared" si="34"/>
        <v>31</v>
      </c>
      <c r="D249">
        <v>244</v>
      </c>
      <c r="E249">
        <v>275</v>
      </c>
      <c r="F249">
        <f>PMSPLINE!F$12</f>
        <v>4.4141750173092893</v>
      </c>
      <c r="G249">
        <f>PMSPLINE!F$13</f>
        <v>3.6591010528330465</v>
      </c>
      <c r="H249" s="5">
        <f>PMSPLINE!K$12</f>
        <v>-6.8873326603078179E-4</v>
      </c>
      <c r="I249" s="5">
        <f>PMSPLINE!K$13</f>
        <v>-1.6463054129685103E-3</v>
      </c>
      <c r="J249">
        <f t="shared" si="35"/>
        <v>0.93548387096774188</v>
      </c>
      <c r="K249">
        <f t="shared" si="36"/>
        <v>6.4516129032258063E-2</v>
      </c>
      <c r="L249">
        <f t="shared" si="37"/>
        <v>200</v>
      </c>
      <c r="M249" s="6">
        <f t="shared" si="38"/>
        <v>4.365460567988241</v>
      </c>
      <c r="N249" s="13">
        <f t="shared" si="44"/>
        <v>4.3952875589893639</v>
      </c>
      <c r="O249" s="6">
        <f t="shared" si="41"/>
        <v>414.28760991612057</v>
      </c>
      <c r="P249" s="6">
        <f t="shared" si="42"/>
        <v>414.83524312051753</v>
      </c>
      <c r="Q249" s="6">
        <f t="shared" si="39"/>
        <v>4.3952875589893639</v>
      </c>
      <c r="S249">
        <v>200</v>
      </c>
      <c r="T249" s="6">
        <f t="shared" si="43"/>
        <v>4.3952875589893639</v>
      </c>
    </row>
    <row r="250" spans="1:20">
      <c r="B250">
        <f t="shared" si="40"/>
        <v>247</v>
      </c>
      <c r="C250">
        <f t="shared" si="34"/>
        <v>31</v>
      </c>
      <c r="D250">
        <v>244</v>
      </c>
      <c r="E250">
        <v>275</v>
      </c>
      <c r="F250">
        <f>PMSPLINE!F$12</f>
        <v>4.4141750173092893</v>
      </c>
      <c r="G250">
        <f>PMSPLINE!F$13</f>
        <v>3.6591010528330465</v>
      </c>
      <c r="H250" s="5">
        <f>PMSPLINE!K$12</f>
        <v>-6.8873326603078179E-4</v>
      </c>
      <c r="I250" s="5">
        <f>PMSPLINE!K$13</f>
        <v>-1.6463054129685103E-3</v>
      </c>
      <c r="J250">
        <f t="shared" si="35"/>
        <v>0.90322580645161288</v>
      </c>
      <c r="K250">
        <f t="shared" si="36"/>
        <v>9.6774193548387094E-2</v>
      </c>
      <c r="L250">
        <f t="shared" si="37"/>
        <v>201</v>
      </c>
      <c r="M250" s="6">
        <f t="shared" si="38"/>
        <v>4.3411033433277169</v>
      </c>
      <c r="N250" s="13">
        <f t="shared" si="44"/>
        <v>4.3847335063701181</v>
      </c>
      <c r="O250" s="6">
        <f t="shared" si="41"/>
        <v>418.62871325944832</v>
      </c>
      <c r="P250" s="6">
        <f t="shared" si="42"/>
        <v>419.21997662688767</v>
      </c>
      <c r="Q250" s="6">
        <f t="shared" si="39"/>
        <v>4.3847335063701181</v>
      </c>
      <c r="S250">
        <v>201</v>
      </c>
      <c r="T250" s="6">
        <f t="shared" si="43"/>
        <v>4.3847335063701181</v>
      </c>
    </row>
    <row r="251" spans="1:20">
      <c r="B251">
        <f t="shared" si="40"/>
        <v>248</v>
      </c>
      <c r="C251">
        <f t="shared" si="34"/>
        <v>31</v>
      </c>
      <c r="D251">
        <v>244</v>
      </c>
      <c r="E251">
        <v>275</v>
      </c>
      <c r="F251">
        <f>PMSPLINE!F$12</f>
        <v>4.4141750173092893</v>
      </c>
      <c r="G251">
        <f>PMSPLINE!F$13</f>
        <v>3.6591010528330465</v>
      </c>
      <c r="H251" s="5">
        <f>PMSPLINE!K$12</f>
        <v>-6.8873326603078179E-4</v>
      </c>
      <c r="I251" s="5">
        <f>PMSPLINE!K$13</f>
        <v>-1.6463054129685103E-3</v>
      </c>
      <c r="J251">
        <f t="shared" si="35"/>
        <v>0.87096774193548387</v>
      </c>
      <c r="K251">
        <f t="shared" si="36"/>
        <v>0.12903225806451613</v>
      </c>
      <c r="L251">
        <f t="shared" si="37"/>
        <v>202</v>
      </c>
      <c r="M251" s="6">
        <f t="shared" si="38"/>
        <v>4.3167461186671936</v>
      </c>
      <c r="N251" s="13">
        <f t="shared" si="44"/>
        <v>4.3733980522125577</v>
      </c>
      <c r="O251" s="6">
        <f t="shared" si="41"/>
        <v>422.94545937811552</v>
      </c>
      <c r="P251" s="6">
        <f t="shared" si="42"/>
        <v>423.59337467910024</v>
      </c>
      <c r="Q251" s="6">
        <f t="shared" si="39"/>
        <v>4.3733980522125577</v>
      </c>
      <c r="S251">
        <v>202</v>
      </c>
      <c r="T251" s="6">
        <f t="shared" si="43"/>
        <v>4.3733980522125577</v>
      </c>
    </row>
    <row r="252" spans="1:20">
      <c r="B252">
        <f t="shared" si="40"/>
        <v>249</v>
      </c>
      <c r="C252">
        <f t="shared" si="34"/>
        <v>31</v>
      </c>
      <c r="D252">
        <v>244</v>
      </c>
      <c r="E252">
        <v>275</v>
      </c>
      <c r="F252">
        <f>PMSPLINE!F$12</f>
        <v>4.4141750173092893</v>
      </c>
      <c r="G252">
        <f>PMSPLINE!F$13</f>
        <v>3.6591010528330465</v>
      </c>
      <c r="H252" s="5">
        <f>PMSPLINE!K$12</f>
        <v>-6.8873326603078179E-4</v>
      </c>
      <c r="I252" s="5">
        <f>PMSPLINE!K$13</f>
        <v>-1.6463054129685103E-3</v>
      </c>
      <c r="J252">
        <f t="shared" si="35"/>
        <v>0.83870967741935487</v>
      </c>
      <c r="K252">
        <f t="shared" si="36"/>
        <v>0.16129032258064516</v>
      </c>
      <c r="L252">
        <f t="shared" si="37"/>
        <v>203</v>
      </c>
      <c r="M252" s="6">
        <f t="shared" si="38"/>
        <v>4.2923888940066695</v>
      </c>
      <c r="N252" s="13">
        <f t="shared" si="44"/>
        <v>4.361250307092587</v>
      </c>
      <c r="O252" s="6">
        <f t="shared" si="41"/>
        <v>427.23784827212216</v>
      </c>
      <c r="P252" s="6">
        <f t="shared" si="42"/>
        <v>427.95462498619281</v>
      </c>
      <c r="Q252" s="6">
        <f t="shared" si="39"/>
        <v>4.361250307092587</v>
      </c>
      <c r="S252">
        <v>203</v>
      </c>
      <c r="T252" s="6">
        <f t="shared" si="43"/>
        <v>4.361250307092587</v>
      </c>
    </row>
    <row r="253" spans="1:20">
      <c r="B253">
        <f t="shared" si="40"/>
        <v>250</v>
      </c>
      <c r="C253">
        <f t="shared" si="34"/>
        <v>31</v>
      </c>
      <c r="D253">
        <v>244</v>
      </c>
      <c r="E253">
        <v>275</v>
      </c>
      <c r="F253">
        <f>PMSPLINE!F$12</f>
        <v>4.4141750173092893</v>
      </c>
      <c r="G253">
        <f>PMSPLINE!F$13</f>
        <v>3.6591010528330465</v>
      </c>
      <c r="H253" s="5">
        <f>PMSPLINE!K$12</f>
        <v>-6.8873326603078179E-4</v>
      </c>
      <c r="I253" s="5">
        <f>PMSPLINE!K$13</f>
        <v>-1.6463054129685103E-3</v>
      </c>
      <c r="J253">
        <f t="shared" si="35"/>
        <v>0.80645161290322576</v>
      </c>
      <c r="K253">
        <f t="shared" si="36"/>
        <v>0.19354838709677419</v>
      </c>
      <c r="L253">
        <f t="shared" si="37"/>
        <v>204</v>
      </c>
      <c r="M253" s="6">
        <f t="shared" si="38"/>
        <v>4.2680316693461453</v>
      </c>
      <c r="N253" s="13">
        <f t="shared" si="44"/>
        <v>4.3482593815861117</v>
      </c>
      <c r="O253" s="6">
        <f t="shared" si="41"/>
        <v>431.50587994146832</v>
      </c>
      <c r="P253" s="6">
        <f t="shared" si="42"/>
        <v>432.30288436777892</v>
      </c>
      <c r="Q253" s="6">
        <f t="shared" si="39"/>
        <v>4.3482593815861117</v>
      </c>
      <c r="S253">
        <v>204</v>
      </c>
      <c r="T253" s="6">
        <f t="shared" si="43"/>
        <v>4.3482593815861117</v>
      </c>
    </row>
    <row r="254" spans="1:20">
      <c r="B254">
        <f t="shared" si="40"/>
        <v>251</v>
      </c>
      <c r="C254">
        <f t="shared" si="34"/>
        <v>31</v>
      </c>
      <c r="D254">
        <v>244</v>
      </c>
      <c r="E254">
        <v>275</v>
      </c>
      <c r="F254">
        <f>PMSPLINE!F$12</f>
        <v>4.4141750173092893</v>
      </c>
      <c r="G254">
        <f>PMSPLINE!F$13</f>
        <v>3.6591010528330465</v>
      </c>
      <c r="H254" s="5">
        <f>PMSPLINE!K$12</f>
        <v>-6.8873326603078179E-4</v>
      </c>
      <c r="I254" s="5">
        <f>PMSPLINE!K$13</f>
        <v>-1.6463054129685103E-3</v>
      </c>
      <c r="J254">
        <f t="shared" si="35"/>
        <v>0.77419354838709675</v>
      </c>
      <c r="K254">
        <f t="shared" si="36"/>
        <v>0.22580645161290322</v>
      </c>
      <c r="L254">
        <f t="shared" si="37"/>
        <v>205</v>
      </c>
      <c r="M254" s="6">
        <f t="shared" si="38"/>
        <v>4.2436744446856212</v>
      </c>
      <c r="N254" s="13">
        <f t="shared" si="44"/>
        <v>4.3343943862690368</v>
      </c>
      <c r="O254" s="6">
        <f t="shared" si="41"/>
        <v>435.74955438615393</v>
      </c>
      <c r="P254" s="6">
        <f t="shared" si="42"/>
        <v>436.63727875404794</v>
      </c>
      <c r="Q254" s="6">
        <f t="shared" si="39"/>
        <v>4.3343943862690368</v>
      </c>
      <c r="S254">
        <v>205</v>
      </c>
      <c r="T254" s="6">
        <f t="shared" si="43"/>
        <v>4.3343943862690368</v>
      </c>
    </row>
    <row r="255" spans="1:20">
      <c r="B255">
        <f t="shared" si="40"/>
        <v>252</v>
      </c>
      <c r="C255">
        <f t="shared" si="34"/>
        <v>31</v>
      </c>
      <c r="D255">
        <v>244</v>
      </c>
      <c r="E255">
        <v>275</v>
      </c>
      <c r="F255">
        <f>PMSPLINE!F$12</f>
        <v>4.4141750173092893</v>
      </c>
      <c r="G255">
        <f>PMSPLINE!F$13</f>
        <v>3.6591010528330465</v>
      </c>
      <c r="H255" s="5">
        <f>PMSPLINE!K$12</f>
        <v>-6.8873326603078179E-4</v>
      </c>
      <c r="I255" s="5">
        <f>PMSPLINE!K$13</f>
        <v>-1.6463054129685103E-3</v>
      </c>
      <c r="J255">
        <f t="shared" si="35"/>
        <v>0.74193548387096775</v>
      </c>
      <c r="K255">
        <f t="shared" si="36"/>
        <v>0.25806451612903225</v>
      </c>
      <c r="L255">
        <f t="shared" si="37"/>
        <v>206</v>
      </c>
      <c r="M255" s="6">
        <f t="shared" si="38"/>
        <v>4.2193172200250979</v>
      </c>
      <c r="N255" s="13">
        <f t="shared" si="44"/>
        <v>4.3196244317172692</v>
      </c>
      <c r="O255" s="6">
        <f t="shared" si="41"/>
        <v>439.96887160617905</v>
      </c>
      <c r="P255" s="6">
        <f t="shared" si="42"/>
        <v>440.95690318576521</v>
      </c>
      <c r="Q255" s="6">
        <f t="shared" si="39"/>
        <v>4.3196244317172692</v>
      </c>
      <c r="S255">
        <v>206</v>
      </c>
      <c r="T255" s="6">
        <f t="shared" si="43"/>
        <v>4.3196244317172692</v>
      </c>
    </row>
    <row r="256" spans="1:20">
      <c r="B256">
        <f t="shared" si="40"/>
        <v>253</v>
      </c>
      <c r="C256">
        <f t="shared" si="34"/>
        <v>31</v>
      </c>
      <c r="D256">
        <v>244</v>
      </c>
      <c r="E256">
        <v>275</v>
      </c>
      <c r="F256">
        <f>PMSPLINE!F$12</f>
        <v>4.4141750173092893</v>
      </c>
      <c r="G256">
        <f>PMSPLINE!F$13</f>
        <v>3.6591010528330465</v>
      </c>
      <c r="H256" s="5">
        <f>PMSPLINE!K$12</f>
        <v>-6.8873326603078179E-4</v>
      </c>
      <c r="I256" s="5">
        <f>PMSPLINE!K$13</f>
        <v>-1.6463054129685103E-3</v>
      </c>
      <c r="J256">
        <f t="shared" si="35"/>
        <v>0.70967741935483875</v>
      </c>
      <c r="K256">
        <f t="shared" si="36"/>
        <v>0.29032258064516131</v>
      </c>
      <c r="L256">
        <f t="shared" si="37"/>
        <v>207</v>
      </c>
      <c r="M256" s="6">
        <f t="shared" si="38"/>
        <v>4.1949599953645738</v>
      </c>
      <c r="N256" s="13">
        <f t="shared" si="44"/>
        <v>4.3039186285067119</v>
      </c>
      <c r="O256" s="6">
        <f t="shared" si="41"/>
        <v>444.16383160154362</v>
      </c>
      <c r="P256" s="6">
        <f t="shared" si="42"/>
        <v>445.26082181427194</v>
      </c>
      <c r="Q256" s="6">
        <f t="shared" si="39"/>
        <v>4.3039186285067119</v>
      </c>
      <c r="S256">
        <v>207</v>
      </c>
      <c r="T256" s="6">
        <f t="shared" si="43"/>
        <v>4.3039186285067119</v>
      </c>
    </row>
    <row r="257" spans="2:20">
      <c r="B257">
        <f t="shared" si="40"/>
        <v>254</v>
      </c>
      <c r="C257">
        <f t="shared" si="34"/>
        <v>31</v>
      </c>
      <c r="D257">
        <v>244</v>
      </c>
      <c r="E257">
        <v>275</v>
      </c>
      <c r="F257">
        <f>PMSPLINE!F$12</f>
        <v>4.4141750173092893</v>
      </c>
      <c r="G257">
        <f>PMSPLINE!F$13</f>
        <v>3.6591010528330465</v>
      </c>
      <c r="H257" s="5">
        <f>PMSPLINE!K$12</f>
        <v>-6.8873326603078179E-4</v>
      </c>
      <c r="I257" s="5">
        <f>PMSPLINE!K$13</f>
        <v>-1.6463054129685103E-3</v>
      </c>
      <c r="J257">
        <f t="shared" si="35"/>
        <v>0.67741935483870963</v>
      </c>
      <c r="K257">
        <f t="shared" si="36"/>
        <v>0.32258064516129031</v>
      </c>
      <c r="L257">
        <f t="shared" si="37"/>
        <v>208</v>
      </c>
      <c r="M257" s="6">
        <f t="shared" si="38"/>
        <v>4.1706027707040496</v>
      </c>
      <c r="N257" s="13">
        <f t="shared" si="44"/>
        <v>4.2872460872132701</v>
      </c>
      <c r="O257" s="6">
        <f t="shared" si="41"/>
        <v>448.33443437224764</v>
      </c>
      <c r="P257" s="6">
        <f t="shared" si="42"/>
        <v>449.54806790148518</v>
      </c>
      <c r="Q257" s="6">
        <f t="shared" si="39"/>
        <v>4.2872460872132701</v>
      </c>
      <c r="S257">
        <v>208</v>
      </c>
      <c r="T257" s="6">
        <f t="shared" si="43"/>
        <v>4.2872460872132701</v>
      </c>
    </row>
    <row r="258" spans="2:20">
      <c r="B258">
        <f t="shared" si="40"/>
        <v>255</v>
      </c>
      <c r="C258">
        <f t="shared" si="34"/>
        <v>31</v>
      </c>
      <c r="D258">
        <v>244</v>
      </c>
      <c r="E258">
        <v>275</v>
      </c>
      <c r="F258">
        <f>PMSPLINE!F$12</f>
        <v>4.4141750173092893</v>
      </c>
      <c r="G258">
        <f>PMSPLINE!F$13</f>
        <v>3.6591010528330465</v>
      </c>
      <c r="H258" s="5">
        <f>PMSPLINE!K$12</f>
        <v>-6.8873326603078179E-4</v>
      </c>
      <c r="I258" s="5">
        <f>PMSPLINE!K$13</f>
        <v>-1.6463054129685103E-3</v>
      </c>
      <c r="J258">
        <f t="shared" si="35"/>
        <v>0.64516129032258063</v>
      </c>
      <c r="K258">
        <f t="shared" si="36"/>
        <v>0.35483870967741937</v>
      </c>
      <c r="L258">
        <f t="shared" si="37"/>
        <v>209</v>
      </c>
      <c r="M258" s="6">
        <f t="shared" si="38"/>
        <v>4.1462455460435255</v>
      </c>
      <c r="N258" s="13">
        <f t="shared" si="44"/>
        <v>4.2695759184128503</v>
      </c>
      <c r="O258" s="6">
        <f t="shared" si="41"/>
        <v>452.48067991829117</v>
      </c>
      <c r="P258" s="6">
        <f t="shared" si="42"/>
        <v>453.81764381989802</v>
      </c>
      <c r="Q258" s="6">
        <f t="shared" si="39"/>
        <v>4.2695759184128503</v>
      </c>
      <c r="S258">
        <v>209</v>
      </c>
      <c r="T258" s="6">
        <f t="shared" si="43"/>
        <v>4.2695759184128503</v>
      </c>
    </row>
    <row r="259" spans="2:20">
      <c r="B259">
        <f t="shared" si="40"/>
        <v>256</v>
      </c>
      <c r="C259">
        <f t="shared" si="34"/>
        <v>31</v>
      </c>
      <c r="D259">
        <v>244</v>
      </c>
      <c r="E259">
        <v>275</v>
      </c>
      <c r="F259">
        <f>PMSPLINE!F$12</f>
        <v>4.4141750173092893</v>
      </c>
      <c r="G259">
        <f>PMSPLINE!F$13</f>
        <v>3.6591010528330465</v>
      </c>
      <c r="H259" s="5">
        <f>PMSPLINE!K$12</f>
        <v>-6.8873326603078179E-4</v>
      </c>
      <c r="I259" s="5">
        <f>PMSPLINE!K$13</f>
        <v>-1.6463054129685103E-3</v>
      </c>
      <c r="J259">
        <f t="shared" si="35"/>
        <v>0.61290322580645162</v>
      </c>
      <c r="K259">
        <f t="shared" si="36"/>
        <v>0.38709677419354838</v>
      </c>
      <c r="L259">
        <f t="shared" si="37"/>
        <v>210</v>
      </c>
      <c r="M259" s="6">
        <f t="shared" si="38"/>
        <v>4.1218883213830022</v>
      </c>
      <c r="N259" s="13">
        <f t="shared" si="44"/>
        <v>4.2508772326813578</v>
      </c>
      <c r="O259" s="6">
        <f t="shared" si="41"/>
        <v>456.60256823967416</v>
      </c>
      <c r="P259" s="6">
        <f t="shared" si="42"/>
        <v>458.0685210525794</v>
      </c>
      <c r="Q259" s="6">
        <f t="shared" si="39"/>
        <v>4.2508772326813578</v>
      </c>
      <c r="S259">
        <v>210</v>
      </c>
      <c r="T259" s="6">
        <f t="shared" si="43"/>
        <v>4.2508772326813578</v>
      </c>
    </row>
    <row r="260" spans="2:20">
      <c r="B260">
        <f t="shared" si="40"/>
        <v>257</v>
      </c>
      <c r="C260">
        <f t="shared" ref="C260:C323" si="45">E260-D260</f>
        <v>31</v>
      </c>
      <c r="D260">
        <v>244</v>
      </c>
      <c r="E260">
        <v>275</v>
      </c>
      <c r="F260">
        <f>PMSPLINE!F$12</f>
        <v>4.4141750173092893</v>
      </c>
      <c r="G260">
        <f>PMSPLINE!F$13</f>
        <v>3.6591010528330465</v>
      </c>
      <c r="H260" s="5">
        <f>PMSPLINE!K$12</f>
        <v>-6.8873326603078179E-4</v>
      </c>
      <c r="I260" s="5">
        <f>PMSPLINE!K$13</f>
        <v>-1.6463054129685103E-3</v>
      </c>
      <c r="J260">
        <f t="shared" ref="J260:J323" si="46">(E260-B260)/C260</f>
        <v>0.58064516129032262</v>
      </c>
      <c r="K260">
        <f t="shared" ref="K260:K323" si="47">(B260-D260)/C260</f>
        <v>0.41935483870967744</v>
      </c>
      <c r="L260">
        <f t="shared" ref="L260:L323" si="48">B260-46</f>
        <v>211</v>
      </c>
      <c r="M260" s="6">
        <f t="shared" ref="M260:M323" si="49">J260*F260+K260*G260</f>
        <v>4.0975310967224781</v>
      </c>
      <c r="N260" s="13">
        <f t="shared" si="44"/>
        <v>4.2311191405946973</v>
      </c>
      <c r="O260" s="6">
        <f t="shared" si="41"/>
        <v>460.70009933639665</v>
      </c>
      <c r="P260" s="6">
        <f t="shared" si="42"/>
        <v>462.29964019317407</v>
      </c>
      <c r="Q260" s="6">
        <f t="shared" ref="Q260:Q323" si="50">M260+(((J260^3-J260)*H260+(K260^3-K260)*I260))*(C260^2)/6</f>
        <v>4.2311191405946973</v>
      </c>
      <c r="S260">
        <v>211</v>
      </c>
      <c r="T260" s="6">
        <f t="shared" si="43"/>
        <v>4.2311191405946973</v>
      </c>
    </row>
    <row r="261" spans="2:20">
      <c r="B261">
        <f t="shared" ref="B261:B324" si="51">B260+1</f>
        <v>258</v>
      </c>
      <c r="C261">
        <f t="shared" si="45"/>
        <v>31</v>
      </c>
      <c r="D261">
        <v>244</v>
      </c>
      <c r="E261">
        <v>275</v>
      </c>
      <c r="F261">
        <f>PMSPLINE!F$12</f>
        <v>4.4141750173092893</v>
      </c>
      <c r="G261">
        <f>PMSPLINE!F$13</f>
        <v>3.6591010528330465</v>
      </c>
      <c r="H261" s="5">
        <f>PMSPLINE!K$12</f>
        <v>-6.8873326603078179E-4</v>
      </c>
      <c r="I261" s="5">
        <f>PMSPLINE!K$13</f>
        <v>-1.6463054129685103E-3</v>
      </c>
      <c r="J261">
        <f t="shared" si="46"/>
        <v>0.54838709677419351</v>
      </c>
      <c r="K261">
        <f t="shared" si="47"/>
        <v>0.45161290322580644</v>
      </c>
      <c r="L261">
        <f t="shared" si="48"/>
        <v>212</v>
      </c>
      <c r="M261" s="6">
        <f t="shared" si="49"/>
        <v>4.0731738720619539</v>
      </c>
      <c r="N261" s="13">
        <f t="shared" si="44"/>
        <v>4.210270752728773</v>
      </c>
      <c r="O261" s="6">
        <f t="shared" ref="O261:O324" si="52">O260+M261</f>
        <v>464.77327320845859</v>
      </c>
      <c r="P261" s="6">
        <f t="shared" ref="P261:P324" si="53">P260+N261</f>
        <v>466.50991094590285</v>
      </c>
      <c r="Q261" s="6">
        <f t="shared" si="50"/>
        <v>4.210270752728773</v>
      </c>
      <c r="S261">
        <v>212</v>
      </c>
      <c r="T261" s="6">
        <f t="shared" si="43"/>
        <v>4.210270752728773</v>
      </c>
    </row>
    <row r="262" spans="2:20">
      <c r="B262">
        <f t="shared" si="51"/>
        <v>259</v>
      </c>
      <c r="C262">
        <f t="shared" si="45"/>
        <v>31</v>
      </c>
      <c r="D262">
        <v>244</v>
      </c>
      <c r="E262">
        <v>275</v>
      </c>
      <c r="F262">
        <f>PMSPLINE!F$12</f>
        <v>4.4141750173092893</v>
      </c>
      <c r="G262">
        <f>PMSPLINE!F$13</f>
        <v>3.6591010528330465</v>
      </c>
      <c r="H262" s="5">
        <f>PMSPLINE!K$12</f>
        <v>-6.8873326603078179E-4</v>
      </c>
      <c r="I262" s="5">
        <f>PMSPLINE!K$13</f>
        <v>-1.6463054129685103E-3</v>
      </c>
      <c r="J262">
        <f t="shared" si="46"/>
        <v>0.5161290322580645</v>
      </c>
      <c r="K262">
        <f t="shared" si="47"/>
        <v>0.4838709677419355</v>
      </c>
      <c r="L262">
        <f t="shared" si="48"/>
        <v>213</v>
      </c>
      <c r="M262" s="6">
        <f t="shared" si="49"/>
        <v>4.0488166474014298</v>
      </c>
      <c r="N262" s="13">
        <f t="shared" si="44"/>
        <v>4.1883011796594918</v>
      </c>
      <c r="O262" s="6">
        <f t="shared" si="52"/>
        <v>468.82208985586004</v>
      </c>
      <c r="P262" s="6">
        <f t="shared" si="53"/>
        <v>470.69821212556235</v>
      </c>
      <c r="Q262" s="6">
        <f t="shared" si="50"/>
        <v>4.1883011796594918</v>
      </c>
      <c r="S262">
        <v>213</v>
      </c>
      <c r="T262" s="6">
        <f t="shared" si="43"/>
        <v>4.1883011796594918</v>
      </c>
    </row>
    <row r="263" spans="2:20">
      <c r="B263">
        <f t="shared" si="51"/>
        <v>260</v>
      </c>
      <c r="C263">
        <f t="shared" si="45"/>
        <v>31</v>
      </c>
      <c r="D263">
        <v>244</v>
      </c>
      <c r="E263">
        <v>275</v>
      </c>
      <c r="F263">
        <f>PMSPLINE!F$12</f>
        <v>4.4141750173092893</v>
      </c>
      <c r="G263">
        <f>PMSPLINE!F$13</f>
        <v>3.6591010528330465</v>
      </c>
      <c r="H263" s="5">
        <f>PMSPLINE!K$12</f>
        <v>-6.8873326603078179E-4</v>
      </c>
      <c r="I263" s="5">
        <f>PMSPLINE!K$13</f>
        <v>-1.6463054129685103E-3</v>
      </c>
      <c r="J263">
        <f t="shared" si="46"/>
        <v>0.4838709677419355</v>
      </c>
      <c r="K263">
        <f t="shared" si="47"/>
        <v>0.5161290322580645</v>
      </c>
      <c r="L263">
        <f t="shared" si="48"/>
        <v>214</v>
      </c>
      <c r="M263" s="6">
        <f t="shared" si="49"/>
        <v>4.0244594227409056</v>
      </c>
      <c r="N263" s="13">
        <f t="shared" si="44"/>
        <v>4.1651795319627585</v>
      </c>
      <c r="O263" s="6">
        <f t="shared" si="52"/>
        <v>472.84654927860095</v>
      </c>
      <c r="P263" s="6">
        <f t="shared" si="53"/>
        <v>474.86339165752509</v>
      </c>
      <c r="Q263" s="6">
        <f t="shared" si="50"/>
        <v>4.1651795319627585</v>
      </c>
      <c r="S263">
        <v>214</v>
      </c>
      <c r="T263" s="6">
        <f t="shared" si="43"/>
        <v>4.1651795319627585</v>
      </c>
    </row>
    <row r="264" spans="2:20">
      <c r="B264">
        <f t="shared" si="51"/>
        <v>261</v>
      </c>
      <c r="C264">
        <f t="shared" si="45"/>
        <v>31</v>
      </c>
      <c r="D264">
        <v>244</v>
      </c>
      <c r="E264">
        <v>275</v>
      </c>
      <c r="F264">
        <f>PMSPLINE!F$12</f>
        <v>4.4141750173092893</v>
      </c>
      <c r="G264">
        <f>PMSPLINE!F$13</f>
        <v>3.6591010528330465</v>
      </c>
      <c r="H264" s="5">
        <f>PMSPLINE!K$12</f>
        <v>-6.8873326603078179E-4</v>
      </c>
      <c r="I264" s="5">
        <f>PMSPLINE!K$13</f>
        <v>-1.6463054129685103E-3</v>
      </c>
      <c r="J264">
        <f t="shared" si="46"/>
        <v>0.45161290322580644</v>
      </c>
      <c r="K264">
        <f t="shared" si="47"/>
        <v>0.54838709677419351</v>
      </c>
      <c r="L264">
        <f t="shared" si="48"/>
        <v>215</v>
      </c>
      <c r="M264" s="6">
        <f t="shared" si="49"/>
        <v>4.0001021980803824</v>
      </c>
      <c r="N264" s="13">
        <f t="shared" si="44"/>
        <v>4.140874920214479</v>
      </c>
      <c r="O264" s="6">
        <f t="shared" si="52"/>
        <v>476.8466514766813</v>
      </c>
      <c r="P264" s="6">
        <f t="shared" si="53"/>
        <v>479.00426657773954</v>
      </c>
      <c r="Q264" s="6">
        <f t="shared" si="50"/>
        <v>4.140874920214479</v>
      </c>
      <c r="S264">
        <v>215</v>
      </c>
      <c r="T264" s="6">
        <f t="shared" si="43"/>
        <v>4.140874920214479</v>
      </c>
    </row>
    <row r="265" spans="2:20">
      <c r="B265">
        <f t="shared" si="51"/>
        <v>262</v>
      </c>
      <c r="C265">
        <f t="shared" si="45"/>
        <v>31</v>
      </c>
      <c r="D265">
        <v>244</v>
      </c>
      <c r="E265">
        <v>275</v>
      </c>
      <c r="F265">
        <f>PMSPLINE!F$12</f>
        <v>4.4141750173092893</v>
      </c>
      <c r="G265">
        <f>PMSPLINE!F$13</f>
        <v>3.6591010528330465</v>
      </c>
      <c r="H265" s="5">
        <f>PMSPLINE!K$12</f>
        <v>-6.8873326603078179E-4</v>
      </c>
      <c r="I265" s="5">
        <f>PMSPLINE!K$13</f>
        <v>-1.6463054129685103E-3</v>
      </c>
      <c r="J265">
        <f t="shared" si="46"/>
        <v>0.41935483870967744</v>
      </c>
      <c r="K265">
        <f t="shared" si="47"/>
        <v>0.58064516129032262</v>
      </c>
      <c r="L265">
        <f t="shared" si="48"/>
        <v>216</v>
      </c>
      <c r="M265" s="6">
        <f t="shared" si="49"/>
        <v>3.9757449734198582</v>
      </c>
      <c r="N265" s="13">
        <f t="shared" si="44"/>
        <v>4.1153564549905566</v>
      </c>
      <c r="O265" s="6">
        <f t="shared" si="52"/>
        <v>480.82239645010117</v>
      </c>
      <c r="P265" s="6">
        <f t="shared" si="53"/>
        <v>483.11962303273009</v>
      </c>
      <c r="Q265" s="6">
        <f t="shared" si="50"/>
        <v>4.1153564549905566</v>
      </c>
      <c r="S265">
        <v>216</v>
      </c>
      <c r="T265" s="6">
        <f t="shared" si="43"/>
        <v>4.1153564549905566</v>
      </c>
    </row>
    <row r="266" spans="2:20">
      <c r="B266">
        <f t="shared" si="51"/>
        <v>263</v>
      </c>
      <c r="C266">
        <f t="shared" si="45"/>
        <v>31</v>
      </c>
      <c r="D266">
        <v>244</v>
      </c>
      <c r="E266">
        <v>275</v>
      </c>
      <c r="F266">
        <f>PMSPLINE!F$12</f>
        <v>4.4141750173092893</v>
      </c>
      <c r="G266">
        <f>PMSPLINE!F$13</f>
        <v>3.6591010528330465</v>
      </c>
      <c r="H266" s="5">
        <f>PMSPLINE!K$12</f>
        <v>-6.8873326603078179E-4</v>
      </c>
      <c r="I266" s="5">
        <f>PMSPLINE!K$13</f>
        <v>-1.6463054129685103E-3</v>
      </c>
      <c r="J266">
        <f t="shared" si="46"/>
        <v>0.38709677419354838</v>
      </c>
      <c r="K266">
        <f t="shared" si="47"/>
        <v>0.61290322580645162</v>
      </c>
      <c r="L266">
        <f t="shared" si="48"/>
        <v>217</v>
      </c>
      <c r="M266" s="6">
        <f t="shared" si="49"/>
        <v>3.9513877487593341</v>
      </c>
      <c r="N266" s="13">
        <f t="shared" si="44"/>
        <v>4.088593246866898</v>
      </c>
      <c r="O266" s="6">
        <f t="shared" si="52"/>
        <v>484.77378419886048</v>
      </c>
      <c r="P266" s="6">
        <f t="shared" si="53"/>
        <v>487.20821627959697</v>
      </c>
      <c r="Q266" s="6">
        <f t="shared" si="50"/>
        <v>4.088593246866898</v>
      </c>
      <c r="S266">
        <v>217</v>
      </c>
      <c r="T266" s="6">
        <f t="shared" si="43"/>
        <v>4.088593246866898</v>
      </c>
    </row>
    <row r="267" spans="2:20">
      <c r="B267">
        <f t="shared" si="51"/>
        <v>264</v>
      </c>
      <c r="C267">
        <f t="shared" si="45"/>
        <v>31</v>
      </c>
      <c r="D267">
        <v>244</v>
      </c>
      <c r="E267">
        <v>275</v>
      </c>
      <c r="F267">
        <f>PMSPLINE!F$12</f>
        <v>4.4141750173092893</v>
      </c>
      <c r="G267">
        <f>PMSPLINE!F$13</f>
        <v>3.6591010528330465</v>
      </c>
      <c r="H267" s="5">
        <f>PMSPLINE!K$12</f>
        <v>-6.8873326603078179E-4</v>
      </c>
      <c r="I267" s="5">
        <f>PMSPLINE!K$13</f>
        <v>-1.6463054129685103E-3</v>
      </c>
      <c r="J267">
        <f t="shared" si="46"/>
        <v>0.35483870967741937</v>
      </c>
      <c r="K267">
        <f t="shared" si="47"/>
        <v>0.64516129032258063</v>
      </c>
      <c r="L267">
        <f t="shared" si="48"/>
        <v>218</v>
      </c>
      <c r="M267" s="6">
        <f t="shared" si="49"/>
        <v>3.9270305240988104</v>
      </c>
      <c r="N267" s="13">
        <f t="shared" si="44"/>
        <v>4.0605544064194081</v>
      </c>
      <c r="O267" s="6">
        <f t="shared" si="52"/>
        <v>488.70081472295931</v>
      </c>
      <c r="P267" s="6">
        <f t="shared" si="53"/>
        <v>491.26877068601635</v>
      </c>
      <c r="Q267" s="6">
        <f t="shared" si="50"/>
        <v>4.0605544064194081</v>
      </c>
      <c r="S267">
        <v>218</v>
      </c>
      <c r="T267" s="6">
        <f t="shared" si="43"/>
        <v>4.0605544064194081</v>
      </c>
    </row>
    <row r="268" spans="2:20">
      <c r="B268">
        <f t="shared" si="51"/>
        <v>265</v>
      </c>
      <c r="C268">
        <f t="shared" si="45"/>
        <v>31</v>
      </c>
      <c r="D268">
        <v>244</v>
      </c>
      <c r="E268">
        <v>275</v>
      </c>
      <c r="F268">
        <f>PMSPLINE!F$12</f>
        <v>4.4141750173092893</v>
      </c>
      <c r="G268">
        <f>PMSPLINE!F$13</f>
        <v>3.6591010528330465</v>
      </c>
      <c r="H268" s="5">
        <f>PMSPLINE!K$12</f>
        <v>-6.8873326603078179E-4</v>
      </c>
      <c r="I268" s="5">
        <f>PMSPLINE!K$13</f>
        <v>-1.6463054129685103E-3</v>
      </c>
      <c r="J268">
        <f t="shared" si="46"/>
        <v>0.32258064516129031</v>
      </c>
      <c r="K268">
        <f t="shared" si="47"/>
        <v>0.67741935483870963</v>
      </c>
      <c r="L268">
        <f t="shared" si="48"/>
        <v>219</v>
      </c>
      <c r="M268" s="6">
        <f t="shared" si="49"/>
        <v>3.9026732994382858</v>
      </c>
      <c r="N268" s="13">
        <f t="shared" si="44"/>
        <v>4.0312090442239912</v>
      </c>
      <c r="O268" s="6">
        <f t="shared" si="52"/>
        <v>492.60348802239758</v>
      </c>
      <c r="P268" s="6">
        <f t="shared" si="53"/>
        <v>495.29997973024035</v>
      </c>
      <c r="Q268" s="6">
        <f t="shared" si="50"/>
        <v>4.0312090442239912</v>
      </c>
      <c r="S268">
        <v>219</v>
      </c>
      <c r="T268" s="6">
        <f t="shared" si="43"/>
        <v>4.0312090442239912</v>
      </c>
    </row>
    <row r="269" spans="2:20">
      <c r="B269">
        <f t="shared" si="51"/>
        <v>266</v>
      </c>
      <c r="C269">
        <f t="shared" si="45"/>
        <v>31</v>
      </c>
      <c r="D269">
        <v>244</v>
      </c>
      <c r="E269">
        <v>275</v>
      </c>
      <c r="F269">
        <f>PMSPLINE!F$12</f>
        <v>4.4141750173092893</v>
      </c>
      <c r="G269">
        <f>PMSPLINE!F$13</f>
        <v>3.6591010528330465</v>
      </c>
      <c r="H269" s="5">
        <f>PMSPLINE!K$12</f>
        <v>-6.8873326603078179E-4</v>
      </c>
      <c r="I269" s="5">
        <f>PMSPLINE!K$13</f>
        <v>-1.6463054129685103E-3</v>
      </c>
      <c r="J269">
        <f t="shared" si="46"/>
        <v>0.29032258064516131</v>
      </c>
      <c r="K269">
        <f t="shared" si="47"/>
        <v>0.70967741935483875</v>
      </c>
      <c r="L269">
        <f t="shared" si="48"/>
        <v>220</v>
      </c>
      <c r="M269" s="6">
        <f t="shared" si="49"/>
        <v>3.8783160747777625</v>
      </c>
      <c r="N269" s="13">
        <f t="shared" si="44"/>
        <v>4.0005262708565548</v>
      </c>
      <c r="O269" s="6">
        <f t="shared" si="52"/>
        <v>496.48180409717537</v>
      </c>
      <c r="P269" s="6">
        <f t="shared" si="53"/>
        <v>499.30050600109689</v>
      </c>
      <c r="Q269" s="6">
        <f t="shared" si="50"/>
        <v>4.0005262708565548</v>
      </c>
      <c r="S269">
        <v>220</v>
      </c>
      <c r="T269" s="6">
        <f t="shared" si="43"/>
        <v>4.0005262708565548</v>
      </c>
    </row>
    <row r="270" spans="2:20">
      <c r="B270">
        <f t="shared" si="51"/>
        <v>267</v>
      </c>
      <c r="C270">
        <f t="shared" si="45"/>
        <v>31</v>
      </c>
      <c r="D270">
        <v>244</v>
      </c>
      <c r="E270">
        <v>275</v>
      </c>
      <c r="F270">
        <f>PMSPLINE!F$12</f>
        <v>4.4141750173092893</v>
      </c>
      <c r="G270">
        <f>PMSPLINE!F$13</f>
        <v>3.6591010528330465</v>
      </c>
      <c r="H270" s="5">
        <f>PMSPLINE!K$12</f>
        <v>-6.8873326603078179E-4</v>
      </c>
      <c r="I270" s="5">
        <f>PMSPLINE!K$13</f>
        <v>-1.6463054129685103E-3</v>
      </c>
      <c r="J270">
        <f t="shared" si="46"/>
        <v>0.25806451612903225</v>
      </c>
      <c r="K270">
        <f t="shared" si="47"/>
        <v>0.74193548387096775</v>
      </c>
      <c r="L270">
        <f t="shared" si="48"/>
        <v>221</v>
      </c>
      <c r="M270" s="6">
        <f t="shared" si="49"/>
        <v>3.8539588501172384</v>
      </c>
      <c r="N270" s="13">
        <f t="shared" si="44"/>
        <v>3.9684751968930017</v>
      </c>
      <c r="O270" s="6">
        <f t="shared" si="52"/>
        <v>500.33576294729261</v>
      </c>
      <c r="P270" s="6">
        <f t="shared" si="53"/>
        <v>503.26898119798989</v>
      </c>
      <c r="Q270" s="6">
        <f t="shared" si="50"/>
        <v>3.9684751968930017</v>
      </c>
      <c r="S270">
        <v>221</v>
      </c>
      <c r="T270" s="6">
        <f t="shared" si="43"/>
        <v>3.9684751968930017</v>
      </c>
    </row>
    <row r="271" spans="2:20">
      <c r="B271">
        <f t="shared" si="51"/>
        <v>268</v>
      </c>
      <c r="C271">
        <f t="shared" si="45"/>
        <v>31</v>
      </c>
      <c r="D271">
        <v>244</v>
      </c>
      <c r="E271">
        <v>275</v>
      </c>
      <c r="F271">
        <f>PMSPLINE!F$12</f>
        <v>4.4141750173092893</v>
      </c>
      <c r="G271">
        <f>PMSPLINE!F$13</f>
        <v>3.6591010528330465</v>
      </c>
      <c r="H271" s="5">
        <f>PMSPLINE!K$12</f>
        <v>-6.8873326603078179E-4</v>
      </c>
      <c r="I271" s="5">
        <f>PMSPLINE!K$13</f>
        <v>-1.6463054129685103E-3</v>
      </c>
      <c r="J271">
        <f t="shared" si="46"/>
        <v>0.22580645161290322</v>
      </c>
      <c r="K271">
        <f t="shared" si="47"/>
        <v>0.77419354838709675</v>
      </c>
      <c r="L271">
        <f t="shared" si="48"/>
        <v>222</v>
      </c>
      <c r="M271" s="6">
        <f t="shared" si="49"/>
        <v>3.8296016254567142</v>
      </c>
      <c r="N271" s="13">
        <f t="shared" si="44"/>
        <v>3.9350249329092386</v>
      </c>
      <c r="O271" s="6">
        <f t="shared" si="52"/>
        <v>504.1653645727493</v>
      </c>
      <c r="P271" s="6">
        <f t="shared" si="53"/>
        <v>507.20400613089913</v>
      </c>
      <c r="Q271" s="6">
        <f t="shared" si="50"/>
        <v>3.9350249329092386</v>
      </c>
      <c r="S271">
        <v>222</v>
      </c>
      <c r="T271" s="6">
        <f t="shared" si="43"/>
        <v>3.9350249329092386</v>
      </c>
    </row>
    <row r="272" spans="2:20">
      <c r="B272">
        <f t="shared" si="51"/>
        <v>269</v>
      </c>
      <c r="C272">
        <f t="shared" si="45"/>
        <v>31</v>
      </c>
      <c r="D272">
        <v>244</v>
      </c>
      <c r="E272">
        <v>275</v>
      </c>
      <c r="F272">
        <f>PMSPLINE!F$12</f>
        <v>4.4141750173092893</v>
      </c>
      <c r="G272">
        <f>PMSPLINE!F$13</f>
        <v>3.6591010528330465</v>
      </c>
      <c r="H272" s="5">
        <f>PMSPLINE!K$12</f>
        <v>-6.8873326603078179E-4</v>
      </c>
      <c r="I272" s="5">
        <f>PMSPLINE!K$13</f>
        <v>-1.6463054129685103E-3</v>
      </c>
      <c r="J272">
        <f t="shared" si="46"/>
        <v>0.19354838709677419</v>
      </c>
      <c r="K272">
        <f t="shared" si="47"/>
        <v>0.80645161290322576</v>
      </c>
      <c r="L272">
        <f t="shared" si="48"/>
        <v>223</v>
      </c>
      <c r="M272" s="6">
        <f t="shared" si="49"/>
        <v>3.8052444007961901</v>
      </c>
      <c r="N272" s="13">
        <f t="shared" si="44"/>
        <v>3.9001445894811702</v>
      </c>
      <c r="O272" s="6">
        <f t="shared" si="52"/>
        <v>507.9706089735455</v>
      </c>
      <c r="P272" s="6">
        <f t="shared" si="53"/>
        <v>511.10415072038029</v>
      </c>
      <c r="Q272" s="6">
        <f t="shared" si="50"/>
        <v>3.9001445894811702</v>
      </c>
      <c r="S272">
        <v>223</v>
      </c>
      <c r="T272" s="6">
        <f t="shared" si="43"/>
        <v>3.9001445894811702</v>
      </c>
    </row>
    <row r="273" spans="1:20">
      <c r="B273">
        <f t="shared" si="51"/>
        <v>270</v>
      </c>
      <c r="C273">
        <f t="shared" si="45"/>
        <v>31</v>
      </c>
      <c r="D273">
        <v>244</v>
      </c>
      <c r="E273">
        <v>275</v>
      </c>
      <c r="F273">
        <f>PMSPLINE!F$12</f>
        <v>4.4141750173092893</v>
      </c>
      <c r="G273">
        <f>PMSPLINE!F$13</f>
        <v>3.6591010528330465</v>
      </c>
      <c r="H273" s="5">
        <f>PMSPLINE!K$12</f>
        <v>-6.8873326603078179E-4</v>
      </c>
      <c r="I273" s="5">
        <f>PMSPLINE!K$13</f>
        <v>-1.6463054129685103E-3</v>
      </c>
      <c r="J273">
        <f t="shared" si="46"/>
        <v>0.16129032258064516</v>
      </c>
      <c r="K273">
        <f t="shared" si="47"/>
        <v>0.83870967741935487</v>
      </c>
      <c r="L273">
        <f t="shared" si="48"/>
        <v>224</v>
      </c>
      <c r="M273" s="6">
        <f t="shared" si="49"/>
        <v>3.7808871761356668</v>
      </c>
      <c r="N273" s="13">
        <f t="shared" si="44"/>
        <v>3.8638032771847031</v>
      </c>
      <c r="O273" s="6">
        <f t="shared" si="52"/>
        <v>511.75149614968115</v>
      </c>
      <c r="P273" s="6">
        <f t="shared" si="53"/>
        <v>514.96795399756502</v>
      </c>
      <c r="Q273" s="6">
        <f t="shared" si="50"/>
        <v>3.8638032771847031</v>
      </c>
      <c r="S273">
        <v>224</v>
      </c>
      <c r="T273" s="6">
        <f t="shared" si="43"/>
        <v>3.8638032771847031</v>
      </c>
    </row>
    <row r="274" spans="1:20">
      <c r="B274">
        <f t="shared" si="51"/>
        <v>271</v>
      </c>
      <c r="C274">
        <f t="shared" si="45"/>
        <v>31</v>
      </c>
      <c r="D274">
        <v>244</v>
      </c>
      <c r="E274">
        <v>275</v>
      </c>
      <c r="F274">
        <f>PMSPLINE!F$12</f>
        <v>4.4141750173092893</v>
      </c>
      <c r="G274">
        <f>PMSPLINE!F$13</f>
        <v>3.6591010528330465</v>
      </c>
      <c r="H274" s="5">
        <f>PMSPLINE!K$12</f>
        <v>-6.8873326603078179E-4</v>
      </c>
      <c r="I274" s="5">
        <f>PMSPLINE!K$13</f>
        <v>-1.6463054129685103E-3</v>
      </c>
      <c r="J274">
        <f t="shared" si="46"/>
        <v>0.12903225806451613</v>
      </c>
      <c r="K274">
        <f t="shared" si="47"/>
        <v>0.87096774193548387</v>
      </c>
      <c r="L274">
        <f t="shared" si="48"/>
        <v>225</v>
      </c>
      <c r="M274" s="6">
        <f t="shared" si="49"/>
        <v>3.7565299514751422</v>
      </c>
      <c r="N274" s="13">
        <f t="shared" si="44"/>
        <v>3.8259701065957397</v>
      </c>
      <c r="O274" s="6">
        <f t="shared" si="52"/>
        <v>515.50802610115625</v>
      </c>
      <c r="P274" s="6">
        <f t="shared" si="53"/>
        <v>518.79392410416074</v>
      </c>
      <c r="Q274" s="6">
        <f t="shared" si="50"/>
        <v>3.8259701065957397</v>
      </c>
      <c r="S274">
        <v>225</v>
      </c>
      <c r="T274" s="6">
        <f t="shared" si="43"/>
        <v>3.8259701065957397</v>
      </c>
    </row>
    <row r="275" spans="1:20">
      <c r="B275">
        <f t="shared" si="51"/>
        <v>272</v>
      </c>
      <c r="C275">
        <f t="shared" si="45"/>
        <v>31</v>
      </c>
      <c r="D275">
        <v>244</v>
      </c>
      <c r="E275">
        <v>275</v>
      </c>
      <c r="F275">
        <f>PMSPLINE!F$12</f>
        <v>4.4141750173092893</v>
      </c>
      <c r="G275">
        <f>PMSPLINE!F$13</f>
        <v>3.6591010528330465</v>
      </c>
      <c r="H275" s="5">
        <f>PMSPLINE!K$12</f>
        <v>-6.8873326603078179E-4</v>
      </c>
      <c r="I275" s="5">
        <f>PMSPLINE!K$13</f>
        <v>-1.6463054129685103E-3</v>
      </c>
      <c r="J275">
        <f t="shared" si="46"/>
        <v>9.6774193548387094E-2</v>
      </c>
      <c r="K275">
        <f t="shared" si="47"/>
        <v>0.90322580645161288</v>
      </c>
      <c r="L275">
        <f t="shared" si="48"/>
        <v>226</v>
      </c>
      <c r="M275" s="6">
        <f t="shared" si="49"/>
        <v>3.7321727268146185</v>
      </c>
      <c r="N275" s="13">
        <f t="shared" si="44"/>
        <v>3.7866141882901876</v>
      </c>
      <c r="O275" s="6">
        <f t="shared" si="52"/>
        <v>519.24019882797086</v>
      </c>
      <c r="P275" s="6">
        <f t="shared" si="53"/>
        <v>522.58053829245091</v>
      </c>
      <c r="Q275" s="6">
        <f t="shared" si="50"/>
        <v>3.7866141882901876</v>
      </c>
      <c r="S275">
        <v>226</v>
      </c>
      <c r="T275" s="6">
        <f t="shared" si="43"/>
        <v>3.7866141882901876</v>
      </c>
    </row>
    <row r="276" spans="1:20">
      <c r="B276">
        <f t="shared" si="51"/>
        <v>273</v>
      </c>
      <c r="C276">
        <f t="shared" si="45"/>
        <v>31</v>
      </c>
      <c r="D276">
        <v>244</v>
      </c>
      <c r="E276">
        <v>275</v>
      </c>
      <c r="F276">
        <f>PMSPLINE!F$12</f>
        <v>4.4141750173092893</v>
      </c>
      <c r="G276">
        <f>PMSPLINE!F$13</f>
        <v>3.6591010528330465</v>
      </c>
      <c r="H276" s="5">
        <f>PMSPLINE!K$12</f>
        <v>-6.8873326603078179E-4</v>
      </c>
      <c r="I276" s="5">
        <f>PMSPLINE!K$13</f>
        <v>-1.6463054129685103E-3</v>
      </c>
      <c r="J276">
        <f t="shared" si="46"/>
        <v>6.4516129032258063E-2</v>
      </c>
      <c r="K276">
        <f t="shared" si="47"/>
        <v>0.93548387096774188</v>
      </c>
      <c r="L276">
        <f t="shared" si="48"/>
        <v>227</v>
      </c>
      <c r="M276" s="6">
        <f t="shared" si="49"/>
        <v>3.7078155021540944</v>
      </c>
      <c r="N276" s="13">
        <f t="shared" si="44"/>
        <v>3.7457046328439509</v>
      </c>
      <c r="O276" s="6">
        <f t="shared" si="52"/>
        <v>522.94801433012492</v>
      </c>
      <c r="P276" s="6">
        <f t="shared" si="53"/>
        <v>526.32624292529488</v>
      </c>
      <c r="Q276" s="6">
        <f t="shared" si="50"/>
        <v>3.7457046328439509</v>
      </c>
      <c r="S276">
        <v>227</v>
      </c>
      <c r="T276" s="6">
        <f t="shared" si="43"/>
        <v>3.7457046328439509</v>
      </c>
    </row>
    <row r="277" spans="1:20">
      <c r="B277">
        <f t="shared" si="51"/>
        <v>274</v>
      </c>
      <c r="C277">
        <f t="shared" si="45"/>
        <v>31</v>
      </c>
      <c r="D277">
        <v>244</v>
      </c>
      <c r="E277">
        <v>275</v>
      </c>
      <c r="F277">
        <f>PMSPLINE!F$12</f>
        <v>4.4141750173092893</v>
      </c>
      <c r="G277">
        <f>PMSPLINE!F$13</f>
        <v>3.6591010528330465</v>
      </c>
      <c r="H277" s="5">
        <f>PMSPLINE!K$12</f>
        <v>-6.8873326603078179E-4</v>
      </c>
      <c r="I277" s="5">
        <f>PMSPLINE!K$13</f>
        <v>-1.6463054129685103E-3</v>
      </c>
      <c r="J277">
        <f t="shared" si="46"/>
        <v>3.2258064516129031E-2</v>
      </c>
      <c r="K277">
        <f t="shared" si="47"/>
        <v>0.967741935483871</v>
      </c>
      <c r="L277">
        <f t="shared" si="48"/>
        <v>228</v>
      </c>
      <c r="M277" s="6">
        <f t="shared" si="49"/>
        <v>3.6834582774935702</v>
      </c>
      <c r="N277" s="13">
        <f t="shared" si="44"/>
        <v>3.7032105508329356</v>
      </c>
      <c r="O277" s="6">
        <f t="shared" si="52"/>
        <v>526.63147260761843</v>
      </c>
      <c r="P277" s="6">
        <f t="shared" si="53"/>
        <v>530.02945347612786</v>
      </c>
      <c r="Q277" s="6">
        <f t="shared" si="50"/>
        <v>3.7032105508329356</v>
      </c>
      <c r="S277">
        <v>228</v>
      </c>
      <c r="T277" s="6">
        <f t="shared" si="43"/>
        <v>3.7032105508329356</v>
      </c>
    </row>
    <row r="278" spans="1:20">
      <c r="A278">
        <v>275</v>
      </c>
      <c r="B278">
        <f t="shared" si="51"/>
        <v>275</v>
      </c>
      <c r="C278">
        <f t="shared" si="45"/>
        <v>31</v>
      </c>
      <c r="D278">
        <v>244</v>
      </c>
      <c r="E278">
        <v>275</v>
      </c>
      <c r="F278">
        <f>PMSPLINE!F$12</f>
        <v>4.4141750173092893</v>
      </c>
      <c r="G278">
        <f>PMSPLINE!F$13</f>
        <v>3.6591010528330465</v>
      </c>
      <c r="H278" s="5">
        <f>PMSPLINE!K$12</f>
        <v>-6.8873326603078179E-4</v>
      </c>
      <c r="I278" s="5">
        <f>PMSPLINE!K$13</f>
        <v>-1.6463054129685103E-3</v>
      </c>
      <c r="J278">
        <f t="shared" si="46"/>
        <v>0</v>
      </c>
      <c r="K278">
        <f t="shared" si="47"/>
        <v>1</v>
      </c>
      <c r="L278">
        <f t="shared" si="48"/>
        <v>229</v>
      </c>
      <c r="M278" s="6">
        <f t="shared" si="49"/>
        <v>3.6591010528330465</v>
      </c>
      <c r="N278" s="13">
        <f t="shared" si="44"/>
        <v>3.6591010528330465</v>
      </c>
      <c r="O278" s="6">
        <f t="shared" si="52"/>
        <v>530.29057366045151</v>
      </c>
      <c r="P278" s="6">
        <f t="shared" si="53"/>
        <v>533.68855452896094</v>
      </c>
      <c r="Q278" s="6">
        <f t="shared" si="50"/>
        <v>3.6591010528330465</v>
      </c>
      <c r="S278">
        <v>229</v>
      </c>
      <c r="T278" s="6">
        <f t="shared" si="43"/>
        <v>3.6591010528330465</v>
      </c>
    </row>
    <row r="279" spans="1:20">
      <c r="B279">
        <f t="shared" si="51"/>
        <v>276</v>
      </c>
      <c r="C279">
        <f t="shared" si="45"/>
        <v>30</v>
      </c>
      <c r="D279">
        <v>275</v>
      </c>
      <c r="E279">
        <v>305</v>
      </c>
      <c r="F279">
        <f>PMSPLINE!F$13</f>
        <v>3.6591010528330465</v>
      </c>
      <c r="G279">
        <f>PMSPLINE!F$14</f>
        <v>2.0231525471596536</v>
      </c>
      <c r="H279" s="5">
        <f>PMSPLINE!K$13</f>
        <v>-1.6463054129685103E-3</v>
      </c>
      <c r="I279" s="5">
        <f>PMSPLINE!K$14</f>
        <v>1.3717879485859222E-3</v>
      </c>
      <c r="J279">
        <f t="shared" si="46"/>
        <v>0.96666666666666667</v>
      </c>
      <c r="K279">
        <f t="shared" si="47"/>
        <v>3.3333333333333333E-2</v>
      </c>
      <c r="L279">
        <f t="shared" si="48"/>
        <v>230</v>
      </c>
      <c r="M279" s="6">
        <f t="shared" si="49"/>
        <v>3.6045694359772664</v>
      </c>
      <c r="N279" s="13">
        <f t="shared" si="44"/>
        <v>3.6133671648428796</v>
      </c>
      <c r="O279" s="6">
        <f t="shared" si="52"/>
        <v>533.8951430964288</v>
      </c>
      <c r="P279" s="6">
        <f t="shared" si="53"/>
        <v>537.30192169380382</v>
      </c>
      <c r="Q279" s="6">
        <f t="shared" si="50"/>
        <v>3.6133671648428796</v>
      </c>
      <c r="S279">
        <v>230</v>
      </c>
      <c r="T279" s="6">
        <f t="shared" si="43"/>
        <v>3.6133671648428796</v>
      </c>
    </row>
    <row r="280" spans="1:20">
      <c r="B280">
        <f t="shared" si="51"/>
        <v>277</v>
      </c>
      <c r="C280">
        <f t="shared" si="45"/>
        <v>30</v>
      </c>
      <c r="D280">
        <v>275</v>
      </c>
      <c r="E280">
        <v>305</v>
      </c>
      <c r="F280">
        <f>PMSPLINE!F$13</f>
        <v>3.6591010528330465</v>
      </c>
      <c r="G280">
        <f>PMSPLINE!F$14</f>
        <v>2.0231525471596536</v>
      </c>
      <c r="H280" s="5">
        <f>PMSPLINE!K$13</f>
        <v>-1.6463054129685103E-3</v>
      </c>
      <c r="I280" s="5">
        <f>PMSPLINE!K$14</f>
        <v>1.3717879485859222E-3</v>
      </c>
      <c r="J280">
        <f t="shared" si="46"/>
        <v>0.93333333333333335</v>
      </c>
      <c r="K280">
        <f t="shared" si="47"/>
        <v>6.6666666666666666E-2</v>
      </c>
      <c r="L280">
        <f t="shared" si="48"/>
        <v>231</v>
      </c>
      <c r="M280" s="6">
        <f t="shared" si="49"/>
        <v>3.5500378191214872</v>
      </c>
      <c r="N280" s="13">
        <f t="shared" si="44"/>
        <v>3.5660875745517968</v>
      </c>
      <c r="O280" s="6">
        <f t="shared" si="52"/>
        <v>537.44518091555028</v>
      </c>
      <c r="P280" s="6">
        <f t="shared" si="53"/>
        <v>540.86800926835565</v>
      </c>
      <c r="Q280" s="6">
        <f t="shared" si="50"/>
        <v>3.5660875745517968</v>
      </c>
      <c r="S280">
        <v>231</v>
      </c>
      <c r="T280" s="6">
        <f t="shared" si="43"/>
        <v>3.5660875745517968</v>
      </c>
    </row>
    <row r="281" spans="1:20">
      <c r="B281">
        <f t="shared" si="51"/>
        <v>278</v>
      </c>
      <c r="C281">
        <f t="shared" si="45"/>
        <v>30</v>
      </c>
      <c r="D281">
        <v>275</v>
      </c>
      <c r="E281">
        <v>305</v>
      </c>
      <c r="F281">
        <f>PMSPLINE!F$13</f>
        <v>3.6591010528330465</v>
      </c>
      <c r="G281">
        <f>PMSPLINE!F$14</f>
        <v>2.0231525471596536</v>
      </c>
      <c r="H281" s="5">
        <f>PMSPLINE!K$13</f>
        <v>-1.6463054129685103E-3</v>
      </c>
      <c r="I281" s="5">
        <f>PMSPLINE!K$14</f>
        <v>1.3717879485859222E-3</v>
      </c>
      <c r="J281">
        <f t="shared" si="46"/>
        <v>0.9</v>
      </c>
      <c r="K281">
        <f t="shared" si="47"/>
        <v>0.1</v>
      </c>
      <c r="L281">
        <f t="shared" si="48"/>
        <v>232</v>
      </c>
      <c r="M281" s="6">
        <f t="shared" si="49"/>
        <v>3.4955062022657071</v>
      </c>
      <c r="N281" s="13">
        <f t="shared" si="44"/>
        <v>3.5173628850718486</v>
      </c>
      <c r="O281" s="6">
        <f t="shared" si="52"/>
        <v>540.94068711781597</v>
      </c>
      <c r="P281" s="6">
        <f t="shared" si="53"/>
        <v>544.38537215342751</v>
      </c>
      <c r="Q281" s="6">
        <f t="shared" si="50"/>
        <v>3.5173628850718486</v>
      </c>
      <c r="S281">
        <v>232</v>
      </c>
      <c r="T281" s="6">
        <f t="shared" si="43"/>
        <v>3.5173628850718486</v>
      </c>
    </row>
    <row r="282" spans="1:20">
      <c r="B282">
        <f t="shared" si="51"/>
        <v>279</v>
      </c>
      <c r="C282">
        <f t="shared" si="45"/>
        <v>30</v>
      </c>
      <c r="D282">
        <v>275</v>
      </c>
      <c r="E282">
        <v>305</v>
      </c>
      <c r="F282">
        <f>PMSPLINE!F$13</f>
        <v>3.6591010528330465</v>
      </c>
      <c r="G282">
        <f>PMSPLINE!F$14</f>
        <v>2.0231525471596536</v>
      </c>
      <c r="H282" s="5">
        <f>PMSPLINE!K$13</f>
        <v>-1.6463054129685103E-3</v>
      </c>
      <c r="I282" s="5">
        <f>PMSPLINE!K$14</f>
        <v>1.3717879485859222E-3</v>
      </c>
      <c r="J282">
        <f t="shared" si="46"/>
        <v>0.8666666666666667</v>
      </c>
      <c r="K282">
        <f t="shared" si="47"/>
        <v>0.13333333333333333</v>
      </c>
      <c r="L282">
        <f t="shared" si="48"/>
        <v>233</v>
      </c>
      <c r="M282" s="6">
        <f t="shared" si="49"/>
        <v>3.4409745854099278</v>
      </c>
      <c r="N282" s="13">
        <f t="shared" si="44"/>
        <v>3.4672936995150878</v>
      </c>
      <c r="O282" s="6">
        <f t="shared" si="52"/>
        <v>544.38166170322586</v>
      </c>
      <c r="P282" s="6">
        <f t="shared" si="53"/>
        <v>547.85266585294255</v>
      </c>
      <c r="Q282" s="6">
        <f t="shared" si="50"/>
        <v>3.4672936995150878</v>
      </c>
      <c r="S282">
        <v>233</v>
      </c>
      <c r="T282" s="6">
        <f t="shared" si="43"/>
        <v>3.4672936995150878</v>
      </c>
    </row>
    <row r="283" spans="1:20">
      <c r="B283">
        <f t="shared" si="51"/>
        <v>280</v>
      </c>
      <c r="C283">
        <f t="shared" si="45"/>
        <v>30</v>
      </c>
      <c r="D283">
        <v>275</v>
      </c>
      <c r="E283">
        <v>305</v>
      </c>
      <c r="F283">
        <f>PMSPLINE!F$13</f>
        <v>3.6591010528330465</v>
      </c>
      <c r="G283">
        <f>PMSPLINE!F$14</f>
        <v>2.0231525471596536</v>
      </c>
      <c r="H283" s="5">
        <f>PMSPLINE!K$13</f>
        <v>-1.6463054129685103E-3</v>
      </c>
      <c r="I283" s="5">
        <f>PMSPLINE!K$14</f>
        <v>1.3717879485859222E-3</v>
      </c>
      <c r="J283">
        <f t="shared" si="46"/>
        <v>0.83333333333333337</v>
      </c>
      <c r="K283">
        <f t="shared" si="47"/>
        <v>0.16666666666666666</v>
      </c>
      <c r="L283">
        <f t="shared" si="48"/>
        <v>234</v>
      </c>
      <c r="M283" s="6">
        <f t="shared" si="49"/>
        <v>3.3864429685541477</v>
      </c>
      <c r="N283" s="13">
        <f t="shared" si="44"/>
        <v>3.4159806209935648</v>
      </c>
      <c r="O283" s="6">
        <f t="shared" si="52"/>
        <v>547.76810467177995</v>
      </c>
      <c r="P283" s="6">
        <f t="shared" si="53"/>
        <v>551.26864647393609</v>
      </c>
      <c r="Q283" s="6">
        <f t="shared" si="50"/>
        <v>3.4159806209935648</v>
      </c>
      <c r="S283">
        <v>234</v>
      </c>
      <c r="T283" s="6">
        <f t="shared" si="43"/>
        <v>3.4159806209935648</v>
      </c>
    </row>
    <row r="284" spans="1:20">
      <c r="B284">
        <f t="shared" si="51"/>
        <v>281</v>
      </c>
      <c r="C284">
        <f t="shared" si="45"/>
        <v>30</v>
      </c>
      <c r="D284">
        <v>275</v>
      </c>
      <c r="E284">
        <v>305</v>
      </c>
      <c r="F284">
        <f>PMSPLINE!F$13</f>
        <v>3.6591010528330465</v>
      </c>
      <c r="G284">
        <f>PMSPLINE!F$14</f>
        <v>2.0231525471596536</v>
      </c>
      <c r="H284" s="5">
        <f>PMSPLINE!K$13</f>
        <v>-1.6463054129685103E-3</v>
      </c>
      <c r="I284" s="5">
        <f>PMSPLINE!K$14</f>
        <v>1.3717879485859222E-3</v>
      </c>
      <c r="J284">
        <f t="shared" si="46"/>
        <v>0.8</v>
      </c>
      <c r="K284">
        <f t="shared" si="47"/>
        <v>0.2</v>
      </c>
      <c r="L284">
        <f t="shared" si="48"/>
        <v>235</v>
      </c>
      <c r="M284" s="6">
        <f t="shared" si="49"/>
        <v>3.3319113516983685</v>
      </c>
      <c r="N284" s="13">
        <f t="shared" si="44"/>
        <v>3.3635242526193334</v>
      </c>
      <c r="O284" s="6">
        <f t="shared" si="52"/>
        <v>551.10001602347836</v>
      </c>
      <c r="P284" s="6">
        <f t="shared" si="53"/>
        <v>554.63217072655539</v>
      </c>
      <c r="Q284" s="6">
        <f t="shared" si="50"/>
        <v>3.3635242526193334</v>
      </c>
      <c r="S284">
        <v>235</v>
      </c>
      <c r="T284" s="6">
        <f t="shared" si="43"/>
        <v>3.3635242526193334</v>
      </c>
    </row>
    <row r="285" spans="1:20">
      <c r="B285">
        <f t="shared" si="51"/>
        <v>282</v>
      </c>
      <c r="C285">
        <f t="shared" si="45"/>
        <v>30</v>
      </c>
      <c r="D285">
        <v>275</v>
      </c>
      <c r="E285">
        <v>305</v>
      </c>
      <c r="F285">
        <f>PMSPLINE!F$13</f>
        <v>3.6591010528330465</v>
      </c>
      <c r="G285">
        <f>PMSPLINE!F$14</f>
        <v>2.0231525471596536</v>
      </c>
      <c r="H285" s="5">
        <f>PMSPLINE!K$13</f>
        <v>-1.6463054129685103E-3</v>
      </c>
      <c r="I285" s="5">
        <f>PMSPLINE!K$14</f>
        <v>1.3717879485859222E-3</v>
      </c>
      <c r="J285">
        <f t="shared" si="46"/>
        <v>0.76666666666666672</v>
      </c>
      <c r="K285">
        <f t="shared" si="47"/>
        <v>0.23333333333333334</v>
      </c>
      <c r="L285">
        <f t="shared" si="48"/>
        <v>236</v>
      </c>
      <c r="M285" s="6">
        <f t="shared" si="49"/>
        <v>3.2773797348425884</v>
      </c>
      <c r="N285" s="13">
        <f t="shared" si="44"/>
        <v>3.3100251975044439</v>
      </c>
      <c r="O285" s="6">
        <f t="shared" si="52"/>
        <v>554.37739575832097</v>
      </c>
      <c r="P285" s="6">
        <f t="shared" si="53"/>
        <v>557.94219592405977</v>
      </c>
      <c r="Q285" s="6">
        <f t="shared" si="50"/>
        <v>3.3100251975044439</v>
      </c>
      <c r="S285">
        <v>236</v>
      </c>
      <c r="T285" s="6">
        <f t="shared" si="43"/>
        <v>3.3100251975044439</v>
      </c>
    </row>
    <row r="286" spans="1:20">
      <c r="B286">
        <f t="shared" si="51"/>
        <v>283</v>
      </c>
      <c r="C286">
        <f t="shared" si="45"/>
        <v>30</v>
      </c>
      <c r="D286">
        <v>275</v>
      </c>
      <c r="E286">
        <v>305</v>
      </c>
      <c r="F286">
        <f>PMSPLINE!F$13</f>
        <v>3.6591010528330465</v>
      </c>
      <c r="G286">
        <f>PMSPLINE!F$14</f>
        <v>2.0231525471596536</v>
      </c>
      <c r="H286" s="5">
        <f>PMSPLINE!K$13</f>
        <v>-1.6463054129685103E-3</v>
      </c>
      <c r="I286" s="5">
        <f>PMSPLINE!K$14</f>
        <v>1.3717879485859222E-3</v>
      </c>
      <c r="J286">
        <f t="shared" si="46"/>
        <v>0.73333333333333328</v>
      </c>
      <c r="K286">
        <f t="shared" si="47"/>
        <v>0.26666666666666666</v>
      </c>
      <c r="L286">
        <f t="shared" si="48"/>
        <v>237</v>
      </c>
      <c r="M286" s="6">
        <f t="shared" si="49"/>
        <v>3.2228481179868087</v>
      </c>
      <c r="N286" s="13">
        <f t="shared" si="44"/>
        <v>3.2555840587609484</v>
      </c>
      <c r="O286" s="6">
        <f t="shared" si="52"/>
        <v>557.60024387630779</v>
      </c>
      <c r="P286" s="6">
        <f t="shared" si="53"/>
        <v>561.19777998282075</v>
      </c>
      <c r="Q286" s="6">
        <f t="shared" si="50"/>
        <v>3.2555840587609484</v>
      </c>
      <c r="S286">
        <v>237</v>
      </c>
      <c r="T286" s="6">
        <f t="shared" si="43"/>
        <v>3.2555840587609484</v>
      </c>
    </row>
    <row r="287" spans="1:20">
      <c r="B287">
        <f t="shared" si="51"/>
        <v>284</v>
      </c>
      <c r="C287">
        <f t="shared" si="45"/>
        <v>30</v>
      </c>
      <c r="D287">
        <v>275</v>
      </c>
      <c r="E287">
        <v>305</v>
      </c>
      <c r="F287">
        <f>PMSPLINE!F$13</f>
        <v>3.6591010528330465</v>
      </c>
      <c r="G287">
        <f>PMSPLINE!F$14</f>
        <v>2.0231525471596536</v>
      </c>
      <c r="H287" s="5">
        <f>PMSPLINE!K$13</f>
        <v>-1.6463054129685103E-3</v>
      </c>
      <c r="I287" s="5">
        <f>PMSPLINE!K$14</f>
        <v>1.3717879485859222E-3</v>
      </c>
      <c r="J287">
        <f t="shared" si="46"/>
        <v>0.7</v>
      </c>
      <c r="K287">
        <f t="shared" si="47"/>
        <v>0.3</v>
      </c>
      <c r="L287">
        <f t="shared" si="48"/>
        <v>238</v>
      </c>
      <c r="M287" s="6">
        <f t="shared" si="49"/>
        <v>3.1683165011310286</v>
      </c>
      <c r="N287" s="13">
        <f t="shared" si="44"/>
        <v>3.2003014395008988</v>
      </c>
      <c r="O287" s="6">
        <f t="shared" si="52"/>
        <v>560.7685603774388</v>
      </c>
      <c r="P287" s="6">
        <f t="shared" si="53"/>
        <v>564.39808142232164</v>
      </c>
      <c r="Q287" s="6">
        <f t="shared" si="50"/>
        <v>3.2003014395008988</v>
      </c>
      <c r="S287">
        <v>238</v>
      </c>
      <c r="T287" s="6">
        <f t="shared" si="43"/>
        <v>3.2003014395008988</v>
      </c>
    </row>
    <row r="288" spans="1:20">
      <c r="B288">
        <f t="shared" si="51"/>
        <v>285</v>
      </c>
      <c r="C288">
        <f t="shared" si="45"/>
        <v>30</v>
      </c>
      <c r="D288">
        <v>275</v>
      </c>
      <c r="E288">
        <v>305</v>
      </c>
      <c r="F288">
        <f>PMSPLINE!F$13</f>
        <v>3.6591010528330465</v>
      </c>
      <c r="G288">
        <f>PMSPLINE!F$14</f>
        <v>2.0231525471596536</v>
      </c>
      <c r="H288" s="5">
        <f>PMSPLINE!K$13</f>
        <v>-1.6463054129685103E-3</v>
      </c>
      <c r="I288" s="5">
        <f>PMSPLINE!K$14</f>
        <v>1.3717879485859222E-3</v>
      </c>
      <c r="J288">
        <f t="shared" si="46"/>
        <v>0.66666666666666663</v>
      </c>
      <c r="K288">
        <f t="shared" si="47"/>
        <v>0.33333333333333331</v>
      </c>
      <c r="L288">
        <f t="shared" si="48"/>
        <v>239</v>
      </c>
      <c r="M288" s="6">
        <f t="shared" si="49"/>
        <v>3.1137848842752485</v>
      </c>
      <c r="N288" s="13">
        <f t="shared" si="44"/>
        <v>3.144277942836347</v>
      </c>
      <c r="O288" s="6">
        <f t="shared" si="52"/>
        <v>563.88234526171402</v>
      </c>
      <c r="P288" s="6">
        <f t="shared" si="53"/>
        <v>567.54235936515795</v>
      </c>
      <c r="Q288" s="6">
        <f t="shared" si="50"/>
        <v>3.144277942836347</v>
      </c>
      <c r="S288">
        <v>239</v>
      </c>
      <c r="T288" s="6">
        <f t="shared" si="43"/>
        <v>3.144277942836347</v>
      </c>
    </row>
    <row r="289" spans="2:20">
      <c r="B289">
        <f t="shared" si="51"/>
        <v>286</v>
      </c>
      <c r="C289">
        <f t="shared" si="45"/>
        <v>30</v>
      </c>
      <c r="D289">
        <v>275</v>
      </c>
      <c r="E289">
        <v>305</v>
      </c>
      <c r="F289">
        <f>PMSPLINE!F$13</f>
        <v>3.6591010528330465</v>
      </c>
      <c r="G289">
        <f>PMSPLINE!F$14</f>
        <v>2.0231525471596536</v>
      </c>
      <c r="H289" s="5">
        <f>PMSPLINE!K$13</f>
        <v>-1.6463054129685103E-3</v>
      </c>
      <c r="I289" s="5">
        <f>PMSPLINE!K$14</f>
        <v>1.3717879485859222E-3</v>
      </c>
      <c r="J289">
        <f t="shared" si="46"/>
        <v>0.6333333333333333</v>
      </c>
      <c r="K289">
        <f t="shared" si="47"/>
        <v>0.36666666666666664</v>
      </c>
      <c r="L289">
        <f t="shared" si="48"/>
        <v>240</v>
      </c>
      <c r="M289" s="6">
        <f t="shared" si="49"/>
        <v>3.0592532674194692</v>
      </c>
      <c r="N289" s="13">
        <f t="shared" si="44"/>
        <v>3.0876141718793457</v>
      </c>
      <c r="O289" s="6">
        <f t="shared" si="52"/>
        <v>566.94159852913344</v>
      </c>
      <c r="P289" s="6">
        <f t="shared" si="53"/>
        <v>570.62997353703724</v>
      </c>
      <c r="Q289" s="6">
        <f t="shared" si="50"/>
        <v>3.0876141718793457</v>
      </c>
      <c r="S289">
        <v>240</v>
      </c>
      <c r="T289" s="6">
        <f t="shared" si="43"/>
        <v>3.0876141718793457</v>
      </c>
    </row>
    <row r="290" spans="2:20">
      <c r="B290">
        <f t="shared" si="51"/>
        <v>287</v>
      </c>
      <c r="C290">
        <f t="shared" si="45"/>
        <v>30</v>
      </c>
      <c r="D290">
        <v>275</v>
      </c>
      <c r="E290">
        <v>305</v>
      </c>
      <c r="F290">
        <f>PMSPLINE!F$13</f>
        <v>3.6591010528330465</v>
      </c>
      <c r="G290">
        <f>PMSPLINE!F$14</f>
        <v>2.0231525471596536</v>
      </c>
      <c r="H290" s="5">
        <f>PMSPLINE!K$13</f>
        <v>-1.6463054129685103E-3</v>
      </c>
      <c r="I290" s="5">
        <f>PMSPLINE!K$14</f>
        <v>1.3717879485859222E-3</v>
      </c>
      <c r="J290">
        <f t="shared" si="46"/>
        <v>0.6</v>
      </c>
      <c r="K290">
        <f t="shared" si="47"/>
        <v>0.4</v>
      </c>
      <c r="L290">
        <f t="shared" si="48"/>
        <v>241</v>
      </c>
      <c r="M290" s="6">
        <f t="shared" si="49"/>
        <v>3.0047216505636891</v>
      </c>
      <c r="N290" s="13">
        <f t="shared" si="44"/>
        <v>3.0304107297419449</v>
      </c>
      <c r="O290" s="6">
        <f t="shared" si="52"/>
        <v>569.94632017969718</v>
      </c>
      <c r="P290" s="6">
        <f t="shared" si="53"/>
        <v>573.66038426677915</v>
      </c>
      <c r="Q290" s="6">
        <f t="shared" si="50"/>
        <v>3.0304107297419449</v>
      </c>
      <c r="S290">
        <v>241</v>
      </c>
      <c r="T290" s="6">
        <f t="shared" si="43"/>
        <v>3.0304107297419449</v>
      </c>
    </row>
    <row r="291" spans="2:20">
      <c r="B291">
        <f t="shared" si="51"/>
        <v>288</v>
      </c>
      <c r="C291">
        <f t="shared" si="45"/>
        <v>30</v>
      </c>
      <c r="D291">
        <v>275</v>
      </c>
      <c r="E291">
        <v>305</v>
      </c>
      <c r="F291">
        <f>PMSPLINE!F$13</f>
        <v>3.6591010528330465</v>
      </c>
      <c r="G291">
        <f>PMSPLINE!F$14</f>
        <v>2.0231525471596536</v>
      </c>
      <c r="H291" s="5">
        <f>PMSPLINE!K$13</f>
        <v>-1.6463054129685103E-3</v>
      </c>
      <c r="I291" s="5">
        <f>PMSPLINE!K$14</f>
        <v>1.3717879485859222E-3</v>
      </c>
      <c r="J291">
        <f t="shared" si="46"/>
        <v>0.56666666666666665</v>
      </c>
      <c r="K291">
        <f t="shared" si="47"/>
        <v>0.43333333333333335</v>
      </c>
      <c r="L291">
        <f t="shared" si="48"/>
        <v>242</v>
      </c>
      <c r="M291" s="6">
        <f t="shared" si="49"/>
        <v>2.9501900337079099</v>
      </c>
      <c r="N291" s="13">
        <f t="shared" si="44"/>
        <v>2.9727682195361984</v>
      </c>
      <c r="O291" s="6">
        <f t="shared" si="52"/>
        <v>572.89651021340512</v>
      </c>
      <c r="P291" s="6">
        <f t="shared" si="53"/>
        <v>576.63315248631534</v>
      </c>
      <c r="Q291" s="6">
        <f t="shared" si="50"/>
        <v>2.9727682195361984</v>
      </c>
      <c r="S291">
        <v>242</v>
      </c>
      <c r="T291" s="6">
        <f t="shared" si="43"/>
        <v>2.9727682195361984</v>
      </c>
    </row>
    <row r="292" spans="2:20">
      <c r="B292">
        <f t="shared" si="51"/>
        <v>289</v>
      </c>
      <c r="C292">
        <f t="shared" si="45"/>
        <v>30</v>
      </c>
      <c r="D292">
        <v>275</v>
      </c>
      <c r="E292">
        <v>305</v>
      </c>
      <c r="F292">
        <f>PMSPLINE!F$13</f>
        <v>3.6591010528330465</v>
      </c>
      <c r="G292">
        <f>PMSPLINE!F$14</f>
        <v>2.0231525471596536</v>
      </c>
      <c r="H292" s="5">
        <f>PMSPLINE!K$13</f>
        <v>-1.6463054129685103E-3</v>
      </c>
      <c r="I292" s="5">
        <f>PMSPLINE!K$14</f>
        <v>1.3717879485859222E-3</v>
      </c>
      <c r="J292">
        <f t="shared" si="46"/>
        <v>0.53333333333333333</v>
      </c>
      <c r="K292">
        <f t="shared" si="47"/>
        <v>0.46666666666666667</v>
      </c>
      <c r="L292">
        <f t="shared" si="48"/>
        <v>243</v>
      </c>
      <c r="M292" s="6">
        <f t="shared" si="49"/>
        <v>2.8956584168521298</v>
      </c>
      <c r="N292" s="13">
        <f t="shared" si="44"/>
        <v>2.9147872443741556</v>
      </c>
      <c r="O292" s="6">
        <f t="shared" si="52"/>
        <v>575.79216863025727</v>
      </c>
      <c r="P292" s="6">
        <f t="shared" si="53"/>
        <v>579.54793973068945</v>
      </c>
      <c r="Q292" s="6">
        <f t="shared" si="50"/>
        <v>2.9147872443741556</v>
      </c>
      <c r="S292">
        <v>243</v>
      </c>
      <c r="T292" s="6">
        <f t="shared" si="43"/>
        <v>2.9147872443741556</v>
      </c>
    </row>
    <row r="293" spans="2:20">
      <c r="B293">
        <f t="shared" si="51"/>
        <v>290</v>
      </c>
      <c r="C293">
        <f t="shared" si="45"/>
        <v>30</v>
      </c>
      <c r="D293">
        <v>275</v>
      </c>
      <c r="E293">
        <v>305</v>
      </c>
      <c r="F293">
        <f>PMSPLINE!F$13</f>
        <v>3.6591010528330465</v>
      </c>
      <c r="G293">
        <f>PMSPLINE!F$14</f>
        <v>2.0231525471596536</v>
      </c>
      <c r="H293" s="5">
        <f>PMSPLINE!K$13</f>
        <v>-1.6463054129685103E-3</v>
      </c>
      <c r="I293" s="5">
        <f>PMSPLINE!K$14</f>
        <v>1.3717879485859222E-3</v>
      </c>
      <c r="J293">
        <f t="shared" si="46"/>
        <v>0.5</v>
      </c>
      <c r="K293">
        <f t="shared" si="47"/>
        <v>0.5</v>
      </c>
      <c r="L293">
        <f t="shared" si="48"/>
        <v>244</v>
      </c>
      <c r="M293" s="6">
        <f t="shared" si="49"/>
        <v>2.8411267999963501</v>
      </c>
      <c r="N293" s="13">
        <f t="shared" si="44"/>
        <v>2.8565684073678708</v>
      </c>
      <c r="O293" s="6">
        <f t="shared" si="52"/>
        <v>578.63329543025361</v>
      </c>
      <c r="P293" s="6">
        <f t="shared" si="53"/>
        <v>582.40450813805728</v>
      </c>
      <c r="Q293" s="6">
        <f t="shared" si="50"/>
        <v>2.8565684073678708</v>
      </c>
      <c r="S293">
        <v>244</v>
      </c>
      <c r="T293" s="6">
        <f t="shared" si="43"/>
        <v>2.8565684073678708</v>
      </c>
    </row>
    <row r="294" spans="2:20">
      <c r="B294">
        <f t="shared" si="51"/>
        <v>291</v>
      </c>
      <c r="C294">
        <f t="shared" si="45"/>
        <v>30</v>
      </c>
      <c r="D294">
        <v>275</v>
      </c>
      <c r="E294">
        <v>305</v>
      </c>
      <c r="F294">
        <f>PMSPLINE!F$13</f>
        <v>3.6591010528330465</v>
      </c>
      <c r="G294">
        <f>PMSPLINE!F$14</f>
        <v>2.0231525471596536</v>
      </c>
      <c r="H294" s="5">
        <f>PMSPLINE!K$13</f>
        <v>-1.6463054129685103E-3</v>
      </c>
      <c r="I294" s="5">
        <f>PMSPLINE!K$14</f>
        <v>1.3717879485859222E-3</v>
      </c>
      <c r="J294">
        <f t="shared" si="46"/>
        <v>0.46666666666666667</v>
      </c>
      <c r="K294">
        <f t="shared" si="47"/>
        <v>0.53333333333333333</v>
      </c>
      <c r="L294">
        <f t="shared" si="48"/>
        <v>245</v>
      </c>
      <c r="M294" s="6">
        <f t="shared" si="49"/>
        <v>2.7865951831405704</v>
      </c>
      <c r="N294" s="13">
        <f t="shared" si="44"/>
        <v>2.7982123116293942</v>
      </c>
      <c r="O294" s="6">
        <f t="shared" si="52"/>
        <v>581.41989061339416</v>
      </c>
      <c r="P294" s="6">
        <f t="shared" si="53"/>
        <v>585.20272044968669</v>
      </c>
      <c r="Q294" s="6">
        <f t="shared" si="50"/>
        <v>2.7982123116293942</v>
      </c>
      <c r="S294">
        <v>245</v>
      </c>
      <c r="T294" s="6">
        <f t="shared" si="43"/>
        <v>2.7982123116293942</v>
      </c>
    </row>
    <row r="295" spans="2:20">
      <c r="B295">
        <f t="shared" si="51"/>
        <v>292</v>
      </c>
      <c r="C295">
        <f t="shared" si="45"/>
        <v>30</v>
      </c>
      <c r="D295">
        <v>275</v>
      </c>
      <c r="E295">
        <v>305</v>
      </c>
      <c r="F295">
        <f>PMSPLINE!F$13</f>
        <v>3.6591010528330465</v>
      </c>
      <c r="G295">
        <f>PMSPLINE!F$14</f>
        <v>2.0231525471596536</v>
      </c>
      <c r="H295" s="5">
        <f>PMSPLINE!K$13</f>
        <v>-1.6463054129685103E-3</v>
      </c>
      <c r="I295" s="5">
        <f>PMSPLINE!K$14</f>
        <v>1.3717879485859222E-3</v>
      </c>
      <c r="J295">
        <f t="shared" si="46"/>
        <v>0.43333333333333335</v>
      </c>
      <c r="K295">
        <f t="shared" si="47"/>
        <v>0.56666666666666665</v>
      </c>
      <c r="L295">
        <f t="shared" si="48"/>
        <v>246</v>
      </c>
      <c r="M295" s="6">
        <f t="shared" si="49"/>
        <v>2.7320635662847907</v>
      </c>
      <c r="N295" s="13">
        <f t="shared" si="44"/>
        <v>2.7398195602707784</v>
      </c>
      <c r="O295" s="6">
        <f t="shared" si="52"/>
        <v>584.15195417967891</v>
      </c>
      <c r="P295" s="6">
        <f t="shared" si="53"/>
        <v>587.9425400099575</v>
      </c>
      <c r="Q295" s="6">
        <f t="shared" si="50"/>
        <v>2.7398195602707784</v>
      </c>
      <c r="S295">
        <v>246</v>
      </c>
      <c r="T295" s="6">
        <f t="shared" si="43"/>
        <v>2.7398195602707784</v>
      </c>
    </row>
    <row r="296" spans="2:20">
      <c r="B296">
        <f t="shared" si="51"/>
        <v>293</v>
      </c>
      <c r="C296">
        <f t="shared" si="45"/>
        <v>30</v>
      </c>
      <c r="D296">
        <v>275</v>
      </c>
      <c r="E296">
        <v>305</v>
      </c>
      <c r="F296">
        <f>PMSPLINE!F$13</f>
        <v>3.6591010528330465</v>
      </c>
      <c r="G296">
        <f>PMSPLINE!F$14</f>
        <v>2.0231525471596536</v>
      </c>
      <c r="H296" s="5">
        <f>PMSPLINE!K$13</f>
        <v>-1.6463054129685103E-3</v>
      </c>
      <c r="I296" s="5">
        <f>PMSPLINE!K$14</f>
        <v>1.3717879485859222E-3</v>
      </c>
      <c r="J296">
        <f t="shared" si="46"/>
        <v>0.4</v>
      </c>
      <c r="K296">
        <f t="shared" si="47"/>
        <v>0.6</v>
      </c>
      <c r="L296">
        <f t="shared" si="48"/>
        <v>247</v>
      </c>
      <c r="M296" s="6">
        <f t="shared" si="49"/>
        <v>2.6775319494290111</v>
      </c>
      <c r="N296" s="13">
        <f t="shared" si="44"/>
        <v>2.6814907564040751</v>
      </c>
      <c r="O296" s="6">
        <f t="shared" si="52"/>
        <v>586.82948612910798</v>
      </c>
      <c r="P296" s="6">
        <f t="shared" si="53"/>
        <v>590.62403076636156</v>
      </c>
      <c r="Q296" s="6">
        <f t="shared" si="50"/>
        <v>2.6814907564040751</v>
      </c>
      <c r="S296">
        <v>247</v>
      </c>
      <c r="T296" s="6">
        <f t="shared" si="43"/>
        <v>2.6814907564040751</v>
      </c>
    </row>
    <row r="297" spans="2:20">
      <c r="B297">
        <f t="shared" si="51"/>
        <v>294</v>
      </c>
      <c r="C297">
        <f t="shared" si="45"/>
        <v>30</v>
      </c>
      <c r="D297">
        <v>275</v>
      </c>
      <c r="E297">
        <v>305</v>
      </c>
      <c r="F297">
        <f>PMSPLINE!F$13</f>
        <v>3.6591010528330465</v>
      </c>
      <c r="G297">
        <f>PMSPLINE!F$14</f>
        <v>2.0231525471596536</v>
      </c>
      <c r="H297" s="5">
        <f>PMSPLINE!K$13</f>
        <v>-1.6463054129685103E-3</v>
      </c>
      <c r="I297" s="5">
        <f>PMSPLINE!K$14</f>
        <v>1.3717879485859222E-3</v>
      </c>
      <c r="J297">
        <f t="shared" si="46"/>
        <v>0.36666666666666664</v>
      </c>
      <c r="K297">
        <f t="shared" si="47"/>
        <v>0.6333333333333333</v>
      </c>
      <c r="L297">
        <f t="shared" si="48"/>
        <v>248</v>
      </c>
      <c r="M297" s="6">
        <f t="shared" si="49"/>
        <v>2.623000332573231</v>
      </c>
      <c r="N297" s="13">
        <f t="shared" si="44"/>
        <v>2.6233265031413349</v>
      </c>
      <c r="O297" s="6">
        <f t="shared" si="52"/>
        <v>589.45248646168125</v>
      </c>
      <c r="P297" s="6">
        <f t="shared" si="53"/>
        <v>593.24735726950291</v>
      </c>
      <c r="Q297" s="6">
        <f t="shared" si="50"/>
        <v>2.6233265031413349</v>
      </c>
      <c r="S297">
        <v>248</v>
      </c>
      <c r="T297" s="6">
        <f t="shared" si="43"/>
        <v>2.6233265031413349</v>
      </c>
    </row>
    <row r="298" spans="2:20">
      <c r="B298">
        <f t="shared" si="51"/>
        <v>295</v>
      </c>
      <c r="C298">
        <f t="shared" si="45"/>
        <v>30</v>
      </c>
      <c r="D298">
        <v>275</v>
      </c>
      <c r="E298">
        <v>305</v>
      </c>
      <c r="F298">
        <f>PMSPLINE!F$13</f>
        <v>3.6591010528330465</v>
      </c>
      <c r="G298">
        <f>PMSPLINE!F$14</f>
        <v>2.0231525471596536</v>
      </c>
      <c r="H298" s="5">
        <f>PMSPLINE!K$13</f>
        <v>-1.6463054129685103E-3</v>
      </c>
      <c r="I298" s="5">
        <f>PMSPLINE!K$14</f>
        <v>1.3717879485859222E-3</v>
      </c>
      <c r="J298">
        <f t="shared" si="46"/>
        <v>0.33333333333333331</v>
      </c>
      <c r="K298">
        <f t="shared" si="47"/>
        <v>0.66666666666666663</v>
      </c>
      <c r="L298">
        <f t="shared" si="48"/>
        <v>249</v>
      </c>
      <c r="M298" s="6">
        <f t="shared" si="49"/>
        <v>2.5684687157174508</v>
      </c>
      <c r="N298" s="13">
        <f t="shared" si="44"/>
        <v>2.5654274035946112</v>
      </c>
      <c r="O298" s="6">
        <f t="shared" si="52"/>
        <v>592.02095517739872</v>
      </c>
      <c r="P298" s="6">
        <f t="shared" si="53"/>
        <v>595.81278467309755</v>
      </c>
      <c r="Q298" s="6">
        <f t="shared" si="50"/>
        <v>2.5654274035946112</v>
      </c>
      <c r="S298">
        <v>249</v>
      </c>
      <c r="T298" s="6">
        <f t="shared" si="43"/>
        <v>2.5654274035946112</v>
      </c>
    </row>
    <row r="299" spans="2:20">
      <c r="B299">
        <f t="shared" si="51"/>
        <v>296</v>
      </c>
      <c r="C299">
        <f t="shared" si="45"/>
        <v>30</v>
      </c>
      <c r="D299">
        <v>275</v>
      </c>
      <c r="E299">
        <v>305</v>
      </c>
      <c r="F299">
        <f>PMSPLINE!F$13</f>
        <v>3.6591010528330465</v>
      </c>
      <c r="G299">
        <f>PMSPLINE!F$14</f>
        <v>2.0231525471596536</v>
      </c>
      <c r="H299" s="5">
        <f>PMSPLINE!K$13</f>
        <v>-1.6463054129685103E-3</v>
      </c>
      <c r="I299" s="5">
        <f>PMSPLINE!K$14</f>
        <v>1.3717879485859222E-3</v>
      </c>
      <c r="J299">
        <f t="shared" si="46"/>
        <v>0.3</v>
      </c>
      <c r="K299">
        <f t="shared" si="47"/>
        <v>0.7</v>
      </c>
      <c r="L299">
        <f t="shared" si="48"/>
        <v>250</v>
      </c>
      <c r="M299" s="6">
        <f t="shared" si="49"/>
        <v>2.5139370988616712</v>
      </c>
      <c r="N299" s="13">
        <f t="shared" si="44"/>
        <v>2.5078940608759557</v>
      </c>
      <c r="O299" s="6">
        <f t="shared" si="52"/>
        <v>594.53489227626039</v>
      </c>
      <c r="P299" s="6">
        <f t="shared" si="53"/>
        <v>598.32067873397352</v>
      </c>
      <c r="Q299" s="6">
        <f t="shared" si="50"/>
        <v>2.5078940608759557</v>
      </c>
      <c r="S299">
        <v>250</v>
      </c>
      <c r="T299" s="6">
        <f t="shared" si="43"/>
        <v>2.5078940608759557</v>
      </c>
    </row>
    <row r="300" spans="2:20">
      <c r="B300">
        <f t="shared" si="51"/>
        <v>297</v>
      </c>
      <c r="C300">
        <f t="shared" si="45"/>
        <v>30</v>
      </c>
      <c r="D300">
        <v>275</v>
      </c>
      <c r="E300">
        <v>305</v>
      </c>
      <c r="F300">
        <f>PMSPLINE!F$13</f>
        <v>3.6591010528330465</v>
      </c>
      <c r="G300">
        <f>PMSPLINE!F$14</f>
        <v>2.0231525471596536</v>
      </c>
      <c r="H300" s="5">
        <f>PMSPLINE!K$13</f>
        <v>-1.6463054129685103E-3</v>
      </c>
      <c r="I300" s="5">
        <f>PMSPLINE!K$14</f>
        <v>1.3717879485859222E-3</v>
      </c>
      <c r="J300">
        <f t="shared" si="46"/>
        <v>0.26666666666666666</v>
      </c>
      <c r="K300">
        <f t="shared" si="47"/>
        <v>0.73333333333333328</v>
      </c>
      <c r="L300">
        <f t="shared" si="48"/>
        <v>251</v>
      </c>
      <c r="M300" s="6">
        <f t="shared" si="49"/>
        <v>2.4594054820058915</v>
      </c>
      <c r="N300" s="13">
        <f t="shared" si="44"/>
        <v>2.4508270780974195</v>
      </c>
      <c r="O300" s="6">
        <f t="shared" si="52"/>
        <v>596.99429775826627</v>
      </c>
      <c r="P300" s="6">
        <f t="shared" si="53"/>
        <v>600.77150581207093</v>
      </c>
      <c r="Q300" s="6">
        <f t="shared" si="50"/>
        <v>2.4508270780974195</v>
      </c>
      <c r="S300">
        <v>251</v>
      </c>
      <c r="T300" s="6">
        <f t="shared" si="43"/>
        <v>2.4508270780974195</v>
      </c>
    </row>
    <row r="301" spans="2:20">
      <c r="B301">
        <f t="shared" si="51"/>
        <v>298</v>
      </c>
      <c r="C301">
        <f t="shared" si="45"/>
        <v>30</v>
      </c>
      <c r="D301">
        <v>275</v>
      </c>
      <c r="E301">
        <v>305</v>
      </c>
      <c r="F301">
        <f>PMSPLINE!F$13</f>
        <v>3.6591010528330465</v>
      </c>
      <c r="G301">
        <f>PMSPLINE!F$14</f>
        <v>2.0231525471596536</v>
      </c>
      <c r="H301" s="5">
        <f>PMSPLINE!K$13</f>
        <v>-1.6463054129685103E-3</v>
      </c>
      <c r="I301" s="5">
        <f>PMSPLINE!K$14</f>
        <v>1.3717879485859222E-3</v>
      </c>
      <c r="J301">
        <f t="shared" si="46"/>
        <v>0.23333333333333334</v>
      </c>
      <c r="K301">
        <f t="shared" si="47"/>
        <v>0.76666666666666672</v>
      </c>
      <c r="L301">
        <f t="shared" si="48"/>
        <v>252</v>
      </c>
      <c r="M301" s="6">
        <f t="shared" si="49"/>
        <v>2.4048738651501118</v>
      </c>
      <c r="N301" s="13">
        <f t="shared" si="44"/>
        <v>2.3943270583710548</v>
      </c>
      <c r="O301" s="6">
        <f t="shared" si="52"/>
        <v>599.39917162341635</v>
      </c>
      <c r="P301" s="6">
        <f t="shared" si="53"/>
        <v>603.16583287044193</v>
      </c>
      <c r="Q301" s="6">
        <f t="shared" si="50"/>
        <v>2.3943270583710548</v>
      </c>
      <c r="S301">
        <v>252</v>
      </c>
      <c r="T301" s="6">
        <f t="shared" si="43"/>
        <v>2.3943270583710548</v>
      </c>
    </row>
    <row r="302" spans="2:20">
      <c r="B302">
        <f t="shared" si="51"/>
        <v>299</v>
      </c>
      <c r="C302">
        <f t="shared" si="45"/>
        <v>30</v>
      </c>
      <c r="D302">
        <v>275</v>
      </c>
      <c r="E302">
        <v>305</v>
      </c>
      <c r="F302">
        <f>PMSPLINE!F$13</f>
        <v>3.6591010528330465</v>
      </c>
      <c r="G302">
        <f>PMSPLINE!F$14</f>
        <v>2.0231525471596536</v>
      </c>
      <c r="H302" s="5">
        <f>PMSPLINE!K$13</f>
        <v>-1.6463054129685103E-3</v>
      </c>
      <c r="I302" s="5">
        <f>PMSPLINE!K$14</f>
        <v>1.3717879485859222E-3</v>
      </c>
      <c r="J302">
        <f t="shared" si="46"/>
        <v>0.2</v>
      </c>
      <c r="K302">
        <f t="shared" si="47"/>
        <v>0.8</v>
      </c>
      <c r="L302">
        <f t="shared" si="48"/>
        <v>253</v>
      </c>
      <c r="M302" s="6">
        <f t="shared" si="49"/>
        <v>2.3503422482943321</v>
      </c>
      <c r="N302" s="13">
        <f t="shared" si="44"/>
        <v>2.3384946048089135</v>
      </c>
      <c r="O302" s="6">
        <f t="shared" si="52"/>
        <v>601.74951387171063</v>
      </c>
      <c r="P302" s="6">
        <f t="shared" si="53"/>
        <v>605.50432747525088</v>
      </c>
      <c r="Q302" s="6">
        <f t="shared" si="50"/>
        <v>2.3384946048089135</v>
      </c>
      <c r="S302">
        <v>253</v>
      </c>
      <c r="T302" s="6">
        <f t="shared" si="43"/>
        <v>2.3384946048089135</v>
      </c>
    </row>
    <row r="303" spans="2:20">
      <c r="B303">
        <f t="shared" si="51"/>
        <v>300</v>
      </c>
      <c r="C303">
        <f t="shared" si="45"/>
        <v>30</v>
      </c>
      <c r="D303">
        <v>275</v>
      </c>
      <c r="E303">
        <v>305</v>
      </c>
      <c r="F303">
        <f>PMSPLINE!F$13</f>
        <v>3.6591010528330465</v>
      </c>
      <c r="G303">
        <f>PMSPLINE!F$14</f>
        <v>2.0231525471596536</v>
      </c>
      <c r="H303" s="5">
        <f>PMSPLINE!K$13</f>
        <v>-1.6463054129685103E-3</v>
      </c>
      <c r="I303" s="5">
        <f>PMSPLINE!K$14</f>
        <v>1.3717879485859222E-3</v>
      </c>
      <c r="J303">
        <f t="shared" si="46"/>
        <v>0.16666666666666666</v>
      </c>
      <c r="K303">
        <f t="shared" si="47"/>
        <v>0.83333333333333337</v>
      </c>
      <c r="L303">
        <f t="shared" si="48"/>
        <v>254</v>
      </c>
      <c r="M303" s="6">
        <f t="shared" si="49"/>
        <v>2.2958106314385525</v>
      </c>
      <c r="N303" s="13">
        <f t="shared" si="44"/>
        <v>2.2834303205230468</v>
      </c>
      <c r="O303" s="6">
        <f t="shared" si="52"/>
        <v>604.04532450314923</v>
      </c>
      <c r="P303" s="6">
        <f t="shared" si="53"/>
        <v>607.78775779577393</v>
      </c>
      <c r="Q303" s="6">
        <f t="shared" si="50"/>
        <v>2.2834303205230468</v>
      </c>
      <c r="S303">
        <v>254</v>
      </c>
      <c r="T303" s="6">
        <f t="shared" si="43"/>
        <v>2.2834303205230468</v>
      </c>
    </row>
    <row r="304" spans="2:20">
      <c r="B304">
        <f t="shared" si="51"/>
        <v>301</v>
      </c>
      <c r="C304">
        <f t="shared" si="45"/>
        <v>30</v>
      </c>
      <c r="D304">
        <v>275</v>
      </c>
      <c r="E304">
        <v>305</v>
      </c>
      <c r="F304">
        <f>PMSPLINE!F$13</f>
        <v>3.6591010528330465</v>
      </c>
      <c r="G304">
        <f>PMSPLINE!F$14</f>
        <v>2.0231525471596536</v>
      </c>
      <c r="H304" s="5">
        <f>PMSPLINE!K$13</f>
        <v>-1.6463054129685103E-3</v>
      </c>
      <c r="I304" s="5">
        <f>PMSPLINE!K$14</f>
        <v>1.3717879485859222E-3</v>
      </c>
      <c r="J304">
        <f t="shared" si="46"/>
        <v>0.13333333333333333</v>
      </c>
      <c r="K304">
        <f t="shared" si="47"/>
        <v>0.8666666666666667</v>
      </c>
      <c r="L304">
        <f t="shared" si="48"/>
        <v>255</v>
      </c>
      <c r="M304" s="6">
        <f t="shared" si="49"/>
        <v>2.2412790145827728</v>
      </c>
      <c r="N304" s="13">
        <f t="shared" si="44"/>
        <v>2.2292348086255074</v>
      </c>
      <c r="O304" s="6">
        <f t="shared" si="52"/>
        <v>606.28660351773203</v>
      </c>
      <c r="P304" s="6">
        <f t="shared" si="53"/>
        <v>610.01699260439943</v>
      </c>
      <c r="Q304" s="6">
        <f t="shared" si="50"/>
        <v>2.2292348086255074</v>
      </c>
      <c r="S304">
        <v>255</v>
      </c>
      <c r="T304" s="6">
        <f t="shared" si="43"/>
        <v>2.2292348086255074</v>
      </c>
    </row>
    <row r="305" spans="1:20">
      <c r="B305">
        <f t="shared" si="51"/>
        <v>302</v>
      </c>
      <c r="C305">
        <f t="shared" si="45"/>
        <v>30</v>
      </c>
      <c r="D305">
        <v>275</v>
      </c>
      <c r="E305">
        <v>305</v>
      </c>
      <c r="F305">
        <f>PMSPLINE!F$13</f>
        <v>3.6591010528330465</v>
      </c>
      <c r="G305">
        <f>PMSPLINE!F$14</f>
        <v>2.0231525471596536</v>
      </c>
      <c r="H305" s="5">
        <f>PMSPLINE!K$13</f>
        <v>-1.6463054129685103E-3</v>
      </c>
      <c r="I305" s="5">
        <f>PMSPLINE!K$14</f>
        <v>1.3717879485859222E-3</v>
      </c>
      <c r="J305">
        <f t="shared" si="46"/>
        <v>0.1</v>
      </c>
      <c r="K305">
        <f t="shared" si="47"/>
        <v>0.9</v>
      </c>
      <c r="L305">
        <f t="shared" si="48"/>
        <v>256</v>
      </c>
      <c r="M305" s="6">
        <f t="shared" si="49"/>
        <v>2.1867473977269931</v>
      </c>
      <c r="N305" s="13">
        <f t="shared" si="44"/>
        <v>2.1760086722283467</v>
      </c>
      <c r="O305" s="6">
        <f t="shared" si="52"/>
        <v>608.47335091545904</v>
      </c>
      <c r="P305" s="6">
        <f t="shared" si="53"/>
        <v>612.1930012766278</v>
      </c>
      <c r="Q305" s="6">
        <f t="shared" si="50"/>
        <v>2.1760086722283467</v>
      </c>
      <c r="S305">
        <v>256</v>
      </c>
      <c r="T305" s="6">
        <f t="shared" si="43"/>
        <v>2.1760086722283467</v>
      </c>
    </row>
    <row r="306" spans="1:20">
      <c r="B306">
        <f t="shared" si="51"/>
        <v>303</v>
      </c>
      <c r="C306">
        <f t="shared" si="45"/>
        <v>30</v>
      </c>
      <c r="D306">
        <v>275</v>
      </c>
      <c r="E306">
        <v>305</v>
      </c>
      <c r="F306">
        <f>PMSPLINE!F$13</f>
        <v>3.6591010528330465</v>
      </c>
      <c r="G306">
        <f>PMSPLINE!F$14</f>
        <v>2.0231525471596536</v>
      </c>
      <c r="H306" s="5">
        <f>PMSPLINE!K$13</f>
        <v>-1.6463054129685103E-3</v>
      </c>
      <c r="I306" s="5">
        <f>PMSPLINE!K$14</f>
        <v>1.3717879485859222E-3</v>
      </c>
      <c r="J306">
        <f t="shared" si="46"/>
        <v>6.6666666666666666E-2</v>
      </c>
      <c r="K306">
        <f t="shared" si="47"/>
        <v>0.93333333333333335</v>
      </c>
      <c r="L306">
        <f t="shared" si="48"/>
        <v>257</v>
      </c>
      <c r="M306" s="6">
        <f t="shared" si="49"/>
        <v>2.132215780871213</v>
      </c>
      <c r="N306" s="13">
        <f t="shared" si="44"/>
        <v>2.1238525144436156</v>
      </c>
      <c r="O306" s="6">
        <f t="shared" si="52"/>
        <v>610.60556669633024</v>
      </c>
      <c r="P306" s="6">
        <f t="shared" si="53"/>
        <v>614.31685379107137</v>
      </c>
      <c r="Q306" s="6">
        <f t="shared" si="50"/>
        <v>2.1238525144436156</v>
      </c>
      <c r="S306">
        <v>257</v>
      </c>
      <c r="T306" s="6">
        <f t="shared" ref="T306:T369" si="54">N306</f>
        <v>2.1238525144436156</v>
      </c>
    </row>
    <row r="307" spans="1:20">
      <c r="B307">
        <f t="shared" si="51"/>
        <v>304</v>
      </c>
      <c r="C307">
        <f t="shared" si="45"/>
        <v>30</v>
      </c>
      <c r="D307">
        <v>275</v>
      </c>
      <c r="E307">
        <v>305</v>
      </c>
      <c r="F307">
        <f>PMSPLINE!F$13</f>
        <v>3.6591010528330465</v>
      </c>
      <c r="G307">
        <f>PMSPLINE!F$14</f>
        <v>2.0231525471596536</v>
      </c>
      <c r="H307" s="5">
        <f>PMSPLINE!K$13</f>
        <v>-1.6463054129685103E-3</v>
      </c>
      <c r="I307" s="5">
        <f>PMSPLINE!K$14</f>
        <v>1.3717879485859222E-3</v>
      </c>
      <c r="J307">
        <f t="shared" si="46"/>
        <v>3.3333333333333333E-2</v>
      </c>
      <c r="K307">
        <f t="shared" si="47"/>
        <v>0.96666666666666667</v>
      </c>
      <c r="L307">
        <f t="shared" si="48"/>
        <v>258</v>
      </c>
      <c r="M307" s="6">
        <f t="shared" si="49"/>
        <v>2.0776841640154333</v>
      </c>
      <c r="N307" s="13">
        <f t="shared" si="44"/>
        <v>2.0728669383833678</v>
      </c>
      <c r="O307" s="6">
        <f t="shared" si="52"/>
        <v>612.68325086034565</v>
      </c>
      <c r="P307" s="6">
        <f t="shared" si="53"/>
        <v>616.38972072945478</v>
      </c>
      <c r="Q307" s="6">
        <f t="shared" si="50"/>
        <v>2.0728669383833678</v>
      </c>
      <c r="S307">
        <v>258</v>
      </c>
      <c r="T307" s="6">
        <f t="shared" si="54"/>
        <v>2.0728669383833678</v>
      </c>
    </row>
    <row r="308" spans="1:20">
      <c r="A308">
        <v>305</v>
      </c>
      <c r="B308">
        <f t="shared" si="51"/>
        <v>305</v>
      </c>
      <c r="C308">
        <f t="shared" si="45"/>
        <v>30</v>
      </c>
      <c r="D308">
        <v>275</v>
      </c>
      <c r="E308">
        <v>305</v>
      </c>
      <c r="F308">
        <f>PMSPLINE!F$13</f>
        <v>3.6591010528330465</v>
      </c>
      <c r="G308">
        <f>PMSPLINE!F$14</f>
        <v>2.0231525471596536</v>
      </c>
      <c r="H308" s="5">
        <f>PMSPLINE!K$13</f>
        <v>-1.6463054129685103E-3</v>
      </c>
      <c r="I308" s="5">
        <f>PMSPLINE!K$14</f>
        <v>1.3717879485859222E-3</v>
      </c>
      <c r="J308">
        <f t="shared" si="46"/>
        <v>0</v>
      </c>
      <c r="K308">
        <f t="shared" si="47"/>
        <v>1</v>
      </c>
      <c r="L308">
        <f t="shared" si="48"/>
        <v>259</v>
      </c>
      <c r="M308" s="6">
        <f t="shared" si="49"/>
        <v>2.0231525471596536</v>
      </c>
      <c r="N308" s="13">
        <f t="shared" si="44"/>
        <v>2.0231525471596536</v>
      </c>
      <c r="O308" s="6">
        <f t="shared" si="52"/>
        <v>614.70640340750526</v>
      </c>
      <c r="P308" s="6">
        <f t="shared" si="53"/>
        <v>618.41287327661439</v>
      </c>
      <c r="Q308" s="6">
        <f t="shared" si="50"/>
        <v>2.0231525471596536</v>
      </c>
      <c r="S308">
        <v>259</v>
      </c>
      <c r="T308" s="6">
        <f t="shared" si="54"/>
        <v>2.0231525471596536</v>
      </c>
    </row>
    <row r="309" spans="1:20">
      <c r="B309">
        <f t="shared" si="51"/>
        <v>306</v>
      </c>
      <c r="C309">
        <f t="shared" si="45"/>
        <v>31</v>
      </c>
      <c r="D309">
        <v>305</v>
      </c>
      <c r="E309">
        <v>336</v>
      </c>
      <c r="F309">
        <f>PMSPLINE!F$14</f>
        <v>2.0231525471596536</v>
      </c>
      <c r="G309">
        <f>PMSPLINE!F$15</f>
        <v>0.99080570399491297</v>
      </c>
      <c r="H309" s="5">
        <f>PMSPLINE!K$14</f>
        <v>1.3717879485859222E-3</v>
      </c>
      <c r="I309" s="5">
        <f>PMSPLINE!K$15</f>
        <v>3.0360217346030134E-4</v>
      </c>
      <c r="J309">
        <f t="shared" si="46"/>
        <v>0.967741935483871</v>
      </c>
      <c r="K309">
        <f t="shared" si="47"/>
        <v>3.2258064516129031E-2</v>
      </c>
      <c r="L309">
        <f t="shared" si="48"/>
        <v>260</v>
      </c>
      <c r="M309" s="6">
        <f t="shared" si="49"/>
        <v>1.9898510360898234</v>
      </c>
      <c r="N309" s="13">
        <f t="shared" si="44"/>
        <v>1.9747874337649087</v>
      </c>
      <c r="O309" s="6">
        <f t="shared" si="52"/>
        <v>616.69625444359508</v>
      </c>
      <c r="P309" s="6">
        <f t="shared" si="53"/>
        <v>620.38766071037935</v>
      </c>
      <c r="Q309" s="6">
        <f t="shared" si="50"/>
        <v>1.9747874337649087</v>
      </c>
      <c r="S309">
        <v>260</v>
      </c>
      <c r="T309" s="6">
        <f t="shared" si="54"/>
        <v>1.9747874337649087</v>
      </c>
    </row>
    <row r="310" spans="1:20">
      <c r="B310">
        <f t="shared" si="51"/>
        <v>307</v>
      </c>
      <c r="C310">
        <f t="shared" si="45"/>
        <v>31</v>
      </c>
      <c r="D310">
        <v>305</v>
      </c>
      <c r="E310">
        <v>336</v>
      </c>
      <c r="F310">
        <f>PMSPLINE!F$14</f>
        <v>2.0231525471596536</v>
      </c>
      <c r="G310">
        <f>PMSPLINE!F$15</f>
        <v>0.99080570399491297</v>
      </c>
      <c r="H310" s="5">
        <f>PMSPLINE!K$14</f>
        <v>1.3717879485859222E-3</v>
      </c>
      <c r="I310" s="5">
        <f>PMSPLINE!K$15</f>
        <v>3.0360217346030134E-4</v>
      </c>
      <c r="J310">
        <f t="shared" si="46"/>
        <v>0.93548387096774188</v>
      </c>
      <c r="K310">
        <f t="shared" si="47"/>
        <v>6.4516129032258063E-2</v>
      </c>
      <c r="L310">
        <f t="shared" si="48"/>
        <v>261</v>
      </c>
      <c r="M310" s="6">
        <f t="shared" si="49"/>
        <v>1.9565495250199929</v>
      </c>
      <c r="N310" s="13">
        <f t="shared" si="44"/>
        <v>1.9277596507131003</v>
      </c>
      <c r="O310" s="6">
        <f t="shared" si="52"/>
        <v>618.6528039686151</v>
      </c>
      <c r="P310" s="6">
        <f t="shared" si="53"/>
        <v>622.31542036109249</v>
      </c>
      <c r="Q310" s="6">
        <f t="shared" si="50"/>
        <v>1.9277596507131003</v>
      </c>
      <c r="S310">
        <v>261</v>
      </c>
      <c r="T310" s="6">
        <f t="shared" si="54"/>
        <v>1.9277596507131003</v>
      </c>
    </row>
    <row r="311" spans="1:20">
      <c r="B311">
        <f t="shared" si="51"/>
        <v>308</v>
      </c>
      <c r="C311">
        <f t="shared" si="45"/>
        <v>31</v>
      </c>
      <c r="D311">
        <v>305</v>
      </c>
      <c r="E311">
        <v>336</v>
      </c>
      <c r="F311">
        <f>PMSPLINE!F$14</f>
        <v>2.0231525471596536</v>
      </c>
      <c r="G311">
        <f>PMSPLINE!F$15</f>
        <v>0.99080570399491297</v>
      </c>
      <c r="H311" s="5">
        <f>PMSPLINE!K$14</f>
        <v>1.3717879485859222E-3</v>
      </c>
      <c r="I311" s="5">
        <f>PMSPLINE!K$15</f>
        <v>3.0360217346030134E-4</v>
      </c>
      <c r="J311">
        <f t="shared" si="46"/>
        <v>0.90322580645161288</v>
      </c>
      <c r="K311">
        <f t="shared" si="47"/>
        <v>9.6774193548387094E-2</v>
      </c>
      <c r="L311">
        <f t="shared" si="48"/>
        <v>262</v>
      </c>
      <c r="M311" s="6">
        <f t="shared" si="49"/>
        <v>1.9232480139501624</v>
      </c>
      <c r="N311" s="13">
        <f t="shared" ref="N311:N374" si="55">Q311</f>
        <v>1.8820347403985793</v>
      </c>
      <c r="O311" s="6">
        <f t="shared" si="52"/>
        <v>620.57605198256522</v>
      </c>
      <c r="P311" s="6">
        <f t="shared" si="53"/>
        <v>624.19745510149107</v>
      </c>
      <c r="Q311" s="6">
        <f t="shared" si="50"/>
        <v>1.8820347403985793</v>
      </c>
      <c r="S311">
        <v>262</v>
      </c>
      <c r="T311" s="6">
        <f t="shared" si="54"/>
        <v>1.8820347403985793</v>
      </c>
    </row>
    <row r="312" spans="1:20">
      <c r="B312">
        <f t="shared" si="51"/>
        <v>309</v>
      </c>
      <c r="C312">
        <f t="shared" si="45"/>
        <v>31</v>
      </c>
      <c r="D312">
        <v>305</v>
      </c>
      <c r="E312">
        <v>336</v>
      </c>
      <c r="F312">
        <f>PMSPLINE!F$14</f>
        <v>2.0231525471596536</v>
      </c>
      <c r="G312">
        <f>PMSPLINE!F$15</f>
        <v>0.99080570399491297</v>
      </c>
      <c r="H312" s="5">
        <f>PMSPLINE!K$14</f>
        <v>1.3717879485859222E-3</v>
      </c>
      <c r="I312" s="5">
        <f>PMSPLINE!K$15</f>
        <v>3.0360217346030134E-4</v>
      </c>
      <c r="J312">
        <f t="shared" si="46"/>
        <v>0.87096774193548387</v>
      </c>
      <c r="K312">
        <f t="shared" si="47"/>
        <v>0.12903225806451613</v>
      </c>
      <c r="L312">
        <f t="shared" si="48"/>
        <v>263</v>
      </c>
      <c r="M312" s="6">
        <f t="shared" si="49"/>
        <v>1.8899465028803322</v>
      </c>
      <c r="N312" s="13">
        <f t="shared" si="55"/>
        <v>1.837578245215697</v>
      </c>
      <c r="O312" s="6">
        <f t="shared" si="52"/>
        <v>622.46599848544554</v>
      </c>
      <c r="P312" s="6">
        <f t="shared" si="53"/>
        <v>626.03503334670677</v>
      </c>
      <c r="Q312" s="6">
        <f t="shared" si="50"/>
        <v>1.837578245215697</v>
      </c>
      <c r="S312">
        <v>263</v>
      </c>
      <c r="T312" s="6">
        <f t="shared" si="54"/>
        <v>1.837578245215697</v>
      </c>
    </row>
    <row r="313" spans="1:20">
      <c r="B313">
        <f t="shared" si="51"/>
        <v>310</v>
      </c>
      <c r="C313">
        <f t="shared" si="45"/>
        <v>31</v>
      </c>
      <c r="D313">
        <v>305</v>
      </c>
      <c r="E313">
        <v>336</v>
      </c>
      <c r="F313">
        <f>PMSPLINE!F$14</f>
        <v>2.0231525471596536</v>
      </c>
      <c r="G313">
        <f>PMSPLINE!F$15</f>
        <v>0.99080570399491297</v>
      </c>
      <c r="H313" s="5">
        <f>PMSPLINE!K$14</f>
        <v>1.3717879485859222E-3</v>
      </c>
      <c r="I313" s="5">
        <f>PMSPLINE!K$15</f>
        <v>3.0360217346030134E-4</v>
      </c>
      <c r="J313">
        <f t="shared" si="46"/>
        <v>0.83870967741935487</v>
      </c>
      <c r="K313">
        <f t="shared" si="47"/>
        <v>0.16129032258064516</v>
      </c>
      <c r="L313">
        <f t="shared" si="48"/>
        <v>264</v>
      </c>
      <c r="M313" s="6">
        <f t="shared" si="49"/>
        <v>1.8566449918105019</v>
      </c>
      <c r="N313" s="13">
        <f t="shared" si="55"/>
        <v>1.7943557075588035</v>
      </c>
      <c r="O313" s="6">
        <f t="shared" si="52"/>
        <v>624.32264347725607</v>
      </c>
      <c r="P313" s="6">
        <f t="shared" si="53"/>
        <v>627.82938905426556</v>
      </c>
      <c r="Q313" s="6">
        <f t="shared" si="50"/>
        <v>1.7943557075588035</v>
      </c>
      <c r="S313">
        <v>264</v>
      </c>
      <c r="T313" s="6">
        <f t="shared" si="54"/>
        <v>1.7943557075588035</v>
      </c>
    </row>
    <row r="314" spans="1:20">
      <c r="B314">
        <f t="shared" si="51"/>
        <v>311</v>
      </c>
      <c r="C314">
        <f t="shared" si="45"/>
        <v>31</v>
      </c>
      <c r="D314">
        <v>305</v>
      </c>
      <c r="E314">
        <v>336</v>
      </c>
      <c r="F314">
        <f>PMSPLINE!F$14</f>
        <v>2.0231525471596536</v>
      </c>
      <c r="G314">
        <f>PMSPLINE!F$15</f>
        <v>0.99080570399491297</v>
      </c>
      <c r="H314" s="5">
        <f>PMSPLINE!K$14</f>
        <v>1.3717879485859222E-3</v>
      </c>
      <c r="I314" s="5">
        <f>PMSPLINE!K$15</f>
        <v>3.0360217346030134E-4</v>
      </c>
      <c r="J314">
        <f t="shared" si="46"/>
        <v>0.80645161290322576</v>
      </c>
      <c r="K314">
        <f t="shared" si="47"/>
        <v>0.19354838709677419</v>
      </c>
      <c r="L314">
        <f t="shared" si="48"/>
        <v>265</v>
      </c>
      <c r="M314" s="6">
        <f t="shared" si="49"/>
        <v>1.8233434807406714</v>
      </c>
      <c r="N314" s="13">
        <f t="shared" si="55"/>
        <v>1.7523326698222499</v>
      </c>
      <c r="O314" s="6">
        <f t="shared" si="52"/>
        <v>626.14598695799668</v>
      </c>
      <c r="P314" s="6">
        <f t="shared" si="53"/>
        <v>629.58172172408786</v>
      </c>
      <c r="Q314" s="6">
        <f t="shared" si="50"/>
        <v>1.7523326698222499</v>
      </c>
      <c r="S314">
        <v>265</v>
      </c>
      <c r="T314" s="6">
        <f t="shared" si="54"/>
        <v>1.7523326698222499</v>
      </c>
    </row>
    <row r="315" spans="1:20">
      <c r="B315">
        <f t="shared" si="51"/>
        <v>312</v>
      </c>
      <c r="C315">
        <f t="shared" si="45"/>
        <v>31</v>
      </c>
      <c r="D315">
        <v>305</v>
      </c>
      <c r="E315">
        <v>336</v>
      </c>
      <c r="F315">
        <f>PMSPLINE!F$14</f>
        <v>2.0231525471596536</v>
      </c>
      <c r="G315">
        <f>PMSPLINE!F$15</f>
        <v>0.99080570399491297</v>
      </c>
      <c r="H315" s="5">
        <f>PMSPLINE!K$14</f>
        <v>1.3717879485859222E-3</v>
      </c>
      <c r="I315" s="5">
        <f>PMSPLINE!K$15</f>
        <v>3.0360217346030134E-4</v>
      </c>
      <c r="J315">
        <f t="shared" si="46"/>
        <v>0.77419354838709675</v>
      </c>
      <c r="K315">
        <f t="shared" si="47"/>
        <v>0.22580645161290322</v>
      </c>
      <c r="L315">
        <f t="shared" si="48"/>
        <v>266</v>
      </c>
      <c r="M315" s="6">
        <f t="shared" si="49"/>
        <v>1.7900419696708412</v>
      </c>
      <c r="N315" s="13">
        <f t="shared" si="55"/>
        <v>1.711474674400387</v>
      </c>
      <c r="O315" s="6">
        <f t="shared" si="52"/>
        <v>627.93602892766751</v>
      </c>
      <c r="P315" s="6">
        <f t="shared" si="53"/>
        <v>631.29319639848825</v>
      </c>
      <c r="Q315" s="6">
        <f t="shared" si="50"/>
        <v>1.711474674400387</v>
      </c>
      <c r="S315">
        <v>266</v>
      </c>
      <c r="T315" s="6">
        <f t="shared" si="54"/>
        <v>1.711474674400387</v>
      </c>
    </row>
    <row r="316" spans="1:20">
      <c r="B316">
        <f t="shared" si="51"/>
        <v>313</v>
      </c>
      <c r="C316">
        <f t="shared" si="45"/>
        <v>31</v>
      </c>
      <c r="D316">
        <v>305</v>
      </c>
      <c r="E316">
        <v>336</v>
      </c>
      <c r="F316">
        <f>PMSPLINE!F$14</f>
        <v>2.0231525471596536</v>
      </c>
      <c r="G316">
        <f>PMSPLINE!F$15</f>
        <v>0.99080570399491297</v>
      </c>
      <c r="H316" s="5">
        <f>PMSPLINE!K$14</f>
        <v>1.3717879485859222E-3</v>
      </c>
      <c r="I316" s="5">
        <f>PMSPLINE!K$15</f>
        <v>3.0360217346030134E-4</v>
      </c>
      <c r="J316">
        <f t="shared" si="46"/>
        <v>0.74193548387096775</v>
      </c>
      <c r="K316">
        <f t="shared" si="47"/>
        <v>0.25806451612903225</v>
      </c>
      <c r="L316">
        <f t="shared" si="48"/>
        <v>267</v>
      </c>
      <c r="M316" s="6">
        <f t="shared" si="49"/>
        <v>1.7567404586010109</v>
      </c>
      <c r="N316" s="13">
        <f t="shared" si="55"/>
        <v>1.6717472636875654</v>
      </c>
      <c r="O316" s="6">
        <f t="shared" si="52"/>
        <v>629.69276938626854</v>
      </c>
      <c r="P316" s="6">
        <f t="shared" si="53"/>
        <v>632.96494366217587</v>
      </c>
      <c r="Q316" s="6">
        <f t="shared" si="50"/>
        <v>1.6717472636875654</v>
      </c>
      <c r="S316">
        <v>267</v>
      </c>
      <c r="T316" s="6">
        <f t="shared" si="54"/>
        <v>1.6717472636875654</v>
      </c>
    </row>
    <row r="317" spans="1:20">
      <c r="B317">
        <f t="shared" si="51"/>
        <v>314</v>
      </c>
      <c r="C317">
        <f t="shared" si="45"/>
        <v>31</v>
      </c>
      <c r="D317">
        <v>305</v>
      </c>
      <c r="E317">
        <v>336</v>
      </c>
      <c r="F317">
        <f>PMSPLINE!F$14</f>
        <v>2.0231525471596536</v>
      </c>
      <c r="G317">
        <f>PMSPLINE!F$15</f>
        <v>0.99080570399491297</v>
      </c>
      <c r="H317" s="5">
        <f>PMSPLINE!K$14</f>
        <v>1.3717879485859222E-3</v>
      </c>
      <c r="I317" s="5">
        <f>PMSPLINE!K$15</f>
        <v>3.0360217346030134E-4</v>
      </c>
      <c r="J317">
        <f t="shared" si="46"/>
        <v>0.70967741935483875</v>
      </c>
      <c r="K317">
        <f t="shared" si="47"/>
        <v>0.29032258064516131</v>
      </c>
      <c r="L317">
        <f t="shared" si="48"/>
        <v>268</v>
      </c>
      <c r="M317" s="6">
        <f t="shared" si="49"/>
        <v>1.7234389475311807</v>
      </c>
      <c r="N317" s="13">
        <f t="shared" si="55"/>
        <v>1.6331159800781363</v>
      </c>
      <c r="O317" s="6">
        <f t="shared" si="52"/>
        <v>631.41620833379977</v>
      </c>
      <c r="P317" s="6">
        <f t="shared" si="53"/>
        <v>634.59805964225404</v>
      </c>
      <c r="Q317" s="6">
        <f t="shared" si="50"/>
        <v>1.6331159800781363</v>
      </c>
      <c r="S317">
        <v>268</v>
      </c>
      <c r="T317" s="6">
        <f t="shared" si="54"/>
        <v>1.6331159800781363</v>
      </c>
    </row>
    <row r="318" spans="1:20">
      <c r="B318">
        <f t="shared" si="51"/>
        <v>315</v>
      </c>
      <c r="C318">
        <f t="shared" si="45"/>
        <v>31</v>
      </c>
      <c r="D318">
        <v>305</v>
      </c>
      <c r="E318">
        <v>336</v>
      </c>
      <c r="F318">
        <f>PMSPLINE!F$14</f>
        <v>2.0231525471596536</v>
      </c>
      <c r="G318">
        <f>PMSPLINE!F$15</f>
        <v>0.99080570399491297</v>
      </c>
      <c r="H318" s="5">
        <f>PMSPLINE!K$14</f>
        <v>1.3717879485859222E-3</v>
      </c>
      <c r="I318" s="5">
        <f>PMSPLINE!K$15</f>
        <v>3.0360217346030134E-4</v>
      </c>
      <c r="J318">
        <f t="shared" si="46"/>
        <v>0.67741935483870963</v>
      </c>
      <c r="K318">
        <f t="shared" si="47"/>
        <v>0.32258064516129031</v>
      </c>
      <c r="L318">
        <f t="shared" si="48"/>
        <v>269</v>
      </c>
      <c r="M318" s="6">
        <f t="shared" si="49"/>
        <v>1.69013743646135</v>
      </c>
      <c r="N318" s="13">
        <f t="shared" si="55"/>
        <v>1.5955463659664495</v>
      </c>
      <c r="O318" s="6">
        <f t="shared" si="52"/>
        <v>633.1063457702611</v>
      </c>
      <c r="P318" s="6">
        <f t="shared" si="53"/>
        <v>636.19360600822051</v>
      </c>
      <c r="Q318" s="6">
        <f t="shared" si="50"/>
        <v>1.5955463659664495</v>
      </c>
      <c r="S318">
        <v>269</v>
      </c>
      <c r="T318" s="6">
        <f t="shared" si="54"/>
        <v>1.5955463659664495</v>
      </c>
    </row>
    <row r="319" spans="1:20">
      <c r="B319">
        <f t="shared" si="51"/>
        <v>316</v>
      </c>
      <c r="C319">
        <f t="shared" si="45"/>
        <v>31</v>
      </c>
      <c r="D319">
        <v>305</v>
      </c>
      <c r="E319">
        <v>336</v>
      </c>
      <c r="F319">
        <f>PMSPLINE!F$14</f>
        <v>2.0231525471596536</v>
      </c>
      <c r="G319">
        <f>PMSPLINE!F$15</f>
        <v>0.99080570399491297</v>
      </c>
      <c r="H319" s="5">
        <f>PMSPLINE!K$14</f>
        <v>1.3717879485859222E-3</v>
      </c>
      <c r="I319" s="5">
        <f>PMSPLINE!K$15</f>
        <v>3.0360217346030134E-4</v>
      </c>
      <c r="J319">
        <f t="shared" si="46"/>
        <v>0.64516129032258063</v>
      </c>
      <c r="K319">
        <f t="shared" si="47"/>
        <v>0.35483870967741937</v>
      </c>
      <c r="L319">
        <f t="shared" si="48"/>
        <v>270</v>
      </c>
      <c r="M319" s="6">
        <f t="shared" si="49"/>
        <v>1.6568359253915197</v>
      </c>
      <c r="N319" s="13">
        <f t="shared" si="55"/>
        <v>1.5590039637468571</v>
      </c>
      <c r="O319" s="6">
        <f t="shared" si="52"/>
        <v>634.76318169565263</v>
      </c>
      <c r="P319" s="6">
        <f t="shared" si="53"/>
        <v>637.75260997196733</v>
      </c>
      <c r="Q319" s="6">
        <f t="shared" si="50"/>
        <v>1.5590039637468571</v>
      </c>
      <c r="S319">
        <v>270</v>
      </c>
      <c r="T319" s="6">
        <f t="shared" si="54"/>
        <v>1.5590039637468571</v>
      </c>
    </row>
    <row r="320" spans="1:20">
      <c r="B320">
        <f t="shared" si="51"/>
        <v>317</v>
      </c>
      <c r="C320">
        <f t="shared" si="45"/>
        <v>31</v>
      </c>
      <c r="D320">
        <v>305</v>
      </c>
      <c r="E320">
        <v>336</v>
      </c>
      <c r="F320">
        <f>PMSPLINE!F$14</f>
        <v>2.0231525471596536</v>
      </c>
      <c r="G320">
        <f>PMSPLINE!F$15</f>
        <v>0.99080570399491297</v>
      </c>
      <c r="H320" s="5">
        <f>PMSPLINE!K$14</f>
        <v>1.3717879485859222E-3</v>
      </c>
      <c r="I320" s="5">
        <f>PMSPLINE!K$15</f>
        <v>3.0360217346030134E-4</v>
      </c>
      <c r="J320">
        <f t="shared" si="46"/>
        <v>0.61290322580645162</v>
      </c>
      <c r="K320">
        <f t="shared" si="47"/>
        <v>0.38709677419354838</v>
      </c>
      <c r="L320">
        <f t="shared" si="48"/>
        <v>271</v>
      </c>
      <c r="M320" s="6">
        <f t="shared" si="49"/>
        <v>1.6235344143216894</v>
      </c>
      <c r="N320" s="13">
        <f t="shared" si="55"/>
        <v>1.5234543158137093</v>
      </c>
      <c r="O320" s="6">
        <f t="shared" si="52"/>
        <v>636.38671610997437</v>
      </c>
      <c r="P320" s="6">
        <f t="shared" si="53"/>
        <v>639.27606428778108</v>
      </c>
      <c r="Q320" s="6">
        <f t="shared" si="50"/>
        <v>1.5234543158137093</v>
      </c>
      <c r="S320">
        <v>271</v>
      </c>
      <c r="T320" s="6">
        <f t="shared" si="54"/>
        <v>1.5234543158137093</v>
      </c>
    </row>
    <row r="321" spans="2:20">
      <c r="B321">
        <f t="shared" si="51"/>
        <v>318</v>
      </c>
      <c r="C321">
        <f t="shared" si="45"/>
        <v>31</v>
      </c>
      <c r="D321">
        <v>305</v>
      </c>
      <c r="E321">
        <v>336</v>
      </c>
      <c r="F321">
        <f>PMSPLINE!F$14</f>
        <v>2.0231525471596536</v>
      </c>
      <c r="G321">
        <f>PMSPLINE!F$15</f>
        <v>0.99080570399491297</v>
      </c>
      <c r="H321" s="5">
        <f>PMSPLINE!K$14</f>
        <v>1.3717879485859222E-3</v>
      </c>
      <c r="I321" s="5">
        <f>PMSPLINE!K$15</f>
        <v>3.0360217346030134E-4</v>
      </c>
      <c r="J321">
        <f t="shared" si="46"/>
        <v>0.58064516129032262</v>
      </c>
      <c r="K321">
        <f t="shared" si="47"/>
        <v>0.41935483870967744</v>
      </c>
      <c r="L321">
        <f t="shared" si="48"/>
        <v>272</v>
      </c>
      <c r="M321" s="6">
        <f t="shared" si="49"/>
        <v>1.5902329032518592</v>
      </c>
      <c r="N321" s="13">
        <f t="shared" si="55"/>
        <v>1.4888629645613567</v>
      </c>
      <c r="O321" s="6">
        <f t="shared" si="52"/>
        <v>637.9769490132262</v>
      </c>
      <c r="P321" s="6">
        <f t="shared" si="53"/>
        <v>640.76492725234243</v>
      </c>
      <c r="Q321" s="6">
        <f t="shared" si="50"/>
        <v>1.4888629645613567</v>
      </c>
      <c r="S321">
        <v>272</v>
      </c>
      <c r="T321" s="6">
        <f t="shared" si="54"/>
        <v>1.4888629645613567</v>
      </c>
    </row>
    <row r="322" spans="2:20">
      <c r="B322">
        <f t="shared" si="51"/>
        <v>319</v>
      </c>
      <c r="C322">
        <f t="shared" si="45"/>
        <v>31</v>
      </c>
      <c r="D322">
        <v>305</v>
      </c>
      <c r="E322">
        <v>336</v>
      </c>
      <c r="F322">
        <f>PMSPLINE!F$14</f>
        <v>2.0231525471596536</v>
      </c>
      <c r="G322">
        <f>PMSPLINE!F$15</f>
        <v>0.99080570399491297</v>
      </c>
      <c r="H322" s="5">
        <f>PMSPLINE!K$14</f>
        <v>1.3717879485859222E-3</v>
      </c>
      <c r="I322" s="5">
        <f>PMSPLINE!K$15</f>
        <v>3.0360217346030134E-4</v>
      </c>
      <c r="J322">
        <f t="shared" si="46"/>
        <v>0.54838709677419351</v>
      </c>
      <c r="K322">
        <f t="shared" si="47"/>
        <v>0.45161290322580644</v>
      </c>
      <c r="L322">
        <f t="shared" si="48"/>
        <v>273</v>
      </c>
      <c r="M322" s="6">
        <f t="shared" si="49"/>
        <v>1.5569313921820287</v>
      </c>
      <c r="N322" s="13">
        <f t="shared" si="55"/>
        <v>1.4551954523841502</v>
      </c>
      <c r="O322" s="6">
        <f t="shared" si="52"/>
        <v>639.53388040540824</v>
      </c>
      <c r="P322" s="6">
        <f t="shared" si="53"/>
        <v>642.22012270472658</v>
      </c>
      <c r="Q322" s="6">
        <f t="shared" si="50"/>
        <v>1.4551954523841502</v>
      </c>
      <c r="S322">
        <v>273</v>
      </c>
      <c r="T322" s="6">
        <f t="shared" si="54"/>
        <v>1.4551954523841502</v>
      </c>
    </row>
    <row r="323" spans="2:20">
      <c r="B323">
        <f t="shared" si="51"/>
        <v>320</v>
      </c>
      <c r="C323">
        <f t="shared" si="45"/>
        <v>31</v>
      </c>
      <c r="D323">
        <v>305</v>
      </c>
      <c r="E323">
        <v>336</v>
      </c>
      <c r="F323">
        <f>PMSPLINE!F$14</f>
        <v>2.0231525471596536</v>
      </c>
      <c r="G323">
        <f>PMSPLINE!F$15</f>
        <v>0.99080570399491297</v>
      </c>
      <c r="H323" s="5">
        <f>PMSPLINE!K$14</f>
        <v>1.3717879485859222E-3</v>
      </c>
      <c r="I323" s="5">
        <f>PMSPLINE!K$15</f>
        <v>3.0360217346030134E-4</v>
      </c>
      <c r="J323">
        <f t="shared" si="46"/>
        <v>0.5161290322580645</v>
      </c>
      <c r="K323">
        <f t="shared" si="47"/>
        <v>0.4838709677419355</v>
      </c>
      <c r="L323">
        <f t="shared" si="48"/>
        <v>274</v>
      </c>
      <c r="M323" s="6">
        <f t="shared" si="49"/>
        <v>1.5236298811121984</v>
      </c>
      <c r="N323" s="13">
        <f t="shared" si="55"/>
        <v>1.4224173216764409</v>
      </c>
      <c r="O323" s="6">
        <f t="shared" si="52"/>
        <v>641.05751028652048</v>
      </c>
      <c r="P323" s="6">
        <f t="shared" si="53"/>
        <v>643.64254002640303</v>
      </c>
      <c r="Q323" s="6">
        <f t="shared" si="50"/>
        <v>1.4224173216764409</v>
      </c>
      <c r="S323">
        <v>274</v>
      </c>
      <c r="T323" s="6">
        <f t="shared" si="54"/>
        <v>1.4224173216764409</v>
      </c>
    </row>
    <row r="324" spans="2:20">
      <c r="B324">
        <f t="shared" si="51"/>
        <v>321</v>
      </c>
      <c r="C324">
        <f t="shared" ref="C324:C387" si="56">E324-D324</f>
        <v>31</v>
      </c>
      <c r="D324">
        <v>305</v>
      </c>
      <c r="E324">
        <v>336</v>
      </c>
      <c r="F324">
        <f>PMSPLINE!F$14</f>
        <v>2.0231525471596536</v>
      </c>
      <c r="G324">
        <f>PMSPLINE!F$15</f>
        <v>0.99080570399491297</v>
      </c>
      <c r="H324" s="5">
        <f>PMSPLINE!K$14</f>
        <v>1.3717879485859222E-3</v>
      </c>
      <c r="I324" s="5">
        <f>PMSPLINE!K$15</f>
        <v>3.0360217346030134E-4</v>
      </c>
      <c r="J324">
        <f t="shared" ref="J324:J387" si="57">(E324-B324)/C324</f>
        <v>0.4838709677419355</v>
      </c>
      <c r="K324">
        <f t="shared" ref="K324:K387" si="58">(B324-D324)/C324</f>
        <v>0.5161290322580645</v>
      </c>
      <c r="L324">
        <f t="shared" ref="L324:L387" si="59">B324-46</f>
        <v>275</v>
      </c>
      <c r="M324" s="6">
        <f t="shared" ref="M324:M387" si="60">J324*F324+K324*G324</f>
        <v>1.4903283700423682</v>
      </c>
      <c r="N324" s="13">
        <f t="shared" si="55"/>
        <v>1.3904941148325791</v>
      </c>
      <c r="O324" s="6">
        <f t="shared" si="52"/>
        <v>642.54783865656282</v>
      </c>
      <c r="P324" s="6">
        <f t="shared" si="53"/>
        <v>645.03303414123559</v>
      </c>
      <c r="Q324" s="6">
        <f t="shared" ref="Q324:Q387" si="61">M324+(((J324^3-J324)*H324+(K324^3-K324)*I324))*(C324^2)/6</f>
        <v>1.3904941148325791</v>
      </c>
      <c r="S324">
        <v>275</v>
      </c>
      <c r="T324" s="6">
        <f t="shared" si="54"/>
        <v>1.3904941148325791</v>
      </c>
    </row>
    <row r="325" spans="2:20">
      <c r="B325">
        <f t="shared" ref="B325:B388" si="62">B324+1</f>
        <v>322</v>
      </c>
      <c r="C325">
        <f t="shared" si="56"/>
        <v>31</v>
      </c>
      <c r="D325">
        <v>305</v>
      </c>
      <c r="E325">
        <v>336</v>
      </c>
      <c r="F325">
        <f>PMSPLINE!F$14</f>
        <v>2.0231525471596536</v>
      </c>
      <c r="G325">
        <f>PMSPLINE!F$15</f>
        <v>0.99080570399491297</v>
      </c>
      <c r="H325" s="5">
        <f>PMSPLINE!K$14</f>
        <v>1.3717879485859222E-3</v>
      </c>
      <c r="I325" s="5">
        <f>PMSPLINE!K$15</f>
        <v>3.0360217346030134E-4</v>
      </c>
      <c r="J325">
        <f t="shared" si="57"/>
        <v>0.45161290322580644</v>
      </c>
      <c r="K325">
        <f t="shared" si="58"/>
        <v>0.54838709677419351</v>
      </c>
      <c r="L325">
        <f t="shared" si="59"/>
        <v>276</v>
      </c>
      <c r="M325" s="6">
        <f t="shared" si="60"/>
        <v>1.4570268589725377</v>
      </c>
      <c r="N325" s="13">
        <f t="shared" si="55"/>
        <v>1.3593913742469157</v>
      </c>
      <c r="O325" s="6">
        <f t="shared" ref="O325:O388" si="63">O324+M325</f>
        <v>644.00486551553536</v>
      </c>
      <c r="P325" s="6">
        <f t="shared" ref="P325:P388" si="64">P324+N325</f>
        <v>646.3924255154825</v>
      </c>
      <c r="Q325" s="6">
        <f t="shared" si="61"/>
        <v>1.3593913742469157</v>
      </c>
      <c r="S325">
        <v>276</v>
      </c>
      <c r="T325" s="6">
        <f t="shared" si="54"/>
        <v>1.3593913742469157</v>
      </c>
    </row>
    <row r="326" spans="2:20">
      <c r="B326">
        <f t="shared" si="62"/>
        <v>323</v>
      </c>
      <c r="C326">
        <f t="shared" si="56"/>
        <v>31</v>
      </c>
      <c r="D326">
        <v>305</v>
      </c>
      <c r="E326">
        <v>336</v>
      </c>
      <c r="F326">
        <f>PMSPLINE!F$14</f>
        <v>2.0231525471596536</v>
      </c>
      <c r="G326">
        <f>PMSPLINE!F$15</f>
        <v>0.99080570399491297</v>
      </c>
      <c r="H326" s="5">
        <f>PMSPLINE!K$14</f>
        <v>1.3717879485859222E-3</v>
      </c>
      <c r="I326" s="5">
        <f>PMSPLINE!K$15</f>
        <v>3.0360217346030134E-4</v>
      </c>
      <c r="J326">
        <f t="shared" si="57"/>
        <v>0.41935483870967744</v>
      </c>
      <c r="K326">
        <f t="shared" si="58"/>
        <v>0.58064516129032262</v>
      </c>
      <c r="L326">
        <f t="shared" si="59"/>
        <v>277</v>
      </c>
      <c r="M326" s="6">
        <f t="shared" si="60"/>
        <v>1.4237253479027077</v>
      </c>
      <c r="N326" s="13">
        <f t="shared" si="55"/>
        <v>1.329074642313802</v>
      </c>
      <c r="O326" s="6">
        <f t="shared" si="63"/>
        <v>645.4285908634381</v>
      </c>
      <c r="P326" s="6">
        <f t="shared" si="64"/>
        <v>647.7215001577963</v>
      </c>
      <c r="Q326" s="6">
        <f t="shared" si="61"/>
        <v>1.329074642313802</v>
      </c>
      <c r="S326">
        <v>277</v>
      </c>
      <c r="T326" s="6">
        <f t="shared" si="54"/>
        <v>1.329074642313802</v>
      </c>
    </row>
    <row r="327" spans="2:20">
      <c r="B327">
        <f t="shared" si="62"/>
        <v>324</v>
      </c>
      <c r="C327">
        <f t="shared" si="56"/>
        <v>31</v>
      </c>
      <c r="D327">
        <v>305</v>
      </c>
      <c r="E327">
        <v>336</v>
      </c>
      <c r="F327">
        <f>PMSPLINE!F$14</f>
        <v>2.0231525471596536</v>
      </c>
      <c r="G327">
        <f>PMSPLINE!F$15</f>
        <v>0.99080570399491297</v>
      </c>
      <c r="H327" s="5">
        <f>PMSPLINE!K$14</f>
        <v>1.3717879485859222E-3</v>
      </c>
      <c r="I327" s="5">
        <f>PMSPLINE!K$15</f>
        <v>3.0360217346030134E-4</v>
      </c>
      <c r="J327">
        <f t="shared" si="57"/>
        <v>0.38709677419354838</v>
      </c>
      <c r="K327">
        <f t="shared" si="58"/>
        <v>0.61290322580645162</v>
      </c>
      <c r="L327">
        <f t="shared" si="59"/>
        <v>278</v>
      </c>
      <c r="M327" s="6">
        <f t="shared" si="60"/>
        <v>1.390423836832877</v>
      </c>
      <c r="N327" s="13">
        <f t="shared" si="55"/>
        <v>1.2995094614275877</v>
      </c>
      <c r="O327" s="6">
        <f t="shared" si="63"/>
        <v>646.81901470027094</v>
      </c>
      <c r="P327" s="6">
        <f t="shared" si="64"/>
        <v>649.02100961922383</v>
      </c>
      <c r="Q327" s="6">
        <f t="shared" si="61"/>
        <v>1.2995094614275877</v>
      </c>
      <c r="S327">
        <v>278</v>
      </c>
      <c r="T327" s="6">
        <f t="shared" si="54"/>
        <v>1.2995094614275877</v>
      </c>
    </row>
    <row r="328" spans="2:20">
      <c r="B328">
        <f t="shared" si="62"/>
        <v>325</v>
      </c>
      <c r="C328">
        <f t="shared" si="56"/>
        <v>31</v>
      </c>
      <c r="D328">
        <v>305</v>
      </c>
      <c r="E328">
        <v>336</v>
      </c>
      <c r="F328">
        <f>PMSPLINE!F$14</f>
        <v>2.0231525471596536</v>
      </c>
      <c r="G328">
        <f>PMSPLINE!F$15</f>
        <v>0.99080570399491297</v>
      </c>
      <c r="H328" s="5">
        <f>PMSPLINE!K$14</f>
        <v>1.3717879485859222E-3</v>
      </c>
      <c r="I328" s="5">
        <f>PMSPLINE!K$15</f>
        <v>3.0360217346030134E-4</v>
      </c>
      <c r="J328">
        <f t="shared" si="57"/>
        <v>0.35483870967741937</v>
      </c>
      <c r="K328">
        <f t="shared" si="58"/>
        <v>0.64516129032258063</v>
      </c>
      <c r="L328">
        <f t="shared" si="59"/>
        <v>279</v>
      </c>
      <c r="M328" s="6">
        <f t="shared" si="60"/>
        <v>1.3571223257630467</v>
      </c>
      <c r="N328" s="13">
        <f t="shared" si="55"/>
        <v>1.2706613739826247</v>
      </c>
      <c r="O328" s="6">
        <f t="shared" si="63"/>
        <v>648.17613702603398</v>
      </c>
      <c r="P328" s="6">
        <f t="shared" si="64"/>
        <v>650.29167099320648</v>
      </c>
      <c r="Q328" s="6">
        <f t="shared" si="61"/>
        <v>1.2706613739826247</v>
      </c>
      <c r="S328">
        <v>279</v>
      </c>
      <c r="T328" s="6">
        <f t="shared" si="54"/>
        <v>1.2706613739826247</v>
      </c>
    </row>
    <row r="329" spans="2:20">
      <c r="B329">
        <f t="shared" si="62"/>
        <v>326</v>
      </c>
      <c r="C329">
        <f t="shared" si="56"/>
        <v>31</v>
      </c>
      <c r="D329">
        <v>305</v>
      </c>
      <c r="E329">
        <v>336</v>
      </c>
      <c r="F329">
        <f>PMSPLINE!F$14</f>
        <v>2.0231525471596536</v>
      </c>
      <c r="G329">
        <f>PMSPLINE!F$15</f>
        <v>0.99080570399491297</v>
      </c>
      <c r="H329" s="5">
        <f>PMSPLINE!K$14</f>
        <v>1.3717879485859222E-3</v>
      </c>
      <c r="I329" s="5">
        <f>PMSPLINE!K$15</f>
        <v>3.0360217346030134E-4</v>
      </c>
      <c r="J329">
        <f t="shared" si="57"/>
        <v>0.32258064516129031</v>
      </c>
      <c r="K329">
        <f t="shared" si="58"/>
        <v>0.67741935483870963</v>
      </c>
      <c r="L329">
        <f t="shared" si="59"/>
        <v>280</v>
      </c>
      <c r="M329" s="6">
        <f t="shared" si="60"/>
        <v>1.3238208146932164</v>
      </c>
      <c r="N329" s="13">
        <f t="shared" si="55"/>
        <v>1.2424959223732632</v>
      </c>
      <c r="O329" s="6">
        <f t="shared" si="63"/>
        <v>649.49995784072723</v>
      </c>
      <c r="P329" s="6">
        <f t="shared" si="64"/>
        <v>651.5341669155797</v>
      </c>
      <c r="Q329" s="6">
        <f t="shared" si="61"/>
        <v>1.2424959223732632</v>
      </c>
      <c r="S329">
        <v>280</v>
      </c>
      <c r="T329" s="6">
        <f t="shared" si="54"/>
        <v>1.2424959223732632</v>
      </c>
    </row>
    <row r="330" spans="2:20">
      <c r="B330">
        <f t="shared" si="62"/>
        <v>327</v>
      </c>
      <c r="C330">
        <f t="shared" si="56"/>
        <v>31</v>
      </c>
      <c r="D330">
        <v>305</v>
      </c>
      <c r="E330">
        <v>336</v>
      </c>
      <c r="F330">
        <f>PMSPLINE!F$14</f>
        <v>2.0231525471596536</v>
      </c>
      <c r="G330">
        <f>PMSPLINE!F$15</f>
        <v>0.99080570399491297</v>
      </c>
      <c r="H330" s="5">
        <f>PMSPLINE!K$14</f>
        <v>1.3717879485859222E-3</v>
      </c>
      <c r="I330" s="5">
        <f>PMSPLINE!K$15</f>
        <v>3.0360217346030134E-4</v>
      </c>
      <c r="J330">
        <f t="shared" si="57"/>
        <v>0.29032258064516131</v>
      </c>
      <c r="K330">
        <f t="shared" si="58"/>
        <v>0.70967741935483875</v>
      </c>
      <c r="L330">
        <f t="shared" si="59"/>
        <v>281</v>
      </c>
      <c r="M330" s="6">
        <f t="shared" si="60"/>
        <v>1.2905193036233862</v>
      </c>
      <c r="N330" s="13">
        <f t="shared" si="55"/>
        <v>1.2149786489938543</v>
      </c>
      <c r="O330" s="6">
        <f t="shared" si="63"/>
        <v>650.79047714435058</v>
      </c>
      <c r="P330" s="6">
        <f t="shared" si="64"/>
        <v>652.74914556457361</v>
      </c>
      <c r="Q330" s="6">
        <f t="shared" si="61"/>
        <v>1.2149786489938543</v>
      </c>
      <c r="S330">
        <v>281</v>
      </c>
      <c r="T330" s="6">
        <f t="shared" si="54"/>
        <v>1.2149786489938543</v>
      </c>
    </row>
    <row r="331" spans="2:20">
      <c r="B331">
        <f t="shared" si="62"/>
        <v>328</v>
      </c>
      <c r="C331">
        <f t="shared" si="56"/>
        <v>31</v>
      </c>
      <c r="D331">
        <v>305</v>
      </c>
      <c r="E331">
        <v>336</v>
      </c>
      <c r="F331">
        <f>PMSPLINE!F$14</f>
        <v>2.0231525471596536</v>
      </c>
      <c r="G331">
        <f>PMSPLINE!F$15</f>
        <v>0.99080570399491297</v>
      </c>
      <c r="H331" s="5">
        <f>PMSPLINE!K$14</f>
        <v>1.3717879485859222E-3</v>
      </c>
      <c r="I331" s="5">
        <f>PMSPLINE!K$15</f>
        <v>3.0360217346030134E-4</v>
      </c>
      <c r="J331">
        <f t="shared" si="57"/>
        <v>0.25806451612903225</v>
      </c>
      <c r="K331">
        <f t="shared" si="58"/>
        <v>0.74193548387096775</v>
      </c>
      <c r="L331">
        <f t="shared" si="59"/>
        <v>282</v>
      </c>
      <c r="M331" s="6">
        <f t="shared" si="60"/>
        <v>1.2572177925535557</v>
      </c>
      <c r="N331" s="13">
        <f t="shared" si="55"/>
        <v>1.1880750962387485</v>
      </c>
      <c r="O331" s="6">
        <f t="shared" si="63"/>
        <v>652.04769493690412</v>
      </c>
      <c r="P331" s="6">
        <f t="shared" si="64"/>
        <v>653.93722066081239</v>
      </c>
      <c r="Q331" s="6">
        <f t="shared" si="61"/>
        <v>1.1880750962387485</v>
      </c>
      <c r="S331">
        <v>282</v>
      </c>
      <c r="T331" s="6">
        <f t="shared" si="54"/>
        <v>1.1880750962387485</v>
      </c>
    </row>
    <row r="332" spans="2:20">
      <c r="B332">
        <f t="shared" si="62"/>
        <v>329</v>
      </c>
      <c r="C332">
        <f t="shared" si="56"/>
        <v>31</v>
      </c>
      <c r="D332">
        <v>305</v>
      </c>
      <c r="E332">
        <v>336</v>
      </c>
      <c r="F332">
        <f>PMSPLINE!F$14</f>
        <v>2.0231525471596536</v>
      </c>
      <c r="G332">
        <f>PMSPLINE!F$15</f>
        <v>0.99080570399491297</v>
      </c>
      <c r="H332" s="5">
        <f>PMSPLINE!K$14</f>
        <v>1.3717879485859222E-3</v>
      </c>
      <c r="I332" s="5">
        <f>PMSPLINE!K$15</f>
        <v>3.0360217346030134E-4</v>
      </c>
      <c r="J332">
        <f t="shared" si="57"/>
        <v>0.22580645161290322</v>
      </c>
      <c r="K332">
        <f t="shared" si="58"/>
        <v>0.77419354838709675</v>
      </c>
      <c r="L332">
        <f t="shared" si="59"/>
        <v>283</v>
      </c>
      <c r="M332" s="6">
        <f t="shared" si="60"/>
        <v>1.2239162814837252</v>
      </c>
      <c r="N332" s="13">
        <f t="shared" si="55"/>
        <v>1.1617508065022966</v>
      </c>
      <c r="O332" s="6">
        <f t="shared" si="63"/>
        <v>653.27161121838787</v>
      </c>
      <c r="P332" s="6">
        <f t="shared" si="64"/>
        <v>655.09897146731464</v>
      </c>
      <c r="Q332" s="6">
        <f t="shared" si="61"/>
        <v>1.1617508065022966</v>
      </c>
      <c r="S332">
        <v>283</v>
      </c>
      <c r="T332" s="6">
        <f t="shared" si="54"/>
        <v>1.1617508065022966</v>
      </c>
    </row>
    <row r="333" spans="2:20">
      <c r="B333">
        <f t="shared" si="62"/>
        <v>330</v>
      </c>
      <c r="C333">
        <f t="shared" si="56"/>
        <v>31</v>
      </c>
      <c r="D333">
        <v>305</v>
      </c>
      <c r="E333">
        <v>336</v>
      </c>
      <c r="F333">
        <f>PMSPLINE!F$14</f>
        <v>2.0231525471596536</v>
      </c>
      <c r="G333">
        <f>PMSPLINE!F$15</f>
        <v>0.99080570399491297</v>
      </c>
      <c r="H333" s="5">
        <f>PMSPLINE!K$14</f>
        <v>1.3717879485859222E-3</v>
      </c>
      <c r="I333" s="5">
        <f>PMSPLINE!K$15</f>
        <v>3.0360217346030134E-4</v>
      </c>
      <c r="J333">
        <f t="shared" si="57"/>
        <v>0.19354838709677419</v>
      </c>
      <c r="K333">
        <f t="shared" si="58"/>
        <v>0.80645161290322576</v>
      </c>
      <c r="L333">
        <f t="shared" si="59"/>
        <v>284</v>
      </c>
      <c r="M333" s="6">
        <f t="shared" si="60"/>
        <v>1.190614770413895</v>
      </c>
      <c r="N333" s="13">
        <f t="shared" si="55"/>
        <v>1.1359713221788499</v>
      </c>
      <c r="O333" s="6">
        <f t="shared" si="63"/>
        <v>654.46222598880172</v>
      </c>
      <c r="P333" s="6">
        <f t="shared" si="64"/>
        <v>656.23494278949352</v>
      </c>
      <c r="Q333" s="6">
        <f t="shared" si="61"/>
        <v>1.1359713221788499</v>
      </c>
      <c r="S333">
        <v>284</v>
      </c>
      <c r="T333" s="6">
        <f t="shared" si="54"/>
        <v>1.1359713221788499</v>
      </c>
    </row>
    <row r="334" spans="2:20">
      <c r="B334">
        <f t="shared" si="62"/>
        <v>331</v>
      </c>
      <c r="C334">
        <f t="shared" si="56"/>
        <v>31</v>
      </c>
      <c r="D334">
        <v>305</v>
      </c>
      <c r="E334">
        <v>336</v>
      </c>
      <c r="F334">
        <f>PMSPLINE!F$14</f>
        <v>2.0231525471596536</v>
      </c>
      <c r="G334">
        <f>PMSPLINE!F$15</f>
        <v>0.99080570399491297</v>
      </c>
      <c r="H334" s="5">
        <f>PMSPLINE!K$14</f>
        <v>1.3717879485859222E-3</v>
      </c>
      <c r="I334" s="5">
        <f>PMSPLINE!K$15</f>
        <v>3.0360217346030134E-4</v>
      </c>
      <c r="J334">
        <f t="shared" si="57"/>
        <v>0.16129032258064516</v>
      </c>
      <c r="K334">
        <f t="shared" si="58"/>
        <v>0.83870967741935487</v>
      </c>
      <c r="L334">
        <f t="shared" si="59"/>
        <v>285</v>
      </c>
      <c r="M334" s="6">
        <f t="shared" si="60"/>
        <v>1.1573132593440647</v>
      </c>
      <c r="N334" s="13">
        <f t="shared" si="55"/>
        <v>1.1107021856627586</v>
      </c>
      <c r="O334" s="6">
        <f t="shared" si="63"/>
        <v>655.61953924814577</v>
      </c>
      <c r="P334" s="6">
        <f t="shared" si="64"/>
        <v>657.34564497515623</v>
      </c>
      <c r="Q334" s="6">
        <f t="shared" si="61"/>
        <v>1.1107021856627586</v>
      </c>
      <c r="S334">
        <v>285</v>
      </c>
      <c r="T334" s="6">
        <f t="shared" si="54"/>
        <v>1.1107021856627586</v>
      </c>
    </row>
    <row r="335" spans="2:20">
      <c r="B335">
        <f t="shared" si="62"/>
        <v>332</v>
      </c>
      <c r="C335">
        <f t="shared" si="56"/>
        <v>31</v>
      </c>
      <c r="D335">
        <v>305</v>
      </c>
      <c r="E335">
        <v>336</v>
      </c>
      <c r="F335">
        <f>PMSPLINE!F$14</f>
        <v>2.0231525471596536</v>
      </c>
      <c r="G335">
        <f>PMSPLINE!F$15</f>
        <v>0.99080570399491297</v>
      </c>
      <c r="H335" s="5">
        <f>PMSPLINE!K$14</f>
        <v>1.3717879485859222E-3</v>
      </c>
      <c r="I335" s="5">
        <f>PMSPLINE!K$15</f>
        <v>3.0360217346030134E-4</v>
      </c>
      <c r="J335">
        <f t="shared" si="57"/>
        <v>0.12903225806451613</v>
      </c>
      <c r="K335">
        <f t="shared" si="58"/>
        <v>0.87096774193548387</v>
      </c>
      <c r="L335">
        <f t="shared" si="59"/>
        <v>286</v>
      </c>
      <c r="M335" s="6">
        <f t="shared" si="60"/>
        <v>1.1240117482742342</v>
      </c>
      <c r="N335" s="13">
        <f t="shared" si="55"/>
        <v>1.0859089393483734</v>
      </c>
      <c r="O335" s="6">
        <f t="shared" si="63"/>
        <v>656.74355099642003</v>
      </c>
      <c r="P335" s="6">
        <f t="shared" si="64"/>
        <v>658.43155391450466</v>
      </c>
      <c r="Q335" s="6">
        <f t="shared" si="61"/>
        <v>1.0859089393483734</v>
      </c>
      <c r="S335">
        <v>286</v>
      </c>
      <c r="T335" s="6">
        <f t="shared" si="54"/>
        <v>1.0859089393483734</v>
      </c>
    </row>
    <row r="336" spans="2:20">
      <c r="B336">
        <f t="shared" si="62"/>
        <v>333</v>
      </c>
      <c r="C336">
        <f t="shared" si="56"/>
        <v>31</v>
      </c>
      <c r="D336">
        <v>305</v>
      </c>
      <c r="E336">
        <v>336</v>
      </c>
      <c r="F336">
        <f>PMSPLINE!F$14</f>
        <v>2.0231525471596536</v>
      </c>
      <c r="G336">
        <f>PMSPLINE!F$15</f>
        <v>0.99080570399491297</v>
      </c>
      <c r="H336" s="5">
        <f>PMSPLINE!K$14</f>
        <v>1.3717879485859222E-3</v>
      </c>
      <c r="I336" s="5">
        <f>PMSPLINE!K$15</f>
        <v>3.0360217346030134E-4</v>
      </c>
      <c r="J336">
        <f t="shared" si="57"/>
        <v>9.6774193548387094E-2</v>
      </c>
      <c r="K336">
        <f t="shared" si="58"/>
        <v>0.90322580645161288</v>
      </c>
      <c r="L336">
        <f t="shared" si="59"/>
        <v>287</v>
      </c>
      <c r="M336" s="6">
        <f t="shared" si="60"/>
        <v>1.090710237204404</v>
      </c>
      <c r="N336" s="13">
        <f t="shared" si="55"/>
        <v>1.0615571256300456</v>
      </c>
      <c r="O336" s="6">
        <f t="shared" si="63"/>
        <v>657.83426123362437</v>
      </c>
      <c r="P336" s="6">
        <f t="shared" si="64"/>
        <v>659.49311104013475</v>
      </c>
      <c r="Q336" s="6">
        <f t="shared" si="61"/>
        <v>1.0615571256300456</v>
      </c>
      <c r="S336">
        <v>287</v>
      </c>
      <c r="T336" s="6">
        <f t="shared" si="54"/>
        <v>1.0615571256300456</v>
      </c>
    </row>
    <row r="337" spans="1:20">
      <c r="B337">
        <f t="shared" si="62"/>
        <v>334</v>
      </c>
      <c r="C337">
        <f t="shared" si="56"/>
        <v>31</v>
      </c>
      <c r="D337">
        <v>305</v>
      </c>
      <c r="E337">
        <v>336</v>
      </c>
      <c r="F337">
        <f>PMSPLINE!F$14</f>
        <v>2.0231525471596536</v>
      </c>
      <c r="G337">
        <f>PMSPLINE!F$15</f>
        <v>0.99080570399491297</v>
      </c>
      <c r="H337" s="5">
        <f>PMSPLINE!K$14</f>
        <v>1.3717879485859222E-3</v>
      </c>
      <c r="I337" s="5">
        <f>PMSPLINE!K$15</f>
        <v>3.0360217346030134E-4</v>
      </c>
      <c r="J337">
        <f t="shared" si="57"/>
        <v>6.4516129032258063E-2</v>
      </c>
      <c r="K337">
        <f t="shared" si="58"/>
        <v>0.93548387096774188</v>
      </c>
      <c r="L337">
        <f t="shared" si="59"/>
        <v>288</v>
      </c>
      <c r="M337" s="6">
        <f t="shared" si="60"/>
        <v>1.0574087261345735</v>
      </c>
      <c r="N337" s="13">
        <f t="shared" si="55"/>
        <v>1.0376122869021256</v>
      </c>
      <c r="O337" s="6">
        <f t="shared" si="63"/>
        <v>658.89166995975893</v>
      </c>
      <c r="P337" s="6">
        <f t="shared" si="64"/>
        <v>660.53072332703687</v>
      </c>
      <c r="Q337" s="6">
        <f t="shared" si="61"/>
        <v>1.0376122869021256</v>
      </c>
      <c r="S337">
        <v>288</v>
      </c>
      <c r="T337" s="6">
        <f t="shared" si="54"/>
        <v>1.0376122869021256</v>
      </c>
    </row>
    <row r="338" spans="1:20">
      <c r="B338">
        <f t="shared" si="62"/>
        <v>335</v>
      </c>
      <c r="C338">
        <f t="shared" si="56"/>
        <v>31</v>
      </c>
      <c r="D338">
        <v>305</v>
      </c>
      <c r="E338">
        <v>336</v>
      </c>
      <c r="F338">
        <f>PMSPLINE!F$14</f>
        <v>2.0231525471596536</v>
      </c>
      <c r="G338">
        <f>PMSPLINE!F$15</f>
        <v>0.99080570399491297</v>
      </c>
      <c r="H338" s="5">
        <f>PMSPLINE!K$14</f>
        <v>1.3717879485859222E-3</v>
      </c>
      <c r="I338" s="5">
        <f>PMSPLINE!K$15</f>
        <v>3.0360217346030134E-4</v>
      </c>
      <c r="J338">
        <f t="shared" si="57"/>
        <v>3.2258064516129031E-2</v>
      </c>
      <c r="K338">
        <f t="shared" si="58"/>
        <v>0.967741935483871</v>
      </c>
      <c r="L338">
        <f t="shared" si="59"/>
        <v>289</v>
      </c>
      <c r="M338" s="6">
        <f t="shared" si="60"/>
        <v>1.0241072150647434</v>
      </c>
      <c r="N338" s="13">
        <f t="shared" si="55"/>
        <v>1.0140399655589647</v>
      </c>
      <c r="O338" s="6">
        <f t="shared" si="63"/>
        <v>659.91577717482369</v>
      </c>
      <c r="P338" s="6">
        <f t="shared" si="64"/>
        <v>661.5447632925958</v>
      </c>
      <c r="Q338" s="6">
        <f t="shared" si="61"/>
        <v>1.0140399655589647</v>
      </c>
      <c r="S338">
        <v>289</v>
      </c>
      <c r="T338" s="6">
        <f t="shared" si="54"/>
        <v>1.0140399655589647</v>
      </c>
    </row>
    <row r="339" spans="1:20">
      <c r="A339">
        <v>336</v>
      </c>
      <c r="B339">
        <f t="shared" si="62"/>
        <v>336</v>
      </c>
      <c r="C339">
        <f t="shared" si="56"/>
        <v>31</v>
      </c>
      <c r="D339">
        <v>305</v>
      </c>
      <c r="E339">
        <v>336</v>
      </c>
      <c r="F339">
        <f>PMSPLINE!F$14</f>
        <v>2.0231525471596536</v>
      </c>
      <c r="G339">
        <f>PMSPLINE!F$15</f>
        <v>0.99080570399491297</v>
      </c>
      <c r="H339" s="5">
        <f>PMSPLINE!K$14</f>
        <v>1.3717879485859222E-3</v>
      </c>
      <c r="I339" s="5">
        <f>PMSPLINE!K$15</f>
        <v>3.0360217346030134E-4</v>
      </c>
      <c r="J339">
        <f t="shared" si="57"/>
        <v>0</v>
      </c>
      <c r="K339">
        <f t="shared" si="58"/>
        <v>1</v>
      </c>
      <c r="L339">
        <f t="shared" si="59"/>
        <v>290</v>
      </c>
      <c r="M339" s="6">
        <f t="shared" si="60"/>
        <v>0.99080570399491297</v>
      </c>
      <c r="N339" s="13">
        <f t="shared" si="55"/>
        <v>0.99080570399491297</v>
      </c>
      <c r="O339" s="6">
        <f t="shared" si="63"/>
        <v>660.90658287881865</v>
      </c>
      <c r="P339" s="6">
        <f t="shared" si="64"/>
        <v>662.53556899659077</v>
      </c>
      <c r="Q339" s="6">
        <f t="shared" si="61"/>
        <v>0.99080570399491297</v>
      </c>
      <c r="S339">
        <v>290</v>
      </c>
      <c r="T339" s="6">
        <f t="shared" si="54"/>
        <v>0.99080570399491297</v>
      </c>
    </row>
    <row r="340" spans="1:20">
      <c r="B340">
        <f t="shared" si="62"/>
        <v>337</v>
      </c>
      <c r="C340">
        <f t="shared" si="56"/>
        <v>30</v>
      </c>
      <c r="D340">
        <v>336</v>
      </c>
      <c r="E340">
        <v>366</v>
      </c>
      <c r="F340">
        <f>PMSPLINE!F$15</f>
        <v>0.99080570399491297</v>
      </c>
      <c r="G340">
        <f>PMSPLINE!F$16</f>
        <v>0.44114151485900671</v>
      </c>
      <c r="H340" s="5">
        <f>PMSPLINE!K$15</f>
        <v>3.0360217346030134E-4</v>
      </c>
      <c r="I340" s="5">
        <f>PMSPLINE!K$16</f>
        <v>3.4371123411601522E-4</v>
      </c>
      <c r="J340">
        <f t="shared" si="57"/>
        <v>0.96666666666666667</v>
      </c>
      <c r="K340">
        <f t="shared" si="58"/>
        <v>3.3333333333333333E-2</v>
      </c>
      <c r="L340">
        <f t="shared" si="59"/>
        <v>291</v>
      </c>
      <c r="M340" s="6">
        <f t="shared" si="60"/>
        <v>0.97248356435704941</v>
      </c>
      <c r="N340" s="13">
        <f t="shared" si="55"/>
        <v>0.96788101036671126</v>
      </c>
      <c r="O340" s="6">
        <f t="shared" si="63"/>
        <v>661.8790664431757</v>
      </c>
      <c r="P340" s="6">
        <f t="shared" si="64"/>
        <v>663.50345000695745</v>
      </c>
      <c r="Q340" s="6">
        <f t="shared" si="61"/>
        <v>0.96788101036671126</v>
      </c>
      <c r="S340">
        <v>291</v>
      </c>
      <c r="T340" s="6">
        <f t="shared" si="54"/>
        <v>0.96788101036671126</v>
      </c>
    </row>
    <row r="341" spans="1:20">
      <c r="B341">
        <f t="shared" si="62"/>
        <v>338</v>
      </c>
      <c r="C341">
        <f t="shared" si="56"/>
        <v>30</v>
      </c>
      <c r="D341">
        <v>336</v>
      </c>
      <c r="E341">
        <v>366</v>
      </c>
      <c r="F341">
        <f>PMSPLINE!F$15</f>
        <v>0.99080570399491297</v>
      </c>
      <c r="G341">
        <f>PMSPLINE!F$16</f>
        <v>0.44114151485900671</v>
      </c>
      <c r="H341" s="5">
        <f>PMSPLINE!K$15</f>
        <v>3.0360217346030134E-4</v>
      </c>
      <c r="I341" s="5">
        <f>PMSPLINE!K$16</f>
        <v>3.4371123411601522E-4</v>
      </c>
      <c r="J341">
        <f t="shared" si="57"/>
        <v>0.93333333333333335</v>
      </c>
      <c r="K341">
        <f t="shared" si="58"/>
        <v>6.6666666666666666E-2</v>
      </c>
      <c r="L341">
        <f t="shared" si="59"/>
        <v>292</v>
      </c>
      <c r="M341" s="6">
        <f t="shared" si="60"/>
        <v>0.95416142471918586</v>
      </c>
      <c r="N341" s="13">
        <f t="shared" si="55"/>
        <v>0.94526125588065835</v>
      </c>
      <c r="O341" s="6">
        <f t="shared" si="63"/>
        <v>662.83322786789483</v>
      </c>
      <c r="P341" s="6">
        <f t="shared" si="64"/>
        <v>664.44871126283806</v>
      </c>
      <c r="Q341" s="6">
        <f t="shared" si="61"/>
        <v>0.94526125588065835</v>
      </c>
      <c r="S341">
        <v>292</v>
      </c>
      <c r="T341" s="6">
        <f t="shared" si="54"/>
        <v>0.94526125588065835</v>
      </c>
    </row>
    <row r="342" spans="1:20">
      <c r="B342">
        <f t="shared" si="62"/>
        <v>339</v>
      </c>
      <c r="C342">
        <f t="shared" si="56"/>
        <v>30</v>
      </c>
      <c r="D342">
        <v>336</v>
      </c>
      <c r="E342">
        <v>366</v>
      </c>
      <c r="F342">
        <f>PMSPLINE!F$15</f>
        <v>0.99080570399491297</v>
      </c>
      <c r="G342">
        <f>PMSPLINE!F$16</f>
        <v>0.44114151485900671</v>
      </c>
      <c r="H342" s="5">
        <f>PMSPLINE!K$15</f>
        <v>3.0360217346030134E-4</v>
      </c>
      <c r="I342" s="5">
        <f>PMSPLINE!K$16</f>
        <v>3.4371123411601522E-4</v>
      </c>
      <c r="J342">
        <f t="shared" si="57"/>
        <v>0.9</v>
      </c>
      <c r="K342">
        <f t="shared" si="58"/>
        <v>0.1</v>
      </c>
      <c r="L342">
        <f t="shared" si="59"/>
        <v>293</v>
      </c>
      <c r="M342" s="6">
        <f t="shared" si="60"/>
        <v>0.93583928508132241</v>
      </c>
      <c r="N342" s="13">
        <f t="shared" si="55"/>
        <v>0.92294777750544288</v>
      </c>
      <c r="O342" s="6">
        <f t="shared" si="63"/>
        <v>663.76906715297616</v>
      </c>
      <c r="P342" s="6">
        <f t="shared" si="64"/>
        <v>665.3716590403435</v>
      </c>
      <c r="Q342" s="6">
        <f t="shared" si="61"/>
        <v>0.92294777750544288</v>
      </c>
      <c r="S342">
        <v>293</v>
      </c>
      <c r="T342" s="6">
        <f t="shared" si="54"/>
        <v>0.92294777750544288</v>
      </c>
    </row>
    <row r="343" spans="1:20">
      <c r="B343">
        <f t="shared" si="62"/>
        <v>340</v>
      </c>
      <c r="C343">
        <f t="shared" si="56"/>
        <v>30</v>
      </c>
      <c r="D343">
        <v>336</v>
      </c>
      <c r="E343">
        <v>366</v>
      </c>
      <c r="F343">
        <f>PMSPLINE!F$15</f>
        <v>0.99080570399491297</v>
      </c>
      <c r="G343">
        <f>PMSPLINE!F$16</f>
        <v>0.44114151485900671</v>
      </c>
      <c r="H343" s="5">
        <f>PMSPLINE!K$15</f>
        <v>3.0360217346030134E-4</v>
      </c>
      <c r="I343" s="5">
        <f>PMSPLINE!K$16</f>
        <v>3.4371123411601522E-4</v>
      </c>
      <c r="J343">
        <f t="shared" si="57"/>
        <v>0.8666666666666667</v>
      </c>
      <c r="K343">
        <f t="shared" si="58"/>
        <v>0.13333333333333333</v>
      </c>
      <c r="L343">
        <f t="shared" si="59"/>
        <v>294</v>
      </c>
      <c r="M343" s="6">
        <f t="shared" si="60"/>
        <v>0.91751714544345886</v>
      </c>
      <c r="N343" s="13">
        <f t="shared" si="55"/>
        <v>0.90094191220975317</v>
      </c>
      <c r="O343" s="6">
        <f t="shared" si="63"/>
        <v>664.68658429841958</v>
      </c>
      <c r="P343" s="6">
        <f t="shared" si="64"/>
        <v>666.27260095255326</v>
      </c>
      <c r="Q343" s="6">
        <f t="shared" si="61"/>
        <v>0.90094191220975317</v>
      </c>
      <c r="S343">
        <v>294</v>
      </c>
      <c r="T343" s="6">
        <f t="shared" si="54"/>
        <v>0.90094191220975317</v>
      </c>
    </row>
    <row r="344" spans="1:20">
      <c r="B344">
        <f t="shared" si="62"/>
        <v>341</v>
      </c>
      <c r="C344">
        <f t="shared" si="56"/>
        <v>30</v>
      </c>
      <c r="D344">
        <v>336</v>
      </c>
      <c r="E344">
        <v>366</v>
      </c>
      <c r="F344">
        <f>PMSPLINE!F$15</f>
        <v>0.99080570399491297</v>
      </c>
      <c r="G344">
        <f>PMSPLINE!F$16</f>
        <v>0.44114151485900671</v>
      </c>
      <c r="H344" s="5">
        <f>PMSPLINE!K$15</f>
        <v>3.0360217346030134E-4</v>
      </c>
      <c r="I344" s="5">
        <f>PMSPLINE!K$16</f>
        <v>3.4371123411601522E-4</v>
      </c>
      <c r="J344">
        <f t="shared" si="57"/>
        <v>0.83333333333333337</v>
      </c>
      <c r="K344">
        <f t="shared" si="58"/>
        <v>0.16666666666666666</v>
      </c>
      <c r="L344">
        <f t="shared" si="59"/>
        <v>295</v>
      </c>
      <c r="M344" s="6">
        <f t="shared" si="60"/>
        <v>0.8991950058055953</v>
      </c>
      <c r="N344" s="13">
        <f t="shared" si="55"/>
        <v>0.87924499696227787</v>
      </c>
      <c r="O344" s="6">
        <f t="shared" si="63"/>
        <v>665.58577930422518</v>
      </c>
      <c r="P344" s="6">
        <f t="shared" si="64"/>
        <v>667.15184594951552</v>
      </c>
      <c r="Q344" s="6">
        <f t="shared" si="61"/>
        <v>0.87924499696227787</v>
      </c>
      <c r="S344">
        <v>295</v>
      </c>
      <c r="T344" s="6">
        <f t="shared" si="54"/>
        <v>0.87924499696227787</v>
      </c>
    </row>
    <row r="345" spans="1:20">
      <c r="B345">
        <f t="shared" si="62"/>
        <v>342</v>
      </c>
      <c r="C345">
        <f t="shared" si="56"/>
        <v>30</v>
      </c>
      <c r="D345">
        <v>336</v>
      </c>
      <c r="E345">
        <v>366</v>
      </c>
      <c r="F345">
        <f>PMSPLINE!F$15</f>
        <v>0.99080570399491297</v>
      </c>
      <c r="G345">
        <f>PMSPLINE!F$16</f>
        <v>0.44114151485900671</v>
      </c>
      <c r="H345" s="5">
        <f>PMSPLINE!K$15</f>
        <v>3.0360217346030134E-4</v>
      </c>
      <c r="I345" s="5">
        <f>PMSPLINE!K$16</f>
        <v>3.4371123411601522E-4</v>
      </c>
      <c r="J345">
        <f t="shared" si="57"/>
        <v>0.8</v>
      </c>
      <c r="K345">
        <f t="shared" si="58"/>
        <v>0.2</v>
      </c>
      <c r="L345">
        <f t="shared" si="59"/>
        <v>296</v>
      </c>
      <c r="M345" s="6">
        <f t="shared" si="60"/>
        <v>0.88087286616773186</v>
      </c>
      <c r="N345" s="13">
        <f t="shared" si="55"/>
        <v>0.85785836873170562</v>
      </c>
      <c r="O345" s="6">
        <f t="shared" si="63"/>
        <v>666.46665217039288</v>
      </c>
      <c r="P345" s="6">
        <f t="shared" si="64"/>
        <v>668.00970431824726</v>
      </c>
      <c r="Q345" s="6">
        <f t="shared" si="61"/>
        <v>0.85785836873170562</v>
      </c>
      <c r="S345">
        <v>296</v>
      </c>
      <c r="T345" s="6">
        <f t="shared" si="54"/>
        <v>0.85785836873170562</v>
      </c>
    </row>
    <row r="346" spans="1:20">
      <c r="B346">
        <f t="shared" si="62"/>
        <v>343</v>
      </c>
      <c r="C346">
        <f t="shared" si="56"/>
        <v>30</v>
      </c>
      <c r="D346">
        <v>336</v>
      </c>
      <c r="E346">
        <v>366</v>
      </c>
      <c r="F346">
        <f>PMSPLINE!F$15</f>
        <v>0.99080570399491297</v>
      </c>
      <c r="G346">
        <f>PMSPLINE!F$16</f>
        <v>0.44114151485900671</v>
      </c>
      <c r="H346" s="5">
        <f>PMSPLINE!K$15</f>
        <v>3.0360217346030134E-4</v>
      </c>
      <c r="I346" s="5">
        <f>PMSPLINE!K$16</f>
        <v>3.4371123411601522E-4</v>
      </c>
      <c r="J346">
        <f t="shared" si="57"/>
        <v>0.76666666666666672</v>
      </c>
      <c r="K346">
        <f t="shared" si="58"/>
        <v>0.23333333333333334</v>
      </c>
      <c r="L346">
        <f t="shared" si="59"/>
        <v>297</v>
      </c>
      <c r="M346" s="6">
        <f t="shared" si="60"/>
        <v>0.86255072652986831</v>
      </c>
      <c r="N346" s="13">
        <f t="shared" si="55"/>
        <v>0.83678336448672463</v>
      </c>
      <c r="O346" s="6">
        <f t="shared" si="63"/>
        <v>667.32920289692277</v>
      </c>
      <c r="P346" s="6">
        <f t="shared" si="64"/>
        <v>668.84648768273394</v>
      </c>
      <c r="Q346" s="6">
        <f t="shared" si="61"/>
        <v>0.83678336448672463</v>
      </c>
      <c r="S346">
        <v>297</v>
      </c>
      <c r="T346" s="6">
        <f t="shared" si="54"/>
        <v>0.83678336448672463</v>
      </c>
    </row>
    <row r="347" spans="1:20">
      <c r="B347">
        <f t="shared" si="62"/>
        <v>344</v>
      </c>
      <c r="C347">
        <f t="shared" si="56"/>
        <v>30</v>
      </c>
      <c r="D347">
        <v>336</v>
      </c>
      <c r="E347">
        <v>366</v>
      </c>
      <c r="F347">
        <f>PMSPLINE!F$15</f>
        <v>0.99080570399491297</v>
      </c>
      <c r="G347">
        <f>PMSPLINE!F$16</f>
        <v>0.44114151485900671</v>
      </c>
      <c r="H347" s="5">
        <f>PMSPLINE!K$15</f>
        <v>3.0360217346030134E-4</v>
      </c>
      <c r="I347" s="5">
        <f>PMSPLINE!K$16</f>
        <v>3.4371123411601522E-4</v>
      </c>
      <c r="J347">
        <f t="shared" si="57"/>
        <v>0.73333333333333328</v>
      </c>
      <c r="K347">
        <f t="shared" si="58"/>
        <v>0.26666666666666666</v>
      </c>
      <c r="L347">
        <f t="shared" si="59"/>
        <v>298</v>
      </c>
      <c r="M347" s="6">
        <f t="shared" si="60"/>
        <v>0.84422858689200453</v>
      </c>
      <c r="N347" s="13">
        <f t="shared" si="55"/>
        <v>0.81602132119602344</v>
      </c>
      <c r="O347" s="6">
        <f t="shared" si="63"/>
        <v>668.17343148381474</v>
      </c>
      <c r="P347" s="6">
        <f t="shared" si="64"/>
        <v>669.66250900392993</v>
      </c>
      <c r="Q347" s="6">
        <f t="shared" si="61"/>
        <v>0.81602132119602344</v>
      </c>
      <c r="S347">
        <v>298</v>
      </c>
      <c r="T347" s="6">
        <f t="shared" si="54"/>
        <v>0.81602132119602344</v>
      </c>
    </row>
    <row r="348" spans="1:20">
      <c r="B348">
        <f t="shared" si="62"/>
        <v>345</v>
      </c>
      <c r="C348">
        <f t="shared" si="56"/>
        <v>30</v>
      </c>
      <c r="D348">
        <v>336</v>
      </c>
      <c r="E348">
        <v>366</v>
      </c>
      <c r="F348">
        <f>PMSPLINE!F$15</f>
        <v>0.99080570399491297</v>
      </c>
      <c r="G348">
        <f>PMSPLINE!F$16</f>
        <v>0.44114151485900671</v>
      </c>
      <c r="H348" s="5">
        <f>PMSPLINE!K$15</f>
        <v>3.0360217346030134E-4</v>
      </c>
      <c r="I348" s="5">
        <f>PMSPLINE!K$16</f>
        <v>3.4371123411601522E-4</v>
      </c>
      <c r="J348">
        <f t="shared" si="57"/>
        <v>0.7</v>
      </c>
      <c r="K348">
        <f t="shared" si="58"/>
        <v>0.3</v>
      </c>
      <c r="L348">
        <f t="shared" si="59"/>
        <v>299</v>
      </c>
      <c r="M348" s="6">
        <f t="shared" si="60"/>
        <v>0.82590644725414097</v>
      </c>
      <c r="N348" s="13">
        <f t="shared" si="55"/>
        <v>0.79557357582829102</v>
      </c>
      <c r="O348" s="6">
        <f t="shared" si="63"/>
        <v>668.99933793106891</v>
      </c>
      <c r="P348" s="6">
        <f t="shared" si="64"/>
        <v>670.45808257975818</v>
      </c>
      <c r="Q348" s="6">
        <f t="shared" si="61"/>
        <v>0.79557357582829102</v>
      </c>
      <c r="S348">
        <v>299</v>
      </c>
      <c r="T348" s="6">
        <f t="shared" si="54"/>
        <v>0.79557357582829102</v>
      </c>
    </row>
    <row r="349" spans="1:20">
      <c r="B349">
        <f t="shared" si="62"/>
        <v>346</v>
      </c>
      <c r="C349">
        <f t="shared" si="56"/>
        <v>30</v>
      </c>
      <c r="D349">
        <v>336</v>
      </c>
      <c r="E349">
        <v>366</v>
      </c>
      <c r="F349">
        <f>PMSPLINE!F$15</f>
        <v>0.99080570399491297</v>
      </c>
      <c r="G349">
        <f>PMSPLINE!F$16</f>
        <v>0.44114151485900671</v>
      </c>
      <c r="H349" s="5">
        <f>PMSPLINE!K$15</f>
        <v>3.0360217346030134E-4</v>
      </c>
      <c r="I349" s="5">
        <f>PMSPLINE!K$16</f>
        <v>3.4371123411601522E-4</v>
      </c>
      <c r="J349">
        <f t="shared" si="57"/>
        <v>0.66666666666666663</v>
      </c>
      <c r="K349">
        <f t="shared" si="58"/>
        <v>0.33333333333333331</v>
      </c>
      <c r="L349">
        <f t="shared" si="59"/>
        <v>300</v>
      </c>
      <c r="M349" s="6">
        <f t="shared" si="60"/>
        <v>0.80758430761627742</v>
      </c>
      <c r="N349" s="13">
        <f t="shared" si="55"/>
        <v>0.77544146535221559</v>
      </c>
      <c r="O349" s="6">
        <f t="shared" si="63"/>
        <v>669.80692223868516</v>
      </c>
      <c r="P349" s="6">
        <f t="shared" si="64"/>
        <v>671.23352404511036</v>
      </c>
      <c r="Q349" s="6">
        <f t="shared" si="61"/>
        <v>0.77544146535221559</v>
      </c>
      <c r="S349">
        <v>300</v>
      </c>
      <c r="T349" s="6">
        <f t="shared" si="54"/>
        <v>0.77544146535221559</v>
      </c>
    </row>
    <row r="350" spans="1:20">
      <c r="B350">
        <f t="shared" si="62"/>
        <v>347</v>
      </c>
      <c r="C350">
        <f t="shared" si="56"/>
        <v>30</v>
      </c>
      <c r="D350">
        <v>336</v>
      </c>
      <c r="E350">
        <v>366</v>
      </c>
      <c r="F350">
        <f>PMSPLINE!F$15</f>
        <v>0.99080570399491297</v>
      </c>
      <c r="G350">
        <f>PMSPLINE!F$16</f>
        <v>0.44114151485900671</v>
      </c>
      <c r="H350" s="5">
        <f>PMSPLINE!K$15</f>
        <v>3.0360217346030134E-4</v>
      </c>
      <c r="I350" s="5">
        <f>PMSPLINE!K$16</f>
        <v>3.4371123411601522E-4</v>
      </c>
      <c r="J350">
        <f t="shared" si="57"/>
        <v>0.6333333333333333</v>
      </c>
      <c r="K350">
        <f t="shared" si="58"/>
        <v>0.36666666666666664</v>
      </c>
      <c r="L350">
        <f t="shared" si="59"/>
        <v>301</v>
      </c>
      <c r="M350" s="6">
        <f t="shared" si="60"/>
        <v>0.78926216797841398</v>
      </c>
      <c r="N350" s="13">
        <f t="shared" si="55"/>
        <v>0.75562632673648578</v>
      </c>
      <c r="O350" s="6">
        <f t="shared" si="63"/>
        <v>670.59618440666361</v>
      </c>
      <c r="P350" s="6">
        <f t="shared" si="64"/>
        <v>671.98915037184679</v>
      </c>
      <c r="Q350" s="6">
        <f t="shared" si="61"/>
        <v>0.75562632673648578</v>
      </c>
      <c r="S350">
        <v>301</v>
      </c>
      <c r="T350" s="6">
        <f t="shared" si="54"/>
        <v>0.75562632673648578</v>
      </c>
    </row>
    <row r="351" spans="1:20">
      <c r="B351">
        <f t="shared" si="62"/>
        <v>348</v>
      </c>
      <c r="C351">
        <f t="shared" si="56"/>
        <v>30</v>
      </c>
      <c r="D351">
        <v>336</v>
      </c>
      <c r="E351">
        <v>366</v>
      </c>
      <c r="F351">
        <f>PMSPLINE!F$15</f>
        <v>0.99080570399491297</v>
      </c>
      <c r="G351">
        <f>PMSPLINE!F$16</f>
        <v>0.44114151485900671</v>
      </c>
      <c r="H351" s="5">
        <f>PMSPLINE!K$15</f>
        <v>3.0360217346030134E-4</v>
      </c>
      <c r="I351" s="5">
        <f>PMSPLINE!K$16</f>
        <v>3.4371123411601522E-4</v>
      </c>
      <c r="J351">
        <f t="shared" si="57"/>
        <v>0.6</v>
      </c>
      <c r="K351">
        <f t="shared" si="58"/>
        <v>0.4</v>
      </c>
      <c r="L351">
        <f t="shared" si="59"/>
        <v>302</v>
      </c>
      <c r="M351" s="6">
        <f t="shared" si="60"/>
        <v>0.77094002834055042</v>
      </c>
      <c r="N351" s="13">
        <f t="shared" si="55"/>
        <v>0.73612949694978991</v>
      </c>
      <c r="O351" s="6">
        <f t="shared" si="63"/>
        <v>671.36712443500414</v>
      </c>
      <c r="P351" s="6">
        <f t="shared" si="64"/>
        <v>672.72527986879663</v>
      </c>
      <c r="Q351" s="6">
        <f t="shared" si="61"/>
        <v>0.73612949694978991</v>
      </c>
      <c r="S351">
        <v>302</v>
      </c>
      <c r="T351" s="6">
        <f t="shared" si="54"/>
        <v>0.73612949694978991</v>
      </c>
    </row>
    <row r="352" spans="1:20">
      <c r="B352">
        <f t="shared" si="62"/>
        <v>349</v>
      </c>
      <c r="C352">
        <f t="shared" si="56"/>
        <v>30</v>
      </c>
      <c r="D352">
        <v>336</v>
      </c>
      <c r="E352">
        <v>366</v>
      </c>
      <c r="F352">
        <f>PMSPLINE!F$15</f>
        <v>0.99080570399491297</v>
      </c>
      <c r="G352">
        <f>PMSPLINE!F$16</f>
        <v>0.44114151485900671</v>
      </c>
      <c r="H352" s="5">
        <f>PMSPLINE!K$15</f>
        <v>3.0360217346030134E-4</v>
      </c>
      <c r="I352" s="5">
        <f>PMSPLINE!K$16</f>
        <v>3.4371123411601522E-4</v>
      </c>
      <c r="J352">
        <f t="shared" si="57"/>
        <v>0.56666666666666665</v>
      </c>
      <c r="K352">
        <f t="shared" si="58"/>
        <v>0.43333333333333335</v>
      </c>
      <c r="L352">
        <f t="shared" si="59"/>
        <v>303</v>
      </c>
      <c r="M352" s="6">
        <f t="shared" si="60"/>
        <v>0.75261788870268687</v>
      </c>
      <c r="N352" s="13">
        <f t="shared" si="55"/>
        <v>0.71695231296081663</v>
      </c>
      <c r="O352" s="6">
        <f t="shared" si="63"/>
        <v>672.11974232370687</v>
      </c>
      <c r="P352" s="6">
        <f t="shared" si="64"/>
        <v>673.4422321817575</v>
      </c>
      <c r="Q352" s="6">
        <f t="shared" si="61"/>
        <v>0.71695231296081663</v>
      </c>
      <c r="S352">
        <v>303</v>
      </c>
      <c r="T352" s="6">
        <f t="shared" si="54"/>
        <v>0.71695231296081663</v>
      </c>
    </row>
    <row r="353" spans="2:20">
      <c r="B353">
        <f t="shared" si="62"/>
        <v>350</v>
      </c>
      <c r="C353">
        <f t="shared" si="56"/>
        <v>30</v>
      </c>
      <c r="D353">
        <v>336</v>
      </c>
      <c r="E353">
        <v>366</v>
      </c>
      <c r="F353">
        <f>PMSPLINE!F$15</f>
        <v>0.99080570399491297</v>
      </c>
      <c r="G353">
        <f>PMSPLINE!F$16</f>
        <v>0.44114151485900671</v>
      </c>
      <c r="H353" s="5">
        <f>PMSPLINE!K$15</f>
        <v>3.0360217346030134E-4</v>
      </c>
      <c r="I353" s="5">
        <f>PMSPLINE!K$16</f>
        <v>3.4371123411601522E-4</v>
      </c>
      <c r="J353">
        <f t="shared" si="57"/>
        <v>0.53333333333333333</v>
      </c>
      <c r="K353">
        <f t="shared" si="58"/>
        <v>0.46666666666666667</v>
      </c>
      <c r="L353">
        <f t="shared" si="59"/>
        <v>304</v>
      </c>
      <c r="M353" s="6">
        <f t="shared" si="60"/>
        <v>0.73429574906482342</v>
      </c>
      <c r="N353" s="13">
        <f t="shared" si="55"/>
        <v>0.69809611173825459</v>
      </c>
      <c r="O353" s="6">
        <f t="shared" si="63"/>
        <v>672.85403807277169</v>
      </c>
      <c r="P353" s="6">
        <f t="shared" si="64"/>
        <v>674.14032829349571</v>
      </c>
      <c r="Q353" s="6">
        <f t="shared" si="61"/>
        <v>0.69809611173825459</v>
      </c>
      <c r="S353">
        <v>304</v>
      </c>
      <c r="T353" s="6">
        <f t="shared" si="54"/>
        <v>0.69809611173825459</v>
      </c>
    </row>
    <row r="354" spans="2:20">
      <c r="B354">
        <f t="shared" si="62"/>
        <v>351</v>
      </c>
      <c r="C354">
        <f t="shared" si="56"/>
        <v>30</v>
      </c>
      <c r="D354">
        <v>336</v>
      </c>
      <c r="E354">
        <v>366</v>
      </c>
      <c r="F354">
        <f>PMSPLINE!F$15</f>
        <v>0.99080570399491297</v>
      </c>
      <c r="G354">
        <f>PMSPLINE!F$16</f>
        <v>0.44114151485900671</v>
      </c>
      <c r="H354" s="5">
        <f>PMSPLINE!K$15</f>
        <v>3.0360217346030134E-4</v>
      </c>
      <c r="I354" s="5">
        <f>PMSPLINE!K$16</f>
        <v>3.4371123411601522E-4</v>
      </c>
      <c r="J354">
        <f t="shared" si="57"/>
        <v>0.5</v>
      </c>
      <c r="K354">
        <f t="shared" si="58"/>
        <v>0.5</v>
      </c>
      <c r="L354">
        <f t="shared" si="59"/>
        <v>305</v>
      </c>
      <c r="M354" s="6">
        <f t="shared" si="60"/>
        <v>0.71597360942695987</v>
      </c>
      <c r="N354" s="13">
        <f t="shared" si="55"/>
        <v>0.6795622302507921</v>
      </c>
      <c r="O354" s="6">
        <f t="shared" si="63"/>
        <v>673.5700116821987</v>
      </c>
      <c r="P354" s="6">
        <f t="shared" si="64"/>
        <v>674.81989052374649</v>
      </c>
      <c r="Q354" s="6">
        <f t="shared" si="61"/>
        <v>0.6795622302507921</v>
      </c>
      <c r="S354">
        <v>305</v>
      </c>
      <c r="T354" s="6">
        <f t="shared" si="54"/>
        <v>0.6795622302507921</v>
      </c>
    </row>
    <row r="355" spans="2:20">
      <c r="B355">
        <f t="shared" si="62"/>
        <v>352</v>
      </c>
      <c r="C355">
        <f t="shared" si="56"/>
        <v>30</v>
      </c>
      <c r="D355">
        <v>336</v>
      </c>
      <c r="E355">
        <v>366</v>
      </c>
      <c r="F355">
        <f>PMSPLINE!F$15</f>
        <v>0.99080570399491297</v>
      </c>
      <c r="G355">
        <f>PMSPLINE!F$16</f>
        <v>0.44114151485900671</v>
      </c>
      <c r="H355" s="5">
        <f>PMSPLINE!K$15</f>
        <v>3.0360217346030134E-4</v>
      </c>
      <c r="I355" s="5">
        <f>PMSPLINE!K$16</f>
        <v>3.4371123411601522E-4</v>
      </c>
      <c r="J355">
        <f t="shared" si="57"/>
        <v>0.46666666666666667</v>
      </c>
      <c r="K355">
        <f t="shared" si="58"/>
        <v>0.53333333333333333</v>
      </c>
      <c r="L355">
        <f t="shared" si="59"/>
        <v>306</v>
      </c>
      <c r="M355" s="6">
        <f t="shared" si="60"/>
        <v>0.69765146978909631</v>
      </c>
      <c r="N355" s="13">
        <f t="shared" si="55"/>
        <v>0.6613520054671177</v>
      </c>
      <c r="O355" s="6">
        <f t="shared" si="63"/>
        <v>674.26766315198779</v>
      </c>
      <c r="P355" s="6">
        <f t="shared" si="64"/>
        <v>675.48124252921366</v>
      </c>
      <c r="Q355" s="6">
        <f t="shared" si="61"/>
        <v>0.6613520054671177</v>
      </c>
      <c r="S355">
        <v>306</v>
      </c>
      <c r="T355" s="6">
        <f t="shared" si="54"/>
        <v>0.6613520054671177</v>
      </c>
    </row>
    <row r="356" spans="2:20">
      <c r="B356">
        <f t="shared" si="62"/>
        <v>353</v>
      </c>
      <c r="C356">
        <f t="shared" si="56"/>
        <v>30</v>
      </c>
      <c r="D356">
        <v>336</v>
      </c>
      <c r="E356">
        <v>366</v>
      </c>
      <c r="F356">
        <f>PMSPLINE!F$15</f>
        <v>0.99080570399491297</v>
      </c>
      <c r="G356">
        <f>PMSPLINE!F$16</f>
        <v>0.44114151485900671</v>
      </c>
      <c r="H356" s="5">
        <f>PMSPLINE!K$15</f>
        <v>3.0360217346030134E-4</v>
      </c>
      <c r="I356" s="5">
        <f>PMSPLINE!K$16</f>
        <v>3.4371123411601522E-4</v>
      </c>
      <c r="J356">
        <f t="shared" si="57"/>
        <v>0.43333333333333335</v>
      </c>
      <c r="K356">
        <f t="shared" si="58"/>
        <v>0.56666666666666665</v>
      </c>
      <c r="L356">
        <f t="shared" si="59"/>
        <v>307</v>
      </c>
      <c r="M356" s="6">
        <f t="shared" si="60"/>
        <v>0.67932933015123276</v>
      </c>
      <c r="N356" s="13">
        <f t="shared" si="55"/>
        <v>0.64346677435592003</v>
      </c>
      <c r="O356" s="6">
        <f t="shared" si="63"/>
        <v>674.94699248213897</v>
      </c>
      <c r="P356" s="6">
        <f t="shared" si="64"/>
        <v>676.1247093035696</v>
      </c>
      <c r="Q356" s="6">
        <f t="shared" si="61"/>
        <v>0.64346677435592003</v>
      </c>
      <c r="S356">
        <v>307</v>
      </c>
      <c r="T356" s="6">
        <f t="shared" si="54"/>
        <v>0.64346677435592003</v>
      </c>
    </row>
    <row r="357" spans="2:20">
      <c r="B357">
        <f t="shared" si="62"/>
        <v>354</v>
      </c>
      <c r="C357">
        <f t="shared" si="56"/>
        <v>30</v>
      </c>
      <c r="D357">
        <v>336</v>
      </c>
      <c r="E357">
        <v>366</v>
      </c>
      <c r="F357">
        <f>PMSPLINE!F$15</f>
        <v>0.99080570399491297</v>
      </c>
      <c r="G357">
        <f>PMSPLINE!F$16</f>
        <v>0.44114151485900671</v>
      </c>
      <c r="H357" s="5">
        <f>PMSPLINE!K$15</f>
        <v>3.0360217346030134E-4</v>
      </c>
      <c r="I357" s="5">
        <f>PMSPLINE!K$16</f>
        <v>3.4371123411601522E-4</v>
      </c>
      <c r="J357">
        <f t="shared" si="57"/>
        <v>0.4</v>
      </c>
      <c r="K357">
        <f t="shared" si="58"/>
        <v>0.6</v>
      </c>
      <c r="L357">
        <f t="shared" si="59"/>
        <v>308</v>
      </c>
      <c r="M357" s="6">
        <f t="shared" si="60"/>
        <v>0.6610071905133692</v>
      </c>
      <c r="N357" s="13">
        <f t="shared" si="55"/>
        <v>0.62590787388588753</v>
      </c>
      <c r="O357" s="6">
        <f t="shared" si="63"/>
        <v>675.60799967265234</v>
      </c>
      <c r="P357" s="6">
        <f t="shared" si="64"/>
        <v>676.75061717745552</v>
      </c>
      <c r="Q357" s="6">
        <f t="shared" si="61"/>
        <v>0.62590787388588753</v>
      </c>
      <c r="S357">
        <v>308</v>
      </c>
      <c r="T357" s="6">
        <f t="shared" si="54"/>
        <v>0.62590787388588753</v>
      </c>
    </row>
    <row r="358" spans="2:20">
      <c r="B358">
        <f t="shared" si="62"/>
        <v>355</v>
      </c>
      <c r="C358">
        <f t="shared" si="56"/>
        <v>30</v>
      </c>
      <c r="D358">
        <v>336</v>
      </c>
      <c r="E358">
        <v>366</v>
      </c>
      <c r="F358">
        <f>PMSPLINE!F$15</f>
        <v>0.99080570399491297</v>
      </c>
      <c r="G358">
        <f>PMSPLINE!F$16</f>
        <v>0.44114151485900671</v>
      </c>
      <c r="H358" s="5">
        <f>PMSPLINE!K$15</f>
        <v>3.0360217346030134E-4</v>
      </c>
      <c r="I358" s="5">
        <f>PMSPLINE!K$16</f>
        <v>3.4371123411601522E-4</v>
      </c>
      <c r="J358">
        <f t="shared" si="57"/>
        <v>0.36666666666666664</v>
      </c>
      <c r="K358">
        <f t="shared" si="58"/>
        <v>0.6333333333333333</v>
      </c>
      <c r="L358">
        <f t="shared" si="59"/>
        <v>309</v>
      </c>
      <c r="M358" s="6">
        <f t="shared" si="60"/>
        <v>0.64268505087550554</v>
      </c>
      <c r="N358" s="13">
        <f t="shared" si="55"/>
        <v>0.60867664102570873</v>
      </c>
      <c r="O358" s="6">
        <f t="shared" si="63"/>
        <v>676.2506847235278</v>
      </c>
      <c r="P358" s="6">
        <f t="shared" si="64"/>
        <v>677.35929381848121</v>
      </c>
      <c r="Q358" s="6">
        <f t="shared" si="61"/>
        <v>0.60867664102570873</v>
      </c>
      <c r="S358">
        <v>309</v>
      </c>
      <c r="T358" s="6">
        <f t="shared" si="54"/>
        <v>0.60867664102570873</v>
      </c>
    </row>
    <row r="359" spans="2:20">
      <c r="B359">
        <f t="shared" si="62"/>
        <v>356</v>
      </c>
      <c r="C359">
        <f t="shared" si="56"/>
        <v>30</v>
      </c>
      <c r="D359">
        <v>336</v>
      </c>
      <c r="E359">
        <v>366</v>
      </c>
      <c r="F359">
        <f>PMSPLINE!F$15</f>
        <v>0.99080570399491297</v>
      </c>
      <c r="G359">
        <f>PMSPLINE!F$16</f>
        <v>0.44114151485900671</v>
      </c>
      <c r="H359" s="5">
        <f>PMSPLINE!K$15</f>
        <v>3.0360217346030134E-4</v>
      </c>
      <c r="I359" s="5">
        <f>PMSPLINE!K$16</f>
        <v>3.4371123411601522E-4</v>
      </c>
      <c r="J359">
        <f t="shared" si="57"/>
        <v>0.33333333333333331</v>
      </c>
      <c r="K359">
        <f t="shared" si="58"/>
        <v>0.66666666666666663</v>
      </c>
      <c r="L359">
        <f t="shared" si="59"/>
        <v>310</v>
      </c>
      <c r="M359" s="6">
        <f t="shared" si="60"/>
        <v>0.62436291123764209</v>
      </c>
      <c r="N359" s="13">
        <f t="shared" si="55"/>
        <v>0.59177441274407228</v>
      </c>
      <c r="O359" s="6">
        <f t="shared" si="63"/>
        <v>676.87504763476545</v>
      </c>
      <c r="P359" s="6">
        <f t="shared" si="64"/>
        <v>677.95106823122524</v>
      </c>
      <c r="Q359" s="6">
        <f t="shared" si="61"/>
        <v>0.59177441274407228</v>
      </c>
      <c r="S359">
        <v>310</v>
      </c>
      <c r="T359" s="6">
        <f t="shared" si="54"/>
        <v>0.59177441274407228</v>
      </c>
    </row>
    <row r="360" spans="2:20">
      <c r="B360">
        <f t="shared" si="62"/>
        <v>357</v>
      </c>
      <c r="C360">
        <f t="shared" si="56"/>
        <v>30</v>
      </c>
      <c r="D360">
        <v>336</v>
      </c>
      <c r="E360">
        <v>366</v>
      </c>
      <c r="F360">
        <f>PMSPLINE!F$15</f>
        <v>0.99080570399491297</v>
      </c>
      <c r="G360">
        <f>PMSPLINE!F$16</f>
        <v>0.44114151485900671</v>
      </c>
      <c r="H360" s="5">
        <f>PMSPLINE!K$15</f>
        <v>3.0360217346030134E-4</v>
      </c>
      <c r="I360" s="5">
        <f>PMSPLINE!K$16</f>
        <v>3.4371123411601522E-4</v>
      </c>
      <c r="J360">
        <f t="shared" si="57"/>
        <v>0.3</v>
      </c>
      <c r="K360">
        <f t="shared" si="58"/>
        <v>0.7</v>
      </c>
      <c r="L360">
        <f t="shared" si="59"/>
        <v>311</v>
      </c>
      <c r="M360" s="6">
        <f t="shared" si="60"/>
        <v>0.60604077159977854</v>
      </c>
      <c r="N360" s="13">
        <f t="shared" si="55"/>
        <v>0.57520252600966659</v>
      </c>
      <c r="O360" s="6">
        <f t="shared" si="63"/>
        <v>677.48108840636519</v>
      </c>
      <c r="P360" s="6">
        <f t="shared" si="64"/>
        <v>678.5262707572349</v>
      </c>
      <c r="Q360" s="6">
        <f t="shared" si="61"/>
        <v>0.57520252600966659</v>
      </c>
      <c r="S360">
        <v>311</v>
      </c>
      <c r="T360" s="6">
        <f t="shared" si="54"/>
        <v>0.57520252600966659</v>
      </c>
    </row>
    <row r="361" spans="2:20">
      <c r="B361">
        <f t="shared" si="62"/>
        <v>358</v>
      </c>
      <c r="C361">
        <f t="shared" si="56"/>
        <v>30</v>
      </c>
      <c r="D361">
        <v>336</v>
      </c>
      <c r="E361">
        <v>366</v>
      </c>
      <c r="F361">
        <f>PMSPLINE!F$15</f>
        <v>0.99080570399491297</v>
      </c>
      <c r="G361">
        <f>PMSPLINE!F$16</f>
        <v>0.44114151485900671</v>
      </c>
      <c r="H361" s="5">
        <f>PMSPLINE!K$15</f>
        <v>3.0360217346030134E-4</v>
      </c>
      <c r="I361" s="5">
        <f>PMSPLINE!K$16</f>
        <v>3.4371123411601522E-4</v>
      </c>
      <c r="J361">
        <f t="shared" si="57"/>
        <v>0.26666666666666666</v>
      </c>
      <c r="K361">
        <f t="shared" si="58"/>
        <v>0.73333333333333328</v>
      </c>
      <c r="L361">
        <f t="shared" si="59"/>
        <v>312</v>
      </c>
      <c r="M361" s="6">
        <f t="shared" si="60"/>
        <v>0.58771863196191498</v>
      </c>
      <c r="N361" s="13">
        <f t="shared" si="55"/>
        <v>0.55896231779118022</v>
      </c>
      <c r="O361" s="6">
        <f t="shared" si="63"/>
        <v>678.06880703832712</v>
      </c>
      <c r="P361" s="6">
        <f t="shared" si="64"/>
        <v>679.08523307502605</v>
      </c>
      <c r="Q361" s="6">
        <f t="shared" si="61"/>
        <v>0.55896231779118022</v>
      </c>
      <c r="S361">
        <v>312</v>
      </c>
      <c r="T361" s="6">
        <f t="shared" si="54"/>
        <v>0.55896231779118022</v>
      </c>
    </row>
    <row r="362" spans="2:20">
      <c r="B362">
        <f t="shared" si="62"/>
        <v>359</v>
      </c>
      <c r="C362">
        <f t="shared" si="56"/>
        <v>30</v>
      </c>
      <c r="D362">
        <v>336</v>
      </c>
      <c r="E362">
        <v>366</v>
      </c>
      <c r="F362">
        <f>PMSPLINE!F$15</f>
        <v>0.99080570399491297</v>
      </c>
      <c r="G362">
        <f>PMSPLINE!F$16</f>
        <v>0.44114151485900671</v>
      </c>
      <c r="H362" s="5">
        <f>PMSPLINE!K$15</f>
        <v>3.0360217346030134E-4</v>
      </c>
      <c r="I362" s="5">
        <f>PMSPLINE!K$16</f>
        <v>3.4371123411601522E-4</v>
      </c>
      <c r="J362">
        <f t="shared" si="57"/>
        <v>0.23333333333333334</v>
      </c>
      <c r="K362">
        <f t="shared" si="58"/>
        <v>0.76666666666666672</v>
      </c>
      <c r="L362">
        <f t="shared" si="59"/>
        <v>313</v>
      </c>
      <c r="M362" s="6">
        <f t="shared" si="60"/>
        <v>0.56939649232405154</v>
      </c>
      <c r="N362" s="13">
        <f t="shared" si="55"/>
        <v>0.54305512505730169</v>
      </c>
      <c r="O362" s="6">
        <f t="shared" si="63"/>
        <v>678.63820353065114</v>
      </c>
      <c r="P362" s="6">
        <f t="shared" si="64"/>
        <v>679.62828820008338</v>
      </c>
      <c r="Q362" s="6">
        <f t="shared" si="61"/>
        <v>0.54305512505730169</v>
      </c>
      <c r="S362">
        <v>313</v>
      </c>
      <c r="T362" s="6">
        <f t="shared" si="54"/>
        <v>0.54305512505730169</v>
      </c>
    </row>
    <row r="363" spans="2:20">
      <c r="B363">
        <f t="shared" si="62"/>
        <v>360</v>
      </c>
      <c r="C363">
        <f t="shared" si="56"/>
        <v>30</v>
      </c>
      <c r="D363">
        <v>336</v>
      </c>
      <c r="E363">
        <v>366</v>
      </c>
      <c r="F363">
        <f>PMSPLINE!F$15</f>
        <v>0.99080570399491297</v>
      </c>
      <c r="G363">
        <f>PMSPLINE!F$16</f>
        <v>0.44114151485900671</v>
      </c>
      <c r="H363" s="5">
        <f>PMSPLINE!K$15</f>
        <v>3.0360217346030134E-4</v>
      </c>
      <c r="I363" s="5">
        <f>PMSPLINE!K$16</f>
        <v>3.4371123411601522E-4</v>
      </c>
      <c r="J363">
        <f t="shared" si="57"/>
        <v>0.2</v>
      </c>
      <c r="K363">
        <f t="shared" si="58"/>
        <v>0.8</v>
      </c>
      <c r="L363">
        <f t="shared" si="59"/>
        <v>314</v>
      </c>
      <c r="M363" s="6">
        <f t="shared" si="60"/>
        <v>0.55107435268618798</v>
      </c>
      <c r="N363" s="13">
        <f t="shared" si="55"/>
        <v>0.52748228477671943</v>
      </c>
      <c r="O363" s="6">
        <f t="shared" si="63"/>
        <v>679.18927788333735</v>
      </c>
      <c r="P363" s="6">
        <f t="shared" si="64"/>
        <v>680.15577048486011</v>
      </c>
      <c r="Q363" s="6">
        <f t="shared" si="61"/>
        <v>0.52748228477671943</v>
      </c>
      <c r="S363">
        <v>314</v>
      </c>
      <c r="T363" s="6">
        <f t="shared" si="54"/>
        <v>0.52748228477671943</v>
      </c>
    </row>
    <row r="364" spans="2:20">
      <c r="B364">
        <f t="shared" si="62"/>
        <v>361</v>
      </c>
      <c r="C364">
        <f t="shared" si="56"/>
        <v>30</v>
      </c>
      <c r="D364">
        <v>336</v>
      </c>
      <c r="E364">
        <v>366</v>
      </c>
      <c r="F364">
        <f>PMSPLINE!F$15</f>
        <v>0.99080570399491297</v>
      </c>
      <c r="G364">
        <f>PMSPLINE!F$16</f>
        <v>0.44114151485900671</v>
      </c>
      <c r="H364" s="5">
        <f>PMSPLINE!K$15</f>
        <v>3.0360217346030134E-4</v>
      </c>
      <c r="I364" s="5">
        <f>PMSPLINE!K$16</f>
        <v>3.4371123411601522E-4</v>
      </c>
      <c r="J364">
        <f t="shared" si="57"/>
        <v>0.16666666666666666</v>
      </c>
      <c r="K364">
        <f t="shared" si="58"/>
        <v>0.83333333333333337</v>
      </c>
      <c r="L364">
        <f t="shared" si="59"/>
        <v>315</v>
      </c>
      <c r="M364" s="6">
        <f t="shared" si="60"/>
        <v>0.53275221304832443</v>
      </c>
      <c r="N364" s="13">
        <f t="shared" si="55"/>
        <v>0.5122451339181221</v>
      </c>
      <c r="O364" s="6">
        <f t="shared" si="63"/>
        <v>679.72203009638565</v>
      </c>
      <c r="P364" s="6">
        <f t="shared" si="64"/>
        <v>680.66801561877821</v>
      </c>
      <c r="Q364" s="6">
        <f t="shared" si="61"/>
        <v>0.5122451339181221</v>
      </c>
      <c r="S364">
        <v>315</v>
      </c>
      <c r="T364" s="6">
        <f t="shared" si="54"/>
        <v>0.5122451339181221</v>
      </c>
    </row>
    <row r="365" spans="2:20">
      <c r="B365">
        <f t="shared" si="62"/>
        <v>362</v>
      </c>
      <c r="C365">
        <f t="shared" si="56"/>
        <v>30</v>
      </c>
      <c r="D365">
        <v>336</v>
      </c>
      <c r="E365">
        <v>366</v>
      </c>
      <c r="F365">
        <f>PMSPLINE!F$15</f>
        <v>0.99080570399491297</v>
      </c>
      <c r="G365">
        <f>PMSPLINE!F$16</f>
        <v>0.44114151485900671</v>
      </c>
      <c r="H365" s="5">
        <f>PMSPLINE!K$15</f>
        <v>3.0360217346030134E-4</v>
      </c>
      <c r="I365" s="5">
        <f>PMSPLINE!K$16</f>
        <v>3.4371123411601522E-4</v>
      </c>
      <c r="J365">
        <f t="shared" si="57"/>
        <v>0.13333333333333333</v>
      </c>
      <c r="K365">
        <f t="shared" si="58"/>
        <v>0.8666666666666667</v>
      </c>
      <c r="L365">
        <f t="shared" si="59"/>
        <v>316</v>
      </c>
      <c r="M365" s="6">
        <f t="shared" si="60"/>
        <v>0.51443007341046088</v>
      </c>
      <c r="N365" s="13">
        <f t="shared" si="55"/>
        <v>0.49734500945019811</v>
      </c>
      <c r="O365" s="6">
        <f t="shared" si="63"/>
        <v>680.23646016979615</v>
      </c>
      <c r="P365" s="6">
        <f t="shared" si="64"/>
        <v>681.16536062822843</v>
      </c>
      <c r="Q365" s="6">
        <f t="shared" si="61"/>
        <v>0.49734500945019811</v>
      </c>
      <c r="S365">
        <v>316</v>
      </c>
      <c r="T365" s="6">
        <f t="shared" si="54"/>
        <v>0.49734500945019811</v>
      </c>
    </row>
    <row r="366" spans="2:20">
      <c r="B366">
        <f t="shared" si="62"/>
        <v>363</v>
      </c>
      <c r="C366">
        <f t="shared" si="56"/>
        <v>30</v>
      </c>
      <c r="D366">
        <v>336</v>
      </c>
      <c r="E366">
        <v>366</v>
      </c>
      <c r="F366">
        <f>PMSPLINE!F$15</f>
        <v>0.99080570399491297</v>
      </c>
      <c r="G366">
        <f>PMSPLINE!F$16</f>
        <v>0.44114151485900671</v>
      </c>
      <c r="H366" s="5">
        <f>PMSPLINE!K$15</f>
        <v>3.0360217346030134E-4</v>
      </c>
      <c r="I366" s="5">
        <f>PMSPLINE!K$16</f>
        <v>3.4371123411601522E-4</v>
      </c>
      <c r="J366">
        <f t="shared" si="57"/>
        <v>0.1</v>
      </c>
      <c r="K366">
        <f t="shared" si="58"/>
        <v>0.9</v>
      </c>
      <c r="L366">
        <f t="shared" si="59"/>
        <v>317</v>
      </c>
      <c r="M366" s="6">
        <f t="shared" si="60"/>
        <v>0.49610793377259738</v>
      </c>
      <c r="N366" s="13">
        <f t="shared" si="55"/>
        <v>0.48278324834163611</v>
      </c>
      <c r="O366" s="6">
        <f t="shared" si="63"/>
        <v>680.73256810356872</v>
      </c>
      <c r="P366" s="6">
        <f t="shared" si="64"/>
        <v>681.64814387657009</v>
      </c>
      <c r="Q366" s="6">
        <f t="shared" si="61"/>
        <v>0.48278324834163611</v>
      </c>
      <c r="S366">
        <v>317</v>
      </c>
      <c r="T366" s="6">
        <f t="shared" si="54"/>
        <v>0.48278324834163611</v>
      </c>
    </row>
    <row r="367" spans="2:20">
      <c r="B367">
        <f t="shared" si="62"/>
        <v>364</v>
      </c>
      <c r="C367">
        <f t="shared" si="56"/>
        <v>30</v>
      </c>
      <c r="D367">
        <v>336</v>
      </c>
      <c r="E367">
        <v>366</v>
      </c>
      <c r="F367">
        <f>PMSPLINE!F$15</f>
        <v>0.99080570399491297</v>
      </c>
      <c r="G367">
        <f>PMSPLINE!F$16</f>
        <v>0.44114151485900671</v>
      </c>
      <c r="H367" s="5">
        <f>PMSPLINE!K$15</f>
        <v>3.0360217346030134E-4</v>
      </c>
      <c r="I367" s="5">
        <f>PMSPLINE!K$16</f>
        <v>3.4371123411601522E-4</v>
      </c>
      <c r="J367">
        <f t="shared" si="57"/>
        <v>6.6666666666666666E-2</v>
      </c>
      <c r="K367">
        <f t="shared" si="58"/>
        <v>0.93333333333333335</v>
      </c>
      <c r="L367">
        <f t="shared" si="59"/>
        <v>318</v>
      </c>
      <c r="M367" s="6">
        <f t="shared" si="60"/>
        <v>0.47778579413473377</v>
      </c>
      <c r="N367" s="13">
        <f t="shared" si="55"/>
        <v>0.46856118756112447</v>
      </c>
      <c r="O367" s="6">
        <f t="shared" si="63"/>
        <v>681.2103538977035</v>
      </c>
      <c r="P367" s="6">
        <f t="shared" si="64"/>
        <v>682.11670506413122</v>
      </c>
      <c r="Q367" s="6">
        <f t="shared" si="61"/>
        <v>0.46856118756112447</v>
      </c>
      <c r="S367">
        <v>318</v>
      </c>
      <c r="T367" s="6">
        <f t="shared" si="54"/>
        <v>0.46856118756112447</v>
      </c>
    </row>
    <row r="368" spans="2:20">
      <c r="B368">
        <f t="shared" si="62"/>
        <v>365</v>
      </c>
      <c r="C368">
        <f t="shared" si="56"/>
        <v>30</v>
      </c>
      <c r="D368">
        <v>336</v>
      </c>
      <c r="E368">
        <v>366</v>
      </c>
      <c r="F368">
        <f>PMSPLINE!F$15</f>
        <v>0.99080570399491297</v>
      </c>
      <c r="G368">
        <f>PMSPLINE!F$16</f>
        <v>0.44114151485900671</v>
      </c>
      <c r="H368" s="5">
        <f>PMSPLINE!K$15</f>
        <v>3.0360217346030134E-4</v>
      </c>
      <c r="I368" s="5">
        <f>PMSPLINE!K$16</f>
        <v>3.4371123411601522E-4</v>
      </c>
      <c r="J368">
        <f t="shared" si="57"/>
        <v>3.3333333333333333E-2</v>
      </c>
      <c r="K368">
        <f t="shared" si="58"/>
        <v>0.96666666666666667</v>
      </c>
      <c r="L368">
        <f t="shared" si="59"/>
        <v>319</v>
      </c>
      <c r="M368" s="6">
        <f t="shared" si="60"/>
        <v>0.45946365449687027</v>
      </c>
      <c r="N368" s="13">
        <f t="shared" si="55"/>
        <v>0.45468016407735184</v>
      </c>
      <c r="O368" s="6">
        <f t="shared" si="63"/>
        <v>681.66981755220036</v>
      </c>
      <c r="P368" s="6">
        <f t="shared" si="64"/>
        <v>682.57138522820856</v>
      </c>
      <c r="Q368" s="6">
        <f t="shared" si="61"/>
        <v>0.45468016407735184</v>
      </c>
      <c r="S368">
        <v>319</v>
      </c>
      <c r="T368" s="6">
        <f t="shared" si="54"/>
        <v>0.45468016407735184</v>
      </c>
    </row>
    <row r="369" spans="1:20">
      <c r="A369">
        <v>366</v>
      </c>
      <c r="B369">
        <f t="shared" si="62"/>
        <v>366</v>
      </c>
      <c r="C369">
        <f t="shared" si="56"/>
        <v>30</v>
      </c>
      <c r="D369">
        <v>336</v>
      </c>
      <c r="E369">
        <v>366</v>
      </c>
      <c r="F369">
        <f>PMSPLINE!F$15</f>
        <v>0.99080570399491297</v>
      </c>
      <c r="G369">
        <f>PMSPLINE!F$16</f>
        <v>0.44114151485900671</v>
      </c>
      <c r="H369" s="5">
        <f>PMSPLINE!K$15</f>
        <v>3.0360217346030134E-4</v>
      </c>
      <c r="I369" s="5">
        <f>PMSPLINE!K$16</f>
        <v>3.4371123411601522E-4</v>
      </c>
      <c r="J369">
        <f t="shared" si="57"/>
        <v>0</v>
      </c>
      <c r="K369">
        <f t="shared" si="58"/>
        <v>1</v>
      </c>
      <c r="L369">
        <f t="shared" si="59"/>
        <v>320</v>
      </c>
      <c r="M369" s="6">
        <f t="shared" si="60"/>
        <v>0.44114151485900671</v>
      </c>
      <c r="N369" s="13">
        <f t="shared" si="55"/>
        <v>0.44114151485900671</v>
      </c>
      <c r="O369" s="6">
        <f t="shared" si="63"/>
        <v>682.11095906705941</v>
      </c>
      <c r="P369" s="6">
        <f t="shared" si="64"/>
        <v>683.01252674306761</v>
      </c>
      <c r="Q369" s="6">
        <f t="shared" si="61"/>
        <v>0.44114151485900671</v>
      </c>
      <c r="S369">
        <v>320</v>
      </c>
      <c r="T369" s="6">
        <f t="shared" si="54"/>
        <v>0.44114151485900671</v>
      </c>
    </row>
    <row r="370" spans="1:20">
      <c r="B370">
        <f t="shared" si="62"/>
        <v>367</v>
      </c>
      <c r="C370">
        <f t="shared" si="56"/>
        <v>31</v>
      </c>
      <c r="D370">
        <v>366</v>
      </c>
      <c r="E370">
        <v>397</v>
      </c>
      <c r="F370">
        <f>PMSPLINE!F$16</f>
        <v>0.44114151485900671</v>
      </c>
      <c r="G370">
        <f>PMSPLINE!F$17</f>
        <v>0.20180602049198348</v>
      </c>
      <c r="H370" s="5">
        <f>PMSPLINE!K$16</f>
        <v>3.4371123411601522E-4</v>
      </c>
      <c r="I370" s="5">
        <f>PMSPLINE!K$17</f>
        <v>4.0545171456361052E-4</v>
      </c>
      <c r="J370">
        <f t="shared" si="57"/>
        <v>0.967741935483871</v>
      </c>
      <c r="K370">
        <f t="shared" si="58"/>
        <v>3.2258064516129031E-2</v>
      </c>
      <c r="L370">
        <f t="shared" si="59"/>
        <v>321</v>
      </c>
      <c r="M370" s="6">
        <f t="shared" si="60"/>
        <v>0.43342101504071562</v>
      </c>
      <c r="N370" s="13">
        <f t="shared" si="55"/>
        <v>0.42794668598472974</v>
      </c>
      <c r="O370" s="6">
        <f t="shared" si="63"/>
        <v>682.54438008210013</v>
      </c>
      <c r="P370" s="6">
        <f t="shared" si="64"/>
        <v>683.4404734290523</v>
      </c>
      <c r="Q370" s="6">
        <f t="shared" si="61"/>
        <v>0.42794668598472974</v>
      </c>
      <c r="S370">
        <v>321</v>
      </c>
      <c r="T370" s="6">
        <f t="shared" ref="T370:T414" si="65">N370</f>
        <v>0.42794668598472974</v>
      </c>
    </row>
    <row r="371" spans="1:20">
      <c r="B371">
        <f t="shared" si="62"/>
        <v>368</v>
      </c>
      <c r="C371">
        <f t="shared" si="56"/>
        <v>31</v>
      </c>
      <c r="D371">
        <v>366</v>
      </c>
      <c r="E371">
        <v>397</v>
      </c>
      <c r="F371">
        <f>PMSPLINE!F$16</f>
        <v>0.44114151485900671</v>
      </c>
      <c r="G371">
        <f>PMSPLINE!F$17</f>
        <v>0.20180602049198348</v>
      </c>
      <c r="H371" s="5">
        <f>PMSPLINE!K$16</f>
        <v>3.4371123411601522E-4</v>
      </c>
      <c r="I371" s="5">
        <f>PMSPLINE!K$17</f>
        <v>4.0545171456361052E-4</v>
      </c>
      <c r="J371">
        <f t="shared" si="57"/>
        <v>0.93548387096774188</v>
      </c>
      <c r="K371">
        <f t="shared" si="58"/>
        <v>6.4516129032258063E-2</v>
      </c>
      <c r="L371">
        <f t="shared" si="59"/>
        <v>322</v>
      </c>
      <c r="M371" s="6">
        <f t="shared" si="60"/>
        <v>0.42570051522242458</v>
      </c>
      <c r="N371" s="13">
        <f t="shared" si="55"/>
        <v>0.41509755997297038</v>
      </c>
      <c r="O371" s="6">
        <f t="shared" si="63"/>
        <v>682.97008059732252</v>
      </c>
      <c r="P371" s="6">
        <f t="shared" si="64"/>
        <v>683.8555709890253</v>
      </c>
      <c r="Q371" s="6">
        <f t="shared" si="61"/>
        <v>0.41509755997297038</v>
      </c>
      <c r="S371">
        <v>322</v>
      </c>
      <c r="T371" s="6">
        <f t="shared" si="65"/>
        <v>0.41509755997297038</v>
      </c>
    </row>
    <row r="372" spans="1:20">
      <c r="B372">
        <f t="shared" si="62"/>
        <v>369</v>
      </c>
      <c r="C372">
        <f t="shared" si="56"/>
        <v>31</v>
      </c>
      <c r="D372">
        <v>366</v>
      </c>
      <c r="E372">
        <v>397</v>
      </c>
      <c r="F372">
        <f>PMSPLINE!F$16</f>
        <v>0.44114151485900671</v>
      </c>
      <c r="G372">
        <f>PMSPLINE!F$17</f>
        <v>0.20180602049198348</v>
      </c>
      <c r="H372" s="5">
        <f>PMSPLINE!K$16</f>
        <v>3.4371123411601522E-4</v>
      </c>
      <c r="I372" s="5">
        <f>PMSPLINE!K$17</f>
        <v>4.0545171456361052E-4</v>
      </c>
      <c r="J372">
        <f t="shared" si="57"/>
        <v>0.90322580645161288</v>
      </c>
      <c r="K372">
        <f t="shared" si="58"/>
        <v>9.6774193548387094E-2</v>
      </c>
      <c r="L372">
        <f t="shared" si="59"/>
        <v>323</v>
      </c>
      <c r="M372" s="6">
        <f t="shared" si="60"/>
        <v>0.41798001540413349</v>
      </c>
      <c r="N372" s="13">
        <f t="shared" si="55"/>
        <v>0.40259612845213005</v>
      </c>
      <c r="O372" s="6">
        <f t="shared" si="63"/>
        <v>683.38806061272669</v>
      </c>
      <c r="P372" s="6">
        <f t="shared" si="64"/>
        <v>684.25816711747746</v>
      </c>
      <c r="Q372" s="6">
        <f t="shared" si="61"/>
        <v>0.40259612845213005</v>
      </c>
      <c r="S372">
        <v>323</v>
      </c>
      <c r="T372" s="6">
        <f t="shared" si="65"/>
        <v>0.40259612845213005</v>
      </c>
    </row>
    <row r="373" spans="1:20">
      <c r="B373">
        <f t="shared" si="62"/>
        <v>370</v>
      </c>
      <c r="C373">
        <f t="shared" si="56"/>
        <v>31</v>
      </c>
      <c r="D373">
        <v>366</v>
      </c>
      <c r="E373">
        <v>397</v>
      </c>
      <c r="F373">
        <f>PMSPLINE!F$16</f>
        <v>0.44114151485900671</v>
      </c>
      <c r="G373">
        <f>PMSPLINE!F$17</f>
        <v>0.20180602049198348</v>
      </c>
      <c r="H373" s="5">
        <f>PMSPLINE!K$16</f>
        <v>3.4371123411601522E-4</v>
      </c>
      <c r="I373" s="5">
        <f>PMSPLINE!K$17</f>
        <v>4.0545171456361052E-4</v>
      </c>
      <c r="J373">
        <f t="shared" si="57"/>
        <v>0.87096774193548387</v>
      </c>
      <c r="K373">
        <f t="shared" si="58"/>
        <v>0.12903225806451613</v>
      </c>
      <c r="L373">
        <f t="shared" si="59"/>
        <v>324</v>
      </c>
      <c r="M373" s="6">
        <f t="shared" si="60"/>
        <v>0.41025951558584239</v>
      </c>
      <c r="N373" s="13">
        <f t="shared" si="55"/>
        <v>0.3904443830506103</v>
      </c>
      <c r="O373" s="6">
        <f t="shared" si="63"/>
        <v>683.79832012831253</v>
      </c>
      <c r="P373" s="6">
        <f t="shared" si="64"/>
        <v>684.64861150052809</v>
      </c>
      <c r="Q373" s="6">
        <f t="shared" si="61"/>
        <v>0.3904443830506103</v>
      </c>
      <c r="S373">
        <v>324</v>
      </c>
      <c r="T373" s="6">
        <f t="shared" si="65"/>
        <v>0.3904443830506103</v>
      </c>
    </row>
    <row r="374" spans="1:20">
      <c r="B374">
        <f t="shared" si="62"/>
        <v>371</v>
      </c>
      <c r="C374">
        <f t="shared" si="56"/>
        <v>31</v>
      </c>
      <c r="D374">
        <v>366</v>
      </c>
      <c r="E374">
        <v>397</v>
      </c>
      <c r="F374">
        <f>PMSPLINE!F$16</f>
        <v>0.44114151485900671</v>
      </c>
      <c r="G374">
        <f>PMSPLINE!F$17</f>
        <v>0.20180602049198348</v>
      </c>
      <c r="H374" s="5">
        <f>PMSPLINE!K$16</f>
        <v>3.4371123411601522E-4</v>
      </c>
      <c r="I374" s="5">
        <f>PMSPLINE!K$17</f>
        <v>4.0545171456361052E-4</v>
      </c>
      <c r="J374">
        <f t="shared" si="57"/>
        <v>0.83870967741935487</v>
      </c>
      <c r="K374">
        <f t="shared" si="58"/>
        <v>0.16129032258064516</v>
      </c>
      <c r="L374">
        <f t="shared" si="59"/>
        <v>325</v>
      </c>
      <c r="M374" s="6">
        <f t="shared" si="60"/>
        <v>0.40253901576755136</v>
      </c>
      <c r="N374" s="13">
        <f t="shared" si="55"/>
        <v>0.37864431539681281</v>
      </c>
      <c r="O374" s="6">
        <f t="shared" si="63"/>
        <v>684.20085914408003</v>
      </c>
      <c r="P374" s="6">
        <f t="shared" si="64"/>
        <v>685.02725581592495</v>
      </c>
      <c r="Q374" s="6">
        <f t="shared" si="61"/>
        <v>0.37864431539681281</v>
      </c>
      <c r="S374">
        <v>325</v>
      </c>
      <c r="T374" s="6">
        <f t="shared" si="65"/>
        <v>0.37864431539681281</v>
      </c>
    </row>
    <row r="375" spans="1:20">
      <c r="B375">
        <f t="shared" si="62"/>
        <v>372</v>
      </c>
      <c r="C375">
        <f t="shared" si="56"/>
        <v>31</v>
      </c>
      <c r="D375">
        <v>366</v>
      </c>
      <c r="E375">
        <v>397</v>
      </c>
      <c r="F375">
        <f>PMSPLINE!F$16</f>
        <v>0.44114151485900671</v>
      </c>
      <c r="G375">
        <f>PMSPLINE!F$17</f>
        <v>0.20180602049198348</v>
      </c>
      <c r="H375" s="5">
        <f>PMSPLINE!K$16</f>
        <v>3.4371123411601522E-4</v>
      </c>
      <c r="I375" s="5">
        <f>PMSPLINE!K$17</f>
        <v>4.0545171456361052E-4</v>
      </c>
      <c r="J375">
        <f t="shared" si="57"/>
        <v>0.80645161290322576</v>
      </c>
      <c r="K375">
        <f t="shared" si="58"/>
        <v>0.19354838709677419</v>
      </c>
      <c r="L375">
        <f t="shared" si="59"/>
        <v>326</v>
      </c>
      <c r="M375" s="6">
        <f t="shared" si="60"/>
        <v>0.39481851594926026</v>
      </c>
      <c r="N375" s="13">
        <f t="shared" ref="N375:N408" si="66">Q375</f>
        <v>0.36719791711913896</v>
      </c>
      <c r="O375" s="6">
        <f t="shared" si="63"/>
        <v>684.59567766002931</v>
      </c>
      <c r="P375" s="6">
        <f t="shared" si="64"/>
        <v>685.39445373304409</v>
      </c>
      <c r="Q375" s="6">
        <f t="shared" si="61"/>
        <v>0.36719791711913896</v>
      </c>
      <c r="S375">
        <v>326</v>
      </c>
      <c r="T375" s="6">
        <f t="shared" si="65"/>
        <v>0.36719791711913896</v>
      </c>
    </row>
    <row r="376" spans="1:20">
      <c r="B376">
        <f t="shared" si="62"/>
        <v>373</v>
      </c>
      <c r="C376">
        <f t="shared" si="56"/>
        <v>31</v>
      </c>
      <c r="D376">
        <v>366</v>
      </c>
      <c r="E376">
        <v>397</v>
      </c>
      <c r="F376">
        <f>PMSPLINE!F$16</f>
        <v>0.44114151485900671</v>
      </c>
      <c r="G376">
        <f>PMSPLINE!F$17</f>
        <v>0.20180602049198348</v>
      </c>
      <c r="H376" s="5">
        <f>PMSPLINE!K$16</f>
        <v>3.4371123411601522E-4</v>
      </c>
      <c r="I376" s="5">
        <f>PMSPLINE!K$17</f>
        <v>4.0545171456361052E-4</v>
      </c>
      <c r="J376">
        <f t="shared" si="57"/>
        <v>0.77419354838709675</v>
      </c>
      <c r="K376">
        <f t="shared" si="58"/>
        <v>0.22580645161290322</v>
      </c>
      <c r="L376">
        <f t="shared" si="59"/>
        <v>327</v>
      </c>
      <c r="M376" s="6">
        <f t="shared" si="60"/>
        <v>0.38709801613096922</v>
      </c>
      <c r="N376" s="13">
        <f t="shared" si="66"/>
        <v>0.35610717984599033</v>
      </c>
      <c r="O376" s="6">
        <f t="shared" si="63"/>
        <v>684.98277567616026</v>
      </c>
      <c r="P376" s="6">
        <f t="shared" si="64"/>
        <v>685.75056091289002</v>
      </c>
      <c r="Q376" s="6">
        <f t="shared" si="61"/>
        <v>0.35610717984599033</v>
      </c>
      <c r="S376">
        <v>327</v>
      </c>
      <c r="T376" s="6">
        <f t="shared" si="65"/>
        <v>0.35610717984599033</v>
      </c>
    </row>
    <row r="377" spans="1:20">
      <c r="B377">
        <f t="shared" si="62"/>
        <v>374</v>
      </c>
      <c r="C377">
        <f t="shared" si="56"/>
        <v>31</v>
      </c>
      <c r="D377">
        <v>366</v>
      </c>
      <c r="E377">
        <v>397</v>
      </c>
      <c r="F377">
        <f>PMSPLINE!F$16</f>
        <v>0.44114151485900671</v>
      </c>
      <c r="G377">
        <f>PMSPLINE!F$17</f>
        <v>0.20180602049198348</v>
      </c>
      <c r="H377" s="5">
        <f>PMSPLINE!K$16</f>
        <v>3.4371123411601522E-4</v>
      </c>
      <c r="I377" s="5">
        <f>PMSPLINE!K$17</f>
        <v>4.0545171456361052E-4</v>
      </c>
      <c r="J377">
        <f t="shared" si="57"/>
        <v>0.74193548387096775</v>
      </c>
      <c r="K377">
        <f t="shared" si="58"/>
        <v>0.25806451612903225</v>
      </c>
      <c r="L377">
        <f t="shared" si="59"/>
        <v>328</v>
      </c>
      <c r="M377" s="6">
        <f t="shared" si="60"/>
        <v>0.37937751631267813</v>
      </c>
      <c r="N377" s="13">
        <f t="shared" si="66"/>
        <v>0.34537409520576845</v>
      </c>
      <c r="O377" s="6">
        <f t="shared" si="63"/>
        <v>685.36215319247299</v>
      </c>
      <c r="P377" s="6">
        <f t="shared" si="64"/>
        <v>686.09593500809581</v>
      </c>
      <c r="Q377" s="6">
        <f t="shared" si="61"/>
        <v>0.34537409520576845</v>
      </c>
      <c r="S377">
        <v>328</v>
      </c>
      <c r="T377" s="6">
        <f t="shared" si="65"/>
        <v>0.34537409520576845</v>
      </c>
    </row>
    <row r="378" spans="1:20">
      <c r="B378">
        <f t="shared" si="62"/>
        <v>375</v>
      </c>
      <c r="C378">
        <f t="shared" si="56"/>
        <v>31</v>
      </c>
      <c r="D378">
        <v>366</v>
      </c>
      <c r="E378">
        <v>397</v>
      </c>
      <c r="F378">
        <f>PMSPLINE!F$16</f>
        <v>0.44114151485900671</v>
      </c>
      <c r="G378">
        <f>PMSPLINE!F$17</f>
        <v>0.20180602049198348</v>
      </c>
      <c r="H378" s="5">
        <f>PMSPLINE!K$16</f>
        <v>3.4371123411601522E-4</v>
      </c>
      <c r="I378" s="5">
        <f>PMSPLINE!K$17</f>
        <v>4.0545171456361052E-4</v>
      </c>
      <c r="J378">
        <f t="shared" si="57"/>
        <v>0.70967741935483875</v>
      </c>
      <c r="K378">
        <f t="shared" si="58"/>
        <v>0.29032258064516131</v>
      </c>
      <c r="L378">
        <f t="shared" si="59"/>
        <v>329</v>
      </c>
      <c r="M378" s="6">
        <f t="shared" si="60"/>
        <v>0.37165701649438709</v>
      </c>
      <c r="N378" s="13">
        <f t="shared" si="66"/>
        <v>0.33500065482687497</v>
      </c>
      <c r="O378" s="6">
        <f t="shared" si="63"/>
        <v>685.73381020896738</v>
      </c>
      <c r="P378" s="6">
        <f t="shared" si="64"/>
        <v>686.43093566292271</v>
      </c>
      <c r="Q378" s="6">
        <f t="shared" si="61"/>
        <v>0.33500065482687497</v>
      </c>
      <c r="S378">
        <v>329</v>
      </c>
      <c r="T378" s="6">
        <f t="shared" si="65"/>
        <v>0.33500065482687497</v>
      </c>
    </row>
    <row r="379" spans="1:20">
      <c r="B379">
        <f t="shared" si="62"/>
        <v>376</v>
      </c>
      <c r="C379">
        <f t="shared" si="56"/>
        <v>31</v>
      </c>
      <c r="D379">
        <v>366</v>
      </c>
      <c r="E379">
        <v>397</v>
      </c>
      <c r="F379">
        <f>PMSPLINE!F$16</f>
        <v>0.44114151485900671</v>
      </c>
      <c r="G379">
        <f>PMSPLINE!F$17</f>
        <v>0.20180602049198348</v>
      </c>
      <c r="H379" s="5">
        <f>PMSPLINE!K$16</f>
        <v>3.4371123411601522E-4</v>
      </c>
      <c r="I379" s="5">
        <f>PMSPLINE!K$17</f>
        <v>4.0545171456361052E-4</v>
      </c>
      <c r="J379">
        <f t="shared" si="57"/>
        <v>0.67741935483870963</v>
      </c>
      <c r="K379">
        <f t="shared" si="58"/>
        <v>0.32258064516129031</v>
      </c>
      <c r="L379">
        <f t="shared" si="59"/>
        <v>330</v>
      </c>
      <c r="M379" s="6">
        <f t="shared" si="60"/>
        <v>0.363936516676096</v>
      </c>
      <c r="N379" s="13">
        <f t="shared" si="66"/>
        <v>0.32498885033771119</v>
      </c>
      <c r="O379" s="6">
        <f t="shared" si="63"/>
        <v>686.09774672564345</v>
      </c>
      <c r="P379" s="6">
        <f t="shared" si="64"/>
        <v>686.75592451326042</v>
      </c>
      <c r="Q379" s="6">
        <f t="shared" si="61"/>
        <v>0.32498885033771119</v>
      </c>
      <c r="S379">
        <v>330</v>
      </c>
      <c r="T379" s="6">
        <f t="shared" si="65"/>
        <v>0.32498885033771119</v>
      </c>
    </row>
    <row r="380" spans="1:20">
      <c r="B380">
        <f t="shared" si="62"/>
        <v>377</v>
      </c>
      <c r="C380">
        <f t="shared" si="56"/>
        <v>31</v>
      </c>
      <c r="D380">
        <v>366</v>
      </c>
      <c r="E380">
        <v>397</v>
      </c>
      <c r="F380">
        <f>PMSPLINE!F$16</f>
        <v>0.44114151485900671</v>
      </c>
      <c r="G380">
        <f>PMSPLINE!F$17</f>
        <v>0.20180602049198348</v>
      </c>
      <c r="H380" s="5">
        <f>PMSPLINE!K$16</f>
        <v>3.4371123411601522E-4</v>
      </c>
      <c r="I380" s="5">
        <f>PMSPLINE!K$17</f>
        <v>4.0545171456361052E-4</v>
      </c>
      <c r="J380">
        <f t="shared" si="57"/>
        <v>0.64516129032258063</v>
      </c>
      <c r="K380">
        <f t="shared" si="58"/>
        <v>0.35483870967741937</v>
      </c>
      <c r="L380">
        <f t="shared" si="59"/>
        <v>331</v>
      </c>
      <c r="M380" s="6">
        <f t="shared" si="60"/>
        <v>0.35621601685780491</v>
      </c>
      <c r="N380" s="13">
        <f t="shared" si="66"/>
        <v>0.31534067336667881</v>
      </c>
      <c r="O380" s="6">
        <f t="shared" si="63"/>
        <v>686.45396274250129</v>
      </c>
      <c r="P380" s="6">
        <f t="shared" si="64"/>
        <v>687.0712651866271</v>
      </c>
      <c r="Q380" s="6">
        <f t="shared" si="61"/>
        <v>0.31534067336667881</v>
      </c>
      <c r="S380">
        <v>331</v>
      </c>
      <c r="T380" s="6">
        <f t="shared" si="65"/>
        <v>0.31534067336667881</v>
      </c>
    </row>
    <row r="381" spans="1:20">
      <c r="B381">
        <f t="shared" si="62"/>
        <v>378</v>
      </c>
      <c r="C381">
        <f t="shared" si="56"/>
        <v>31</v>
      </c>
      <c r="D381">
        <v>366</v>
      </c>
      <c r="E381">
        <v>397</v>
      </c>
      <c r="F381">
        <f>PMSPLINE!F$16</f>
        <v>0.44114151485900671</v>
      </c>
      <c r="G381">
        <f>PMSPLINE!F$17</f>
        <v>0.20180602049198348</v>
      </c>
      <c r="H381" s="5">
        <f>PMSPLINE!K$16</f>
        <v>3.4371123411601522E-4</v>
      </c>
      <c r="I381" s="5">
        <f>PMSPLINE!K$17</f>
        <v>4.0545171456361052E-4</v>
      </c>
      <c r="J381">
        <f t="shared" si="57"/>
        <v>0.61290322580645162</v>
      </c>
      <c r="K381">
        <f t="shared" si="58"/>
        <v>0.38709677419354838</v>
      </c>
      <c r="L381">
        <f t="shared" si="59"/>
        <v>332</v>
      </c>
      <c r="M381" s="6">
        <f t="shared" si="60"/>
        <v>0.34849551703951387</v>
      </c>
      <c r="N381" s="13">
        <f t="shared" si="66"/>
        <v>0.30605811554217943</v>
      </c>
      <c r="O381" s="6">
        <f t="shared" si="63"/>
        <v>686.8024582595408</v>
      </c>
      <c r="P381" s="6">
        <f t="shared" si="64"/>
        <v>687.37732330216932</v>
      </c>
      <c r="Q381" s="6">
        <f t="shared" si="61"/>
        <v>0.30605811554217943</v>
      </c>
      <c r="S381">
        <v>332</v>
      </c>
      <c r="T381" s="6">
        <f t="shared" si="65"/>
        <v>0.30605811554217943</v>
      </c>
    </row>
    <row r="382" spans="1:20">
      <c r="B382">
        <f t="shared" si="62"/>
        <v>379</v>
      </c>
      <c r="C382">
        <f t="shared" si="56"/>
        <v>31</v>
      </c>
      <c r="D382">
        <v>366</v>
      </c>
      <c r="E382">
        <v>397</v>
      </c>
      <c r="F382">
        <f>PMSPLINE!F$16</f>
        <v>0.44114151485900671</v>
      </c>
      <c r="G382">
        <f>PMSPLINE!F$17</f>
        <v>0.20180602049198348</v>
      </c>
      <c r="H382" s="5">
        <f>PMSPLINE!K$16</f>
        <v>3.4371123411601522E-4</v>
      </c>
      <c r="I382" s="5">
        <f>PMSPLINE!K$17</f>
        <v>4.0545171456361052E-4</v>
      </c>
      <c r="J382">
        <f t="shared" si="57"/>
        <v>0.58064516129032262</v>
      </c>
      <c r="K382">
        <f t="shared" si="58"/>
        <v>0.41935483870967744</v>
      </c>
      <c r="L382">
        <f t="shared" si="59"/>
        <v>333</v>
      </c>
      <c r="M382" s="6">
        <f t="shared" si="60"/>
        <v>0.34077501722122283</v>
      </c>
      <c r="N382" s="13">
        <f t="shared" si="66"/>
        <v>0.29714316849261441</v>
      </c>
      <c r="O382" s="6">
        <f t="shared" si="63"/>
        <v>687.14323327676198</v>
      </c>
      <c r="P382" s="6">
        <f t="shared" si="64"/>
        <v>687.67446647066197</v>
      </c>
      <c r="Q382" s="6">
        <f t="shared" si="61"/>
        <v>0.29714316849261441</v>
      </c>
      <c r="S382">
        <v>333</v>
      </c>
      <c r="T382" s="6">
        <f t="shared" si="65"/>
        <v>0.29714316849261441</v>
      </c>
    </row>
    <row r="383" spans="1:20">
      <c r="B383">
        <f t="shared" si="62"/>
        <v>380</v>
      </c>
      <c r="C383">
        <f t="shared" si="56"/>
        <v>31</v>
      </c>
      <c r="D383">
        <v>366</v>
      </c>
      <c r="E383">
        <v>397</v>
      </c>
      <c r="F383">
        <f>PMSPLINE!F$16</f>
        <v>0.44114151485900671</v>
      </c>
      <c r="G383">
        <f>PMSPLINE!F$17</f>
        <v>0.20180602049198348</v>
      </c>
      <c r="H383" s="5">
        <f>PMSPLINE!K$16</f>
        <v>3.4371123411601522E-4</v>
      </c>
      <c r="I383" s="5">
        <f>PMSPLINE!K$17</f>
        <v>4.0545171456361052E-4</v>
      </c>
      <c r="J383">
        <f t="shared" si="57"/>
        <v>0.54838709677419351</v>
      </c>
      <c r="K383">
        <f t="shared" si="58"/>
        <v>0.45161290322580644</v>
      </c>
      <c r="L383">
        <f t="shared" si="59"/>
        <v>334</v>
      </c>
      <c r="M383" s="6">
        <f t="shared" si="60"/>
        <v>0.33305451740293168</v>
      </c>
      <c r="N383" s="13">
        <f t="shared" si="66"/>
        <v>0.28859782384638533</v>
      </c>
      <c r="O383" s="6">
        <f t="shared" si="63"/>
        <v>687.47628779416493</v>
      </c>
      <c r="P383" s="6">
        <f t="shared" si="64"/>
        <v>687.9630642945084</v>
      </c>
      <c r="Q383" s="6">
        <f t="shared" si="61"/>
        <v>0.28859782384638533</v>
      </c>
      <c r="S383">
        <v>334</v>
      </c>
      <c r="T383" s="6">
        <f t="shared" si="65"/>
        <v>0.28859782384638533</v>
      </c>
    </row>
    <row r="384" spans="1:20">
      <c r="B384">
        <f t="shared" si="62"/>
        <v>381</v>
      </c>
      <c r="C384">
        <f t="shared" si="56"/>
        <v>31</v>
      </c>
      <c r="D384">
        <v>366</v>
      </c>
      <c r="E384">
        <v>397</v>
      </c>
      <c r="F384">
        <f>PMSPLINE!F$16</f>
        <v>0.44114151485900671</v>
      </c>
      <c r="G384">
        <f>PMSPLINE!F$17</f>
        <v>0.20180602049198348</v>
      </c>
      <c r="H384" s="5">
        <f>PMSPLINE!K$16</f>
        <v>3.4371123411601522E-4</v>
      </c>
      <c r="I384" s="5">
        <f>PMSPLINE!K$17</f>
        <v>4.0545171456361052E-4</v>
      </c>
      <c r="J384">
        <f t="shared" si="57"/>
        <v>0.5161290322580645</v>
      </c>
      <c r="K384">
        <f t="shared" si="58"/>
        <v>0.4838709677419355</v>
      </c>
      <c r="L384">
        <f t="shared" si="59"/>
        <v>335</v>
      </c>
      <c r="M384" s="6">
        <f t="shared" si="60"/>
        <v>0.32533401758464064</v>
      </c>
      <c r="N384" s="13">
        <f t="shared" si="66"/>
        <v>0.28042407323189378</v>
      </c>
      <c r="O384" s="6">
        <f t="shared" si="63"/>
        <v>687.80162181174956</v>
      </c>
      <c r="P384" s="6">
        <f t="shared" si="64"/>
        <v>688.24348836774027</v>
      </c>
      <c r="Q384" s="6">
        <f t="shared" si="61"/>
        <v>0.28042407323189378</v>
      </c>
      <c r="S384">
        <v>335</v>
      </c>
      <c r="T384" s="6">
        <f t="shared" si="65"/>
        <v>0.28042407323189378</v>
      </c>
    </row>
    <row r="385" spans="1:20">
      <c r="B385">
        <f t="shared" si="62"/>
        <v>382</v>
      </c>
      <c r="C385">
        <f t="shared" si="56"/>
        <v>31</v>
      </c>
      <c r="D385">
        <v>366</v>
      </c>
      <c r="E385">
        <v>397</v>
      </c>
      <c r="F385">
        <f>PMSPLINE!F$16</f>
        <v>0.44114151485900671</v>
      </c>
      <c r="G385">
        <f>PMSPLINE!F$17</f>
        <v>0.20180602049198348</v>
      </c>
      <c r="H385" s="5">
        <f>PMSPLINE!K$16</f>
        <v>3.4371123411601522E-4</v>
      </c>
      <c r="I385" s="5">
        <f>PMSPLINE!K$17</f>
        <v>4.0545171456361052E-4</v>
      </c>
      <c r="J385">
        <f t="shared" si="57"/>
        <v>0.4838709677419355</v>
      </c>
      <c r="K385">
        <f t="shared" si="58"/>
        <v>0.5161290322580645</v>
      </c>
      <c r="L385">
        <f t="shared" si="59"/>
        <v>336</v>
      </c>
      <c r="M385" s="6">
        <f t="shared" si="60"/>
        <v>0.31761351776634955</v>
      </c>
      <c r="N385" s="13">
        <f t="shared" si="66"/>
        <v>0.27262390827754129</v>
      </c>
      <c r="O385" s="6">
        <f t="shared" si="63"/>
        <v>688.11923532951596</v>
      </c>
      <c r="P385" s="6">
        <f t="shared" si="64"/>
        <v>688.51611227601779</v>
      </c>
      <c r="Q385" s="6">
        <f t="shared" si="61"/>
        <v>0.27262390827754129</v>
      </c>
      <c r="S385">
        <v>336</v>
      </c>
      <c r="T385" s="6">
        <f t="shared" si="65"/>
        <v>0.27262390827754129</v>
      </c>
    </row>
    <row r="386" spans="1:20">
      <c r="B386">
        <f t="shared" si="62"/>
        <v>383</v>
      </c>
      <c r="C386">
        <f t="shared" si="56"/>
        <v>31</v>
      </c>
      <c r="D386">
        <v>366</v>
      </c>
      <c r="E386">
        <v>397</v>
      </c>
      <c r="F386">
        <f>PMSPLINE!F$16</f>
        <v>0.44114151485900671</v>
      </c>
      <c r="G386">
        <f>PMSPLINE!F$17</f>
        <v>0.20180602049198348</v>
      </c>
      <c r="H386" s="5">
        <f>PMSPLINE!K$16</f>
        <v>3.4371123411601522E-4</v>
      </c>
      <c r="I386" s="5">
        <f>PMSPLINE!K$17</f>
        <v>4.0545171456361052E-4</v>
      </c>
      <c r="J386">
        <f t="shared" si="57"/>
        <v>0.45161290322580644</v>
      </c>
      <c r="K386">
        <f t="shared" si="58"/>
        <v>0.54838709677419351</v>
      </c>
      <c r="L386">
        <f t="shared" si="59"/>
        <v>337</v>
      </c>
      <c r="M386" s="6">
        <f t="shared" si="60"/>
        <v>0.30989301794805846</v>
      </c>
      <c r="N386" s="13">
        <f t="shared" si="66"/>
        <v>0.26519932061172935</v>
      </c>
      <c r="O386" s="6">
        <f t="shared" si="63"/>
        <v>688.42912834746403</v>
      </c>
      <c r="P386" s="6">
        <f t="shared" si="64"/>
        <v>688.78131159662951</v>
      </c>
      <c r="Q386" s="6">
        <f t="shared" si="61"/>
        <v>0.26519932061172935</v>
      </c>
      <c r="S386">
        <v>337</v>
      </c>
      <c r="T386" s="6">
        <f t="shared" si="65"/>
        <v>0.26519932061172935</v>
      </c>
    </row>
    <row r="387" spans="1:20">
      <c r="B387">
        <f t="shared" si="62"/>
        <v>384</v>
      </c>
      <c r="C387">
        <f t="shared" si="56"/>
        <v>31</v>
      </c>
      <c r="D387">
        <v>366</v>
      </c>
      <c r="E387">
        <v>397</v>
      </c>
      <c r="F387">
        <f>PMSPLINE!F$16</f>
        <v>0.44114151485900671</v>
      </c>
      <c r="G387">
        <f>PMSPLINE!F$17</f>
        <v>0.20180602049198348</v>
      </c>
      <c r="H387" s="5">
        <f>PMSPLINE!K$16</f>
        <v>3.4371123411601522E-4</v>
      </c>
      <c r="I387" s="5">
        <f>PMSPLINE!K$17</f>
        <v>4.0545171456361052E-4</v>
      </c>
      <c r="J387">
        <f t="shared" si="57"/>
        <v>0.41935483870967744</v>
      </c>
      <c r="K387">
        <f t="shared" si="58"/>
        <v>0.58064516129032262</v>
      </c>
      <c r="L387">
        <f t="shared" si="59"/>
        <v>338</v>
      </c>
      <c r="M387" s="6">
        <f t="shared" si="60"/>
        <v>0.30217251812976742</v>
      </c>
      <c r="N387" s="13">
        <f t="shared" si="66"/>
        <v>0.25815230186285965</v>
      </c>
      <c r="O387" s="6">
        <f t="shared" si="63"/>
        <v>688.73130086559377</v>
      </c>
      <c r="P387" s="6">
        <f t="shared" si="64"/>
        <v>689.03946389849239</v>
      </c>
      <c r="Q387" s="6">
        <f t="shared" si="61"/>
        <v>0.25815230186285965</v>
      </c>
      <c r="S387">
        <v>338</v>
      </c>
      <c r="T387" s="6">
        <f t="shared" si="65"/>
        <v>0.25815230186285965</v>
      </c>
    </row>
    <row r="388" spans="1:20">
      <c r="B388">
        <f t="shared" si="62"/>
        <v>385</v>
      </c>
      <c r="C388">
        <f t="shared" ref="C388:C451" si="67">E388-D388</f>
        <v>31</v>
      </c>
      <c r="D388">
        <v>366</v>
      </c>
      <c r="E388">
        <v>397</v>
      </c>
      <c r="F388">
        <f>PMSPLINE!F$16</f>
        <v>0.44114151485900671</v>
      </c>
      <c r="G388">
        <f>PMSPLINE!F$17</f>
        <v>0.20180602049198348</v>
      </c>
      <c r="H388" s="5">
        <f>PMSPLINE!K$16</f>
        <v>3.4371123411601522E-4</v>
      </c>
      <c r="I388" s="5">
        <f>PMSPLINE!K$17</f>
        <v>4.0545171456361052E-4</v>
      </c>
      <c r="J388">
        <f t="shared" ref="J388:J451" si="68">(E388-B388)/C388</f>
        <v>0.38709677419354838</v>
      </c>
      <c r="K388">
        <f t="shared" ref="K388:K451" si="69">(B388-D388)/C388</f>
        <v>0.61290322580645162</v>
      </c>
      <c r="L388">
        <f t="shared" ref="L388:L414" si="70">B388-46</f>
        <v>339</v>
      </c>
      <c r="M388" s="6">
        <f t="shared" ref="M388:M451" si="71">J388*F388+K388*G388</f>
        <v>0.29445201831147638</v>
      </c>
      <c r="N388" s="13">
        <f t="shared" si="66"/>
        <v>0.25148484365933355</v>
      </c>
      <c r="O388" s="6">
        <f t="shared" si="63"/>
        <v>689.02575288390528</v>
      </c>
      <c r="P388" s="6">
        <f t="shared" si="64"/>
        <v>689.29094874215173</v>
      </c>
      <c r="Q388" s="6">
        <f t="shared" ref="Q388:Q451" si="72">M388+(((J388^3-J388)*H388+(K388^3-K388)*I388))*(C388^2)/6</f>
        <v>0.25148484365933355</v>
      </c>
      <c r="S388">
        <v>339</v>
      </c>
      <c r="T388" s="6">
        <f t="shared" si="65"/>
        <v>0.25148484365933355</v>
      </c>
    </row>
    <row r="389" spans="1:20">
      <c r="B389">
        <f t="shared" ref="B389:B452" si="73">B388+1</f>
        <v>386</v>
      </c>
      <c r="C389">
        <f t="shared" si="67"/>
        <v>31</v>
      </c>
      <c r="D389">
        <v>366</v>
      </c>
      <c r="E389">
        <v>397</v>
      </c>
      <c r="F389">
        <f>PMSPLINE!F$16</f>
        <v>0.44114151485900671</v>
      </c>
      <c r="G389">
        <f>PMSPLINE!F$17</f>
        <v>0.20180602049198348</v>
      </c>
      <c r="H389" s="5">
        <f>PMSPLINE!K$16</f>
        <v>3.4371123411601522E-4</v>
      </c>
      <c r="I389" s="5">
        <f>PMSPLINE!K$17</f>
        <v>4.0545171456361052E-4</v>
      </c>
      <c r="J389">
        <f t="shared" si="68"/>
        <v>0.35483870967741937</v>
      </c>
      <c r="K389">
        <f t="shared" si="69"/>
        <v>0.64516129032258063</v>
      </c>
      <c r="L389">
        <f t="shared" si="70"/>
        <v>340</v>
      </c>
      <c r="M389" s="6">
        <f t="shared" si="71"/>
        <v>0.28673151849318523</v>
      </c>
      <c r="N389" s="13">
        <f t="shared" si="66"/>
        <v>0.2451989376295525</v>
      </c>
      <c r="O389" s="6">
        <f t="shared" ref="O389:O452" si="74">O388+M389</f>
        <v>689.31248440239847</v>
      </c>
      <c r="P389" s="6">
        <f t="shared" ref="P389:P452" si="75">P388+N389</f>
        <v>689.53614767978127</v>
      </c>
      <c r="Q389" s="6">
        <f t="shared" si="72"/>
        <v>0.2451989376295525</v>
      </c>
      <c r="S389">
        <v>340</v>
      </c>
      <c r="T389" s="6">
        <f t="shared" si="65"/>
        <v>0.2451989376295525</v>
      </c>
    </row>
    <row r="390" spans="1:20">
      <c r="B390">
        <f t="shared" si="73"/>
        <v>387</v>
      </c>
      <c r="C390">
        <f t="shared" si="67"/>
        <v>31</v>
      </c>
      <c r="D390">
        <v>366</v>
      </c>
      <c r="E390">
        <v>397</v>
      </c>
      <c r="F390">
        <f>PMSPLINE!F$16</f>
        <v>0.44114151485900671</v>
      </c>
      <c r="G390">
        <f>PMSPLINE!F$17</f>
        <v>0.20180602049198348</v>
      </c>
      <c r="H390" s="5">
        <f>PMSPLINE!K$16</f>
        <v>3.4371123411601522E-4</v>
      </c>
      <c r="I390" s="5">
        <f>PMSPLINE!K$17</f>
        <v>4.0545171456361052E-4</v>
      </c>
      <c r="J390">
        <f t="shared" si="68"/>
        <v>0.32258064516129031</v>
      </c>
      <c r="K390">
        <f t="shared" si="69"/>
        <v>0.67741935483870963</v>
      </c>
      <c r="L390">
        <f t="shared" si="70"/>
        <v>341</v>
      </c>
      <c r="M390" s="6">
        <f t="shared" si="71"/>
        <v>0.2790110186748942</v>
      </c>
      <c r="N390" s="13">
        <f t="shared" si="66"/>
        <v>0.23929657540191829</v>
      </c>
      <c r="O390" s="6">
        <f t="shared" si="74"/>
        <v>689.59149542107332</v>
      </c>
      <c r="P390" s="6">
        <f t="shared" si="75"/>
        <v>689.77544425518317</v>
      </c>
      <c r="Q390" s="6">
        <f t="shared" si="72"/>
        <v>0.23929657540191829</v>
      </c>
      <c r="S390">
        <v>341</v>
      </c>
      <c r="T390" s="6">
        <f t="shared" si="65"/>
        <v>0.23929657540191829</v>
      </c>
    </row>
    <row r="391" spans="1:20">
      <c r="B391">
        <f t="shared" si="73"/>
        <v>388</v>
      </c>
      <c r="C391">
        <f t="shared" si="67"/>
        <v>31</v>
      </c>
      <c r="D391">
        <v>366</v>
      </c>
      <c r="E391">
        <v>397</v>
      </c>
      <c r="F391">
        <f>PMSPLINE!F$16</f>
        <v>0.44114151485900671</v>
      </c>
      <c r="G391">
        <f>PMSPLINE!F$17</f>
        <v>0.20180602049198348</v>
      </c>
      <c r="H391" s="5">
        <f>PMSPLINE!K$16</f>
        <v>3.4371123411601522E-4</v>
      </c>
      <c r="I391" s="5">
        <f>PMSPLINE!K$17</f>
        <v>4.0545171456361052E-4</v>
      </c>
      <c r="J391">
        <f t="shared" si="68"/>
        <v>0.29032258064516131</v>
      </c>
      <c r="K391">
        <f t="shared" si="69"/>
        <v>0.70967741935483875</v>
      </c>
      <c r="L391">
        <f t="shared" si="70"/>
        <v>342</v>
      </c>
      <c r="M391" s="6">
        <f t="shared" si="71"/>
        <v>0.27129051885660316</v>
      </c>
      <c r="N391" s="13">
        <f t="shared" si="66"/>
        <v>0.23377974860483236</v>
      </c>
      <c r="O391" s="6">
        <f t="shared" si="74"/>
        <v>689.86278593992995</v>
      </c>
      <c r="P391" s="6">
        <f t="shared" si="75"/>
        <v>690.00922400378806</v>
      </c>
      <c r="Q391" s="6">
        <f t="shared" si="72"/>
        <v>0.23377974860483236</v>
      </c>
      <c r="S391">
        <v>342</v>
      </c>
      <c r="T391" s="6">
        <f t="shared" si="65"/>
        <v>0.23377974860483236</v>
      </c>
    </row>
    <row r="392" spans="1:20">
      <c r="B392">
        <f t="shared" si="73"/>
        <v>389</v>
      </c>
      <c r="C392">
        <f t="shared" si="67"/>
        <v>31</v>
      </c>
      <c r="D392">
        <v>366</v>
      </c>
      <c r="E392">
        <v>397</v>
      </c>
      <c r="F392">
        <f>PMSPLINE!F$16</f>
        <v>0.44114151485900671</v>
      </c>
      <c r="G392">
        <f>PMSPLINE!F$17</f>
        <v>0.20180602049198348</v>
      </c>
      <c r="H392" s="5">
        <f>PMSPLINE!K$16</f>
        <v>3.4371123411601522E-4</v>
      </c>
      <c r="I392" s="5">
        <f>PMSPLINE!K$17</f>
        <v>4.0545171456361052E-4</v>
      </c>
      <c r="J392">
        <f t="shared" si="68"/>
        <v>0.25806451612903225</v>
      </c>
      <c r="K392">
        <f t="shared" si="69"/>
        <v>0.74193548387096775</v>
      </c>
      <c r="L392">
        <f t="shared" si="70"/>
        <v>343</v>
      </c>
      <c r="M392" s="6">
        <f t="shared" si="71"/>
        <v>0.26357001903831206</v>
      </c>
      <c r="N392" s="13">
        <f t="shared" si="66"/>
        <v>0.22865044886669617</v>
      </c>
      <c r="O392" s="6">
        <f t="shared" si="74"/>
        <v>690.12635595896825</v>
      </c>
      <c r="P392" s="6">
        <f t="shared" si="75"/>
        <v>690.23787445265475</v>
      </c>
      <c r="Q392" s="6">
        <f t="shared" si="72"/>
        <v>0.22865044886669617</v>
      </c>
      <c r="S392">
        <v>343</v>
      </c>
      <c r="T392" s="6">
        <f t="shared" si="65"/>
        <v>0.22865044886669617</v>
      </c>
    </row>
    <row r="393" spans="1:20">
      <c r="B393">
        <f t="shared" si="73"/>
        <v>390</v>
      </c>
      <c r="C393">
        <f t="shared" si="67"/>
        <v>31</v>
      </c>
      <c r="D393">
        <v>366</v>
      </c>
      <c r="E393">
        <v>397</v>
      </c>
      <c r="F393">
        <f>PMSPLINE!F$16</f>
        <v>0.44114151485900671</v>
      </c>
      <c r="G393">
        <f>PMSPLINE!F$17</f>
        <v>0.20180602049198348</v>
      </c>
      <c r="H393" s="5">
        <f>PMSPLINE!K$16</f>
        <v>3.4371123411601522E-4</v>
      </c>
      <c r="I393" s="5">
        <f>PMSPLINE!K$17</f>
        <v>4.0545171456361052E-4</v>
      </c>
      <c r="J393">
        <f t="shared" si="68"/>
        <v>0.22580645161290322</v>
      </c>
      <c r="K393">
        <f t="shared" si="69"/>
        <v>0.77419354838709675</v>
      </c>
      <c r="L393">
        <f t="shared" si="70"/>
        <v>344</v>
      </c>
      <c r="M393" s="6">
        <f t="shared" si="71"/>
        <v>0.25584951922002097</v>
      </c>
      <c r="N393" s="13">
        <f t="shared" si="66"/>
        <v>0.22391066781591129</v>
      </c>
      <c r="O393" s="6">
        <f t="shared" si="74"/>
        <v>690.38220547818821</v>
      </c>
      <c r="P393" s="6">
        <f t="shared" si="75"/>
        <v>690.46178512047061</v>
      </c>
      <c r="Q393" s="6">
        <f t="shared" si="72"/>
        <v>0.22391066781591129</v>
      </c>
      <c r="S393">
        <v>344</v>
      </c>
      <c r="T393" s="6">
        <f t="shared" si="65"/>
        <v>0.22391066781591129</v>
      </c>
    </row>
    <row r="394" spans="1:20">
      <c r="B394">
        <f t="shared" si="73"/>
        <v>391</v>
      </c>
      <c r="C394">
        <f t="shared" si="67"/>
        <v>31</v>
      </c>
      <c r="D394">
        <v>366</v>
      </c>
      <c r="E394">
        <v>397</v>
      </c>
      <c r="F394">
        <f>PMSPLINE!F$16</f>
        <v>0.44114151485900671</v>
      </c>
      <c r="G394">
        <f>PMSPLINE!F$17</f>
        <v>0.20180602049198348</v>
      </c>
      <c r="H394" s="5">
        <f>PMSPLINE!K$16</f>
        <v>3.4371123411601522E-4</v>
      </c>
      <c r="I394" s="5">
        <f>PMSPLINE!K$17</f>
        <v>4.0545171456361052E-4</v>
      </c>
      <c r="J394">
        <f t="shared" si="68"/>
        <v>0.19354838709677419</v>
      </c>
      <c r="K394">
        <f t="shared" si="69"/>
        <v>0.80645161290322576</v>
      </c>
      <c r="L394">
        <f t="shared" si="70"/>
        <v>345</v>
      </c>
      <c r="M394" s="6">
        <f t="shared" si="71"/>
        <v>0.24812901940172991</v>
      </c>
      <c r="N394" s="13">
        <f t="shared" si="66"/>
        <v>0.2195623970808793</v>
      </c>
      <c r="O394" s="6">
        <f t="shared" si="74"/>
        <v>690.63033449758996</v>
      </c>
      <c r="P394" s="6">
        <f t="shared" si="75"/>
        <v>690.68134751755144</v>
      </c>
      <c r="Q394" s="6">
        <f t="shared" si="72"/>
        <v>0.2195623970808793</v>
      </c>
      <c r="S394">
        <v>345</v>
      </c>
      <c r="T394" s="6">
        <f t="shared" si="65"/>
        <v>0.2195623970808793</v>
      </c>
    </row>
    <row r="395" spans="1:20">
      <c r="B395">
        <f t="shared" si="73"/>
        <v>392</v>
      </c>
      <c r="C395">
        <f t="shared" si="67"/>
        <v>31</v>
      </c>
      <c r="D395">
        <v>366</v>
      </c>
      <c r="E395">
        <v>397</v>
      </c>
      <c r="F395">
        <f>PMSPLINE!F$16</f>
        <v>0.44114151485900671</v>
      </c>
      <c r="G395">
        <f>PMSPLINE!F$17</f>
        <v>0.20180602049198348</v>
      </c>
      <c r="H395" s="5">
        <f>PMSPLINE!K$16</f>
        <v>3.4371123411601522E-4</v>
      </c>
      <c r="I395" s="5">
        <f>PMSPLINE!K$17</f>
        <v>4.0545171456361052E-4</v>
      </c>
      <c r="J395">
        <f t="shared" si="68"/>
        <v>0.16129032258064516</v>
      </c>
      <c r="K395">
        <f t="shared" si="69"/>
        <v>0.83870967741935487</v>
      </c>
      <c r="L395">
        <f t="shared" si="70"/>
        <v>346</v>
      </c>
      <c r="M395" s="6">
        <f t="shared" si="71"/>
        <v>0.24040851958343884</v>
      </c>
      <c r="N395" s="13">
        <f t="shared" si="66"/>
        <v>0.21560762829000171</v>
      </c>
      <c r="O395" s="6">
        <f t="shared" si="74"/>
        <v>690.87074301717337</v>
      </c>
      <c r="P395" s="6">
        <f t="shared" si="75"/>
        <v>690.8969551458415</v>
      </c>
      <c r="Q395" s="6">
        <f t="shared" si="72"/>
        <v>0.21560762829000171</v>
      </c>
      <c r="S395">
        <v>346</v>
      </c>
      <c r="T395" s="6">
        <f t="shared" si="65"/>
        <v>0.21560762829000171</v>
      </c>
    </row>
    <row r="396" spans="1:20">
      <c r="B396">
        <f t="shared" si="73"/>
        <v>393</v>
      </c>
      <c r="C396">
        <f t="shared" si="67"/>
        <v>31</v>
      </c>
      <c r="D396">
        <v>366</v>
      </c>
      <c r="E396">
        <v>397</v>
      </c>
      <c r="F396">
        <f>PMSPLINE!F$16</f>
        <v>0.44114151485900671</v>
      </c>
      <c r="G396">
        <f>PMSPLINE!F$17</f>
        <v>0.20180602049198348</v>
      </c>
      <c r="H396" s="5">
        <f>PMSPLINE!K$16</f>
        <v>3.4371123411601522E-4</v>
      </c>
      <c r="I396" s="5">
        <f>PMSPLINE!K$17</f>
        <v>4.0545171456361052E-4</v>
      </c>
      <c r="J396">
        <f t="shared" si="68"/>
        <v>0.12903225806451613</v>
      </c>
      <c r="K396">
        <f t="shared" si="69"/>
        <v>0.87096774193548387</v>
      </c>
      <c r="L396">
        <f t="shared" si="70"/>
        <v>347</v>
      </c>
      <c r="M396" s="6">
        <f t="shared" si="71"/>
        <v>0.23268801976514777</v>
      </c>
      <c r="N396" s="13">
        <f t="shared" si="66"/>
        <v>0.21204835307168007</v>
      </c>
      <c r="O396" s="6">
        <f t="shared" si="74"/>
        <v>691.10343103693856</v>
      </c>
      <c r="P396" s="6">
        <f t="shared" si="75"/>
        <v>691.10900349891324</v>
      </c>
      <c r="Q396" s="6">
        <f t="shared" si="72"/>
        <v>0.21204835307168007</v>
      </c>
      <c r="S396">
        <v>347</v>
      </c>
      <c r="T396" s="6">
        <f t="shared" si="65"/>
        <v>0.21204835307168007</v>
      </c>
    </row>
    <row r="397" spans="1:20">
      <c r="B397">
        <f t="shared" si="73"/>
        <v>394</v>
      </c>
      <c r="C397">
        <f t="shared" si="67"/>
        <v>31</v>
      </c>
      <c r="D397">
        <v>366</v>
      </c>
      <c r="E397">
        <v>397</v>
      </c>
      <c r="F397">
        <f>PMSPLINE!F$16</f>
        <v>0.44114151485900671</v>
      </c>
      <c r="G397">
        <f>PMSPLINE!F$17</f>
        <v>0.20180602049198348</v>
      </c>
      <c r="H397" s="5">
        <f>PMSPLINE!K$16</f>
        <v>3.4371123411601522E-4</v>
      </c>
      <c r="I397" s="5">
        <f>PMSPLINE!K$17</f>
        <v>4.0545171456361052E-4</v>
      </c>
      <c r="J397">
        <f t="shared" si="68"/>
        <v>9.6774193548387094E-2</v>
      </c>
      <c r="K397">
        <f t="shared" si="69"/>
        <v>0.90322580645161288</v>
      </c>
      <c r="L397">
        <f t="shared" si="70"/>
        <v>348</v>
      </c>
      <c r="M397" s="6">
        <f t="shared" si="71"/>
        <v>0.22496751994685671</v>
      </c>
      <c r="N397" s="13">
        <f t="shared" si="66"/>
        <v>0.20888656305431588</v>
      </c>
      <c r="O397" s="6">
        <f t="shared" si="74"/>
        <v>691.32839855688542</v>
      </c>
      <c r="P397" s="6">
        <f t="shared" si="75"/>
        <v>691.31789006196755</v>
      </c>
      <c r="Q397" s="6">
        <f t="shared" si="72"/>
        <v>0.20888656305431588</v>
      </c>
      <c r="S397">
        <v>348</v>
      </c>
      <c r="T397" s="6">
        <f t="shared" si="65"/>
        <v>0.20888656305431588</v>
      </c>
    </row>
    <row r="398" spans="1:20">
      <c r="B398">
        <f t="shared" si="73"/>
        <v>395</v>
      </c>
      <c r="C398">
        <f t="shared" si="67"/>
        <v>31</v>
      </c>
      <c r="D398">
        <v>366</v>
      </c>
      <c r="E398">
        <v>397</v>
      </c>
      <c r="F398">
        <f>PMSPLINE!F$16</f>
        <v>0.44114151485900671</v>
      </c>
      <c r="G398">
        <f>PMSPLINE!F$17</f>
        <v>0.20180602049198348</v>
      </c>
      <c r="H398" s="5">
        <f>PMSPLINE!K$16</f>
        <v>3.4371123411601522E-4</v>
      </c>
      <c r="I398" s="5">
        <f>PMSPLINE!K$17</f>
        <v>4.0545171456361052E-4</v>
      </c>
      <c r="J398">
        <f t="shared" si="68"/>
        <v>6.4516129032258063E-2</v>
      </c>
      <c r="K398">
        <f t="shared" si="69"/>
        <v>0.93548387096774188</v>
      </c>
      <c r="L398">
        <f t="shared" si="70"/>
        <v>349</v>
      </c>
      <c r="M398" s="6">
        <f t="shared" si="71"/>
        <v>0.21724702012856562</v>
      </c>
      <c r="N398" s="13">
        <f t="shared" si="66"/>
        <v>0.20612424986631067</v>
      </c>
      <c r="O398" s="6">
        <f t="shared" si="74"/>
        <v>691.54564557701394</v>
      </c>
      <c r="P398" s="6">
        <f t="shared" si="75"/>
        <v>691.52401431183387</v>
      </c>
      <c r="Q398" s="6">
        <f t="shared" si="72"/>
        <v>0.20612424986631067</v>
      </c>
      <c r="S398">
        <v>349</v>
      </c>
      <c r="T398" s="6">
        <f t="shared" si="65"/>
        <v>0.20612424986631067</v>
      </c>
    </row>
    <row r="399" spans="1:20">
      <c r="B399">
        <f t="shared" si="73"/>
        <v>396</v>
      </c>
      <c r="C399">
        <f t="shared" si="67"/>
        <v>31</v>
      </c>
      <c r="D399">
        <v>366</v>
      </c>
      <c r="E399">
        <v>397</v>
      </c>
      <c r="F399">
        <f>PMSPLINE!F$16</f>
        <v>0.44114151485900671</v>
      </c>
      <c r="G399">
        <f>PMSPLINE!F$17</f>
        <v>0.20180602049198348</v>
      </c>
      <c r="H399" s="5">
        <f>PMSPLINE!K$16</f>
        <v>3.4371123411601522E-4</v>
      </c>
      <c r="I399" s="5">
        <f>PMSPLINE!K$17</f>
        <v>4.0545171456361052E-4</v>
      </c>
      <c r="J399">
        <f t="shared" si="68"/>
        <v>3.2258064516129031E-2</v>
      </c>
      <c r="K399">
        <f t="shared" si="69"/>
        <v>0.967741935483871</v>
      </c>
      <c r="L399">
        <f t="shared" si="70"/>
        <v>350</v>
      </c>
      <c r="M399" s="6">
        <f t="shared" si="71"/>
        <v>0.20952652031027458</v>
      </c>
      <c r="N399" s="13">
        <f t="shared" si="66"/>
        <v>0.20376340513606608</v>
      </c>
      <c r="O399" s="6">
        <f t="shared" si="74"/>
        <v>691.75517209732425</v>
      </c>
      <c r="P399" s="6">
        <f t="shared" si="75"/>
        <v>691.72777771696997</v>
      </c>
      <c r="Q399" s="6">
        <f t="shared" si="72"/>
        <v>0.20376340513606608</v>
      </c>
      <c r="S399">
        <v>350</v>
      </c>
      <c r="T399" s="6">
        <f t="shared" si="65"/>
        <v>0.20376340513606608</v>
      </c>
    </row>
    <row r="400" spans="1:20">
      <c r="A400">
        <v>397</v>
      </c>
      <c r="B400">
        <f t="shared" si="73"/>
        <v>397</v>
      </c>
      <c r="C400">
        <f t="shared" si="67"/>
        <v>31</v>
      </c>
      <c r="D400">
        <v>366</v>
      </c>
      <c r="E400">
        <v>397</v>
      </c>
      <c r="F400">
        <f>PMSPLINE!F$16</f>
        <v>0.44114151485900671</v>
      </c>
      <c r="G400">
        <f>PMSPLINE!F$17</f>
        <v>0.20180602049198348</v>
      </c>
      <c r="H400" s="5">
        <f>PMSPLINE!K$16</f>
        <v>3.4371123411601522E-4</v>
      </c>
      <c r="I400" s="5">
        <f>PMSPLINE!K$17</f>
        <v>4.0545171456361052E-4</v>
      </c>
      <c r="J400">
        <f t="shared" si="68"/>
        <v>0</v>
      </c>
      <c r="K400">
        <f t="shared" si="69"/>
        <v>1</v>
      </c>
      <c r="L400">
        <f t="shared" si="70"/>
        <v>351</v>
      </c>
      <c r="M400" s="6">
        <f t="shared" si="71"/>
        <v>0.20180602049198348</v>
      </c>
      <c r="N400" s="13">
        <f t="shared" si="66"/>
        <v>0.20180602049198348</v>
      </c>
      <c r="O400" s="6">
        <f t="shared" si="74"/>
        <v>691.95697811781622</v>
      </c>
      <c r="P400" s="6">
        <f t="shared" si="75"/>
        <v>691.92958373746194</v>
      </c>
      <c r="Q400" s="6">
        <f t="shared" si="72"/>
        <v>0.20180602049198348</v>
      </c>
      <c r="S400">
        <v>351</v>
      </c>
      <c r="T400" s="6">
        <f t="shared" si="65"/>
        <v>0.20180602049198348</v>
      </c>
    </row>
    <row r="401" spans="1:20">
      <c r="B401">
        <f t="shared" si="73"/>
        <v>398</v>
      </c>
      <c r="C401">
        <f t="shared" si="67"/>
        <v>29</v>
      </c>
      <c r="D401">
        <v>397</v>
      </c>
      <c r="E401">
        <v>426</v>
      </c>
      <c r="F401">
        <f>PMSPLINE!F$17</f>
        <v>0.20180602049198348</v>
      </c>
      <c r="G401">
        <f>PMSPLINE!F$18</f>
        <v>0.28999999999999998</v>
      </c>
      <c r="H401" s="5">
        <f>PMSPLINE!K$17</f>
        <v>4.0545171456361052E-4</v>
      </c>
      <c r="I401" s="5">
        <f>PMSPLINE!K$18</f>
        <v>1.8140603957084818E-4</v>
      </c>
      <c r="J401">
        <f t="shared" si="68"/>
        <v>0.96551724137931039</v>
      </c>
      <c r="K401">
        <f t="shared" si="69"/>
        <v>3.4482758620689655E-2</v>
      </c>
      <c r="L401">
        <f t="shared" si="70"/>
        <v>352</v>
      </c>
      <c r="M401" s="6">
        <f t="shared" si="71"/>
        <v>0.20484719219915648</v>
      </c>
      <c r="N401" s="13">
        <f t="shared" si="66"/>
        <v>0.20025246800557583</v>
      </c>
      <c r="O401" s="6">
        <f t="shared" si="74"/>
        <v>692.16182531001539</v>
      </c>
      <c r="P401" s="6">
        <f t="shared" si="75"/>
        <v>692.12983620546754</v>
      </c>
      <c r="Q401" s="6">
        <f t="shared" si="72"/>
        <v>0.20025246800557583</v>
      </c>
      <c r="S401">
        <v>352</v>
      </c>
      <c r="T401" s="6">
        <f t="shared" si="65"/>
        <v>0.20025246800557583</v>
      </c>
    </row>
    <row r="402" spans="1:20">
      <c r="B402">
        <f t="shared" si="73"/>
        <v>399</v>
      </c>
      <c r="C402">
        <f t="shared" si="67"/>
        <v>29</v>
      </c>
      <c r="D402">
        <v>397</v>
      </c>
      <c r="E402">
        <v>426</v>
      </c>
      <c r="F402">
        <f>PMSPLINE!F$17</f>
        <v>0.20180602049198348</v>
      </c>
      <c r="G402">
        <f>PMSPLINE!F$18</f>
        <v>0.28999999999999998</v>
      </c>
      <c r="H402" s="5">
        <f>PMSPLINE!K$17</f>
        <v>4.0545171456361052E-4</v>
      </c>
      <c r="I402" s="5">
        <f>PMSPLINE!K$18</f>
        <v>1.8140603957084818E-4</v>
      </c>
      <c r="J402">
        <f t="shared" si="68"/>
        <v>0.93103448275862066</v>
      </c>
      <c r="K402">
        <f t="shared" si="69"/>
        <v>6.8965517241379309E-2</v>
      </c>
      <c r="L402">
        <f t="shared" si="70"/>
        <v>353</v>
      </c>
      <c r="M402" s="6">
        <f t="shared" si="71"/>
        <v>0.20788836390632945</v>
      </c>
      <c r="N402" s="13">
        <f t="shared" si="66"/>
        <v>0.19909664152080095</v>
      </c>
      <c r="O402" s="6">
        <f t="shared" si="74"/>
        <v>692.36971367392175</v>
      </c>
      <c r="P402" s="6">
        <f t="shared" si="75"/>
        <v>692.32893284698832</v>
      </c>
      <c r="Q402" s="6">
        <f t="shared" si="72"/>
        <v>0.19909664152080095</v>
      </c>
      <c r="S402">
        <v>353</v>
      </c>
      <c r="T402" s="6">
        <f t="shared" si="65"/>
        <v>0.19909664152080095</v>
      </c>
    </row>
    <row r="403" spans="1:20">
      <c r="B403">
        <f t="shared" si="73"/>
        <v>400</v>
      </c>
      <c r="C403">
        <f t="shared" si="67"/>
        <v>29</v>
      </c>
      <c r="D403">
        <v>397</v>
      </c>
      <c r="E403">
        <v>426</v>
      </c>
      <c r="F403">
        <f>PMSPLINE!F$17</f>
        <v>0.20180602049198348</v>
      </c>
      <c r="G403">
        <f>PMSPLINE!F$18</f>
        <v>0.28999999999999998</v>
      </c>
      <c r="H403" s="5">
        <f>PMSPLINE!K$17</f>
        <v>4.0545171456361052E-4</v>
      </c>
      <c r="I403" s="5">
        <f>PMSPLINE!K$18</f>
        <v>1.8140603957084818E-4</v>
      </c>
      <c r="J403">
        <f t="shared" si="68"/>
        <v>0.89655172413793105</v>
      </c>
      <c r="K403">
        <f t="shared" si="69"/>
        <v>0.10344827586206896</v>
      </c>
      <c r="L403">
        <f t="shared" si="70"/>
        <v>354</v>
      </c>
      <c r="M403" s="6">
        <f t="shared" si="71"/>
        <v>0.21092953561350244</v>
      </c>
      <c r="N403" s="13">
        <f t="shared" si="66"/>
        <v>0.19833081532472815</v>
      </c>
      <c r="O403" s="6">
        <f t="shared" si="74"/>
        <v>692.58064320953531</v>
      </c>
      <c r="P403" s="6">
        <f t="shared" si="75"/>
        <v>692.52726366231309</v>
      </c>
      <c r="Q403" s="6">
        <f t="shared" si="72"/>
        <v>0.19833081532472815</v>
      </c>
      <c r="S403">
        <v>354</v>
      </c>
      <c r="T403" s="6">
        <f t="shared" si="65"/>
        <v>0.19833081532472815</v>
      </c>
    </row>
    <row r="404" spans="1:20">
      <c r="B404">
        <f t="shared" si="73"/>
        <v>401</v>
      </c>
      <c r="C404">
        <f t="shared" si="67"/>
        <v>29</v>
      </c>
      <c r="D404">
        <v>397</v>
      </c>
      <c r="E404">
        <v>426</v>
      </c>
      <c r="F404">
        <f>PMSPLINE!F$17</f>
        <v>0.20180602049198348</v>
      </c>
      <c r="G404">
        <f>PMSPLINE!F$18</f>
        <v>0.28999999999999998</v>
      </c>
      <c r="H404" s="5">
        <f>PMSPLINE!K$17</f>
        <v>4.0545171456361052E-4</v>
      </c>
      <c r="I404" s="5">
        <f>PMSPLINE!K$18</f>
        <v>1.8140603957084818E-4</v>
      </c>
      <c r="J404">
        <f t="shared" si="68"/>
        <v>0.86206896551724133</v>
      </c>
      <c r="K404">
        <f t="shared" si="69"/>
        <v>0.13793103448275862</v>
      </c>
      <c r="L404">
        <f t="shared" si="70"/>
        <v>355</v>
      </c>
      <c r="M404" s="6">
        <f t="shared" si="71"/>
        <v>0.21397070732067541</v>
      </c>
      <c r="N404" s="13">
        <f t="shared" si="66"/>
        <v>0.19794726370442658</v>
      </c>
      <c r="O404" s="6">
        <f t="shared" si="74"/>
        <v>692.79461391685595</v>
      </c>
      <c r="P404" s="6">
        <f t="shared" si="75"/>
        <v>692.72521092601755</v>
      </c>
      <c r="Q404" s="6">
        <f t="shared" si="72"/>
        <v>0.19794726370442658</v>
      </c>
      <c r="S404">
        <v>355</v>
      </c>
      <c r="T404" s="6">
        <f t="shared" si="65"/>
        <v>0.19794726370442658</v>
      </c>
    </row>
    <row r="405" spans="1:20">
      <c r="B405">
        <f t="shared" si="73"/>
        <v>402</v>
      </c>
      <c r="C405">
        <f t="shared" si="67"/>
        <v>29</v>
      </c>
      <c r="D405">
        <v>397</v>
      </c>
      <c r="E405">
        <v>426</v>
      </c>
      <c r="F405">
        <f>PMSPLINE!F$17</f>
        <v>0.20180602049198348</v>
      </c>
      <c r="G405">
        <f>PMSPLINE!F$18</f>
        <v>0.28999999999999998</v>
      </c>
      <c r="H405" s="5">
        <f>PMSPLINE!K$17</f>
        <v>4.0545171456361052E-4</v>
      </c>
      <c r="I405" s="5">
        <f>PMSPLINE!K$18</f>
        <v>1.8140603957084818E-4</v>
      </c>
      <c r="J405">
        <f t="shared" si="68"/>
        <v>0.82758620689655171</v>
      </c>
      <c r="K405">
        <f t="shared" si="69"/>
        <v>0.17241379310344829</v>
      </c>
      <c r="L405">
        <f t="shared" si="70"/>
        <v>356</v>
      </c>
      <c r="M405" s="6">
        <f t="shared" si="71"/>
        <v>0.21701187902784841</v>
      </c>
      <c r="N405" s="13">
        <f t="shared" si="66"/>
        <v>0.19793826094696551</v>
      </c>
      <c r="O405" s="6">
        <f t="shared" si="74"/>
        <v>693.01162579588379</v>
      </c>
      <c r="P405" s="6">
        <f t="shared" si="75"/>
        <v>692.92314918696457</v>
      </c>
      <c r="Q405" s="6">
        <f t="shared" si="72"/>
        <v>0.19793826094696551</v>
      </c>
      <c r="S405">
        <v>356</v>
      </c>
      <c r="T405" s="6">
        <f t="shared" si="65"/>
        <v>0.19793826094696551</v>
      </c>
    </row>
    <row r="406" spans="1:20">
      <c r="B406">
        <f t="shared" si="73"/>
        <v>403</v>
      </c>
      <c r="C406">
        <f t="shared" si="67"/>
        <v>29</v>
      </c>
      <c r="D406">
        <v>397</v>
      </c>
      <c r="E406">
        <v>426</v>
      </c>
      <c r="F406">
        <f>PMSPLINE!F$17</f>
        <v>0.20180602049198348</v>
      </c>
      <c r="G406">
        <f>PMSPLINE!F$18</f>
        <v>0.28999999999999998</v>
      </c>
      <c r="H406" s="5">
        <f>PMSPLINE!K$17</f>
        <v>4.0545171456361052E-4</v>
      </c>
      <c r="I406" s="5">
        <f>PMSPLINE!K$18</f>
        <v>1.8140603957084818E-4</v>
      </c>
      <c r="J406">
        <f t="shared" si="68"/>
        <v>0.7931034482758621</v>
      </c>
      <c r="K406">
        <f t="shared" si="69"/>
        <v>0.20689655172413793</v>
      </c>
      <c r="L406">
        <f t="shared" si="70"/>
        <v>357</v>
      </c>
      <c r="M406" s="6">
        <f t="shared" si="71"/>
        <v>0.22005305073502138</v>
      </c>
      <c r="N406" s="13">
        <f t="shared" si="66"/>
        <v>0.19829608133941409</v>
      </c>
      <c r="O406" s="6">
        <f t="shared" si="74"/>
        <v>693.23167884661882</v>
      </c>
      <c r="P406" s="6">
        <f t="shared" si="75"/>
        <v>693.121445268304</v>
      </c>
      <c r="Q406" s="6">
        <f t="shared" si="72"/>
        <v>0.19829608133941409</v>
      </c>
      <c r="S406">
        <v>357</v>
      </c>
      <c r="T406" s="6">
        <f t="shared" si="65"/>
        <v>0.19829608133941409</v>
      </c>
    </row>
    <row r="407" spans="1:20">
      <c r="B407">
        <f t="shared" si="73"/>
        <v>404</v>
      </c>
      <c r="C407">
        <f t="shared" si="67"/>
        <v>29</v>
      </c>
      <c r="D407">
        <v>397</v>
      </c>
      <c r="E407">
        <v>426</v>
      </c>
      <c r="F407">
        <f>PMSPLINE!F$17</f>
        <v>0.20180602049198348</v>
      </c>
      <c r="G407">
        <f>PMSPLINE!F$18</f>
        <v>0.28999999999999998</v>
      </c>
      <c r="H407" s="5">
        <f>PMSPLINE!K$17</f>
        <v>4.0545171456361052E-4</v>
      </c>
      <c r="I407" s="5">
        <f>PMSPLINE!K$18</f>
        <v>1.8140603957084818E-4</v>
      </c>
      <c r="J407">
        <f t="shared" si="68"/>
        <v>0.75862068965517238</v>
      </c>
      <c r="K407">
        <f t="shared" si="69"/>
        <v>0.2413793103448276</v>
      </c>
      <c r="L407">
        <f t="shared" si="70"/>
        <v>358</v>
      </c>
      <c r="M407" s="6">
        <f t="shared" si="71"/>
        <v>0.22309422244219435</v>
      </c>
      <c r="N407" s="13">
        <f t="shared" si="66"/>
        <v>0.19901299916884158</v>
      </c>
      <c r="O407" s="6">
        <f t="shared" si="74"/>
        <v>693.45477306906105</v>
      </c>
      <c r="P407" s="6">
        <f t="shared" si="75"/>
        <v>693.32045826747287</v>
      </c>
      <c r="Q407" s="6">
        <f t="shared" si="72"/>
        <v>0.19901299916884158</v>
      </c>
      <c r="S407">
        <v>358</v>
      </c>
      <c r="T407" s="6">
        <f t="shared" si="65"/>
        <v>0.19901299916884158</v>
      </c>
    </row>
    <row r="408" spans="1:20">
      <c r="B408">
        <f t="shared" si="73"/>
        <v>405</v>
      </c>
      <c r="C408">
        <f t="shared" si="67"/>
        <v>29</v>
      </c>
      <c r="D408">
        <v>397</v>
      </c>
      <c r="E408">
        <v>426</v>
      </c>
      <c r="F408">
        <f>PMSPLINE!F$17</f>
        <v>0.20180602049198348</v>
      </c>
      <c r="G408">
        <f>PMSPLINE!F$18</f>
        <v>0.28999999999999998</v>
      </c>
      <c r="H408" s="5">
        <f>PMSPLINE!K$17</f>
        <v>4.0545171456361052E-4</v>
      </c>
      <c r="I408" s="5">
        <f>PMSPLINE!K$18</f>
        <v>1.8140603957084818E-4</v>
      </c>
      <c r="J408">
        <f t="shared" si="68"/>
        <v>0.72413793103448276</v>
      </c>
      <c r="K408">
        <f t="shared" si="69"/>
        <v>0.27586206896551724</v>
      </c>
      <c r="L408">
        <f t="shared" si="70"/>
        <v>359</v>
      </c>
      <c r="M408" s="6">
        <f t="shared" si="71"/>
        <v>0.22613539414936734</v>
      </c>
      <c r="N408" s="13">
        <f t="shared" si="66"/>
        <v>0.20008128872231723</v>
      </c>
      <c r="O408" s="6">
        <f t="shared" si="74"/>
        <v>693.68090846321047</v>
      </c>
      <c r="P408" s="6">
        <f t="shared" si="75"/>
        <v>693.52053955619522</v>
      </c>
      <c r="Q408" s="6">
        <f t="shared" si="72"/>
        <v>0.20008128872231723</v>
      </c>
      <c r="S408">
        <v>359</v>
      </c>
      <c r="T408" s="6">
        <f t="shared" si="65"/>
        <v>0.20008128872231723</v>
      </c>
    </row>
    <row r="409" spans="1:20">
      <c r="B409">
        <f t="shared" si="73"/>
        <v>406</v>
      </c>
      <c r="C409">
        <f t="shared" si="67"/>
        <v>29</v>
      </c>
      <c r="D409">
        <v>397</v>
      </c>
      <c r="E409">
        <v>426</v>
      </c>
      <c r="F409">
        <f>PMSPLINE!F$17</f>
        <v>0.20180602049198348</v>
      </c>
      <c r="G409">
        <f>PMSPLINE!F$18</f>
        <v>0.28999999999999998</v>
      </c>
      <c r="H409" s="5">
        <f>PMSPLINE!K$17</f>
        <v>4.0545171456361052E-4</v>
      </c>
      <c r="I409" s="5">
        <f>PMSPLINE!K$18</f>
        <v>1.8140603957084818E-4</v>
      </c>
      <c r="J409">
        <f t="shared" si="68"/>
        <v>0.68965517241379315</v>
      </c>
      <c r="K409">
        <f t="shared" si="69"/>
        <v>0.31034482758620691</v>
      </c>
      <c r="L409">
        <f t="shared" si="70"/>
        <v>360</v>
      </c>
      <c r="M409" s="6">
        <f t="shared" si="71"/>
        <v>0.22917656585654034</v>
      </c>
      <c r="N409" s="14">
        <f>N408+R$414</f>
        <v>0.20438088507200602</v>
      </c>
      <c r="O409" s="6">
        <f t="shared" si="74"/>
        <v>693.91008502906698</v>
      </c>
      <c r="P409" s="6">
        <f t="shared" si="75"/>
        <v>693.72492044126727</v>
      </c>
      <c r="Q409" s="6">
        <f t="shared" si="72"/>
        <v>0.20149322428691019</v>
      </c>
      <c r="S409">
        <v>360</v>
      </c>
      <c r="T409" s="6">
        <f t="shared" si="65"/>
        <v>0.20438088507200602</v>
      </c>
    </row>
    <row r="410" spans="1:20">
      <c r="B410">
        <f t="shared" si="73"/>
        <v>407</v>
      </c>
      <c r="C410">
        <f t="shared" si="67"/>
        <v>29</v>
      </c>
      <c r="D410">
        <v>397</v>
      </c>
      <c r="E410">
        <v>426</v>
      </c>
      <c r="F410">
        <f>PMSPLINE!F$17</f>
        <v>0.20180602049198348</v>
      </c>
      <c r="G410">
        <f>PMSPLINE!F$18</f>
        <v>0.28999999999999998</v>
      </c>
      <c r="H410" s="5">
        <f>PMSPLINE!K$17</f>
        <v>4.0545171456361052E-4</v>
      </c>
      <c r="I410" s="5">
        <f>PMSPLINE!K$18</f>
        <v>1.8140603957084818E-4</v>
      </c>
      <c r="J410">
        <f t="shared" si="68"/>
        <v>0.65517241379310343</v>
      </c>
      <c r="K410">
        <f t="shared" si="69"/>
        <v>0.34482758620689657</v>
      </c>
      <c r="L410">
        <f t="shared" si="70"/>
        <v>361</v>
      </c>
      <c r="M410" s="6">
        <f t="shared" si="71"/>
        <v>0.23221773756371331</v>
      </c>
      <c r="N410" s="14">
        <f>N409+R$414</f>
        <v>0.20868048142169482</v>
      </c>
      <c r="O410" s="6">
        <f t="shared" si="74"/>
        <v>694.14230276663068</v>
      </c>
      <c r="P410" s="6">
        <f t="shared" si="75"/>
        <v>693.93360092268892</v>
      </c>
      <c r="Q410" s="6">
        <f t="shared" si="72"/>
        <v>0.20324108014968967</v>
      </c>
      <c r="S410">
        <v>361</v>
      </c>
      <c r="T410" s="6">
        <f t="shared" si="65"/>
        <v>0.20868048142169482</v>
      </c>
    </row>
    <row r="411" spans="1:20">
      <c r="B411">
        <f t="shared" si="73"/>
        <v>408</v>
      </c>
      <c r="C411">
        <f t="shared" si="67"/>
        <v>29</v>
      </c>
      <c r="D411">
        <v>397</v>
      </c>
      <c r="E411">
        <v>426</v>
      </c>
      <c r="F411">
        <f>PMSPLINE!F$17</f>
        <v>0.20180602049198348</v>
      </c>
      <c r="G411">
        <f>PMSPLINE!F$18</f>
        <v>0.28999999999999998</v>
      </c>
      <c r="H411" s="5">
        <f>PMSPLINE!K$17</f>
        <v>4.0545171456361052E-4</v>
      </c>
      <c r="I411" s="5">
        <f>PMSPLINE!K$18</f>
        <v>1.8140603957084818E-4</v>
      </c>
      <c r="J411">
        <f t="shared" si="68"/>
        <v>0.62068965517241381</v>
      </c>
      <c r="K411">
        <f t="shared" si="69"/>
        <v>0.37931034482758619</v>
      </c>
      <c r="L411">
        <f t="shared" si="70"/>
        <v>362</v>
      </c>
      <c r="M411" s="6">
        <f t="shared" si="71"/>
        <v>0.2352589092708863</v>
      </c>
      <c r="N411" s="14">
        <f>N410+R$414</f>
        <v>0.21298007777138361</v>
      </c>
      <c r="O411" s="6">
        <f t="shared" si="74"/>
        <v>694.37756167590157</v>
      </c>
      <c r="P411" s="6">
        <f t="shared" si="75"/>
        <v>694.14658100046029</v>
      </c>
      <c r="Q411" s="6">
        <f t="shared" si="72"/>
        <v>0.20531713059772494</v>
      </c>
      <c r="S411">
        <v>362</v>
      </c>
      <c r="T411" s="6">
        <f t="shared" si="65"/>
        <v>0.21298007777138361</v>
      </c>
    </row>
    <row r="412" spans="1:20">
      <c r="B412">
        <f t="shared" si="73"/>
        <v>409</v>
      </c>
      <c r="C412">
        <f t="shared" si="67"/>
        <v>29</v>
      </c>
      <c r="D412">
        <v>397</v>
      </c>
      <c r="E412">
        <v>426</v>
      </c>
      <c r="F412">
        <f>PMSPLINE!F$17</f>
        <v>0.20180602049198348</v>
      </c>
      <c r="G412">
        <f>PMSPLINE!F$18</f>
        <v>0.28999999999999998</v>
      </c>
      <c r="H412" s="5">
        <f>PMSPLINE!K$17</f>
        <v>4.0545171456361052E-4</v>
      </c>
      <c r="I412" s="5">
        <f>PMSPLINE!K$18</f>
        <v>1.8140603957084818E-4</v>
      </c>
      <c r="J412">
        <f t="shared" si="68"/>
        <v>0.58620689655172409</v>
      </c>
      <c r="K412">
        <f t="shared" si="69"/>
        <v>0.41379310344827586</v>
      </c>
      <c r="L412">
        <f t="shared" si="70"/>
        <v>363</v>
      </c>
      <c r="M412" s="6">
        <f t="shared" si="71"/>
        <v>0.23830008097805927</v>
      </c>
      <c r="N412" s="14">
        <f>N411+R$414</f>
        <v>0.21727967412107241</v>
      </c>
      <c r="O412" s="6">
        <f t="shared" si="74"/>
        <v>694.61586175687967</v>
      </c>
      <c r="P412" s="6">
        <f t="shared" si="75"/>
        <v>694.36386067458136</v>
      </c>
      <c r="Q412" s="6">
        <f t="shared" si="72"/>
        <v>0.20771364991808516</v>
      </c>
      <c r="S412">
        <v>363</v>
      </c>
      <c r="T412" s="6">
        <f t="shared" si="65"/>
        <v>0.21727967412107241</v>
      </c>
    </row>
    <row r="413" spans="1:20">
      <c r="B413">
        <f t="shared" si="73"/>
        <v>410</v>
      </c>
      <c r="C413">
        <f t="shared" si="67"/>
        <v>29</v>
      </c>
      <c r="D413">
        <v>397</v>
      </c>
      <c r="E413">
        <v>426</v>
      </c>
      <c r="F413">
        <f>PMSPLINE!F$17</f>
        <v>0.20180602049198348</v>
      </c>
      <c r="G413">
        <f>PMSPLINE!F$18</f>
        <v>0.28999999999999998</v>
      </c>
      <c r="H413" s="5">
        <f>PMSPLINE!K$17</f>
        <v>4.0545171456361052E-4</v>
      </c>
      <c r="I413" s="5">
        <f>PMSPLINE!K$18</f>
        <v>1.8140603957084818E-4</v>
      </c>
      <c r="J413">
        <f t="shared" si="68"/>
        <v>0.55172413793103448</v>
      </c>
      <c r="K413">
        <f t="shared" si="69"/>
        <v>0.44827586206896552</v>
      </c>
      <c r="L413">
        <f t="shared" si="70"/>
        <v>364</v>
      </c>
      <c r="M413" s="6">
        <f t="shared" si="71"/>
        <v>0.24134125268523227</v>
      </c>
      <c r="N413" s="14">
        <f>N412+R$414</f>
        <v>0.2215792704707612</v>
      </c>
      <c r="O413" s="6">
        <f t="shared" si="74"/>
        <v>694.85720300956496</v>
      </c>
      <c r="P413" s="6">
        <f t="shared" si="75"/>
        <v>694.58543994505214</v>
      </c>
      <c r="Q413" s="6">
        <f t="shared" si="72"/>
        <v>0.21042291239783961</v>
      </c>
      <c r="S413">
        <v>364</v>
      </c>
      <c r="T413" s="6">
        <f t="shared" si="65"/>
        <v>0.2215792704707612</v>
      </c>
    </row>
    <row r="414" spans="1:20">
      <c r="A414" s="10"/>
      <c r="B414" s="10">
        <f t="shared" si="73"/>
        <v>411</v>
      </c>
      <c r="C414" s="10">
        <f t="shared" si="67"/>
        <v>29</v>
      </c>
      <c r="D414" s="10">
        <v>397</v>
      </c>
      <c r="E414" s="10">
        <v>426</v>
      </c>
      <c r="F414" s="10">
        <f>PMSPLINE!F$17</f>
        <v>0.20180602049198348</v>
      </c>
      <c r="G414" s="10">
        <f>PMSPLINE!F$18</f>
        <v>0.28999999999999998</v>
      </c>
      <c r="H414" s="15">
        <f>PMSPLINE!K$17</f>
        <v>4.0545171456361052E-4</v>
      </c>
      <c r="I414" s="15">
        <f>PMSPLINE!K$18</f>
        <v>1.8140603957084818E-4</v>
      </c>
      <c r="J414" s="10">
        <f t="shared" si="68"/>
        <v>0.51724137931034486</v>
      </c>
      <c r="K414" s="10">
        <f t="shared" si="69"/>
        <v>0.48275862068965519</v>
      </c>
      <c r="L414" s="10">
        <f t="shared" si="70"/>
        <v>365</v>
      </c>
      <c r="M414" s="11">
        <f t="shared" si="71"/>
        <v>0.24438242439240526</v>
      </c>
      <c r="N414" s="11">
        <f>(Q50+Q414)/2</f>
        <v>0.2215792704707612</v>
      </c>
      <c r="O414" s="11">
        <f t="shared" si="74"/>
        <v>695.10158543395733</v>
      </c>
      <c r="P414" s="11">
        <f t="shared" si="75"/>
        <v>694.80701921552293</v>
      </c>
      <c r="Q414" s="11">
        <f t="shared" si="72"/>
        <v>0.21343719232405745</v>
      </c>
      <c r="R414" s="12">
        <f>(N414-Q408)/5</f>
        <v>4.2995963496887946E-3</v>
      </c>
      <c r="S414">
        <v>365</v>
      </c>
      <c r="T414" s="6">
        <f t="shared" si="65"/>
        <v>0.2215792704707612</v>
      </c>
    </row>
    <row r="415" spans="1:20">
      <c r="B415">
        <f t="shared" si="73"/>
        <v>412</v>
      </c>
      <c r="C415">
        <f t="shared" si="67"/>
        <v>29</v>
      </c>
      <c r="D415">
        <v>397</v>
      </c>
      <c r="E415">
        <v>426</v>
      </c>
      <c r="F415">
        <f>PMSPLINE!F$17</f>
        <v>0.20180602049198348</v>
      </c>
      <c r="G415">
        <f>PMSPLINE!F$18</f>
        <v>0.28999999999999998</v>
      </c>
      <c r="H415" s="5">
        <f>PMSPLINE!K$17</f>
        <v>4.0545171456361052E-4</v>
      </c>
      <c r="I415" s="5">
        <f>PMSPLINE!K$18</f>
        <v>1.8140603957084818E-4</v>
      </c>
      <c r="J415">
        <f t="shared" si="68"/>
        <v>0.48275862068965519</v>
      </c>
      <c r="K415">
        <f t="shared" si="69"/>
        <v>0.51724137931034486</v>
      </c>
      <c r="M415" s="6">
        <f t="shared" si="71"/>
        <v>0.24742359609957823</v>
      </c>
      <c r="N415" s="11">
        <f>(Q51+Q415)/2</f>
        <v>0.2257401891471901</v>
      </c>
      <c r="O415" s="6">
        <f t="shared" si="74"/>
        <v>695.34900903005689</v>
      </c>
      <c r="P415" s="6">
        <f t="shared" si="75"/>
        <v>695.03275940467017</v>
      </c>
      <c r="Q415" s="6">
        <f t="shared" si="72"/>
        <v>0.21674876398380788</v>
      </c>
      <c r="S415">
        <v>1</v>
      </c>
      <c r="T415" s="16">
        <f>N50</f>
        <v>0.2215792704707612</v>
      </c>
    </row>
    <row r="416" spans="1:20">
      <c r="B416">
        <f t="shared" si="73"/>
        <v>413</v>
      </c>
      <c r="C416">
        <f t="shared" si="67"/>
        <v>29</v>
      </c>
      <c r="D416">
        <v>397</v>
      </c>
      <c r="E416">
        <v>426</v>
      </c>
      <c r="F416">
        <f>PMSPLINE!F$17</f>
        <v>0.20180602049198348</v>
      </c>
      <c r="G416">
        <f>PMSPLINE!F$18</f>
        <v>0.28999999999999998</v>
      </c>
      <c r="H416" s="5">
        <f>PMSPLINE!K$17</f>
        <v>4.0545171456361052E-4</v>
      </c>
      <c r="I416" s="5">
        <f>PMSPLINE!K$18</f>
        <v>1.8140603957084818E-4</v>
      </c>
      <c r="J416">
        <f t="shared" si="68"/>
        <v>0.44827586206896552</v>
      </c>
      <c r="K416">
        <f t="shared" si="69"/>
        <v>0.55172413793103448</v>
      </c>
      <c r="M416" s="6">
        <f t="shared" si="71"/>
        <v>0.2504647678067512</v>
      </c>
      <c r="N416" s="6">
        <f t="shared" ref="N416:N460" si="76">M416+(((J416^3-J416)*H416+(K416^3-K416)*I416))*(C416^2)/6</f>
        <v>0.22034990166416016</v>
      </c>
      <c r="O416" s="6">
        <f t="shared" si="74"/>
        <v>695.59947379786365</v>
      </c>
      <c r="P416" s="6">
        <f t="shared" si="75"/>
        <v>695.2531093063343</v>
      </c>
      <c r="Q416" s="6">
        <f t="shared" si="72"/>
        <v>0.22034990166416016</v>
      </c>
      <c r="S416">
        <v>2</v>
      </c>
      <c r="T416" s="16">
        <f t="shared" ref="T416:T479" si="77">N51</f>
        <v>0.22831276230435454</v>
      </c>
    </row>
    <row r="417" spans="1:20">
      <c r="A417" s="8"/>
      <c r="B417" s="8">
        <f t="shared" si="73"/>
        <v>414</v>
      </c>
      <c r="C417" s="8">
        <f t="shared" si="67"/>
        <v>29</v>
      </c>
      <c r="D417" s="8">
        <v>397</v>
      </c>
      <c r="E417" s="8">
        <v>426</v>
      </c>
      <c r="F417" s="8">
        <f>PMSPLINE!F$17</f>
        <v>0.20180602049198348</v>
      </c>
      <c r="G417" s="8">
        <f>PMSPLINE!F$18</f>
        <v>0.28999999999999998</v>
      </c>
      <c r="H417" s="3">
        <f>PMSPLINE!K$17</f>
        <v>4.0545171456361052E-4</v>
      </c>
      <c r="I417" s="3">
        <f>PMSPLINE!K$18</f>
        <v>1.8140603957084818E-4</v>
      </c>
      <c r="J417" s="8">
        <f t="shared" si="68"/>
        <v>0.41379310344827586</v>
      </c>
      <c r="K417" s="8">
        <f t="shared" si="69"/>
        <v>0.58620689655172409</v>
      </c>
      <c r="L417" s="8"/>
      <c r="M417" s="13">
        <f t="shared" si="71"/>
        <v>0.25350593951392419</v>
      </c>
      <c r="N417" s="13">
        <f t="shared" si="76"/>
        <v>0.22423287965218353</v>
      </c>
      <c r="O417" s="13">
        <f t="shared" si="74"/>
        <v>695.85297973737761</v>
      </c>
      <c r="P417" s="13">
        <f t="shared" si="75"/>
        <v>695.47734218598646</v>
      </c>
      <c r="Q417" s="13">
        <f t="shared" si="72"/>
        <v>0.22423287965218353</v>
      </c>
      <c r="S417">
        <v>3</v>
      </c>
      <c r="T417" s="16">
        <f t="shared" si="77"/>
        <v>0.23504625413794789</v>
      </c>
    </row>
    <row r="418" spans="1:20">
      <c r="B418">
        <f t="shared" si="73"/>
        <v>415</v>
      </c>
      <c r="C418">
        <f t="shared" si="67"/>
        <v>29</v>
      </c>
      <c r="D418">
        <v>397</v>
      </c>
      <c r="E418">
        <v>426</v>
      </c>
      <c r="F418">
        <f>PMSPLINE!F$17</f>
        <v>0.20180602049198348</v>
      </c>
      <c r="G418">
        <f>PMSPLINE!F$18</f>
        <v>0.28999999999999998</v>
      </c>
      <c r="H418" s="5">
        <f>PMSPLINE!K$17</f>
        <v>4.0545171456361052E-4</v>
      </c>
      <c r="I418" s="5">
        <f>PMSPLINE!K$18</f>
        <v>1.8140603957084818E-4</v>
      </c>
      <c r="J418">
        <f t="shared" si="68"/>
        <v>0.37931034482758619</v>
      </c>
      <c r="K418">
        <f t="shared" si="69"/>
        <v>0.62068965517241381</v>
      </c>
      <c r="M418" s="6">
        <f t="shared" si="71"/>
        <v>0.25654711122109719</v>
      </c>
      <c r="N418" s="6">
        <f t="shared" si="76"/>
        <v>0.22838997223494714</v>
      </c>
      <c r="O418" s="6">
        <f t="shared" si="74"/>
        <v>696.10952684859876</v>
      </c>
      <c r="P418" s="6">
        <f t="shared" si="75"/>
        <v>695.70573215822139</v>
      </c>
      <c r="Q418" s="6">
        <f t="shared" si="72"/>
        <v>0.22838997223494714</v>
      </c>
      <c r="S418">
        <v>4</v>
      </c>
      <c r="T418" s="16">
        <f t="shared" si="77"/>
        <v>0.24177974597154123</v>
      </c>
    </row>
    <row r="419" spans="1:20">
      <c r="B419">
        <f t="shared" si="73"/>
        <v>416</v>
      </c>
      <c r="C419">
        <f t="shared" si="67"/>
        <v>29</v>
      </c>
      <c r="D419">
        <v>397</v>
      </c>
      <c r="E419">
        <v>426</v>
      </c>
      <c r="F419">
        <f>PMSPLINE!F$17</f>
        <v>0.20180602049198348</v>
      </c>
      <c r="G419">
        <f>PMSPLINE!F$18</f>
        <v>0.28999999999999998</v>
      </c>
      <c r="H419" s="5">
        <f>PMSPLINE!K$17</f>
        <v>4.0545171456361052E-4</v>
      </c>
      <c r="I419" s="5">
        <f>PMSPLINE!K$18</f>
        <v>1.8140603957084818E-4</v>
      </c>
      <c r="J419">
        <f t="shared" si="68"/>
        <v>0.34482758620689657</v>
      </c>
      <c r="K419">
        <f t="shared" si="69"/>
        <v>0.65517241379310343</v>
      </c>
      <c r="M419" s="6">
        <f t="shared" si="71"/>
        <v>0.25958828292827013</v>
      </c>
      <c r="N419" s="6">
        <f t="shared" si="76"/>
        <v>0.2328134536995202</v>
      </c>
      <c r="O419" s="6">
        <f t="shared" si="74"/>
        <v>696.369115131527</v>
      </c>
      <c r="P419" s="6">
        <f t="shared" si="75"/>
        <v>695.93854561192086</v>
      </c>
      <c r="Q419" s="6">
        <f t="shared" si="72"/>
        <v>0.2328134536995202</v>
      </c>
      <c r="S419">
        <v>5</v>
      </c>
      <c r="T419" s="16">
        <f t="shared" si="77"/>
        <v>0.24851323780513457</v>
      </c>
    </row>
    <row r="420" spans="1:20">
      <c r="B420">
        <f t="shared" si="73"/>
        <v>417</v>
      </c>
      <c r="C420">
        <f t="shared" si="67"/>
        <v>29</v>
      </c>
      <c r="D420">
        <v>397</v>
      </c>
      <c r="E420">
        <v>426</v>
      </c>
      <c r="F420">
        <f>PMSPLINE!F$17</f>
        <v>0.20180602049198348</v>
      </c>
      <c r="G420">
        <f>PMSPLINE!F$18</f>
        <v>0.28999999999999998</v>
      </c>
      <c r="H420" s="5">
        <f>PMSPLINE!K$17</f>
        <v>4.0545171456361052E-4</v>
      </c>
      <c r="I420" s="5">
        <f>PMSPLINE!K$18</f>
        <v>1.8140603957084818E-4</v>
      </c>
      <c r="J420">
        <f t="shared" si="68"/>
        <v>0.31034482758620691</v>
      </c>
      <c r="K420">
        <f t="shared" si="69"/>
        <v>0.68965517241379315</v>
      </c>
      <c r="M420" s="6">
        <f t="shared" si="71"/>
        <v>0.26262945463544318</v>
      </c>
      <c r="N420" s="6">
        <f t="shared" si="76"/>
        <v>0.23749559833297207</v>
      </c>
      <c r="O420" s="6">
        <f t="shared" si="74"/>
        <v>696.63174458616243</v>
      </c>
      <c r="P420" s="6">
        <f t="shared" si="75"/>
        <v>696.17604121025386</v>
      </c>
      <c r="Q420" s="6">
        <f t="shared" si="72"/>
        <v>0.23749559833297207</v>
      </c>
      <c r="S420">
        <v>6</v>
      </c>
      <c r="T420" s="16">
        <f t="shared" si="77"/>
        <v>0.25524672963872796</v>
      </c>
    </row>
    <row r="421" spans="1:20">
      <c r="B421">
        <f t="shared" si="73"/>
        <v>418</v>
      </c>
      <c r="C421">
        <f t="shared" si="67"/>
        <v>29</v>
      </c>
      <c r="D421">
        <v>397</v>
      </c>
      <c r="E421">
        <v>426</v>
      </c>
      <c r="F421">
        <f>PMSPLINE!F$17</f>
        <v>0.20180602049198348</v>
      </c>
      <c r="G421">
        <f>PMSPLINE!F$18</f>
        <v>0.28999999999999998</v>
      </c>
      <c r="H421" s="5">
        <f>PMSPLINE!K$17</f>
        <v>4.0545171456361052E-4</v>
      </c>
      <c r="I421" s="5">
        <f>PMSPLINE!K$18</f>
        <v>1.8140603957084818E-4</v>
      </c>
      <c r="J421">
        <f t="shared" si="68"/>
        <v>0.27586206896551724</v>
      </c>
      <c r="K421">
        <f t="shared" si="69"/>
        <v>0.72413793103448276</v>
      </c>
      <c r="M421" s="6">
        <f t="shared" si="71"/>
        <v>0.26567062634261612</v>
      </c>
      <c r="N421" s="6">
        <f t="shared" si="76"/>
        <v>0.2424286804223717</v>
      </c>
      <c r="O421" s="6">
        <f t="shared" si="74"/>
        <v>696.89741521250505</v>
      </c>
      <c r="P421" s="6">
        <f t="shared" si="75"/>
        <v>696.41846989067619</v>
      </c>
      <c r="Q421" s="6">
        <f t="shared" si="72"/>
        <v>0.2424286804223717</v>
      </c>
      <c r="S421">
        <v>7</v>
      </c>
      <c r="T421" s="16">
        <f t="shared" si="77"/>
        <v>0.2602343339434332</v>
      </c>
    </row>
    <row r="422" spans="1:20">
      <c r="B422">
        <f t="shared" si="73"/>
        <v>419</v>
      </c>
      <c r="C422">
        <f t="shared" si="67"/>
        <v>29</v>
      </c>
      <c r="D422">
        <v>397</v>
      </c>
      <c r="E422">
        <v>426</v>
      </c>
      <c r="F422">
        <f>PMSPLINE!F$17</f>
        <v>0.20180602049198348</v>
      </c>
      <c r="G422">
        <f>PMSPLINE!F$18</f>
        <v>0.28999999999999998</v>
      </c>
      <c r="H422" s="5">
        <f>PMSPLINE!K$17</f>
        <v>4.0545171456361052E-4</v>
      </c>
      <c r="I422" s="5">
        <f>PMSPLINE!K$18</f>
        <v>1.8140603957084818E-4</v>
      </c>
      <c r="J422">
        <f t="shared" si="68"/>
        <v>0.2413793103448276</v>
      </c>
      <c r="K422">
        <f t="shared" si="69"/>
        <v>0.75862068965517238</v>
      </c>
      <c r="M422" s="6">
        <f t="shared" si="71"/>
        <v>0.26871179804978906</v>
      </c>
      <c r="N422" s="6">
        <f t="shared" si="76"/>
        <v>0.2476049742547885</v>
      </c>
      <c r="O422" s="6">
        <f t="shared" si="74"/>
        <v>697.16612701055487</v>
      </c>
      <c r="P422" s="6">
        <f t="shared" si="75"/>
        <v>696.66607486493103</v>
      </c>
      <c r="Q422" s="6">
        <f t="shared" si="72"/>
        <v>0.2476049742547885</v>
      </c>
      <c r="S422">
        <v>8</v>
      </c>
      <c r="T422" s="16">
        <f t="shared" si="77"/>
        <v>0.26506159337069896</v>
      </c>
    </row>
    <row r="423" spans="1:20">
      <c r="B423">
        <f t="shared" si="73"/>
        <v>420</v>
      </c>
      <c r="C423">
        <f t="shared" si="67"/>
        <v>29</v>
      </c>
      <c r="D423">
        <v>397</v>
      </c>
      <c r="E423">
        <v>426</v>
      </c>
      <c r="F423">
        <f>PMSPLINE!F$17</f>
        <v>0.20180602049198348</v>
      </c>
      <c r="G423">
        <f>PMSPLINE!F$18</f>
        <v>0.28999999999999998</v>
      </c>
      <c r="H423" s="5">
        <f>PMSPLINE!K$17</f>
        <v>4.0545171456361052E-4</v>
      </c>
      <c r="I423" s="5">
        <f>PMSPLINE!K$18</f>
        <v>1.8140603957084818E-4</v>
      </c>
      <c r="J423">
        <f t="shared" si="68"/>
        <v>0.20689655172413793</v>
      </c>
      <c r="K423">
        <f t="shared" si="69"/>
        <v>0.7931034482758621</v>
      </c>
      <c r="M423" s="6">
        <f t="shared" si="71"/>
        <v>0.27175296975696206</v>
      </c>
      <c r="N423" s="6">
        <f t="shared" si="76"/>
        <v>0.25301675411729169</v>
      </c>
      <c r="O423" s="6">
        <f t="shared" si="74"/>
        <v>697.43787998031189</v>
      </c>
      <c r="P423" s="6">
        <f t="shared" si="75"/>
        <v>696.91909161904834</v>
      </c>
      <c r="Q423" s="6">
        <f t="shared" si="72"/>
        <v>0.25301675411729169</v>
      </c>
      <c r="S423">
        <v>9</v>
      </c>
      <c r="T423" s="16">
        <f t="shared" si="77"/>
        <v>0.26967657038727227</v>
      </c>
    </row>
    <row r="424" spans="1:20">
      <c r="B424">
        <f t="shared" si="73"/>
        <v>421</v>
      </c>
      <c r="C424">
        <f t="shared" si="67"/>
        <v>29</v>
      </c>
      <c r="D424">
        <v>397</v>
      </c>
      <c r="E424">
        <v>426</v>
      </c>
      <c r="F424">
        <f>PMSPLINE!F$17</f>
        <v>0.20180602049198348</v>
      </c>
      <c r="G424">
        <f>PMSPLINE!F$18</f>
        <v>0.28999999999999998</v>
      </c>
      <c r="H424" s="5">
        <f>PMSPLINE!K$17</f>
        <v>4.0545171456361052E-4</v>
      </c>
      <c r="I424" s="5">
        <f>PMSPLINE!K$18</f>
        <v>1.8140603957084818E-4</v>
      </c>
      <c r="J424">
        <f t="shared" si="68"/>
        <v>0.17241379310344829</v>
      </c>
      <c r="K424">
        <f t="shared" si="69"/>
        <v>0.82758620689655171</v>
      </c>
      <c r="M424" s="6">
        <f t="shared" si="71"/>
        <v>0.27479414146413506</v>
      </c>
      <c r="N424" s="6">
        <f t="shared" si="76"/>
        <v>0.25865629429695042</v>
      </c>
      <c r="O424" s="6">
        <f t="shared" si="74"/>
        <v>697.71267412177599</v>
      </c>
      <c r="P424" s="6">
        <f t="shared" si="75"/>
        <v>697.17774791334534</v>
      </c>
      <c r="Q424" s="6">
        <f t="shared" si="72"/>
        <v>0.25865629429695042</v>
      </c>
      <c r="S424">
        <v>10</v>
      </c>
      <c r="T424" s="16">
        <f t="shared" si="77"/>
        <v>0.27402732745990005</v>
      </c>
    </row>
    <row r="425" spans="1:20">
      <c r="B425">
        <f t="shared" si="73"/>
        <v>422</v>
      </c>
      <c r="C425">
        <f t="shared" si="67"/>
        <v>29</v>
      </c>
      <c r="D425">
        <v>397</v>
      </c>
      <c r="E425">
        <v>426</v>
      </c>
      <c r="F425">
        <f>PMSPLINE!F$17</f>
        <v>0.20180602049198348</v>
      </c>
      <c r="G425">
        <f>PMSPLINE!F$18</f>
        <v>0.28999999999999998</v>
      </c>
      <c r="H425" s="5">
        <f>PMSPLINE!K$17</f>
        <v>4.0545171456361052E-4</v>
      </c>
      <c r="I425" s="5">
        <f>PMSPLINE!K$18</f>
        <v>1.8140603957084818E-4</v>
      </c>
      <c r="J425">
        <f t="shared" si="68"/>
        <v>0.13793103448275862</v>
      </c>
      <c r="K425">
        <f t="shared" si="69"/>
        <v>0.86206896551724133</v>
      </c>
      <c r="M425" s="6">
        <f t="shared" si="71"/>
        <v>0.27783531317130805</v>
      </c>
      <c r="N425" s="6">
        <f t="shared" si="76"/>
        <v>0.26451586908083397</v>
      </c>
      <c r="O425" s="6">
        <f t="shared" si="74"/>
        <v>697.99050943494728</v>
      </c>
      <c r="P425" s="6">
        <f t="shared" si="75"/>
        <v>697.44226378242615</v>
      </c>
      <c r="Q425" s="6">
        <f t="shared" si="72"/>
        <v>0.26451586908083397</v>
      </c>
      <c r="S425">
        <v>11</v>
      </c>
      <c r="T425" s="16">
        <f t="shared" si="77"/>
        <v>0.27806192705532923</v>
      </c>
    </row>
    <row r="426" spans="1:20">
      <c r="B426">
        <f t="shared" si="73"/>
        <v>423</v>
      </c>
      <c r="C426">
        <f t="shared" si="67"/>
        <v>29</v>
      </c>
      <c r="D426">
        <v>397</v>
      </c>
      <c r="E426">
        <v>426</v>
      </c>
      <c r="F426">
        <f>PMSPLINE!F$17</f>
        <v>0.20180602049198348</v>
      </c>
      <c r="G426">
        <f>PMSPLINE!F$18</f>
        <v>0.28999999999999998</v>
      </c>
      <c r="H426" s="5">
        <f>PMSPLINE!K$17</f>
        <v>4.0545171456361052E-4</v>
      </c>
      <c r="I426" s="5">
        <f>PMSPLINE!K$18</f>
        <v>1.8140603957084818E-4</v>
      </c>
      <c r="J426">
        <f t="shared" si="68"/>
        <v>0.10344827586206896</v>
      </c>
      <c r="K426">
        <f t="shared" si="69"/>
        <v>0.89655172413793105</v>
      </c>
      <c r="M426" s="6">
        <f t="shared" si="71"/>
        <v>0.28087648487848105</v>
      </c>
      <c r="N426" s="6">
        <f t="shared" si="76"/>
        <v>0.27058775275601143</v>
      </c>
      <c r="O426" s="6">
        <f t="shared" si="74"/>
        <v>698.27138591982578</v>
      </c>
      <c r="P426" s="6">
        <f t="shared" si="75"/>
        <v>697.71285153518215</v>
      </c>
      <c r="Q426" s="6">
        <f t="shared" si="72"/>
        <v>0.27058775275601143</v>
      </c>
      <c r="S426">
        <v>12</v>
      </c>
      <c r="T426" s="16">
        <f t="shared" si="77"/>
        <v>0.28172843164030686</v>
      </c>
    </row>
    <row r="427" spans="1:20">
      <c r="B427">
        <f t="shared" si="73"/>
        <v>424</v>
      </c>
      <c r="C427">
        <f t="shared" si="67"/>
        <v>29</v>
      </c>
      <c r="D427">
        <v>397</v>
      </c>
      <c r="E427">
        <v>426</v>
      </c>
      <c r="F427">
        <f>PMSPLINE!F$17</f>
        <v>0.20180602049198348</v>
      </c>
      <c r="G427">
        <f>PMSPLINE!F$18</f>
        <v>0.28999999999999998</v>
      </c>
      <c r="H427" s="5">
        <f>PMSPLINE!K$17</f>
        <v>4.0545171456361052E-4</v>
      </c>
      <c r="I427" s="5">
        <f>PMSPLINE!K$18</f>
        <v>1.8140603957084818E-4</v>
      </c>
      <c r="J427">
        <f t="shared" si="68"/>
        <v>6.8965517241379309E-2</v>
      </c>
      <c r="K427">
        <f t="shared" si="69"/>
        <v>0.93103448275862066</v>
      </c>
      <c r="M427" s="6">
        <f t="shared" si="71"/>
        <v>0.28391765658565399</v>
      </c>
      <c r="N427" s="6">
        <f t="shared" si="76"/>
        <v>0.2768642196095521</v>
      </c>
      <c r="O427" s="6">
        <f t="shared" si="74"/>
        <v>698.55530357641146</v>
      </c>
      <c r="P427" s="6">
        <f t="shared" si="75"/>
        <v>697.98971575479175</v>
      </c>
      <c r="Q427" s="6">
        <f t="shared" si="72"/>
        <v>0.2768642196095521</v>
      </c>
      <c r="S427">
        <v>13</v>
      </c>
      <c r="T427" s="16">
        <f t="shared" si="77"/>
        <v>0.28497490368157985</v>
      </c>
    </row>
    <row r="428" spans="1:20">
      <c r="B428">
        <f t="shared" si="73"/>
        <v>425</v>
      </c>
      <c r="C428">
        <f t="shared" si="67"/>
        <v>29</v>
      </c>
      <c r="D428">
        <v>397</v>
      </c>
      <c r="E428">
        <v>426</v>
      </c>
      <c r="F428">
        <f>PMSPLINE!F$17</f>
        <v>0.20180602049198348</v>
      </c>
      <c r="G428">
        <f>PMSPLINE!F$18</f>
        <v>0.28999999999999998</v>
      </c>
      <c r="H428" s="5">
        <f>PMSPLINE!K$17</f>
        <v>4.0545171456361052E-4</v>
      </c>
      <c r="I428" s="5">
        <f>PMSPLINE!K$18</f>
        <v>1.8140603957084818E-4</v>
      </c>
      <c r="J428">
        <f t="shared" si="68"/>
        <v>3.4482758620689655E-2</v>
      </c>
      <c r="K428">
        <f t="shared" si="69"/>
        <v>0.96551724137931039</v>
      </c>
      <c r="M428" s="6">
        <f t="shared" si="71"/>
        <v>0.28695882829282698</v>
      </c>
      <c r="N428" s="6">
        <f t="shared" si="76"/>
        <v>0.28333754392852523</v>
      </c>
      <c r="O428" s="6">
        <f t="shared" si="74"/>
        <v>698.84226240470434</v>
      </c>
      <c r="P428" s="6">
        <f t="shared" si="75"/>
        <v>698.27305329872024</v>
      </c>
      <c r="Q428" s="6">
        <f t="shared" si="72"/>
        <v>0.28333754392852523</v>
      </c>
      <c r="S428">
        <v>14</v>
      </c>
      <c r="T428" s="16">
        <f t="shared" si="77"/>
        <v>0.28774940564589524</v>
      </c>
    </row>
    <row r="429" spans="1:20">
      <c r="A429">
        <v>426</v>
      </c>
      <c r="B429">
        <f t="shared" si="73"/>
        <v>426</v>
      </c>
      <c r="C429">
        <f t="shared" si="67"/>
        <v>29</v>
      </c>
      <c r="D429">
        <v>397</v>
      </c>
      <c r="E429">
        <v>426</v>
      </c>
      <c r="F429">
        <f>PMSPLINE!F$17</f>
        <v>0.20180602049198348</v>
      </c>
      <c r="G429">
        <f>PMSPLINE!F$18</f>
        <v>0.28999999999999998</v>
      </c>
      <c r="H429" s="5">
        <f>PMSPLINE!K$17</f>
        <v>4.0545171456361052E-4</v>
      </c>
      <c r="I429" s="5">
        <f>PMSPLINE!K$18</f>
        <v>1.8140603957084818E-4</v>
      </c>
      <c r="J429">
        <f t="shared" si="68"/>
        <v>0</v>
      </c>
      <c r="K429">
        <f t="shared" si="69"/>
        <v>1</v>
      </c>
      <c r="M429" s="6">
        <f t="shared" si="71"/>
        <v>0.28999999999999998</v>
      </c>
      <c r="N429" s="6">
        <f t="shared" si="76"/>
        <v>0.28999999999999998</v>
      </c>
      <c r="O429" s="6">
        <f t="shared" si="74"/>
        <v>699.13226240470431</v>
      </c>
      <c r="P429" s="6">
        <f t="shared" si="75"/>
        <v>698.56305329872021</v>
      </c>
      <c r="Q429" s="6">
        <f t="shared" si="72"/>
        <v>0.28999999999999998</v>
      </c>
      <c r="S429">
        <v>15</v>
      </c>
      <c r="T429" s="16">
        <f t="shared" si="77"/>
        <v>0.28999999999999998</v>
      </c>
    </row>
    <row r="430" spans="1:20">
      <c r="B430">
        <f t="shared" si="73"/>
        <v>427</v>
      </c>
      <c r="C430">
        <f t="shared" si="67"/>
        <v>31</v>
      </c>
      <c r="D430">
        <v>426</v>
      </c>
      <c r="E430">
        <v>457</v>
      </c>
      <c r="F430">
        <f>PMSPLINE!F$18</f>
        <v>0.28999999999999998</v>
      </c>
      <c r="G430">
        <f>PMSPLINE!F$19</f>
        <v>0.46833216623671287</v>
      </c>
      <c r="H430" s="5">
        <f>PMSPLINE!K$18</f>
        <v>1.8140603957084818E-4</v>
      </c>
      <c r="I430" s="5">
        <f>PMSPLINE!K$19</f>
        <v>-5.5670811520305786E-4</v>
      </c>
      <c r="J430">
        <f t="shared" si="68"/>
        <v>0.967741935483871</v>
      </c>
      <c r="K430">
        <f t="shared" si="69"/>
        <v>3.2258064516129031E-2</v>
      </c>
      <c r="M430" s="6">
        <f t="shared" si="71"/>
        <v>0.29575265052376493</v>
      </c>
      <c r="N430" s="6">
        <f t="shared" si="76"/>
        <v>0.29684118137419657</v>
      </c>
      <c r="O430" s="6">
        <f t="shared" si="74"/>
        <v>699.42801505522812</v>
      </c>
      <c r="P430" s="6">
        <f t="shared" si="75"/>
        <v>698.85989448009445</v>
      </c>
      <c r="Q430" s="6">
        <f t="shared" si="72"/>
        <v>0.29684118137419657</v>
      </c>
      <c r="S430">
        <v>16</v>
      </c>
      <c r="T430" s="16">
        <f t="shared" si="77"/>
        <v>0.29169662806993923</v>
      </c>
    </row>
    <row r="431" spans="1:20">
      <c r="B431">
        <f t="shared" si="73"/>
        <v>428</v>
      </c>
      <c r="C431">
        <f t="shared" si="67"/>
        <v>31</v>
      </c>
      <c r="D431">
        <v>426</v>
      </c>
      <c r="E431">
        <v>457</v>
      </c>
      <c r="F431">
        <f>PMSPLINE!F$18</f>
        <v>0.28999999999999998</v>
      </c>
      <c r="G431">
        <f>PMSPLINE!F$19</f>
        <v>0.46833216623671287</v>
      </c>
      <c r="H431" s="5">
        <f>PMSPLINE!K$18</f>
        <v>1.8140603957084818E-4</v>
      </c>
      <c r="I431" s="5">
        <f>PMSPLINE!K$19</f>
        <v>-5.5670811520305786E-4</v>
      </c>
      <c r="J431">
        <f t="shared" si="68"/>
        <v>0.93548387096774188</v>
      </c>
      <c r="K431">
        <f t="shared" si="69"/>
        <v>6.4516129032258063E-2</v>
      </c>
      <c r="M431" s="6">
        <f t="shared" si="71"/>
        <v>0.30150530104752982</v>
      </c>
      <c r="N431" s="6">
        <f t="shared" si="76"/>
        <v>0.30383995865393898</v>
      </c>
      <c r="O431" s="6">
        <f t="shared" si="74"/>
        <v>699.72952035627566</v>
      </c>
      <c r="P431" s="6">
        <f t="shared" si="75"/>
        <v>699.16373443874841</v>
      </c>
      <c r="Q431" s="6">
        <f t="shared" si="72"/>
        <v>0.30383995865393898</v>
      </c>
      <c r="S431">
        <v>17</v>
      </c>
      <c r="T431" s="16">
        <f t="shared" si="77"/>
        <v>0.29289674661895093</v>
      </c>
    </row>
    <row r="432" spans="1:20">
      <c r="B432">
        <f t="shared" si="73"/>
        <v>429</v>
      </c>
      <c r="C432">
        <f t="shared" si="67"/>
        <v>31</v>
      </c>
      <c r="D432">
        <v>426</v>
      </c>
      <c r="E432">
        <v>457</v>
      </c>
      <c r="F432">
        <f>PMSPLINE!F$18</f>
        <v>0.28999999999999998</v>
      </c>
      <c r="G432">
        <f>PMSPLINE!F$19</f>
        <v>0.46833216623671287</v>
      </c>
      <c r="H432" s="5">
        <f>PMSPLINE!K$18</f>
        <v>1.8140603957084818E-4</v>
      </c>
      <c r="I432" s="5">
        <f>PMSPLINE!K$19</f>
        <v>-5.5670811520305786E-4</v>
      </c>
      <c r="J432">
        <f t="shared" si="68"/>
        <v>0.90322580645161288</v>
      </c>
      <c r="K432">
        <f t="shared" si="69"/>
        <v>9.6774193548387094E-2</v>
      </c>
      <c r="M432" s="6">
        <f t="shared" si="71"/>
        <v>0.30725795157129476</v>
      </c>
      <c r="N432" s="6">
        <f t="shared" si="76"/>
        <v>0.31097252170520234</v>
      </c>
      <c r="O432" s="6">
        <f t="shared" si="74"/>
        <v>700.03677830784693</v>
      </c>
      <c r="P432" s="6">
        <f t="shared" si="75"/>
        <v>699.47470696045366</v>
      </c>
      <c r="Q432" s="6">
        <f t="shared" si="72"/>
        <v>0.31097252170520234</v>
      </c>
      <c r="S432">
        <v>18</v>
      </c>
      <c r="T432" s="16">
        <f t="shared" si="77"/>
        <v>0.29367969126957127</v>
      </c>
    </row>
    <row r="433" spans="2:20">
      <c r="B433">
        <f t="shared" si="73"/>
        <v>430</v>
      </c>
      <c r="C433">
        <f t="shared" si="67"/>
        <v>31</v>
      </c>
      <c r="D433">
        <v>426</v>
      </c>
      <c r="E433">
        <v>457</v>
      </c>
      <c r="F433">
        <f>PMSPLINE!F$18</f>
        <v>0.28999999999999998</v>
      </c>
      <c r="G433">
        <f>PMSPLINE!F$19</f>
        <v>0.46833216623671287</v>
      </c>
      <c r="H433" s="5">
        <f>PMSPLINE!K$18</f>
        <v>1.8140603957084818E-4</v>
      </c>
      <c r="I433" s="5">
        <f>PMSPLINE!K$19</f>
        <v>-5.5670811520305786E-4</v>
      </c>
      <c r="J433">
        <f t="shared" si="68"/>
        <v>0.87096774193548387</v>
      </c>
      <c r="K433">
        <f t="shared" si="69"/>
        <v>0.12903225806451613</v>
      </c>
      <c r="M433" s="6">
        <f t="shared" si="71"/>
        <v>0.31301060209505971</v>
      </c>
      <c r="N433" s="6">
        <f t="shared" si="76"/>
        <v>0.31821506039396169</v>
      </c>
      <c r="O433" s="6">
        <f t="shared" si="74"/>
        <v>700.34978890994194</v>
      </c>
      <c r="P433" s="6">
        <f t="shared" si="75"/>
        <v>699.79292202084764</v>
      </c>
      <c r="Q433" s="6">
        <f t="shared" si="72"/>
        <v>0.31821506039396169</v>
      </c>
      <c r="S433">
        <v>19</v>
      </c>
      <c r="T433" s="16">
        <f t="shared" si="77"/>
        <v>0.2941247976443363</v>
      </c>
    </row>
    <row r="434" spans="2:20">
      <c r="B434">
        <f t="shared" si="73"/>
        <v>431</v>
      </c>
      <c r="C434">
        <f t="shared" si="67"/>
        <v>31</v>
      </c>
      <c r="D434">
        <v>426</v>
      </c>
      <c r="E434">
        <v>457</v>
      </c>
      <c r="F434">
        <f>PMSPLINE!F$18</f>
        <v>0.28999999999999998</v>
      </c>
      <c r="G434">
        <f>PMSPLINE!F$19</f>
        <v>0.46833216623671287</v>
      </c>
      <c r="H434" s="5">
        <f>PMSPLINE!K$18</f>
        <v>1.8140603957084818E-4</v>
      </c>
      <c r="I434" s="5">
        <f>PMSPLINE!K$19</f>
        <v>-5.5670811520305786E-4</v>
      </c>
      <c r="J434">
        <f t="shared" si="68"/>
        <v>0.83870967741935487</v>
      </c>
      <c r="K434">
        <f t="shared" si="69"/>
        <v>0.16129032258064516</v>
      </c>
      <c r="M434" s="6">
        <f t="shared" si="71"/>
        <v>0.31876325261882466</v>
      </c>
      <c r="N434" s="6">
        <f t="shared" si="76"/>
        <v>0.325543764586192</v>
      </c>
      <c r="O434" s="6">
        <f t="shared" si="74"/>
        <v>700.66855216256079</v>
      </c>
      <c r="P434" s="6">
        <f t="shared" si="75"/>
        <v>700.11846578543384</v>
      </c>
      <c r="Q434" s="6">
        <f t="shared" si="72"/>
        <v>0.325543764586192</v>
      </c>
      <c r="S434">
        <v>20</v>
      </c>
      <c r="T434" s="16">
        <f t="shared" si="77"/>
        <v>0.29431140136578215</v>
      </c>
    </row>
    <row r="435" spans="2:20">
      <c r="B435">
        <f t="shared" si="73"/>
        <v>432</v>
      </c>
      <c r="C435">
        <f t="shared" si="67"/>
        <v>31</v>
      </c>
      <c r="D435">
        <v>426</v>
      </c>
      <c r="E435">
        <v>457</v>
      </c>
      <c r="F435">
        <f>PMSPLINE!F$18</f>
        <v>0.28999999999999998</v>
      </c>
      <c r="G435">
        <f>PMSPLINE!F$19</f>
        <v>0.46833216623671287</v>
      </c>
      <c r="H435" s="5">
        <f>PMSPLINE!K$18</f>
        <v>1.8140603957084818E-4</v>
      </c>
      <c r="I435" s="5">
        <f>PMSPLINE!K$19</f>
        <v>-5.5670811520305786E-4</v>
      </c>
      <c r="J435">
        <f t="shared" si="68"/>
        <v>0.80645161290322576</v>
      </c>
      <c r="K435">
        <f t="shared" si="69"/>
        <v>0.19354838709677419</v>
      </c>
      <c r="M435" s="6">
        <f t="shared" si="71"/>
        <v>0.32451590314258955</v>
      </c>
      <c r="N435" s="6">
        <f t="shared" si="76"/>
        <v>0.33293482414786829</v>
      </c>
      <c r="O435" s="6">
        <f t="shared" si="74"/>
        <v>700.99306806570337</v>
      </c>
      <c r="P435" s="6">
        <f t="shared" si="75"/>
        <v>700.4514006095817</v>
      </c>
      <c r="Q435" s="6">
        <f t="shared" si="72"/>
        <v>0.33293482414786829</v>
      </c>
      <c r="S435">
        <v>21</v>
      </c>
      <c r="T435" s="16">
        <f t="shared" si="77"/>
        <v>0.29431883805644499</v>
      </c>
    </row>
    <row r="436" spans="2:20">
      <c r="B436">
        <f t="shared" si="73"/>
        <v>433</v>
      </c>
      <c r="C436">
        <f t="shared" si="67"/>
        <v>31</v>
      </c>
      <c r="D436">
        <v>426</v>
      </c>
      <c r="E436">
        <v>457</v>
      </c>
      <c r="F436">
        <f>PMSPLINE!F$18</f>
        <v>0.28999999999999998</v>
      </c>
      <c r="G436">
        <f>PMSPLINE!F$19</f>
        <v>0.46833216623671287</v>
      </c>
      <c r="H436" s="5">
        <f>PMSPLINE!K$18</f>
        <v>1.8140603957084818E-4</v>
      </c>
      <c r="I436" s="5">
        <f>PMSPLINE!K$19</f>
        <v>-5.5670811520305786E-4</v>
      </c>
      <c r="J436">
        <f t="shared" si="68"/>
        <v>0.77419354838709675</v>
      </c>
      <c r="K436">
        <f t="shared" si="69"/>
        <v>0.22580645161290322</v>
      </c>
      <c r="M436" s="6">
        <f t="shared" si="71"/>
        <v>0.33026855366635449</v>
      </c>
      <c r="N436" s="6">
        <f t="shared" si="76"/>
        <v>0.34036442894496571</v>
      </c>
      <c r="O436" s="6">
        <f t="shared" si="74"/>
        <v>701.32333661936968</v>
      </c>
      <c r="P436" s="6">
        <f t="shared" si="75"/>
        <v>700.79176503852671</v>
      </c>
      <c r="Q436" s="6">
        <f t="shared" si="72"/>
        <v>0.34036442894496571</v>
      </c>
      <c r="S436">
        <v>22</v>
      </c>
      <c r="T436" s="16">
        <f t="shared" si="77"/>
        <v>0.294226443338861</v>
      </c>
    </row>
    <row r="437" spans="2:20">
      <c r="B437">
        <f t="shared" si="73"/>
        <v>434</v>
      </c>
      <c r="C437">
        <f t="shared" si="67"/>
        <v>31</v>
      </c>
      <c r="D437">
        <v>426</v>
      </c>
      <c r="E437">
        <v>457</v>
      </c>
      <c r="F437">
        <f>PMSPLINE!F$18</f>
        <v>0.28999999999999998</v>
      </c>
      <c r="G437">
        <f>PMSPLINE!F$19</f>
        <v>0.46833216623671287</v>
      </c>
      <c r="H437" s="5">
        <f>PMSPLINE!K$18</f>
        <v>1.8140603957084818E-4</v>
      </c>
      <c r="I437" s="5">
        <f>PMSPLINE!K$19</f>
        <v>-5.5670811520305786E-4</v>
      </c>
      <c r="J437">
        <f t="shared" si="68"/>
        <v>0.74193548387096775</v>
      </c>
      <c r="K437">
        <f t="shared" si="69"/>
        <v>0.25806451612903225</v>
      </c>
      <c r="M437" s="6">
        <f t="shared" si="71"/>
        <v>0.33602120419011944</v>
      </c>
      <c r="N437" s="6">
        <f t="shared" si="76"/>
        <v>0.34780876884345918</v>
      </c>
      <c r="O437" s="6">
        <f t="shared" si="74"/>
        <v>701.65935782355984</v>
      </c>
      <c r="P437" s="6">
        <f t="shared" si="75"/>
        <v>701.1395738073702</v>
      </c>
      <c r="Q437" s="6">
        <f t="shared" si="72"/>
        <v>0.34780876884345918</v>
      </c>
      <c r="S437">
        <v>23</v>
      </c>
      <c r="T437" s="16">
        <f t="shared" si="77"/>
        <v>0.29411355283556617</v>
      </c>
    </row>
    <row r="438" spans="2:20">
      <c r="B438">
        <f t="shared" si="73"/>
        <v>435</v>
      </c>
      <c r="C438">
        <f t="shared" si="67"/>
        <v>31</v>
      </c>
      <c r="D438">
        <v>426</v>
      </c>
      <c r="E438">
        <v>457</v>
      </c>
      <c r="F438">
        <f>PMSPLINE!F$18</f>
        <v>0.28999999999999998</v>
      </c>
      <c r="G438">
        <f>PMSPLINE!F$19</f>
        <v>0.46833216623671287</v>
      </c>
      <c r="H438" s="5">
        <f>PMSPLINE!K$18</f>
        <v>1.8140603957084818E-4</v>
      </c>
      <c r="I438" s="5">
        <f>PMSPLINE!K$19</f>
        <v>-5.5670811520305786E-4</v>
      </c>
      <c r="J438">
        <f t="shared" si="68"/>
        <v>0.70967741935483875</v>
      </c>
      <c r="K438">
        <f t="shared" si="69"/>
        <v>0.29032258064516131</v>
      </c>
      <c r="M438" s="6">
        <f t="shared" si="71"/>
        <v>0.34177385471388438</v>
      </c>
      <c r="N438" s="6">
        <f t="shared" si="76"/>
        <v>0.35524403370932384</v>
      </c>
      <c r="O438" s="6">
        <f t="shared" si="74"/>
        <v>702.00113167827374</v>
      </c>
      <c r="P438" s="6">
        <f t="shared" si="75"/>
        <v>701.49481784107957</v>
      </c>
      <c r="Q438" s="6">
        <f t="shared" si="72"/>
        <v>0.35524403370932384</v>
      </c>
      <c r="S438">
        <v>24</v>
      </c>
      <c r="T438" s="16">
        <f t="shared" si="77"/>
        <v>0.29405950216909676</v>
      </c>
    </row>
    <row r="439" spans="2:20">
      <c r="B439">
        <f t="shared" si="73"/>
        <v>436</v>
      </c>
      <c r="C439">
        <f t="shared" si="67"/>
        <v>31</v>
      </c>
      <c r="D439">
        <v>426</v>
      </c>
      <c r="E439">
        <v>457</v>
      </c>
      <c r="F439">
        <f>PMSPLINE!F$18</f>
        <v>0.28999999999999998</v>
      </c>
      <c r="G439">
        <f>PMSPLINE!F$19</f>
        <v>0.46833216623671287</v>
      </c>
      <c r="H439" s="5">
        <f>PMSPLINE!K$18</f>
        <v>1.8140603957084818E-4</v>
      </c>
      <c r="I439" s="5">
        <f>PMSPLINE!K$19</f>
        <v>-5.5670811520305786E-4</v>
      </c>
      <c r="J439">
        <f t="shared" si="68"/>
        <v>0.67741935483870963</v>
      </c>
      <c r="K439">
        <f t="shared" si="69"/>
        <v>0.32258064516129031</v>
      </c>
      <c r="M439" s="6">
        <f t="shared" si="71"/>
        <v>0.34752650523764927</v>
      </c>
      <c r="N439" s="6">
        <f t="shared" si="76"/>
        <v>0.3626464134085346</v>
      </c>
      <c r="O439" s="6">
        <f t="shared" si="74"/>
        <v>702.34865818351136</v>
      </c>
      <c r="P439" s="6">
        <f t="shared" si="75"/>
        <v>701.85746425448815</v>
      </c>
      <c r="Q439" s="6">
        <f t="shared" si="72"/>
        <v>0.3626464134085346</v>
      </c>
      <c r="S439">
        <v>25</v>
      </c>
      <c r="T439" s="16">
        <f t="shared" si="77"/>
        <v>0.29414362696198881</v>
      </c>
    </row>
    <row r="440" spans="2:20">
      <c r="B440">
        <f t="shared" si="73"/>
        <v>437</v>
      </c>
      <c r="C440">
        <f t="shared" si="67"/>
        <v>31</v>
      </c>
      <c r="D440">
        <v>426</v>
      </c>
      <c r="E440">
        <v>457</v>
      </c>
      <c r="F440">
        <f>PMSPLINE!F$18</f>
        <v>0.28999999999999998</v>
      </c>
      <c r="G440">
        <f>PMSPLINE!F$19</f>
        <v>0.46833216623671287</v>
      </c>
      <c r="H440" s="5">
        <f>PMSPLINE!K$18</f>
        <v>1.8140603957084818E-4</v>
      </c>
      <c r="I440" s="5">
        <f>PMSPLINE!K$19</f>
        <v>-5.5670811520305786E-4</v>
      </c>
      <c r="J440">
        <f t="shared" si="68"/>
        <v>0.64516129032258063</v>
      </c>
      <c r="K440">
        <f t="shared" si="69"/>
        <v>0.35483870967741937</v>
      </c>
      <c r="M440" s="6">
        <f t="shared" si="71"/>
        <v>0.35327915576141422</v>
      </c>
      <c r="N440" s="6">
        <f t="shared" si="76"/>
        <v>0.3699920978070666</v>
      </c>
      <c r="O440" s="6">
        <f t="shared" si="74"/>
        <v>702.70193733927283</v>
      </c>
      <c r="P440" s="6">
        <f t="shared" si="75"/>
        <v>702.22745635229523</v>
      </c>
      <c r="Q440" s="6">
        <f t="shared" si="72"/>
        <v>0.3699920978070666</v>
      </c>
      <c r="S440">
        <v>26</v>
      </c>
      <c r="T440" s="16">
        <f t="shared" si="77"/>
        <v>0.29444526283677852</v>
      </c>
    </row>
    <row r="441" spans="2:20">
      <c r="B441">
        <f t="shared" si="73"/>
        <v>438</v>
      </c>
      <c r="C441">
        <f t="shared" si="67"/>
        <v>31</v>
      </c>
      <c r="D441">
        <v>426</v>
      </c>
      <c r="E441">
        <v>457</v>
      </c>
      <c r="F441">
        <f>PMSPLINE!F$18</f>
        <v>0.28999999999999998</v>
      </c>
      <c r="G441">
        <f>PMSPLINE!F$19</f>
        <v>0.46833216623671287</v>
      </c>
      <c r="H441" s="5">
        <f>PMSPLINE!K$18</f>
        <v>1.8140603957084818E-4</v>
      </c>
      <c r="I441" s="5">
        <f>PMSPLINE!K$19</f>
        <v>-5.5670811520305786E-4</v>
      </c>
      <c r="J441">
        <f t="shared" si="68"/>
        <v>0.61290322580645162</v>
      </c>
      <c r="K441">
        <f t="shared" si="69"/>
        <v>0.38709677419354838</v>
      </c>
      <c r="M441" s="6">
        <f t="shared" si="71"/>
        <v>0.35903180628517917</v>
      </c>
      <c r="N441" s="6">
        <f t="shared" si="76"/>
        <v>0.37725727677089482</v>
      </c>
      <c r="O441" s="6">
        <f t="shared" si="74"/>
        <v>703.06096914555803</v>
      </c>
      <c r="P441" s="6">
        <f t="shared" si="75"/>
        <v>702.60471362906617</v>
      </c>
      <c r="Q441" s="6">
        <f t="shared" si="72"/>
        <v>0.37725727677089482</v>
      </c>
      <c r="S441">
        <v>27</v>
      </c>
      <c r="T441" s="16">
        <f t="shared" si="77"/>
        <v>0.29504374541600198</v>
      </c>
    </row>
    <row r="442" spans="2:20">
      <c r="B442">
        <f t="shared" si="73"/>
        <v>439</v>
      </c>
      <c r="C442">
        <f t="shared" si="67"/>
        <v>31</v>
      </c>
      <c r="D442">
        <v>426</v>
      </c>
      <c r="E442">
        <v>457</v>
      </c>
      <c r="F442">
        <f>PMSPLINE!F$18</f>
        <v>0.28999999999999998</v>
      </c>
      <c r="G442">
        <f>PMSPLINE!F$19</f>
        <v>0.46833216623671287</v>
      </c>
      <c r="H442" s="5">
        <f>PMSPLINE!K$18</f>
        <v>1.8140603957084818E-4</v>
      </c>
      <c r="I442" s="5">
        <f>PMSPLINE!K$19</f>
        <v>-5.5670811520305786E-4</v>
      </c>
      <c r="J442">
        <f t="shared" si="68"/>
        <v>0.58064516129032262</v>
      </c>
      <c r="K442">
        <f t="shared" si="69"/>
        <v>0.41935483870967744</v>
      </c>
      <c r="M442" s="6">
        <f t="shared" si="71"/>
        <v>0.36478445680894411</v>
      </c>
      <c r="N442" s="6">
        <f t="shared" si="76"/>
        <v>0.38441814016599429</v>
      </c>
      <c r="O442" s="6">
        <f t="shared" si="74"/>
        <v>703.42575360236697</v>
      </c>
      <c r="P442" s="6">
        <f t="shared" si="75"/>
        <v>702.98913176923213</v>
      </c>
      <c r="Q442" s="6">
        <f t="shared" si="72"/>
        <v>0.38441814016599429</v>
      </c>
      <c r="S442">
        <v>28</v>
      </c>
      <c r="T442" s="16">
        <f t="shared" si="77"/>
        <v>0.29601841032219528</v>
      </c>
    </row>
    <row r="443" spans="2:20">
      <c r="B443">
        <f t="shared" si="73"/>
        <v>440</v>
      </c>
      <c r="C443">
        <f t="shared" si="67"/>
        <v>31</v>
      </c>
      <c r="D443">
        <v>426</v>
      </c>
      <c r="E443">
        <v>457</v>
      </c>
      <c r="F443">
        <f>PMSPLINE!F$18</f>
        <v>0.28999999999999998</v>
      </c>
      <c r="G443">
        <f>PMSPLINE!F$19</f>
        <v>0.46833216623671287</v>
      </c>
      <c r="H443" s="5">
        <f>PMSPLINE!K$18</f>
        <v>1.8140603957084818E-4</v>
      </c>
      <c r="I443" s="5">
        <f>PMSPLINE!K$19</f>
        <v>-5.5670811520305786E-4</v>
      </c>
      <c r="J443">
        <f t="shared" si="68"/>
        <v>0.54838709677419351</v>
      </c>
      <c r="K443">
        <f t="shared" si="69"/>
        <v>0.45161290322580644</v>
      </c>
      <c r="M443" s="6">
        <f t="shared" si="71"/>
        <v>0.370537107332709</v>
      </c>
      <c r="N443" s="6">
        <f t="shared" si="76"/>
        <v>0.3914508778583401</v>
      </c>
      <c r="O443" s="6">
        <f t="shared" si="74"/>
        <v>703.79629070969963</v>
      </c>
      <c r="P443" s="6">
        <f t="shared" si="75"/>
        <v>703.38058264709048</v>
      </c>
      <c r="Q443" s="6">
        <f t="shared" si="72"/>
        <v>0.3914508778583401</v>
      </c>
      <c r="S443">
        <v>29</v>
      </c>
      <c r="T443" s="16">
        <f t="shared" si="77"/>
        <v>0.29744859317789463</v>
      </c>
    </row>
    <row r="444" spans="2:20">
      <c r="B444">
        <f t="shared" si="73"/>
        <v>441</v>
      </c>
      <c r="C444">
        <f t="shared" si="67"/>
        <v>31</v>
      </c>
      <c r="D444">
        <v>426</v>
      </c>
      <c r="E444">
        <v>457</v>
      </c>
      <c r="F444">
        <f>PMSPLINE!F$18</f>
        <v>0.28999999999999998</v>
      </c>
      <c r="G444">
        <f>PMSPLINE!F$19</f>
        <v>0.46833216623671287</v>
      </c>
      <c r="H444" s="5">
        <f>PMSPLINE!K$18</f>
        <v>1.8140603957084818E-4</v>
      </c>
      <c r="I444" s="5">
        <f>PMSPLINE!K$19</f>
        <v>-5.5670811520305786E-4</v>
      </c>
      <c r="J444">
        <f t="shared" si="68"/>
        <v>0.5161290322580645</v>
      </c>
      <c r="K444">
        <f t="shared" si="69"/>
        <v>0.4838709677419355</v>
      </c>
      <c r="M444" s="6">
        <f t="shared" si="71"/>
        <v>0.37628975785647395</v>
      </c>
      <c r="N444" s="6">
        <f t="shared" si="76"/>
        <v>0.39833167971390726</v>
      </c>
      <c r="O444" s="6">
        <f t="shared" si="74"/>
        <v>704.17258046755614</v>
      </c>
      <c r="P444" s="6">
        <f t="shared" si="75"/>
        <v>703.7789143268044</v>
      </c>
      <c r="Q444" s="6">
        <f t="shared" si="72"/>
        <v>0.39833167971390726</v>
      </c>
      <c r="S444">
        <v>30</v>
      </c>
      <c r="T444" s="16">
        <f t="shared" si="77"/>
        <v>0.29941362960563611</v>
      </c>
    </row>
    <row r="445" spans="2:20">
      <c r="B445">
        <f t="shared" si="73"/>
        <v>442</v>
      </c>
      <c r="C445">
        <f t="shared" si="67"/>
        <v>31</v>
      </c>
      <c r="D445">
        <v>426</v>
      </c>
      <c r="E445">
        <v>457</v>
      </c>
      <c r="F445">
        <f>PMSPLINE!F$18</f>
        <v>0.28999999999999998</v>
      </c>
      <c r="G445">
        <f>PMSPLINE!F$19</f>
        <v>0.46833216623671287</v>
      </c>
      <c r="H445" s="5">
        <f>PMSPLINE!K$18</f>
        <v>1.8140603957084818E-4</v>
      </c>
      <c r="I445" s="5">
        <f>PMSPLINE!K$19</f>
        <v>-5.5670811520305786E-4</v>
      </c>
      <c r="J445">
        <f t="shared" si="68"/>
        <v>0.4838709677419355</v>
      </c>
      <c r="K445">
        <f t="shared" si="69"/>
        <v>0.5161290322580645</v>
      </c>
      <c r="M445" s="6">
        <f t="shared" si="71"/>
        <v>0.3820424083802389</v>
      </c>
      <c r="N445" s="6">
        <f t="shared" si="76"/>
        <v>0.40503673559867076</v>
      </c>
      <c r="O445" s="6">
        <f t="shared" si="74"/>
        <v>704.55462287593639</v>
      </c>
      <c r="P445" s="6">
        <f t="shared" si="75"/>
        <v>704.18395106240303</v>
      </c>
      <c r="Q445" s="6">
        <f t="shared" si="72"/>
        <v>0.40503673559867076</v>
      </c>
      <c r="S445">
        <v>31</v>
      </c>
      <c r="T445" s="16">
        <f t="shared" si="77"/>
        <v>0.30199285522795583</v>
      </c>
    </row>
    <row r="446" spans="2:20">
      <c r="B446">
        <f t="shared" si="73"/>
        <v>443</v>
      </c>
      <c r="C446">
        <f t="shared" si="67"/>
        <v>31</v>
      </c>
      <c r="D446">
        <v>426</v>
      </c>
      <c r="E446">
        <v>457</v>
      </c>
      <c r="F446">
        <f>PMSPLINE!F$18</f>
        <v>0.28999999999999998</v>
      </c>
      <c r="G446">
        <f>PMSPLINE!F$19</f>
        <v>0.46833216623671287</v>
      </c>
      <c r="H446" s="5">
        <f>PMSPLINE!K$18</f>
        <v>1.8140603957084818E-4</v>
      </c>
      <c r="I446" s="5">
        <f>PMSPLINE!K$19</f>
        <v>-5.5670811520305786E-4</v>
      </c>
      <c r="J446">
        <f t="shared" si="68"/>
        <v>0.45161290322580644</v>
      </c>
      <c r="K446">
        <f t="shared" si="69"/>
        <v>0.54838709677419351</v>
      </c>
      <c r="M446" s="6">
        <f t="shared" si="71"/>
        <v>0.38779505890400379</v>
      </c>
      <c r="N446" s="6">
        <f t="shared" si="76"/>
        <v>0.41154223537860568</v>
      </c>
      <c r="O446" s="6">
        <f t="shared" si="74"/>
        <v>704.94241793484036</v>
      </c>
      <c r="P446" s="6">
        <f t="shared" si="75"/>
        <v>704.59549329778167</v>
      </c>
      <c r="Q446" s="6">
        <f t="shared" si="72"/>
        <v>0.41154223537860568</v>
      </c>
      <c r="S446">
        <v>32</v>
      </c>
      <c r="T446" s="16">
        <f t="shared" si="77"/>
        <v>0.30526560566738997</v>
      </c>
    </row>
    <row r="447" spans="2:20">
      <c r="B447">
        <f t="shared" si="73"/>
        <v>444</v>
      </c>
      <c r="C447">
        <f t="shared" si="67"/>
        <v>31</v>
      </c>
      <c r="D447">
        <v>426</v>
      </c>
      <c r="E447">
        <v>457</v>
      </c>
      <c r="F447">
        <f>PMSPLINE!F$18</f>
        <v>0.28999999999999998</v>
      </c>
      <c r="G447">
        <f>PMSPLINE!F$19</f>
        <v>0.46833216623671287</v>
      </c>
      <c r="H447" s="5">
        <f>PMSPLINE!K$18</f>
        <v>1.8140603957084818E-4</v>
      </c>
      <c r="I447" s="5">
        <f>PMSPLINE!K$19</f>
        <v>-5.5670811520305786E-4</v>
      </c>
      <c r="J447">
        <f t="shared" si="68"/>
        <v>0.41935483870967744</v>
      </c>
      <c r="K447">
        <f t="shared" si="69"/>
        <v>0.58064516129032262</v>
      </c>
      <c r="M447" s="6">
        <f t="shared" si="71"/>
        <v>0.39354770942776873</v>
      </c>
      <c r="N447" s="6">
        <f t="shared" si="76"/>
        <v>0.41782436891968705</v>
      </c>
      <c r="O447" s="6">
        <f t="shared" si="74"/>
        <v>705.33596564426819</v>
      </c>
      <c r="P447" s="6">
        <f t="shared" si="75"/>
        <v>705.01331766670137</v>
      </c>
      <c r="Q447" s="6">
        <f t="shared" si="72"/>
        <v>0.41782436891968705</v>
      </c>
      <c r="S447">
        <v>33</v>
      </c>
      <c r="T447" s="16">
        <f t="shared" si="77"/>
        <v>0.3093112165464747</v>
      </c>
    </row>
    <row r="448" spans="2:20">
      <c r="B448">
        <f t="shared" si="73"/>
        <v>445</v>
      </c>
      <c r="C448">
        <f t="shared" si="67"/>
        <v>31</v>
      </c>
      <c r="D448">
        <v>426</v>
      </c>
      <c r="E448">
        <v>457</v>
      </c>
      <c r="F448">
        <f>PMSPLINE!F$18</f>
        <v>0.28999999999999998</v>
      </c>
      <c r="G448">
        <f>PMSPLINE!F$19</f>
        <v>0.46833216623671287</v>
      </c>
      <c r="H448" s="5">
        <f>PMSPLINE!K$18</f>
        <v>1.8140603957084818E-4</v>
      </c>
      <c r="I448" s="5">
        <f>PMSPLINE!K$19</f>
        <v>-5.5670811520305786E-4</v>
      </c>
      <c r="J448">
        <f t="shared" si="68"/>
        <v>0.38709677419354838</v>
      </c>
      <c r="K448">
        <f t="shared" si="69"/>
        <v>0.61290322580645162</v>
      </c>
      <c r="M448" s="6">
        <f t="shared" si="71"/>
        <v>0.39930035995153368</v>
      </c>
      <c r="N448" s="6">
        <f t="shared" si="76"/>
        <v>0.42385932608788995</v>
      </c>
      <c r="O448" s="6">
        <f t="shared" si="74"/>
        <v>705.73526600421974</v>
      </c>
      <c r="P448" s="6">
        <f t="shared" si="75"/>
        <v>705.4371769927892</v>
      </c>
      <c r="Q448" s="6">
        <f t="shared" si="72"/>
        <v>0.42385932608788995</v>
      </c>
      <c r="S448">
        <v>34</v>
      </c>
      <c r="T448" s="16">
        <f t="shared" si="77"/>
        <v>0.31420902348774604</v>
      </c>
    </row>
    <row r="449" spans="1:20">
      <c r="B449">
        <f t="shared" si="73"/>
        <v>446</v>
      </c>
      <c r="C449">
        <f t="shared" si="67"/>
        <v>31</v>
      </c>
      <c r="D449">
        <v>426</v>
      </c>
      <c r="E449">
        <v>457</v>
      </c>
      <c r="F449">
        <f>PMSPLINE!F$18</f>
        <v>0.28999999999999998</v>
      </c>
      <c r="G449">
        <f>PMSPLINE!F$19</f>
        <v>0.46833216623671287</v>
      </c>
      <c r="H449" s="5">
        <f>PMSPLINE!K$18</f>
        <v>1.8140603957084818E-4</v>
      </c>
      <c r="I449" s="5">
        <f>PMSPLINE!K$19</f>
        <v>-5.5670811520305786E-4</v>
      </c>
      <c r="J449">
        <f t="shared" si="68"/>
        <v>0.35483870967741937</v>
      </c>
      <c r="K449">
        <f t="shared" si="69"/>
        <v>0.64516129032258063</v>
      </c>
      <c r="M449" s="6">
        <f t="shared" si="71"/>
        <v>0.40505301047529862</v>
      </c>
      <c r="N449" s="6">
        <f t="shared" si="76"/>
        <v>0.42962329674918931</v>
      </c>
      <c r="O449" s="6">
        <f t="shared" si="74"/>
        <v>706.14031901469502</v>
      </c>
      <c r="P449" s="6">
        <f t="shared" si="75"/>
        <v>705.86680028953845</v>
      </c>
      <c r="Q449" s="6">
        <f t="shared" si="72"/>
        <v>0.42962329674918931</v>
      </c>
      <c r="S449">
        <v>35</v>
      </c>
      <c r="T449" s="16">
        <f t="shared" si="77"/>
        <v>0.3200383621137402</v>
      </c>
    </row>
    <row r="450" spans="1:20">
      <c r="B450">
        <f t="shared" si="73"/>
        <v>447</v>
      </c>
      <c r="C450">
        <f t="shared" si="67"/>
        <v>31</v>
      </c>
      <c r="D450">
        <v>426</v>
      </c>
      <c r="E450">
        <v>457</v>
      </c>
      <c r="F450">
        <f>PMSPLINE!F$18</f>
        <v>0.28999999999999998</v>
      </c>
      <c r="G450">
        <f>PMSPLINE!F$19</f>
        <v>0.46833216623671287</v>
      </c>
      <c r="H450" s="5">
        <f>PMSPLINE!K$18</f>
        <v>1.8140603957084818E-4</v>
      </c>
      <c r="I450" s="5">
        <f>PMSPLINE!K$19</f>
        <v>-5.5670811520305786E-4</v>
      </c>
      <c r="J450">
        <f t="shared" si="68"/>
        <v>0.32258064516129031</v>
      </c>
      <c r="K450">
        <f t="shared" si="69"/>
        <v>0.67741935483870963</v>
      </c>
      <c r="M450" s="6">
        <f t="shared" si="71"/>
        <v>0.41080566099906357</v>
      </c>
      <c r="N450" s="6">
        <f t="shared" si="76"/>
        <v>0.43509247076956026</v>
      </c>
      <c r="O450" s="6">
        <f t="shared" si="74"/>
        <v>706.55112467569404</v>
      </c>
      <c r="P450" s="6">
        <f t="shared" si="75"/>
        <v>706.30189276030796</v>
      </c>
      <c r="Q450" s="6">
        <f t="shared" si="72"/>
        <v>0.43509247076956026</v>
      </c>
      <c r="S450">
        <v>36</v>
      </c>
      <c r="T450" s="16">
        <f t="shared" si="77"/>
        <v>0.32687856804699328</v>
      </c>
    </row>
    <row r="451" spans="1:20">
      <c r="B451">
        <f t="shared" si="73"/>
        <v>448</v>
      </c>
      <c r="C451">
        <f t="shared" si="67"/>
        <v>31</v>
      </c>
      <c r="D451">
        <v>426</v>
      </c>
      <c r="E451">
        <v>457</v>
      </c>
      <c r="F451">
        <f>PMSPLINE!F$18</f>
        <v>0.28999999999999998</v>
      </c>
      <c r="G451">
        <f>PMSPLINE!F$19</f>
        <v>0.46833216623671287</v>
      </c>
      <c r="H451" s="5">
        <f>PMSPLINE!K$18</f>
        <v>1.8140603957084818E-4</v>
      </c>
      <c r="I451" s="5">
        <f>PMSPLINE!K$19</f>
        <v>-5.5670811520305786E-4</v>
      </c>
      <c r="J451">
        <f t="shared" si="68"/>
        <v>0.29032258064516131</v>
      </c>
      <c r="K451">
        <f t="shared" si="69"/>
        <v>0.70967741935483875</v>
      </c>
      <c r="M451" s="6">
        <f t="shared" si="71"/>
        <v>0.41655831152282852</v>
      </c>
      <c r="N451" s="6">
        <f t="shared" si="76"/>
        <v>0.44024303801497783</v>
      </c>
      <c r="O451" s="6">
        <f t="shared" si="74"/>
        <v>706.9676829872169</v>
      </c>
      <c r="P451" s="6">
        <f t="shared" si="75"/>
        <v>706.74213579832292</v>
      </c>
      <c r="Q451" s="6">
        <f t="shared" si="72"/>
        <v>0.44024303801497783</v>
      </c>
      <c r="S451">
        <v>37</v>
      </c>
      <c r="T451" s="16">
        <f t="shared" si="77"/>
        <v>0.33480897691004141</v>
      </c>
    </row>
    <row r="452" spans="1:20">
      <c r="B452">
        <f t="shared" si="73"/>
        <v>449</v>
      </c>
      <c r="C452">
        <f t="shared" ref="C452:C460" si="78">E452-D452</f>
        <v>31</v>
      </c>
      <c r="D452">
        <v>426</v>
      </c>
      <c r="E452">
        <v>457</v>
      </c>
      <c r="F452">
        <f>PMSPLINE!F$18</f>
        <v>0.28999999999999998</v>
      </c>
      <c r="G452">
        <f>PMSPLINE!F$19</f>
        <v>0.46833216623671287</v>
      </c>
      <c r="H452" s="5">
        <f>PMSPLINE!K$18</f>
        <v>1.8140603957084818E-4</v>
      </c>
      <c r="I452" s="5">
        <f>PMSPLINE!K$19</f>
        <v>-5.5670811520305786E-4</v>
      </c>
      <c r="J452">
        <f t="shared" ref="J452:J460" si="79">(E452-B452)/C452</f>
        <v>0.25806451612903225</v>
      </c>
      <c r="K452">
        <f t="shared" ref="K452:K460" si="80">(B452-D452)/C452</f>
        <v>0.74193548387096775</v>
      </c>
      <c r="M452" s="6">
        <f t="shared" ref="M452:M460" si="81">J452*F452+K452*G452</f>
        <v>0.42231096204659341</v>
      </c>
      <c r="N452" s="6">
        <f t="shared" si="76"/>
        <v>0.44505118835141694</v>
      </c>
      <c r="O452" s="6">
        <f t="shared" si="74"/>
        <v>707.3899939492635</v>
      </c>
      <c r="P452" s="6">
        <f t="shared" si="75"/>
        <v>707.18718698667431</v>
      </c>
      <c r="Q452" s="6">
        <f t="shared" ref="Q452:Q460" si="82">M452+(((J452^3-J452)*H452+(K452^3-K452)*I452))*(C452^2)/6</f>
        <v>0.44505118835141694</v>
      </c>
      <c r="S452">
        <v>38</v>
      </c>
      <c r="T452" s="16">
        <f t="shared" si="77"/>
        <v>0.34390892432542064</v>
      </c>
    </row>
    <row r="453" spans="1:20">
      <c r="B453">
        <f t="shared" ref="B453:B460" si="83">B452+1</f>
        <v>450</v>
      </c>
      <c r="C453">
        <f t="shared" si="78"/>
        <v>31</v>
      </c>
      <c r="D453">
        <v>426</v>
      </c>
      <c r="E453">
        <v>457</v>
      </c>
      <c r="F453">
        <f>PMSPLINE!F$18</f>
        <v>0.28999999999999998</v>
      </c>
      <c r="G453">
        <f>PMSPLINE!F$19</f>
        <v>0.46833216623671287</v>
      </c>
      <c r="H453" s="5">
        <f>PMSPLINE!K$18</f>
        <v>1.8140603957084818E-4</v>
      </c>
      <c r="I453" s="5">
        <f>PMSPLINE!K$19</f>
        <v>-5.5670811520305786E-4</v>
      </c>
      <c r="J453">
        <f t="shared" si="79"/>
        <v>0.22580645161290322</v>
      </c>
      <c r="K453">
        <f t="shared" si="80"/>
        <v>0.77419354838709675</v>
      </c>
      <c r="M453" s="6">
        <f t="shared" si="81"/>
        <v>0.42806361257035835</v>
      </c>
      <c r="N453" s="6">
        <f t="shared" si="76"/>
        <v>0.44949311164485278</v>
      </c>
      <c r="O453" s="6">
        <f t="shared" ref="O453:O460" si="84">O452+M453</f>
        <v>707.81805756183383</v>
      </c>
      <c r="P453" s="6">
        <f t="shared" ref="P453:P460" si="85">P452+N453</f>
        <v>707.63668009831918</v>
      </c>
      <c r="Q453" s="6">
        <f t="shared" si="82"/>
        <v>0.44949311164485278</v>
      </c>
      <c r="S453">
        <v>39</v>
      </c>
      <c r="T453" s="16">
        <f t="shared" si="77"/>
        <v>0.35425774591566722</v>
      </c>
    </row>
    <row r="454" spans="1:20">
      <c r="B454">
        <f t="shared" si="83"/>
        <v>451</v>
      </c>
      <c r="C454">
        <f t="shared" si="78"/>
        <v>31</v>
      </c>
      <c r="D454">
        <v>426</v>
      </c>
      <c r="E454">
        <v>457</v>
      </c>
      <c r="F454">
        <f>PMSPLINE!F$18</f>
        <v>0.28999999999999998</v>
      </c>
      <c r="G454">
        <f>PMSPLINE!F$19</f>
        <v>0.46833216623671287</v>
      </c>
      <c r="H454" s="5">
        <f>PMSPLINE!K$18</f>
        <v>1.8140603957084818E-4</v>
      </c>
      <c r="I454" s="5">
        <f>PMSPLINE!K$19</f>
        <v>-5.5670811520305786E-4</v>
      </c>
      <c r="J454">
        <f t="shared" si="79"/>
        <v>0.19354838709677419</v>
      </c>
      <c r="K454">
        <f t="shared" si="80"/>
        <v>0.80645161290322576</v>
      </c>
      <c r="M454" s="6">
        <f t="shared" si="81"/>
        <v>0.43381626309412324</v>
      </c>
      <c r="N454" s="6">
        <f t="shared" si="76"/>
        <v>0.45354499776126023</v>
      </c>
      <c r="O454" s="6">
        <f t="shared" si="84"/>
        <v>708.251873824928</v>
      </c>
      <c r="P454" s="6">
        <f t="shared" si="85"/>
        <v>708.09022509608042</v>
      </c>
      <c r="Q454" s="6">
        <f t="shared" si="82"/>
        <v>0.45354499776126023</v>
      </c>
      <c r="S454">
        <v>40</v>
      </c>
      <c r="T454" s="16">
        <f t="shared" si="77"/>
        <v>0.36593477730331719</v>
      </c>
    </row>
    <row r="455" spans="1:20">
      <c r="B455">
        <f t="shared" si="83"/>
        <v>452</v>
      </c>
      <c r="C455">
        <f t="shared" si="78"/>
        <v>31</v>
      </c>
      <c r="D455">
        <v>426</v>
      </c>
      <c r="E455">
        <v>457</v>
      </c>
      <c r="F455">
        <f>PMSPLINE!F$18</f>
        <v>0.28999999999999998</v>
      </c>
      <c r="G455">
        <f>PMSPLINE!F$19</f>
        <v>0.46833216623671287</v>
      </c>
      <c r="H455" s="5">
        <f>PMSPLINE!K$18</f>
        <v>1.8140603957084818E-4</v>
      </c>
      <c r="I455" s="5">
        <f>PMSPLINE!K$19</f>
        <v>-5.5670811520305786E-4</v>
      </c>
      <c r="J455">
        <f t="shared" si="79"/>
        <v>0.16129032258064516</v>
      </c>
      <c r="K455">
        <f t="shared" si="80"/>
        <v>0.83870967741935487</v>
      </c>
      <c r="M455" s="6">
        <f t="shared" si="81"/>
        <v>0.43956891361788819</v>
      </c>
      <c r="N455" s="6">
        <f t="shared" si="76"/>
        <v>0.45718303656661446</v>
      </c>
      <c r="O455" s="6">
        <f t="shared" si="84"/>
        <v>708.6914427385459</v>
      </c>
      <c r="P455" s="6">
        <f t="shared" si="85"/>
        <v>708.54740813264698</v>
      </c>
      <c r="Q455" s="6">
        <f t="shared" si="82"/>
        <v>0.45718303656661446</v>
      </c>
      <c r="S455">
        <v>41</v>
      </c>
      <c r="T455" s="16">
        <f t="shared" si="77"/>
        <v>0.37901935411090687</v>
      </c>
    </row>
    <row r="456" spans="1:20">
      <c r="B456">
        <f t="shared" si="83"/>
        <v>453</v>
      </c>
      <c r="C456">
        <f t="shared" si="78"/>
        <v>31</v>
      </c>
      <c r="D456">
        <v>426</v>
      </c>
      <c r="E456">
        <v>457</v>
      </c>
      <c r="F456">
        <f>PMSPLINE!F$18</f>
        <v>0.28999999999999998</v>
      </c>
      <c r="G456">
        <f>PMSPLINE!F$19</f>
        <v>0.46833216623671287</v>
      </c>
      <c r="H456" s="5">
        <f>PMSPLINE!K$18</f>
        <v>1.8140603957084818E-4</v>
      </c>
      <c r="I456" s="5">
        <f>PMSPLINE!K$19</f>
        <v>-5.5670811520305786E-4</v>
      </c>
      <c r="J456">
        <f t="shared" si="79"/>
        <v>0.12903225806451613</v>
      </c>
      <c r="K456">
        <f t="shared" si="80"/>
        <v>0.87096774193548387</v>
      </c>
      <c r="M456" s="6">
        <f t="shared" si="81"/>
        <v>0.44532156414165314</v>
      </c>
      <c r="N456" s="6">
        <f t="shared" si="76"/>
        <v>0.46038341792689053</v>
      </c>
      <c r="O456" s="6">
        <f t="shared" si="84"/>
        <v>709.13676430268754</v>
      </c>
      <c r="P456" s="6">
        <f t="shared" si="85"/>
        <v>709.00779155057387</v>
      </c>
      <c r="Q456" s="6">
        <f t="shared" si="82"/>
        <v>0.46038341792689053</v>
      </c>
      <c r="S456">
        <v>42</v>
      </c>
      <c r="T456" s="16">
        <f t="shared" si="77"/>
        <v>0.39359081196097212</v>
      </c>
    </row>
    <row r="457" spans="1:20">
      <c r="B457">
        <f t="shared" si="83"/>
        <v>454</v>
      </c>
      <c r="C457">
        <f t="shared" si="78"/>
        <v>31</v>
      </c>
      <c r="D457">
        <v>426</v>
      </c>
      <c r="E457">
        <v>457</v>
      </c>
      <c r="F457">
        <f>PMSPLINE!F$18</f>
        <v>0.28999999999999998</v>
      </c>
      <c r="G457">
        <f>PMSPLINE!F$19</f>
        <v>0.46833216623671287</v>
      </c>
      <c r="H457" s="5">
        <f>PMSPLINE!K$18</f>
        <v>1.8140603957084818E-4</v>
      </c>
      <c r="I457" s="5">
        <f>PMSPLINE!K$19</f>
        <v>-5.5670811520305786E-4</v>
      </c>
      <c r="J457">
        <f t="shared" si="79"/>
        <v>9.6774193548387094E-2</v>
      </c>
      <c r="K457">
        <f t="shared" si="80"/>
        <v>0.90322580645161288</v>
      </c>
      <c r="M457" s="6">
        <f t="shared" si="81"/>
        <v>0.45107421466541808</v>
      </c>
      <c r="N457" s="6">
        <f t="shared" si="76"/>
        <v>0.46312233170806333</v>
      </c>
      <c r="O457" s="6">
        <f t="shared" si="84"/>
        <v>709.58783851735291</v>
      </c>
      <c r="P457" s="6">
        <f t="shared" si="85"/>
        <v>709.47091388228193</v>
      </c>
      <c r="Q457" s="6">
        <f t="shared" si="82"/>
        <v>0.46312233170806333</v>
      </c>
      <c r="S457">
        <v>43</v>
      </c>
      <c r="T457" s="16">
        <f t="shared" si="77"/>
        <v>0.40972848647604926</v>
      </c>
    </row>
    <row r="458" spans="1:20">
      <c r="B458">
        <f t="shared" si="83"/>
        <v>455</v>
      </c>
      <c r="C458">
        <f t="shared" si="78"/>
        <v>31</v>
      </c>
      <c r="D458">
        <v>426</v>
      </c>
      <c r="E458">
        <v>457</v>
      </c>
      <c r="F458">
        <f>PMSPLINE!F$18</f>
        <v>0.28999999999999998</v>
      </c>
      <c r="G458">
        <f>PMSPLINE!F$19</f>
        <v>0.46833216623671287</v>
      </c>
      <c r="H458" s="5">
        <f>PMSPLINE!K$18</f>
        <v>1.8140603957084818E-4</v>
      </c>
      <c r="I458" s="5">
        <f>PMSPLINE!K$19</f>
        <v>-5.5670811520305786E-4</v>
      </c>
      <c r="J458">
        <f t="shared" si="79"/>
        <v>6.4516129032258063E-2</v>
      </c>
      <c r="K458">
        <f t="shared" si="80"/>
        <v>0.93548387096774188</v>
      </c>
      <c r="M458" s="6">
        <f t="shared" si="81"/>
        <v>0.45682686518918303</v>
      </c>
      <c r="N458" s="6">
        <f t="shared" si="76"/>
        <v>0.46537596777610796</v>
      </c>
      <c r="O458" s="6">
        <f t="shared" si="84"/>
        <v>710.04466538254212</v>
      </c>
      <c r="P458" s="6">
        <f t="shared" si="85"/>
        <v>709.93628985005807</v>
      </c>
      <c r="Q458" s="6">
        <f t="shared" si="82"/>
        <v>0.46537596777610796</v>
      </c>
      <c r="S458">
        <v>44</v>
      </c>
      <c r="T458" s="16">
        <f t="shared" si="77"/>
        <v>0.42751171327867432</v>
      </c>
    </row>
    <row r="459" spans="1:20">
      <c r="B459">
        <f t="shared" si="83"/>
        <v>456</v>
      </c>
      <c r="C459">
        <f t="shared" si="78"/>
        <v>31</v>
      </c>
      <c r="D459">
        <v>426</v>
      </c>
      <c r="E459">
        <v>457</v>
      </c>
      <c r="F459">
        <f>PMSPLINE!F$18</f>
        <v>0.28999999999999998</v>
      </c>
      <c r="G459">
        <f>PMSPLINE!F$19</f>
        <v>0.46833216623671287</v>
      </c>
      <c r="H459" s="5">
        <f>PMSPLINE!K$18</f>
        <v>1.8140603957084818E-4</v>
      </c>
      <c r="I459" s="5">
        <f>PMSPLINE!K$19</f>
        <v>-5.5670811520305786E-4</v>
      </c>
      <c r="J459">
        <f t="shared" si="79"/>
        <v>3.2258064516129031E-2</v>
      </c>
      <c r="K459">
        <f t="shared" si="80"/>
        <v>0.967741935483871</v>
      </c>
      <c r="M459" s="6">
        <f t="shared" si="81"/>
        <v>0.46257951571294792</v>
      </c>
      <c r="N459" s="6">
        <f t="shared" si="76"/>
        <v>0.46712051599699944</v>
      </c>
      <c r="O459" s="6">
        <f t="shared" si="84"/>
        <v>710.50724489825507</v>
      </c>
      <c r="P459" s="6">
        <f t="shared" si="85"/>
        <v>710.40341036605503</v>
      </c>
      <c r="Q459" s="6">
        <f t="shared" si="82"/>
        <v>0.46712051599699944</v>
      </c>
      <c r="S459">
        <v>45</v>
      </c>
      <c r="T459" s="16">
        <f t="shared" si="77"/>
        <v>0.44701982799138351</v>
      </c>
    </row>
    <row r="460" spans="1:20">
      <c r="A460">
        <v>457</v>
      </c>
      <c r="B460">
        <f t="shared" si="83"/>
        <v>457</v>
      </c>
      <c r="C460">
        <f t="shared" si="78"/>
        <v>31</v>
      </c>
      <c r="D460">
        <v>426</v>
      </c>
      <c r="E460">
        <v>457</v>
      </c>
      <c r="F460">
        <f>PMSPLINE!F$18</f>
        <v>0.28999999999999998</v>
      </c>
      <c r="G460">
        <f>PMSPLINE!F$19</f>
        <v>0.46833216623671287</v>
      </c>
      <c r="H460" s="5">
        <f>PMSPLINE!K$18</f>
        <v>1.8140603957084818E-4</v>
      </c>
      <c r="I460" s="5">
        <f>PMSPLINE!K$19</f>
        <v>-5.5670811520305786E-4</v>
      </c>
      <c r="J460">
        <f t="shared" si="79"/>
        <v>0</v>
      </c>
      <c r="K460">
        <f t="shared" si="80"/>
        <v>1</v>
      </c>
      <c r="M460" s="6">
        <f t="shared" si="81"/>
        <v>0.46833216623671287</v>
      </c>
      <c r="N460" s="6">
        <f t="shared" si="76"/>
        <v>0.46833216623671287</v>
      </c>
      <c r="O460" s="6">
        <f t="shared" si="84"/>
        <v>710.97557706449174</v>
      </c>
      <c r="P460" s="6">
        <f t="shared" si="85"/>
        <v>710.87174253229171</v>
      </c>
      <c r="Q460" s="6">
        <f t="shared" si="82"/>
        <v>0.46833216623671287</v>
      </c>
      <c r="S460">
        <v>46</v>
      </c>
      <c r="T460" s="16">
        <f t="shared" si="77"/>
        <v>0.46833216623671287</v>
      </c>
    </row>
    <row r="461" spans="1:20">
      <c r="H461" s="5"/>
      <c r="I461" s="5"/>
      <c r="M461" s="6"/>
      <c r="N461" s="6"/>
      <c r="O461" s="6"/>
      <c r="P461" s="6"/>
      <c r="S461">
        <v>47</v>
      </c>
      <c r="T461" s="16">
        <f t="shared" si="77"/>
        <v>0.4914907237823789</v>
      </c>
    </row>
    <row r="462" spans="1:20">
      <c r="S462">
        <v>48</v>
      </c>
      <c r="T462" s="16">
        <f t="shared" si="77"/>
        <v>0.51638813697681918</v>
      </c>
    </row>
    <row r="463" spans="1:20">
      <c r="S463">
        <v>49</v>
      </c>
      <c r="T463" s="16">
        <f t="shared" si="77"/>
        <v>0.54287970231365179</v>
      </c>
    </row>
    <row r="464" spans="1:20">
      <c r="S464">
        <v>50</v>
      </c>
      <c r="T464" s="16">
        <f t="shared" si="77"/>
        <v>0.57082071628649456</v>
      </c>
    </row>
    <row r="465" spans="19:20">
      <c r="S465">
        <v>51</v>
      </c>
      <c r="T465" s="16">
        <f t="shared" si="77"/>
        <v>0.60006647538896551</v>
      </c>
    </row>
    <row r="466" spans="19:20">
      <c r="S466">
        <v>52</v>
      </c>
      <c r="T466" s="16">
        <f t="shared" si="77"/>
        <v>0.63047227611468248</v>
      </c>
    </row>
    <row r="467" spans="19:20">
      <c r="S467">
        <v>53</v>
      </c>
      <c r="T467" s="16">
        <f t="shared" si="77"/>
        <v>0.66189341495726361</v>
      </c>
    </row>
    <row r="468" spans="19:20">
      <c r="S468">
        <v>54</v>
      </c>
      <c r="T468" s="16">
        <f t="shared" si="77"/>
        <v>0.69418518841032661</v>
      </c>
    </row>
    <row r="469" spans="19:20">
      <c r="S469">
        <v>55</v>
      </c>
      <c r="T469" s="16">
        <f t="shared" si="77"/>
        <v>0.72720289296748974</v>
      </c>
    </row>
    <row r="470" spans="19:20">
      <c r="S470">
        <v>56</v>
      </c>
      <c r="T470" s="16">
        <f t="shared" si="77"/>
        <v>0.76080182512237071</v>
      </c>
    </row>
    <row r="471" spans="19:20">
      <c r="S471">
        <v>57</v>
      </c>
      <c r="T471" s="16">
        <f t="shared" si="77"/>
        <v>0.79483728136858767</v>
      </c>
    </row>
    <row r="472" spans="19:20">
      <c r="S472">
        <v>58</v>
      </c>
      <c r="T472" s="16">
        <f t="shared" si="77"/>
        <v>0.82916455819975843</v>
      </c>
    </row>
    <row r="473" spans="19:20">
      <c r="S473">
        <v>59</v>
      </c>
      <c r="T473" s="16">
        <f t="shared" si="77"/>
        <v>0.86363895210950103</v>
      </c>
    </row>
    <row r="474" spans="19:20">
      <c r="S474">
        <v>60</v>
      </c>
      <c r="T474" s="16">
        <f t="shared" si="77"/>
        <v>0.8981157595914333</v>
      </c>
    </row>
    <row r="475" spans="19:20">
      <c r="S475">
        <v>61</v>
      </c>
      <c r="T475" s="16">
        <f t="shared" si="77"/>
        <v>0.93245027713917328</v>
      </c>
    </row>
    <row r="476" spans="19:20">
      <c r="S476">
        <v>62</v>
      </c>
      <c r="T476" s="16">
        <f t="shared" si="77"/>
        <v>0.96649780124633888</v>
      </c>
    </row>
    <row r="477" spans="19:20">
      <c r="S477">
        <v>63</v>
      </c>
      <c r="T477" s="16">
        <f t="shared" si="77"/>
        <v>1.0001136284065482</v>
      </c>
    </row>
    <row r="478" spans="19:20">
      <c r="S478">
        <v>64</v>
      </c>
      <c r="T478" s="16">
        <f t="shared" si="77"/>
        <v>1.0331530551134189</v>
      </c>
    </row>
    <row r="479" spans="19:20">
      <c r="S479">
        <v>65</v>
      </c>
      <c r="T479" s="16">
        <f t="shared" si="77"/>
        <v>1.0654713778605693</v>
      </c>
    </row>
    <row r="480" spans="19:20">
      <c r="S480">
        <v>66</v>
      </c>
      <c r="T480" s="16">
        <f t="shared" ref="T480:T543" si="86">N115</f>
        <v>1.096923893141617</v>
      </c>
    </row>
    <row r="481" spans="19:20">
      <c r="S481">
        <v>67</v>
      </c>
      <c r="T481" s="16">
        <f t="shared" si="86"/>
        <v>1.1273658974501801</v>
      </c>
    </row>
    <row r="482" spans="19:20">
      <c r="S482">
        <v>68</v>
      </c>
      <c r="T482" s="16">
        <f t="shared" si="86"/>
        <v>1.1566526872798768</v>
      </c>
    </row>
    <row r="483" spans="19:20">
      <c r="S483">
        <v>69</v>
      </c>
      <c r="T483" s="16">
        <f t="shared" si="86"/>
        <v>1.1846395591243248</v>
      </c>
    </row>
    <row r="484" spans="19:20">
      <c r="S484">
        <v>70</v>
      </c>
      <c r="T484" s="16">
        <f t="shared" si="86"/>
        <v>1.211181809477142</v>
      </c>
    </row>
    <row r="485" spans="19:20">
      <c r="S485">
        <v>71</v>
      </c>
      <c r="T485" s="16">
        <f t="shared" si="86"/>
        <v>1.2361347348319465</v>
      </c>
    </row>
    <row r="486" spans="19:20">
      <c r="S486">
        <v>72</v>
      </c>
      <c r="T486" s="16">
        <f t="shared" si="86"/>
        <v>1.2593536316823561</v>
      </c>
    </row>
    <row r="487" spans="19:20">
      <c r="S487">
        <v>73</v>
      </c>
      <c r="T487" s="16">
        <f t="shared" si="86"/>
        <v>1.2806937965219891</v>
      </c>
    </row>
    <row r="488" spans="19:20">
      <c r="S488">
        <v>74</v>
      </c>
      <c r="T488" s="16">
        <f t="shared" si="86"/>
        <v>1.3000105258444627</v>
      </c>
    </row>
    <row r="489" spans="19:20">
      <c r="S489">
        <v>75</v>
      </c>
      <c r="T489" s="16">
        <f t="shared" si="86"/>
        <v>1.3171591161433958</v>
      </c>
    </row>
    <row r="490" spans="19:20">
      <c r="S490">
        <v>76</v>
      </c>
      <c r="T490" s="16">
        <f t="shared" si="86"/>
        <v>1.3319948639124057</v>
      </c>
    </row>
    <row r="491" spans="19:20">
      <c r="S491">
        <v>77</v>
      </c>
      <c r="T491" s="16">
        <f t="shared" si="86"/>
        <v>1.3444261383962139</v>
      </c>
    </row>
    <row r="492" spans="19:20">
      <c r="S492">
        <v>78</v>
      </c>
      <c r="T492" s="16">
        <f t="shared" si="86"/>
        <v>1.3545735998439545</v>
      </c>
    </row>
    <row r="493" spans="19:20">
      <c r="S493">
        <v>79</v>
      </c>
      <c r="T493" s="16">
        <f t="shared" si="86"/>
        <v>1.3626109812558653</v>
      </c>
    </row>
    <row r="494" spans="19:20">
      <c r="S494">
        <v>80</v>
      </c>
      <c r="T494" s="16">
        <f t="shared" si="86"/>
        <v>1.3687120156321837</v>
      </c>
    </row>
    <row r="495" spans="19:20">
      <c r="S495">
        <v>81</v>
      </c>
      <c r="T495" s="16">
        <f t="shared" si="86"/>
        <v>1.3730504359731475</v>
      </c>
    </row>
    <row r="496" spans="19:20">
      <c r="S496">
        <v>82</v>
      </c>
      <c r="T496" s="16">
        <f t="shared" si="86"/>
        <v>1.3757999752789938</v>
      </c>
    </row>
    <row r="497" spans="19:20">
      <c r="S497">
        <v>83</v>
      </c>
      <c r="T497" s="16">
        <f t="shared" si="86"/>
        <v>1.3771343665499607</v>
      </c>
    </row>
    <row r="498" spans="19:20">
      <c r="S498">
        <v>84</v>
      </c>
      <c r="T498" s="16">
        <f t="shared" si="86"/>
        <v>1.3772273427862851</v>
      </c>
    </row>
    <row r="499" spans="19:20">
      <c r="S499">
        <v>85</v>
      </c>
      <c r="T499" s="16">
        <f t="shared" si="86"/>
        <v>1.3762526369882051</v>
      </c>
    </row>
    <row r="500" spans="19:20">
      <c r="S500">
        <v>86</v>
      </c>
      <c r="T500" s="16">
        <f t="shared" si="86"/>
        <v>1.3743839821559578</v>
      </c>
    </row>
    <row r="501" spans="19:20">
      <c r="S501">
        <v>87</v>
      </c>
      <c r="T501" s="16">
        <f t="shared" si="86"/>
        <v>1.3717951112897815</v>
      </c>
    </row>
    <row r="502" spans="19:20">
      <c r="S502">
        <v>88</v>
      </c>
      <c r="T502" s="16">
        <f t="shared" si="86"/>
        <v>1.3686597573899133</v>
      </c>
    </row>
    <row r="503" spans="19:20">
      <c r="S503">
        <v>89</v>
      </c>
      <c r="T503" s="16">
        <f t="shared" si="86"/>
        <v>1.3651516534565904</v>
      </c>
    </row>
    <row r="504" spans="19:20">
      <c r="S504">
        <v>90</v>
      </c>
      <c r="T504" s="16">
        <f t="shared" si="86"/>
        <v>1.3614445324900508</v>
      </c>
    </row>
    <row r="505" spans="19:20">
      <c r="S505">
        <v>91</v>
      </c>
      <c r="T505" s="16">
        <f t="shared" si="86"/>
        <v>1.3577121274905322</v>
      </c>
    </row>
    <row r="506" spans="19:20">
      <c r="S506">
        <v>92</v>
      </c>
      <c r="T506" s="16">
        <f t="shared" si="86"/>
        <v>1.3541281714582716</v>
      </c>
    </row>
    <row r="507" spans="19:20">
      <c r="S507">
        <v>93</v>
      </c>
      <c r="T507" s="16">
        <f t="shared" si="86"/>
        <v>1.3508663973935069</v>
      </c>
    </row>
    <row r="508" spans="19:20">
      <c r="S508">
        <v>94</v>
      </c>
      <c r="T508" s="16">
        <f t="shared" si="86"/>
        <v>1.3481005382964759</v>
      </c>
    </row>
    <row r="509" spans="19:20">
      <c r="S509">
        <v>95</v>
      </c>
      <c r="T509" s="16">
        <f t="shared" si="86"/>
        <v>1.3460043271674156</v>
      </c>
    </row>
    <row r="510" spans="19:20">
      <c r="S510">
        <v>96</v>
      </c>
      <c r="T510" s="16">
        <f t="shared" si="86"/>
        <v>1.3447514970065642</v>
      </c>
    </row>
    <row r="511" spans="19:20">
      <c r="S511">
        <v>97</v>
      </c>
      <c r="T511" s="16">
        <f t="shared" si="86"/>
        <v>1.3445157808141583</v>
      </c>
    </row>
    <row r="512" spans="19:20">
      <c r="S512">
        <v>98</v>
      </c>
      <c r="T512" s="16">
        <f t="shared" si="86"/>
        <v>1.3454709115904369</v>
      </c>
    </row>
    <row r="513" spans="19:20">
      <c r="S513">
        <v>99</v>
      </c>
      <c r="T513" s="16">
        <f t="shared" si="86"/>
        <v>1.3477906223356362</v>
      </c>
    </row>
    <row r="514" spans="19:20">
      <c r="S514">
        <v>100</v>
      </c>
      <c r="T514" s="16">
        <f t="shared" si="86"/>
        <v>1.3516486460499944</v>
      </c>
    </row>
    <row r="515" spans="19:20">
      <c r="S515">
        <v>101</v>
      </c>
      <c r="T515" s="16">
        <f t="shared" si="86"/>
        <v>1.3572187157337487</v>
      </c>
    </row>
    <row r="516" spans="19:20">
      <c r="S516">
        <v>102</v>
      </c>
      <c r="T516" s="16">
        <f t="shared" si="86"/>
        <v>1.3646745643871374</v>
      </c>
    </row>
    <row r="517" spans="19:20">
      <c r="S517">
        <v>103</v>
      </c>
      <c r="T517" s="16">
        <f t="shared" si="86"/>
        <v>1.3741899250103971</v>
      </c>
    </row>
    <row r="518" spans="19:20">
      <c r="S518">
        <v>104</v>
      </c>
      <c r="T518" s="16">
        <f t="shared" si="86"/>
        <v>1.3859385306037662</v>
      </c>
    </row>
    <row r="519" spans="19:20">
      <c r="S519">
        <v>105</v>
      </c>
      <c r="T519" s="16">
        <f t="shared" si="86"/>
        <v>1.4000941141674814</v>
      </c>
    </row>
    <row r="520" spans="19:20">
      <c r="S520">
        <v>106</v>
      </c>
      <c r="T520" s="16">
        <f t="shared" si="86"/>
        <v>1.4168304087017813</v>
      </c>
    </row>
    <row r="521" spans="19:20">
      <c r="S521">
        <v>107</v>
      </c>
      <c r="T521" s="16">
        <f t="shared" si="86"/>
        <v>1.4363211472069024</v>
      </c>
    </row>
    <row r="522" spans="19:20">
      <c r="S522">
        <v>108</v>
      </c>
      <c r="T522" s="16">
        <f t="shared" si="86"/>
        <v>1.4586920641558638</v>
      </c>
    </row>
    <row r="523" spans="19:20">
      <c r="S523">
        <v>109</v>
      </c>
      <c r="T523" s="16">
        <f t="shared" si="86"/>
        <v>1.4838768999128071</v>
      </c>
    </row>
    <row r="524" spans="19:20">
      <c r="S524">
        <v>110</v>
      </c>
      <c r="T524" s="16">
        <f t="shared" si="86"/>
        <v>1.5117613963146546</v>
      </c>
    </row>
    <row r="525" spans="19:20">
      <c r="S525">
        <v>111</v>
      </c>
      <c r="T525" s="16">
        <f t="shared" si="86"/>
        <v>1.5422312951983292</v>
      </c>
    </row>
    <row r="526" spans="19:20">
      <c r="S526">
        <v>112</v>
      </c>
      <c r="T526" s="16">
        <f t="shared" si="86"/>
        <v>1.5751723384007537</v>
      </c>
    </row>
    <row r="527" spans="19:20">
      <c r="S527">
        <v>113</v>
      </c>
      <c r="T527" s="16">
        <f t="shared" si="86"/>
        <v>1.6104702677588503</v>
      </c>
    </row>
    <row r="528" spans="19:20">
      <c r="S528">
        <v>114</v>
      </c>
      <c r="T528" s="16">
        <f t="shared" si="86"/>
        <v>1.6480108251095418</v>
      </c>
    </row>
    <row r="529" spans="19:20">
      <c r="S529">
        <v>115</v>
      </c>
      <c r="T529" s="16">
        <f t="shared" si="86"/>
        <v>1.6876797522897506</v>
      </c>
    </row>
    <row r="530" spans="19:20">
      <c r="S530">
        <v>116</v>
      </c>
      <c r="T530" s="16">
        <f t="shared" si="86"/>
        <v>1.7293627911363993</v>
      </c>
    </row>
    <row r="531" spans="19:20">
      <c r="S531">
        <v>117</v>
      </c>
      <c r="T531" s="16">
        <f t="shared" si="86"/>
        <v>1.772945683486411</v>
      </c>
    </row>
    <row r="532" spans="19:20">
      <c r="S532">
        <v>118</v>
      </c>
      <c r="T532" s="16">
        <f t="shared" si="86"/>
        <v>1.8183141711767077</v>
      </c>
    </row>
    <row r="533" spans="19:20">
      <c r="S533">
        <v>119</v>
      </c>
      <c r="T533" s="16">
        <f t="shared" si="86"/>
        <v>1.8653539960442129</v>
      </c>
    </row>
    <row r="534" spans="19:20">
      <c r="S534">
        <v>120</v>
      </c>
      <c r="T534" s="16">
        <f t="shared" si="86"/>
        <v>1.9139508999258481</v>
      </c>
    </row>
    <row r="535" spans="19:20">
      <c r="S535">
        <v>121</v>
      </c>
      <c r="T535" s="16">
        <f t="shared" si="86"/>
        <v>1.9639906246585359</v>
      </c>
    </row>
    <row r="536" spans="19:20">
      <c r="S536">
        <v>122</v>
      </c>
      <c r="T536" s="16">
        <f t="shared" si="86"/>
        <v>2.0153589120792001</v>
      </c>
    </row>
    <row r="537" spans="19:20">
      <c r="S537">
        <v>123</v>
      </c>
      <c r="T537" s="16">
        <f t="shared" si="86"/>
        <v>2.0679415040247622</v>
      </c>
    </row>
    <row r="538" spans="19:20">
      <c r="S538">
        <v>124</v>
      </c>
      <c r="T538" s="16">
        <f t="shared" si="86"/>
        <v>2.1216241423321454</v>
      </c>
    </row>
    <row r="539" spans="19:20">
      <c r="S539">
        <v>125</v>
      </c>
      <c r="T539" s="16">
        <f t="shared" si="86"/>
        <v>2.1762925688382717</v>
      </c>
    </row>
    <row r="540" spans="19:20">
      <c r="S540">
        <v>126</v>
      </c>
      <c r="T540" s="16">
        <f t="shared" si="86"/>
        <v>2.2318325253800646</v>
      </c>
    </row>
    <row r="541" spans="19:20">
      <c r="S541">
        <v>127</v>
      </c>
      <c r="T541" s="16">
        <f t="shared" si="86"/>
        <v>2.2881297537944461</v>
      </c>
    </row>
    <row r="542" spans="19:20">
      <c r="S542">
        <v>128</v>
      </c>
      <c r="T542" s="16">
        <f t="shared" si="86"/>
        <v>2.3450699959183381</v>
      </c>
    </row>
    <row r="543" spans="19:20">
      <c r="S543">
        <v>129</v>
      </c>
      <c r="T543" s="16">
        <f t="shared" si="86"/>
        <v>2.4025389935886645</v>
      </c>
    </row>
    <row r="544" spans="19:20">
      <c r="S544">
        <v>130</v>
      </c>
      <c r="T544" s="16">
        <f t="shared" ref="T544:T607" si="87">N179</f>
        <v>2.4604224886423482</v>
      </c>
    </row>
    <row r="545" spans="19:20">
      <c r="S545">
        <v>131</v>
      </c>
      <c r="T545" s="16">
        <f t="shared" si="87"/>
        <v>2.51860622291631</v>
      </c>
    </row>
    <row r="546" spans="19:20">
      <c r="S546">
        <v>132</v>
      </c>
      <c r="T546" s="16">
        <f t="shared" si="87"/>
        <v>2.5769759382474735</v>
      </c>
    </row>
    <row r="547" spans="19:20">
      <c r="S547">
        <v>133</v>
      </c>
      <c r="T547" s="16">
        <f t="shared" si="87"/>
        <v>2.6354173764727618</v>
      </c>
    </row>
    <row r="548" spans="19:20">
      <c r="S548">
        <v>134</v>
      </c>
      <c r="T548" s="16">
        <f t="shared" si="87"/>
        <v>2.6938162794290963</v>
      </c>
    </row>
    <row r="549" spans="19:20">
      <c r="S549">
        <v>135</v>
      </c>
      <c r="T549" s="16">
        <f t="shared" si="87"/>
        <v>2.7520583889534009</v>
      </c>
    </row>
    <row r="550" spans="19:20">
      <c r="S550">
        <v>136</v>
      </c>
      <c r="T550" s="16">
        <f t="shared" si="87"/>
        <v>2.8100294468825973</v>
      </c>
    </row>
    <row r="551" spans="19:20">
      <c r="S551">
        <v>137</v>
      </c>
      <c r="T551" s="16">
        <f t="shared" si="87"/>
        <v>2.8676151950536086</v>
      </c>
    </row>
    <row r="552" spans="19:20">
      <c r="S552">
        <v>138</v>
      </c>
      <c r="T552" s="16">
        <f t="shared" si="87"/>
        <v>2.9247146403846855</v>
      </c>
    </row>
    <row r="553" spans="19:20">
      <c r="S553">
        <v>139</v>
      </c>
      <c r="T553" s="16">
        <f t="shared" si="87"/>
        <v>2.9812798501193929</v>
      </c>
    </row>
    <row r="554" spans="19:20">
      <c r="S554">
        <v>140</v>
      </c>
      <c r="T554" s="16">
        <f t="shared" si="87"/>
        <v>3.0372761565826236</v>
      </c>
    </row>
    <row r="555" spans="19:20">
      <c r="S555">
        <v>141</v>
      </c>
      <c r="T555" s="16">
        <f t="shared" si="87"/>
        <v>3.0926688920992711</v>
      </c>
    </row>
    <row r="556" spans="19:20">
      <c r="S556">
        <v>142</v>
      </c>
      <c r="T556" s="16">
        <f t="shared" si="87"/>
        <v>3.1474233889942287</v>
      </c>
    </row>
    <row r="557" spans="19:20">
      <c r="S557">
        <v>143</v>
      </c>
      <c r="T557" s="16">
        <f t="shared" si="87"/>
        <v>3.2015049795923889</v>
      </c>
    </row>
    <row r="558" spans="19:20">
      <c r="S558">
        <v>144</v>
      </c>
      <c r="T558" s="16">
        <f t="shared" si="87"/>
        <v>3.254878996218646</v>
      </c>
    </row>
    <row r="559" spans="19:20">
      <c r="S559">
        <v>145</v>
      </c>
      <c r="T559" s="16">
        <f t="shared" si="87"/>
        <v>3.3075107711978906</v>
      </c>
    </row>
    <row r="560" spans="19:20">
      <c r="S560">
        <v>146</v>
      </c>
      <c r="T560" s="16">
        <f t="shared" si="87"/>
        <v>3.3593656368550193</v>
      </c>
    </row>
    <row r="561" spans="19:20">
      <c r="S561">
        <v>147</v>
      </c>
      <c r="T561" s="16">
        <f t="shared" si="87"/>
        <v>3.4104089255149224</v>
      </c>
    </row>
    <row r="562" spans="19:20">
      <c r="S562">
        <v>148</v>
      </c>
      <c r="T562" s="16">
        <f t="shared" si="87"/>
        <v>3.4606059695024944</v>
      </c>
    </row>
    <row r="563" spans="19:20">
      <c r="S563">
        <v>149</v>
      </c>
      <c r="T563" s="16">
        <f t="shared" si="87"/>
        <v>3.5099221011426276</v>
      </c>
    </row>
    <row r="564" spans="19:20">
      <c r="S564">
        <v>150</v>
      </c>
      <c r="T564" s="16">
        <f t="shared" si="87"/>
        <v>3.5583226527602165</v>
      </c>
    </row>
    <row r="565" spans="19:20">
      <c r="S565">
        <v>151</v>
      </c>
      <c r="T565" s="16">
        <f t="shared" si="87"/>
        <v>3.6057729566801524</v>
      </c>
    </row>
    <row r="566" spans="19:20">
      <c r="S566">
        <v>152</v>
      </c>
      <c r="T566" s="16">
        <f t="shared" si="87"/>
        <v>3.6522383452273299</v>
      </c>
    </row>
    <row r="567" spans="19:20">
      <c r="S567">
        <v>153</v>
      </c>
      <c r="T567" s="16">
        <f t="shared" si="87"/>
        <v>3.6976841507266416</v>
      </c>
    </row>
    <row r="568" spans="19:20">
      <c r="S568">
        <v>154</v>
      </c>
      <c r="T568" s="16">
        <f t="shared" si="87"/>
        <v>3.7420757055029803</v>
      </c>
    </row>
    <row r="569" spans="19:20">
      <c r="S569">
        <v>155</v>
      </c>
      <c r="T569" s="16">
        <f t="shared" si="87"/>
        <v>3.7853783418812403</v>
      </c>
    </row>
    <row r="570" spans="19:20">
      <c r="S570">
        <v>156</v>
      </c>
      <c r="T570" s="16">
        <f t="shared" si="87"/>
        <v>3.8275573921863124</v>
      </c>
    </row>
    <row r="571" spans="19:20">
      <c r="S571">
        <v>157</v>
      </c>
      <c r="T571" s="16">
        <f t="shared" si="87"/>
        <v>3.8685781887430926</v>
      </c>
    </row>
    <row r="572" spans="19:20">
      <c r="S572">
        <v>158</v>
      </c>
      <c r="T572" s="16">
        <f t="shared" si="87"/>
        <v>3.9084060638764724</v>
      </c>
    </row>
    <row r="573" spans="19:20">
      <c r="S573">
        <v>159</v>
      </c>
      <c r="T573" s="16">
        <f t="shared" si="87"/>
        <v>3.9470063499113448</v>
      </c>
    </row>
    <row r="574" spans="19:20">
      <c r="S574">
        <v>160</v>
      </c>
      <c r="T574" s="16">
        <f t="shared" si="87"/>
        <v>3.9843443791726036</v>
      </c>
    </row>
    <row r="575" spans="19:20">
      <c r="S575">
        <v>161</v>
      </c>
      <c r="T575" s="16">
        <f t="shared" si="87"/>
        <v>4.020385483985141</v>
      </c>
    </row>
    <row r="576" spans="19:20">
      <c r="S576">
        <v>162</v>
      </c>
      <c r="T576" s="16">
        <f t="shared" si="87"/>
        <v>4.0550949966738505</v>
      </c>
    </row>
    <row r="577" spans="19:20">
      <c r="S577">
        <v>163</v>
      </c>
      <c r="T577" s="16">
        <f t="shared" si="87"/>
        <v>4.0884382495636267</v>
      </c>
    </row>
    <row r="578" spans="19:20">
      <c r="S578">
        <v>164</v>
      </c>
      <c r="T578" s="16">
        <f t="shared" si="87"/>
        <v>4.1203805749793609</v>
      </c>
    </row>
    <row r="579" spans="19:20">
      <c r="S579">
        <v>165</v>
      </c>
      <c r="T579" s="16">
        <f t="shared" si="87"/>
        <v>4.1508873052459467</v>
      </c>
    </row>
    <row r="580" spans="19:20">
      <c r="S580">
        <v>166</v>
      </c>
      <c r="T580" s="16">
        <f t="shared" si="87"/>
        <v>4.1799237726882774</v>
      </c>
    </row>
    <row r="581" spans="19:20">
      <c r="S581">
        <v>167</v>
      </c>
      <c r="T581" s="16">
        <f t="shared" si="87"/>
        <v>4.2074553096312464</v>
      </c>
    </row>
    <row r="582" spans="19:20">
      <c r="S582">
        <v>168</v>
      </c>
      <c r="T582" s="16">
        <f t="shared" si="87"/>
        <v>4.2334472483997461</v>
      </c>
    </row>
    <row r="583" spans="19:20">
      <c r="S583">
        <v>169</v>
      </c>
      <c r="T583" s="16">
        <f t="shared" si="87"/>
        <v>4.2578756188899858</v>
      </c>
    </row>
    <row r="584" spans="19:20">
      <c r="S584">
        <v>170</v>
      </c>
      <c r="T584" s="16">
        <f t="shared" si="87"/>
        <v>4.2807592412834339</v>
      </c>
    </row>
    <row r="585" spans="19:20">
      <c r="S585">
        <v>171</v>
      </c>
      <c r="T585" s="16">
        <f t="shared" si="87"/>
        <v>4.3021276333328764</v>
      </c>
    </row>
    <row r="586" spans="19:20">
      <c r="S586">
        <v>172</v>
      </c>
      <c r="T586" s="16">
        <f t="shared" si="87"/>
        <v>4.3220103127910967</v>
      </c>
    </row>
    <row r="587" spans="19:20">
      <c r="S587">
        <v>173</v>
      </c>
      <c r="T587" s="16">
        <f t="shared" si="87"/>
        <v>4.3404367974108817</v>
      </c>
    </row>
    <row r="588" spans="19:20">
      <c r="S588">
        <v>174</v>
      </c>
      <c r="T588" s="16">
        <f t="shared" si="87"/>
        <v>4.3574366049450157</v>
      </c>
    </row>
    <row r="589" spans="19:20">
      <c r="S589">
        <v>175</v>
      </c>
      <c r="T589" s="16">
        <f t="shared" si="87"/>
        <v>4.3730392531462812</v>
      </c>
    </row>
    <row r="590" spans="19:20">
      <c r="S590">
        <v>176</v>
      </c>
      <c r="T590" s="16">
        <f t="shared" si="87"/>
        <v>4.387274259767465</v>
      </c>
    </row>
    <row r="591" spans="19:20">
      <c r="S591">
        <v>177</v>
      </c>
      <c r="T591" s="16">
        <f t="shared" si="87"/>
        <v>4.4001711425613523</v>
      </c>
    </row>
    <row r="592" spans="19:20">
      <c r="S592">
        <v>178</v>
      </c>
      <c r="T592" s="16">
        <f t="shared" si="87"/>
        <v>4.4117594192807275</v>
      </c>
    </row>
    <row r="593" spans="19:20">
      <c r="S593">
        <v>179</v>
      </c>
      <c r="T593" s="16">
        <f t="shared" si="87"/>
        <v>4.4220686076783746</v>
      </c>
    </row>
    <row r="594" spans="19:20">
      <c r="S594">
        <v>180</v>
      </c>
      <c r="T594" s="16">
        <f t="shared" si="87"/>
        <v>4.431128225507079</v>
      </c>
    </row>
    <row r="595" spans="19:20">
      <c r="S595">
        <v>181</v>
      </c>
      <c r="T595" s="16">
        <f t="shared" si="87"/>
        <v>4.4389677905196265</v>
      </c>
    </row>
    <row r="596" spans="19:20">
      <c r="S596">
        <v>182</v>
      </c>
      <c r="T596" s="16">
        <f t="shared" si="87"/>
        <v>4.4456168204688007</v>
      </c>
    </row>
    <row r="597" spans="19:20">
      <c r="S597">
        <v>183</v>
      </c>
      <c r="T597" s="16">
        <f t="shared" si="87"/>
        <v>4.4511048331073866</v>
      </c>
    </row>
    <row r="598" spans="19:20">
      <c r="S598">
        <v>184</v>
      </c>
      <c r="T598" s="16">
        <f t="shared" si="87"/>
        <v>4.4554613461881694</v>
      </c>
    </row>
    <row r="599" spans="19:20">
      <c r="S599">
        <v>185</v>
      </c>
      <c r="T599" s="16">
        <f t="shared" si="87"/>
        <v>4.4587158774639333</v>
      </c>
    </row>
    <row r="600" spans="19:20">
      <c r="S600">
        <v>186</v>
      </c>
      <c r="T600" s="16">
        <f t="shared" si="87"/>
        <v>4.4608979446874644</v>
      </c>
    </row>
    <row r="601" spans="19:20">
      <c r="S601">
        <v>187</v>
      </c>
      <c r="T601" s="16">
        <f t="shared" si="87"/>
        <v>4.462037065611546</v>
      </c>
    </row>
    <row r="602" spans="19:20">
      <c r="S602">
        <v>188</v>
      </c>
      <c r="T602" s="16">
        <f t="shared" si="87"/>
        <v>4.4621627579889642</v>
      </c>
    </row>
    <row r="603" spans="19:20">
      <c r="S603">
        <v>189</v>
      </c>
      <c r="T603" s="16">
        <f t="shared" si="87"/>
        <v>4.4613045395725024</v>
      </c>
    </row>
    <row r="604" spans="19:20">
      <c r="S604">
        <v>190</v>
      </c>
      <c r="T604" s="16">
        <f t="shared" si="87"/>
        <v>4.4594919281149474</v>
      </c>
    </row>
    <row r="605" spans="19:20">
      <c r="S605">
        <v>191</v>
      </c>
      <c r="T605" s="16">
        <f t="shared" si="87"/>
        <v>4.4567544413690818</v>
      </c>
    </row>
    <row r="606" spans="19:20">
      <c r="S606">
        <v>192</v>
      </c>
      <c r="T606" s="16">
        <f t="shared" si="87"/>
        <v>4.4531215970876934</v>
      </c>
    </row>
    <row r="607" spans="19:20">
      <c r="S607">
        <v>193</v>
      </c>
      <c r="T607" s="16">
        <f t="shared" si="87"/>
        <v>4.4486229130235637</v>
      </c>
    </row>
    <row r="608" spans="19:20">
      <c r="S608">
        <v>194</v>
      </c>
      <c r="T608" s="16">
        <f t="shared" ref="T608:T627" si="88">N243</f>
        <v>4.4432879069294788</v>
      </c>
    </row>
    <row r="609" spans="19:20">
      <c r="S609">
        <v>195</v>
      </c>
      <c r="T609" s="16">
        <f t="shared" si="88"/>
        <v>4.4371460965582248</v>
      </c>
    </row>
    <row r="610" spans="19:20">
      <c r="S610">
        <v>196</v>
      </c>
      <c r="T610" s="16">
        <f t="shared" si="88"/>
        <v>4.4302269996625849</v>
      </c>
    </row>
    <row r="611" spans="19:20">
      <c r="S611">
        <v>197</v>
      </c>
      <c r="T611" s="16">
        <f t="shared" si="88"/>
        <v>4.4225601339953453</v>
      </c>
    </row>
    <row r="612" spans="19:20">
      <c r="S612">
        <v>198</v>
      </c>
      <c r="T612" s="16">
        <f t="shared" si="88"/>
        <v>4.4141750173092893</v>
      </c>
    </row>
    <row r="613" spans="19:20">
      <c r="S613">
        <v>199</v>
      </c>
      <c r="T613" s="16">
        <f t="shared" si="88"/>
        <v>4.4050910994943893</v>
      </c>
    </row>
    <row r="614" spans="19:20">
      <c r="S614">
        <v>200</v>
      </c>
      <c r="T614" s="16">
        <f t="shared" si="88"/>
        <v>4.3952875589893639</v>
      </c>
    </row>
    <row r="615" spans="19:20">
      <c r="S615">
        <v>201</v>
      </c>
      <c r="T615" s="16">
        <f t="shared" si="88"/>
        <v>4.3847335063701181</v>
      </c>
    </row>
    <row r="616" spans="19:20">
      <c r="S616">
        <v>202</v>
      </c>
      <c r="T616" s="16">
        <f t="shared" si="88"/>
        <v>4.3733980522125577</v>
      </c>
    </row>
    <row r="617" spans="19:20">
      <c r="S617">
        <v>203</v>
      </c>
      <c r="T617" s="16">
        <f t="shared" si="88"/>
        <v>4.361250307092587</v>
      </c>
    </row>
    <row r="618" spans="19:20">
      <c r="S618">
        <v>204</v>
      </c>
      <c r="T618" s="16">
        <f t="shared" si="88"/>
        <v>4.3482593815861117</v>
      </c>
    </row>
    <row r="619" spans="19:20">
      <c r="S619">
        <v>205</v>
      </c>
      <c r="T619" s="16">
        <f t="shared" si="88"/>
        <v>4.3343943862690368</v>
      </c>
    </row>
    <row r="620" spans="19:20">
      <c r="S620">
        <v>206</v>
      </c>
      <c r="T620" s="16">
        <f t="shared" si="88"/>
        <v>4.3196244317172692</v>
      </c>
    </row>
    <row r="621" spans="19:20">
      <c r="S621">
        <v>207</v>
      </c>
      <c r="T621" s="16">
        <f t="shared" si="88"/>
        <v>4.3039186285067119</v>
      </c>
    </row>
    <row r="622" spans="19:20">
      <c r="S622">
        <v>208</v>
      </c>
      <c r="T622" s="16">
        <f t="shared" si="88"/>
        <v>4.2872460872132701</v>
      </c>
    </row>
    <row r="623" spans="19:20">
      <c r="S623">
        <v>209</v>
      </c>
      <c r="T623" s="16">
        <f t="shared" si="88"/>
        <v>4.2695759184128503</v>
      </c>
    </row>
    <row r="624" spans="19:20">
      <c r="S624">
        <v>210</v>
      </c>
      <c r="T624" s="16">
        <f t="shared" si="88"/>
        <v>4.2508772326813578</v>
      </c>
    </row>
    <row r="625" spans="19:20">
      <c r="S625">
        <v>211</v>
      </c>
      <c r="T625" s="16">
        <f t="shared" si="88"/>
        <v>4.2311191405946973</v>
      </c>
    </row>
    <row r="626" spans="19:20">
      <c r="S626">
        <v>212</v>
      </c>
      <c r="T626" s="16">
        <f t="shared" si="88"/>
        <v>4.210270752728773</v>
      </c>
    </row>
    <row r="627" spans="19:20">
      <c r="S627">
        <v>213</v>
      </c>
      <c r="T627" s="16">
        <f t="shared" si="88"/>
        <v>4.1883011796594918</v>
      </c>
    </row>
  </sheetData>
  <phoneticPr fontId="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dimension ref="A1:Q19"/>
  <sheetViews>
    <sheetView workbookViewId="0">
      <selection activeCell="A13" sqref="A13"/>
    </sheetView>
  </sheetViews>
  <sheetFormatPr defaultRowHeight="12.75"/>
  <sheetData>
    <row r="1" spans="1:17">
      <c r="J1" t="s">
        <v>61</v>
      </c>
      <c r="K1">
        <v>0</v>
      </c>
    </row>
    <row r="2" spans="1:17">
      <c r="J2" t="s">
        <v>62</v>
      </c>
      <c r="K2">
        <v>0</v>
      </c>
    </row>
    <row r="3" spans="1:17">
      <c r="A3" t="s">
        <v>63</v>
      </c>
      <c r="B3" t="s">
        <v>64</v>
      </c>
      <c r="C3" t="s">
        <v>89</v>
      </c>
      <c r="D3" t="s">
        <v>90</v>
      </c>
      <c r="E3" t="s">
        <v>91</v>
      </c>
      <c r="F3" t="s">
        <v>66</v>
      </c>
      <c r="G3" t="s">
        <v>67</v>
      </c>
      <c r="H3" t="s">
        <v>68</v>
      </c>
      <c r="I3" t="s">
        <v>69</v>
      </c>
      <c r="J3" t="s">
        <v>70</v>
      </c>
      <c r="K3" t="s">
        <v>71</v>
      </c>
      <c r="L3" t="s">
        <v>72</v>
      </c>
      <c r="M3" t="s">
        <v>73</v>
      </c>
    </row>
    <row r="4" spans="1:17">
      <c r="A4">
        <v>11</v>
      </c>
      <c r="B4">
        <v>1</v>
      </c>
      <c r="F4" s="1">
        <v>320</v>
      </c>
      <c r="G4">
        <f t="shared" ref="G4:G19" si="0">F4-319</f>
        <v>1</v>
      </c>
      <c r="H4" s="1">
        <f>E16</f>
        <v>30</v>
      </c>
      <c r="I4" s="2"/>
      <c r="J4" s="2"/>
      <c r="K4" s="3">
        <f>(3/(G5-G4))*((H5-H4)/(G5-G4)-K$1)</f>
        <v>-4.5265348595213313E-2</v>
      </c>
      <c r="L4" s="4">
        <v>-0.25</v>
      </c>
      <c r="M4" s="5">
        <f t="shared" ref="M4:M19" si="1">L4*M5+K4</f>
        <v>-6.5499018136166071E-2</v>
      </c>
    </row>
    <row r="5" spans="1:17">
      <c r="A5">
        <v>12</v>
      </c>
      <c r="B5">
        <f t="shared" ref="B5:B19" si="2">B4+1</f>
        <v>2</v>
      </c>
      <c r="F5" s="1">
        <v>351</v>
      </c>
      <c r="G5">
        <f t="shared" si="0"/>
        <v>32</v>
      </c>
      <c r="H5" s="1">
        <f>E17</f>
        <v>15.5</v>
      </c>
      <c r="I5" s="2">
        <f t="shared" ref="I5:I19" si="3">(G5-G4)/(G6-G4)</f>
        <v>0.51666666666666672</v>
      </c>
      <c r="J5" s="2">
        <f t="shared" ref="J5:J19" si="4">I5*L4+2</f>
        <v>1.8708333333333333</v>
      </c>
      <c r="K5" s="5">
        <f t="shared" ref="K5:K18" si="5">(6*(((H6-H5)/(G6-G5))-((H5-H4)/(G5-G4)))/(G6-G4)-I5*K4)/J5</f>
        <v>6.6071928472863931E-2</v>
      </c>
      <c r="L5" s="6">
        <f t="shared" ref="L5:L18" si="6">(I5-1)/J5</f>
        <v>-0.25835189309576834</v>
      </c>
      <c r="M5" s="5">
        <f t="shared" si="1"/>
        <v>8.0934678163811002E-2</v>
      </c>
    </row>
    <row r="6" spans="1:17">
      <c r="A6" s="1">
        <v>1</v>
      </c>
      <c r="B6">
        <f t="shared" si="2"/>
        <v>3</v>
      </c>
      <c r="C6">
        <v>31</v>
      </c>
      <c r="D6">
        <f>IF(Climate!J11=0,0.001,Climate!J11)</f>
        <v>1E-3</v>
      </c>
      <c r="E6" s="6">
        <f t="shared" ref="E6:E17" si="7">IF(C6/D6&gt;C6,C6,C6/D6)</f>
        <v>31</v>
      </c>
      <c r="F6" s="8">
        <f t="shared" ref="F6:F17" si="8">365+INT(30.5*A6-14.6)</f>
        <v>380</v>
      </c>
      <c r="G6">
        <f t="shared" si="0"/>
        <v>61</v>
      </c>
      <c r="H6">
        <f t="shared" ref="H6:H17" si="9">E6</f>
        <v>31</v>
      </c>
      <c r="I6" s="2">
        <f t="shared" si="3"/>
        <v>0.48333333333333334</v>
      </c>
      <c r="J6" s="2">
        <f t="shared" si="4"/>
        <v>1.8751299183370453</v>
      </c>
      <c r="K6" s="5">
        <f t="shared" si="5"/>
        <v>-5.0695399671166631E-2</v>
      </c>
      <c r="L6" s="6">
        <f t="shared" si="6"/>
        <v>-0.27553646369467094</v>
      </c>
      <c r="M6" s="5">
        <f t="shared" si="1"/>
        <v>-5.7529091476165813E-2</v>
      </c>
      <c r="N6" s="9"/>
      <c r="O6" s="9" t="s">
        <v>74</v>
      </c>
      <c r="P6" s="9"/>
      <c r="Q6" s="9"/>
    </row>
    <row r="7" spans="1:17">
      <c r="A7" s="1">
        <v>2</v>
      </c>
      <c r="B7">
        <f t="shared" si="2"/>
        <v>4</v>
      </c>
      <c r="C7">
        <v>28</v>
      </c>
      <c r="D7">
        <f>IF(Climate!J12=0,0.001,Climate!J12)</f>
        <v>1E-3</v>
      </c>
      <c r="E7" s="6">
        <f t="shared" si="7"/>
        <v>28</v>
      </c>
      <c r="F7" s="8">
        <f t="shared" si="8"/>
        <v>411</v>
      </c>
      <c r="G7">
        <f t="shared" si="0"/>
        <v>92</v>
      </c>
      <c r="H7">
        <f t="shared" si="9"/>
        <v>28</v>
      </c>
      <c r="I7" s="2">
        <f t="shared" si="3"/>
        <v>0.50819672131147542</v>
      </c>
      <c r="J7" s="2">
        <f t="shared" si="4"/>
        <v>1.8599732725486098</v>
      </c>
      <c r="K7" s="5">
        <f t="shared" si="5"/>
        <v>2.4257377927972352E-2</v>
      </c>
      <c r="L7" s="6">
        <f t="shared" si="6"/>
        <v>-0.26441416441142512</v>
      </c>
      <c r="M7" s="5">
        <f t="shared" si="1"/>
        <v>2.4801406366932875E-2</v>
      </c>
    </row>
    <row r="8" spans="1:17">
      <c r="A8" s="1">
        <v>3</v>
      </c>
      <c r="B8">
        <f t="shared" si="2"/>
        <v>5</v>
      </c>
      <c r="C8">
        <v>31</v>
      </c>
      <c r="D8">
        <f>IF(Climate!J13=0,0.001,Climate!J13)</f>
        <v>1E-3</v>
      </c>
      <c r="E8" s="6">
        <f t="shared" si="7"/>
        <v>31</v>
      </c>
      <c r="F8" s="8">
        <f t="shared" si="8"/>
        <v>441</v>
      </c>
      <c r="G8">
        <f t="shared" si="0"/>
        <v>122</v>
      </c>
      <c r="H8">
        <f t="shared" si="9"/>
        <v>31</v>
      </c>
      <c r="I8" s="2">
        <f t="shared" si="3"/>
        <v>0.49180327868852458</v>
      </c>
      <c r="J8" s="2">
        <f t="shared" si="4"/>
        <v>1.8699602470107746</v>
      </c>
      <c r="K8" s="5">
        <f t="shared" si="5"/>
        <v>-1.3336565838570947E-2</v>
      </c>
      <c r="L8" s="6">
        <f t="shared" si="6"/>
        <v>-0.2717687299095547</v>
      </c>
      <c r="M8" s="5">
        <f t="shared" si="1"/>
        <v>-2.0574859904782632E-3</v>
      </c>
    </row>
    <row r="9" spans="1:17">
      <c r="A9" s="1">
        <v>4</v>
      </c>
      <c r="B9">
        <f t="shared" si="2"/>
        <v>6</v>
      </c>
      <c r="C9">
        <v>30</v>
      </c>
      <c r="D9">
        <f>IF(Climate!J14=0,0.001,Climate!J14)</f>
        <v>1E-3</v>
      </c>
      <c r="E9" s="6">
        <f t="shared" si="7"/>
        <v>30</v>
      </c>
      <c r="F9" s="8">
        <f t="shared" si="8"/>
        <v>472</v>
      </c>
      <c r="G9">
        <f t="shared" si="0"/>
        <v>153</v>
      </c>
      <c r="H9">
        <f t="shared" si="9"/>
        <v>30</v>
      </c>
      <c r="I9" s="2">
        <f t="shared" si="3"/>
        <v>0.50819672131147542</v>
      </c>
      <c r="J9" s="2">
        <f t="shared" si="4"/>
        <v>1.8618880225049803</v>
      </c>
      <c r="K9" s="5">
        <f t="shared" si="5"/>
        <v>-3.3836780461167941E-2</v>
      </c>
      <c r="L9" s="6">
        <f t="shared" si="6"/>
        <v>-0.26414224311237228</v>
      </c>
      <c r="M9" s="5">
        <f t="shared" si="1"/>
        <v>-4.1502493137626204E-2</v>
      </c>
    </row>
    <row r="10" spans="1:17">
      <c r="A10" s="1">
        <v>5</v>
      </c>
      <c r="B10">
        <f t="shared" si="2"/>
        <v>7</v>
      </c>
      <c r="C10">
        <v>31</v>
      </c>
      <c r="D10">
        <f>IF(Climate!J15=0,0.001,Climate!J15)</f>
        <v>4</v>
      </c>
      <c r="E10" s="6">
        <f t="shared" si="7"/>
        <v>7.75</v>
      </c>
      <c r="F10" s="8">
        <f t="shared" si="8"/>
        <v>502</v>
      </c>
      <c r="G10">
        <f t="shared" si="0"/>
        <v>183</v>
      </c>
      <c r="H10">
        <f t="shared" si="9"/>
        <v>7.75</v>
      </c>
      <c r="I10" s="2">
        <f t="shared" si="3"/>
        <v>0.49180327868852458</v>
      </c>
      <c r="J10" s="2">
        <f t="shared" si="4"/>
        <v>1.870093978797194</v>
      </c>
      <c r="K10" s="5">
        <f t="shared" si="5"/>
        <v>4.3241846730056259E-2</v>
      </c>
      <c r="L10" s="6">
        <f t="shared" si="6"/>
        <v>-0.27174929552916754</v>
      </c>
      <c r="M10" s="5">
        <f t="shared" si="1"/>
        <v>2.9021153853066549E-2</v>
      </c>
    </row>
    <row r="11" spans="1:17">
      <c r="A11" s="1">
        <v>6</v>
      </c>
      <c r="B11">
        <f t="shared" si="2"/>
        <v>8</v>
      </c>
      <c r="C11">
        <v>30</v>
      </c>
      <c r="D11">
        <f>IF(Climate!J16=0,0.001,Climate!J16)</f>
        <v>6</v>
      </c>
      <c r="E11" s="6">
        <f t="shared" si="7"/>
        <v>5</v>
      </c>
      <c r="F11" s="8">
        <f t="shared" si="8"/>
        <v>533</v>
      </c>
      <c r="G11">
        <f t="shared" si="0"/>
        <v>214</v>
      </c>
      <c r="H11">
        <f t="shared" si="9"/>
        <v>5</v>
      </c>
      <c r="I11" s="2">
        <f t="shared" si="3"/>
        <v>0.50819672131147542</v>
      </c>
      <c r="J11" s="2">
        <f t="shared" si="4"/>
        <v>1.8618978989933739</v>
      </c>
      <c r="K11" s="5">
        <f t="shared" si="5"/>
        <v>3.8668113320203368E-2</v>
      </c>
      <c r="L11" s="6">
        <f t="shared" si="6"/>
        <v>-0.26414084196261012</v>
      </c>
      <c r="M11" s="5">
        <f t="shared" si="1"/>
        <v>5.2330192243178662E-2</v>
      </c>
    </row>
    <row r="12" spans="1:17">
      <c r="A12" s="1">
        <v>7</v>
      </c>
      <c r="B12">
        <f t="shared" si="2"/>
        <v>9</v>
      </c>
      <c r="C12">
        <v>31</v>
      </c>
      <c r="D12">
        <f>IF(Climate!J17=0,0.001,Climate!J17)</f>
        <v>1E-3</v>
      </c>
      <c r="E12" s="6">
        <f t="shared" si="7"/>
        <v>31</v>
      </c>
      <c r="F12" s="8">
        <f t="shared" si="8"/>
        <v>563</v>
      </c>
      <c r="G12">
        <f t="shared" si="0"/>
        <v>244</v>
      </c>
      <c r="H12">
        <f t="shared" si="9"/>
        <v>31</v>
      </c>
      <c r="I12" s="2">
        <f t="shared" si="3"/>
        <v>0.49180327868852458</v>
      </c>
      <c r="J12" s="2">
        <f t="shared" si="4"/>
        <v>1.870094667887241</v>
      </c>
      <c r="K12" s="5">
        <f t="shared" si="5"/>
        <v>-5.5752796016851867E-2</v>
      </c>
      <c r="L12" s="6">
        <f t="shared" si="6"/>
        <v>-0.27174919539534115</v>
      </c>
      <c r="M12" s="5">
        <f t="shared" si="1"/>
        <v>-5.1722705286557695E-2</v>
      </c>
    </row>
    <row r="13" spans="1:17">
      <c r="A13" s="1">
        <v>8</v>
      </c>
      <c r="B13">
        <f t="shared" si="2"/>
        <v>10</v>
      </c>
      <c r="C13">
        <v>31</v>
      </c>
      <c r="D13">
        <f>IF(Climate!J18=0,0.001,Climate!J18)</f>
        <v>1E-3</v>
      </c>
      <c r="E13" s="6">
        <f t="shared" si="7"/>
        <v>31</v>
      </c>
      <c r="F13" s="8">
        <f t="shared" si="8"/>
        <v>594</v>
      </c>
      <c r="G13">
        <f t="shared" si="0"/>
        <v>275</v>
      </c>
      <c r="H13">
        <f t="shared" si="9"/>
        <v>31</v>
      </c>
      <c r="I13" s="2">
        <f t="shared" si="3"/>
        <v>0.50819672131147542</v>
      </c>
      <c r="J13" s="2">
        <f t="shared" si="4"/>
        <v>1.8618979498810562</v>
      </c>
      <c r="K13" s="5">
        <f t="shared" si="5"/>
        <v>-1.295754595748507E-2</v>
      </c>
      <c r="L13" s="6">
        <f t="shared" si="6"/>
        <v>-0.26414083474335559</v>
      </c>
      <c r="M13" s="5">
        <f t="shared" si="1"/>
        <v>-1.4830184591461952E-2</v>
      </c>
    </row>
    <row r="14" spans="1:17">
      <c r="A14" s="1">
        <v>9</v>
      </c>
      <c r="B14">
        <f t="shared" si="2"/>
        <v>11</v>
      </c>
      <c r="C14">
        <v>30</v>
      </c>
      <c r="D14">
        <f>IF(Climate!J19=0,0.001,Climate!J19)</f>
        <v>2</v>
      </c>
      <c r="E14" s="6">
        <f t="shared" si="7"/>
        <v>15</v>
      </c>
      <c r="F14" s="8">
        <f t="shared" si="8"/>
        <v>624</v>
      </c>
      <c r="G14">
        <f t="shared" si="0"/>
        <v>305</v>
      </c>
      <c r="H14">
        <f t="shared" si="9"/>
        <v>15</v>
      </c>
      <c r="I14" s="2">
        <f t="shared" si="3"/>
        <v>0.49180327868852458</v>
      </c>
      <c r="J14" s="2">
        <f t="shared" si="4"/>
        <v>1.870094671437694</v>
      </c>
      <c r="K14" s="5">
        <f t="shared" si="5"/>
        <v>2.3541374785915371E-2</v>
      </c>
      <c r="L14" s="6">
        <f t="shared" si="6"/>
        <v>-0.2717491948794139</v>
      </c>
      <c r="M14" s="5">
        <f t="shared" si="1"/>
        <v>7.089546134721559E-3</v>
      </c>
    </row>
    <row r="15" spans="1:17">
      <c r="A15" s="1">
        <v>10</v>
      </c>
      <c r="B15">
        <f t="shared" si="2"/>
        <v>12</v>
      </c>
      <c r="C15">
        <v>31</v>
      </c>
      <c r="D15">
        <f>IF(Climate!J20=0,0.001,Climate!J20)</f>
        <v>3</v>
      </c>
      <c r="E15" s="6">
        <f t="shared" si="7"/>
        <v>10.333333333333334</v>
      </c>
      <c r="F15" s="8">
        <f t="shared" si="8"/>
        <v>655</v>
      </c>
      <c r="G15">
        <f t="shared" si="0"/>
        <v>336</v>
      </c>
      <c r="H15">
        <f t="shared" si="9"/>
        <v>10.333333333333334</v>
      </c>
      <c r="I15" s="2">
        <f t="shared" si="3"/>
        <v>0.50819672131147542</v>
      </c>
      <c r="J15" s="2">
        <f t="shared" si="4"/>
        <v>1.8618979501432487</v>
      </c>
      <c r="K15" s="5">
        <f t="shared" si="5"/>
        <v>3.615891261066502E-2</v>
      </c>
      <c r="L15" s="6">
        <f t="shared" si="6"/>
        <v>-0.26414083470615923</v>
      </c>
      <c r="M15" s="5">
        <f t="shared" si="1"/>
        <v>6.0540487188910183E-2</v>
      </c>
    </row>
    <row r="16" spans="1:17">
      <c r="A16" s="1">
        <v>11</v>
      </c>
      <c r="B16">
        <f t="shared" si="2"/>
        <v>13</v>
      </c>
      <c r="C16">
        <v>30</v>
      </c>
      <c r="D16">
        <f>IF(Climate!J21=0,0.001,Climate!J21)</f>
        <v>1E-3</v>
      </c>
      <c r="E16" s="6">
        <f t="shared" si="7"/>
        <v>30</v>
      </c>
      <c r="F16" s="8">
        <f t="shared" si="8"/>
        <v>685</v>
      </c>
      <c r="G16">
        <f t="shared" si="0"/>
        <v>366</v>
      </c>
      <c r="H16">
        <f t="shared" si="9"/>
        <v>30</v>
      </c>
      <c r="I16" s="2">
        <f t="shared" si="3"/>
        <v>0.49180327868852458</v>
      </c>
      <c r="J16" s="2">
        <f t="shared" si="4"/>
        <v>1.8700946714559872</v>
      </c>
      <c r="K16" s="5">
        <f t="shared" si="5"/>
        <v>-6.8590832079654149E-2</v>
      </c>
      <c r="L16" s="6">
        <f t="shared" si="6"/>
        <v>-0.27174919487675564</v>
      </c>
      <c r="M16" s="5">
        <f t="shared" si="1"/>
        <v>-9.2305207581282148E-2</v>
      </c>
    </row>
    <row r="17" spans="1:17">
      <c r="A17" s="1">
        <v>12</v>
      </c>
      <c r="B17">
        <f t="shared" si="2"/>
        <v>14</v>
      </c>
      <c r="C17">
        <v>31</v>
      </c>
      <c r="D17">
        <f>IF(Climate!J22=0,0.001,Climate!J22)</f>
        <v>2</v>
      </c>
      <c r="E17" s="6">
        <f t="shared" si="7"/>
        <v>15.5</v>
      </c>
      <c r="F17" s="8">
        <f t="shared" si="8"/>
        <v>716</v>
      </c>
      <c r="G17">
        <f t="shared" si="0"/>
        <v>397</v>
      </c>
      <c r="H17">
        <f t="shared" si="9"/>
        <v>15.5</v>
      </c>
      <c r="I17" s="2">
        <f t="shared" si="3"/>
        <v>0.51666666666666672</v>
      </c>
      <c r="J17" s="2">
        <f t="shared" si="4"/>
        <v>1.8595962493136762</v>
      </c>
      <c r="K17" s="5">
        <f t="shared" si="5"/>
        <v>7.295189266756838E-2</v>
      </c>
      <c r="L17" s="6">
        <f t="shared" si="6"/>
        <v>-0.25991305021814159</v>
      </c>
      <c r="M17" s="5">
        <f t="shared" si="1"/>
        <v>8.7265669774598584E-2</v>
      </c>
      <c r="N17" s="9"/>
      <c r="O17" s="9" t="s">
        <v>75</v>
      </c>
      <c r="P17" s="9"/>
      <c r="Q17" s="9"/>
    </row>
    <row r="18" spans="1:17">
      <c r="A18">
        <v>1</v>
      </c>
      <c r="B18">
        <f t="shared" si="2"/>
        <v>15</v>
      </c>
      <c r="F18" s="8">
        <f>730+INT(30.5*A18-14.6)</f>
        <v>745</v>
      </c>
      <c r="G18">
        <f t="shared" si="0"/>
        <v>426</v>
      </c>
      <c r="H18" s="1">
        <f>E6</f>
        <v>31</v>
      </c>
      <c r="I18" s="2">
        <f t="shared" si="3"/>
        <v>0.48333333333333334</v>
      </c>
      <c r="J18" s="2">
        <f t="shared" si="4"/>
        <v>1.8743753590612315</v>
      </c>
      <c r="K18" s="5">
        <f t="shared" si="5"/>
        <v>-5.2489900807368123E-2</v>
      </c>
      <c r="L18" s="6">
        <f t="shared" si="6"/>
        <v>-0.2756473852310114</v>
      </c>
      <c r="M18" s="5">
        <f t="shared" si="1"/>
        <v>-5.5071405976024834E-2</v>
      </c>
      <c r="O18" s="3"/>
    </row>
    <row r="19" spans="1:17">
      <c r="A19">
        <v>2</v>
      </c>
      <c r="B19">
        <f t="shared" si="2"/>
        <v>16</v>
      </c>
      <c r="F19" s="8">
        <f>730+INT(30.5*A19-14.6)</f>
        <v>776</v>
      </c>
      <c r="G19">
        <f t="shared" si="0"/>
        <v>457</v>
      </c>
      <c r="H19" s="1">
        <f>E7</f>
        <v>28</v>
      </c>
      <c r="I19" s="2">
        <f t="shared" si="3"/>
        <v>-7.2769953051643188E-2</v>
      </c>
      <c r="J19" s="2">
        <f t="shared" si="4"/>
        <v>2.0200588472820691</v>
      </c>
      <c r="K19" s="3">
        <f>(3/(G19-G18))*(K$2-(H19-H18))/(G19-G18)</f>
        <v>9.3652445369406864E-3</v>
      </c>
      <c r="L19" s="4">
        <v>-0.25</v>
      </c>
      <c r="M19" s="5">
        <f t="shared" si="1"/>
        <v>9.3652445369406864E-3</v>
      </c>
    </row>
  </sheetData>
  <phoneticPr fontId="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dimension ref="A2:T461"/>
  <sheetViews>
    <sheetView topLeftCell="E1" workbookViewId="0">
      <selection activeCell="A13" sqref="A13"/>
    </sheetView>
  </sheetViews>
  <sheetFormatPr defaultRowHeight="12.75"/>
  <cols>
    <col min="18" max="18" width="11.28515625" bestFit="1" customWidth="1"/>
  </cols>
  <sheetData>
    <row r="2" spans="1:17">
      <c r="O2" t="s">
        <v>76</v>
      </c>
      <c r="P2" t="s">
        <v>77</v>
      </c>
    </row>
    <row r="3" spans="1:17">
      <c r="A3" t="s">
        <v>67</v>
      </c>
      <c r="B3" t="s">
        <v>78</v>
      </c>
      <c r="C3" t="s">
        <v>79</v>
      </c>
      <c r="D3" t="s">
        <v>80</v>
      </c>
      <c r="E3" t="s">
        <v>81</v>
      </c>
      <c r="F3" t="s">
        <v>82</v>
      </c>
      <c r="G3" t="s">
        <v>83</v>
      </c>
      <c r="H3" t="s">
        <v>84</v>
      </c>
      <c r="I3" t="s">
        <v>85</v>
      </c>
      <c r="J3" t="s">
        <v>86</v>
      </c>
      <c r="K3" t="s">
        <v>56</v>
      </c>
      <c r="L3" t="s">
        <v>87</v>
      </c>
      <c r="M3" t="s">
        <v>76</v>
      </c>
      <c r="N3" t="s">
        <v>77</v>
      </c>
      <c r="O3" t="s">
        <v>88</v>
      </c>
      <c r="P3" t="s">
        <v>88</v>
      </c>
      <c r="Q3" t="s">
        <v>77</v>
      </c>
    </row>
    <row r="4" spans="1:17">
      <c r="A4">
        <v>1</v>
      </c>
      <c r="B4">
        <v>1</v>
      </c>
      <c r="C4">
        <f t="shared" ref="C4:C67" si="0">E4-D4</f>
        <v>31</v>
      </c>
      <c r="D4">
        <v>1</v>
      </c>
      <c r="E4">
        <v>32</v>
      </c>
      <c r="F4">
        <f>RnSPLINE!H$4</f>
        <v>30</v>
      </c>
      <c r="G4">
        <f>RnSPLINE!H$5</f>
        <v>15.5</v>
      </c>
      <c r="H4" s="6">
        <f>RnSPLINE!M$4</f>
        <v>-6.5499018136166071E-2</v>
      </c>
      <c r="I4" s="6">
        <f>RnSPLINE!M$5</f>
        <v>8.0934678163811002E-2</v>
      </c>
      <c r="J4">
        <f t="shared" ref="J4:J67" si="1">(E4-B4)/C4</f>
        <v>1</v>
      </c>
      <c r="K4">
        <f t="shared" ref="K4:K67" si="2">(B4-D4)/C4</f>
        <v>0</v>
      </c>
      <c r="L4">
        <f t="shared" ref="L4:L67" si="3">B4-46</f>
        <v>-45</v>
      </c>
      <c r="M4" s="6">
        <f t="shared" ref="M4:M67" si="4">J4*F4+K4*G4</f>
        <v>30</v>
      </c>
      <c r="N4" s="6">
        <f t="shared" ref="N4:N49" si="5">M4+(((J4^3-J4)*H4+(K4^3-K4)*I4))*(C4^2)/6</f>
        <v>30</v>
      </c>
      <c r="O4" s="6">
        <f>M4</f>
        <v>30</v>
      </c>
      <c r="P4" s="6">
        <f>N4</f>
        <v>30</v>
      </c>
      <c r="Q4" s="6">
        <f t="shared" ref="Q4:Q67" si="6">M4+(((J4^3-J4)*H4+(K4^3-K4)*I4))*(C4^2)/6</f>
        <v>30</v>
      </c>
    </row>
    <row r="5" spans="1:17">
      <c r="B5">
        <f t="shared" ref="B5:B68" si="7">B4+1</f>
        <v>2</v>
      </c>
      <c r="C5">
        <f t="shared" si="0"/>
        <v>31</v>
      </c>
      <c r="D5">
        <v>1</v>
      </c>
      <c r="E5">
        <v>32</v>
      </c>
      <c r="F5">
        <f>RnSPLINE!H$4</f>
        <v>30</v>
      </c>
      <c r="G5">
        <f>RnSPLINE!H$5</f>
        <v>15.5</v>
      </c>
      <c r="H5" s="6">
        <f>RnSPLINE!M$4</f>
        <v>-6.5499018136166071E-2</v>
      </c>
      <c r="I5" s="6">
        <f>RnSPLINE!M$5</f>
        <v>8.0934678163811002E-2</v>
      </c>
      <c r="J5">
        <f t="shared" si="1"/>
        <v>0.967741935483871</v>
      </c>
      <c r="K5">
        <f t="shared" si="2"/>
        <v>3.2258064516129031E-2</v>
      </c>
      <c r="L5">
        <f t="shared" si="3"/>
        <v>-44</v>
      </c>
      <c r="M5" s="6">
        <f t="shared" si="4"/>
        <v>29.532258064516128</v>
      </c>
      <c r="N5" s="6">
        <f t="shared" si="5"/>
        <v>29.758956516945833</v>
      </c>
      <c r="O5" s="6">
        <f t="shared" ref="O5:O68" si="8">O4+M5</f>
        <v>59.532258064516128</v>
      </c>
      <c r="P5" s="6">
        <f t="shared" ref="P5:P68" si="9">P4+N5</f>
        <v>59.75895651694583</v>
      </c>
      <c r="Q5" s="6">
        <f t="shared" si="6"/>
        <v>29.758956516945833</v>
      </c>
    </row>
    <row r="6" spans="1:17">
      <c r="B6">
        <f t="shared" si="7"/>
        <v>3</v>
      </c>
      <c r="C6">
        <f t="shared" si="0"/>
        <v>31</v>
      </c>
      <c r="D6">
        <v>1</v>
      </c>
      <c r="E6">
        <v>32</v>
      </c>
      <c r="F6">
        <f>RnSPLINE!H$4</f>
        <v>30</v>
      </c>
      <c r="G6">
        <f>RnSPLINE!H$5</f>
        <v>15.5</v>
      </c>
      <c r="H6" s="6">
        <f>RnSPLINE!M$4</f>
        <v>-6.5499018136166071E-2</v>
      </c>
      <c r="I6" s="6">
        <f>RnSPLINE!M$5</f>
        <v>8.0934678163811002E-2</v>
      </c>
      <c r="J6">
        <f t="shared" si="1"/>
        <v>0.93548387096774188</v>
      </c>
      <c r="K6">
        <f t="shared" si="2"/>
        <v>6.4516129032258063E-2</v>
      </c>
      <c r="L6">
        <f t="shared" si="3"/>
        <v>-43</v>
      </c>
      <c r="M6" s="6">
        <f t="shared" si="4"/>
        <v>29.064516129032256</v>
      </c>
      <c r="N6" s="6">
        <f t="shared" si="5"/>
        <v>29.457137683378086</v>
      </c>
      <c r="O6" s="6">
        <f t="shared" si="8"/>
        <v>88.596774193548384</v>
      </c>
      <c r="P6" s="6">
        <f t="shared" si="9"/>
        <v>89.216094200323909</v>
      </c>
      <c r="Q6" s="6">
        <f t="shared" si="6"/>
        <v>29.457137683378086</v>
      </c>
    </row>
    <row r="7" spans="1:17">
      <c r="B7">
        <f t="shared" si="7"/>
        <v>4</v>
      </c>
      <c r="C7">
        <f t="shared" si="0"/>
        <v>31</v>
      </c>
      <c r="D7">
        <v>1</v>
      </c>
      <c r="E7">
        <v>32</v>
      </c>
      <c r="F7">
        <f>RnSPLINE!H$4</f>
        <v>30</v>
      </c>
      <c r="G7">
        <f>RnSPLINE!H$5</f>
        <v>15.5</v>
      </c>
      <c r="H7" s="6">
        <f>RnSPLINE!M$4</f>
        <v>-6.5499018136166071E-2</v>
      </c>
      <c r="I7" s="6">
        <f>RnSPLINE!M$5</f>
        <v>8.0934678163811002E-2</v>
      </c>
      <c r="J7">
        <f t="shared" si="1"/>
        <v>0.90322580645161288</v>
      </c>
      <c r="K7">
        <f t="shared" si="2"/>
        <v>9.6774193548387094E-2</v>
      </c>
      <c r="L7">
        <f t="shared" si="3"/>
        <v>-42</v>
      </c>
      <c r="M7" s="6">
        <f t="shared" si="4"/>
        <v>28.596774193548388</v>
      </c>
      <c r="N7" s="6">
        <f t="shared" si="5"/>
        <v>29.099267166919329</v>
      </c>
      <c r="O7" s="6">
        <f t="shared" si="8"/>
        <v>117.19354838709677</v>
      </c>
      <c r="P7" s="6">
        <f t="shared" si="9"/>
        <v>118.31536136724324</v>
      </c>
      <c r="Q7" s="6">
        <f t="shared" si="6"/>
        <v>29.099267166919329</v>
      </c>
    </row>
    <row r="8" spans="1:17">
      <c r="B8">
        <f t="shared" si="7"/>
        <v>5</v>
      </c>
      <c r="C8">
        <f t="shared" si="0"/>
        <v>31</v>
      </c>
      <c r="D8">
        <v>1</v>
      </c>
      <c r="E8">
        <v>32</v>
      </c>
      <c r="F8">
        <f>RnSPLINE!H$4</f>
        <v>30</v>
      </c>
      <c r="G8">
        <f>RnSPLINE!H$5</f>
        <v>15.5</v>
      </c>
      <c r="H8" s="6">
        <f>RnSPLINE!M$4</f>
        <v>-6.5499018136166071E-2</v>
      </c>
      <c r="I8" s="6">
        <f>RnSPLINE!M$5</f>
        <v>8.0934678163811002E-2</v>
      </c>
      <c r="J8">
        <f t="shared" si="1"/>
        <v>0.87096774193548387</v>
      </c>
      <c r="K8">
        <f t="shared" si="2"/>
        <v>0.12903225806451613</v>
      </c>
      <c r="L8">
        <f t="shared" si="3"/>
        <v>-41</v>
      </c>
      <c r="M8" s="6">
        <f t="shared" si="4"/>
        <v>28.129032258064516</v>
      </c>
      <c r="N8" s="6">
        <f t="shared" si="5"/>
        <v>28.690068635192144</v>
      </c>
      <c r="O8" s="6">
        <f t="shared" si="8"/>
        <v>145.32258064516128</v>
      </c>
      <c r="P8" s="6">
        <f t="shared" si="9"/>
        <v>147.00543000243539</v>
      </c>
      <c r="Q8" s="6">
        <f t="shared" si="6"/>
        <v>28.690068635192144</v>
      </c>
    </row>
    <row r="9" spans="1:17">
      <c r="B9">
        <f t="shared" si="7"/>
        <v>6</v>
      </c>
      <c r="C9">
        <f t="shared" si="0"/>
        <v>31</v>
      </c>
      <c r="D9">
        <v>1</v>
      </c>
      <c r="E9">
        <v>32</v>
      </c>
      <c r="F9">
        <f>RnSPLINE!H$4</f>
        <v>30</v>
      </c>
      <c r="G9">
        <f>RnSPLINE!H$5</f>
        <v>15.5</v>
      </c>
      <c r="H9" s="6">
        <f>RnSPLINE!M$4</f>
        <v>-6.5499018136166071E-2</v>
      </c>
      <c r="I9" s="6">
        <f>RnSPLINE!M$5</f>
        <v>8.0934678163811002E-2</v>
      </c>
      <c r="J9">
        <f t="shared" si="1"/>
        <v>0.83870967741935487</v>
      </c>
      <c r="K9">
        <f t="shared" si="2"/>
        <v>0.16129032258064516</v>
      </c>
      <c r="L9">
        <f t="shared" si="3"/>
        <v>-40</v>
      </c>
      <c r="M9" s="6">
        <f t="shared" si="4"/>
        <v>27.661290322580648</v>
      </c>
      <c r="N9" s="6">
        <f t="shared" si="5"/>
        <v>28.234265755819116</v>
      </c>
      <c r="O9" s="6">
        <f t="shared" si="8"/>
        <v>172.98387096774192</v>
      </c>
      <c r="P9" s="6">
        <f t="shared" si="9"/>
        <v>175.2396957582545</v>
      </c>
      <c r="Q9" s="6">
        <f t="shared" si="6"/>
        <v>28.234265755819116</v>
      </c>
    </row>
    <row r="10" spans="1:17">
      <c r="B10">
        <f t="shared" si="7"/>
        <v>7</v>
      </c>
      <c r="C10">
        <f t="shared" si="0"/>
        <v>31</v>
      </c>
      <c r="D10">
        <v>1</v>
      </c>
      <c r="E10">
        <v>32</v>
      </c>
      <c r="F10">
        <f>RnSPLINE!H$4</f>
        <v>30</v>
      </c>
      <c r="G10">
        <f>RnSPLINE!H$5</f>
        <v>15.5</v>
      </c>
      <c r="H10" s="6">
        <f>RnSPLINE!M$4</f>
        <v>-6.5499018136166071E-2</v>
      </c>
      <c r="I10" s="6">
        <f>RnSPLINE!M$5</f>
        <v>8.0934678163811002E-2</v>
      </c>
      <c r="J10">
        <f t="shared" si="1"/>
        <v>0.80645161290322576</v>
      </c>
      <c r="K10">
        <f t="shared" si="2"/>
        <v>0.19354838709677419</v>
      </c>
      <c r="L10">
        <f t="shared" si="3"/>
        <v>-39</v>
      </c>
      <c r="M10" s="6">
        <f t="shared" si="4"/>
        <v>27.193548387096772</v>
      </c>
      <c r="N10" s="6">
        <f t="shared" si="5"/>
        <v>27.736582196422816</v>
      </c>
      <c r="O10" s="6">
        <f t="shared" si="8"/>
        <v>200.17741935483869</v>
      </c>
      <c r="P10" s="6">
        <f t="shared" si="9"/>
        <v>202.9762779546773</v>
      </c>
      <c r="Q10" s="6">
        <f t="shared" si="6"/>
        <v>27.736582196422816</v>
      </c>
    </row>
    <row r="11" spans="1:17">
      <c r="B11">
        <f t="shared" si="7"/>
        <v>8</v>
      </c>
      <c r="C11">
        <f t="shared" si="0"/>
        <v>31</v>
      </c>
      <c r="D11">
        <v>1</v>
      </c>
      <c r="E11">
        <v>32</v>
      </c>
      <c r="F11">
        <f>RnSPLINE!H$4</f>
        <v>30</v>
      </c>
      <c r="G11">
        <f>RnSPLINE!H$5</f>
        <v>15.5</v>
      </c>
      <c r="H11" s="6">
        <f>RnSPLINE!M$4</f>
        <v>-6.5499018136166071E-2</v>
      </c>
      <c r="I11" s="6">
        <f>RnSPLINE!M$5</f>
        <v>8.0934678163811002E-2</v>
      </c>
      <c r="J11">
        <f t="shared" si="1"/>
        <v>0.77419354838709675</v>
      </c>
      <c r="K11">
        <f t="shared" si="2"/>
        <v>0.22580645161290322</v>
      </c>
      <c r="L11">
        <f t="shared" si="3"/>
        <v>-38</v>
      </c>
      <c r="M11" s="6">
        <f t="shared" si="4"/>
        <v>26.725806451612904</v>
      </c>
      <c r="N11" s="6">
        <f t="shared" si="5"/>
        <v>27.201741624625836</v>
      </c>
      <c r="O11" s="6">
        <f t="shared" si="8"/>
        <v>226.90322580645159</v>
      </c>
      <c r="P11" s="6">
        <f t="shared" si="9"/>
        <v>230.17801957930314</v>
      </c>
      <c r="Q11" s="6">
        <f t="shared" si="6"/>
        <v>27.201741624625836</v>
      </c>
    </row>
    <row r="12" spans="1:17">
      <c r="B12">
        <f t="shared" si="7"/>
        <v>9</v>
      </c>
      <c r="C12">
        <f t="shared" si="0"/>
        <v>31</v>
      </c>
      <c r="D12">
        <v>1</v>
      </c>
      <c r="E12">
        <v>32</v>
      </c>
      <c r="F12">
        <f>RnSPLINE!H$4</f>
        <v>30</v>
      </c>
      <c r="G12">
        <f>RnSPLINE!H$5</f>
        <v>15.5</v>
      </c>
      <c r="H12" s="6">
        <f>RnSPLINE!M$4</f>
        <v>-6.5499018136166071E-2</v>
      </c>
      <c r="I12" s="6">
        <f>RnSPLINE!M$5</f>
        <v>8.0934678163811002E-2</v>
      </c>
      <c r="J12">
        <f t="shared" si="1"/>
        <v>0.74193548387096775</v>
      </c>
      <c r="K12">
        <f t="shared" si="2"/>
        <v>0.25806451612903225</v>
      </c>
      <c r="L12">
        <f t="shared" si="3"/>
        <v>-37</v>
      </c>
      <c r="M12" s="6">
        <f t="shared" si="4"/>
        <v>26.258064516129032</v>
      </c>
      <c r="N12" s="6">
        <f t="shared" si="5"/>
        <v>26.634467708050742</v>
      </c>
      <c r="O12" s="6">
        <f t="shared" si="8"/>
        <v>253.16129032258061</v>
      </c>
      <c r="P12" s="6">
        <f t="shared" si="9"/>
        <v>256.81248728735386</v>
      </c>
      <c r="Q12" s="6">
        <f t="shared" si="6"/>
        <v>26.634467708050742</v>
      </c>
    </row>
    <row r="13" spans="1:17">
      <c r="B13">
        <f t="shared" si="7"/>
        <v>10</v>
      </c>
      <c r="C13">
        <f t="shared" si="0"/>
        <v>31</v>
      </c>
      <c r="D13">
        <v>1</v>
      </c>
      <c r="E13">
        <v>32</v>
      </c>
      <c r="F13">
        <f>RnSPLINE!H$4</f>
        <v>30</v>
      </c>
      <c r="G13">
        <f>RnSPLINE!H$5</f>
        <v>15.5</v>
      </c>
      <c r="H13" s="6">
        <f>RnSPLINE!M$4</f>
        <v>-6.5499018136166071E-2</v>
      </c>
      <c r="I13" s="6">
        <f>RnSPLINE!M$5</f>
        <v>8.0934678163811002E-2</v>
      </c>
      <c r="J13">
        <f t="shared" si="1"/>
        <v>0.70967741935483875</v>
      </c>
      <c r="K13">
        <f t="shared" si="2"/>
        <v>0.29032258064516131</v>
      </c>
      <c r="L13">
        <f t="shared" si="3"/>
        <v>-36</v>
      </c>
      <c r="M13" s="6">
        <f t="shared" si="4"/>
        <v>25.790322580645164</v>
      </c>
      <c r="N13" s="6">
        <f t="shared" si="5"/>
        <v>26.039484114320128</v>
      </c>
      <c r="O13" s="6">
        <f t="shared" si="8"/>
        <v>278.95161290322579</v>
      </c>
      <c r="P13" s="6">
        <f t="shared" si="9"/>
        <v>282.85197140167401</v>
      </c>
      <c r="Q13" s="6">
        <f t="shared" si="6"/>
        <v>26.039484114320128</v>
      </c>
    </row>
    <row r="14" spans="1:17">
      <c r="B14">
        <f t="shared" si="7"/>
        <v>11</v>
      </c>
      <c r="C14">
        <f t="shared" si="0"/>
        <v>31</v>
      </c>
      <c r="D14">
        <v>1</v>
      </c>
      <c r="E14">
        <v>32</v>
      </c>
      <c r="F14">
        <f>RnSPLINE!H$4</f>
        <v>30</v>
      </c>
      <c r="G14">
        <f>RnSPLINE!H$5</f>
        <v>15.5</v>
      </c>
      <c r="H14" s="6">
        <f>RnSPLINE!M$4</f>
        <v>-6.5499018136166071E-2</v>
      </c>
      <c r="I14" s="6">
        <f>RnSPLINE!M$5</f>
        <v>8.0934678163811002E-2</v>
      </c>
      <c r="J14">
        <f t="shared" si="1"/>
        <v>0.67741935483870963</v>
      </c>
      <c r="K14">
        <f t="shared" si="2"/>
        <v>0.32258064516129031</v>
      </c>
      <c r="L14">
        <f t="shared" si="3"/>
        <v>-35</v>
      </c>
      <c r="M14" s="6">
        <f t="shared" si="4"/>
        <v>25.322580645161288</v>
      </c>
      <c r="N14" s="6">
        <f t="shared" si="5"/>
        <v>25.421514511056561</v>
      </c>
      <c r="O14" s="6">
        <f t="shared" si="8"/>
        <v>304.27419354838707</v>
      </c>
      <c r="P14" s="6">
        <f t="shared" si="9"/>
        <v>308.27348591273056</v>
      </c>
      <c r="Q14" s="6">
        <f t="shared" si="6"/>
        <v>25.421514511056561</v>
      </c>
    </row>
    <row r="15" spans="1:17">
      <c r="B15">
        <f t="shared" si="7"/>
        <v>12</v>
      </c>
      <c r="C15">
        <f t="shared" si="0"/>
        <v>31</v>
      </c>
      <c r="D15">
        <v>1</v>
      </c>
      <c r="E15">
        <v>32</v>
      </c>
      <c r="F15">
        <f>RnSPLINE!H$4</f>
        <v>30</v>
      </c>
      <c r="G15">
        <f>RnSPLINE!H$5</f>
        <v>15.5</v>
      </c>
      <c r="H15" s="6">
        <f>RnSPLINE!M$4</f>
        <v>-6.5499018136166071E-2</v>
      </c>
      <c r="I15" s="6">
        <f>RnSPLINE!M$5</f>
        <v>8.0934678163811002E-2</v>
      </c>
      <c r="J15">
        <f t="shared" si="1"/>
        <v>0.64516129032258063</v>
      </c>
      <c r="K15">
        <f t="shared" si="2"/>
        <v>0.35483870967741937</v>
      </c>
      <c r="L15">
        <f t="shared" si="3"/>
        <v>-34</v>
      </c>
      <c r="M15" s="6">
        <f t="shared" si="4"/>
        <v>24.85483870967742</v>
      </c>
      <c r="N15" s="6">
        <f t="shared" si="5"/>
        <v>24.785282565882632</v>
      </c>
      <c r="O15" s="6">
        <f t="shared" si="8"/>
        <v>329.12903225806451</v>
      </c>
      <c r="P15" s="6">
        <f t="shared" si="9"/>
        <v>333.05876847861322</v>
      </c>
      <c r="Q15" s="6">
        <f t="shared" si="6"/>
        <v>24.785282565882632</v>
      </c>
    </row>
    <row r="16" spans="1:17">
      <c r="B16">
        <f t="shared" si="7"/>
        <v>13</v>
      </c>
      <c r="C16">
        <f t="shared" si="0"/>
        <v>31</v>
      </c>
      <c r="D16">
        <v>1</v>
      </c>
      <c r="E16">
        <v>32</v>
      </c>
      <c r="F16">
        <f>RnSPLINE!H$4</f>
        <v>30</v>
      </c>
      <c r="G16">
        <f>RnSPLINE!H$5</f>
        <v>15.5</v>
      </c>
      <c r="H16" s="6">
        <f>RnSPLINE!M$4</f>
        <v>-6.5499018136166071E-2</v>
      </c>
      <c r="I16" s="6">
        <f>RnSPLINE!M$5</f>
        <v>8.0934678163811002E-2</v>
      </c>
      <c r="J16">
        <f t="shared" si="1"/>
        <v>0.61290322580645162</v>
      </c>
      <c r="K16">
        <f t="shared" si="2"/>
        <v>0.38709677419354838</v>
      </c>
      <c r="L16">
        <f t="shared" si="3"/>
        <v>-33</v>
      </c>
      <c r="M16" s="6">
        <f t="shared" si="4"/>
        <v>24.387096774193548</v>
      </c>
      <c r="N16" s="6">
        <f t="shared" si="5"/>
        <v>24.135511946420916</v>
      </c>
      <c r="O16" s="6">
        <f t="shared" si="8"/>
        <v>353.51612903225805</v>
      </c>
      <c r="P16" s="6">
        <f t="shared" si="9"/>
        <v>357.19428042503415</v>
      </c>
      <c r="Q16" s="6">
        <f t="shared" si="6"/>
        <v>24.135511946420916</v>
      </c>
    </row>
    <row r="17" spans="2:17">
      <c r="B17">
        <f t="shared" si="7"/>
        <v>14</v>
      </c>
      <c r="C17">
        <f t="shared" si="0"/>
        <v>31</v>
      </c>
      <c r="D17">
        <v>1</v>
      </c>
      <c r="E17">
        <v>32</v>
      </c>
      <c r="F17">
        <f>RnSPLINE!H$4</f>
        <v>30</v>
      </c>
      <c r="G17">
        <f>RnSPLINE!H$5</f>
        <v>15.5</v>
      </c>
      <c r="H17" s="6">
        <f>RnSPLINE!M$4</f>
        <v>-6.5499018136166071E-2</v>
      </c>
      <c r="I17" s="6">
        <f>RnSPLINE!M$5</f>
        <v>8.0934678163811002E-2</v>
      </c>
      <c r="J17">
        <f t="shared" si="1"/>
        <v>0.58064516129032262</v>
      </c>
      <c r="K17">
        <f t="shared" si="2"/>
        <v>0.41935483870967744</v>
      </c>
      <c r="L17">
        <f t="shared" si="3"/>
        <v>-32</v>
      </c>
      <c r="M17" s="6">
        <f t="shared" si="4"/>
        <v>23.91935483870968</v>
      </c>
      <c r="N17" s="6">
        <f t="shared" si="5"/>
        <v>23.476926320293991</v>
      </c>
      <c r="O17" s="6">
        <f t="shared" si="8"/>
        <v>377.43548387096774</v>
      </c>
      <c r="P17" s="6">
        <f t="shared" si="9"/>
        <v>380.67120674532816</v>
      </c>
      <c r="Q17" s="6">
        <f t="shared" si="6"/>
        <v>23.476926320293991</v>
      </c>
    </row>
    <row r="18" spans="2:17">
      <c r="B18">
        <f t="shared" si="7"/>
        <v>15</v>
      </c>
      <c r="C18">
        <f t="shared" si="0"/>
        <v>31</v>
      </c>
      <c r="D18">
        <v>1</v>
      </c>
      <c r="E18">
        <v>32</v>
      </c>
      <c r="F18">
        <f>RnSPLINE!H$4</f>
        <v>30</v>
      </c>
      <c r="G18">
        <f>RnSPLINE!H$5</f>
        <v>15.5</v>
      </c>
      <c r="H18" s="6">
        <f>RnSPLINE!M$4</f>
        <v>-6.5499018136166071E-2</v>
      </c>
      <c r="I18" s="6">
        <f>RnSPLINE!M$5</f>
        <v>8.0934678163811002E-2</v>
      </c>
      <c r="J18">
        <f t="shared" si="1"/>
        <v>0.54838709677419351</v>
      </c>
      <c r="K18">
        <f t="shared" si="2"/>
        <v>0.45161290322580644</v>
      </c>
      <c r="L18">
        <f t="shared" si="3"/>
        <v>-31</v>
      </c>
      <c r="M18" s="6">
        <f t="shared" si="4"/>
        <v>23.451612903225804</v>
      </c>
      <c r="N18" s="6">
        <f t="shared" si="5"/>
        <v>22.814249355124435</v>
      </c>
      <c r="O18" s="6">
        <f t="shared" si="8"/>
        <v>400.88709677419354</v>
      </c>
      <c r="P18" s="6">
        <f t="shared" si="9"/>
        <v>403.48545610045261</v>
      </c>
      <c r="Q18" s="6">
        <f t="shared" si="6"/>
        <v>22.814249355124435</v>
      </c>
    </row>
    <row r="19" spans="2:17">
      <c r="B19">
        <f t="shared" si="7"/>
        <v>16</v>
      </c>
      <c r="C19">
        <f t="shared" si="0"/>
        <v>31</v>
      </c>
      <c r="D19">
        <v>1</v>
      </c>
      <c r="E19">
        <v>32</v>
      </c>
      <c r="F19">
        <f>RnSPLINE!H$4</f>
        <v>30</v>
      </c>
      <c r="G19">
        <f>RnSPLINE!H$5</f>
        <v>15.5</v>
      </c>
      <c r="H19" s="6">
        <f>RnSPLINE!M$4</f>
        <v>-6.5499018136166071E-2</v>
      </c>
      <c r="I19" s="6">
        <f>RnSPLINE!M$5</f>
        <v>8.0934678163811002E-2</v>
      </c>
      <c r="J19">
        <f t="shared" si="1"/>
        <v>0.5161290322580645</v>
      </c>
      <c r="K19">
        <f t="shared" si="2"/>
        <v>0.4838709677419355</v>
      </c>
      <c r="L19">
        <f t="shared" si="3"/>
        <v>-30</v>
      </c>
      <c r="M19" s="6">
        <f t="shared" si="4"/>
        <v>22.983870967741936</v>
      </c>
      <c r="N19" s="6">
        <f t="shared" si="5"/>
        <v>22.15220471853484</v>
      </c>
      <c r="O19" s="6">
        <f t="shared" si="8"/>
        <v>423.87096774193549</v>
      </c>
      <c r="P19" s="6">
        <f t="shared" si="9"/>
        <v>425.63766081898746</v>
      </c>
      <c r="Q19" s="6">
        <f t="shared" si="6"/>
        <v>22.15220471853484</v>
      </c>
    </row>
    <row r="20" spans="2:17">
      <c r="B20">
        <f t="shared" si="7"/>
        <v>17</v>
      </c>
      <c r="C20">
        <f t="shared" si="0"/>
        <v>31</v>
      </c>
      <c r="D20">
        <v>1</v>
      </c>
      <c r="E20">
        <v>32</v>
      </c>
      <c r="F20">
        <f>RnSPLINE!H$4</f>
        <v>30</v>
      </c>
      <c r="G20">
        <f>RnSPLINE!H$5</f>
        <v>15.5</v>
      </c>
      <c r="H20" s="6">
        <f>RnSPLINE!M$4</f>
        <v>-6.5499018136166071E-2</v>
      </c>
      <c r="I20" s="6">
        <f>RnSPLINE!M$5</f>
        <v>8.0934678163811002E-2</v>
      </c>
      <c r="J20">
        <f t="shared" si="1"/>
        <v>0.4838709677419355</v>
      </c>
      <c r="K20">
        <f t="shared" si="2"/>
        <v>0.5161290322580645</v>
      </c>
      <c r="L20">
        <f t="shared" si="3"/>
        <v>-29</v>
      </c>
      <c r="M20" s="6">
        <f t="shared" si="4"/>
        <v>22.516129032258064</v>
      </c>
      <c r="N20" s="6">
        <f t="shared" si="5"/>
        <v>21.495516078147769</v>
      </c>
      <c r="O20" s="6">
        <f t="shared" si="8"/>
        <v>446.38709677419354</v>
      </c>
      <c r="P20" s="6">
        <f t="shared" si="9"/>
        <v>447.13317689713523</v>
      </c>
      <c r="Q20" s="6">
        <f t="shared" si="6"/>
        <v>21.495516078147769</v>
      </c>
    </row>
    <row r="21" spans="2:17">
      <c r="B21">
        <f t="shared" si="7"/>
        <v>18</v>
      </c>
      <c r="C21">
        <f t="shared" si="0"/>
        <v>31</v>
      </c>
      <c r="D21">
        <v>1</v>
      </c>
      <c r="E21">
        <v>32</v>
      </c>
      <c r="F21">
        <f>RnSPLINE!H$4</f>
        <v>30</v>
      </c>
      <c r="G21">
        <f>RnSPLINE!H$5</f>
        <v>15.5</v>
      </c>
      <c r="H21" s="6">
        <f>RnSPLINE!M$4</f>
        <v>-6.5499018136166071E-2</v>
      </c>
      <c r="I21" s="6">
        <f>RnSPLINE!M$5</f>
        <v>8.0934678163811002E-2</v>
      </c>
      <c r="J21">
        <f t="shared" si="1"/>
        <v>0.45161290322580644</v>
      </c>
      <c r="K21">
        <f t="shared" si="2"/>
        <v>0.54838709677419351</v>
      </c>
      <c r="L21">
        <f t="shared" si="3"/>
        <v>-28</v>
      </c>
      <c r="M21" s="6">
        <f t="shared" si="4"/>
        <v>22.048387096774192</v>
      </c>
      <c r="N21" s="6">
        <f t="shared" si="5"/>
        <v>20.848907101585812</v>
      </c>
      <c r="O21" s="6">
        <f t="shared" si="8"/>
        <v>468.43548387096774</v>
      </c>
      <c r="P21" s="6">
        <f t="shared" si="9"/>
        <v>467.98208399872107</v>
      </c>
      <c r="Q21" s="6">
        <f t="shared" si="6"/>
        <v>20.848907101585812</v>
      </c>
    </row>
    <row r="22" spans="2:17">
      <c r="B22">
        <f t="shared" si="7"/>
        <v>19</v>
      </c>
      <c r="C22">
        <f t="shared" si="0"/>
        <v>31</v>
      </c>
      <c r="D22">
        <v>1</v>
      </c>
      <c r="E22">
        <v>32</v>
      </c>
      <c r="F22">
        <f>RnSPLINE!H$4</f>
        <v>30</v>
      </c>
      <c r="G22">
        <f>RnSPLINE!H$5</f>
        <v>15.5</v>
      </c>
      <c r="H22" s="6">
        <f>RnSPLINE!M$4</f>
        <v>-6.5499018136166071E-2</v>
      </c>
      <c r="I22" s="6">
        <f>RnSPLINE!M$5</f>
        <v>8.0934678163811002E-2</v>
      </c>
      <c r="J22">
        <f t="shared" si="1"/>
        <v>0.41935483870967744</v>
      </c>
      <c r="K22">
        <f t="shared" si="2"/>
        <v>0.58064516129032262</v>
      </c>
      <c r="L22">
        <f t="shared" si="3"/>
        <v>-27</v>
      </c>
      <c r="M22" s="6">
        <f t="shared" si="4"/>
        <v>21.580645161290324</v>
      </c>
      <c r="N22" s="6">
        <f t="shared" si="5"/>
        <v>20.217101456471553</v>
      </c>
      <c r="O22" s="6">
        <f t="shared" si="8"/>
        <v>490.01612903225805</v>
      </c>
      <c r="P22" s="6">
        <f t="shared" si="9"/>
        <v>488.19918545519261</v>
      </c>
      <c r="Q22" s="6">
        <f t="shared" si="6"/>
        <v>20.217101456471553</v>
      </c>
    </row>
    <row r="23" spans="2:17">
      <c r="B23">
        <f t="shared" si="7"/>
        <v>20</v>
      </c>
      <c r="C23">
        <f t="shared" si="0"/>
        <v>31</v>
      </c>
      <c r="D23">
        <v>1</v>
      </c>
      <c r="E23">
        <v>32</v>
      </c>
      <c r="F23">
        <f>RnSPLINE!H$4</f>
        <v>30</v>
      </c>
      <c r="G23">
        <f>RnSPLINE!H$5</f>
        <v>15.5</v>
      </c>
      <c r="H23" s="6">
        <f>RnSPLINE!M$4</f>
        <v>-6.5499018136166071E-2</v>
      </c>
      <c r="I23" s="6">
        <f>RnSPLINE!M$5</f>
        <v>8.0934678163811002E-2</v>
      </c>
      <c r="J23">
        <f t="shared" si="1"/>
        <v>0.38709677419354838</v>
      </c>
      <c r="K23">
        <f t="shared" si="2"/>
        <v>0.61290322580645162</v>
      </c>
      <c r="L23">
        <f t="shared" si="3"/>
        <v>-26</v>
      </c>
      <c r="M23" s="6">
        <f t="shared" si="4"/>
        <v>21.112903225806452</v>
      </c>
      <c r="N23" s="6">
        <f t="shared" si="5"/>
        <v>19.604822810427564</v>
      </c>
      <c r="O23" s="6">
        <f t="shared" si="8"/>
        <v>511.12903225806451</v>
      </c>
      <c r="P23" s="6">
        <f t="shared" si="9"/>
        <v>507.80400826562015</v>
      </c>
      <c r="Q23" s="6">
        <f t="shared" si="6"/>
        <v>19.604822810427564</v>
      </c>
    </row>
    <row r="24" spans="2:17">
      <c r="B24">
        <f t="shared" si="7"/>
        <v>21</v>
      </c>
      <c r="C24">
        <f t="shared" si="0"/>
        <v>31</v>
      </c>
      <c r="D24">
        <v>1</v>
      </c>
      <c r="E24">
        <v>32</v>
      </c>
      <c r="F24">
        <f>RnSPLINE!H$4</f>
        <v>30</v>
      </c>
      <c r="G24">
        <f>RnSPLINE!H$5</f>
        <v>15.5</v>
      </c>
      <c r="H24" s="6">
        <f>RnSPLINE!M$4</f>
        <v>-6.5499018136166071E-2</v>
      </c>
      <c r="I24" s="6">
        <f>RnSPLINE!M$5</f>
        <v>8.0934678163811002E-2</v>
      </c>
      <c r="J24">
        <f t="shared" si="1"/>
        <v>0.35483870967741937</v>
      </c>
      <c r="K24">
        <f t="shared" si="2"/>
        <v>0.64516129032258063</v>
      </c>
      <c r="L24">
        <f t="shared" si="3"/>
        <v>-25</v>
      </c>
      <c r="M24" s="6">
        <f t="shared" si="4"/>
        <v>20.645161290322584</v>
      </c>
      <c r="N24" s="6">
        <f t="shared" si="5"/>
        <v>19.016794831076428</v>
      </c>
      <c r="O24" s="6">
        <f t="shared" si="8"/>
        <v>531.77419354838707</v>
      </c>
      <c r="P24" s="6">
        <f t="shared" si="9"/>
        <v>526.82080309669664</v>
      </c>
      <c r="Q24" s="6">
        <f t="shared" si="6"/>
        <v>19.016794831076428</v>
      </c>
    </row>
    <row r="25" spans="2:17">
      <c r="B25">
        <f t="shared" si="7"/>
        <v>22</v>
      </c>
      <c r="C25">
        <f t="shared" si="0"/>
        <v>31</v>
      </c>
      <c r="D25">
        <v>1</v>
      </c>
      <c r="E25">
        <v>32</v>
      </c>
      <c r="F25">
        <f>RnSPLINE!H$4</f>
        <v>30</v>
      </c>
      <c r="G25">
        <f>RnSPLINE!H$5</f>
        <v>15.5</v>
      </c>
      <c r="H25" s="6">
        <f>RnSPLINE!M$4</f>
        <v>-6.5499018136166071E-2</v>
      </c>
      <c r="I25" s="6">
        <f>RnSPLINE!M$5</f>
        <v>8.0934678163811002E-2</v>
      </c>
      <c r="J25">
        <f t="shared" si="1"/>
        <v>0.32258064516129031</v>
      </c>
      <c r="K25">
        <f t="shared" si="2"/>
        <v>0.67741935483870963</v>
      </c>
      <c r="L25">
        <f t="shared" si="3"/>
        <v>-24</v>
      </c>
      <c r="M25" s="6">
        <f t="shared" si="4"/>
        <v>20.177419354838712</v>
      </c>
      <c r="N25" s="6">
        <f t="shared" si="5"/>
        <v>18.457741186040721</v>
      </c>
      <c r="O25" s="6">
        <f t="shared" si="8"/>
        <v>551.95161290322574</v>
      </c>
      <c r="P25" s="6">
        <f t="shared" si="9"/>
        <v>545.27854428273736</v>
      </c>
      <c r="Q25" s="6">
        <f t="shared" si="6"/>
        <v>18.457741186040721</v>
      </c>
    </row>
    <row r="26" spans="2:17">
      <c r="B26">
        <f t="shared" si="7"/>
        <v>23</v>
      </c>
      <c r="C26">
        <f t="shared" si="0"/>
        <v>31</v>
      </c>
      <c r="D26">
        <v>1</v>
      </c>
      <c r="E26">
        <v>32</v>
      </c>
      <c r="F26">
        <f>RnSPLINE!H$4</f>
        <v>30</v>
      </c>
      <c r="G26">
        <f>RnSPLINE!H$5</f>
        <v>15.5</v>
      </c>
      <c r="H26" s="6">
        <f>RnSPLINE!M$4</f>
        <v>-6.5499018136166071E-2</v>
      </c>
      <c r="I26" s="6">
        <f>RnSPLINE!M$5</f>
        <v>8.0934678163811002E-2</v>
      </c>
      <c r="J26">
        <f t="shared" si="1"/>
        <v>0.29032258064516131</v>
      </c>
      <c r="K26">
        <f t="shared" si="2"/>
        <v>0.70967741935483875</v>
      </c>
      <c r="L26">
        <f t="shared" si="3"/>
        <v>-23</v>
      </c>
      <c r="M26" s="6">
        <f t="shared" si="4"/>
        <v>19.70967741935484</v>
      </c>
      <c r="N26" s="6">
        <f t="shared" si="5"/>
        <v>17.932385542943027</v>
      </c>
      <c r="O26" s="6">
        <f t="shared" si="8"/>
        <v>571.66129032258061</v>
      </c>
      <c r="P26" s="6">
        <f t="shared" si="9"/>
        <v>563.21092982568041</v>
      </c>
      <c r="Q26" s="6">
        <f t="shared" si="6"/>
        <v>17.932385542943027</v>
      </c>
    </row>
    <row r="27" spans="2:17">
      <c r="B27">
        <f t="shared" si="7"/>
        <v>24</v>
      </c>
      <c r="C27">
        <f t="shared" si="0"/>
        <v>31</v>
      </c>
      <c r="D27">
        <v>1</v>
      </c>
      <c r="E27">
        <v>32</v>
      </c>
      <c r="F27">
        <f>RnSPLINE!H$4</f>
        <v>30</v>
      </c>
      <c r="G27">
        <f>RnSPLINE!H$5</f>
        <v>15.5</v>
      </c>
      <c r="H27" s="6">
        <f>RnSPLINE!M$4</f>
        <v>-6.5499018136166071E-2</v>
      </c>
      <c r="I27" s="6">
        <f>RnSPLINE!M$5</f>
        <v>8.0934678163811002E-2</v>
      </c>
      <c r="J27">
        <f t="shared" si="1"/>
        <v>0.25806451612903225</v>
      </c>
      <c r="K27">
        <f t="shared" si="2"/>
        <v>0.74193548387096775</v>
      </c>
      <c r="L27">
        <f t="shared" si="3"/>
        <v>-22</v>
      </c>
      <c r="M27" s="6">
        <f t="shared" si="4"/>
        <v>19.241935483870968</v>
      </c>
      <c r="N27" s="6">
        <f t="shared" si="5"/>
        <v>17.445451569405925</v>
      </c>
      <c r="O27" s="6">
        <f t="shared" si="8"/>
        <v>590.90322580645159</v>
      </c>
      <c r="P27" s="6">
        <f t="shared" si="9"/>
        <v>580.65638139508633</v>
      </c>
      <c r="Q27" s="6">
        <f t="shared" si="6"/>
        <v>17.445451569405925</v>
      </c>
    </row>
    <row r="28" spans="2:17">
      <c r="B28">
        <f t="shared" si="7"/>
        <v>25</v>
      </c>
      <c r="C28">
        <f t="shared" si="0"/>
        <v>31</v>
      </c>
      <c r="D28">
        <v>1</v>
      </c>
      <c r="E28">
        <v>32</v>
      </c>
      <c r="F28">
        <f>RnSPLINE!H$4</f>
        <v>30</v>
      </c>
      <c r="G28">
        <f>RnSPLINE!H$5</f>
        <v>15.5</v>
      </c>
      <c r="H28" s="6">
        <f>RnSPLINE!M$4</f>
        <v>-6.5499018136166071E-2</v>
      </c>
      <c r="I28" s="6">
        <f>RnSPLINE!M$5</f>
        <v>8.0934678163811002E-2</v>
      </c>
      <c r="J28">
        <f t="shared" si="1"/>
        <v>0.22580645161290322</v>
      </c>
      <c r="K28">
        <f t="shared" si="2"/>
        <v>0.77419354838709675</v>
      </c>
      <c r="L28">
        <f t="shared" si="3"/>
        <v>-21</v>
      </c>
      <c r="M28" s="6">
        <f t="shared" si="4"/>
        <v>18.774193548387096</v>
      </c>
      <c r="N28" s="6">
        <f t="shared" si="5"/>
        <v>17.001662933051993</v>
      </c>
      <c r="O28" s="6">
        <f t="shared" si="8"/>
        <v>609.67741935483866</v>
      </c>
      <c r="P28" s="6">
        <f t="shared" si="9"/>
        <v>597.65804432813832</v>
      </c>
      <c r="Q28" s="6">
        <f t="shared" si="6"/>
        <v>17.001662933051993</v>
      </c>
    </row>
    <row r="29" spans="2:17">
      <c r="B29">
        <f t="shared" si="7"/>
        <v>26</v>
      </c>
      <c r="C29">
        <f t="shared" si="0"/>
        <v>31</v>
      </c>
      <c r="D29">
        <v>1</v>
      </c>
      <c r="E29">
        <v>32</v>
      </c>
      <c r="F29">
        <f>RnSPLINE!H$4</f>
        <v>30</v>
      </c>
      <c r="G29">
        <f>RnSPLINE!H$5</f>
        <v>15.5</v>
      </c>
      <c r="H29" s="6">
        <f>RnSPLINE!M$4</f>
        <v>-6.5499018136166071E-2</v>
      </c>
      <c r="I29" s="6">
        <f>RnSPLINE!M$5</f>
        <v>8.0934678163811002E-2</v>
      </c>
      <c r="J29">
        <f t="shared" si="1"/>
        <v>0.19354838709677419</v>
      </c>
      <c r="K29">
        <f t="shared" si="2"/>
        <v>0.80645161290322576</v>
      </c>
      <c r="L29">
        <f t="shared" si="3"/>
        <v>-20</v>
      </c>
      <c r="M29" s="6">
        <f t="shared" si="4"/>
        <v>18.306451612903224</v>
      </c>
      <c r="N29" s="6">
        <f t="shared" si="5"/>
        <v>16.605743301503811</v>
      </c>
      <c r="O29" s="6">
        <f t="shared" si="8"/>
        <v>627.98387096774184</v>
      </c>
      <c r="P29" s="6">
        <f t="shared" si="9"/>
        <v>614.26378762964214</v>
      </c>
      <c r="Q29" s="6">
        <f t="shared" si="6"/>
        <v>16.605743301503811</v>
      </c>
    </row>
    <row r="30" spans="2:17">
      <c r="B30">
        <f t="shared" si="7"/>
        <v>27</v>
      </c>
      <c r="C30">
        <f t="shared" si="0"/>
        <v>31</v>
      </c>
      <c r="D30">
        <v>1</v>
      </c>
      <c r="E30">
        <v>32</v>
      </c>
      <c r="F30">
        <f>RnSPLINE!H$4</f>
        <v>30</v>
      </c>
      <c r="G30">
        <f>RnSPLINE!H$5</f>
        <v>15.5</v>
      </c>
      <c r="H30" s="6">
        <f>RnSPLINE!M$4</f>
        <v>-6.5499018136166071E-2</v>
      </c>
      <c r="I30" s="6">
        <f>RnSPLINE!M$5</f>
        <v>8.0934678163811002E-2</v>
      </c>
      <c r="J30">
        <f t="shared" si="1"/>
        <v>0.16129032258064516</v>
      </c>
      <c r="K30">
        <f t="shared" si="2"/>
        <v>0.83870967741935487</v>
      </c>
      <c r="L30">
        <f t="shared" si="3"/>
        <v>-19</v>
      </c>
      <c r="M30" s="6">
        <f t="shared" si="4"/>
        <v>17.838709677419356</v>
      </c>
      <c r="N30" s="6">
        <f t="shared" si="5"/>
        <v>16.262416342383968</v>
      </c>
      <c r="O30" s="6">
        <f t="shared" si="8"/>
        <v>645.82258064516122</v>
      </c>
      <c r="P30" s="6">
        <f t="shared" si="9"/>
        <v>630.52620397202611</v>
      </c>
      <c r="Q30" s="6">
        <f t="shared" si="6"/>
        <v>16.262416342383968</v>
      </c>
    </row>
    <row r="31" spans="2:17">
      <c r="B31">
        <f t="shared" si="7"/>
        <v>28</v>
      </c>
      <c r="C31">
        <f t="shared" si="0"/>
        <v>31</v>
      </c>
      <c r="D31">
        <v>1</v>
      </c>
      <c r="E31">
        <v>32</v>
      </c>
      <c r="F31">
        <f>RnSPLINE!H$4</f>
        <v>30</v>
      </c>
      <c r="G31">
        <f>RnSPLINE!H$5</f>
        <v>15.5</v>
      </c>
      <c r="H31" s="6">
        <f>RnSPLINE!M$4</f>
        <v>-6.5499018136166071E-2</v>
      </c>
      <c r="I31" s="6">
        <f>RnSPLINE!M$5</f>
        <v>8.0934678163811002E-2</v>
      </c>
      <c r="J31">
        <f t="shared" si="1"/>
        <v>0.12903225806451613</v>
      </c>
      <c r="K31">
        <f t="shared" si="2"/>
        <v>0.87096774193548387</v>
      </c>
      <c r="L31">
        <f t="shared" si="3"/>
        <v>-18</v>
      </c>
      <c r="M31" s="6">
        <f t="shared" si="4"/>
        <v>17.370967741935484</v>
      </c>
      <c r="N31" s="6">
        <f t="shared" si="5"/>
        <v>15.976405723315029</v>
      </c>
      <c r="O31" s="6">
        <f t="shared" si="8"/>
        <v>663.19354838709671</v>
      </c>
      <c r="P31" s="6">
        <f t="shared" si="9"/>
        <v>646.50260969534111</v>
      </c>
      <c r="Q31" s="6">
        <f t="shared" si="6"/>
        <v>15.976405723315029</v>
      </c>
    </row>
    <row r="32" spans="2:17">
      <c r="B32">
        <f t="shared" si="7"/>
        <v>29</v>
      </c>
      <c r="C32">
        <f t="shared" si="0"/>
        <v>31</v>
      </c>
      <c r="D32">
        <v>1</v>
      </c>
      <c r="E32">
        <v>32</v>
      </c>
      <c r="F32">
        <f>RnSPLINE!H$4</f>
        <v>30</v>
      </c>
      <c r="G32">
        <f>RnSPLINE!H$5</f>
        <v>15.5</v>
      </c>
      <c r="H32" s="6">
        <f>RnSPLINE!M$4</f>
        <v>-6.5499018136166071E-2</v>
      </c>
      <c r="I32" s="6">
        <f>RnSPLINE!M$5</f>
        <v>8.0934678163811002E-2</v>
      </c>
      <c r="J32">
        <f t="shared" si="1"/>
        <v>9.6774193548387094E-2</v>
      </c>
      <c r="K32">
        <f t="shared" si="2"/>
        <v>0.90322580645161288</v>
      </c>
      <c r="L32">
        <f t="shared" si="3"/>
        <v>-17</v>
      </c>
      <c r="M32" s="6">
        <f t="shared" si="4"/>
        <v>16.903225806451612</v>
      </c>
      <c r="N32" s="6">
        <f t="shared" si="5"/>
        <v>15.752435111919585</v>
      </c>
      <c r="O32" s="6">
        <f t="shared" si="8"/>
        <v>680.0967741935483</v>
      </c>
      <c r="P32" s="6">
        <f t="shared" si="9"/>
        <v>662.25504480726067</v>
      </c>
      <c r="Q32" s="6">
        <f t="shared" si="6"/>
        <v>15.752435111919585</v>
      </c>
    </row>
    <row r="33" spans="1:17">
      <c r="B33">
        <f t="shared" si="7"/>
        <v>30</v>
      </c>
      <c r="C33">
        <f t="shared" si="0"/>
        <v>31</v>
      </c>
      <c r="D33">
        <v>1</v>
      </c>
      <c r="E33">
        <v>32</v>
      </c>
      <c r="F33">
        <f>RnSPLINE!H$4</f>
        <v>30</v>
      </c>
      <c r="G33">
        <f>RnSPLINE!H$5</f>
        <v>15.5</v>
      </c>
      <c r="H33" s="6">
        <f>RnSPLINE!M$4</f>
        <v>-6.5499018136166071E-2</v>
      </c>
      <c r="I33" s="6">
        <f>RnSPLINE!M$5</f>
        <v>8.0934678163811002E-2</v>
      </c>
      <c r="J33">
        <f t="shared" si="1"/>
        <v>6.4516129032258063E-2</v>
      </c>
      <c r="K33">
        <f t="shared" si="2"/>
        <v>0.93548387096774188</v>
      </c>
      <c r="L33">
        <f t="shared" si="3"/>
        <v>-16</v>
      </c>
      <c r="M33" s="6">
        <f t="shared" si="4"/>
        <v>16.435483870967744</v>
      </c>
      <c r="N33" s="6">
        <f t="shared" si="5"/>
        <v>15.595228175820212</v>
      </c>
      <c r="O33" s="6">
        <f t="shared" si="8"/>
        <v>696.5322580645161</v>
      </c>
      <c r="P33" s="6">
        <f t="shared" si="9"/>
        <v>677.85027298308091</v>
      </c>
      <c r="Q33" s="6">
        <f t="shared" si="6"/>
        <v>15.595228175820212</v>
      </c>
    </row>
    <row r="34" spans="1:17">
      <c r="B34">
        <f t="shared" si="7"/>
        <v>31</v>
      </c>
      <c r="C34">
        <f t="shared" si="0"/>
        <v>31</v>
      </c>
      <c r="D34">
        <v>1</v>
      </c>
      <c r="E34">
        <v>32</v>
      </c>
      <c r="F34">
        <f>RnSPLINE!H$4</f>
        <v>30</v>
      </c>
      <c r="G34">
        <f>RnSPLINE!H$5</f>
        <v>15.5</v>
      </c>
      <c r="H34" s="6">
        <f>RnSPLINE!M$4</f>
        <v>-6.5499018136166071E-2</v>
      </c>
      <c r="I34" s="6">
        <f>RnSPLINE!M$5</f>
        <v>8.0934678163811002E-2</v>
      </c>
      <c r="J34">
        <f t="shared" si="1"/>
        <v>3.2258064516129031E-2</v>
      </c>
      <c r="K34">
        <f t="shared" si="2"/>
        <v>0.967741935483871</v>
      </c>
      <c r="L34">
        <f t="shared" si="3"/>
        <v>-15</v>
      </c>
      <c r="M34" s="6">
        <f t="shared" si="4"/>
        <v>15.967741935483872</v>
      </c>
      <c r="N34" s="6">
        <f t="shared" si="5"/>
        <v>15.509508582639493</v>
      </c>
      <c r="O34" s="6">
        <f t="shared" si="8"/>
        <v>712.5</v>
      </c>
      <c r="P34" s="6">
        <f t="shared" si="9"/>
        <v>693.35978156572037</v>
      </c>
      <c r="Q34" s="6">
        <f t="shared" si="6"/>
        <v>15.509508582639493</v>
      </c>
    </row>
    <row r="35" spans="1:17">
      <c r="A35">
        <v>32</v>
      </c>
      <c r="B35">
        <f t="shared" si="7"/>
        <v>32</v>
      </c>
      <c r="C35">
        <f t="shared" si="0"/>
        <v>31</v>
      </c>
      <c r="D35">
        <v>1</v>
      </c>
      <c r="E35">
        <v>32</v>
      </c>
      <c r="F35">
        <f>RnSPLINE!H$4</f>
        <v>30</v>
      </c>
      <c r="G35">
        <f>RnSPLINE!H$5</f>
        <v>15.5</v>
      </c>
      <c r="H35" s="6">
        <f>RnSPLINE!M$4</f>
        <v>-6.5499018136166071E-2</v>
      </c>
      <c r="I35" s="6">
        <f>RnSPLINE!M$5</f>
        <v>8.0934678163811002E-2</v>
      </c>
      <c r="J35">
        <f t="shared" si="1"/>
        <v>0</v>
      </c>
      <c r="K35">
        <f t="shared" si="2"/>
        <v>1</v>
      </c>
      <c r="L35">
        <f t="shared" si="3"/>
        <v>-14</v>
      </c>
      <c r="M35" s="6">
        <f t="shared" si="4"/>
        <v>15.5</v>
      </c>
      <c r="N35" s="6">
        <f t="shared" si="5"/>
        <v>15.5</v>
      </c>
      <c r="O35" s="6">
        <f t="shared" si="8"/>
        <v>728</v>
      </c>
      <c r="P35" s="6">
        <f t="shared" si="9"/>
        <v>708.85978156572037</v>
      </c>
      <c r="Q35" s="6">
        <f t="shared" si="6"/>
        <v>15.5</v>
      </c>
    </row>
    <row r="36" spans="1:17">
      <c r="B36">
        <f t="shared" si="7"/>
        <v>33</v>
      </c>
      <c r="C36">
        <f t="shared" si="0"/>
        <v>29</v>
      </c>
      <c r="D36">
        <v>32</v>
      </c>
      <c r="E36">
        <v>61</v>
      </c>
      <c r="F36">
        <f>RnSPLINE!H$5</f>
        <v>15.5</v>
      </c>
      <c r="G36">
        <f>RnSPLINE!H$6</f>
        <v>31</v>
      </c>
      <c r="H36" s="6">
        <f>RnSPLINE!M$5</f>
        <v>8.0934678163811002E-2</v>
      </c>
      <c r="I36" s="6">
        <f>RnSPLINE!M$6</f>
        <v>-5.7529091476165813E-2</v>
      </c>
      <c r="J36">
        <f t="shared" si="1"/>
        <v>0.96551724137931039</v>
      </c>
      <c r="K36">
        <f t="shared" si="2"/>
        <v>3.4482758620689655E-2</v>
      </c>
      <c r="L36">
        <f t="shared" si="3"/>
        <v>-13</v>
      </c>
      <c r="M36" s="6">
        <f t="shared" si="4"/>
        <v>16.03448275862069</v>
      </c>
      <c r="N36" s="6">
        <f t="shared" si="5"/>
        <v>15.569843048796193</v>
      </c>
      <c r="O36" s="6">
        <f t="shared" si="8"/>
        <v>744.0344827586207</v>
      </c>
      <c r="P36" s="6">
        <f t="shared" si="9"/>
        <v>724.42962461451657</v>
      </c>
      <c r="Q36" s="6">
        <f t="shared" si="6"/>
        <v>15.569843048796193</v>
      </c>
    </row>
    <row r="37" spans="1:17">
      <c r="B37">
        <f t="shared" si="7"/>
        <v>34</v>
      </c>
      <c r="C37">
        <f t="shared" si="0"/>
        <v>29</v>
      </c>
      <c r="D37">
        <v>32</v>
      </c>
      <c r="E37">
        <v>61</v>
      </c>
      <c r="F37">
        <f>RnSPLINE!H$5</f>
        <v>15.5</v>
      </c>
      <c r="G37">
        <f>RnSPLINE!H$6</f>
        <v>31</v>
      </c>
      <c r="H37" s="6">
        <f>RnSPLINE!M$5</f>
        <v>8.0934678163811002E-2</v>
      </c>
      <c r="I37" s="6">
        <f>RnSPLINE!M$6</f>
        <v>-5.7529091476165813E-2</v>
      </c>
      <c r="J37">
        <f t="shared" si="1"/>
        <v>0.93103448275862066</v>
      </c>
      <c r="K37">
        <f t="shared" si="2"/>
        <v>6.8965517241379309E-2</v>
      </c>
      <c r="L37">
        <f t="shared" si="3"/>
        <v>-12</v>
      </c>
      <c r="M37" s="6">
        <f t="shared" si="4"/>
        <v>16.568965517241381</v>
      </c>
      <c r="N37" s="6">
        <f t="shared" si="5"/>
        <v>15.715846163009985</v>
      </c>
      <c r="O37" s="6">
        <f t="shared" si="8"/>
        <v>760.60344827586209</v>
      </c>
      <c r="P37" s="6">
        <f t="shared" si="9"/>
        <v>740.1454707775265</v>
      </c>
      <c r="Q37" s="6">
        <f t="shared" si="6"/>
        <v>15.715846163009985</v>
      </c>
    </row>
    <row r="38" spans="1:17">
      <c r="B38">
        <f t="shared" si="7"/>
        <v>35</v>
      </c>
      <c r="C38">
        <f t="shared" si="0"/>
        <v>29</v>
      </c>
      <c r="D38">
        <v>32</v>
      </c>
      <c r="E38">
        <v>61</v>
      </c>
      <c r="F38">
        <f>RnSPLINE!H$5</f>
        <v>15.5</v>
      </c>
      <c r="G38">
        <f>RnSPLINE!H$6</f>
        <v>31</v>
      </c>
      <c r="H38" s="6">
        <f>RnSPLINE!M$5</f>
        <v>8.0934678163811002E-2</v>
      </c>
      <c r="I38" s="6">
        <f>RnSPLINE!M$6</f>
        <v>-5.7529091476165813E-2</v>
      </c>
      <c r="J38">
        <f t="shared" si="1"/>
        <v>0.89655172413793105</v>
      </c>
      <c r="K38">
        <f t="shared" si="2"/>
        <v>0.10344827586206896</v>
      </c>
      <c r="L38">
        <f t="shared" si="3"/>
        <v>-11</v>
      </c>
      <c r="M38" s="6">
        <f t="shared" si="4"/>
        <v>17.103448275862068</v>
      </c>
      <c r="N38" s="6">
        <f t="shared" si="5"/>
        <v>15.933234729895176</v>
      </c>
      <c r="O38" s="6">
        <f t="shared" si="8"/>
        <v>777.70689655172418</v>
      </c>
      <c r="P38" s="6">
        <f t="shared" si="9"/>
        <v>756.07870550742166</v>
      </c>
      <c r="Q38" s="6">
        <f t="shared" si="6"/>
        <v>15.933234729895176</v>
      </c>
    </row>
    <row r="39" spans="1:17">
      <c r="B39">
        <f t="shared" si="7"/>
        <v>36</v>
      </c>
      <c r="C39">
        <f t="shared" si="0"/>
        <v>29</v>
      </c>
      <c r="D39">
        <v>32</v>
      </c>
      <c r="E39">
        <v>61</v>
      </c>
      <c r="F39">
        <f>RnSPLINE!H$5</f>
        <v>15.5</v>
      </c>
      <c r="G39">
        <f>RnSPLINE!H$6</f>
        <v>31</v>
      </c>
      <c r="H39" s="6">
        <f>RnSPLINE!M$5</f>
        <v>8.0934678163811002E-2</v>
      </c>
      <c r="I39" s="6">
        <f>RnSPLINE!M$6</f>
        <v>-5.7529091476165813E-2</v>
      </c>
      <c r="J39">
        <f t="shared" si="1"/>
        <v>0.86206896551724133</v>
      </c>
      <c r="K39">
        <f t="shared" si="2"/>
        <v>0.13793103448275862</v>
      </c>
      <c r="L39">
        <f t="shared" si="3"/>
        <v>-10</v>
      </c>
      <c r="M39" s="6">
        <f t="shared" si="4"/>
        <v>17.637931034482758</v>
      </c>
      <c r="N39" s="6">
        <f t="shared" si="5"/>
        <v>16.21723413670556</v>
      </c>
      <c r="O39" s="6">
        <f t="shared" si="8"/>
        <v>795.34482758620697</v>
      </c>
      <c r="P39" s="6">
        <f t="shared" si="9"/>
        <v>772.2959396441272</v>
      </c>
      <c r="Q39" s="6">
        <f t="shared" si="6"/>
        <v>16.21723413670556</v>
      </c>
    </row>
    <row r="40" spans="1:17">
      <c r="B40">
        <f t="shared" si="7"/>
        <v>37</v>
      </c>
      <c r="C40">
        <f t="shared" si="0"/>
        <v>29</v>
      </c>
      <c r="D40">
        <v>32</v>
      </c>
      <c r="E40">
        <v>61</v>
      </c>
      <c r="F40">
        <f>RnSPLINE!H$5</f>
        <v>15.5</v>
      </c>
      <c r="G40">
        <f>RnSPLINE!H$6</f>
        <v>31</v>
      </c>
      <c r="H40" s="6">
        <f>RnSPLINE!M$5</f>
        <v>8.0934678163811002E-2</v>
      </c>
      <c r="I40" s="6">
        <f>RnSPLINE!M$6</f>
        <v>-5.7529091476165813E-2</v>
      </c>
      <c r="J40">
        <f t="shared" si="1"/>
        <v>0.82758620689655171</v>
      </c>
      <c r="K40">
        <f t="shared" si="2"/>
        <v>0.17241379310344829</v>
      </c>
      <c r="L40">
        <f t="shared" si="3"/>
        <v>-9</v>
      </c>
      <c r="M40" s="6">
        <f t="shared" si="4"/>
        <v>18.172413793103448</v>
      </c>
      <c r="N40" s="6">
        <f t="shared" si="5"/>
        <v>16.563069770694934</v>
      </c>
      <c r="O40" s="6">
        <f t="shared" si="8"/>
        <v>813.51724137931046</v>
      </c>
      <c r="P40" s="6">
        <f t="shared" si="9"/>
        <v>788.85900941482214</v>
      </c>
      <c r="Q40" s="6">
        <f t="shared" si="6"/>
        <v>16.563069770694934</v>
      </c>
    </row>
    <row r="41" spans="1:17">
      <c r="B41">
        <f t="shared" si="7"/>
        <v>38</v>
      </c>
      <c r="C41">
        <f t="shared" si="0"/>
        <v>29</v>
      </c>
      <c r="D41">
        <v>32</v>
      </c>
      <c r="E41">
        <v>61</v>
      </c>
      <c r="F41">
        <f>RnSPLINE!H$5</f>
        <v>15.5</v>
      </c>
      <c r="G41">
        <f>RnSPLINE!H$6</f>
        <v>31</v>
      </c>
      <c r="H41" s="6">
        <f>RnSPLINE!M$5</f>
        <v>8.0934678163811002E-2</v>
      </c>
      <c r="I41" s="6">
        <f>RnSPLINE!M$6</f>
        <v>-5.7529091476165813E-2</v>
      </c>
      <c r="J41">
        <f t="shared" si="1"/>
        <v>0.7931034482758621</v>
      </c>
      <c r="K41">
        <f t="shared" si="2"/>
        <v>0.20689655172413793</v>
      </c>
      <c r="L41">
        <f t="shared" si="3"/>
        <v>-8</v>
      </c>
      <c r="M41" s="6">
        <f t="shared" si="4"/>
        <v>18.706896551724139</v>
      </c>
      <c r="N41" s="6">
        <f t="shared" si="5"/>
        <v>16.965967019117087</v>
      </c>
      <c r="O41" s="6">
        <f t="shared" si="8"/>
        <v>832.22413793103465</v>
      </c>
      <c r="P41" s="6">
        <f t="shared" si="9"/>
        <v>805.82497643393924</v>
      </c>
      <c r="Q41" s="6">
        <f t="shared" si="6"/>
        <v>16.965967019117087</v>
      </c>
    </row>
    <row r="42" spans="1:17">
      <c r="B42">
        <f t="shared" si="7"/>
        <v>39</v>
      </c>
      <c r="C42">
        <f t="shared" si="0"/>
        <v>29</v>
      </c>
      <c r="D42">
        <v>32</v>
      </c>
      <c r="E42">
        <v>61</v>
      </c>
      <c r="F42">
        <f>RnSPLINE!H$5</f>
        <v>15.5</v>
      </c>
      <c r="G42">
        <f>RnSPLINE!H$6</f>
        <v>31</v>
      </c>
      <c r="H42" s="6">
        <f>RnSPLINE!M$5</f>
        <v>8.0934678163811002E-2</v>
      </c>
      <c r="I42" s="6">
        <f>RnSPLINE!M$6</f>
        <v>-5.7529091476165813E-2</v>
      </c>
      <c r="J42">
        <f t="shared" si="1"/>
        <v>0.75862068965517238</v>
      </c>
      <c r="K42">
        <f t="shared" si="2"/>
        <v>0.2413793103448276</v>
      </c>
      <c r="L42">
        <f t="shared" si="3"/>
        <v>-7</v>
      </c>
      <c r="M42" s="6">
        <f t="shared" si="4"/>
        <v>19.241379310344829</v>
      </c>
      <c r="N42" s="6">
        <f t="shared" si="5"/>
        <v>17.421151269225817</v>
      </c>
      <c r="O42" s="6">
        <f t="shared" si="8"/>
        <v>851.46551724137953</v>
      </c>
      <c r="P42" s="6">
        <f t="shared" si="9"/>
        <v>823.24612770316503</v>
      </c>
      <c r="Q42" s="6">
        <f t="shared" si="6"/>
        <v>17.421151269225817</v>
      </c>
    </row>
    <row r="43" spans="1:17">
      <c r="B43">
        <f t="shared" si="7"/>
        <v>40</v>
      </c>
      <c r="C43">
        <f t="shared" si="0"/>
        <v>29</v>
      </c>
      <c r="D43">
        <v>32</v>
      </c>
      <c r="E43">
        <v>61</v>
      </c>
      <c r="F43">
        <f>RnSPLINE!H$5</f>
        <v>15.5</v>
      </c>
      <c r="G43">
        <f>RnSPLINE!H$6</f>
        <v>31</v>
      </c>
      <c r="H43" s="6">
        <f>RnSPLINE!M$5</f>
        <v>8.0934678163811002E-2</v>
      </c>
      <c r="I43" s="6">
        <f>RnSPLINE!M$6</f>
        <v>-5.7529091476165813E-2</v>
      </c>
      <c r="J43">
        <f t="shared" si="1"/>
        <v>0.72413793103448276</v>
      </c>
      <c r="K43">
        <f t="shared" si="2"/>
        <v>0.27586206896551724</v>
      </c>
      <c r="L43">
        <f t="shared" si="3"/>
        <v>-6</v>
      </c>
      <c r="M43" s="6">
        <f t="shared" si="4"/>
        <v>19.775862068965516</v>
      </c>
      <c r="N43" s="6">
        <f t="shared" si="5"/>
        <v>17.923847908274908</v>
      </c>
      <c r="O43" s="6">
        <f t="shared" si="8"/>
        <v>871.241379310345</v>
      </c>
      <c r="P43" s="6">
        <f t="shared" si="9"/>
        <v>841.1699756114399</v>
      </c>
      <c r="Q43" s="6">
        <f t="shared" si="6"/>
        <v>17.923847908274908</v>
      </c>
    </row>
    <row r="44" spans="1:17">
      <c r="B44">
        <f t="shared" si="7"/>
        <v>41</v>
      </c>
      <c r="C44">
        <f t="shared" si="0"/>
        <v>29</v>
      </c>
      <c r="D44">
        <v>32</v>
      </c>
      <c r="E44">
        <v>61</v>
      </c>
      <c r="F44">
        <f>RnSPLINE!H$5</f>
        <v>15.5</v>
      </c>
      <c r="G44">
        <f>RnSPLINE!H$6</f>
        <v>31</v>
      </c>
      <c r="H44" s="6">
        <f>RnSPLINE!M$5</f>
        <v>8.0934678163811002E-2</v>
      </c>
      <c r="I44" s="6">
        <f>RnSPLINE!M$6</f>
        <v>-5.7529091476165813E-2</v>
      </c>
      <c r="J44">
        <f t="shared" si="1"/>
        <v>0.68965517241379315</v>
      </c>
      <c r="K44">
        <f t="shared" si="2"/>
        <v>0.31034482758620691</v>
      </c>
      <c r="L44">
        <f t="shared" si="3"/>
        <v>-5</v>
      </c>
      <c r="M44" s="6">
        <f t="shared" si="4"/>
        <v>20.310344827586206</v>
      </c>
      <c r="N44" s="6">
        <f t="shared" si="5"/>
        <v>18.469282323518165</v>
      </c>
      <c r="O44" s="6">
        <f t="shared" si="8"/>
        <v>891.55172413793116</v>
      </c>
      <c r="P44" s="6">
        <f t="shared" si="9"/>
        <v>859.6392579349581</v>
      </c>
      <c r="Q44" s="6">
        <f t="shared" si="6"/>
        <v>18.469282323518165</v>
      </c>
    </row>
    <row r="45" spans="1:17">
      <c r="B45">
        <f t="shared" si="7"/>
        <v>42</v>
      </c>
      <c r="C45">
        <f t="shared" si="0"/>
        <v>29</v>
      </c>
      <c r="D45">
        <v>32</v>
      </c>
      <c r="E45">
        <v>61</v>
      </c>
      <c r="F45">
        <f>RnSPLINE!H$5</f>
        <v>15.5</v>
      </c>
      <c r="G45">
        <f>RnSPLINE!H$6</f>
        <v>31</v>
      </c>
      <c r="H45" s="6">
        <f>RnSPLINE!M$5</f>
        <v>8.0934678163811002E-2</v>
      </c>
      <c r="I45" s="6">
        <f>RnSPLINE!M$6</f>
        <v>-5.7529091476165813E-2</v>
      </c>
      <c r="J45">
        <f t="shared" si="1"/>
        <v>0.65517241379310343</v>
      </c>
      <c r="K45">
        <f t="shared" si="2"/>
        <v>0.34482758620689657</v>
      </c>
      <c r="L45">
        <f t="shared" si="3"/>
        <v>-4</v>
      </c>
      <c r="M45" s="6">
        <f t="shared" si="4"/>
        <v>20.844827586206897</v>
      </c>
      <c r="N45" s="6">
        <f t="shared" si="5"/>
        <v>19.05267990220938</v>
      </c>
      <c r="O45" s="6">
        <f t="shared" si="8"/>
        <v>912.39655172413802</v>
      </c>
      <c r="P45" s="6">
        <f t="shared" si="9"/>
        <v>878.69193783716753</v>
      </c>
      <c r="Q45" s="6">
        <f t="shared" si="6"/>
        <v>19.05267990220938</v>
      </c>
    </row>
    <row r="46" spans="1:17">
      <c r="B46">
        <f t="shared" si="7"/>
        <v>43</v>
      </c>
      <c r="C46">
        <f t="shared" si="0"/>
        <v>29</v>
      </c>
      <c r="D46">
        <v>32</v>
      </c>
      <c r="E46">
        <v>61</v>
      </c>
      <c r="F46">
        <f>RnSPLINE!H$5</f>
        <v>15.5</v>
      </c>
      <c r="G46">
        <f>RnSPLINE!H$6</f>
        <v>31</v>
      </c>
      <c r="H46" s="6">
        <f>RnSPLINE!M$5</f>
        <v>8.0934678163811002E-2</v>
      </c>
      <c r="I46" s="6">
        <f>RnSPLINE!M$6</f>
        <v>-5.7529091476165813E-2</v>
      </c>
      <c r="J46">
        <f t="shared" si="1"/>
        <v>0.62068965517241381</v>
      </c>
      <c r="K46">
        <f t="shared" si="2"/>
        <v>0.37931034482758619</v>
      </c>
      <c r="L46">
        <f t="shared" si="3"/>
        <v>-3</v>
      </c>
      <c r="M46" s="6">
        <f t="shared" si="4"/>
        <v>21.379310344827587</v>
      </c>
      <c r="N46" s="6">
        <f t="shared" si="5"/>
        <v>19.669266031602348</v>
      </c>
      <c r="O46" s="6">
        <f t="shared" si="8"/>
        <v>933.77586206896558</v>
      </c>
      <c r="P46" s="6">
        <f t="shared" si="9"/>
        <v>898.36120386876985</v>
      </c>
      <c r="Q46" s="6">
        <f t="shared" si="6"/>
        <v>19.669266031602348</v>
      </c>
    </row>
    <row r="47" spans="1:17">
      <c r="B47">
        <f t="shared" si="7"/>
        <v>44</v>
      </c>
      <c r="C47">
        <f t="shared" si="0"/>
        <v>29</v>
      </c>
      <c r="D47">
        <v>32</v>
      </c>
      <c r="E47">
        <v>61</v>
      </c>
      <c r="F47">
        <f>RnSPLINE!H$5</f>
        <v>15.5</v>
      </c>
      <c r="G47">
        <f>RnSPLINE!H$6</f>
        <v>31</v>
      </c>
      <c r="H47" s="6">
        <f>RnSPLINE!M$5</f>
        <v>8.0934678163811002E-2</v>
      </c>
      <c r="I47" s="6">
        <f>RnSPLINE!M$6</f>
        <v>-5.7529091476165813E-2</v>
      </c>
      <c r="J47">
        <f t="shared" si="1"/>
        <v>0.58620689655172409</v>
      </c>
      <c r="K47">
        <f t="shared" si="2"/>
        <v>0.41379310344827586</v>
      </c>
      <c r="L47">
        <f t="shared" si="3"/>
        <v>-2</v>
      </c>
      <c r="M47" s="6">
        <f t="shared" si="4"/>
        <v>21.913793103448278</v>
      </c>
      <c r="N47" s="6">
        <f t="shared" si="5"/>
        <v>20.314266098950856</v>
      </c>
      <c r="O47" s="6">
        <f t="shared" si="8"/>
        <v>955.68965517241384</v>
      </c>
      <c r="P47" s="6">
        <f t="shared" si="9"/>
        <v>918.67546996772069</v>
      </c>
      <c r="Q47" s="6">
        <f t="shared" si="6"/>
        <v>20.314266098950856</v>
      </c>
    </row>
    <row r="48" spans="1:17">
      <c r="B48">
        <f t="shared" si="7"/>
        <v>45</v>
      </c>
      <c r="C48">
        <f t="shared" si="0"/>
        <v>29</v>
      </c>
      <c r="D48">
        <v>32</v>
      </c>
      <c r="E48">
        <v>61</v>
      </c>
      <c r="F48">
        <f>RnSPLINE!H$5</f>
        <v>15.5</v>
      </c>
      <c r="G48">
        <f>RnSPLINE!H$6</f>
        <v>31</v>
      </c>
      <c r="H48" s="6">
        <f>RnSPLINE!M$5</f>
        <v>8.0934678163811002E-2</v>
      </c>
      <c r="I48" s="6">
        <f>RnSPLINE!M$6</f>
        <v>-5.7529091476165813E-2</v>
      </c>
      <c r="J48">
        <f t="shared" si="1"/>
        <v>0.55172413793103448</v>
      </c>
      <c r="K48">
        <f t="shared" si="2"/>
        <v>0.44827586206896552</v>
      </c>
      <c r="L48">
        <f t="shared" si="3"/>
        <v>-1</v>
      </c>
      <c r="M48" s="6">
        <f t="shared" si="4"/>
        <v>22.448275862068964</v>
      </c>
      <c r="N48" s="6">
        <f t="shared" si="5"/>
        <v>20.982905491508696</v>
      </c>
      <c r="O48" s="6">
        <f t="shared" si="8"/>
        <v>978.13793103448279</v>
      </c>
      <c r="P48" s="6">
        <f t="shared" si="9"/>
        <v>939.65837545922943</v>
      </c>
      <c r="Q48" s="6">
        <f t="shared" si="6"/>
        <v>20.982905491508696</v>
      </c>
    </row>
    <row r="49" spans="1:20">
      <c r="B49">
        <f t="shared" si="7"/>
        <v>46</v>
      </c>
      <c r="C49">
        <f t="shared" si="0"/>
        <v>29</v>
      </c>
      <c r="D49">
        <v>32</v>
      </c>
      <c r="E49">
        <v>61</v>
      </c>
      <c r="F49">
        <f>RnSPLINE!H$5</f>
        <v>15.5</v>
      </c>
      <c r="G49">
        <f>RnSPLINE!H$6</f>
        <v>31</v>
      </c>
      <c r="H49" s="6">
        <f>RnSPLINE!M$5</f>
        <v>8.0934678163811002E-2</v>
      </c>
      <c r="I49" s="6">
        <f>RnSPLINE!M$6</f>
        <v>-5.7529091476165813E-2</v>
      </c>
      <c r="J49">
        <f t="shared" si="1"/>
        <v>0.51724137931034486</v>
      </c>
      <c r="K49">
        <f t="shared" si="2"/>
        <v>0.48275862068965519</v>
      </c>
      <c r="L49">
        <f t="shared" si="3"/>
        <v>0</v>
      </c>
      <c r="M49" s="6">
        <f t="shared" si="4"/>
        <v>22.982758620689658</v>
      </c>
      <c r="N49" s="6">
        <f t="shared" si="5"/>
        <v>21.67040959652968</v>
      </c>
      <c r="O49" s="6">
        <f t="shared" si="8"/>
        <v>1001.1206896551724</v>
      </c>
      <c r="P49" s="6">
        <f t="shared" si="9"/>
        <v>961.32878505575911</v>
      </c>
      <c r="Q49" s="6">
        <f t="shared" si="6"/>
        <v>21.67040959652968</v>
      </c>
    </row>
    <row r="50" spans="1:20">
      <c r="A50" s="10"/>
      <c r="B50" s="10">
        <f t="shared" si="7"/>
        <v>47</v>
      </c>
      <c r="C50" s="10">
        <f t="shared" si="0"/>
        <v>29</v>
      </c>
      <c r="D50" s="10">
        <v>32</v>
      </c>
      <c r="E50" s="10">
        <v>61</v>
      </c>
      <c r="F50" s="10">
        <f>RnSPLINE!H$5</f>
        <v>15.5</v>
      </c>
      <c r="G50" s="10">
        <f>RnSPLINE!H$6</f>
        <v>31</v>
      </c>
      <c r="H50" s="11">
        <f>RnSPLINE!M$5</f>
        <v>8.0934678163811002E-2</v>
      </c>
      <c r="I50" s="11">
        <f>RnSPLINE!M$6</f>
        <v>-5.7529091476165813E-2</v>
      </c>
      <c r="J50" s="10">
        <f t="shared" si="1"/>
        <v>0.48275862068965519</v>
      </c>
      <c r="K50" s="10">
        <f t="shared" si="2"/>
        <v>0.51724137931034486</v>
      </c>
      <c r="L50" s="10">
        <f t="shared" si="3"/>
        <v>1</v>
      </c>
      <c r="M50" s="11">
        <f t="shared" si="4"/>
        <v>23.517241379310345</v>
      </c>
      <c r="N50" s="11">
        <f>(Q50+Q414)/2</f>
        <v>21.789335254789577</v>
      </c>
      <c r="O50" s="11">
        <f t="shared" si="8"/>
        <v>1024.6379310344828</v>
      </c>
      <c r="P50" s="11">
        <f t="shared" si="9"/>
        <v>983.11812031054865</v>
      </c>
      <c r="Q50" s="11">
        <f t="shared" si="6"/>
        <v>22.372003801267578</v>
      </c>
      <c r="R50" s="12">
        <f>(N55-N50)/5</f>
        <v>0.82697592396083763</v>
      </c>
      <c r="T50" s="6">
        <f t="shared" ref="T50:T113" si="10">N50</f>
        <v>21.789335254789577</v>
      </c>
    </row>
    <row r="51" spans="1:20">
      <c r="B51">
        <f t="shared" si="7"/>
        <v>48</v>
      </c>
      <c r="C51">
        <f t="shared" si="0"/>
        <v>29</v>
      </c>
      <c r="D51">
        <v>32</v>
      </c>
      <c r="E51">
        <v>61</v>
      </c>
      <c r="F51">
        <f>RnSPLINE!H$5</f>
        <v>15.5</v>
      </c>
      <c r="G51">
        <f>RnSPLINE!H$6</f>
        <v>31</v>
      </c>
      <c r="H51" s="6">
        <f>RnSPLINE!M$5</f>
        <v>8.0934678163811002E-2</v>
      </c>
      <c r="I51" s="6">
        <f>RnSPLINE!M$6</f>
        <v>-5.7529091476165813E-2</v>
      </c>
      <c r="J51">
        <f t="shared" si="1"/>
        <v>0.44827586206896552</v>
      </c>
      <c r="K51">
        <f t="shared" si="2"/>
        <v>0.55172413793103448</v>
      </c>
      <c r="L51">
        <f t="shared" si="3"/>
        <v>2</v>
      </c>
      <c r="M51" s="13">
        <f t="shared" si="4"/>
        <v>24.051724137931032</v>
      </c>
      <c r="N51" s="14">
        <f>N50+R$50</f>
        <v>22.616311178750415</v>
      </c>
      <c r="O51" s="6">
        <f t="shared" si="8"/>
        <v>1048.6896551724137</v>
      </c>
      <c r="P51" s="6">
        <f t="shared" si="9"/>
        <v>1005.734431489299</v>
      </c>
      <c r="Q51" s="6">
        <f t="shared" si="6"/>
        <v>23.0829134929762</v>
      </c>
      <c r="T51" s="6">
        <f t="shared" si="10"/>
        <v>22.616311178750415</v>
      </c>
    </row>
    <row r="52" spans="1:20">
      <c r="B52">
        <f t="shared" si="7"/>
        <v>49</v>
      </c>
      <c r="C52">
        <f t="shared" si="0"/>
        <v>29</v>
      </c>
      <c r="D52">
        <v>32</v>
      </c>
      <c r="E52">
        <v>61</v>
      </c>
      <c r="F52">
        <f>RnSPLINE!H$5</f>
        <v>15.5</v>
      </c>
      <c r="G52">
        <f>RnSPLINE!H$6</f>
        <v>31</v>
      </c>
      <c r="H52" s="6">
        <f>RnSPLINE!M$5</f>
        <v>8.0934678163811002E-2</v>
      </c>
      <c r="I52" s="6">
        <f>RnSPLINE!M$6</f>
        <v>-5.7529091476165813E-2</v>
      </c>
      <c r="J52">
        <f t="shared" si="1"/>
        <v>0.41379310344827586</v>
      </c>
      <c r="K52">
        <f t="shared" si="2"/>
        <v>0.58620689655172409</v>
      </c>
      <c r="L52">
        <f t="shared" si="3"/>
        <v>3</v>
      </c>
      <c r="M52" s="13">
        <f t="shared" si="4"/>
        <v>24.586206896551722</v>
      </c>
      <c r="N52" s="14">
        <f>N51+R$50</f>
        <v>23.443287102711253</v>
      </c>
      <c r="O52" s="6">
        <f t="shared" si="8"/>
        <v>1073.2758620689654</v>
      </c>
      <c r="P52" s="6">
        <f t="shared" si="9"/>
        <v>1029.1777185920103</v>
      </c>
      <c r="Q52" s="6">
        <f t="shared" si="6"/>
        <v>23.798364058909335</v>
      </c>
      <c r="T52" s="6">
        <f t="shared" si="10"/>
        <v>23.443287102711253</v>
      </c>
    </row>
    <row r="53" spans="1:20">
      <c r="B53">
        <f t="shared" si="7"/>
        <v>50</v>
      </c>
      <c r="C53">
        <f t="shared" si="0"/>
        <v>29</v>
      </c>
      <c r="D53">
        <v>32</v>
      </c>
      <c r="E53">
        <v>61</v>
      </c>
      <c r="F53">
        <f>RnSPLINE!H$5</f>
        <v>15.5</v>
      </c>
      <c r="G53">
        <f>RnSPLINE!H$6</f>
        <v>31</v>
      </c>
      <c r="H53" s="6">
        <f>RnSPLINE!M$5</f>
        <v>8.0934678163811002E-2</v>
      </c>
      <c r="I53" s="6">
        <f>RnSPLINE!M$6</f>
        <v>-5.7529091476165813E-2</v>
      </c>
      <c r="J53">
        <f t="shared" si="1"/>
        <v>0.37931034482758619</v>
      </c>
      <c r="K53">
        <f t="shared" si="2"/>
        <v>0.62068965517241381</v>
      </c>
      <c r="L53">
        <f t="shared" si="3"/>
        <v>4</v>
      </c>
      <c r="M53" s="13">
        <f t="shared" si="4"/>
        <v>25.120689655172416</v>
      </c>
      <c r="N53" s="14">
        <f>N52+R$50</f>
        <v>24.27026302667209</v>
      </c>
      <c r="O53" s="6">
        <f t="shared" si="8"/>
        <v>1098.3965517241377</v>
      </c>
      <c r="P53" s="6">
        <f t="shared" si="9"/>
        <v>1053.4479816186824</v>
      </c>
      <c r="Q53" s="6">
        <f t="shared" si="6"/>
        <v>24.513580886320785</v>
      </c>
      <c r="T53" s="6">
        <f t="shared" si="10"/>
        <v>24.27026302667209</v>
      </c>
    </row>
    <row r="54" spans="1:20">
      <c r="B54">
        <f t="shared" si="7"/>
        <v>51</v>
      </c>
      <c r="C54">
        <f t="shared" si="0"/>
        <v>29</v>
      </c>
      <c r="D54">
        <v>32</v>
      </c>
      <c r="E54">
        <v>61</v>
      </c>
      <c r="F54">
        <f>RnSPLINE!H$5</f>
        <v>15.5</v>
      </c>
      <c r="G54">
        <f>RnSPLINE!H$6</f>
        <v>31</v>
      </c>
      <c r="H54" s="6">
        <f>RnSPLINE!M$5</f>
        <v>8.0934678163811002E-2</v>
      </c>
      <c r="I54" s="6">
        <f>RnSPLINE!M$6</f>
        <v>-5.7529091476165813E-2</v>
      </c>
      <c r="J54">
        <f t="shared" si="1"/>
        <v>0.34482758620689657</v>
      </c>
      <c r="K54">
        <f t="shared" si="2"/>
        <v>0.65517241379310343</v>
      </c>
      <c r="L54">
        <f t="shared" si="3"/>
        <v>5</v>
      </c>
      <c r="M54" s="13">
        <f t="shared" si="4"/>
        <v>25.655172413793103</v>
      </c>
      <c r="N54" s="14">
        <f>N53+R$50</f>
        <v>25.097238950632928</v>
      </c>
      <c r="O54" s="6">
        <f t="shared" si="8"/>
        <v>1124.0517241379307</v>
      </c>
      <c r="P54" s="6">
        <f t="shared" si="9"/>
        <v>1078.5452205693155</v>
      </c>
      <c r="Q54" s="6">
        <f t="shared" si="6"/>
        <v>25.223789362464327</v>
      </c>
      <c r="T54" s="6">
        <f t="shared" si="10"/>
        <v>25.097238950632928</v>
      </c>
    </row>
    <row r="55" spans="1:20">
      <c r="B55">
        <f t="shared" si="7"/>
        <v>52</v>
      </c>
      <c r="C55">
        <f t="shared" si="0"/>
        <v>29</v>
      </c>
      <c r="D55">
        <v>32</v>
      </c>
      <c r="E55">
        <v>61</v>
      </c>
      <c r="F55">
        <f>RnSPLINE!H$5</f>
        <v>15.5</v>
      </c>
      <c r="G55">
        <f>RnSPLINE!H$6</f>
        <v>31</v>
      </c>
      <c r="H55" s="6">
        <f>RnSPLINE!M$5</f>
        <v>8.0934678163811002E-2</v>
      </c>
      <c r="I55" s="6">
        <f>RnSPLINE!M$6</f>
        <v>-5.7529091476165813E-2</v>
      </c>
      <c r="J55">
        <f t="shared" si="1"/>
        <v>0.31034482758620691</v>
      </c>
      <c r="K55">
        <f t="shared" si="2"/>
        <v>0.68965517241379315</v>
      </c>
      <c r="L55">
        <f t="shared" si="3"/>
        <v>6</v>
      </c>
      <c r="M55" s="13">
        <f t="shared" si="4"/>
        <v>26.189655172413794</v>
      </c>
      <c r="N55" s="13">
        <f t="shared" ref="N55:N118" si="11">Q55</f>
        <v>25.924214874593766</v>
      </c>
      <c r="O55" s="6">
        <f t="shared" si="8"/>
        <v>1150.2413793103444</v>
      </c>
      <c r="P55" s="6">
        <f t="shared" si="9"/>
        <v>1104.4694354439093</v>
      </c>
      <c r="Q55" s="6">
        <f t="shared" si="6"/>
        <v>25.924214874593766</v>
      </c>
      <c r="T55" s="6">
        <f t="shared" si="10"/>
        <v>25.924214874593766</v>
      </c>
    </row>
    <row r="56" spans="1:20">
      <c r="B56">
        <f t="shared" si="7"/>
        <v>53</v>
      </c>
      <c r="C56">
        <f t="shared" si="0"/>
        <v>29</v>
      </c>
      <c r="D56">
        <v>32</v>
      </c>
      <c r="E56">
        <v>61</v>
      </c>
      <c r="F56">
        <f>RnSPLINE!H$5</f>
        <v>15.5</v>
      </c>
      <c r="G56">
        <f>RnSPLINE!H$6</f>
        <v>31</v>
      </c>
      <c r="H56" s="6">
        <f>RnSPLINE!M$5</f>
        <v>8.0934678163811002E-2</v>
      </c>
      <c r="I56" s="6">
        <f>RnSPLINE!M$6</f>
        <v>-5.7529091476165813E-2</v>
      </c>
      <c r="J56">
        <f t="shared" si="1"/>
        <v>0.27586206896551724</v>
      </c>
      <c r="K56">
        <f t="shared" si="2"/>
        <v>0.72413793103448276</v>
      </c>
      <c r="L56">
        <f t="shared" si="3"/>
        <v>7</v>
      </c>
      <c r="M56" s="13">
        <f t="shared" si="4"/>
        <v>26.72413793103448</v>
      </c>
      <c r="N56" s="13">
        <f t="shared" si="11"/>
        <v>26.610082809962893</v>
      </c>
      <c r="O56" s="6">
        <f t="shared" si="8"/>
        <v>1176.9655172413788</v>
      </c>
      <c r="P56" s="6">
        <f t="shared" si="9"/>
        <v>1131.0795182538723</v>
      </c>
      <c r="Q56" s="6">
        <f t="shared" si="6"/>
        <v>26.610082809962893</v>
      </c>
      <c r="T56" s="6">
        <f t="shared" si="10"/>
        <v>26.610082809962893</v>
      </c>
    </row>
    <row r="57" spans="1:20">
      <c r="B57">
        <f t="shared" si="7"/>
        <v>54</v>
      </c>
      <c r="C57">
        <f t="shared" si="0"/>
        <v>29</v>
      </c>
      <c r="D57">
        <v>32</v>
      </c>
      <c r="E57">
        <v>61</v>
      </c>
      <c r="F57">
        <f>RnSPLINE!H$5</f>
        <v>15.5</v>
      </c>
      <c r="G57">
        <f>RnSPLINE!H$6</f>
        <v>31</v>
      </c>
      <c r="H57" s="6">
        <f>RnSPLINE!M$5</f>
        <v>8.0934678163811002E-2</v>
      </c>
      <c r="I57" s="6">
        <f>RnSPLINE!M$6</f>
        <v>-5.7529091476165813E-2</v>
      </c>
      <c r="J57">
        <f t="shared" si="1"/>
        <v>0.2413793103448276</v>
      </c>
      <c r="K57">
        <f t="shared" si="2"/>
        <v>0.75862068965517238</v>
      </c>
      <c r="L57">
        <f t="shared" si="3"/>
        <v>8</v>
      </c>
      <c r="M57" s="13">
        <f t="shared" si="4"/>
        <v>27.258620689655174</v>
      </c>
      <c r="N57" s="13">
        <f t="shared" si="11"/>
        <v>27.276618555825507</v>
      </c>
      <c r="O57" s="6">
        <f t="shared" si="8"/>
        <v>1204.224137931034</v>
      </c>
      <c r="P57" s="6">
        <f t="shared" si="9"/>
        <v>1158.3561368096978</v>
      </c>
      <c r="Q57" s="6">
        <f t="shared" si="6"/>
        <v>27.276618555825507</v>
      </c>
      <c r="T57" s="6">
        <f t="shared" si="10"/>
        <v>27.276618555825507</v>
      </c>
    </row>
    <row r="58" spans="1:20">
      <c r="B58">
        <f t="shared" si="7"/>
        <v>55</v>
      </c>
      <c r="C58">
        <f t="shared" si="0"/>
        <v>29</v>
      </c>
      <c r="D58">
        <v>32</v>
      </c>
      <c r="E58">
        <v>61</v>
      </c>
      <c r="F58">
        <f>RnSPLINE!H$5</f>
        <v>15.5</v>
      </c>
      <c r="G58">
        <f>RnSPLINE!H$6</f>
        <v>31</v>
      </c>
      <c r="H58" s="6">
        <f>RnSPLINE!M$5</f>
        <v>8.0934678163811002E-2</v>
      </c>
      <c r="I58" s="6">
        <f>RnSPLINE!M$6</f>
        <v>-5.7529091476165813E-2</v>
      </c>
      <c r="J58">
        <f t="shared" si="1"/>
        <v>0.20689655172413793</v>
      </c>
      <c r="K58">
        <f t="shared" si="2"/>
        <v>0.7931034482758621</v>
      </c>
      <c r="L58">
        <f t="shared" si="3"/>
        <v>9</v>
      </c>
      <c r="M58" s="13">
        <f t="shared" si="4"/>
        <v>27.793103448275865</v>
      </c>
      <c r="N58" s="13">
        <f t="shared" si="11"/>
        <v>27.919047499435397</v>
      </c>
      <c r="O58" s="6">
        <f t="shared" si="8"/>
        <v>1232.0172413793098</v>
      </c>
      <c r="P58" s="6">
        <f t="shared" si="9"/>
        <v>1186.2751843091332</v>
      </c>
      <c r="Q58" s="6">
        <f t="shared" si="6"/>
        <v>27.919047499435397</v>
      </c>
      <c r="T58" s="6">
        <f t="shared" si="10"/>
        <v>27.919047499435397</v>
      </c>
    </row>
    <row r="59" spans="1:20">
      <c r="B59">
        <f t="shared" si="7"/>
        <v>56</v>
      </c>
      <c r="C59">
        <f t="shared" si="0"/>
        <v>29</v>
      </c>
      <c r="D59">
        <v>32</v>
      </c>
      <c r="E59">
        <v>61</v>
      </c>
      <c r="F59">
        <f>RnSPLINE!H$5</f>
        <v>15.5</v>
      </c>
      <c r="G59">
        <f>RnSPLINE!H$6</f>
        <v>31</v>
      </c>
      <c r="H59" s="6">
        <f>RnSPLINE!M$5</f>
        <v>8.0934678163811002E-2</v>
      </c>
      <c r="I59" s="6">
        <f>RnSPLINE!M$6</f>
        <v>-5.7529091476165813E-2</v>
      </c>
      <c r="J59">
        <f t="shared" si="1"/>
        <v>0.17241379310344829</v>
      </c>
      <c r="K59">
        <f t="shared" si="2"/>
        <v>0.82758620689655171</v>
      </c>
      <c r="L59">
        <f t="shared" si="3"/>
        <v>10</v>
      </c>
      <c r="M59" s="13">
        <f t="shared" si="4"/>
        <v>28.327586206896552</v>
      </c>
      <c r="N59" s="13">
        <f t="shared" si="11"/>
        <v>28.532595028046355</v>
      </c>
      <c r="O59" s="6">
        <f t="shared" si="8"/>
        <v>1260.3448275862063</v>
      </c>
      <c r="P59" s="6">
        <f t="shared" si="9"/>
        <v>1214.8077793371797</v>
      </c>
      <c r="Q59" s="6">
        <f t="shared" si="6"/>
        <v>28.532595028046355</v>
      </c>
      <c r="T59" s="6">
        <f t="shared" si="10"/>
        <v>28.532595028046355</v>
      </c>
    </row>
    <row r="60" spans="1:20">
      <c r="B60">
        <f t="shared" si="7"/>
        <v>57</v>
      </c>
      <c r="C60">
        <f t="shared" si="0"/>
        <v>29</v>
      </c>
      <c r="D60">
        <v>32</v>
      </c>
      <c r="E60">
        <v>61</v>
      </c>
      <c r="F60">
        <f>RnSPLINE!H$5</f>
        <v>15.5</v>
      </c>
      <c r="G60">
        <f>RnSPLINE!H$6</f>
        <v>31</v>
      </c>
      <c r="H60" s="6">
        <f>RnSPLINE!M$5</f>
        <v>8.0934678163811002E-2</v>
      </c>
      <c r="I60" s="6">
        <f>RnSPLINE!M$6</f>
        <v>-5.7529091476165813E-2</v>
      </c>
      <c r="J60">
        <f t="shared" si="1"/>
        <v>0.13793103448275862</v>
      </c>
      <c r="K60">
        <f t="shared" si="2"/>
        <v>0.86206896551724133</v>
      </c>
      <c r="L60">
        <f t="shared" si="3"/>
        <v>11</v>
      </c>
      <c r="M60" s="13">
        <f t="shared" si="4"/>
        <v>28.862068965517238</v>
      </c>
      <c r="N60" s="13">
        <f t="shared" si="11"/>
        <v>29.112486528912175</v>
      </c>
      <c r="O60" s="6">
        <f t="shared" si="8"/>
        <v>1289.2068965517235</v>
      </c>
      <c r="P60" s="6">
        <f t="shared" si="9"/>
        <v>1243.9202658660918</v>
      </c>
      <c r="Q60" s="6">
        <f t="shared" si="6"/>
        <v>29.112486528912175</v>
      </c>
      <c r="T60" s="6">
        <f t="shared" si="10"/>
        <v>29.112486528912175</v>
      </c>
    </row>
    <row r="61" spans="1:20">
      <c r="B61">
        <f t="shared" si="7"/>
        <v>58</v>
      </c>
      <c r="C61">
        <f t="shared" si="0"/>
        <v>29</v>
      </c>
      <c r="D61">
        <v>32</v>
      </c>
      <c r="E61">
        <v>61</v>
      </c>
      <c r="F61">
        <f>RnSPLINE!H$5</f>
        <v>15.5</v>
      </c>
      <c r="G61">
        <f>RnSPLINE!H$6</f>
        <v>31</v>
      </c>
      <c r="H61" s="6">
        <f>RnSPLINE!M$5</f>
        <v>8.0934678163811002E-2</v>
      </c>
      <c r="I61" s="6">
        <f>RnSPLINE!M$6</f>
        <v>-5.7529091476165813E-2</v>
      </c>
      <c r="J61">
        <f t="shared" si="1"/>
        <v>0.10344827586206896</v>
      </c>
      <c r="K61">
        <f t="shared" si="2"/>
        <v>0.89655172413793105</v>
      </c>
      <c r="L61">
        <f t="shared" si="3"/>
        <v>12</v>
      </c>
      <c r="M61" s="13">
        <f t="shared" si="4"/>
        <v>29.396551724137929</v>
      </c>
      <c r="N61" s="13">
        <f t="shared" si="11"/>
        <v>29.65394738928666</v>
      </c>
      <c r="O61" s="6">
        <f t="shared" si="8"/>
        <v>1318.6034482758614</v>
      </c>
      <c r="P61" s="6">
        <f t="shared" si="9"/>
        <v>1273.5742132553785</v>
      </c>
      <c r="Q61" s="6">
        <f t="shared" si="6"/>
        <v>29.65394738928666</v>
      </c>
      <c r="T61" s="6">
        <f t="shared" si="10"/>
        <v>29.65394738928666</v>
      </c>
    </row>
    <row r="62" spans="1:20">
      <c r="B62">
        <f t="shared" si="7"/>
        <v>59</v>
      </c>
      <c r="C62">
        <f t="shared" si="0"/>
        <v>29</v>
      </c>
      <c r="D62">
        <v>32</v>
      </c>
      <c r="E62">
        <v>61</v>
      </c>
      <c r="F62">
        <f>RnSPLINE!H$5</f>
        <v>15.5</v>
      </c>
      <c r="G62">
        <f>RnSPLINE!H$6</f>
        <v>31</v>
      </c>
      <c r="H62" s="6">
        <f>RnSPLINE!M$5</f>
        <v>8.0934678163811002E-2</v>
      </c>
      <c r="I62" s="6">
        <f>RnSPLINE!M$6</f>
        <v>-5.7529091476165813E-2</v>
      </c>
      <c r="J62">
        <f t="shared" si="1"/>
        <v>6.8965517241379309E-2</v>
      </c>
      <c r="K62">
        <f t="shared" si="2"/>
        <v>0.93103448275862066</v>
      </c>
      <c r="L62">
        <f t="shared" si="3"/>
        <v>13</v>
      </c>
      <c r="M62" s="13">
        <f t="shared" si="4"/>
        <v>29.931034482758623</v>
      </c>
      <c r="N62" s="13">
        <f t="shared" si="11"/>
        <v>30.1522029964236</v>
      </c>
      <c r="O62" s="6">
        <f t="shared" si="8"/>
        <v>1348.53448275862</v>
      </c>
      <c r="P62" s="6">
        <f t="shared" si="9"/>
        <v>1303.726416251802</v>
      </c>
      <c r="Q62" s="6">
        <f t="shared" si="6"/>
        <v>30.1522029964236</v>
      </c>
      <c r="T62" s="6">
        <f t="shared" si="10"/>
        <v>30.1522029964236</v>
      </c>
    </row>
    <row r="63" spans="1:20">
      <c r="B63">
        <f t="shared" si="7"/>
        <v>60</v>
      </c>
      <c r="C63">
        <f t="shared" si="0"/>
        <v>29</v>
      </c>
      <c r="D63">
        <v>32</v>
      </c>
      <c r="E63">
        <v>61</v>
      </c>
      <c r="F63">
        <f>RnSPLINE!H$5</f>
        <v>15.5</v>
      </c>
      <c r="G63">
        <f>RnSPLINE!H$6</f>
        <v>31</v>
      </c>
      <c r="H63" s="6">
        <f>RnSPLINE!M$5</f>
        <v>8.0934678163811002E-2</v>
      </c>
      <c r="I63" s="6">
        <f>RnSPLINE!M$6</f>
        <v>-5.7529091476165813E-2</v>
      </c>
      <c r="J63">
        <f t="shared" si="1"/>
        <v>3.4482758620689655E-2</v>
      </c>
      <c r="K63">
        <f t="shared" si="2"/>
        <v>0.96551724137931039</v>
      </c>
      <c r="L63">
        <f t="shared" si="3"/>
        <v>14</v>
      </c>
      <c r="M63" s="13">
        <f t="shared" si="4"/>
        <v>30.465517241379313</v>
      </c>
      <c r="N63" s="13">
        <f t="shared" si="11"/>
        <v>30.602478737576778</v>
      </c>
      <c r="O63" s="6">
        <f t="shared" si="8"/>
        <v>1378.9999999999993</v>
      </c>
      <c r="P63" s="6">
        <f t="shared" si="9"/>
        <v>1334.3288949893788</v>
      </c>
      <c r="Q63" s="6">
        <f t="shared" si="6"/>
        <v>30.602478737576778</v>
      </c>
      <c r="T63" s="6">
        <f t="shared" si="10"/>
        <v>30.602478737576778</v>
      </c>
    </row>
    <row r="64" spans="1:20">
      <c r="A64">
        <v>61</v>
      </c>
      <c r="B64">
        <f t="shared" si="7"/>
        <v>61</v>
      </c>
      <c r="C64">
        <f t="shared" si="0"/>
        <v>29</v>
      </c>
      <c r="D64">
        <v>32</v>
      </c>
      <c r="E64">
        <v>61</v>
      </c>
      <c r="F64">
        <f>RnSPLINE!H$5</f>
        <v>15.5</v>
      </c>
      <c r="G64">
        <f>RnSPLINE!H$6</f>
        <v>31</v>
      </c>
      <c r="H64" s="6">
        <f>RnSPLINE!M$5</f>
        <v>8.0934678163811002E-2</v>
      </c>
      <c r="I64" s="6">
        <f>RnSPLINE!M$6</f>
        <v>-5.7529091476165813E-2</v>
      </c>
      <c r="J64">
        <f t="shared" si="1"/>
        <v>0</v>
      </c>
      <c r="K64">
        <f t="shared" si="2"/>
        <v>1</v>
      </c>
      <c r="L64">
        <f t="shared" si="3"/>
        <v>15</v>
      </c>
      <c r="M64" s="13">
        <f t="shared" si="4"/>
        <v>31</v>
      </c>
      <c r="N64" s="13">
        <f t="shared" si="11"/>
        <v>31</v>
      </c>
      <c r="O64" s="6">
        <f t="shared" si="8"/>
        <v>1409.9999999999993</v>
      </c>
      <c r="P64" s="6">
        <f t="shared" si="9"/>
        <v>1365.3288949893788</v>
      </c>
      <c r="Q64" s="6">
        <f t="shared" si="6"/>
        <v>31</v>
      </c>
      <c r="T64" s="6">
        <f t="shared" si="10"/>
        <v>31</v>
      </c>
    </row>
    <row r="65" spans="2:20">
      <c r="B65">
        <f t="shared" si="7"/>
        <v>62</v>
      </c>
      <c r="C65">
        <f t="shared" si="0"/>
        <v>31</v>
      </c>
      <c r="D65">
        <v>61</v>
      </c>
      <c r="E65">
        <v>92</v>
      </c>
      <c r="F65">
        <f>RnSPLINE!H$6</f>
        <v>31</v>
      </c>
      <c r="G65">
        <f>RnSPLINE!H$7</f>
        <v>28</v>
      </c>
      <c r="H65" s="6">
        <f>RnSPLINE!M$6</f>
        <v>-5.7529091476165813E-2</v>
      </c>
      <c r="I65" s="6">
        <f>RnSPLINE!M$7</f>
        <v>2.4801406366932875E-2</v>
      </c>
      <c r="J65">
        <f t="shared" si="1"/>
        <v>0.967741935483871</v>
      </c>
      <c r="K65">
        <f t="shared" si="2"/>
        <v>3.2258064516129031E-2</v>
      </c>
      <c r="L65">
        <f t="shared" si="3"/>
        <v>16</v>
      </c>
      <c r="M65" s="6">
        <f t="shared" si="4"/>
        <v>30.903225806451612</v>
      </c>
      <c r="N65" s="13">
        <f t="shared" si="11"/>
        <v>31.341230576823268</v>
      </c>
      <c r="O65" s="6">
        <f t="shared" si="8"/>
        <v>1440.903225806451</v>
      </c>
      <c r="P65" s="6">
        <f t="shared" si="9"/>
        <v>1396.6701255662022</v>
      </c>
      <c r="Q65" s="6">
        <f t="shared" si="6"/>
        <v>31.341230576823268</v>
      </c>
      <c r="T65" s="6">
        <f t="shared" si="10"/>
        <v>31.341230576823268</v>
      </c>
    </row>
    <row r="66" spans="2:20">
      <c r="B66">
        <f t="shared" si="7"/>
        <v>63</v>
      </c>
      <c r="C66">
        <f t="shared" si="0"/>
        <v>31</v>
      </c>
      <c r="D66">
        <v>61</v>
      </c>
      <c r="E66">
        <v>92</v>
      </c>
      <c r="F66">
        <f>RnSPLINE!H$6</f>
        <v>31</v>
      </c>
      <c r="G66">
        <f>RnSPLINE!H$7</f>
        <v>28</v>
      </c>
      <c r="H66" s="6">
        <f>RnSPLINE!M$6</f>
        <v>-5.7529091476165813E-2</v>
      </c>
      <c r="I66" s="6">
        <f>RnSPLINE!M$7</f>
        <v>2.4801406366932875E-2</v>
      </c>
      <c r="J66">
        <f t="shared" si="1"/>
        <v>0.93548387096774188</v>
      </c>
      <c r="K66">
        <f t="shared" si="2"/>
        <v>6.4516129032258063E-2</v>
      </c>
      <c r="L66">
        <f t="shared" si="3"/>
        <v>17</v>
      </c>
      <c r="M66" s="6">
        <f t="shared" si="4"/>
        <v>30.806451612903224</v>
      </c>
      <c r="N66" s="13">
        <f t="shared" si="11"/>
        <v>31.627587884681439</v>
      </c>
      <c r="O66" s="6">
        <f t="shared" si="8"/>
        <v>1471.7096774193542</v>
      </c>
      <c r="P66" s="6">
        <f t="shared" si="9"/>
        <v>1428.2977134508835</v>
      </c>
      <c r="Q66" s="6">
        <f t="shared" si="6"/>
        <v>31.627587884681439</v>
      </c>
      <c r="T66" s="6">
        <f t="shared" si="10"/>
        <v>31.627587884681439</v>
      </c>
    </row>
    <row r="67" spans="2:20">
      <c r="B67">
        <f t="shared" si="7"/>
        <v>64</v>
      </c>
      <c r="C67">
        <f t="shared" si="0"/>
        <v>31</v>
      </c>
      <c r="D67">
        <v>61</v>
      </c>
      <c r="E67">
        <v>92</v>
      </c>
      <c r="F67">
        <f>RnSPLINE!H$6</f>
        <v>31</v>
      </c>
      <c r="G67">
        <f>RnSPLINE!H$7</f>
        <v>28</v>
      </c>
      <c r="H67" s="6">
        <f>RnSPLINE!M$6</f>
        <v>-5.7529091476165813E-2</v>
      </c>
      <c r="I67" s="6">
        <f>RnSPLINE!M$7</f>
        <v>2.4801406366932875E-2</v>
      </c>
      <c r="J67">
        <f t="shared" si="1"/>
        <v>0.90322580645161288</v>
      </c>
      <c r="K67">
        <f t="shared" si="2"/>
        <v>9.6774193548387094E-2</v>
      </c>
      <c r="L67">
        <f t="shared" si="3"/>
        <v>18</v>
      </c>
      <c r="M67" s="6">
        <f t="shared" si="4"/>
        <v>30.70967741935484</v>
      </c>
      <c r="N67" s="13">
        <f t="shared" si="11"/>
        <v>31.861727746085581</v>
      </c>
      <c r="O67" s="6">
        <f t="shared" si="8"/>
        <v>1502.4193548387091</v>
      </c>
      <c r="P67" s="6">
        <f t="shared" si="9"/>
        <v>1460.1594411969691</v>
      </c>
      <c r="Q67" s="6">
        <f t="shared" si="6"/>
        <v>31.861727746085581</v>
      </c>
      <c r="T67" s="6">
        <f t="shared" si="10"/>
        <v>31.861727746085581</v>
      </c>
    </row>
    <row r="68" spans="2:20">
      <c r="B68">
        <f t="shared" si="7"/>
        <v>65</v>
      </c>
      <c r="C68">
        <f t="shared" ref="C68:C131" si="12">E68-D68</f>
        <v>31</v>
      </c>
      <c r="D68">
        <v>61</v>
      </c>
      <c r="E68">
        <v>92</v>
      </c>
      <c r="F68">
        <f>RnSPLINE!H$6</f>
        <v>31</v>
      </c>
      <c r="G68">
        <f>RnSPLINE!H$7</f>
        <v>28</v>
      </c>
      <c r="H68" s="6">
        <f>RnSPLINE!M$6</f>
        <v>-5.7529091476165813E-2</v>
      </c>
      <c r="I68" s="6">
        <f>RnSPLINE!M$7</f>
        <v>2.4801406366932875E-2</v>
      </c>
      <c r="J68">
        <f t="shared" ref="J68:J131" si="13">(E68-B68)/C68</f>
        <v>0.87096774193548387</v>
      </c>
      <c r="K68">
        <f t="shared" ref="K68:K131" si="14">(B68-D68)/C68</f>
        <v>0.12903225806451613</v>
      </c>
      <c r="L68">
        <f t="shared" ref="L68:L131" si="15">B68-46</f>
        <v>19</v>
      </c>
      <c r="M68" s="6">
        <f t="shared" ref="M68:M131" si="16">J68*F68+K68*G68</f>
        <v>30.612903225806452</v>
      </c>
      <c r="N68" s="13">
        <f t="shared" si="11"/>
        <v>32.046305983546759</v>
      </c>
      <c r="O68" s="6">
        <f t="shared" si="8"/>
        <v>1533.0322580645154</v>
      </c>
      <c r="P68" s="6">
        <f t="shared" si="9"/>
        <v>1492.2057471805158</v>
      </c>
      <c r="Q68" s="6">
        <f t="shared" ref="Q68:Q131" si="17">M68+(((J68^3-J68)*H68+(K68^3-K68)*I68))*(C68^2)/6</f>
        <v>32.046305983546759</v>
      </c>
      <c r="T68" s="6">
        <f t="shared" si="10"/>
        <v>32.046305983546759</v>
      </c>
    </row>
    <row r="69" spans="2:20">
      <c r="B69">
        <f t="shared" ref="B69:B132" si="18">B68+1</f>
        <v>66</v>
      </c>
      <c r="C69">
        <f t="shared" si="12"/>
        <v>31</v>
      </c>
      <c r="D69">
        <v>61</v>
      </c>
      <c r="E69">
        <v>92</v>
      </c>
      <c r="F69">
        <f>RnSPLINE!H$6</f>
        <v>31</v>
      </c>
      <c r="G69">
        <f>RnSPLINE!H$7</f>
        <v>28</v>
      </c>
      <c r="H69" s="6">
        <f>RnSPLINE!M$6</f>
        <v>-5.7529091476165813E-2</v>
      </c>
      <c r="I69" s="6">
        <f>RnSPLINE!M$7</f>
        <v>2.4801406366932875E-2</v>
      </c>
      <c r="J69">
        <f t="shared" si="13"/>
        <v>0.83870967741935487</v>
      </c>
      <c r="K69">
        <f t="shared" si="14"/>
        <v>0.16129032258064516</v>
      </c>
      <c r="L69">
        <f t="shared" si="15"/>
        <v>20</v>
      </c>
      <c r="M69" s="6">
        <f t="shared" si="16"/>
        <v>30.516129032258064</v>
      </c>
      <c r="N69" s="13">
        <f t="shared" si="11"/>
        <v>32.183978419576036</v>
      </c>
      <c r="O69" s="6">
        <f t="shared" ref="O69:O132" si="19">O68+M69</f>
        <v>1563.5483870967735</v>
      </c>
      <c r="P69" s="6">
        <f t="shared" ref="P69:P132" si="20">P68+N69</f>
        <v>1524.3897256000919</v>
      </c>
      <c r="Q69" s="6">
        <f t="shared" si="17"/>
        <v>32.183978419576036</v>
      </c>
      <c r="T69" s="6">
        <f t="shared" si="10"/>
        <v>32.183978419576036</v>
      </c>
    </row>
    <row r="70" spans="2:20">
      <c r="B70">
        <f t="shared" si="18"/>
        <v>67</v>
      </c>
      <c r="C70">
        <f t="shared" si="12"/>
        <v>31</v>
      </c>
      <c r="D70">
        <v>61</v>
      </c>
      <c r="E70">
        <v>92</v>
      </c>
      <c r="F70">
        <f>RnSPLINE!H$6</f>
        <v>31</v>
      </c>
      <c r="G70">
        <f>RnSPLINE!H$7</f>
        <v>28</v>
      </c>
      <c r="H70" s="6">
        <f>RnSPLINE!M$6</f>
        <v>-5.7529091476165813E-2</v>
      </c>
      <c r="I70" s="6">
        <f>RnSPLINE!M$7</f>
        <v>2.4801406366932875E-2</v>
      </c>
      <c r="J70">
        <f t="shared" si="13"/>
        <v>0.80645161290322576</v>
      </c>
      <c r="K70">
        <f t="shared" si="14"/>
        <v>0.19354838709677419</v>
      </c>
      <c r="L70">
        <f t="shared" si="15"/>
        <v>21</v>
      </c>
      <c r="M70" s="6">
        <f t="shared" si="16"/>
        <v>30.419354838709676</v>
      </c>
      <c r="N70" s="13">
        <f t="shared" si="11"/>
        <v>32.277400876684489</v>
      </c>
      <c r="O70" s="6">
        <f t="shared" si="19"/>
        <v>1593.9677419354832</v>
      </c>
      <c r="P70" s="6">
        <f t="shared" si="20"/>
        <v>1556.6671264767763</v>
      </c>
      <c r="Q70" s="6">
        <f t="shared" si="17"/>
        <v>32.277400876684489</v>
      </c>
      <c r="T70" s="6">
        <f t="shared" si="10"/>
        <v>32.277400876684489</v>
      </c>
    </row>
    <row r="71" spans="2:20">
      <c r="B71">
        <f t="shared" si="18"/>
        <v>68</v>
      </c>
      <c r="C71">
        <f t="shared" si="12"/>
        <v>31</v>
      </c>
      <c r="D71">
        <v>61</v>
      </c>
      <c r="E71">
        <v>92</v>
      </c>
      <c r="F71">
        <f>RnSPLINE!H$6</f>
        <v>31</v>
      </c>
      <c r="G71">
        <f>RnSPLINE!H$7</f>
        <v>28</v>
      </c>
      <c r="H71" s="6">
        <f>RnSPLINE!M$6</f>
        <v>-5.7529091476165813E-2</v>
      </c>
      <c r="I71" s="6">
        <f>RnSPLINE!M$7</f>
        <v>2.4801406366932875E-2</v>
      </c>
      <c r="J71">
        <f t="shared" si="13"/>
        <v>0.77419354838709675</v>
      </c>
      <c r="K71">
        <f t="shared" si="14"/>
        <v>0.22580645161290322</v>
      </c>
      <c r="L71">
        <f t="shared" si="15"/>
        <v>22</v>
      </c>
      <c r="M71" s="6">
        <f t="shared" si="16"/>
        <v>30.322580645161288</v>
      </c>
      <c r="N71" s="13">
        <f t="shared" si="11"/>
        <v>32.329229177383183</v>
      </c>
      <c r="O71" s="6">
        <f t="shared" si="19"/>
        <v>1624.2903225806444</v>
      </c>
      <c r="P71" s="6">
        <f t="shared" si="20"/>
        <v>1588.9963556541595</v>
      </c>
      <c r="Q71" s="6">
        <f t="shared" si="17"/>
        <v>32.329229177383183</v>
      </c>
      <c r="T71" s="6">
        <f t="shared" si="10"/>
        <v>32.329229177383183</v>
      </c>
    </row>
    <row r="72" spans="2:20">
      <c r="B72">
        <f t="shared" si="18"/>
        <v>69</v>
      </c>
      <c r="C72">
        <f t="shared" si="12"/>
        <v>31</v>
      </c>
      <c r="D72">
        <v>61</v>
      </c>
      <c r="E72">
        <v>92</v>
      </c>
      <c r="F72">
        <f>RnSPLINE!H$6</f>
        <v>31</v>
      </c>
      <c r="G72">
        <f>RnSPLINE!H$7</f>
        <v>28</v>
      </c>
      <c r="H72" s="6">
        <f>RnSPLINE!M$6</f>
        <v>-5.7529091476165813E-2</v>
      </c>
      <c r="I72" s="6">
        <f>RnSPLINE!M$7</f>
        <v>2.4801406366932875E-2</v>
      </c>
      <c r="J72">
        <f t="shared" si="13"/>
        <v>0.74193548387096775</v>
      </c>
      <c r="K72">
        <f t="shared" si="14"/>
        <v>0.25806451612903225</v>
      </c>
      <c r="L72">
        <f t="shared" si="15"/>
        <v>23</v>
      </c>
      <c r="M72" s="6">
        <f t="shared" si="16"/>
        <v>30.225806451612904</v>
      </c>
      <c r="N72" s="13">
        <f t="shared" si="11"/>
        <v>32.342119144183187</v>
      </c>
      <c r="O72" s="6">
        <f t="shared" si="19"/>
        <v>1654.5161290322574</v>
      </c>
      <c r="P72" s="6">
        <f t="shared" si="20"/>
        <v>1621.3384747983428</v>
      </c>
      <c r="Q72" s="6">
        <f t="shared" si="17"/>
        <v>32.342119144183187</v>
      </c>
      <c r="T72" s="6">
        <f t="shared" si="10"/>
        <v>32.342119144183187</v>
      </c>
    </row>
    <row r="73" spans="2:20">
      <c r="B73">
        <f t="shared" si="18"/>
        <v>70</v>
      </c>
      <c r="C73">
        <f t="shared" si="12"/>
        <v>31</v>
      </c>
      <c r="D73">
        <v>61</v>
      </c>
      <c r="E73">
        <v>92</v>
      </c>
      <c r="F73">
        <f>RnSPLINE!H$6</f>
        <v>31</v>
      </c>
      <c r="G73">
        <f>RnSPLINE!H$7</f>
        <v>28</v>
      </c>
      <c r="H73" s="6">
        <f>RnSPLINE!M$6</f>
        <v>-5.7529091476165813E-2</v>
      </c>
      <c r="I73" s="6">
        <f>RnSPLINE!M$7</f>
        <v>2.4801406366932875E-2</v>
      </c>
      <c r="J73">
        <f t="shared" si="13"/>
        <v>0.70967741935483875</v>
      </c>
      <c r="K73">
        <f t="shared" si="14"/>
        <v>0.29032258064516131</v>
      </c>
      <c r="L73">
        <f t="shared" si="15"/>
        <v>24</v>
      </c>
      <c r="M73" s="6">
        <f t="shared" si="16"/>
        <v>30.129032258064516</v>
      </c>
      <c r="N73" s="13">
        <f t="shared" si="11"/>
        <v>32.318726599595564</v>
      </c>
      <c r="O73" s="6">
        <f t="shared" si="19"/>
        <v>1684.645161290322</v>
      </c>
      <c r="P73" s="6">
        <f t="shared" si="20"/>
        <v>1653.6572013979383</v>
      </c>
      <c r="Q73" s="6">
        <f t="shared" si="17"/>
        <v>32.318726599595564</v>
      </c>
      <c r="T73" s="6">
        <f t="shared" si="10"/>
        <v>32.318726599595564</v>
      </c>
    </row>
    <row r="74" spans="2:20">
      <c r="B74">
        <f t="shared" si="18"/>
        <v>71</v>
      </c>
      <c r="C74">
        <f t="shared" si="12"/>
        <v>31</v>
      </c>
      <c r="D74">
        <v>61</v>
      </c>
      <c r="E74">
        <v>92</v>
      </c>
      <c r="F74">
        <f>RnSPLINE!H$6</f>
        <v>31</v>
      </c>
      <c r="G74">
        <f>RnSPLINE!H$7</f>
        <v>28</v>
      </c>
      <c r="H74" s="6">
        <f>RnSPLINE!M$6</f>
        <v>-5.7529091476165813E-2</v>
      </c>
      <c r="I74" s="6">
        <f>RnSPLINE!M$7</f>
        <v>2.4801406366932875E-2</v>
      </c>
      <c r="J74">
        <f t="shared" si="13"/>
        <v>0.67741935483870963</v>
      </c>
      <c r="K74">
        <f t="shared" si="14"/>
        <v>0.32258064516129031</v>
      </c>
      <c r="L74">
        <f t="shared" si="15"/>
        <v>25</v>
      </c>
      <c r="M74" s="6">
        <f t="shared" si="16"/>
        <v>30.032258064516128</v>
      </c>
      <c r="N74" s="13">
        <f t="shared" si="11"/>
        <v>32.26170736613139</v>
      </c>
      <c r="O74" s="6">
        <f t="shared" si="19"/>
        <v>1714.6774193548381</v>
      </c>
      <c r="P74" s="6">
        <f t="shared" si="20"/>
        <v>1685.9189087640696</v>
      </c>
      <c r="Q74" s="6">
        <f t="shared" si="17"/>
        <v>32.26170736613139</v>
      </c>
      <c r="T74" s="6">
        <f t="shared" si="10"/>
        <v>32.26170736613139</v>
      </c>
    </row>
    <row r="75" spans="2:20">
      <c r="B75">
        <f t="shared" si="18"/>
        <v>72</v>
      </c>
      <c r="C75">
        <f t="shared" si="12"/>
        <v>31</v>
      </c>
      <c r="D75">
        <v>61</v>
      </c>
      <c r="E75">
        <v>92</v>
      </c>
      <c r="F75">
        <f>RnSPLINE!H$6</f>
        <v>31</v>
      </c>
      <c r="G75">
        <f>RnSPLINE!H$7</f>
        <v>28</v>
      </c>
      <c r="H75" s="6">
        <f>RnSPLINE!M$6</f>
        <v>-5.7529091476165813E-2</v>
      </c>
      <c r="I75" s="6">
        <f>RnSPLINE!M$7</f>
        <v>2.4801406366932875E-2</v>
      </c>
      <c r="J75">
        <f t="shared" si="13"/>
        <v>0.64516129032258063</v>
      </c>
      <c r="K75">
        <f t="shared" si="14"/>
        <v>0.35483870967741937</v>
      </c>
      <c r="L75">
        <f t="shared" si="15"/>
        <v>26</v>
      </c>
      <c r="M75" s="6">
        <f t="shared" si="16"/>
        <v>29.935483870967744</v>
      </c>
      <c r="N75" s="13">
        <f t="shared" si="11"/>
        <v>32.173717266301729</v>
      </c>
      <c r="O75" s="6">
        <f t="shared" si="19"/>
        <v>1744.6129032258059</v>
      </c>
      <c r="P75" s="6">
        <f t="shared" si="20"/>
        <v>1718.0926260303713</v>
      </c>
      <c r="Q75" s="6">
        <f t="shared" si="17"/>
        <v>32.173717266301729</v>
      </c>
      <c r="T75" s="6">
        <f t="shared" si="10"/>
        <v>32.173717266301729</v>
      </c>
    </row>
    <row r="76" spans="2:20">
      <c r="B76">
        <f t="shared" si="18"/>
        <v>73</v>
      </c>
      <c r="C76">
        <f t="shared" si="12"/>
        <v>31</v>
      </c>
      <c r="D76">
        <v>61</v>
      </c>
      <c r="E76">
        <v>92</v>
      </c>
      <c r="F76">
        <f>RnSPLINE!H$6</f>
        <v>31</v>
      </c>
      <c r="G76">
        <f>RnSPLINE!H$7</f>
        <v>28</v>
      </c>
      <c r="H76" s="6">
        <f>RnSPLINE!M$6</f>
        <v>-5.7529091476165813E-2</v>
      </c>
      <c r="I76" s="6">
        <f>RnSPLINE!M$7</f>
        <v>2.4801406366932875E-2</v>
      </c>
      <c r="J76">
        <f t="shared" si="13"/>
        <v>0.61290322580645162</v>
      </c>
      <c r="K76">
        <f t="shared" si="14"/>
        <v>0.38709677419354838</v>
      </c>
      <c r="L76">
        <f t="shared" si="15"/>
        <v>27</v>
      </c>
      <c r="M76" s="6">
        <f t="shared" si="16"/>
        <v>29.838709677419352</v>
      </c>
      <c r="N76" s="13">
        <f t="shared" si="11"/>
        <v>32.057412122617635</v>
      </c>
      <c r="O76" s="6">
        <f t="shared" si="19"/>
        <v>1774.4516129032252</v>
      </c>
      <c r="P76" s="6">
        <f t="shared" si="20"/>
        <v>1750.1500381529891</v>
      </c>
      <c r="Q76" s="6">
        <f t="shared" si="17"/>
        <v>32.057412122617635</v>
      </c>
      <c r="T76" s="6">
        <f t="shared" si="10"/>
        <v>32.057412122617635</v>
      </c>
    </row>
    <row r="77" spans="2:20">
      <c r="B77">
        <f t="shared" si="18"/>
        <v>74</v>
      </c>
      <c r="C77">
        <f t="shared" si="12"/>
        <v>31</v>
      </c>
      <c r="D77">
        <v>61</v>
      </c>
      <c r="E77">
        <v>92</v>
      </c>
      <c r="F77">
        <f>RnSPLINE!H$6</f>
        <v>31</v>
      </c>
      <c r="G77">
        <f>RnSPLINE!H$7</f>
        <v>28</v>
      </c>
      <c r="H77" s="6">
        <f>RnSPLINE!M$6</f>
        <v>-5.7529091476165813E-2</v>
      </c>
      <c r="I77" s="6">
        <f>RnSPLINE!M$7</f>
        <v>2.4801406366932875E-2</v>
      </c>
      <c r="J77">
        <f t="shared" si="13"/>
        <v>0.58064516129032262</v>
      </c>
      <c r="K77">
        <f t="shared" si="14"/>
        <v>0.41935483870967744</v>
      </c>
      <c r="L77">
        <f t="shared" si="15"/>
        <v>28</v>
      </c>
      <c r="M77" s="6">
        <f t="shared" si="16"/>
        <v>29.741935483870968</v>
      </c>
      <c r="N77" s="13">
        <f t="shared" si="11"/>
        <v>31.915447757590194</v>
      </c>
      <c r="O77" s="6">
        <f t="shared" si="19"/>
        <v>1804.1935483870961</v>
      </c>
      <c r="P77" s="6">
        <f t="shared" si="20"/>
        <v>1782.0654859105794</v>
      </c>
      <c r="Q77" s="6">
        <f t="shared" si="17"/>
        <v>31.915447757590194</v>
      </c>
      <c r="T77" s="6">
        <f t="shared" si="10"/>
        <v>31.915447757590194</v>
      </c>
    </row>
    <row r="78" spans="2:20">
      <c r="B78">
        <f t="shared" si="18"/>
        <v>75</v>
      </c>
      <c r="C78">
        <f t="shared" si="12"/>
        <v>31</v>
      </c>
      <c r="D78">
        <v>61</v>
      </c>
      <c r="E78">
        <v>92</v>
      </c>
      <c r="F78">
        <f>RnSPLINE!H$6</f>
        <v>31</v>
      </c>
      <c r="G78">
        <f>RnSPLINE!H$7</f>
        <v>28</v>
      </c>
      <c r="H78" s="6">
        <f>RnSPLINE!M$6</f>
        <v>-5.7529091476165813E-2</v>
      </c>
      <c r="I78" s="6">
        <f>RnSPLINE!M$7</f>
        <v>2.4801406366932875E-2</v>
      </c>
      <c r="J78">
        <f t="shared" si="13"/>
        <v>0.54838709677419351</v>
      </c>
      <c r="K78">
        <f t="shared" si="14"/>
        <v>0.45161290322580644</v>
      </c>
      <c r="L78">
        <f t="shared" si="15"/>
        <v>29</v>
      </c>
      <c r="M78" s="6">
        <f t="shared" si="16"/>
        <v>29.64516129032258</v>
      </c>
      <c r="N78" s="13">
        <f t="shared" si="11"/>
        <v>31.750479993730469</v>
      </c>
      <c r="O78" s="6">
        <f t="shared" si="19"/>
        <v>1833.8387096774188</v>
      </c>
      <c r="P78" s="6">
        <f t="shared" si="20"/>
        <v>1813.8159659043099</v>
      </c>
      <c r="Q78" s="6">
        <f t="shared" si="17"/>
        <v>31.750479993730469</v>
      </c>
      <c r="T78" s="6">
        <f t="shared" si="10"/>
        <v>31.750479993730469</v>
      </c>
    </row>
    <row r="79" spans="2:20">
      <c r="B79">
        <f t="shared" si="18"/>
        <v>76</v>
      </c>
      <c r="C79">
        <f t="shared" si="12"/>
        <v>31</v>
      </c>
      <c r="D79">
        <v>61</v>
      </c>
      <c r="E79">
        <v>92</v>
      </c>
      <c r="F79">
        <f>RnSPLINE!H$6</f>
        <v>31</v>
      </c>
      <c r="G79">
        <f>RnSPLINE!H$7</f>
        <v>28</v>
      </c>
      <c r="H79" s="6">
        <f>RnSPLINE!M$6</f>
        <v>-5.7529091476165813E-2</v>
      </c>
      <c r="I79" s="6">
        <f>RnSPLINE!M$7</f>
        <v>2.4801406366932875E-2</v>
      </c>
      <c r="J79">
        <f t="shared" si="13"/>
        <v>0.5161290322580645</v>
      </c>
      <c r="K79">
        <f t="shared" si="14"/>
        <v>0.4838709677419355</v>
      </c>
      <c r="L79">
        <f t="shared" si="15"/>
        <v>30</v>
      </c>
      <c r="M79" s="6">
        <f t="shared" si="16"/>
        <v>29.548387096774192</v>
      </c>
      <c r="N79" s="13">
        <f t="shared" si="11"/>
        <v>31.565164653549523</v>
      </c>
      <c r="O79" s="6">
        <f t="shared" si="19"/>
        <v>1863.387096774193</v>
      </c>
      <c r="P79" s="6">
        <f t="shared" si="20"/>
        <v>1845.3811305578595</v>
      </c>
      <c r="Q79" s="6">
        <f t="shared" si="17"/>
        <v>31.565164653549523</v>
      </c>
      <c r="T79" s="6">
        <f t="shared" si="10"/>
        <v>31.565164653549523</v>
      </c>
    </row>
    <row r="80" spans="2:20">
      <c r="B80">
        <f t="shared" si="18"/>
        <v>77</v>
      </c>
      <c r="C80">
        <f t="shared" si="12"/>
        <v>31</v>
      </c>
      <c r="D80">
        <v>61</v>
      </c>
      <c r="E80">
        <v>92</v>
      </c>
      <c r="F80">
        <f>RnSPLINE!H$6</f>
        <v>31</v>
      </c>
      <c r="G80">
        <f>RnSPLINE!H$7</f>
        <v>28</v>
      </c>
      <c r="H80" s="6">
        <f>RnSPLINE!M$6</f>
        <v>-5.7529091476165813E-2</v>
      </c>
      <c r="I80" s="6">
        <f>RnSPLINE!M$7</f>
        <v>2.4801406366932875E-2</v>
      </c>
      <c r="J80">
        <f t="shared" si="13"/>
        <v>0.4838709677419355</v>
      </c>
      <c r="K80">
        <f t="shared" si="14"/>
        <v>0.5161290322580645</v>
      </c>
      <c r="L80">
        <f t="shared" si="15"/>
        <v>31</v>
      </c>
      <c r="M80" s="6">
        <f t="shared" si="16"/>
        <v>29.451612903225808</v>
      </c>
      <c r="N80" s="13">
        <f t="shared" si="11"/>
        <v>31.36215755955843</v>
      </c>
      <c r="O80" s="6">
        <f t="shared" si="19"/>
        <v>1892.8387096774188</v>
      </c>
      <c r="P80" s="6">
        <f t="shared" si="20"/>
        <v>1876.7432881174179</v>
      </c>
      <c r="Q80" s="6">
        <f t="shared" si="17"/>
        <v>31.36215755955843</v>
      </c>
      <c r="T80" s="6">
        <f t="shared" si="10"/>
        <v>31.36215755955843</v>
      </c>
    </row>
    <row r="81" spans="1:20">
      <c r="B81">
        <f t="shared" si="18"/>
        <v>78</v>
      </c>
      <c r="C81">
        <f t="shared" si="12"/>
        <v>31</v>
      </c>
      <c r="D81">
        <v>61</v>
      </c>
      <c r="E81">
        <v>92</v>
      </c>
      <c r="F81">
        <f>RnSPLINE!H$6</f>
        <v>31</v>
      </c>
      <c r="G81">
        <f>RnSPLINE!H$7</f>
        <v>28</v>
      </c>
      <c r="H81" s="6">
        <f>RnSPLINE!M$6</f>
        <v>-5.7529091476165813E-2</v>
      </c>
      <c r="I81" s="6">
        <f>RnSPLINE!M$7</f>
        <v>2.4801406366932875E-2</v>
      </c>
      <c r="J81">
        <f t="shared" si="13"/>
        <v>0.45161290322580644</v>
      </c>
      <c r="K81">
        <f t="shared" si="14"/>
        <v>0.54838709677419351</v>
      </c>
      <c r="L81">
        <f t="shared" si="15"/>
        <v>32</v>
      </c>
      <c r="M81" s="6">
        <f t="shared" si="16"/>
        <v>29.354838709677416</v>
      </c>
      <c r="N81" s="13">
        <f t="shared" si="11"/>
        <v>31.144114534268247</v>
      </c>
      <c r="O81" s="6">
        <f t="shared" si="19"/>
        <v>1922.1935483870961</v>
      </c>
      <c r="P81" s="6">
        <f t="shared" si="20"/>
        <v>1907.8874026516862</v>
      </c>
      <c r="Q81" s="6">
        <f t="shared" si="17"/>
        <v>31.144114534268247</v>
      </c>
      <c r="T81" s="6">
        <f t="shared" si="10"/>
        <v>31.144114534268247</v>
      </c>
    </row>
    <row r="82" spans="1:20">
      <c r="B82">
        <f t="shared" si="18"/>
        <v>79</v>
      </c>
      <c r="C82">
        <f t="shared" si="12"/>
        <v>31</v>
      </c>
      <c r="D82">
        <v>61</v>
      </c>
      <c r="E82">
        <v>92</v>
      </c>
      <c r="F82">
        <f>RnSPLINE!H$6</f>
        <v>31</v>
      </c>
      <c r="G82">
        <f>RnSPLINE!H$7</f>
        <v>28</v>
      </c>
      <c r="H82" s="6">
        <f>RnSPLINE!M$6</f>
        <v>-5.7529091476165813E-2</v>
      </c>
      <c r="I82" s="6">
        <f>RnSPLINE!M$7</f>
        <v>2.4801406366932875E-2</v>
      </c>
      <c r="J82">
        <f t="shared" si="13"/>
        <v>0.41935483870967744</v>
      </c>
      <c r="K82">
        <f t="shared" si="14"/>
        <v>0.58064516129032262</v>
      </c>
      <c r="L82">
        <f t="shared" si="15"/>
        <v>33</v>
      </c>
      <c r="M82" s="6">
        <f t="shared" si="16"/>
        <v>29.258064516129032</v>
      </c>
      <c r="N82" s="13">
        <f t="shared" si="11"/>
        <v>30.913691400190057</v>
      </c>
      <c r="O82" s="6">
        <f t="shared" si="19"/>
        <v>1951.4516129032252</v>
      </c>
      <c r="P82" s="6">
        <f t="shared" si="20"/>
        <v>1938.8010940518764</v>
      </c>
      <c r="Q82" s="6">
        <f t="shared" si="17"/>
        <v>30.913691400190057</v>
      </c>
      <c r="T82" s="6">
        <f t="shared" si="10"/>
        <v>30.913691400190057</v>
      </c>
    </row>
    <row r="83" spans="1:20">
      <c r="B83">
        <f t="shared" si="18"/>
        <v>80</v>
      </c>
      <c r="C83">
        <f t="shared" si="12"/>
        <v>31</v>
      </c>
      <c r="D83">
        <v>61</v>
      </c>
      <c r="E83">
        <v>92</v>
      </c>
      <c r="F83">
        <f>RnSPLINE!H$6</f>
        <v>31</v>
      </c>
      <c r="G83">
        <f>RnSPLINE!H$7</f>
        <v>28</v>
      </c>
      <c r="H83" s="6">
        <f>RnSPLINE!M$6</f>
        <v>-5.7529091476165813E-2</v>
      </c>
      <c r="I83" s="6">
        <f>RnSPLINE!M$7</f>
        <v>2.4801406366932875E-2</v>
      </c>
      <c r="J83">
        <f t="shared" si="13"/>
        <v>0.38709677419354838</v>
      </c>
      <c r="K83">
        <f t="shared" si="14"/>
        <v>0.61290322580645162</v>
      </c>
      <c r="L83">
        <f t="shared" si="15"/>
        <v>34</v>
      </c>
      <c r="M83" s="6">
        <f t="shared" si="16"/>
        <v>29.161290322580644</v>
      </c>
      <c r="N83" s="13">
        <f t="shared" si="11"/>
        <v>30.673543979834918</v>
      </c>
      <c r="O83" s="6">
        <f t="shared" si="19"/>
        <v>1980.6129032258059</v>
      </c>
      <c r="P83" s="6">
        <f t="shared" si="20"/>
        <v>1969.4746380317113</v>
      </c>
      <c r="Q83" s="6">
        <f t="shared" si="17"/>
        <v>30.673543979834918</v>
      </c>
      <c r="T83" s="6">
        <f t="shared" si="10"/>
        <v>30.673543979834918</v>
      </c>
    </row>
    <row r="84" spans="1:20">
      <c r="B84">
        <f t="shared" si="18"/>
        <v>81</v>
      </c>
      <c r="C84">
        <f t="shared" si="12"/>
        <v>31</v>
      </c>
      <c r="D84">
        <v>61</v>
      </c>
      <c r="E84">
        <v>92</v>
      </c>
      <c r="F84">
        <f>RnSPLINE!H$6</f>
        <v>31</v>
      </c>
      <c r="G84">
        <f>RnSPLINE!H$7</f>
        <v>28</v>
      </c>
      <c r="H84" s="6">
        <f>RnSPLINE!M$6</f>
        <v>-5.7529091476165813E-2</v>
      </c>
      <c r="I84" s="6">
        <f>RnSPLINE!M$7</f>
        <v>2.4801406366932875E-2</v>
      </c>
      <c r="J84">
        <f t="shared" si="13"/>
        <v>0.35483870967741937</v>
      </c>
      <c r="K84">
        <f t="shared" si="14"/>
        <v>0.64516129032258063</v>
      </c>
      <c r="L84">
        <f t="shared" si="15"/>
        <v>35</v>
      </c>
      <c r="M84" s="6">
        <f t="shared" si="16"/>
        <v>29.064516129032256</v>
      </c>
      <c r="N84" s="13">
        <f t="shared" si="11"/>
        <v>30.426328095713899</v>
      </c>
      <c r="O84" s="6">
        <f t="shared" si="19"/>
        <v>2009.6774193548381</v>
      </c>
      <c r="P84" s="6">
        <f t="shared" si="20"/>
        <v>1999.9009661274251</v>
      </c>
      <c r="Q84" s="6">
        <f t="shared" si="17"/>
        <v>30.426328095713899</v>
      </c>
      <c r="T84" s="6">
        <f t="shared" si="10"/>
        <v>30.426328095713899</v>
      </c>
    </row>
    <row r="85" spans="1:20">
      <c r="B85">
        <f t="shared" si="18"/>
        <v>82</v>
      </c>
      <c r="C85">
        <f t="shared" si="12"/>
        <v>31</v>
      </c>
      <c r="D85">
        <v>61</v>
      </c>
      <c r="E85">
        <v>92</v>
      </c>
      <c r="F85">
        <f>RnSPLINE!H$6</f>
        <v>31</v>
      </c>
      <c r="G85">
        <f>RnSPLINE!H$7</f>
        <v>28</v>
      </c>
      <c r="H85" s="6">
        <f>RnSPLINE!M$6</f>
        <v>-5.7529091476165813E-2</v>
      </c>
      <c r="I85" s="6">
        <f>RnSPLINE!M$7</f>
        <v>2.4801406366932875E-2</v>
      </c>
      <c r="J85">
        <f t="shared" si="13"/>
        <v>0.32258064516129031</v>
      </c>
      <c r="K85">
        <f t="shared" si="14"/>
        <v>0.67741935483870963</v>
      </c>
      <c r="L85">
        <f t="shared" si="15"/>
        <v>36</v>
      </c>
      <c r="M85" s="6">
        <f t="shared" si="16"/>
        <v>28.967741935483868</v>
      </c>
      <c r="N85" s="13">
        <f t="shared" si="11"/>
        <v>30.174699570338067</v>
      </c>
      <c r="O85" s="6">
        <f t="shared" si="19"/>
        <v>2038.645161290322</v>
      </c>
      <c r="P85" s="6">
        <f t="shared" si="20"/>
        <v>2030.0756656977633</v>
      </c>
      <c r="Q85" s="6">
        <f t="shared" si="17"/>
        <v>30.174699570338067</v>
      </c>
      <c r="T85" s="6">
        <f t="shared" si="10"/>
        <v>30.174699570338067</v>
      </c>
    </row>
    <row r="86" spans="1:20">
      <c r="B86">
        <f t="shared" si="18"/>
        <v>83</v>
      </c>
      <c r="C86">
        <f t="shared" si="12"/>
        <v>31</v>
      </c>
      <c r="D86">
        <v>61</v>
      </c>
      <c r="E86">
        <v>92</v>
      </c>
      <c r="F86">
        <f>RnSPLINE!H$6</f>
        <v>31</v>
      </c>
      <c r="G86">
        <f>RnSPLINE!H$7</f>
        <v>28</v>
      </c>
      <c r="H86" s="6">
        <f>RnSPLINE!M$6</f>
        <v>-5.7529091476165813E-2</v>
      </c>
      <c r="I86" s="6">
        <f>RnSPLINE!M$7</f>
        <v>2.4801406366932875E-2</v>
      </c>
      <c r="J86">
        <f t="shared" si="13"/>
        <v>0.29032258064516131</v>
      </c>
      <c r="K86">
        <f t="shared" si="14"/>
        <v>0.70967741935483875</v>
      </c>
      <c r="L86">
        <f t="shared" si="15"/>
        <v>37</v>
      </c>
      <c r="M86" s="6">
        <f t="shared" si="16"/>
        <v>28.870967741935484</v>
      </c>
      <c r="N86" s="13">
        <f t="shared" si="11"/>
        <v>29.921314226218492</v>
      </c>
      <c r="O86" s="6">
        <f t="shared" si="19"/>
        <v>2067.5161290322576</v>
      </c>
      <c r="P86" s="6">
        <f t="shared" si="20"/>
        <v>2059.9969799239816</v>
      </c>
      <c r="Q86" s="6">
        <f t="shared" si="17"/>
        <v>29.921314226218492</v>
      </c>
      <c r="T86" s="6">
        <f t="shared" si="10"/>
        <v>29.921314226218492</v>
      </c>
    </row>
    <row r="87" spans="1:20">
      <c r="B87">
        <f t="shared" si="18"/>
        <v>84</v>
      </c>
      <c r="C87">
        <f t="shared" si="12"/>
        <v>31</v>
      </c>
      <c r="D87">
        <v>61</v>
      </c>
      <c r="E87">
        <v>92</v>
      </c>
      <c r="F87">
        <f>RnSPLINE!H$6</f>
        <v>31</v>
      </c>
      <c r="G87">
        <f>RnSPLINE!H$7</f>
        <v>28</v>
      </c>
      <c r="H87" s="6">
        <f>RnSPLINE!M$6</f>
        <v>-5.7529091476165813E-2</v>
      </c>
      <c r="I87" s="6">
        <f>RnSPLINE!M$7</f>
        <v>2.4801406366932875E-2</v>
      </c>
      <c r="J87">
        <f t="shared" si="13"/>
        <v>0.25806451612903225</v>
      </c>
      <c r="K87">
        <f t="shared" si="14"/>
        <v>0.74193548387096775</v>
      </c>
      <c r="L87">
        <f t="shared" si="15"/>
        <v>38</v>
      </c>
      <c r="M87" s="6">
        <f t="shared" si="16"/>
        <v>28.774193548387096</v>
      </c>
      <c r="N87" s="13">
        <f t="shared" si="11"/>
        <v>29.668827885866239</v>
      </c>
      <c r="O87" s="6">
        <f t="shared" si="19"/>
        <v>2096.2903225806449</v>
      </c>
      <c r="P87" s="6">
        <f t="shared" si="20"/>
        <v>2089.665807809848</v>
      </c>
      <c r="Q87" s="6">
        <f t="shared" si="17"/>
        <v>29.668827885866239</v>
      </c>
      <c r="T87" s="6">
        <f t="shared" si="10"/>
        <v>29.668827885866239</v>
      </c>
    </row>
    <row r="88" spans="1:20">
      <c r="B88">
        <f t="shared" si="18"/>
        <v>85</v>
      </c>
      <c r="C88">
        <f t="shared" si="12"/>
        <v>31</v>
      </c>
      <c r="D88">
        <v>61</v>
      </c>
      <c r="E88">
        <v>92</v>
      </c>
      <c r="F88">
        <f>RnSPLINE!H$6</f>
        <v>31</v>
      </c>
      <c r="G88">
        <f>RnSPLINE!H$7</f>
        <v>28</v>
      </c>
      <c r="H88" s="6">
        <f>RnSPLINE!M$6</f>
        <v>-5.7529091476165813E-2</v>
      </c>
      <c r="I88" s="6">
        <f>RnSPLINE!M$7</f>
        <v>2.4801406366932875E-2</v>
      </c>
      <c r="J88">
        <f t="shared" si="13"/>
        <v>0.22580645161290322</v>
      </c>
      <c r="K88">
        <f t="shared" si="14"/>
        <v>0.77419354838709675</v>
      </c>
      <c r="L88">
        <f t="shared" si="15"/>
        <v>39</v>
      </c>
      <c r="M88" s="6">
        <f t="shared" si="16"/>
        <v>28.677419354838708</v>
      </c>
      <c r="N88" s="13">
        <f t="shared" si="11"/>
        <v>29.41989637179238</v>
      </c>
      <c r="O88" s="6">
        <f t="shared" si="19"/>
        <v>2124.9677419354834</v>
      </c>
      <c r="P88" s="6">
        <f t="shared" si="20"/>
        <v>2119.0857041816403</v>
      </c>
      <c r="Q88" s="6">
        <f t="shared" si="17"/>
        <v>29.41989637179238</v>
      </c>
      <c r="T88" s="6">
        <f t="shared" si="10"/>
        <v>29.41989637179238</v>
      </c>
    </row>
    <row r="89" spans="1:20">
      <c r="B89">
        <f t="shared" si="18"/>
        <v>86</v>
      </c>
      <c r="C89">
        <f t="shared" si="12"/>
        <v>31</v>
      </c>
      <c r="D89">
        <v>61</v>
      </c>
      <c r="E89">
        <v>92</v>
      </c>
      <c r="F89">
        <f>RnSPLINE!H$6</f>
        <v>31</v>
      </c>
      <c r="G89">
        <f>RnSPLINE!H$7</f>
        <v>28</v>
      </c>
      <c r="H89" s="6">
        <f>RnSPLINE!M$6</f>
        <v>-5.7529091476165813E-2</v>
      </c>
      <c r="I89" s="6">
        <f>RnSPLINE!M$7</f>
        <v>2.4801406366932875E-2</v>
      </c>
      <c r="J89">
        <f t="shared" si="13"/>
        <v>0.19354838709677419</v>
      </c>
      <c r="K89">
        <f t="shared" si="14"/>
        <v>0.80645161290322576</v>
      </c>
      <c r="L89">
        <f t="shared" si="15"/>
        <v>40</v>
      </c>
      <c r="M89" s="6">
        <f t="shared" si="16"/>
        <v>28.58064516129032</v>
      </c>
      <c r="N89" s="13">
        <f t="shared" si="11"/>
        <v>29.177175506507975</v>
      </c>
      <c r="O89" s="6">
        <f t="shared" si="19"/>
        <v>2153.5483870967737</v>
      </c>
      <c r="P89" s="6">
        <f t="shared" si="20"/>
        <v>2148.2628796881481</v>
      </c>
      <c r="Q89" s="6">
        <f t="shared" si="17"/>
        <v>29.177175506507975</v>
      </c>
      <c r="T89" s="6">
        <f t="shared" si="10"/>
        <v>29.177175506507975</v>
      </c>
    </row>
    <row r="90" spans="1:20">
      <c r="B90">
        <f t="shared" si="18"/>
        <v>87</v>
      </c>
      <c r="C90">
        <f t="shared" si="12"/>
        <v>31</v>
      </c>
      <c r="D90">
        <v>61</v>
      </c>
      <c r="E90">
        <v>92</v>
      </c>
      <c r="F90">
        <f>RnSPLINE!H$6</f>
        <v>31</v>
      </c>
      <c r="G90">
        <f>RnSPLINE!H$7</f>
        <v>28</v>
      </c>
      <c r="H90" s="6">
        <f>RnSPLINE!M$6</f>
        <v>-5.7529091476165813E-2</v>
      </c>
      <c r="I90" s="6">
        <f>RnSPLINE!M$7</f>
        <v>2.4801406366932875E-2</v>
      </c>
      <c r="J90">
        <f t="shared" si="13"/>
        <v>0.16129032258064516</v>
      </c>
      <c r="K90">
        <f t="shared" si="14"/>
        <v>0.83870967741935487</v>
      </c>
      <c r="L90">
        <f t="shared" si="15"/>
        <v>41</v>
      </c>
      <c r="M90" s="6">
        <f t="shared" si="16"/>
        <v>28.483870967741936</v>
      </c>
      <c r="N90" s="13">
        <f t="shared" si="11"/>
        <v>28.943321112524107</v>
      </c>
      <c r="O90" s="6">
        <f t="shared" si="19"/>
        <v>2182.0322580645156</v>
      </c>
      <c r="P90" s="6">
        <f t="shared" si="20"/>
        <v>2177.2062008006724</v>
      </c>
      <c r="Q90" s="6">
        <f t="shared" si="17"/>
        <v>28.943321112524107</v>
      </c>
      <c r="T90" s="6">
        <f t="shared" si="10"/>
        <v>28.943321112524107</v>
      </c>
    </row>
    <row r="91" spans="1:20">
      <c r="B91">
        <f t="shared" si="18"/>
        <v>88</v>
      </c>
      <c r="C91">
        <f t="shared" si="12"/>
        <v>31</v>
      </c>
      <c r="D91">
        <v>61</v>
      </c>
      <c r="E91">
        <v>92</v>
      </c>
      <c r="F91">
        <f>RnSPLINE!H$6</f>
        <v>31</v>
      </c>
      <c r="G91">
        <f>RnSPLINE!H$7</f>
        <v>28</v>
      </c>
      <c r="H91" s="6">
        <f>RnSPLINE!M$6</f>
        <v>-5.7529091476165813E-2</v>
      </c>
      <c r="I91" s="6">
        <f>RnSPLINE!M$7</f>
        <v>2.4801406366932875E-2</v>
      </c>
      <c r="J91">
        <f t="shared" si="13"/>
        <v>0.12903225806451613</v>
      </c>
      <c r="K91">
        <f t="shared" si="14"/>
        <v>0.87096774193548387</v>
      </c>
      <c r="L91">
        <f t="shared" si="15"/>
        <v>42</v>
      </c>
      <c r="M91" s="6">
        <f t="shared" si="16"/>
        <v>28.387096774193548</v>
      </c>
      <c r="N91" s="13">
        <f t="shared" si="11"/>
        <v>28.720989012351822</v>
      </c>
      <c r="O91" s="6">
        <f t="shared" si="19"/>
        <v>2210.4193548387093</v>
      </c>
      <c r="P91" s="6">
        <f t="shared" si="20"/>
        <v>2205.9271898130241</v>
      </c>
      <c r="Q91" s="6">
        <f t="shared" si="17"/>
        <v>28.720989012351822</v>
      </c>
      <c r="T91" s="6">
        <f t="shared" si="10"/>
        <v>28.720989012351822</v>
      </c>
    </row>
    <row r="92" spans="1:20">
      <c r="B92">
        <f t="shared" si="18"/>
        <v>89</v>
      </c>
      <c r="C92">
        <f t="shared" si="12"/>
        <v>31</v>
      </c>
      <c r="D92">
        <v>61</v>
      </c>
      <c r="E92">
        <v>92</v>
      </c>
      <c r="F92">
        <f>RnSPLINE!H$6</f>
        <v>31</v>
      </c>
      <c r="G92">
        <f>RnSPLINE!H$7</f>
        <v>28</v>
      </c>
      <c r="H92" s="6">
        <f>RnSPLINE!M$6</f>
        <v>-5.7529091476165813E-2</v>
      </c>
      <c r="I92" s="6">
        <f>RnSPLINE!M$7</f>
        <v>2.4801406366932875E-2</v>
      </c>
      <c r="J92">
        <f t="shared" si="13"/>
        <v>9.6774193548387094E-2</v>
      </c>
      <c r="K92">
        <f t="shared" si="14"/>
        <v>0.90322580645161288</v>
      </c>
      <c r="L92">
        <f t="shared" si="15"/>
        <v>43</v>
      </c>
      <c r="M92" s="6">
        <f t="shared" si="16"/>
        <v>28.29032258064516</v>
      </c>
      <c r="N92" s="13">
        <f t="shared" si="11"/>
        <v>28.512835028502206</v>
      </c>
      <c r="O92" s="6">
        <f t="shared" si="19"/>
        <v>2238.7096774193546</v>
      </c>
      <c r="P92" s="6">
        <f t="shared" si="20"/>
        <v>2234.4400248415263</v>
      </c>
      <c r="Q92" s="6">
        <f t="shared" si="17"/>
        <v>28.512835028502206</v>
      </c>
      <c r="T92" s="6">
        <f t="shared" si="10"/>
        <v>28.512835028502206</v>
      </c>
    </row>
    <row r="93" spans="1:20">
      <c r="B93">
        <f t="shared" si="18"/>
        <v>90</v>
      </c>
      <c r="C93">
        <f t="shared" si="12"/>
        <v>31</v>
      </c>
      <c r="D93">
        <v>61</v>
      </c>
      <c r="E93">
        <v>92</v>
      </c>
      <c r="F93">
        <f>RnSPLINE!H$6</f>
        <v>31</v>
      </c>
      <c r="G93">
        <f>RnSPLINE!H$7</f>
        <v>28</v>
      </c>
      <c r="H93" s="6">
        <f>RnSPLINE!M$6</f>
        <v>-5.7529091476165813E-2</v>
      </c>
      <c r="I93" s="6">
        <f>RnSPLINE!M$7</f>
        <v>2.4801406366932875E-2</v>
      </c>
      <c r="J93">
        <f t="shared" si="13"/>
        <v>6.4516129032258063E-2</v>
      </c>
      <c r="K93">
        <f t="shared" si="14"/>
        <v>0.93548387096774188</v>
      </c>
      <c r="L93">
        <f t="shared" si="15"/>
        <v>44</v>
      </c>
      <c r="M93" s="6">
        <f t="shared" si="16"/>
        <v>28.193548387096772</v>
      </c>
      <c r="N93" s="13">
        <f t="shared" si="11"/>
        <v>28.321514983486313</v>
      </c>
      <c r="O93" s="6">
        <f t="shared" si="19"/>
        <v>2266.9032258064512</v>
      </c>
      <c r="P93" s="6">
        <f t="shared" si="20"/>
        <v>2262.7615398250127</v>
      </c>
      <c r="Q93" s="6">
        <f t="shared" si="17"/>
        <v>28.321514983486313</v>
      </c>
      <c r="T93" s="6">
        <f t="shared" si="10"/>
        <v>28.321514983486313</v>
      </c>
    </row>
    <row r="94" spans="1:20">
      <c r="B94">
        <f t="shared" si="18"/>
        <v>91</v>
      </c>
      <c r="C94">
        <f t="shared" si="12"/>
        <v>31</v>
      </c>
      <c r="D94">
        <v>61</v>
      </c>
      <c r="E94">
        <v>92</v>
      </c>
      <c r="F94">
        <f>RnSPLINE!H$6</f>
        <v>31</v>
      </c>
      <c r="G94">
        <f>RnSPLINE!H$7</f>
        <v>28</v>
      </c>
      <c r="H94" s="6">
        <f>RnSPLINE!M$6</f>
        <v>-5.7529091476165813E-2</v>
      </c>
      <c r="I94" s="6">
        <f>RnSPLINE!M$7</f>
        <v>2.4801406366932875E-2</v>
      </c>
      <c r="J94">
        <f t="shared" si="13"/>
        <v>3.2258064516129031E-2</v>
      </c>
      <c r="K94">
        <f t="shared" si="14"/>
        <v>0.967741935483871</v>
      </c>
      <c r="L94">
        <f t="shared" si="15"/>
        <v>45</v>
      </c>
      <c r="M94" s="6">
        <f t="shared" si="16"/>
        <v>28.096774193548388</v>
      </c>
      <c r="N94" s="13">
        <f t="shared" si="11"/>
        <v>28.149684699815229</v>
      </c>
      <c r="O94" s="6">
        <f t="shared" si="19"/>
        <v>2294.9999999999995</v>
      </c>
      <c r="P94" s="6">
        <f t="shared" si="20"/>
        <v>2290.911224524828</v>
      </c>
      <c r="Q94" s="6">
        <f t="shared" si="17"/>
        <v>28.149684699815229</v>
      </c>
      <c r="T94" s="6">
        <f t="shared" si="10"/>
        <v>28.149684699815229</v>
      </c>
    </row>
    <row r="95" spans="1:20">
      <c r="A95">
        <v>92</v>
      </c>
      <c r="B95">
        <f t="shared" si="18"/>
        <v>92</v>
      </c>
      <c r="C95">
        <f t="shared" si="12"/>
        <v>31</v>
      </c>
      <c r="D95">
        <v>61</v>
      </c>
      <c r="E95">
        <v>92</v>
      </c>
      <c r="F95">
        <f>RnSPLINE!H$6</f>
        <v>31</v>
      </c>
      <c r="G95">
        <f>RnSPLINE!H$7</f>
        <v>28</v>
      </c>
      <c r="H95" s="6">
        <f>RnSPLINE!M$6</f>
        <v>-5.7529091476165813E-2</v>
      </c>
      <c r="I95" s="6">
        <f>RnSPLINE!M$7</f>
        <v>2.4801406366932875E-2</v>
      </c>
      <c r="J95">
        <f t="shared" si="13"/>
        <v>0</v>
      </c>
      <c r="K95">
        <f t="shared" si="14"/>
        <v>1</v>
      </c>
      <c r="L95">
        <f t="shared" si="15"/>
        <v>46</v>
      </c>
      <c r="M95" s="6">
        <f t="shared" si="16"/>
        <v>28</v>
      </c>
      <c r="N95" s="13">
        <f t="shared" si="11"/>
        <v>28</v>
      </c>
      <c r="O95" s="6">
        <f t="shared" si="19"/>
        <v>2322.9999999999995</v>
      </c>
      <c r="P95" s="6">
        <f t="shared" si="20"/>
        <v>2318.911224524828</v>
      </c>
      <c r="Q95" s="6">
        <f t="shared" si="17"/>
        <v>28</v>
      </c>
      <c r="T95" s="6">
        <f t="shared" si="10"/>
        <v>28</v>
      </c>
    </row>
    <row r="96" spans="1:20">
      <c r="B96">
        <f t="shared" si="18"/>
        <v>93</v>
      </c>
      <c r="C96">
        <f t="shared" si="12"/>
        <v>30</v>
      </c>
      <c r="D96">
        <v>92</v>
      </c>
      <c r="E96">
        <v>122</v>
      </c>
      <c r="F96">
        <f>RnSPLINE!H$7</f>
        <v>28</v>
      </c>
      <c r="G96">
        <f>RnSPLINE!H$8</f>
        <v>31</v>
      </c>
      <c r="H96">
        <f>RnSPLINE!M$7</f>
        <v>2.4801406366932875E-2</v>
      </c>
      <c r="I96">
        <f>RnSPLINE!M$8</f>
        <v>-2.0574859904782632E-3</v>
      </c>
      <c r="J96">
        <f t="shared" si="13"/>
        <v>0.96666666666666667</v>
      </c>
      <c r="K96">
        <f t="shared" si="14"/>
        <v>3.3333333333333333E-2</v>
      </c>
      <c r="L96">
        <f t="shared" si="15"/>
        <v>47</v>
      </c>
      <c r="M96" s="6">
        <f t="shared" si="16"/>
        <v>28.1</v>
      </c>
      <c r="N96" s="13">
        <f t="shared" si="11"/>
        <v>27.87452485339788</v>
      </c>
      <c r="O96" s="6">
        <f t="shared" si="19"/>
        <v>2351.0999999999995</v>
      </c>
      <c r="P96" s="6">
        <f t="shared" si="20"/>
        <v>2346.7857493782258</v>
      </c>
      <c r="Q96" s="6">
        <f t="shared" si="17"/>
        <v>27.87452485339788</v>
      </c>
      <c r="T96" s="6">
        <f t="shared" si="10"/>
        <v>27.87452485339788</v>
      </c>
    </row>
    <row r="97" spans="2:20">
      <c r="B97">
        <f t="shared" si="18"/>
        <v>94</v>
      </c>
      <c r="C97">
        <f t="shared" si="12"/>
        <v>30</v>
      </c>
      <c r="D97">
        <v>92</v>
      </c>
      <c r="E97">
        <v>122</v>
      </c>
      <c r="F97">
        <f>RnSPLINE!H$7</f>
        <v>28</v>
      </c>
      <c r="G97">
        <f>RnSPLINE!H$8</f>
        <v>31</v>
      </c>
      <c r="H97">
        <f>RnSPLINE!M$7</f>
        <v>2.4801406366932875E-2</v>
      </c>
      <c r="I97">
        <f>RnSPLINE!M$8</f>
        <v>-2.0574859904782632E-3</v>
      </c>
      <c r="J97">
        <f t="shared" si="13"/>
        <v>0.93333333333333335</v>
      </c>
      <c r="K97">
        <f t="shared" si="14"/>
        <v>6.6666666666666666E-2</v>
      </c>
      <c r="L97">
        <f t="shared" si="15"/>
        <v>48</v>
      </c>
      <c r="M97" s="6">
        <f t="shared" si="16"/>
        <v>28.2</v>
      </c>
      <c r="N97" s="13">
        <f t="shared" si="11"/>
        <v>27.772955816750773</v>
      </c>
      <c r="O97" s="6">
        <f t="shared" si="19"/>
        <v>2379.2999999999993</v>
      </c>
      <c r="P97" s="6">
        <f t="shared" si="20"/>
        <v>2374.5587051949765</v>
      </c>
      <c r="Q97" s="6">
        <f t="shared" si="17"/>
        <v>27.772955816750773</v>
      </c>
      <c r="T97" s="6">
        <f t="shared" si="10"/>
        <v>27.772955816750773</v>
      </c>
    </row>
    <row r="98" spans="2:20">
      <c r="B98">
        <f t="shared" si="18"/>
        <v>95</v>
      </c>
      <c r="C98">
        <f t="shared" si="12"/>
        <v>30</v>
      </c>
      <c r="D98">
        <v>92</v>
      </c>
      <c r="E98">
        <v>122</v>
      </c>
      <c r="F98">
        <f>RnSPLINE!H$7</f>
        <v>28</v>
      </c>
      <c r="G98">
        <f>RnSPLINE!H$8</f>
        <v>31</v>
      </c>
      <c r="H98">
        <f>RnSPLINE!M$7</f>
        <v>2.4801406366932875E-2</v>
      </c>
      <c r="I98">
        <f>RnSPLINE!M$8</f>
        <v>-2.0574859904782632E-3</v>
      </c>
      <c r="J98">
        <f t="shared" si="13"/>
        <v>0.9</v>
      </c>
      <c r="K98">
        <f t="shared" si="14"/>
        <v>0.1</v>
      </c>
      <c r="L98">
        <f t="shared" si="15"/>
        <v>49</v>
      </c>
      <c r="M98" s="6">
        <f t="shared" si="16"/>
        <v>28.3</v>
      </c>
      <c r="N98" s="13">
        <f t="shared" si="11"/>
        <v>27.694397593646777</v>
      </c>
      <c r="O98" s="6">
        <f t="shared" si="19"/>
        <v>2407.5999999999995</v>
      </c>
      <c r="P98" s="6">
        <f t="shared" si="20"/>
        <v>2402.2531027886234</v>
      </c>
      <c r="Q98" s="6">
        <f t="shared" si="17"/>
        <v>27.694397593646777</v>
      </c>
      <c r="T98" s="6">
        <f t="shared" si="10"/>
        <v>27.694397593646777</v>
      </c>
    </row>
    <row r="99" spans="2:20">
      <c r="B99">
        <f t="shared" si="18"/>
        <v>96</v>
      </c>
      <c r="C99">
        <f t="shared" si="12"/>
        <v>30</v>
      </c>
      <c r="D99">
        <v>92</v>
      </c>
      <c r="E99">
        <v>122</v>
      </c>
      <c r="F99">
        <f>RnSPLINE!H$7</f>
        <v>28</v>
      </c>
      <c r="G99">
        <f>RnSPLINE!H$8</f>
        <v>31</v>
      </c>
      <c r="H99">
        <f>RnSPLINE!M$7</f>
        <v>2.4801406366932875E-2</v>
      </c>
      <c r="I99">
        <f>RnSPLINE!M$8</f>
        <v>-2.0574859904782632E-3</v>
      </c>
      <c r="J99">
        <f t="shared" si="13"/>
        <v>0.8666666666666667</v>
      </c>
      <c r="K99">
        <f t="shared" si="14"/>
        <v>0.13333333333333333</v>
      </c>
      <c r="L99">
        <f t="shared" si="15"/>
        <v>50</v>
      </c>
      <c r="M99" s="6">
        <f t="shared" si="16"/>
        <v>28.4</v>
      </c>
      <c r="N99" s="13">
        <f t="shared" si="11"/>
        <v>27.637954887673967</v>
      </c>
      <c r="O99" s="6">
        <f t="shared" si="19"/>
        <v>2435.9999999999995</v>
      </c>
      <c r="P99" s="6">
        <f t="shared" si="20"/>
        <v>2429.8910576762974</v>
      </c>
      <c r="Q99" s="6">
        <f t="shared" si="17"/>
        <v>27.637954887673967</v>
      </c>
      <c r="T99" s="6">
        <f t="shared" si="10"/>
        <v>27.637954887673967</v>
      </c>
    </row>
    <row r="100" spans="2:20">
      <c r="B100">
        <f t="shared" si="18"/>
        <v>97</v>
      </c>
      <c r="C100">
        <f t="shared" si="12"/>
        <v>30</v>
      </c>
      <c r="D100">
        <v>92</v>
      </c>
      <c r="E100">
        <v>122</v>
      </c>
      <c r="F100">
        <f>RnSPLINE!H$7</f>
        <v>28</v>
      </c>
      <c r="G100">
        <f>RnSPLINE!H$8</f>
        <v>31</v>
      </c>
      <c r="H100">
        <f>RnSPLINE!M$7</f>
        <v>2.4801406366932875E-2</v>
      </c>
      <c r="I100">
        <f>RnSPLINE!M$8</f>
        <v>-2.0574859904782632E-3</v>
      </c>
      <c r="J100">
        <f t="shared" si="13"/>
        <v>0.83333333333333337</v>
      </c>
      <c r="K100">
        <f t="shared" si="14"/>
        <v>0.16666666666666666</v>
      </c>
      <c r="L100">
        <f t="shared" si="15"/>
        <v>51</v>
      </c>
      <c r="M100" s="6">
        <f t="shared" si="16"/>
        <v>28.5</v>
      </c>
      <c r="N100" s="13">
        <f t="shared" si="11"/>
        <v>27.60273240242044</v>
      </c>
      <c r="O100" s="6">
        <f t="shared" si="19"/>
        <v>2464.4999999999995</v>
      </c>
      <c r="P100" s="6">
        <f t="shared" si="20"/>
        <v>2457.4937900787177</v>
      </c>
      <c r="Q100" s="6">
        <f t="shared" si="17"/>
        <v>27.60273240242044</v>
      </c>
      <c r="T100" s="6">
        <f t="shared" si="10"/>
        <v>27.60273240242044</v>
      </c>
    </row>
    <row r="101" spans="2:20">
      <c r="B101">
        <f t="shared" si="18"/>
        <v>98</v>
      </c>
      <c r="C101">
        <f t="shared" si="12"/>
        <v>30</v>
      </c>
      <c r="D101">
        <v>92</v>
      </c>
      <c r="E101">
        <v>122</v>
      </c>
      <c r="F101">
        <f>RnSPLINE!H$7</f>
        <v>28</v>
      </c>
      <c r="G101">
        <f>RnSPLINE!H$8</f>
        <v>31</v>
      </c>
      <c r="H101">
        <f>RnSPLINE!M$7</f>
        <v>2.4801406366932875E-2</v>
      </c>
      <c r="I101">
        <f>RnSPLINE!M$8</f>
        <v>-2.0574859904782632E-3</v>
      </c>
      <c r="J101">
        <f t="shared" si="13"/>
        <v>0.8</v>
      </c>
      <c r="K101">
        <f t="shared" si="14"/>
        <v>0.2</v>
      </c>
      <c r="L101">
        <f t="shared" si="15"/>
        <v>52</v>
      </c>
      <c r="M101" s="6">
        <f t="shared" si="16"/>
        <v>28.6</v>
      </c>
      <c r="N101" s="13">
        <f t="shared" si="11"/>
        <v>27.587834841474276</v>
      </c>
      <c r="O101" s="6">
        <f t="shared" si="19"/>
        <v>2493.0999999999995</v>
      </c>
      <c r="P101" s="6">
        <f t="shared" si="20"/>
        <v>2485.0816249201921</v>
      </c>
      <c r="Q101" s="6">
        <f t="shared" si="17"/>
        <v>27.587834841474276</v>
      </c>
      <c r="T101" s="6">
        <f t="shared" si="10"/>
        <v>27.587834841474276</v>
      </c>
    </row>
    <row r="102" spans="2:20">
      <c r="B102">
        <f t="shared" si="18"/>
        <v>99</v>
      </c>
      <c r="C102">
        <f t="shared" si="12"/>
        <v>30</v>
      </c>
      <c r="D102">
        <v>92</v>
      </c>
      <c r="E102">
        <v>122</v>
      </c>
      <c r="F102">
        <f>RnSPLINE!H$7</f>
        <v>28</v>
      </c>
      <c r="G102">
        <f>RnSPLINE!H$8</f>
        <v>31</v>
      </c>
      <c r="H102">
        <f>RnSPLINE!M$7</f>
        <v>2.4801406366932875E-2</v>
      </c>
      <c r="I102">
        <f>RnSPLINE!M$8</f>
        <v>-2.0574859904782632E-3</v>
      </c>
      <c r="J102">
        <f t="shared" si="13"/>
        <v>0.76666666666666672</v>
      </c>
      <c r="K102">
        <f t="shared" si="14"/>
        <v>0.23333333333333334</v>
      </c>
      <c r="L102">
        <f t="shared" si="15"/>
        <v>53</v>
      </c>
      <c r="M102" s="6">
        <f t="shared" si="16"/>
        <v>28.700000000000003</v>
      </c>
      <c r="N102" s="13">
        <f t="shared" si="11"/>
        <v>27.592366908423564</v>
      </c>
      <c r="O102" s="6">
        <f t="shared" si="19"/>
        <v>2521.7999999999993</v>
      </c>
      <c r="P102" s="6">
        <f t="shared" si="20"/>
        <v>2512.6739918286157</v>
      </c>
      <c r="Q102" s="6">
        <f t="shared" si="17"/>
        <v>27.592366908423564</v>
      </c>
      <c r="T102" s="6">
        <f t="shared" si="10"/>
        <v>27.592366908423564</v>
      </c>
    </row>
    <row r="103" spans="2:20">
      <c r="B103">
        <f t="shared" si="18"/>
        <v>100</v>
      </c>
      <c r="C103">
        <f t="shared" si="12"/>
        <v>30</v>
      </c>
      <c r="D103">
        <v>92</v>
      </c>
      <c r="E103">
        <v>122</v>
      </c>
      <c r="F103">
        <f>RnSPLINE!H$7</f>
        <v>28</v>
      </c>
      <c r="G103">
        <f>RnSPLINE!H$8</f>
        <v>31</v>
      </c>
      <c r="H103">
        <f>RnSPLINE!M$7</f>
        <v>2.4801406366932875E-2</v>
      </c>
      <c r="I103">
        <f>RnSPLINE!M$8</f>
        <v>-2.0574859904782632E-3</v>
      </c>
      <c r="J103">
        <f t="shared" si="13"/>
        <v>0.73333333333333328</v>
      </c>
      <c r="K103">
        <f t="shared" si="14"/>
        <v>0.26666666666666666</v>
      </c>
      <c r="L103">
        <f t="shared" si="15"/>
        <v>54</v>
      </c>
      <c r="M103" s="6">
        <f t="shared" si="16"/>
        <v>28.799999999999997</v>
      </c>
      <c r="N103" s="13">
        <f t="shared" si="11"/>
        <v>27.615433306856382</v>
      </c>
      <c r="O103" s="6">
        <f t="shared" si="19"/>
        <v>2550.5999999999995</v>
      </c>
      <c r="P103" s="6">
        <f t="shared" si="20"/>
        <v>2540.2894251354719</v>
      </c>
      <c r="Q103" s="6">
        <f t="shared" si="17"/>
        <v>27.615433306856382</v>
      </c>
      <c r="T103" s="6">
        <f t="shared" si="10"/>
        <v>27.615433306856382</v>
      </c>
    </row>
    <row r="104" spans="2:20">
      <c r="B104">
        <f t="shared" si="18"/>
        <v>101</v>
      </c>
      <c r="C104">
        <f t="shared" si="12"/>
        <v>30</v>
      </c>
      <c r="D104">
        <v>92</v>
      </c>
      <c r="E104">
        <v>122</v>
      </c>
      <c r="F104">
        <f>RnSPLINE!H$7</f>
        <v>28</v>
      </c>
      <c r="G104">
        <f>RnSPLINE!H$8</f>
        <v>31</v>
      </c>
      <c r="H104">
        <f>RnSPLINE!M$7</f>
        <v>2.4801406366932875E-2</v>
      </c>
      <c r="I104">
        <f>RnSPLINE!M$8</f>
        <v>-2.0574859904782632E-3</v>
      </c>
      <c r="J104">
        <f t="shared" si="13"/>
        <v>0.7</v>
      </c>
      <c r="K104">
        <f t="shared" si="14"/>
        <v>0.3</v>
      </c>
      <c r="L104">
        <f t="shared" si="15"/>
        <v>55</v>
      </c>
      <c r="M104" s="6">
        <f t="shared" si="16"/>
        <v>28.9</v>
      </c>
      <c r="N104" s="13">
        <f t="shared" si="11"/>
        <v>27.656138740360827</v>
      </c>
      <c r="O104" s="6">
        <f t="shared" si="19"/>
        <v>2579.4999999999995</v>
      </c>
      <c r="P104" s="6">
        <f t="shared" si="20"/>
        <v>2567.9455638758327</v>
      </c>
      <c r="Q104" s="6">
        <f t="shared" si="17"/>
        <v>27.656138740360827</v>
      </c>
      <c r="T104" s="6">
        <f t="shared" si="10"/>
        <v>27.656138740360827</v>
      </c>
    </row>
    <row r="105" spans="2:20">
      <c r="B105">
        <f t="shared" si="18"/>
        <v>102</v>
      </c>
      <c r="C105">
        <f t="shared" si="12"/>
        <v>30</v>
      </c>
      <c r="D105">
        <v>92</v>
      </c>
      <c r="E105">
        <v>122</v>
      </c>
      <c r="F105">
        <f>RnSPLINE!H$7</f>
        <v>28</v>
      </c>
      <c r="G105">
        <f>RnSPLINE!H$8</f>
        <v>31</v>
      </c>
      <c r="H105">
        <f>RnSPLINE!M$7</f>
        <v>2.4801406366932875E-2</v>
      </c>
      <c r="I105">
        <f>RnSPLINE!M$8</f>
        <v>-2.0574859904782632E-3</v>
      </c>
      <c r="J105">
        <f t="shared" si="13"/>
        <v>0.66666666666666663</v>
      </c>
      <c r="K105">
        <f t="shared" si="14"/>
        <v>0.33333333333333331</v>
      </c>
      <c r="L105">
        <f t="shared" si="15"/>
        <v>56</v>
      </c>
      <c r="M105" s="6">
        <f t="shared" si="16"/>
        <v>28.999999999999996</v>
      </c>
      <c r="N105" s="13">
        <f t="shared" si="11"/>
        <v>27.713587912524982</v>
      </c>
      <c r="O105" s="6">
        <f t="shared" si="19"/>
        <v>2608.4999999999995</v>
      </c>
      <c r="P105" s="6">
        <f t="shared" si="20"/>
        <v>2595.6591517883576</v>
      </c>
      <c r="Q105" s="6">
        <f t="shared" si="17"/>
        <v>27.713587912524982</v>
      </c>
      <c r="T105" s="6">
        <f t="shared" si="10"/>
        <v>27.713587912524982</v>
      </c>
    </row>
    <row r="106" spans="2:20">
      <c r="B106">
        <f t="shared" si="18"/>
        <v>103</v>
      </c>
      <c r="C106">
        <f t="shared" si="12"/>
        <v>30</v>
      </c>
      <c r="D106">
        <v>92</v>
      </c>
      <c r="E106">
        <v>122</v>
      </c>
      <c r="F106">
        <f>RnSPLINE!H$7</f>
        <v>28</v>
      </c>
      <c r="G106">
        <f>RnSPLINE!H$8</f>
        <v>31</v>
      </c>
      <c r="H106">
        <f>RnSPLINE!M$7</f>
        <v>2.4801406366932875E-2</v>
      </c>
      <c r="I106">
        <f>RnSPLINE!M$8</f>
        <v>-2.0574859904782632E-3</v>
      </c>
      <c r="J106">
        <f t="shared" si="13"/>
        <v>0.6333333333333333</v>
      </c>
      <c r="K106">
        <f t="shared" si="14"/>
        <v>0.36666666666666664</v>
      </c>
      <c r="L106">
        <f t="shared" si="15"/>
        <v>57</v>
      </c>
      <c r="M106" s="6">
        <f t="shared" si="16"/>
        <v>29.1</v>
      </c>
      <c r="N106" s="13">
        <f t="shared" si="11"/>
        <v>27.786885526936938</v>
      </c>
      <c r="O106" s="6">
        <f t="shared" si="19"/>
        <v>2637.5999999999995</v>
      </c>
      <c r="P106" s="6">
        <f t="shared" si="20"/>
        <v>2623.4460373152947</v>
      </c>
      <c r="Q106" s="6">
        <f t="shared" si="17"/>
        <v>27.786885526936938</v>
      </c>
      <c r="T106" s="6">
        <f t="shared" si="10"/>
        <v>27.786885526936938</v>
      </c>
    </row>
    <row r="107" spans="2:20">
      <c r="B107">
        <f t="shared" si="18"/>
        <v>104</v>
      </c>
      <c r="C107">
        <f t="shared" si="12"/>
        <v>30</v>
      </c>
      <c r="D107">
        <v>92</v>
      </c>
      <c r="E107">
        <v>122</v>
      </c>
      <c r="F107">
        <f>RnSPLINE!H$7</f>
        <v>28</v>
      </c>
      <c r="G107">
        <f>RnSPLINE!H$8</f>
        <v>31</v>
      </c>
      <c r="H107">
        <f>RnSPLINE!M$7</f>
        <v>2.4801406366932875E-2</v>
      </c>
      <c r="I107">
        <f>RnSPLINE!M$8</f>
        <v>-2.0574859904782632E-3</v>
      </c>
      <c r="J107">
        <f t="shared" si="13"/>
        <v>0.6</v>
      </c>
      <c r="K107">
        <f t="shared" si="14"/>
        <v>0.4</v>
      </c>
      <c r="L107">
        <f t="shared" si="15"/>
        <v>58</v>
      </c>
      <c r="M107" s="6">
        <f t="shared" si="16"/>
        <v>29.200000000000003</v>
      </c>
      <c r="N107" s="13">
        <f t="shared" si="11"/>
        <v>27.875136287184773</v>
      </c>
      <c r="O107" s="6">
        <f t="shared" si="19"/>
        <v>2666.7999999999993</v>
      </c>
      <c r="P107" s="6">
        <f t="shared" si="20"/>
        <v>2651.3211736024796</v>
      </c>
      <c r="Q107" s="6">
        <f t="shared" si="17"/>
        <v>27.875136287184773</v>
      </c>
      <c r="T107" s="6">
        <f t="shared" si="10"/>
        <v>27.875136287184773</v>
      </c>
    </row>
    <row r="108" spans="2:20">
      <c r="B108">
        <f t="shared" si="18"/>
        <v>105</v>
      </c>
      <c r="C108">
        <f t="shared" si="12"/>
        <v>30</v>
      </c>
      <c r="D108">
        <v>92</v>
      </c>
      <c r="E108">
        <v>122</v>
      </c>
      <c r="F108">
        <f>RnSPLINE!H$7</f>
        <v>28</v>
      </c>
      <c r="G108">
        <f>RnSPLINE!H$8</f>
        <v>31</v>
      </c>
      <c r="H108">
        <f>RnSPLINE!M$7</f>
        <v>2.4801406366932875E-2</v>
      </c>
      <c r="I108">
        <f>RnSPLINE!M$8</f>
        <v>-2.0574859904782632E-3</v>
      </c>
      <c r="J108">
        <f t="shared" si="13"/>
        <v>0.56666666666666665</v>
      </c>
      <c r="K108">
        <f t="shared" si="14"/>
        <v>0.43333333333333335</v>
      </c>
      <c r="L108">
        <f t="shared" si="15"/>
        <v>59</v>
      </c>
      <c r="M108" s="6">
        <f t="shared" si="16"/>
        <v>29.3</v>
      </c>
      <c r="N108" s="13">
        <f t="shared" si="11"/>
        <v>27.977444896856575</v>
      </c>
      <c r="O108" s="6">
        <f t="shared" si="19"/>
        <v>2696.0999999999995</v>
      </c>
      <c r="P108" s="6">
        <f t="shared" si="20"/>
        <v>2679.298618499336</v>
      </c>
      <c r="Q108" s="6">
        <f t="shared" si="17"/>
        <v>27.977444896856575</v>
      </c>
      <c r="T108" s="6">
        <f t="shared" si="10"/>
        <v>27.977444896856575</v>
      </c>
    </row>
    <row r="109" spans="2:20">
      <c r="B109">
        <f t="shared" si="18"/>
        <v>106</v>
      </c>
      <c r="C109">
        <f t="shared" si="12"/>
        <v>30</v>
      </c>
      <c r="D109">
        <v>92</v>
      </c>
      <c r="E109">
        <v>122</v>
      </c>
      <c r="F109">
        <f>RnSPLINE!H$7</f>
        <v>28</v>
      </c>
      <c r="G109">
        <f>RnSPLINE!H$8</f>
        <v>31</v>
      </c>
      <c r="H109">
        <f>RnSPLINE!M$7</f>
        <v>2.4801406366932875E-2</v>
      </c>
      <c r="I109">
        <f>RnSPLINE!M$8</f>
        <v>-2.0574859904782632E-3</v>
      </c>
      <c r="J109">
        <f t="shared" si="13"/>
        <v>0.53333333333333333</v>
      </c>
      <c r="K109">
        <f t="shared" si="14"/>
        <v>0.46666666666666667</v>
      </c>
      <c r="L109">
        <f t="shared" si="15"/>
        <v>60</v>
      </c>
      <c r="M109" s="6">
        <f t="shared" si="16"/>
        <v>29.4</v>
      </c>
      <c r="N109" s="13">
        <f t="shared" si="11"/>
        <v>28.092916059540428</v>
      </c>
      <c r="O109" s="6">
        <f t="shared" si="19"/>
        <v>2725.4999999999995</v>
      </c>
      <c r="P109" s="6">
        <f t="shared" si="20"/>
        <v>2707.3915345588766</v>
      </c>
      <c r="Q109" s="6">
        <f t="shared" si="17"/>
        <v>28.092916059540428</v>
      </c>
      <c r="T109" s="6">
        <f t="shared" si="10"/>
        <v>28.092916059540428</v>
      </c>
    </row>
    <row r="110" spans="2:20">
      <c r="B110">
        <f t="shared" si="18"/>
        <v>107</v>
      </c>
      <c r="C110">
        <f t="shared" si="12"/>
        <v>30</v>
      </c>
      <c r="D110">
        <v>92</v>
      </c>
      <c r="E110">
        <v>122</v>
      </c>
      <c r="F110">
        <f>RnSPLINE!H$7</f>
        <v>28</v>
      </c>
      <c r="G110">
        <f>RnSPLINE!H$8</f>
        <v>31</v>
      </c>
      <c r="H110">
        <f>RnSPLINE!M$7</f>
        <v>2.4801406366932875E-2</v>
      </c>
      <c r="I110">
        <f>RnSPLINE!M$8</f>
        <v>-2.0574859904782632E-3</v>
      </c>
      <c r="J110">
        <f t="shared" si="13"/>
        <v>0.5</v>
      </c>
      <c r="K110">
        <f t="shared" si="14"/>
        <v>0.5</v>
      </c>
      <c r="L110">
        <f t="shared" si="15"/>
        <v>61</v>
      </c>
      <c r="M110" s="6">
        <f t="shared" si="16"/>
        <v>29.5</v>
      </c>
      <c r="N110" s="13">
        <f t="shared" si="11"/>
        <v>28.220654478824429</v>
      </c>
      <c r="O110" s="6">
        <f t="shared" si="19"/>
        <v>2754.9999999999995</v>
      </c>
      <c r="P110" s="6">
        <f t="shared" si="20"/>
        <v>2735.6121890377012</v>
      </c>
      <c r="Q110" s="6">
        <f t="shared" si="17"/>
        <v>28.220654478824429</v>
      </c>
      <c r="T110" s="6">
        <f t="shared" si="10"/>
        <v>28.220654478824429</v>
      </c>
    </row>
    <row r="111" spans="2:20">
      <c r="B111">
        <f t="shared" si="18"/>
        <v>108</v>
      </c>
      <c r="C111">
        <f t="shared" si="12"/>
        <v>30</v>
      </c>
      <c r="D111">
        <v>92</v>
      </c>
      <c r="E111">
        <v>122</v>
      </c>
      <c r="F111">
        <f>RnSPLINE!H$7</f>
        <v>28</v>
      </c>
      <c r="G111">
        <f>RnSPLINE!H$8</f>
        <v>31</v>
      </c>
      <c r="H111">
        <f>RnSPLINE!M$7</f>
        <v>2.4801406366932875E-2</v>
      </c>
      <c r="I111">
        <f>RnSPLINE!M$8</f>
        <v>-2.0574859904782632E-3</v>
      </c>
      <c r="J111">
        <f t="shared" si="13"/>
        <v>0.46666666666666667</v>
      </c>
      <c r="K111">
        <f t="shared" si="14"/>
        <v>0.53333333333333333</v>
      </c>
      <c r="L111">
        <f t="shared" si="15"/>
        <v>62</v>
      </c>
      <c r="M111" s="6">
        <f t="shared" si="16"/>
        <v>29.599999999999998</v>
      </c>
      <c r="N111" s="13">
        <f t="shared" si="11"/>
        <v>28.35976485829665</v>
      </c>
      <c r="O111" s="6">
        <f t="shared" si="19"/>
        <v>2784.5999999999995</v>
      </c>
      <c r="P111" s="6">
        <f t="shared" si="20"/>
        <v>2763.971953895998</v>
      </c>
      <c r="Q111" s="6">
        <f t="shared" si="17"/>
        <v>28.35976485829665</v>
      </c>
      <c r="T111" s="6">
        <f t="shared" si="10"/>
        <v>28.35976485829665</v>
      </c>
    </row>
    <row r="112" spans="2:20">
      <c r="B112">
        <f t="shared" si="18"/>
        <v>109</v>
      </c>
      <c r="C112">
        <f t="shared" si="12"/>
        <v>30</v>
      </c>
      <c r="D112">
        <v>92</v>
      </c>
      <c r="E112">
        <v>122</v>
      </c>
      <c r="F112">
        <f>RnSPLINE!H$7</f>
        <v>28</v>
      </c>
      <c r="G112">
        <f>RnSPLINE!H$8</f>
        <v>31</v>
      </c>
      <c r="H112">
        <f>RnSPLINE!M$7</f>
        <v>2.4801406366932875E-2</v>
      </c>
      <c r="I112">
        <f>RnSPLINE!M$8</f>
        <v>-2.0574859904782632E-3</v>
      </c>
      <c r="J112">
        <f t="shared" si="13"/>
        <v>0.43333333333333335</v>
      </c>
      <c r="K112">
        <f t="shared" si="14"/>
        <v>0.56666666666666665</v>
      </c>
      <c r="L112">
        <f t="shared" si="15"/>
        <v>63</v>
      </c>
      <c r="M112" s="6">
        <f t="shared" si="16"/>
        <v>29.7</v>
      </c>
      <c r="N112" s="13">
        <f t="shared" si="11"/>
        <v>28.509351901545191</v>
      </c>
      <c r="O112" s="6">
        <f t="shared" si="19"/>
        <v>2814.2999999999993</v>
      </c>
      <c r="P112" s="6">
        <f t="shared" si="20"/>
        <v>2792.4813057975434</v>
      </c>
      <c r="Q112" s="6">
        <f t="shared" si="17"/>
        <v>28.509351901545191</v>
      </c>
      <c r="T112" s="6">
        <f t="shared" si="10"/>
        <v>28.509351901545191</v>
      </c>
    </row>
    <row r="113" spans="1:20">
      <c r="B113">
        <f t="shared" si="18"/>
        <v>110</v>
      </c>
      <c r="C113">
        <f t="shared" si="12"/>
        <v>30</v>
      </c>
      <c r="D113">
        <v>92</v>
      </c>
      <c r="E113">
        <v>122</v>
      </c>
      <c r="F113">
        <f>RnSPLINE!H$7</f>
        <v>28</v>
      </c>
      <c r="G113">
        <f>RnSPLINE!H$8</f>
        <v>31</v>
      </c>
      <c r="H113">
        <f>RnSPLINE!M$7</f>
        <v>2.4801406366932875E-2</v>
      </c>
      <c r="I113">
        <f>RnSPLINE!M$8</f>
        <v>-2.0574859904782632E-3</v>
      </c>
      <c r="J113">
        <f t="shared" si="13"/>
        <v>0.4</v>
      </c>
      <c r="K113">
        <f t="shared" si="14"/>
        <v>0.6</v>
      </c>
      <c r="L113">
        <f t="shared" si="15"/>
        <v>64</v>
      </c>
      <c r="M113" s="6">
        <f t="shared" si="16"/>
        <v>29.799999999999997</v>
      </c>
      <c r="N113" s="13">
        <f t="shared" si="11"/>
        <v>28.66852031215813</v>
      </c>
      <c r="O113" s="6">
        <f t="shared" si="19"/>
        <v>2844.0999999999995</v>
      </c>
      <c r="P113" s="6">
        <f t="shared" si="20"/>
        <v>2821.1498261097017</v>
      </c>
      <c r="Q113" s="6">
        <f t="shared" si="17"/>
        <v>28.66852031215813</v>
      </c>
      <c r="T113" s="6">
        <f t="shared" si="10"/>
        <v>28.66852031215813</v>
      </c>
    </row>
    <row r="114" spans="1:20">
      <c r="B114">
        <f t="shared" si="18"/>
        <v>111</v>
      </c>
      <c r="C114">
        <f t="shared" si="12"/>
        <v>30</v>
      </c>
      <c r="D114">
        <v>92</v>
      </c>
      <c r="E114">
        <v>122</v>
      </c>
      <c r="F114">
        <f>RnSPLINE!H$7</f>
        <v>28</v>
      </c>
      <c r="G114">
        <f>RnSPLINE!H$8</f>
        <v>31</v>
      </c>
      <c r="H114">
        <f>RnSPLINE!M$7</f>
        <v>2.4801406366932875E-2</v>
      </c>
      <c r="I114">
        <f>RnSPLINE!M$8</f>
        <v>-2.0574859904782632E-3</v>
      </c>
      <c r="J114">
        <f t="shared" si="13"/>
        <v>0.36666666666666664</v>
      </c>
      <c r="K114">
        <f t="shared" si="14"/>
        <v>0.6333333333333333</v>
      </c>
      <c r="L114">
        <f t="shared" si="15"/>
        <v>65</v>
      </c>
      <c r="M114" s="6">
        <f t="shared" si="16"/>
        <v>29.9</v>
      </c>
      <c r="N114" s="13">
        <f t="shared" si="11"/>
        <v>28.836374793723554</v>
      </c>
      <c r="O114" s="6">
        <f t="shared" si="19"/>
        <v>2873.9999999999995</v>
      </c>
      <c r="P114" s="6">
        <f t="shared" si="20"/>
        <v>2849.9862009034255</v>
      </c>
      <c r="Q114" s="6">
        <f t="shared" si="17"/>
        <v>28.836374793723554</v>
      </c>
      <c r="T114" s="6">
        <f t="shared" ref="T114:T177" si="21">N114</f>
        <v>28.836374793723554</v>
      </c>
    </row>
    <row r="115" spans="1:20">
      <c r="B115">
        <f t="shared" si="18"/>
        <v>112</v>
      </c>
      <c r="C115">
        <f t="shared" si="12"/>
        <v>30</v>
      </c>
      <c r="D115">
        <v>92</v>
      </c>
      <c r="E115">
        <v>122</v>
      </c>
      <c r="F115">
        <f>RnSPLINE!H$7</f>
        <v>28</v>
      </c>
      <c r="G115">
        <f>RnSPLINE!H$8</f>
        <v>31</v>
      </c>
      <c r="H115">
        <f>RnSPLINE!M$7</f>
        <v>2.4801406366932875E-2</v>
      </c>
      <c r="I115">
        <f>RnSPLINE!M$8</f>
        <v>-2.0574859904782632E-3</v>
      </c>
      <c r="J115">
        <f t="shared" si="13"/>
        <v>0.33333333333333331</v>
      </c>
      <c r="K115">
        <f t="shared" si="14"/>
        <v>0.66666666666666663</v>
      </c>
      <c r="L115">
        <f t="shared" si="15"/>
        <v>66</v>
      </c>
      <c r="M115" s="6">
        <f t="shared" si="16"/>
        <v>29.999999999999996</v>
      </c>
      <c r="N115" s="13">
        <f t="shared" si="11"/>
        <v>29.012020049829552</v>
      </c>
      <c r="O115" s="6">
        <f t="shared" si="19"/>
        <v>2903.9999999999995</v>
      </c>
      <c r="P115" s="6">
        <f t="shared" si="20"/>
        <v>2878.998220953255</v>
      </c>
      <c r="Q115" s="6">
        <f t="shared" si="17"/>
        <v>29.012020049829552</v>
      </c>
      <c r="T115" s="6">
        <f t="shared" si="21"/>
        <v>29.012020049829552</v>
      </c>
    </row>
    <row r="116" spans="1:20">
      <c r="B116">
        <f t="shared" si="18"/>
        <v>113</v>
      </c>
      <c r="C116">
        <f t="shared" si="12"/>
        <v>30</v>
      </c>
      <c r="D116">
        <v>92</v>
      </c>
      <c r="E116">
        <v>122</v>
      </c>
      <c r="F116">
        <f>RnSPLINE!H$7</f>
        <v>28</v>
      </c>
      <c r="G116">
        <f>RnSPLINE!H$8</f>
        <v>31</v>
      </c>
      <c r="H116">
        <f>RnSPLINE!M$7</f>
        <v>2.4801406366932875E-2</v>
      </c>
      <c r="I116">
        <f>RnSPLINE!M$8</f>
        <v>-2.0574859904782632E-3</v>
      </c>
      <c r="J116">
        <f t="shared" si="13"/>
        <v>0.3</v>
      </c>
      <c r="K116">
        <f t="shared" si="14"/>
        <v>0.7</v>
      </c>
      <c r="L116">
        <f t="shared" si="15"/>
        <v>67</v>
      </c>
      <c r="M116" s="6">
        <f t="shared" si="16"/>
        <v>30.1</v>
      </c>
      <c r="N116" s="13">
        <f t="shared" si="11"/>
        <v>29.194560784064212</v>
      </c>
      <c r="O116" s="6">
        <f t="shared" si="19"/>
        <v>2934.0999999999995</v>
      </c>
      <c r="P116" s="6">
        <f t="shared" si="20"/>
        <v>2908.1927817373194</v>
      </c>
      <c r="Q116" s="6">
        <f t="shared" si="17"/>
        <v>29.194560784064212</v>
      </c>
      <c r="T116" s="6">
        <f t="shared" si="21"/>
        <v>29.194560784064212</v>
      </c>
    </row>
    <row r="117" spans="1:20">
      <c r="B117">
        <f t="shared" si="18"/>
        <v>114</v>
      </c>
      <c r="C117">
        <f t="shared" si="12"/>
        <v>30</v>
      </c>
      <c r="D117">
        <v>92</v>
      </c>
      <c r="E117">
        <v>122</v>
      </c>
      <c r="F117">
        <f>RnSPLINE!H$7</f>
        <v>28</v>
      </c>
      <c r="G117">
        <f>RnSPLINE!H$8</f>
        <v>31</v>
      </c>
      <c r="H117">
        <f>RnSPLINE!M$7</f>
        <v>2.4801406366932875E-2</v>
      </c>
      <c r="I117">
        <f>RnSPLINE!M$8</f>
        <v>-2.0574859904782632E-3</v>
      </c>
      <c r="J117">
        <f t="shared" si="13"/>
        <v>0.26666666666666666</v>
      </c>
      <c r="K117">
        <f t="shared" si="14"/>
        <v>0.73333333333333328</v>
      </c>
      <c r="L117">
        <f t="shared" si="15"/>
        <v>68</v>
      </c>
      <c r="M117" s="6">
        <f t="shared" si="16"/>
        <v>30.199999999999996</v>
      </c>
      <c r="N117" s="13">
        <f t="shared" si="11"/>
        <v>29.383101700015608</v>
      </c>
      <c r="O117" s="6">
        <f t="shared" si="19"/>
        <v>2964.2999999999993</v>
      </c>
      <c r="P117" s="6">
        <f t="shared" si="20"/>
        <v>2937.5758834373351</v>
      </c>
      <c r="Q117" s="6">
        <f t="shared" si="17"/>
        <v>29.383101700015608</v>
      </c>
      <c r="T117" s="6">
        <f t="shared" si="21"/>
        <v>29.383101700015608</v>
      </c>
    </row>
    <row r="118" spans="1:20">
      <c r="B118">
        <f t="shared" si="18"/>
        <v>115</v>
      </c>
      <c r="C118">
        <f t="shared" si="12"/>
        <v>30</v>
      </c>
      <c r="D118">
        <v>92</v>
      </c>
      <c r="E118">
        <v>122</v>
      </c>
      <c r="F118">
        <f>RnSPLINE!H$7</f>
        <v>28</v>
      </c>
      <c r="G118">
        <f>RnSPLINE!H$8</f>
        <v>31</v>
      </c>
      <c r="H118">
        <f>RnSPLINE!M$7</f>
        <v>2.4801406366932875E-2</v>
      </c>
      <c r="I118">
        <f>RnSPLINE!M$8</f>
        <v>-2.0574859904782632E-3</v>
      </c>
      <c r="J118">
        <f t="shared" si="13"/>
        <v>0.23333333333333334</v>
      </c>
      <c r="K118">
        <f t="shared" si="14"/>
        <v>0.76666666666666672</v>
      </c>
      <c r="L118">
        <f t="shared" si="15"/>
        <v>69</v>
      </c>
      <c r="M118" s="6">
        <f t="shared" si="16"/>
        <v>30.300000000000004</v>
      </c>
      <c r="N118" s="13">
        <f t="shared" si="11"/>
        <v>29.576747501271846</v>
      </c>
      <c r="O118" s="6">
        <f t="shared" si="19"/>
        <v>2994.5999999999995</v>
      </c>
      <c r="P118" s="6">
        <f t="shared" si="20"/>
        <v>2967.1526309386068</v>
      </c>
      <c r="Q118" s="6">
        <f t="shared" si="17"/>
        <v>29.576747501271846</v>
      </c>
      <c r="T118" s="6">
        <f t="shared" si="21"/>
        <v>29.576747501271846</v>
      </c>
    </row>
    <row r="119" spans="1:20">
      <c r="B119">
        <f t="shared" si="18"/>
        <v>116</v>
      </c>
      <c r="C119">
        <f t="shared" si="12"/>
        <v>30</v>
      </c>
      <c r="D119">
        <v>92</v>
      </c>
      <c r="E119">
        <v>122</v>
      </c>
      <c r="F119">
        <f>RnSPLINE!H$7</f>
        <v>28</v>
      </c>
      <c r="G119">
        <f>RnSPLINE!H$8</f>
        <v>31</v>
      </c>
      <c r="H119">
        <f>RnSPLINE!M$7</f>
        <v>2.4801406366932875E-2</v>
      </c>
      <c r="I119">
        <f>RnSPLINE!M$8</f>
        <v>-2.0574859904782632E-3</v>
      </c>
      <c r="J119">
        <f t="shared" si="13"/>
        <v>0.2</v>
      </c>
      <c r="K119">
        <f t="shared" si="14"/>
        <v>0.8</v>
      </c>
      <c r="L119">
        <f t="shared" si="15"/>
        <v>70</v>
      </c>
      <c r="M119" s="6">
        <f t="shared" si="16"/>
        <v>30.400000000000002</v>
      </c>
      <c r="N119" s="13">
        <f t="shared" ref="N119:N182" si="22">Q119</f>
        <v>29.774602891420997</v>
      </c>
      <c r="O119" s="6">
        <f t="shared" si="19"/>
        <v>3024.9999999999995</v>
      </c>
      <c r="P119" s="6">
        <f t="shared" si="20"/>
        <v>2996.9272338300279</v>
      </c>
      <c r="Q119" s="6">
        <f t="shared" si="17"/>
        <v>29.774602891420997</v>
      </c>
      <c r="T119" s="6">
        <f t="shared" si="21"/>
        <v>29.774602891420997</v>
      </c>
    </row>
    <row r="120" spans="1:20">
      <c r="B120">
        <f t="shared" si="18"/>
        <v>117</v>
      </c>
      <c r="C120">
        <f t="shared" si="12"/>
        <v>30</v>
      </c>
      <c r="D120">
        <v>92</v>
      </c>
      <c r="E120">
        <v>122</v>
      </c>
      <c r="F120">
        <f>RnSPLINE!H$7</f>
        <v>28</v>
      </c>
      <c r="G120">
        <f>RnSPLINE!H$8</f>
        <v>31</v>
      </c>
      <c r="H120">
        <f>RnSPLINE!M$7</f>
        <v>2.4801406366932875E-2</v>
      </c>
      <c r="I120">
        <f>RnSPLINE!M$8</f>
        <v>-2.0574859904782632E-3</v>
      </c>
      <c r="J120">
        <f t="shared" si="13"/>
        <v>0.16666666666666666</v>
      </c>
      <c r="K120">
        <f t="shared" si="14"/>
        <v>0.83333333333333337</v>
      </c>
      <c r="L120">
        <f t="shared" si="15"/>
        <v>71</v>
      </c>
      <c r="M120" s="6">
        <f t="shared" si="16"/>
        <v>30.5</v>
      </c>
      <c r="N120" s="13">
        <f t="shared" si="22"/>
        <v>29.975772574051149</v>
      </c>
      <c r="O120" s="6">
        <f t="shared" si="19"/>
        <v>3055.4999999999995</v>
      </c>
      <c r="P120" s="6">
        <f t="shared" si="20"/>
        <v>3026.903006404079</v>
      </c>
      <c r="Q120" s="6">
        <f t="shared" si="17"/>
        <v>29.975772574051149</v>
      </c>
      <c r="T120" s="6">
        <f t="shared" si="21"/>
        <v>29.975772574051149</v>
      </c>
    </row>
    <row r="121" spans="1:20">
      <c r="B121">
        <f t="shared" si="18"/>
        <v>118</v>
      </c>
      <c r="C121">
        <f t="shared" si="12"/>
        <v>30</v>
      </c>
      <c r="D121">
        <v>92</v>
      </c>
      <c r="E121">
        <v>122</v>
      </c>
      <c r="F121">
        <f>RnSPLINE!H$7</f>
        <v>28</v>
      </c>
      <c r="G121">
        <f>RnSPLINE!H$8</f>
        <v>31</v>
      </c>
      <c r="H121">
        <f>RnSPLINE!M$7</f>
        <v>2.4801406366932875E-2</v>
      </c>
      <c r="I121">
        <f>RnSPLINE!M$8</f>
        <v>-2.0574859904782632E-3</v>
      </c>
      <c r="J121">
        <f t="shared" si="13"/>
        <v>0.13333333333333333</v>
      </c>
      <c r="K121">
        <f t="shared" si="14"/>
        <v>0.8666666666666667</v>
      </c>
      <c r="L121">
        <f t="shared" si="15"/>
        <v>72</v>
      </c>
      <c r="M121" s="6">
        <f t="shared" si="16"/>
        <v>30.6</v>
      </c>
      <c r="N121" s="13">
        <f t="shared" si="22"/>
        <v>30.179361252750393</v>
      </c>
      <c r="O121" s="6">
        <f t="shared" si="19"/>
        <v>3086.0999999999995</v>
      </c>
      <c r="P121" s="6">
        <f t="shared" si="20"/>
        <v>3057.0823676568293</v>
      </c>
      <c r="Q121" s="6">
        <f t="shared" si="17"/>
        <v>30.179361252750393</v>
      </c>
      <c r="T121" s="6">
        <f t="shared" si="21"/>
        <v>30.179361252750393</v>
      </c>
    </row>
    <row r="122" spans="1:20">
      <c r="B122">
        <f t="shared" si="18"/>
        <v>119</v>
      </c>
      <c r="C122">
        <f t="shared" si="12"/>
        <v>30</v>
      </c>
      <c r="D122">
        <v>92</v>
      </c>
      <c r="E122">
        <v>122</v>
      </c>
      <c r="F122">
        <f>RnSPLINE!H$7</f>
        <v>28</v>
      </c>
      <c r="G122">
        <f>RnSPLINE!H$8</f>
        <v>31</v>
      </c>
      <c r="H122">
        <f>RnSPLINE!M$7</f>
        <v>2.4801406366932875E-2</v>
      </c>
      <c r="I122">
        <f>RnSPLINE!M$8</f>
        <v>-2.0574859904782632E-3</v>
      </c>
      <c r="J122">
        <f t="shared" si="13"/>
        <v>0.1</v>
      </c>
      <c r="K122">
        <f t="shared" si="14"/>
        <v>0.9</v>
      </c>
      <c r="L122">
        <f t="shared" si="15"/>
        <v>73</v>
      </c>
      <c r="M122" s="6">
        <f t="shared" si="16"/>
        <v>30.700000000000003</v>
      </c>
      <c r="N122" s="13">
        <f t="shared" si="22"/>
        <v>30.384473631106818</v>
      </c>
      <c r="O122" s="6">
        <f t="shared" si="19"/>
        <v>3116.7999999999993</v>
      </c>
      <c r="P122" s="6">
        <f t="shared" si="20"/>
        <v>3087.4668412879359</v>
      </c>
      <c r="Q122" s="6">
        <f t="shared" si="17"/>
        <v>30.384473631106818</v>
      </c>
      <c r="T122" s="6">
        <f t="shared" si="21"/>
        <v>30.384473631106818</v>
      </c>
    </row>
    <row r="123" spans="1:20">
      <c r="B123">
        <f t="shared" si="18"/>
        <v>120</v>
      </c>
      <c r="C123">
        <f t="shared" si="12"/>
        <v>30</v>
      </c>
      <c r="D123">
        <v>92</v>
      </c>
      <c r="E123">
        <v>122</v>
      </c>
      <c r="F123">
        <f>RnSPLINE!H$7</f>
        <v>28</v>
      </c>
      <c r="G123">
        <f>RnSPLINE!H$8</f>
        <v>31</v>
      </c>
      <c r="H123">
        <f>RnSPLINE!M$7</f>
        <v>2.4801406366932875E-2</v>
      </c>
      <c r="I123">
        <f>RnSPLINE!M$8</f>
        <v>-2.0574859904782632E-3</v>
      </c>
      <c r="J123">
        <f t="shared" si="13"/>
        <v>6.6666666666666666E-2</v>
      </c>
      <c r="K123">
        <f t="shared" si="14"/>
        <v>0.93333333333333335</v>
      </c>
      <c r="L123">
        <f t="shared" si="15"/>
        <v>74</v>
      </c>
      <c r="M123" s="6">
        <f t="shared" si="16"/>
        <v>30.8</v>
      </c>
      <c r="N123" s="13">
        <f t="shared" si="22"/>
        <v>30.590214412708498</v>
      </c>
      <c r="O123" s="6">
        <f t="shared" si="19"/>
        <v>3147.5999999999995</v>
      </c>
      <c r="P123" s="6">
        <f t="shared" si="20"/>
        <v>3118.0570557006445</v>
      </c>
      <c r="Q123" s="6">
        <f t="shared" si="17"/>
        <v>30.590214412708498</v>
      </c>
      <c r="T123" s="6">
        <f t="shared" si="21"/>
        <v>30.590214412708498</v>
      </c>
    </row>
    <row r="124" spans="1:20">
      <c r="B124">
        <f t="shared" si="18"/>
        <v>121</v>
      </c>
      <c r="C124">
        <f t="shared" si="12"/>
        <v>30</v>
      </c>
      <c r="D124">
        <v>92</v>
      </c>
      <c r="E124">
        <v>122</v>
      </c>
      <c r="F124">
        <f>RnSPLINE!H$7</f>
        <v>28</v>
      </c>
      <c r="G124">
        <f>RnSPLINE!H$8</f>
        <v>31</v>
      </c>
      <c r="H124">
        <f>RnSPLINE!M$7</f>
        <v>2.4801406366932875E-2</v>
      </c>
      <c r="I124">
        <f>RnSPLINE!M$8</f>
        <v>-2.0574859904782632E-3</v>
      </c>
      <c r="J124">
        <f t="shared" si="13"/>
        <v>3.3333333333333333E-2</v>
      </c>
      <c r="K124">
        <f t="shared" si="14"/>
        <v>0.96666666666666667</v>
      </c>
      <c r="L124">
        <f t="shared" si="15"/>
        <v>75</v>
      </c>
      <c r="M124" s="6">
        <f t="shared" si="16"/>
        <v>30.900000000000002</v>
      </c>
      <c r="N124" s="13">
        <f t="shared" si="22"/>
        <v>30.795688301143535</v>
      </c>
      <c r="O124" s="6">
        <f t="shared" si="19"/>
        <v>3178.4999999999995</v>
      </c>
      <c r="P124" s="6">
        <f t="shared" si="20"/>
        <v>3148.8527440017879</v>
      </c>
      <c r="Q124" s="6">
        <f t="shared" si="17"/>
        <v>30.795688301143535</v>
      </c>
      <c r="T124" s="6">
        <f t="shared" si="21"/>
        <v>30.795688301143535</v>
      </c>
    </row>
    <row r="125" spans="1:20">
      <c r="A125">
        <v>122</v>
      </c>
      <c r="B125">
        <f t="shared" si="18"/>
        <v>122</v>
      </c>
      <c r="C125">
        <f t="shared" si="12"/>
        <v>30</v>
      </c>
      <c r="D125">
        <v>92</v>
      </c>
      <c r="E125">
        <v>122</v>
      </c>
      <c r="F125">
        <f>RnSPLINE!H$7</f>
        <v>28</v>
      </c>
      <c r="G125">
        <f>RnSPLINE!H$8</f>
        <v>31</v>
      </c>
      <c r="H125">
        <f>RnSPLINE!M$7</f>
        <v>2.4801406366932875E-2</v>
      </c>
      <c r="I125">
        <f>RnSPLINE!M$8</f>
        <v>-2.0574859904782632E-3</v>
      </c>
      <c r="J125">
        <f t="shared" si="13"/>
        <v>0</v>
      </c>
      <c r="K125">
        <f t="shared" si="14"/>
        <v>1</v>
      </c>
      <c r="L125">
        <f t="shared" si="15"/>
        <v>76</v>
      </c>
      <c r="M125" s="6">
        <f t="shared" si="16"/>
        <v>31</v>
      </c>
      <c r="N125" s="13">
        <f t="shared" si="22"/>
        <v>31</v>
      </c>
      <c r="O125" s="6">
        <f t="shared" si="19"/>
        <v>3209.4999999999995</v>
      </c>
      <c r="P125" s="6">
        <f t="shared" si="20"/>
        <v>3179.8527440017879</v>
      </c>
      <c r="Q125" s="6">
        <f t="shared" si="17"/>
        <v>31</v>
      </c>
      <c r="T125" s="6">
        <f t="shared" si="21"/>
        <v>31</v>
      </c>
    </row>
    <row r="126" spans="1:20">
      <c r="B126">
        <f t="shared" si="18"/>
        <v>123</v>
      </c>
      <c r="C126">
        <f t="shared" si="12"/>
        <v>31</v>
      </c>
      <c r="D126">
        <v>122</v>
      </c>
      <c r="E126">
        <v>153</v>
      </c>
      <c r="F126">
        <f>RnSPLINE!H$8</f>
        <v>31</v>
      </c>
      <c r="G126">
        <f>RnSPLINE!H$9</f>
        <v>30</v>
      </c>
      <c r="H126">
        <f>RnSPLINE!M$8</f>
        <v>-2.0574859904782632E-3</v>
      </c>
      <c r="I126">
        <f>RnSPLINE!M$9</f>
        <v>-4.1502493137626204E-2</v>
      </c>
      <c r="J126">
        <f t="shared" si="13"/>
        <v>0.967741935483871</v>
      </c>
      <c r="K126">
        <f t="shared" si="14"/>
        <v>3.2258064516129031E-2</v>
      </c>
      <c r="L126">
        <f t="shared" si="15"/>
        <v>77</v>
      </c>
      <c r="M126" s="6">
        <f t="shared" si="16"/>
        <v>30.967741935483872</v>
      </c>
      <c r="N126" s="13">
        <f t="shared" si="22"/>
        <v>31.202191359003745</v>
      </c>
      <c r="O126" s="6">
        <f t="shared" si="19"/>
        <v>3240.4677419354834</v>
      </c>
      <c r="P126" s="6">
        <f t="shared" si="20"/>
        <v>3211.0549353607917</v>
      </c>
      <c r="Q126" s="6">
        <f t="shared" si="17"/>
        <v>31.202191359003745</v>
      </c>
      <c r="T126" s="6">
        <f t="shared" si="21"/>
        <v>31.202191359003745</v>
      </c>
    </row>
    <row r="127" spans="1:20">
      <c r="B127">
        <f t="shared" si="18"/>
        <v>124</v>
      </c>
      <c r="C127">
        <f t="shared" si="12"/>
        <v>31</v>
      </c>
      <c r="D127">
        <v>122</v>
      </c>
      <c r="E127">
        <v>153</v>
      </c>
      <c r="F127">
        <f>RnSPLINE!H$8</f>
        <v>31</v>
      </c>
      <c r="G127">
        <f>RnSPLINE!H$9</f>
        <v>30</v>
      </c>
      <c r="H127">
        <f>RnSPLINE!M$8</f>
        <v>-2.0574859904782632E-3</v>
      </c>
      <c r="I127">
        <f>RnSPLINE!M$9</f>
        <v>-4.1502493137626204E-2</v>
      </c>
      <c r="J127">
        <f t="shared" si="13"/>
        <v>0.93548387096774188</v>
      </c>
      <c r="K127">
        <f t="shared" si="14"/>
        <v>6.4516129032258063E-2</v>
      </c>
      <c r="L127">
        <f t="shared" si="15"/>
        <v>78</v>
      </c>
      <c r="M127" s="6">
        <f t="shared" si="16"/>
        <v>30.935483870967744</v>
      </c>
      <c r="N127" s="13">
        <f t="shared" si="22"/>
        <v>31.401052812431619</v>
      </c>
      <c r="O127" s="6">
        <f t="shared" si="19"/>
        <v>3271.4032258064512</v>
      </c>
      <c r="P127" s="6">
        <f t="shared" si="20"/>
        <v>3242.4559881732234</v>
      </c>
      <c r="Q127" s="6">
        <f t="shared" si="17"/>
        <v>31.401052812431619</v>
      </c>
      <c r="T127" s="6">
        <f t="shared" si="21"/>
        <v>31.401052812431619</v>
      </c>
    </row>
    <row r="128" spans="1:20">
      <c r="B128">
        <f t="shared" si="18"/>
        <v>125</v>
      </c>
      <c r="C128">
        <f t="shared" si="12"/>
        <v>31</v>
      </c>
      <c r="D128">
        <v>122</v>
      </c>
      <c r="E128">
        <v>153</v>
      </c>
      <c r="F128">
        <f>RnSPLINE!H$8</f>
        <v>31</v>
      </c>
      <c r="G128">
        <f>RnSPLINE!H$9</f>
        <v>30</v>
      </c>
      <c r="H128">
        <f>RnSPLINE!M$8</f>
        <v>-2.0574859904782632E-3</v>
      </c>
      <c r="I128">
        <f>RnSPLINE!M$9</f>
        <v>-4.1502493137626204E-2</v>
      </c>
      <c r="J128">
        <f t="shared" si="13"/>
        <v>0.90322580645161288</v>
      </c>
      <c r="K128">
        <f t="shared" si="14"/>
        <v>9.6774193548387094E-2</v>
      </c>
      <c r="L128">
        <f t="shared" si="15"/>
        <v>79</v>
      </c>
      <c r="M128" s="6">
        <f t="shared" si="16"/>
        <v>30.903225806451612</v>
      </c>
      <c r="N128" s="13">
        <f t="shared" si="22"/>
        <v>31.595311940698227</v>
      </c>
      <c r="O128" s="6">
        <f t="shared" si="19"/>
        <v>3302.3064516129029</v>
      </c>
      <c r="P128" s="6">
        <f t="shared" si="20"/>
        <v>3274.0513001139216</v>
      </c>
      <c r="Q128" s="6">
        <f t="shared" si="17"/>
        <v>31.595311940698227</v>
      </c>
      <c r="T128" s="6">
        <f t="shared" si="21"/>
        <v>31.595311940698227</v>
      </c>
    </row>
    <row r="129" spans="2:20">
      <c r="B129">
        <f t="shared" si="18"/>
        <v>126</v>
      </c>
      <c r="C129">
        <f t="shared" si="12"/>
        <v>31</v>
      </c>
      <c r="D129">
        <v>122</v>
      </c>
      <c r="E129">
        <v>153</v>
      </c>
      <c r="F129">
        <f>RnSPLINE!H$8</f>
        <v>31</v>
      </c>
      <c r="G129">
        <f>RnSPLINE!H$9</f>
        <v>30</v>
      </c>
      <c r="H129">
        <f>RnSPLINE!M$8</f>
        <v>-2.0574859904782632E-3</v>
      </c>
      <c r="I129">
        <f>RnSPLINE!M$9</f>
        <v>-4.1502493137626204E-2</v>
      </c>
      <c r="J129">
        <f t="shared" si="13"/>
        <v>0.87096774193548387</v>
      </c>
      <c r="K129">
        <f t="shared" si="14"/>
        <v>0.12903225806451613</v>
      </c>
      <c r="L129">
        <f t="shared" si="15"/>
        <v>80</v>
      </c>
      <c r="M129" s="6">
        <f t="shared" si="16"/>
        <v>30.870967741935484</v>
      </c>
      <c r="N129" s="13">
        <f t="shared" si="22"/>
        <v>31.783696324218187</v>
      </c>
      <c r="O129" s="6">
        <f t="shared" si="19"/>
        <v>3333.1774193548385</v>
      </c>
      <c r="P129" s="6">
        <f t="shared" si="20"/>
        <v>3305.8349964381396</v>
      </c>
      <c r="Q129" s="6">
        <f t="shared" si="17"/>
        <v>31.783696324218187</v>
      </c>
      <c r="T129" s="6">
        <f t="shared" si="21"/>
        <v>31.783696324218187</v>
      </c>
    </row>
    <row r="130" spans="2:20">
      <c r="B130">
        <f t="shared" si="18"/>
        <v>127</v>
      </c>
      <c r="C130">
        <f t="shared" si="12"/>
        <v>31</v>
      </c>
      <c r="D130">
        <v>122</v>
      </c>
      <c r="E130">
        <v>153</v>
      </c>
      <c r="F130">
        <f>RnSPLINE!H$8</f>
        <v>31</v>
      </c>
      <c r="G130">
        <f>RnSPLINE!H$9</f>
        <v>30</v>
      </c>
      <c r="H130">
        <f>RnSPLINE!M$8</f>
        <v>-2.0574859904782632E-3</v>
      </c>
      <c r="I130">
        <f>RnSPLINE!M$9</f>
        <v>-4.1502493137626204E-2</v>
      </c>
      <c r="J130">
        <f t="shared" si="13"/>
        <v>0.83870967741935487</v>
      </c>
      <c r="K130">
        <f t="shared" si="14"/>
        <v>0.16129032258064516</v>
      </c>
      <c r="L130">
        <f t="shared" si="15"/>
        <v>81</v>
      </c>
      <c r="M130" s="6">
        <f t="shared" si="16"/>
        <v>30.838709677419356</v>
      </c>
      <c r="N130" s="13">
        <f t="shared" si="22"/>
        <v>31.964933543406101</v>
      </c>
      <c r="O130" s="6">
        <f t="shared" si="19"/>
        <v>3364.016129032258</v>
      </c>
      <c r="P130" s="6">
        <f t="shared" si="20"/>
        <v>3337.7999299815456</v>
      </c>
      <c r="Q130" s="6">
        <f t="shared" si="17"/>
        <v>31.964933543406101</v>
      </c>
      <c r="T130" s="6">
        <f t="shared" si="21"/>
        <v>31.964933543406101</v>
      </c>
    </row>
    <row r="131" spans="2:20">
      <c r="B131">
        <f t="shared" si="18"/>
        <v>128</v>
      </c>
      <c r="C131">
        <f t="shared" si="12"/>
        <v>31</v>
      </c>
      <c r="D131">
        <v>122</v>
      </c>
      <c r="E131">
        <v>153</v>
      </c>
      <c r="F131">
        <f>RnSPLINE!H$8</f>
        <v>31</v>
      </c>
      <c r="G131">
        <f>RnSPLINE!H$9</f>
        <v>30</v>
      </c>
      <c r="H131">
        <f>RnSPLINE!M$8</f>
        <v>-2.0574859904782632E-3</v>
      </c>
      <c r="I131">
        <f>RnSPLINE!M$9</f>
        <v>-4.1502493137626204E-2</v>
      </c>
      <c r="J131">
        <f t="shared" si="13"/>
        <v>0.80645161290322576</v>
      </c>
      <c r="K131">
        <f t="shared" si="14"/>
        <v>0.19354838709677419</v>
      </c>
      <c r="L131">
        <f t="shared" si="15"/>
        <v>82</v>
      </c>
      <c r="M131" s="6">
        <f t="shared" si="16"/>
        <v>30.806451612903224</v>
      </c>
      <c r="N131" s="13">
        <f t="shared" si="22"/>
        <v>32.137751178676574</v>
      </c>
      <c r="O131" s="6">
        <f t="shared" si="19"/>
        <v>3394.8225806451615</v>
      </c>
      <c r="P131" s="6">
        <f t="shared" si="20"/>
        <v>3369.9376811602219</v>
      </c>
      <c r="Q131" s="6">
        <f t="shared" si="17"/>
        <v>32.137751178676574</v>
      </c>
      <c r="T131" s="6">
        <f t="shared" si="21"/>
        <v>32.137751178676574</v>
      </c>
    </row>
    <row r="132" spans="2:20">
      <c r="B132">
        <f t="shared" si="18"/>
        <v>129</v>
      </c>
      <c r="C132">
        <f t="shared" ref="C132:C195" si="23">E132-D132</f>
        <v>31</v>
      </c>
      <c r="D132">
        <v>122</v>
      </c>
      <c r="E132">
        <v>153</v>
      </c>
      <c r="F132">
        <f>RnSPLINE!H$8</f>
        <v>31</v>
      </c>
      <c r="G132">
        <f>RnSPLINE!H$9</f>
        <v>30</v>
      </c>
      <c r="H132">
        <f>RnSPLINE!M$8</f>
        <v>-2.0574859904782632E-3</v>
      </c>
      <c r="I132">
        <f>RnSPLINE!M$9</f>
        <v>-4.1502493137626204E-2</v>
      </c>
      <c r="J132">
        <f t="shared" ref="J132:J195" si="24">(E132-B132)/C132</f>
        <v>0.77419354838709675</v>
      </c>
      <c r="K132">
        <f t="shared" ref="K132:K195" si="25">(B132-D132)/C132</f>
        <v>0.22580645161290322</v>
      </c>
      <c r="L132">
        <f t="shared" ref="L132:L195" si="26">B132-46</f>
        <v>83</v>
      </c>
      <c r="M132" s="6">
        <f t="shared" ref="M132:M195" si="27">J132*F132+K132*G132</f>
        <v>30.774193548387096</v>
      </c>
      <c r="N132" s="13">
        <f t="shared" si="22"/>
        <v>32.300876810444223</v>
      </c>
      <c r="O132" s="6">
        <f t="shared" si="19"/>
        <v>3425.5967741935488</v>
      </c>
      <c r="P132" s="6">
        <f t="shared" si="20"/>
        <v>3402.2385579706661</v>
      </c>
      <c r="Q132" s="6">
        <f t="shared" ref="Q132:Q195" si="28">M132+(((J132^3-J132)*H132+(K132^3-K132)*I132))*(C132^2)/6</f>
        <v>32.300876810444223</v>
      </c>
      <c r="T132" s="6">
        <f t="shared" si="21"/>
        <v>32.300876810444223</v>
      </c>
    </row>
    <row r="133" spans="2:20">
      <c r="B133">
        <f t="shared" ref="B133:B196" si="29">B132+1</f>
        <v>130</v>
      </c>
      <c r="C133">
        <f t="shared" si="23"/>
        <v>31</v>
      </c>
      <c r="D133">
        <v>122</v>
      </c>
      <c r="E133">
        <v>153</v>
      </c>
      <c r="F133">
        <f>RnSPLINE!H$8</f>
        <v>31</v>
      </c>
      <c r="G133">
        <f>RnSPLINE!H$9</f>
        <v>30</v>
      </c>
      <c r="H133">
        <f>RnSPLINE!M$8</f>
        <v>-2.0574859904782632E-3</v>
      </c>
      <c r="I133">
        <f>RnSPLINE!M$9</f>
        <v>-4.1502493137626204E-2</v>
      </c>
      <c r="J133">
        <f t="shared" si="24"/>
        <v>0.74193548387096775</v>
      </c>
      <c r="K133">
        <f t="shared" si="25"/>
        <v>0.25806451612903225</v>
      </c>
      <c r="L133">
        <f t="shared" si="26"/>
        <v>84</v>
      </c>
      <c r="M133" s="6">
        <f t="shared" si="27"/>
        <v>30.741935483870968</v>
      </c>
      <c r="N133" s="13">
        <f t="shared" si="22"/>
        <v>32.453038019123646</v>
      </c>
      <c r="O133" s="6">
        <f t="shared" ref="O133:O196" si="30">O132+M133</f>
        <v>3456.3387096774195</v>
      </c>
      <c r="P133" s="6">
        <f t="shared" ref="P133:P196" si="31">P132+N133</f>
        <v>3434.6915959897897</v>
      </c>
      <c r="Q133" s="6">
        <f t="shared" si="28"/>
        <v>32.453038019123646</v>
      </c>
      <c r="T133" s="6">
        <f t="shared" si="21"/>
        <v>32.453038019123646</v>
      </c>
    </row>
    <row r="134" spans="2:20">
      <c r="B134">
        <f t="shared" si="29"/>
        <v>131</v>
      </c>
      <c r="C134">
        <f t="shared" si="23"/>
        <v>31</v>
      </c>
      <c r="D134">
        <v>122</v>
      </c>
      <c r="E134">
        <v>153</v>
      </c>
      <c r="F134">
        <f>RnSPLINE!H$8</f>
        <v>31</v>
      </c>
      <c r="G134">
        <f>RnSPLINE!H$9</f>
        <v>30</v>
      </c>
      <c r="H134">
        <f>RnSPLINE!M$8</f>
        <v>-2.0574859904782632E-3</v>
      </c>
      <c r="I134">
        <f>RnSPLINE!M$9</f>
        <v>-4.1502493137626204E-2</v>
      </c>
      <c r="J134">
        <f t="shared" si="24"/>
        <v>0.70967741935483875</v>
      </c>
      <c r="K134">
        <f t="shared" si="25"/>
        <v>0.29032258064516131</v>
      </c>
      <c r="L134">
        <f t="shared" si="26"/>
        <v>85</v>
      </c>
      <c r="M134" s="6">
        <f t="shared" si="27"/>
        <v>30.70967741935484</v>
      </c>
      <c r="N134" s="13">
        <f t="shared" si="22"/>
        <v>32.592962385129454</v>
      </c>
      <c r="O134" s="6">
        <f t="shared" si="30"/>
        <v>3487.0483870967741</v>
      </c>
      <c r="P134" s="6">
        <f t="shared" si="31"/>
        <v>3467.284558374919</v>
      </c>
      <c r="Q134" s="6">
        <f t="shared" si="28"/>
        <v>32.592962385129454</v>
      </c>
      <c r="T134" s="6">
        <f t="shared" si="21"/>
        <v>32.592962385129454</v>
      </c>
    </row>
    <row r="135" spans="2:20">
      <c r="B135">
        <f t="shared" si="29"/>
        <v>132</v>
      </c>
      <c r="C135">
        <f t="shared" si="23"/>
        <v>31</v>
      </c>
      <c r="D135">
        <v>122</v>
      </c>
      <c r="E135">
        <v>153</v>
      </c>
      <c r="F135">
        <f>RnSPLINE!H$8</f>
        <v>31</v>
      </c>
      <c r="G135">
        <f>RnSPLINE!H$9</f>
        <v>30</v>
      </c>
      <c r="H135">
        <f>RnSPLINE!M$8</f>
        <v>-2.0574859904782632E-3</v>
      </c>
      <c r="I135">
        <f>RnSPLINE!M$9</f>
        <v>-4.1502493137626204E-2</v>
      </c>
      <c r="J135">
        <f t="shared" si="24"/>
        <v>0.67741935483870963</v>
      </c>
      <c r="K135">
        <f t="shared" si="25"/>
        <v>0.32258064516129031</v>
      </c>
      <c r="L135">
        <f t="shared" si="26"/>
        <v>86</v>
      </c>
      <c r="M135" s="6">
        <f t="shared" si="27"/>
        <v>30.677419354838712</v>
      </c>
      <c r="N135" s="13">
        <f t="shared" si="22"/>
        <v>32.719377488876262</v>
      </c>
      <c r="O135" s="6">
        <f t="shared" si="30"/>
        <v>3517.7258064516127</v>
      </c>
      <c r="P135" s="6">
        <f t="shared" si="31"/>
        <v>3500.003935863795</v>
      </c>
      <c r="Q135" s="6">
        <f t="shared" si="28"/>
        <v>32.719377488876262</v>
      </c>
      <c r="T135" s="6">
        <f t="shared" si="21"/>
        <v>32.719377488876262</v>
      </c>
    </row>
    <row r="136" spans="2:20">
      <c r="B136">
        <f t="shared" si="29"/>
        <v>133</v>
      </c>
      <c r="C136">
        <f t="shared" si="23"/>
        <v>31</v>
      </c>
      <c r="D136">
        <v>122</v>
      </c>
      <c r="E136">
        <v>153</v>
      </c>
      <c r="F136">
        <f>RnSPLINE!H$8</f>
        <v>31</v>
      </c>
      <c r="G136">
        <f>RnSPLINE!H$9</f>
        <v>30</v>
      </c>
      <c r="H136">
        <f>RnSPLINE!M$8</f>
        <v>-2.0574859904782632E-3</v>
      </c>
      <c r="I136">
        <f>RnSPLINE!M$9</f>
        <v>-4.1502493137626204E-2</v>
      </c>
      <c r="J136">
        <f t="shared" si="24"/>
        <v>0.64516129032258063</v>
      </c>
      <c r="K136">
        <f t="shared" si="25"/>
        <v>0.35483870967741937</v>
      </c>
      <c r="L136">
        <f t="shared" si="26"/>
        <v>87</v>
      </c>
      <c r="M136" s="6">
        <f t="shared" si="27"/>
        <v>30.645161290322584</v>
      </c>
      <c r="N136" s="13">
        <f t="shared" si="22"/>
        <v>32.831010910778673</v>
      </c>
      <c r="O136" s="6">
        <f t="shared" si="30"/>
        <v>3548.3709677419351</v>
      </c>
      <c r="P136" s="6">
        <f t="shared" si="31"/>
        <v>3532.8349467745738</v>
      </c>
      <c r="Q136" s="6">
        <f t="shared" si="28"/>
        <v>32.831010910778673</v>
      </c>
      <c r="T136" s="6">
        <f t="shared" si="21"/>
        <v>32.831010910778673</v>
      </c>
    </row>
    <row r="137" spans="2:20">
      <c r="B137">
        <f t="shared" si="29"/>
        <v>134</v>
      </c>
      <c r="C137">
        <f t="shared" si="23"/>
        <v>31</v>
      </c>
      <c r="D137">
        <v>122</v>
      </c>
      <c r="E137">
        <v>153</v>
      </c>
      <c r="F137">
        <f>RnSPLINE!H$8</f>
        <v>31</v>
      </c>
      <c r="G137">
        <f>RnSPLINE!H$9</f>
        <v>30</v>
      </c>
      <c r="H137">
        <f>RnSPLINE!M$8</f>
        <v>-2.0574859904782632E-3</v>
      </c>
      <c r="I137">
        <f>RnSPLINE!M$9</f>
        <v>-4.1502493137626204E-2</v>
      </c>
      <c r="J137">
        <f t="shared" si="24"/>
        <v>0.61290322580645162</v>
      </c>
      <c r="K137">
        <f t="shared" si="25"/>
        <v>0.38709677419354838</v>
      </c>
      <c r="L137">
        <f t="shared" si="26"/>
        <v>88</v>
      </c>
      <c r="M137" s="6">
        <f t="shared" si="27"/>
        <v>30.612903225806452</v>
      </c>
      <c r="N137" s="13">
        <f t="shared" si="22"/>
        <v>32.926590231251289</v>
      </c>
      <c r="O137" s="6">
        <f t="shared" si="30"/>
        <v>3578.9838709677415</v>
      </c>
      <c r="P137" s="6">
        <f t="shared" si="31"/>
        <v>3565.7615370058252</v>
      </c>
      <c r="Q137" s="6">
        <f t="shared" si="28"/>
        <v>32.926590231251289</v>
      </c>
      <c r="T137" s="6">
        <f t="shared" si="21"/>
        <v>32.926590231251289</v>
      </c>
    </row>
    <row r="138" spans="2:20">
      <c r="B138">
        <f t="shared" si="29"/>
        <v>135</v>
      </c>
      <c r="C138">
        <f t="shared" si="23"/>
        <v>31</v>
      </c>
      <c r="D138">
        <v>122</v>
      </c>
      <c r="E138">
        <v>153</v>
      </c>
      <c r="F138">
        <f>RnSPLINE!H$8</f>
        <v>31</v>
      </c>
      <c r="G138">
        <f>RnSPLINE!H$9</f>
        <v>30</v>
      </c>
      <c r="H138">
        <f>RnSPLINE!M$8</f>
        <v>-2.0574859904782632E-3</v>
      </c>
      <c r="I138">
        <f>RnSPLINE!M$9</f>
        <v>-4.1502493137626204E-2</v>
      </c>
      <c r="J138">
        <f t="shared" si="24"/>
        <v>0.58064516129032262</v>
      </c>
      <c r="K138">
        <f t="shared" si="25"/>
        <v>0.41935483870967744</v>
      </c>
      <c r="L138">
        <f t="shared" si="26"/>
        <v>89</v>
      </c>
      <c r="M138" s="6">
        <f t="shared" si="27"/>
        <v>30.580645161290324</v>
      </c>
      <c r="N138" s="13">
        <f t="shared" si="22"/>
        <v>33.004843030708727</v>
      </c>
      <c r="O138" s="6">
        <f t="shared" si="30"/>
        <v>3609.5645161290317</v>
      </c>
      <c r="P138" s="6">
        <f t="shared" si="31"/>
        <v>3598.766380036534</v>
      </c>
      <c r="Q138" s="6">
        <f t="shared" si="28"/>
        <v>33.004843030708727</v>
      </c>
      <c r="T138" s="6">
        <f t="shared" si="21"/>
        <v>33.004843030708727</v>
      </c>
    </row>
    <row r="139" spans="2:20">
      <c r="B139">
        <f t="shared" si="29"/>
        <v>136</v>
      </c>
      <c r="C139">
        <f t="shared" si="23"/>
        <v>31</v>
      </c>
      <c r="D139">
        <v>122</v>
      </c>
      <c r="E139">
        <v>153</v>
      </c>
      <c r="F139">
        <f>RnSPLINE!H$8</f>
        <v>31</v>
      </c>
      <c r="G139">
        <f>RnSPLINE!H$9</f>
        <v>30</v>
      </c>
      <c r="H139">
        <f>RnSPLINE!M$8</f>
        <v>-2.0574859904782632E-3</v>
      </c>
      <c r="I139">
        <f>RnSPLINE!M$9</f>
        <v>-4.1502493137626204E-2</v>
      </c>
      <c r="J139">
        <f t="shared" si="24"/>
        <v>0.54838709677419351</v>
      </c>
      <c r="K139">
        <f t="shared" si="25"/>
        <v>0.45161290322580644</v>
      </c>
      <c r="L139">
        <f t="shared" si="26"/>
        <v>90</v>
      </c>
      <c r="M139" s="6">
        <f t="shared" si="27"/>
        <v>30.548387096774192</v>
      </c>
      <c r="N139" s="13">
        <f t="shared" si="22"/>
        <v>33.064496889565589</v>
      </c>
      <c r="O139" s="6">
        <f t="shared" si="30"/>
        <v>3640.1129032258059</v>
      </c>
      <c r="P139" s="6">
        <f t="shared" si="31"/>
        <v>3631.8308769260993</v>
      </c>
      <c r="Q139" s="6">
        <f t="shared" si="28"/>
        <v>33.064496889565589</v>
      </c>
      <c r="T139" s="6">
        <f t="shared" si="21"/>
        <v>33.064496889565589</v>
      </c>
    </row>
    <row r="140" spans="2:20">
      <c r="B140">
        <f t="shared" si="29"/>
        <v>137</v>
      </c>
      <c r="C140">
        <f t="shared" si="23"/>
        <v>31</v>
      </c>
      <c r="D140">
        <v>122</v>
      </c>
      <c r="E140">
        <v>153</v>
      </c>
      <c r="F140">
        <f>RnSPLINE!H$8</f>
        <v>31</v>
      </c>
      <c r="G140">
        <f>RnSPLINE!H$9</f>
        <v>30</v>
      </c>
      <c r="H140">
        <f>RnSPLINE!M$8</f>
        <v>-2.0574859904782632E-3</v>
      </c>
      <c r="I140">
        <f>RnSPLINE!M$9</f>
        <v>-4.1502493137626204E-2</v>
      </c>
      <c r="J140">
        <f t="shared" si="24"/>
        <v>0.5161290322580645</v>
      </c>
      <c r="K140">
        <f t="shared" si="25"/>
        <v>0.4838709677419355</v>
      </c>
      <c r="L140">
        <f t="shared" si="26"/>
        <v>91</v>
      </c>
      <c r="M140" s="6">
        <f t="shared" si="27"/>
        <v>30.516129032258064</v>
      </c>
      <c r="N140" s="13">
        <f t="shared" si="22"/>
        <v>33.104279388236492</v>
      </c>
      <c r="O140" s="6">
        <f t="shared" si="30"/>
        <v>3670.6290322580639</v>
      </c>
      <c r="P140" s="6">
        <f t="shared" si="31"/>
        <v>3664.9351563143359</v>
      </c>
      <c r="Q140" s="6">
        <f t="shared" si="28"/>
        <v>33.104279388236492</v>
      </c>
      <c r="T140" s="6">
        <f t="shared" si="21"/>
        <v>33.104279388236492</v>
      </c>
    </row>
    <row r="141" spans="2:20">
      <c r="B141">
        <f t="shared" si="29"/>
        <v>138</v>
      </c>
      <c r="C141">
        <f t="shared" si="23"/>
        <v>31</v>
      </c>
      <c r="D141">
        <v>122</v>
      </c>
      <c r="E141">
        <v>153</v>
      </c>
      <c r="F141">
        <f>RnSPLINE!H$8</f>
        <v>31</v>
      </c>
      <c r="G141">
        <f>RnSPLINE!H$9</f>
        <v>30</v>
      </c>
      <c r="H141">
        <f>RnSPLINE!M$8</f>
        <v>-2.0574859904782632E-3</v>
      </c>
      <c r="I141">
        <f>RnSPLINE!M$9</f>
        <v>-4.1502493137626204E-2</v>
      </c>
      <c r="J141">
        <f t="shared" si="24"/>
        <v>0.4838709677419355</v>
      </c>
      <c r="K141">
        <f t="shared" si="25"/>
        <v>0.5161290322580645</v>
      </c>
      <c r="L141">
        <f t="shared" si="26"/>
        <v>92</v>
      </c>
      <c r="M141" s="6">
        <f t="shared" si="27"/>
        <v>30.483870967741936</v>
      </c>
      <c r="N141" s="13">
        <f t="shared" si="22"/>
        <v>33.122918107136044</v>
      </c>
      <c r="O141" s="6">
        <f t="shared" si="30"/>
        <v>3701.1129032258059</v>
      </c>
      <c r="P141" s="6">
        <f t="shared" si="31"/>
        <v>3698.0580744214722</v>
      </c>
      <c r="Q141" s="6">
        <f t="shared" si="28"/>
        <v>33.122918107136044</v>
      </c>
      <c r="T141" s="6">
        <f t="shared" si="21"/>
        <v>33.122918107136044</v>
      </c>
    </row>
    <row r="142" spans="2:20">
      <c r="B142">
        <f t="shared" si="29"/>
        <v>139</v>
      </c>
      <c r="C142">
        <f t="shared" si="23"/>
        <v>31</v>
      </c>
      <c r="D142">
        <v>122</v>
      </c>
      <c r="E142">
        <v>153</v>
      </c>
      <c r="F142">
        <f>RnSPLINE!H$8</f>
        <v>31</v>
      </c>
      <c r="G142">
        <f>RnSPLINE!H$9</f>
        <v>30</v>
      </c>
      <c r="H142">
        <f>RnSPLINE!M$8</f>
        <v>-2.0574859904782632E-3</v>
      </c>
      <c r="I142">
        <f>RnSPLINE!M$9</f>
        <v>-4.1502493137626204E-2</v>
      </c>
      <c r="J142">
        <f t="shared" si="24"/>
        <v>0.45161290322580644</v>
      </c>
      <c r="K142">
        <f t="shared" si="25"/>
        <v>0.54838709677419351</v>
      </c>
      <c r="L142">
        <f t="shared" si="26"/>
        <v>93</v>
      </c>
      <c r="M142" s="6">
        <f t="shared" si="27"/>
        <v>30.451612903225804</v>
      </c>
      <c r="N142" s="13">
        <f t="shared" si="22"/>
        <v>33.119140626678835</v>
      </c>
      <c r="O142" s="6">
        <f t="shared" si="30"/>
        <v>3731.5645161290317</v>
      </c>
      <c r="P142" s="6">
        <f t="shared" si="31"/>
        <v>3731.1772150481511</v>
      </c>
      <c r="Q142" s="6">
        <f t="shared" si="28"/>
        <v>33.119140626678835</v>
      </c>
      <c r="T142" s="6">
        <f t="shared" si="21"/>
        <v>33.119140626678835</v>
      </c>
    </row>
    <row r="143" spans="2:20">
      <c r="B143">
        <f t="shared" si="29"/>
        <v>140</v>
      </c>
      <c r="C143">
        <f t="shared" si="23"/>
        <v>31</v>
      </c>
      <c r="D143">
        <v>122</v>
      </c>
      <c r="E143">
        <v>153</v>
      </c>
      <c r="F143">
        <f>RnSPLINE!H$8</f>
        <v>31</v>
      </c>
      <c r="G143">
        <f>RnSPLINE!H$9</f>
        <v>30</v>
      </c>
      <c r="H143">
        <f>RnSPLINE!M$8</f>
        <v>-2.0574859904782632E-3</v>
      </c>
      <c r="I143">
        <f>RnSPLINE!M$9</f>
        <v>-4.1502493137626204E-2</v>
      </c>
      <c r="J143">
        <f t="shared" si="24"/>
        <v>0.41935483870967744</v>
      </c>
      <c r="K143">
        <f t="shared" si="25"/>
        <v>0.58064516129032262</v>
      </c>
      <c r="L143">
        <f t="shared" si="26"/>
        <v>94</v>
      </c>
      <c r="M143" s="6">
        <f t="shared" si="27"/>
        <v>30.41935483870968</v>
      </c>
      <c r="N143" s="13">
        <f t="shared" si="22"/>
        <v>33.091674527279494</v>
      </c>
      <c r="O143" s="6">
        <f t="shared" si="30"/>
        <v>3761.9838709677415</v>
      </c>
      <c r="P143" s="6">
        <f t="shared" si="31"/>
        <v>3764.2688895754304</v>
      </c>
      <c r="Q143" s="6">
        <f t="shared" si="28"/>
        <v>33.091674527279494</v>
      </c>
      <c r="T143" s="6">
        <f t="shared" si="21"/>
        <v>33.091674527279494</v>
      </c>
    </row>
    <row r="144" spans="2:20">
      <c r="B144">
        <f t="shared" si="29"/>
        <v>141</v>
      </c>
      <c r="C144">
        <f t="shared" si="23"/>
        <v>31</v>
      </c>
      <c r="D144">
        <v>122</v>
      </c>
      <c r="E144">
        <v>153</v>
      </c>
      <c r="F144">
        <f>RnSPLINE!H$8</f>
        <v>31</v>
      </c>
      <c r="G144">
        <f>RnSPLINE!H$9</f>
        <v>30</v>
      </c>
      <c r="H144">
        <f>RnSPLINE!M$8</f>
        <v>-2.0574859904782632E-3</v>
      </c>
      <c r="I144">
        <f>RnSPLINE!M$9</f>
        <v>-4.1502493137626204E-2</v>
      </c>
      <c r="J144">
        <f t="shared" si="24"/>
        <v>0.38709677419354838</v>
      </c>
      <c r="K144">
        <f t="shared" si="25"/>
        <v>0.61290322580645162</v>
      </c>
      <c r="L144">
        <f t="shared" si="26"/>
        <v>95</v>
      </c>
      <c r="M144" s="6">
        <f t="shared" si="27"/>
        <v>30.387096774193548</v>
      </c>
      <c r="N144" s="13">
        <f t="shared" si="22"/>
        <v>33.039247389352624</v>
      </c>
      <c r="O144" s="6">
        <f t="shared" si="30"/>
        <v>3792.3709677419351</v>
      </c>
      <c r="P144" s="6">
        <f t="shared" si="31"/>
        <v>3797.308136964783</v>
      </c>
      <c r="Q144" s="6">
        <f t="shared" si="28"/>
        <v>33.039247389352624</v>
      </c>
      <c r="T144" s="6">
        <f t="shared" si="21"/>
        <v>33.039247389352624</v>
      </c>
    </row>
    <row r="145" spans="1:20">
      <c r="B145">
        <f t="shared" si="29"/>
        <v>142</v>
      </c>
      <c r="C145">
        <f t="shared" si="23"/>
        <v>31</v>
      </c>
      <c r="D145">
        <v>122</v>
      </c>
      <c r="E145">
        <v>153</v>
      </c>
      <c r="F145">
        <f>RnSPLINE!H$8</f>
        <v>31</v>
      </c>
      <c r="G145">
        <f>RnSPLINE!H$9</f>
        <v>30</v>
      </c>
      <c r="H145">
        <f>RnSPLINE!M$8</f>
        <v>-2.0574859904782632E-3</v>
      </c>
      <c r="I145">
        <f>RnSPLINE!M$9</f>
        <v>-4.1502493137626204E-2</v>
      </c>
      <c r="J145">
        <f t="shared" si="24"/>
        <v>0.35483870967741937</v>
      </c>
      <c r="K145">
        <f t="shared" si="25"/>
        <v>0.64516129032258063</v>
      </c>
      <c r="L145">
        <f t="shared" si="26"/>
        <v>96</v>
      </c>
      <c r="M145" s="6">
        <f t="shared" si="27"/>
        <v>30.35483870967742</v>
      </c>
      <c r="N145" s="13">
        <f t="shared" si="22"/>
        <v>32.960586793312821</v>
      </c>
      <c r="O145" s="6">
        <f t="shared" si="30"/>
        <v>3822.7258064516127</v>
      </c>
      <c r="P145" s="6">
        <f t="shared" si="31"/>
        <v>3830.2687237580958</v>
      </c>
      <c r="Q145" s="6">
        <f t="shared" si="28"/>
        <v>32.960586793312821</v>
      </c>
      <c r="T145" s="6">
        <f t="shared" si="21"/>
        <v>32.960586793312821</v>
      </c>
    </row>
    <row r="146" spans="1:20">
      <c r="B146">
        <f t="shared" si="29"/>
        <v>143</v>
      </c>
      <c r="C146">
        <f t="shared" si="23"/>
        <v>31</v>
      </c>
      <c r="D146">
        <v>122</v>
      </c>
      <c r="E146">
        <v>153</v>
      </c>
      <c r="F146">
        <f>RnSPLINE!H$8</f>
        <v>31</v>
      </c>
      <c r="G146">
        <f>RnSPLINE!H$9</f>
        <v>30</v>
      </c>
      <c r="H146">
        <f>RnSPLINE!M$8</f>
        <v>-2.0574859904782632E-3</v>
      </c>
      <c r="I146">
        <f>RnSPLINE!M$9</f>
        <v>-4.1502493137626204E-2</v>
      </c>
      <c r="J146">
        <f t="shared" si="24"/>
        <v>0.32258064516129031</v>
      </c>
      <c r="K146">
        <f t="shared" si="25"/>
        <v>0.67741935483870963</v>
      </c>
      <c r="L146">
        <f t="shared" si="26"/>
        <v>97</v>
      </c>
      <c r="M146" s="6">
        <f t="shared" si="27"/>
        <v>30.322580645161288</v>
      </c>
      <c r="N146" s="13">
        <f t="shared" si="22"/>
        <v>32.854420319574707</v>
      </c>
      <c r="O146" s="6">
        <f t="shared" si="30"/>
        <v>3853.0483870967741</v>
      </c>
      <c r="P146" s="6">
        <f t="shared" si="31"/>
        <v>3863.1231440776705</v>
      </c>
      <c r="Q146" s="6">
        <f t="shared" si="28"/>
        <v>32.854420319574707</v>
      </c>
      <c r="T146" s="6">
        <f t="shared" si="21"/>
        <v>32.854420319574707</v>
      </c>
    </row>
    <row r="147" spans="1:20">
      <c r="B147">
        <f t="shared" si="29"/>
        <v>144</v>
      </c>
      <c r="C147">
        <f t="shared" si="23"/>
        <v>31</v>
      </c>
      <c r="D147">
        <v>122</v>
      </c>
      <c r="E147">
        <v>153</v>
      </c>
      <c r="F147">
        <f>RnSPLINE!H$8</f>
        <v>31</v>
      </c>
      <c r="G147">
        <f>RnSPLINE!H$9</f>
        <v>30</v>
      </c>
      <c r="H147">
        <f>RnSPLINE!M$8</f>
        <v>-2.0574859904782632E-3</v>
      </c>
      <c r="I147">
        <f>RnSPLINE!M$9</f>
        <v>-4.1502493137626204E-2</v>
      </c>
      <c r="J147">
        <f t="shared" si="24"/>
        <v>0.29032258064516131</v>
      </c>
      <c r="K147">
        <f t="shared" si="25"/>
        <v>0.70967741935483875</v>
      </c>
      <c r="L147">
        <f t="shared" si="26"/>
        <v>98</v>
      </c>
      <c r="M147" s="6">
        <f t="shared" si="27"/>
        <v>30.290322580645164</v>
      </c>
      <c r="N147" s="13">
        <f t="shared" si="22"/>
        <v>32.719475548552893</v>
      </c>
      <c r="O147" s="6">
        <f t="shared" si="30"/>
        <v>3883.3387096774195</v>
      </c>
      <c r="P147" s="6">
        <f t="shared" si="31"/>
        <v>3895.8426196262235</v>
      </c>
      <c r="Q147" s="6">
        <f t="shared" si="28"/>
        <v>32.719475548552893</v>
      </c>
      <c r="T147" s="6">
        <f t="shared" si="21"/>
        <v>32.719475548552893</v>
      </c>
    </row>
    <row r="148" spans="1:20">
      <c r="B148">
        <f t="shared" si="29"/>
        <v>145</v>
      </c>
      <c r="C148">
        <f t="shared" si="23"/>
        <v>31</v>
      </c>
      <c r="D148">
        <v>122</v>
      </c>
      <c r="E148">
        <v>153</v>
      </c>
      <c r="F148">
        <f>RnSPLINE!H$8</f>
        <v>31</v>
      </c>
      <c r="G148">
        <f>RnSPLINE!H$9</f>
        <v>30</v>
      </c>
      <c r="H148">
        <f>RnSPLINE!M$8</f>
        <v>-2.0574859904782632E-3</v>
      </c>
      <c r="I148">
        <f>RnSPLINE!M$9</f>
        <v>-4.1502493137626204E-2</v>
      </c>
      <c r="J148">
        <f t="shared" si="24"/>
        <v>0.25806451612903225</v>
      </c>
      <c r="K148">
        <f t="shared" si="25"/>
        <v>0.74193548387096775</v>
      </c>
      <c r="L148">
        <f t="shared" si="26"/>
        <v>99</v>
      </c>
      <c r="M148" s="6">
        <f t="shared" si="27"/>
        <v>30.258064516129032</v>
      </c>
      <c r="N148" s="13">
        <f t="shared" si="22"/>
        <v>32.554480060661966</v>
      </c>
      <c r="O148" s="6">
        <f t="shared" si="30"/>
        <v>3913.5967741935488</v>
      </c>
      <c r="P148" s="6">
        <f t="shared" si="31"/>
        <v>3928.3970996868857</v>
      </c>
      <c r="Q148" s="6">
        <f t="shared" si="28"/>
        <v>32.554480060661966</v>
      </c>
      <c r="T148" s="6">
        <f t="shared" si="21"/>
        <v>32.554480060661966</v>
      </c>
    </row>
    <row r="149" spans="1:20">
      <c r="B149">
        <f t="shared" si="29"/>
        <v>146</v>
      </c>
      <c r="C149">
        <f t="shared" si="23"/>
        <v>31</v>
      </c>
      <c r="D149">
        <v>122</v>
      </c>
      <c r="E149">
        <v>153</v>
      </c>
      <c r="F149">
        <f>RnSPLINE!H$8</f>
        <v>31</v>
      </c>
      <c r="G149">
        <f>RnSPLINE!H$9</f>
        <v>30</v>
      </c>
      <c r="H149">
        <f>RnSPLINE!M$8</f>
        <v>-2.0574859904782632E-3</v>
      </c>
      <c r="I149">
        <f>RnSPLINE!M$9</f>
        <v>-4.1502493137626204E-2</v>
      </c>
      <c r="J149">
        <f t="shared" si="24"/>
        <v>0.22580645161290322</v>
      </c>
      <c r="K149">
        <f t="shared" si="25"/>
        <v>0.77419354838709675</v>
      </c>
      <c r="L149">
        <f t="shared" si="26"/>
        <v>100</v>
      </c>
      <c r="M149" s="6">
        <f t="shared" si="27"/>
        <v>30.225806451612904</v>
      </c>
      <c r="N149" s="13">
        <f t="shared" si="22"/>
        <v>32.358161436316557</v>
      </c>
      <c r="O149" s="6">
        <f t="shared" si="30"/>
        <v>3943.8225806451615</v>
      </c>
      <c r="P149" s="6">
        <f t="shared" si="31"/>
        <v>3960.7552611232022</v>
      </c>
      <c r="Q149" s="6">
        <f t="shared" si="28"/>
        <v>32.358161436316557</v>
      </c>
      <c r="T149" s="6">
        <f t="shared" si="21"/>
        <v>32.358161436316557</v>
      </c>
    </row>
    <row r="150" spans="1:20">
      <c r="B150">
        <f t="shared" si="29"/>
        <v>147</v>
      </c>
      <c r="C150">
        <f t="shared" si="23"/>
        <v>31</v>
      </c>
      <c r="D150">
        <v>122</v>
      </c>
      <c r="E150">
        <v>153</v>
      </c>
      <c r="F150">
        <f>RnSPLINE!H$8</f>
        <v>31</v>
      </c>
      <c r="G150">
        <f>RnSPLINE!H$9</f>
        <v>30</v>
      </c>
      <c r="H150">
        <f>RnSPLINE!M$8</f>
        <v>-2.0574859904782632E-3</v>
      </c>
      <c r="I150">
        <f>RnSPLINE!M$9</f>
        <v>-4.1502493137626204E-2</v>
      </c>
      <c r="J150">
        <f t="shared" si="24"/>
        <v>0.19354838709677419</v>
      </c>
      <c r="K150">
        <f t="shared" si="25"/>
        <v>0.80645161290322576</v>
      </c>
      <c r="L150">
        <f t="shared" si="26"/>
        <v>101</v>
      </c>
      <c r="M150" s="6">
        <f t="shared" si="27"/>
        <v>30.193548387096772</v>
      </c>
      <c r="N150" s="13">
        <f t="shared" si="22"/>
        <v>32.129247255931261</v>
      </c>
      <c r="O150" s="6">
        <f t="shared" si="30"/>
        <v>3974.016129032258</v>
      </c>
      <c r="P150" s="6">
        <f t="shared" si="31"/>
        <v>3992.8845083791334</v>
      </c>
      <c r="Q150" s="6">
        <f t="shared" si="28"/>
        <v>32.129247255931261</v>
      </c>
      <c r="T150" s="6">
        <f t="shared" si="21"/>
        <v>32.129247255931261</v>
      </c>
    </row>
    <row r="151" spans="1:20">
      <c r="B151">
        <f t="shared" si="29"/>
        <v>148</v>
      </c>
      <c r="C151">
        <f t="shared" si="23"/>
        <v>31</v>
      </c>
      <c r="D151">
        <v>122</v>
      </c>
      <c r="E151">
        <v>153</v>
      </c>
      <c r="F151">
        <f>RnSPLINE!H$8</f>
        <v>31</v>
      </c>
      <c r="G151">
        <f>RnSPLINE!H$9</f>
        <v>30</v>
      </c>
      <c r="H151">
        <f>RnSPLINE!M$8</f>
        <v>-2.0574859904782632E-3</v>
      </c>
      <c r="I151">
        <f>RnSPLINE!M$9</f>
        <v>-4.1502493137626204E-2</v>
      </c>
      <c r="J151">
        <f t="shared" si="24"/>
        <v>0.16129032258064516</v>
      </c>
      <c r="K151">
        <f t="shared" si="25"/>
        <v>0.83870967741935487</v>
      </c>
      <c r="L151">
        <f t="shared" si="26"/>
        <v>102</v>
      </c>
      <c r="M151" s="6">
        <f t="shared" si="27"/>
        <v>30.161290322580648</v>
      </c>
      <c r="N151" s="13">
        <f t="shared" si="22"/>
        <v>31.866465099920692</v>
      </c>
      <c r="O151" s="6">
        <f t="shared" si="30"/>
        <v>4004.1774193548385</v>
      </c>
      <c r="P151" s="6">
        <f t="shared" si="31"/>
        <v>4024.7509734790542</v>
      </c>
      <c r="Q151" s="6">
        <f t="shared" si="28"/>
        <v>31.866465099920692</v>
      </c>
      <c r="T151" s="6">
        <f t="shared" si="21"/>
        <v>31.866465099920692</v>
      </c>
    </row>
    <row r="152" spans="1:20">
      <c r="B152">
        <f t="shared" si="29"/>
        <v>149</v>
      </c>
      <c r="C152">
        <f t="shared" si="23"/>
        <v>31</v>
      </c>
      <c r="D152">
        <v>122</v>
      </c>
      <c r="E152">
        <v>153</v>
      </c>
      <c r="F152">
        <f>RnSPLINE!H$8</f>
        <v>31</v>
      </c>
      <c r="G152">
        <f>RnSPLINE!H$9</f>
        <v>30</v>
      </c>
      <c r="H152">
        <f>RnSPLINE!M$8</f>
        <v>-2.0574859904782632E-3</v>
      </c>
      <c r="I152">
        <f>RnSPLINE!M$9</f>
        <v>-4.1502493137626204E-2</v>
      </c>
      <c r="J152">
        <f t="shared" si="24"/>
        <v>0.12903225806451613</v>
      </c>
      <c r="K152">
        <f t="shared" si="25"/>
        <v>0.87096774193548387</v>
      </c>
      <c r="L152">
        <f t="shared" si="26"/>
        <v>103</v>
      </c>
      <c r="M152" s="6">
        <f t="shared" si="27"/>
        <v>30.129032258064516</v>
      </c>
      <c r="N152" s="13">
        <f t="shared" si="22"/>
        <v>31.568542548699455</v>
      </c>
      <c r="O152" s="6">
        <f t="shared" si="30"/>
        <v>4034.3064516129029</v>
      </c>
      <c r="P152" s="6">
        <f t="shared" si="31"/>
        <v>4056.3195160277537</v>
      </c>
      <c r="Q152" s="6">
        <f t="shared" si="28"/>
        <v>31.568542548699455</v>
      </c>
      <c r="T152" s="6">
        <f t="shared" si="21"/>
        <v>31.568542548699455</v>
      </c>
    </row>
    <row r="153" spans="1:20">
      <c r="B153">
        <f t="shared" si="29"/>
        <v>150</v>
      </c>
      <c r="C153">
        <f t="shared" si="23"/>
        <v>31</v>
      </c>
      <c r="D153">
        <v>122</v>
      </c>
      <c r="E153">
        <v>153</v>
      </c>
      <c r="F153">
        <f>RnSPLINE!H$8</f>
        <v>31</v>
      </c>
      <c r="G153">
        <f>RnSPLINE!H$9</f>
        <v>30</v>
      </c>
      <c r="H153">
        <f>RnSPLINE!M$8</f>
        <v>-2.0574859904782632E-3</v>
      </c>
      <c r="I153">
        <f>RnSPLINE!M$9</f>
        <v>-4.1502493137626204E-2</v>
      </c>
      <c r="J153">
        <f t="shared" si="24"/>
        <v>9.6774193548387094E-2</v>
      </c>
      <c r="K153">
        <f t="shared" si="25"/>
        <v>0.90322580645161288</v>
      </c>
      <c r="L153">
        <f t="shared" si="26"/>
        <v>104</v>
      </c>
      <c r="M153" s="6">
        <f t="shared" si="27"/>
        <v>30.096774193548388</v>
      </c>
      <c r="N153" s="13">
        <f t="shared" si="22"/>
        <v>31.234207182682159</v>
      </c>
      <c r="O153" s="6">
        <f t="shared" si="30"/>
        <v>4064.4032258064512</v>
      </c>
      <c r="P153" s="6">
        <f t="shared" si="31"/>
        <v>4087.5537232104357</v>
      </c>
      <c r="Q153" s="6">
        <f t="shared" si="28"/>
        <v>31.234207182682159</v>
      </c>
      <c r="T153" s="6">
        <f t="shared" si="21"/>
        <v>31.234207182682159</v>
      </c>
    </row>
    <row r="154" spans="1:20">
      <c r="B154">
        <f t="shared" si="29"/>
        <v>151</v>
      </c>
      <c r="C154">
        <f t="shared" si="23"/>
        <v>31</v>
      </c>
      <c r="D154">
        <v>122</v>
      </c>
      <c r="E154">
        <v>153</v>
      </c>
      <c r="F154">
        <f>RnSPLINE!H$8</f>
        <v>31</v>
      </c>
      <c r="G154">
        <f>RnSPLINE!H$9</f>
        <v>30</v>
      </c>
      <c r="H154">
        <f>RnSPLINE!M$8</f>
        <v>-2.0574859904782632E-3</v>
      </c>
      <c r="I154">
        <f>RnSPLINE!M$9</f>
        <v>-4.1502493137626204E-2</v>
      </c>
      <c r="J154">
        <f t="shared" si="24"/>
        <v>6.4516129032258063E-2</v>
      </c>
      <c r="K154">
        <f t="shared" si="25"/>
        <v>0.93548387096774188</v>
      </c>
      <c r="L154">
        <f t="shared" si="26"/>
        <v>105</v>
      </c>
      <c r="M154" s="6">
        <f t="shared" si="27"/>
        <v>30.064516129032256</v>
      </c>
      <c r="N154" s="13">
        <f t="shared" si="22"/>
        <v>30.86218658228341</v>
      </c>
      <c r="O154" s="6">
        <f t="shared" si="30"/>
        <v>4094.4677419354834</v>
      </c>
      <c r="P154" s="6">
        <f t="shared" si="31"/>
        <v>4118.4159097927195</v>
      </c>
      <c r="Q154" s="6">
        <f t="shared" si="28"/>
        <v>30.86218658228341</v>
      </c>
      <c r="T154" s="6">
        <f t="shared" si="21"/>
        <v>30.86218658228341</v>
      </c>
    </row>
    <row r="155" spans="1:20">
      <c r="B155">
        <f t="shared" si="29"/>
        <v>152</v>
      </c>
      <c r="C155">
        <f t="shared" si="23"/>
        <v>31</v>
      </c>
      <c r="D155">
        <v>122</v>
      </c>
      <c r="E155">
        <v>153</v>
      </c>
      <c r="F155">
        <f>RnSPLINE!H$8</f>
        <v>31</v>
      </c>
      <c r="G155">
        <f>RnSPLINE!H$9</f>
        <v>30</v>
      </c>
      <c r="H155">
        <f>RnSPLINE!M$8</f>
        <v>-2.0574859904782632E-3</v>
      </c>
      <c r="I155">
        <f>RnSPLINE!M$9</f>
        <v>-4.1502493137626204E-2</v>
      </c>
      <c r="J155">
        <f t="shared" si="24"/>
        <v>3.2258064516129031E-2</v>
      </c>
      <c r="K155">
        <f t="shared" si="25"/>
        <v>0.967741935483871</v>
      </c>
      <c r="L155">
        <f t="shared" si="26"/>
        <v>106</v>
      </c>
      <c r="M155" s="6">
        <f t="shared" si="27"/>
        <v>30.032258064516128</v>
      </c>
      <c r="N155" s="13">
        <f t="shared" si="22"/>
        <v>30.451208327917822</v>
      </c>
      <c r="O155" s="6">
        <f t="shared" si="30"/>
        <v>4124.5</v>
      </c>
      <c r="P155" s="6">
        <f t="shared" si="31"/>
        <v>4148.8671181206373</v>
      </c>
      <c r="Q155" s="6">
        <f t="shared" si="28"/>
        <v>30.451208327917822</v>
      </c>
      <c r="T155" s="6">
        <f t="shared" si="21"/>
        <v>30.451208327917822</v>
      </c>
    </row>
    <row r="156" spans="1:20">
      <c r="A156">
        <v>153</v>
      </c>
      <c r="B156">
        <f t="shared" si="29"/>
        <v>153</v>
      </c>
      <c r="C156">
        <f t="shared" si="23"/>
        <v>31</v>
      </c>
      <c r="D156">
        <v>122</v>
      </c>
      <c r="E156">
        <v>153</v>
      </c>
      <c r="F156">
        <f>RnSPLINE!H$8</f>
        <v>31</v>
      </c>
      <c r="G156">
        <f>RnSPLINE!H$9</f>
        <v>30</v>
      </c>
      <c r="H156">
        <f>RnSPLINE!M$8</f>
        <v>-2.0574859904782632E-3</v>
      </c>
      <c r="I156">
        <f>RnSPLINE!M$9</f>
        <v>-4.1502493137626204E-2</v>
      </c>
      <c r="J156">
        <f t="shared" si="24"/>
        <v>0</v>
      </c>
      <c r="K156">
        <f t="shared" si="25"/>
        <v>1</v>
      </c>
      <c r="L156">
        <f t="shared" si="26"/>
        <v>107</v>
      </c>
      <c r="M156" s="6">
        <f t="shared" si="27"/>
        <v>30</v>
      </c>
      <c r="N156" s="13">
        <f t="shared" si="22"/>
        <v>30</v>
      </c>
      <c r="O156" s="6">
        <f t="shared" si="30"/>
        <v>4154.5</v>
      </c>
      <c r="P156" s="6">
        <f t="shared" si="31"/>
        <v>4178.8671181206373</v>
      </c>
      <c r="Q156" s="6">
        <f t="shared" si="28"/>
        <v>30</v>
      </c>
      <c r="T156" s="6">
        <f t="shared" si="21"/>
        <v>30</v>
      </c>
    </row>
    <row r="157" spans="1:20">
      <c r="B157">
        <f t="shared" si="29"/>
        <v>154</v>
      </c>
      <c r="C157">
        <f t="shared" si="23"/>
        <v>30</v>
      </c>
      <c r="D157">
        <v>153</v>
      </c>
      <c r="E157">
        <v>183</v>
      </c>
      <c r="F157">
        <f>RnSPLINE!H$9</f>
        <v>30</v>
      </c>
      <c r="G157">
        <f>RnSPLINE!H$10</f>
        <v>7.75</v>
      </c>
      <c r="H157" s="5">
        <f>RnSPLINE!M$9</f>
        <v>-4.1502493137626204E-2</v>
      </c>
      <c r="I157" s="5">
        <f>RnSPLINE!M$10</f>
        <v>2.9021153853066549E-2</v>
      </c>
      <c r="J157">
        <f t="shared" si="24"/>
        <v>0.96666666666666667</v>
      </c>
      <c r="K157">
        <f t="shared" si="25"/>
        <v>3.3333333333333333E-2</v>
      </c>
      <c r="L157">
        <f t="shared" si="26"/>
        <v>108</v>
      </c>
      <c r="M157" s="6">
        <f t="shared" si="27"/>
        <v>29.258333333333333</v>
      </c>
      <c r="N157" s="13">
        <f t="shared" si="22"/>
        <v>29.507893046914287</v>
      </c>
      <c r="O157" s="6">
        <f t="shared" si="30"/>
        <v>4183.7583333333332</v>
      </c>
      <c r="P157" s="6">
        <f t="shared" si="31"/>
        <v>4208.3750111675517</v>
      </c>
      <c r="Q157" s="6">
        <f t="shared" si="28"/>
        <v>29.507893046914287</v>
      </c>
      <c r="T157" s="6">
        <f t="shared" si="21"/>
        <v>29.507893046914287</v>
      </c>
    </row>
    <row r="158" spans="1:20">
      <c r="B158">
        <f t="shared" si="29"/>
        <v>155</v>
      </c>
      <c r="C158">
        <f t="shared" si="23"/>
        <v>30</v>
      </c>
      <c r="D158">
        <v>153</v>
      </c>
      <c r="E158">
        <v>183</v>
      </c>
      <c r="F158">
        <f>RnSPLINE!H$9</f>
        <v>30</v>
      </c>
      <c r="G158">
        <f>RnSPLINE!H$10</f>
        <v>7.75</v>
      </c>
      <c r="H158" s="5">
        <f>RnSPLINE!M$9</f>
        <v>-4.1502493137626204E-2</v>
      </c>
      <c r="I158" s="5">
        <f>RnSPLINE!M$10</f>
        <v>2.9021153853066549E-2</v>
      </c>
      <c r="J158">
        <f t="shared" si="24"/>
        <v>0.93333333333333335</v>
      </c>
      <c r="K158">
        <f t="shared" si="25"/>
        <v>6.6666666666666666E-2</v>
      </c>
      <c r="L158">
        <f t="shared" si="26"/>
        <v>109</v>
      </c>
      <c r="M158" s="6">
        <f t="shared" si="27"/>
        <v>28.516666666666666</v>
      </c>
      <c r="N158" s="13">
        <f t="shared" si="22"/>
        <v>28.976634388923969</v>
      </c>
      <c r="O158" s="6">
        <f t="shared" si="30"/>
        <v>4212.2749999999996</v>
      </c>
      <c r="P158" s="6">
        <f t="shared" si="31"/>
        <v>4237.3516455564759</v>
      </c>
      <c r="Q158" s="6">
        <f t="shared" si="28"/>
        <v>28.976634388923969</v>
      </c>
      <c r="T158" s="6">
        <f t="shared" si="21"/>
        <v>28.976634388923969</v>
      </c>
    </row>
    <row r="159" spans="1:20">
      <c r="B159">
        <f t="shared" si="29"/>
        <v>156</v>
      </c>
      <c r="C159">
        <f t="shared" si="23"/>
        <v>30</v>
      </c>
      <c r="D159">
        <v>153</v>
      </c>
      <c r="E159">
        <v>183</v>
      </c>
      <c r="F159">
        <f>RnSPLINE!H$9</f>
        <v>30</v>
      </c>
      <c r="G159">
        <f>RnSPLINE!H$10</f>
        <v>7.75</v>
      </c>
      <c r="H159" s="5">
        <f>RnSPLINE!M$9</f>
        <v>-4.1502493137626204E-2</v>
      </c>
      <c r="I159" s="5">
        <f>RnSPLINE!M$10</f>
        <v>2.9021153853066549E-2</v>
      </c>
      <c r="J159">
        <f t="shared" si="24"/>
        <v>0.9</v>
      </c>
      <c r="K159">
        <f t="shared" si="25"/>
        <v>0.1</v>
      </c>
      <c r="L159">
        <f t="shared" si="26"/>
        <v>110</v>
      </c>
      <c r="M159" s="6">
        <f t="shared" si="27"/>
        <v>27.774999999999999</v>
      </c>
      <c r="N159" s="13">
        <f t="shared" si="22"/>
        <v>28.408574814262071</v>
      </c>
      <c r="O159" s="6">
        <f t="shared" si="30"/>
        <v>4240.0499999999993</v>
      </c>
      <c r="P159" s="6">
        <f t="shared" si="31"/>
        <v>4265.7602203707384</v>
      </c>
      <c r="Q159" s="6">
        <f t="shared" si="28"/>
        <v>28.408574814262071</v>
      </c>
      <c r="T159" s="6">
        <f t="shared" si="21"/>
        <v>28.408574814262071</v>
      </c>
    </row>
    <row r="160" spans="1:20">
      <c r="B160">
        <f t="shared" si="29"/>
        <v>157</v>
      </c>
      <c r="C160">
        <f t="shared" si="23"/>
        <v>30</v>
      </c>
      <c r="D160">
        <v>153</v>
      </c>
      <c r="E160">
        <v>183</v>
      </c>
      <c r="F160">
        <f>RnSPLINE!H$9</f>
        <v>30</v>
      </c>
      <c r="G160">
        <f>RnSPLINE!H$10</f>
        <v>7.75</v>
      </c>
      <c r="H160" s="5">
        <f>RnSPLINE!M$9</f>
        <v>-4.1502493137626204E-2</v>
      </c>
      <c r="I160" s="5">
        <f>RnSPLINE!M$10</f>
        <v>2.9021153853066549E-2</v>
      </c>
      <c r="J160">
        <f t="shared" si="24"/>
        <v>0.8666666666666667</v>
      </c>
      <c r="K160">
        <f t="shared" si="25"/>
        <v>0.13333333333333333</v>
      </c>
      <c r="L160">
        <f t="shared" si="26"/>
        <v>111</v>
      </c>
      <c r="M160" s="6">
        <f t="shared" si="27"/>
        <v>27.033333333333331</v>
      </c>
      <c r="N160" s="13">
        <f t="shared" si="22"/>
        <v>27.806065111161619</v>
      </c>
      <c r="O160" s="6">
        <f t="shared" si="30"/>
        <v>4267.083333333333</v>
      </c>
      <c r="P160" s="6">
        <f t="shared" si="31"/>
        <v>4293.5662854819002</v>
      </c>
      <c r="Q160" s="6">
        <f t="shared" si="28"/>
        <v>27.806065111161619</v>
      </c>
      <c r="T160" s="6">
        <f t="shared" si="21"/>
        <v>27.806065111161619</v>
      </c>
    </row>
    <row r="161" spans="2:20">
      <c r="B161">
        <f t="shared" si="29"/>
        <v>158</v>
      </c>
      <c r="C161">
        <f t="shared" si="23"/>
        <v>30</v>
      </c>
      <c r="D161">
        <v>153</v>
      </c>
      <c r="E161">
        <v>183</v>
      </c>
      <c r="F161">
        <f>RnSPLINE!H$9</f>
        <v>30</v>
      </c>
      <c r="G161">
        <f>RnSPLINE!H$10</f>
        <v>7.75</v>
      </c>
      <c r="H161" s="5">
        <f>RnSPLINE!M$9</f>
        <v>-4.1502493137626204E-2</v>
      </c>
      <c r="I161" s="5">
        <f>RnSPLINE!M$10</f>
        <v>2.9021153853066549E-2</v>
      </c>
      <c r="J161">
        <f t="shared" si="24"/>
        <v>0.83333333333333337</v>
      </c>
      <c r="K161">
        <f t="shared" si="25"/>
        <v>0.16666666666666666</v>
      </c>
      <c r="L161">
        <f t="shared" si="26"/>
        <v>112</v>
      </c>
      <c r="M161" s="6">
        <f t="shared" si="27"/>
        <v>26.291666666666668</v>
      </c>
      <c r="N161" s="13">
        <f t="shared" si="22"/>
        <v>27.171456067855633</v>
      </c>
      <c r="O161" s="6">
        <f t="shared" si="30"/>
        <v>4293.375</v>
      </c>
      <c r="P161" s="6">
        <f t="shared" si="31"/>
        <v>4320.7377415497558</v>
      </c>
      <c r="Q161" s="6">
        <f t="shared" si="28"/>
        <v>27.171456067855633</v>
      </c>
      <c r="T161" s="6">
        <f t="shared" si="21"/>
        <v>27.171456067855633</v>
      </c>
    </row>
    <row r="162" spans="2:20">
      <c r="B162">
        <f t="shared" si="29"/>
        <v>159</v>
      </c>
      <c r="C162">
        <f t="shared" si="23"/>
        <v>30</v>
      </c>
      <c r="D162">
        <v>153</v>
      </c>
      <c r="E162">
        <v>183</v>
      </c>
      <c r="F162">
        <f>RnSPLINE!H$9</f>
        <v>30</v>
      </c>
      <c r="G162">
        <f>RnSPLINE!H$10</f>
        <v>7.75</v>
      </c>
      <c r="H162" s="5">
        <f>RnSPLINE!M$9</f>
        <v>-4.1502493137626204E-2</v>
      </c>
      <c r="I162" s="5">
        <f>RnSPLINE!M$10</f>
        <v>2.9021153853066549E-2</v>
      </c>
      <c r="J162">
        <f t="shared" si="24"/>
        <v>0.8</v>
      </c>
      <c r="K162">
        <f t="shared" si="25"/>
        <v>0.2</v>
      </c>
      <c r="L162">
        <f t="shared" si="26"/>
        <v>113</v>
      </c>
      <c r="M162" s="6">
        <f t="shared" si="27"/>
        <v>25.55</v>
      </c>
      <c r="N162" s="13">
        <f t="shared" si="22"/>
        <v>26.507098472577134</v>
      </c>
      <c r="O162" s="6">
        <f t="shared" si="30"/>
        <v>4318.9250000000002</v>
      </c>
      <c r="P162" s="6">
        <f t="shared" si="31"/>
        <v>4347.2448400223329</v>
      </c>
      <c r="Q162" s="6">
        <f t="shared" si="28"/>
        <v>26.507098472577134</v>
      </c>
      <c r="T162" s="6">
        <f t="shared" si="21"/>
        <v>26.507098472577134</v>
      </c>
    </row>
    <row r="163" spans="2:20">
      <c r="B163">
        <f t="shared" si="29"/>
        <v>160</v>
      </c>
      <c r="C163">
        <f t="shared" si="23"/>
        <v>30</v>
      </c>
      <c r="D163">
        <v>153</v>
      </c>
      <c r="E163">
        <v>183</v>
      </c>
      <c r="F163">
        <f>RnSPLINE!H$9</f>
        <v>30</v>
      </c>
      <c r="G163">
        <f>RnSPLINE!H$10</f>
        <v>7.75</v>
      </c>
      <c r="H163" s="5">
        <f>RnSPLINE!M$9</f>
        <v>-4.1502493137626204E-2</v>
      </c>
      <c r="I163" s="5">
        <f>RnSPLINE!M$10</f>
        <v>2.9021153853066549E-2</v>
      </c>
      <c r="J163">
        <f t="shared" si="24"/>
        <v>0.76666666666666672</v>
      </c>
      <c r="K163">
        <f t="shared" si="25"/>
        <v>0.23333333333333334</v>
      </c>
      <c r="L163">
        <f t="shared" si="26"/>
        <v>114</v>
      </c>
      <c r="M163" s="6">
        <f t="shared" si="27"/>
        <v>24.808333333333334</v>
      </c>
      <c r="N163" s="13">
        <f t="shared" si="22"/>
        <v>25.815343113559148</v>
      </c>
      <c r="O163" s="6">
        <f t="shared" si="30"/>
        <v>4343.7333333333336</v>
      </c>
      <c r="P163" s="6">
        <f t="shared" si="31"/>
        <v>4373.0601831358917</v>
      </c>
      <c r="Q163" s="6">
        <f t="shared" si="28"/>
        <v>25.815343113559148</v>
      </c>
      <c r="T163" s="6">
        <f t="shared" si="21"/>
        <v>25.815343113559148</v>
      </c>
    </row>
    <row r="164" spans="2:20">
      <c r="B164">
        <f t="shared" si="29"/>
        <v>161</v>
      </c>
      <c r="C164">
        <f t="shared" si="23"/>
        <v>30</v>
      </c>
      <c r="D164">
        <v>153</v>
      </c>
      <c r="E164">
        <v>183</v>
      </c>
      <c r="F164">
        <f>RnSPLINE!H$9</f>
        <v>30</v>
      </c>
      <c r="G164">
        <f>RnSPLINE!H$10</f>
        <v>7.75</v>
      </c>
      <c r="H164" s="5">
        <f>RnSPLINE!M$9</f>
        <v>-4.1502493137626204E-2</v>
      </c>
      <c r="I164" s="5">
        <f>RnSPLINE!M$10</f>
        <v>2.9021153853066549E-2</v>
      </c>
      <c r="J164">
        <f t="shared" si="24"/>
        <v>0.73333333333333328</v>
      </c>
      <c r="K164">
        <f t="shared" si="25"/>
        <v>0.26666666666666666</v>
      </c>
      <c r="L164">
        <f t="shared" si="26"/>
        <v>115</v>
      </c>
      <c r="M164" s="6">
        <f t="shared" si="27"/>
        <v>24.066666666666666</v>
      </c>
      <c r="N164" s="13">
        <f t="shared" si="22"/>
        <v>25.0985407790347</v>
      </c>
      <c r="O164" s="6">
        <f t="shared" si="30"/>
        <v>4367.8</v>
      </c>
      <c r="P164" s="6">
        <f t="shared" si="31"/>
        <v>4398.1587239149267</v>
      </c>
      <c r="Q164" s="6">
        <f t="shared" si="28"/>
        <v>25.0985407790347</v>
      </c>
      <c r="T164" s="6">
        <f t="shared" si="21"/>
        <v>25.0985407790347</v>
      </c>
    </row>
    <row r="165" spans="2:20">
      <c r="B165">
        <f t="shared" si="29"/>
        <v>162</v>
      </c>
      <c r="C165">
        <f t="shared" si="23"/>
        <v>30</v>
      </c>
      <c r="D165">
        <v>153</v>
      </c>
      <c r="E165">
        <v>183</v>
      </c>
      <c r="F165">
        <f>RnSPLINE!H$9</f>
        <v>30</v>
      </c>
      <c r="G165">
        <f>RnSPLINE!H$10</f>
        <v>7.75</v>
      </c>
      <c r="H165" s="5">
        <f>RnSPLINE!M$9</f>
        <v>-4.1502493137626204E-2</v>
      </c>
      <c r="I165" s="5">
        <f>RnSPLINE!M$10</f>
        <v>2.9021153853066549E-2</v>
      </c>
      <c r="J165">
        <f t="shared" si="24"/>
        <v>0.7</v>
      </c>
      <c r="K165">
        <f t="shared" si="25"/>
        <v>0.3</v>
      </c>
      <c r="L165">
        <f t="shared" si="26"/>
        <v>116</v>
      </c>
      <c r="M165" s="6">
        <f t="shared" si="27"/>
        <v>23.324999999999999</v>
      </c>
      <c r="N165" s="13">
        <f t="shared" si="22"/>
        <v>24.359042257236808</v>
      </c>
      <c r="O165" s="6">
        <f t="shared" si="30"/>
        <v>4391.125</v>
      </c>
      <c r="P165" s="6">
        <f t="shared" si="31"/>
        <v>4422.5177661721636</v>
      </c>
      <c r="Q165" s="6">
        <f t="shared" si="28"/>
        <v>24.359042257236808</v>
      </c>
      <c r="T165" s="6">
        <f t="shared" si="21"/>
        <v>24.359042257236808</v>
      </c>
    </row>
    <row r="166" spans="2:20">
      <c r="B166">
        <f t="shared" si="29"/>
        <v>163</v>
      </c>
      <c r="C166">
        <f t="shared" si="23"/>
        <v>30</v>
      </c>
      <c r="D166">
        <v>153</v>
      </c>
      <c r="E166">
        <v>183</v>
      </c>
      <c r="F166">
        <f>RnSPLINE!H$9</f>
        <v>30</v>
      </c>
      <c r="G166">
        <f>RnSPLINE!H$10</f>
        <v>7.75</v>
      </c>
      <c r="H166" s="5">
        <f>RnSPLINE!M$9</f>
        <v>-4.1502493137626204E-2</v>
      </c>
      <c r="I166" s="5">
        <f>RnSPLINE!M$10</f>
        <v>2.9021153853066549E-2</v>
      </c>
      <c r="J166">
        <f t="shared" si="24"/>
        <v>0.66666666666666663</v>
      </c>
      <c r="K166">
        <f t="shared" si="25"/>
        <v>0.33333333333333331</v>
      </c>
      <c r="L166">
        <f t="shared" si="26"/>
        <v>117</v>
      </c>
      <c r="M166" s="6">
        <f t="shared" si="27"/>
        <v>22.583333333333332</v>
      </c>
      <c r="N166" s="13">
        <f t="shared" si="22"/>
        <v>23.599198336398498</v>
      </c>
      <c r="O166" s="6">
        <f t="shared" si="30"/>
        <v>4413.708333333333</v>
      </c>
      <c r="P166" s="6">
        <f t="shared" si="31"/>
        <v>4446.116964508562</v>
      </c>
      <c r="Q166" s="6">
        <f t="shared" si="28"/>
        <v>23.599198336398498</v>
      </c>
      <c r="T166" s="6">
        <f t="shared" si="21"/>
        <v>23.599198336398498</v>
      </c>
    </row>
    <row r="167" spans="2:20">
      <c r="B167">
        <f t="shared" si="29"/>
        <v>164</v>
      </c>
      <c r="C167">
        <f t="shared" si="23"/>
        <v>30</v>
      </c>
      <c r="D167">
        <v>153</v>
      </c>
      <c r="E167">
        <v>183</v>
      </c>
      <c r="F167">
        <f>RnSPLINE!H$9</f>
        <v>30</v>
      </c>
      <c r="G167">
        <f>RnSPLINE!H$10</f>
        <v>7.75</v>
      </c>
      <c r="H167" s="5">
        <f>RnSPLINE!M$9</f>
        <v>-4.1502493137626204E-2</v>
      </c>
      <c r="I167" s="5">
        <f>RnSPLINE!M$10</f>
        <v>2.9021153853066549E-2</v>
      </c>
      <c r="J167">
        <f t="shared" si="24"/>
        <v>0.6333333333333333</v>
      </c>
      <c r="K167">
        <f t="shared" si="25"/>
        <v>0.36666666666666664</v>
      </c>
      <c r="L167">
        <f t="shared" si="26"/>
        <v>118</v>
      </c>
      <c r="M167" s="6">
        <f t="shared" si="27"/>
        <v>21.841666666666665</v>
      </c>
      <c r="N167" s="13">
        <f t="shared" si="22"/>
        <v>22.821359804752792</v>
      </c>
      <c r="O167" s="6">
        <f t="shared" si="30"/>
        <v>4435.5499999999993</v>
      </c>
      <c r="P167" s="6">
        <f t="shared" si="31"/>
        <v>4468.9383243133152</v>
      </c>
      <c r="Q167" s="6">
        <f t="shared" si="28"/>
        <v>22.821359804752792</v>
      </c>
      <c r="T167" s="6">
        <f t="shared" si="21"/>
        <v>22.821359804752792</v>
      </c>
    </row>
    <row r="168" spans="2:20">
      <c r="B168">
        <f t="shared" si="29"/>
        <v>165</v>
      </c>
      <c r="C168">
        <f t="shared" si="23"/>
        <v>30</v>
      </c>
      <c r="D168">
        <v>153</v>
      </c>
      <c r="E168">
        <v>183</v>
      </c>
      <c r="F168">
        <f>RnSPLINE!H$9</f>
        <v>30</v>
      </c>
      <c r="G168">
        <f>RnSPLINE!H$10</f>
        <v>7.75</v>
      </c>
      <c r="H168" s="5">
        <f>RnSPLINE!M$9</f>
        <v>-4.1502493137626204E-2</v>
      </c>
      <c r="I168" s="5">
        <f>RnSPLINE!M$10</f>
        <v>2.9021153853066549E-2</v>
      </c>
      <c r="J168">
        <f t="shared" si="24"/>
        <v>0.6</v>
      </c>
      <c r="K168">
        <f t="shared" si="25"/>
        <v>0.4</v>
      </c>
      <c r="L168">
        <f t="shared" si="26"/>
        <v>119</v>
      </c>
      <c r="M168" s="6">
        <f t="shared" si="27"/>
        <v>21.1</v>
      </c>
      <c r="N168" s="13">
        <f t="shared" si="22"/>
        <v>22.027877450532717</v>
      </c>
      <c r="O168" s="6">
        <f t="shared" si="30"/>
        <v>4456.6499999999996</v>
      </c>
      <c r="P168" s="6">
        <f t="shared" si="31"/>
        <v>4490.9662017638475</v>
      </c>
      <c r="Q168" s="6">
        <f t="shared" si="28"/>
        <v>22.027877450532717</v>
      </c>
      <c r="T168" s="6">
        <f t="shared" si="21"/>
        <v>22.027877450532717</v>
      </c>
    </row>
    <row r="169" spans="2:20">
      <c r="B169">
        <f t="shared" si="29"/>
        <v>166</v>
      </c>
      <c r="C169">
        <f t="shared" si="23"/>
        <v>30</v>
      </c>
      <c r="D169">
        <v>153</v>
      </c>
      <c r="E169">
        <v>183</v>
      </c>
      <c r="F169">
        <f>RnSPLINE!H$9</f>
        <v>30</v>
      </c>
      <c r="G169">
        <f>RnSPLINE!H$10</f>
        <v>7.75</v>
      </c>
      <c r="H169" s="5">
        <f>RnSPLINE!M$9</f>
        <v>-4.1502493137626204E-2</v>
      </c>
      <c r="I169" s="5">
        <f>RnSPLINE!M$10</f>
        <v>2.9021153853066549E-2</v>
      </c>
      <c r="J169">
        <f t="shared" si="24"/>
        <v>0.56666666666666665</v>
      </c>
      <c r="K169">
        <f t="shared" si="25"/>
        <v>0.43333333333333335</v>
      </c>
      <c r="L169">
        <f t="shared" si="26"/>
        <v>120</v>
      </c>
      <c r="M169" s="6">
        <f t="shared" si="27"/>
        <v>20.358333333333334</v>
      </c>
      <c r="N169" s="13">
        <f t="shared" si="22"/>
        <v>21.22110206197129</v>
      </c>
      <c r="O169" s="6">
        <f t="shared" si="30"/>
        <v>4477.0083333333332</v>
      </c>
      <c r="P169" s="6">
        <f t="shared" si="31"/>
        <v>4512.1873038258191</v>
      </c>
      <c r="Q169" s="6">
        <f t="shared" si="28"/>
        <v>21.22110206197129</v>
      </c>
      <c r="T169" s="6">
        <f t="shared" si="21"/>
        <v>21.22110206197129</v>
      </c>
    </row>
    <row r="170" spans="2:20">
      <c r="B170">
        <f t="shared" si="29"/>
        <v>167</v>
      </c>
      <c r="C170">
        <f t="shared" si="23"/>
        <v>30</v>
      </c>
      <c r="D170">
        <v>153</v>
      </c>
      <c r="E170">
        <v>183</v>
      </c>
      <c r="F170">
        <f>RnSPLINE!H$9</f>
        <v>30</v>
      </c>
      <c r="G170">
        <f>RnSPLINE!H$10</f>
        <v>7.75</v>
      </c>
      <c r="H170" s="5">
        <f>RnSPLINE!M$9</f>
        <v>-4.1502493137626204E-2</v>
      </c>
      <c r="I170" s="5">
        <f>RnSPLINE!M$10</f>
        <v>2.9021153853066549E-2</v>
      </c>
      <c r="J170">
        <f t="shared" si="24"/>
        <v>0.53333333333333333</v>
      </c>
      <c r="K170">
        <f t="shared" si="25"/>
        <v>0.46666666666666667</v>
      </c>
      <c r="L170">
        <f t="shared" si="26"/>
        <v>121</v>
      </c>
      <c r="M170" s="6">
        <f t="shared" si="27"/>
        <v>19.616666666666667</v>
      </c>
      <c r="N170" s="13">
        <f t="shared" si="22"/>
        <v>20.403384427301535</v>
      </c>
      <c r="O170" s="6">
        <f t="shared" si="30"/>
        <v>4496.625</v>
      </c>
      <c r="P170" s="6">
        <f t="shared" si="31"/>
        <v>4532.5906882531208</v>
      </c>
      <c r="Q170" s="6">
        <f t="shared" si="28"/>
        <v>20.403384427301535</v>
      </c>
      <c r="T170" s="6">
        <f t="shared" si="21"/>
        <v>20.403384427301535</v>
      </c>
    </row>
    <row r="171" spans="2:20">
      <c r="B171">
        <f t="shared" si="29"/>
        <v>168</v>
      </c>
      <c r="C171">
        <f t="shared" si="23"/>
        <v>30</v>
      </c>
      <c r="D171">
        <v>153</v>
      </c>
      <c r="E171">
        <v>183</v>
      </c>
      <c r="F171">
        <f>RnSPLINE!H$9</f>
        <v>30</v>
      </c>
      <c r="G171">
        <f>RnSPLINE!H$10</f>
        <v>7.75</v>
      </c>
      <c r="H171" s="5">
        <f>RnSPLINE!M$9</f>
        <v>-4.1502493137626204E-2</v>
      </c>
      <c r="I171" s="5">
        <f>RnSPLINE!M$10</f>
        <v>2.9021153853066549E-2</v>
      </c>
      <c r="J171">
        <f t="shared" si="24"/>
        <v>0.5</v>
      </c>
      <c r="K171">
        <f t="shared" si="25"/>
        <v>0.5</v>
      </c>
      <c r="L171">
        <f t="shared" si="26"/>
        <v>122</v>
      </c>
      <c r="M171" s="6">
        <f t="shared" si="27"/>
        <v>18.875</v>
      </c>
      <c r="N171" s="13">
        <f t="shared" si="22"/>
        <v>19.577075334756479</v>
      </c>
      <c r="O171" s="6">
        <f t="shared" si="30"/>
        <v>4515.5</v>
      </c>
      <c r="P171" s="6">
        <f t="shared" si="31"/>
        <v>4552.1677635878768</v>
      </c>
      <c r="Q171" s="6">
        <f t="shared" si="28"/>
        <v>19.577075334756479</v>
      </c>
      <c r="T171" s="6">
        <f t="shared" si="21"/>
        <v>19.577075334756479</v>
      </c>
    </row>
    <row r="172" spans="2:20">
      <c r="B172">
        <f t="shared" si="29"/>
        <v>169</v>
      </c>
      <c r="C172">
        <f t="shared" si="23"/>
        <v>30</v>
      </c>
      <c r="D172">
        <v>153</v>
      </c>
      <c r="E172">
        <v>183</v>
      </c>
      <c r="F172">
        <f>RnSPLINE!H$9</f>
        <v>30</v>
      </c>
      <c r="G172">
        <f>RnSPLINE!H$10</f>
        <v>7.75</v>
      </c>
      <c r="H172" s="5">
        <f>RnSPLINE!M$9</f>
        <v>-4.1502493137626204E-2</v>
      </c>
      <c r="I172" s="5">
        <f>RnSPLINE!M$10</f>
        <v>2.9021153853066549E-2</v>
      </c>
      <c r="J172">
        <f t="shared" si="24"/>
        <v>0.46666666666666667</v>
      </c>
      <c r="K172">
        <f t="shared" si="25"/>
        <v>0.53333333333333333</v>
      </c>
      <c r="L172">
        <f t="shared" si="26"/>
        <v>123</v>
      </c>
      <c r="M172" s="6">
        <f t="shared" si="27"/>
        <v>18.133333333333333</v>
      </c>
      <c r="N172" s="13">
        <f t="shared" si="22"/>
        <v>18.744525572569145</v>
      </c>
      <c r="O172" s="6">
        <f t="shared" si="30"/>
        <v>4533.6333333333332</v>
      </c>
      <c r="P172" s="6">
        <f t="shared" si="31"/>
        <v>4570.9122891604457</v>
      </c>
      <c r="Q172" s="6">
        <f t="shared" si="28"/>
        <v>18.744525572569145</v>
      </c>
      <c r="T172" s="6">
        <f t="shared" si="21"/>
        <v>18.744525572569145</v>
      </c>
    </row>
    <row r="173" spans="2:20">
      <c r="B173">
        <f t="shared" si="29"/>
        <v>170</v>
      </c>
      <c r="C173">
        <f t="shared" si="23"/>
        <v>30</v>
      </c>
      <c r="D173">
        <v>153</v>
      </c>
      <c r="E173">
        <v>183</v>
      </c>
      <c r="F173">
        <f>RnSPLINE!H$9</f>
        <v>30</v>
      </c>
      <c r="G173">
        <f>RnSPLINE!H$10</f>
        <v>7.75</v>
      </c>
      <c r="H173" s="5">
        <f>RnSPLINE!M$9</f>
        <v>-4.1502493137626204E-2</v>
      </c>
      <c r="I173" s="5">
        <f>RnSPLINE!M$10</f>
        <v>2.9021153853066549E-2</v>
      </c>
      <c r="J173">
        <f t="shared" si="24"/>
        <v>0.43333333333333335</v>
      </c>
      <c r="K173">
        <f t="shared" si="25"/>
        <v>0.56666666666666665</v>
      </c>
      <c r="L173">
        <f t="shared" si="26"/>
        <v>124</v>
      </c>
      <c r="M173" s="6">
        <f t="shared" si="27"/>
        <v>17.391666666666666</v>
      </c>
      <c r="N173" s="13">
        <f t="shared" si="22"/>
        <v>17.908085928972554</v>
      </c>
      <c r="O173" s="6">
        <f t="shared" si="30"/>
        <v>4551.0249999999996</v>
      </c>
      <c r="P173" s="6">
        <f t="shared" si="31"/>
        <v>4588.8203750894181</v>
      </c>
      <c r="Q173" s="6">
        <f t="shared" si="28"/>
        <v>17.908085928972554</v>
      </c>
      <c r="T173" s="6">
        <f t="shared" si="21"/>
        <v>17.908085928972554</v>
      </c>
    </row>
    <row r="174" spans="2:20">
      <c r="B174">
        <f t="shared" si="29"/>
        <v>171</v>
      </c>
      <c r="C174">
        <f t="shared" si="23"/>
        <v>30</v>
      </c>
      <c r="D174">
        <v>153</v>
      </c>
      <c r="E174">
        <v>183</v>
      </c>
      <c r="F174">
        <f>RnSPLINE!H$9</f>
        <v>30</v>
      </c>
      <c r="G174">
        <f>RnSPLINE!H$10</f>
        <v>7.75</v>
      </c>
      <c r="H174" s="5">
        <f>RnSPLINE!M$9</f>
        <v>-4.1502493137626204E-2</v>
      </c>
      <c r="I174" s="5">
        <f>RnSPLINE!M$10</f>
        <v>2.9021153853066549E-2</v>
      </c>
      <c r="J174">
        <f t="shared" si="24"/>
        <v>0.4</v>
      </c>
      <c r="K174">
        <f t="shared" si="25"/>
        <v>0.6</v>
      </c>
      <c r="L174">
        <f t="shared" si="26"/>
        <v>125</v>
      </c>
      <c r="M174" s="6">
        <f t="shared" si="27"/>
        <v>16.649999999999999</v>
      </c>
      <c r="N174" s="13">
        <f t="shared" si="22"/>
        <v>17.070107192199725</v>
      </c>
      <c r="O174" s="6">
        <f t="shared" si="30"/>
        <v>4567.6749999999993</v>
      </c>
      <c r="P174" s="6">
        <f t="shared" si="31"/>
        <v>4605.8904822816176</v>
      </c>
      <c r="Q174" s="6">
        <f t="shared" si="28"/>
        <v>17.070107192199725</v>
      </c>
      <c r="T174" s="6">
        <f t="shared" si="21"/>
        <v>17.070107192199725</v>
      </c>
    </row>
    <row r="175" spans="2:20">
      <c r="B175">
        <f t="shared" si="29"/>
        <v>172</v>
      </c>
      <c r="C175">
        <f t="shared" si="23"/>
        <v>30</v>
      </c>
      <c r="D175">
        <v>153</v>
      </c>
      <c r="E175">
        <v>183</v>
      </c>
      <c r="F175">
        <f>RnSPLINE!H$9</f>
        <v>30</v>
      </c>
      <c r="G175">
        <f>RnSPLINE!H$10</f>
        <v>7.75</v>
      </c>
      <c r="H175" s="5">
        <f>RnSPLINE!M$9</f>
        <v>-4.1502493137626204E-2</v>
      </c>
      <c r="I175" s="5">
        <f>RnSPLINE!M$10</f>
        <v>2.9021153853066549E-2</v>
      </c>
      <c r="J175">
        <f t="shared" si="24"/>
        <v>0.36666666666666664</v>
      </c>
      <c r="K175">
        <f t="shared" si="25"/>
        <v>0.6333333333333333</v>
      </c>
      <c r="L175">
        <f t="shared" si="26"/>
        <v>126</v>
      </c>
      <c r="M175" s="6">
        <f t="shared" si="27"/>
        <v>15.908333333333333</v>
      </c>
      <c r="N175" s="13">
        <f t="shared" si="22"/>
        <v>16.232940150483692</v>
      </c>
      <c r="O175" s="6">
        <f t="shared" si="30"/>
        <v>4583.583333333333</v>
      </c>
      <c r="P175" s="6">
        <f t="shared" si="31"/>
        <v>4622.1234224321015</v>
      </c>
      <c r="Q175" s="6">
        <f t="shared" si="28"/>
        <v>16.232940150483692</v>
      </c>
      <c r="T175" s="6">
        <f t="shared" si="21"/>
        <v>16.232940150483692</v>
      </c>
    </row>
    <row r="176" spans="2:20">
      <c r="B176">
        <f t="shared" si="29"/>
        <v>173</v>
      </c>
      <c r="C176">
        <f t="shared" si="23"/>
        <v>30</v>
      </c>
      <c r="D176">
        <v>153</v>
      </c>
      <c r="E176">
        <v>183</v>
      </c>
      <c r="F176">
        <f>RnSPLINE!H$9</f>
        <v>30</v>
      </c>
      <c r="G176">
        <f>RnSPLINE!H$10</f>
        <v>7.75</v>
      </c>
      <c r="H176" s="5">
        <f>RnSPLINE!M$9</f>
        <v>-4.1502493137626204E-2</v>
      </c>
      <c r="I176" s="5">
        <f>RnSPLINE!M$10</f>
        <v>2.9021153853066549E-2</v>
      </c>
      <c r="J176">
        <f t="shared" si="24"/>
        <v>0.33333333333333331</v>
      </c>
      <c r="K176">
        <f t="shared" si="25"/>
        <v>0.66666666666666663</v>
      </c>
      <c r="L176">
        <f t="shared" si="26"/>
        <v>127</v>
      </c>
      <c r="M176" s="6">
        <f t="shared" si="27"/>
        <v>15.166666666666666</v>
      </c>
      <c r="N176" s="13">
        <f t="shared" si="22"/>
        <v>15.398935592057468</v>
      </c>
      <c r="O176" s="6">
        <f t="shared" si="30"/>
        <v>4598.75</v>
      </c>
      <c r="P176" s="6">
        <f t="shared" si="31"/>
        <v>4637.5223580241591</v>
      </c>
      <c r="Q176" s="6">
        <f t="shared" si="28"/>
        <v>15.398935592057468</v>
      </c>
      <c r="T176" s="6">
        <f t="shared" si="21"/>
        <v>15.398935592057468</v>
      </c>
    </row>
    <row r="177" spans="1:20">
      <c r="B177">
        <f t="shared" si="29"/>
        <v>174</v>
      </c>
      <c r="C177">
        <f t="shared" si="23"/>
        <v>30</v>
      </c>
      <c r="D177">
        <v>153</v>
      </c>
      <c r="E177">
        <v>183</v>
      </c>
      <c r="F177">
        <f>RnSPLINE!H$9</f>
        <v>30</v>
      </c>
      <c r="G177">
        <f>RnSPLINE!H$10</f>
        <v>7.75</v>
      </c>
      <c r="H177" s="5">
        <f>RnSPLINE!M$9</f>
        <v>-4.1502493137626204E-2</v>
      </c>
      <c r="I177" s="5">
        <f>RnSPLINE!M$10</f>
        <v>2.9021153853066549E-2</v>
      </c>
      <c r="J177">
        <f t="shared" si="24"/>
        <v>0.3</v>
      </c>
      <c r="K177">
        <f t="shared" si="25"/>
        <v>0.7</v>
      </c>
      <c r="L177">
        <f t="shared" si="26"/>
        <v>128</v>
      </c>
      <c r="M177" s="6">
        <f t="shared" si="27"/>
        <v>14.425000000000001</v>
      </c>
      <c r="N177" s="13">
        <f t="shared" si="22"/>
        <v>14.57044430515408</v>
      </c>
      <c r="O177" s="6">
        <f t="shared" si="30"/>
        <v>4613.1750000000002</v>
      </c>
      <c r="P177" s="6">
        <f t="shared" si="31"/>
        <v>4652.0928023293136</v>
      </c>
      <c r="Q177" s="6">
        <f t="shared" si="28"/>
        <v>14.57044430515408</v>
      </c>
      <c r="T177" s="6">
        <f t="shared" si="21"/>
        <v>14.57044430515408</v>
      </c>
    </row>
    <row r="178" spans="1:20">
      <c r="B178">
        <f t="shared" si="29"/>
        <v>175</v>
      </c>
      <c r="C178">
        <f t="shared" si="23"/>
        <v>30</v>
      </c>
      <c r="D178">
        <v>153</v>
      </c>
      <c r="E178">
        <v>183</v>
      </c>
      <c r="F178">
        <f>RnSPLINE!H$9</f>
        <v>30</v>
      </c>
      <c r="G178">
        <f>RnSPLINE!H$10</f>
        <v>7.75</v>
      </c>
      <c r="H178" s="5">
        <f>RnSPLINE!M$9</f>
        <v>-4.1502493137626204E-2</v>
      </c>
      <c r="I178" s="5">
        <f>RnSPLINE!M$10</f>
        <v>2.9021153853066549E-2</v>
      </c>
      <c r="J178">
        <f t="shared" si="24"/>
        <v>0.26666666666666666</v>
      </c>
      <c r="K178">
        <f t="shared" si="25"/>
        <v>0.73333333333333328</v>
      </c>
      <c r="L178">
        <f t="shared" si="26"/>
        <v>129</v>
      </c>
      <c r="M178" s="6">
        <f t="shared" si="27"/>
        <v>13.683333333333334</v>
      </c>
      <c r="N178" s="13">
        <f t="shared" si="22"/>
        <v>13.749817078006551</v>
      </c>
      <c r="O178" s="6">
        <f t="shared" si="30"/>
        <v>4626.8583333333336</v>
      </c>
      <c r="P178" s="6">
        <f t="shared" si="31"/>
        <v>4665.8426194073199</v>
      </c>
      <c r="Q178" s="6">
        <f t="shared" si="28"/>
        <v>13.749817078006551</v>
      </c>
      <c r="T178" s="6">
        <f t="shared" ref="T178:T241" si="32">N178</f>
        <v>13.749817078006551</v>
      </c>
    </row>
    <row r="179" spans="1:20">
      <c r="B179">
        <f t="shared" si="29"/>
        <v>176</v>
      </c>
      <c r="C179">
        <f t="shared" si="23"/>
        <v>30</v>
      </c>
      <c r="D179">
        <v>153</v>
      </c>
      <c r="E179">
        <v>183</v>
      </c>
      <c r="F179">
        <f>RnSPLINE!H$9</f>
        <v>30</v>
      </c>
      <c r="G179">
        <f>RnSPLINE!H$10</f>
        <v>7.75</v>
      </c>
      <c r="H179" s="5">
        <f>RnSPLINE!M$9</f>
        <v>-4.1502493137626204E-2</v>
      </c>
      <c r="I179" s="5">
        <f>RnSPLINE!M$10</f>
        <v>2.9021153853066549E-2</v>
      </c>
      <c r="J179">
        <f t="shared" si="24"/>
        <v>0.23333333333333334</v>
      </c>
      <c r="K179">
        <f t="shared" si="25"/>
        <v>0.76666666666666672</v>
      </c>
      <c r="L179">
        <f t="shared" si="26"/>
        <v>130</v>
      </c>
      <c r="M179" s="6">
        <f t="shared" si="27"/>
        <v>12.941666666666666</v>
      </c>
      <c r="N179" s="13">
        <f t="shared" si="22"/>
        <v>12.939404698847902</v>
      </c>
      <c r="O179" s="6">
        <f t="shared" si="30"/>
        <v>4639.8</v>
      </c>
      <c r="P179" s="6">
        <f t="shared" si="31"/>
        <v>4678.7820241061681</v>
      </c>
      <c r="Q179" s="6">
        <f t="shared" si="28"/>
        <v>12.939404698847902</v>
      </c>
      <c r="T179" s="6">
        <f t="shared" si="32"/>
        <v>12.939404698847902</v>
      </c>
    </row>
    <row r="180" spans="1:20">
      <c r="B180">
        <f t="shared" si="29"/>
        <v>177</v>
      </c>
      <c r="C180">
        <f t="shared" si="23"/>
        <v>30</v>
      </c>
      <c r="D180">
        <v>153</v>
      </c>
      <c r="E180">
        <v>183</v>
      </c>
      <c r="F180">
        <f>RnSPLINE!H$9</f>
        <v>30</v>
      </c>
      <c r="G180">
        <f>RnSPLINE!H$10</f>
        <v>7.75</v>
      </c>
      <c r="H180" s="5">
        <f>RnSPLINE!M$9</f>
        <v>-4.1502493137626204E-2</v>
      </c>
      <c r="I180" s="5">
        <f>RnSPLINE!M$10</f>
        <v>2.9021153853066549E-2</v>
      </c>
      <c r="J180">
        <f t="shared" si="24"/>
        <v>0.2</v>
      </c>
      <c r="K180">
        <f t="shared" si="25"/>
        <v>0.8</v>
      </c>
      <c r="L180">
        <f t="shared" si="26"/>
        <v>131</v>
      </c>
      <c r="M180" s="6">
        <f t="shared" si="27"/>
        <v>12.2</v>
      </c>
      <c r="N180" s="13">
        <f t="shared" si="22"/>
        <v>12.141557955911159</v>
      </c>
      <c r="O180" s="6">
        <f t="shared" si="30"/>
        <v>4652</v>
      </c>
      <c r="P180" s="6">
        <f t="shared" si="31"/>
        <v>4690.9235820620797</v>
      </c>
      <c r="Q180" s="6">
        <f t="shared" si="28"/>
        <v>12.141557955911159</v>
      </c>
      <c r="T180" s="6">
        <f t="shared" si="32"/>
        <v>12.141557955911159</v>
      </c>
    </row>
    <row r="181" spans="1:20">
      <c r="B181">
        <f t="shared" si="29"/>
        <v>178</v>
      </c>
      <c r="C181">
        <f t="shared" si="23"/>
        <v>30</v>
      </c>
      <c r="D181">
        <v>153</v>
      </c>
      <c r="E181">
        <v>183</v>
      </c>
      <c r="F181">
        <f>RnSPLINE!H$9</f>
        <v>30</v>
      </c>
      <c r="G181">
        <f>RnSPLINE!H$10</f>
        <v>7.75</v>
      </c>
      <c r="H181" s="5">
        <f>RnSPLINE!M$9</f>
        <v>-4.1502493137626204E-2</v>
      </c>
      <c r="I181" s="5">
        <f>RnSPLINE!M$10</f>
        <v>2.9021153853066549E-2</v>
      </c>
      <c r="J181">
        <f t="shared" si="24"/>
        <v>0.16666666666666666</v>
      </c>
      <c r="K181">
        <f t="shared" si="25"/>
        <v>0.83333333333333337</v>
      </c>
      <c r="L181">
        <f t="shared" si="26"/>
        <v>132</v>
      </c>
      <c r="M181" s="6">
        <f t="shared" si="27"/>
        <v>11.458333333333334</v>
      </c>
      <c r="N181" s="13">
        <f t="shared" si="22"/>
        <v>11.358627637429347</v>
      </c>
      <c r="O181" s="6">
        <f t="shared" si="30"/>
        <v>4663.458333333333</v>
      </c>
      <c r="P181" s="6">
        <f t="shared" si="31"/>
        <v>4702.2822096995087</v>
      </c>
      <c r="Q181" s="6">
        <f t="shared" si="28"/>
        <v>11.358627637429347</v>
      </c>
      <c r="T181" s="6">
        <f t="shared" si="32"/>
        <v>11.358627637429347</v>
      </c>
    </row>
    <row r="182" spans="1:20">
      <c r="B182">
        <f t="shared" si="29"/>
        <v>179</v>
      </c>
      <c r="C182">
        <f t="shared" si="23"/>
        <v>30</v>
      </c>
      <c r="D182">
        <v>153</v>
      </c>
      <c r="E182">
        <v>183</v>
      </c>
      <c r="F182">
        <f>RnSPLINE!H$9</f>
        <v>30</v>
      </c>
      <c r="G182">
        <f>RnSPLINE!H$10</f>
        <v>7.75</v>
      </c>
      <c r="H182" s="5">
        <f>RnSPLINE!M$9</f>
        <v>-4.1502493137626204E-2</v>
      </c>
      <c r="I182" s="5">
        <f>RnSPLINE!M$10</f>
        <v>2.9021153853066549E-2</v>
      </c>
      <c r="J182">
        <f t="shared" si="24"/>
        <v>0.13333333333333333</v>
      </c>
      <c r="K182">
        <f t="shared" si="25"/>
        <v>0.8666666666666667</v>
      </c>
      <c r="L182">
        <f t="shared" si="26"/>
        <v>133</v>
      </c>
      <c r="M182" s="6">
        <f t="shared" si="27"/>
        <v>10.716666666666667</v>
      </c>
      <c r="N182" s="13">
        <f t="shared" si="22"/>
        <v>10.592964531635483</v>
      </c>
      <c r="O182" s="6">
        <f t="shared" si="30"/>
        <v>4674.1749999999993</v>
      </c>
      <c r="P182" s="6">
        <f t="shared" si="31"/>
        <v>4712.8751742311442</v>
      </c>
      <c r="Q182" s="6">
        <f t="shared" si="28"/>
        <v>10.592964531635483</v>
      </c>
      <c r="T182" s="6">
        <f t="shared" si="32"/>
        <v>10.592964531635483</v>
      </c>
    </row>
    <row r="183" spans="1:20">
      <c r="B183">
        <f t="shared" si="29"/>
        <v>180</v>
      </c>
      <c r="C183">
        <f t="shared" si="23"/>
        <v>30</v>
      </c>
      <c r="D183">
        <v>153</v>
      </c>
      <c r="E183">
        <v>183</v>
      </c>
      <c r="F183">
        <f>RnSPLINE!H$9</f>
        <v>30</v>
      </c>
      <c r="G183">
        <f>RnSPLINE!H$10</f>
        <v>7.75</v>
      </c>
      <c r="H183" s="5">
        <f>RnSPLINE!M$9</f>
        <v>-4.1502493137626204E-2</v>
      </c>
      <c r="I183" s="5">
        <f>RnSPLINE!M$10</f>
        <v>2.9021153853066549E-2</v>
      </c>
      <c r="J183">
        <f t="shared" si="24"/>
        <v>0.1</v>
      </c>
      <c r="K183">
        <f t="shared" si="25"/>
        <v>0.9</v>
      </c>
      <c r="L183">
        <f t="shared" si="26"/>
        <v>134</v>
      </c>
      <c r="M183" s="6">
        <f t="shared" si="27"/>
        <v>9.9750000000000014</v>
      </c>
      <c r="N183" s="13">
        <f t="shared" ref="N183:N246" si="33">Q183</f>
        <v>9.846919426762593</v>
      </c>
      <c r="O183" s="6">
        <f t="shared" si="30"/>
        <v>4684.1499999999996</v>
      </c>
      <c r="P183" s="6">
        <f t="shared" si="31"/>
        <v>4722.722093657907</v>
      </c>
      <c r="Q183" s="6">
        <f t="shared" si="28"/>
        <v>9.846919426762593</v>
      </c>
      <c r="T183" s="6">
        <f t="shared" si="32"/>
        <v>9.846919426762593</v>
      </c>
    </row>
    <row r="184" spans="1:20">
      <c r="B184">
        <f t="shared" si="29"/>
        <v>181</v>
      </c>
      <c r="C184">
        <f t="shared" si="23"/>
        <v>30</v>
      </c>
      <c r="D184">
        <v>153</v>
      </c>
      <c r="E184">
        <v>183</v>
      </c>
      <c r="F184">
        <f>RnSPLINE!H$9</f>
        <v>30</v>
      </c>
      <c r="G184">
        <f>RnSPLINE!H$10</f>
        <v>7.75</v>
      </c>
      <c r="H184" s="5">
        <f>RnSPLINE!M$9</f>
        <v>-4.1502493137626204E-2</v>
      </c>
      <c r="I184" s="5">
        <f>RnSPLINE!M$10</f>
        <v>2.9021153853066549E-2</v>
      </c>
      <c r="J184">
        <f t="shared" si="24"/>
        <v>6.6666666666666666E-2</v>
      </c>
      <c r="K184">
        <f t="shared" si="25"/>
        <v>0.93333333333333335</v>
      </c>
      <c r="L184">
        <f t="shared" si="26"/>
        <v>135</v>
      </c>
      <c r="M184" s="6">
        <f t="shared" si="27"/>
        <v>9.2333333333333343</v>
      </c>
      <c r="N184" s="13">
        <f t="shared" si="33"/>
        <v>9.1228431110437018</v>
      </c>
      <c r="O184" s="6">
        <f t="shared" si="30"/>
        <v>4693.3833333333332</v>
      </c>
      <c r="P184" s="6">
        <f t="shared" si="31"/>
        <v>4731.8449367689509</v>
      </c>
      <c r="Q184" s="6">
        <f t="shared" si="28"/>
        <v>9.1228431110437018</v>
      </c>
      <c r="T184" s="6">
        <f t="shared" si="32"/>
        <v>9.1228431110437018</v>
      </c>
    </row>
    <row r="185" spans="1:20">
      <c r="B185">
        <f t="shared" si="29"/>
        <v>182</v>
      </c>
      <c r="C185">
        <f t="shared" si="23"/>
        <v>30</v>
      </c>
      <c r="D185">
        <v>153</v>
      </c>
      <c r="E185">
        <v>183</v>
      </c>
      <c r="F185">
        <f>RnSPLINE!H$9</f>
        <v>30</v>
      </c>
      <c r="G185">
        <f>RnSPLINE!H$10</f>
        <v>7.75</v>
      </c>
      <c r="H185" s="5">
        <f>RnSPLINE!M$9</f>
        <v>-4.1502493137626204E-2</v>
      </c>
      <c r="I185" s="5">
        <f>RnSPLINE!M$10</f>
        <v>2.9021153853066549E-2</v>
      </c>
      <c r="J185">
        <f t="shared" si="24"/>
        <v>3.3333333333333333E-2</v>
      </c>
      <c r="K185">
        <f t="shared" si="25"/>
        <v>0.96666666666666667</v>
      </c>
      <c r="L185">
        <f t="shared" si="26"/>
        <v>136</v>
      </c>
      <c r="M185" s="6">
        <f t="shared" si="27"/>
        <v>8.4916666666666671</v>
      </c>
      <c r="N185" s="13">
        <f t="shared" si="33"/>
        <v>8.423086372711829</v>
      </c>
      <c r="O185" s="6">
        <f t="shared" si="30"/>
        <v>4701.875</v>
      </c>
      <c r="P185" s="6">
        <f t="shared" si="31"/>
        <v>4740.2680231416625</v>
      </c>
      <c r="Q185" s="6">
        <f t="shared" si="28"/>
        <v>8.423086372711829</v>
      </c>
      <c r="T185" s="6">
        <f t="shared" si="32"/>
        <v>8.423086372711829</v>
      </c>
    </row>
    <row r="186" spans="1:20">
      <c r="A186">
        <v>183</v>
      </c>
      <c r="B186">
        <f t="shared" si="29"/>
        <v>183</v>
      </c>
      <c r="C186">
        <f t="shared" si="23"/>
        <v>30</v>
      </c>
      <c r="D186">
        <v>153</v>
      </c>
      <c r="E186">
        <v>183</v>
      </c>
      <c r="F186">
        <f>RnSPLINE!H$9</f>
        <v>30</v>
      </c>
      <c r="G186">
        <f>RnSPLINE!H$10</f>
        <v>7.75</v>
      </c>
      <c r="H186" s="5">
        <f>RnSPLINE!M$9</f>
        <v>-4.1502493137626204E-2</v>
      </c>
      <c r="I186" s="5">
        <f>RnSPLINE!M$10</f>
        <v>2.9021153853066549E-2</v>
      </c>
      <c r="J186">
        <f t="shared" si="24"/>
        <v>0</v>
      </c>
      <c r="K186">
        <f t="shared" si="25"/>
        <v>1</v>
      </c>
      <c r="L186">
        <f t="shared" si="26"/>
        <v>137</v>
      </c>
      <c r="M186" s="6">
        <f t="shared" si="27"/>
        <v>7.75</v>
      </c>
      <c r="N186" s="13">
        <f t="shared" si="33"/>
        <v>7.75</v>
      </c>
      <c r="O186" s="6">
        <f t="shared" si="30"/>
        <v>4709.625</v>
      </c>
      <c r="P186" s="6">
        <f t="shared" si="31"/>
        <v>4748.0180231416625</v>
      </c>
      <c r="Q186" s="6">
        <f t="shared" si="28"/>
        <v>7.75</v>
      </c>
      <c r="T186" s="6">
        <f t="shared" si="32"/>
        <v>7.75</v>
      </c>
    </row>
    <row r="187" spans="1:20">
      <c r="B187">
        <f t="shared" si="29"/>
        <v>184</v>
      </c>
      <c r="C187">
        <f t="shared" si="23"/>
        <v>31</v>
      </c>
      <c r="D187">
        <v>183</v>
      </c>
      <c r="E187">
        <v>214</v>
      </c>
      <c r="F187">
        <f>RnSPLINE!H$10</f>
        <v>7.75</v>
      </c>
      <c r="G187">
        <f>RnSPLINE!H$11</f>
        <v>5</v>
      </c>
      <c r="H187" s="5">
        <f>RnSPLINE!M$10</f>
        <v>2.9021153853066549E-2</v>
      </c>
      <c r="I187" s="5">
        <f>RnSPLINE!M$11</f>
        <v>5.2330192243178662E-2</v>
      </c>
      <c r="J187">
        <f t="shared" si="24"/>
        <v>0.967741935483871</v>
      </c>
      <c r="K187">
        <f t="shared" si="25"/>
        <v>3.2258064516129031E-2</v>
      </c>
      <c r="L187">
        <f t="shared" si="26"/>
        <v>138</v>
      </c>
      <c r="M187" s="6">
        <f t="shared" si="27"/>
        <v>7.661290322580645</v>
      </c>
      <c r="N187" s="13">
        <f t="shared" si="33"/>
        <v>7.1056683005131003</v>
      </c>
      <c r="O187" s="6">
        <f t="shared" si="30"/>
        <v>4717.2862903225805</v>
      </c>
      <c r="P187" s="6">
        <f t="shared" si="31"/>
        <v>4755.1236914421752</v>
      </c>
      <c r="Q187" s="6">
        <f t="shared" si="28"/>
        <v>7.1056683005131003</v>
      </c>
      <c r="T187" s="6">
        <f t="shared" si="32"/>
        <v>7.1056683005131003</v>
      </c>
    </row>
    <row r="188" spans="1:20">
      <c r="B188">
        <f t="shared" si="29"/>
        <v>185</v>
      </c>
      <c r="C188">
        <f t="shared" si="23"/>
        <v>31</v>
      </c>
      <c r="D188">
        <v>183</v>
      </c>
      <c r="E188">
        <v>214</v>
      </c>
      <c r="F188">
        <f>RnSPLINE!H$10</f>
        <v>7.75</v>
      </c>
      <c r="G188">
        <f>RnSPLINE!H$11</f>
        <v>5</v>
      </c>
      <c r="H188" s="5">
        <f>RnSPLINE!M$10</f>
        <v>2.9021153853066549E-2</v>
      </c>
      <c r="I188" s="5">
        <f>RnSPLINE!M$11</f>
        <v>5.2330192243178662E-2</v>
      </c>
      <c r="J188">
        <f t="shared" si="24"/>
        <v>0.93548387096774188</v>
      </c>
      <c r="K188">
        <f t="shared" si="25"/>
        <v>6.4516129032258063E-2</v>
      </c>
      <c r="L188">
        <f t="shared" si="26"/>
        <v>139</v>
      </c>
      <c r="M188" s="6">
        <f t="shared" si="27"/>
        <v>7.57258064516129</v>
      </c>
      <c r="N188" s="13">
        <f t="shared" si="33"/>
        <v>6.4911096593434641</v>
      </c>
      <c r="O188" s="6">
        <f t="shared" si="30"/>
        <v>4724.8588709677415</v>
      </c>
      <c r="P188" s="6">
        <f t="shared" si="31"/>
        <v>4761.6148011015184</v>
      </c>
      <c r="Q188" s="6">
        <f t="shared" si="28"/>
        <v>6.4911096593434641</v>
      </c>
      <c r="T188" s="6">
        <f t="shared" si="32"/>
        <v>6.4911096593434641</v>
      </c>
    </row>
    <row r="189" spans="1:20">
      <c r="B189">
        <f t="shared" si="29"/>
        <v>186</v>
      </c>
      <c r="C189">
        <f t="shared" si="23"/>
        <v>31</v>
      </c>
      <c r="D189">
        <v>183</v>
      </c>
      <c r="E189">
        <v>214</v>
      </c>
      <c r="F189">
        <f>RnSPLINE!H$10</f>
        <v>7.75</v>
      </c>
      <c r="G189">
        <f>RnSPLINE!H$11</f>
        <v>5</v>
      </c>
      <c r="H189" s="5">
        <f>RnSPLINE!M$10</f>
        <v>2.9021153853066549E-2</v>
      </c>
      <c r="I189" s="5">
        <f>RnSPLINE!M$11</f>
        <v>5.2330192243178662E-2</v>
      </c>
      <c r="J189">
        <f t="shared" si="24"/>
        <v>0.90322580645161288</v>
      </c>
      <c r="K189">
        <f t="shared" si="25"/>
        <v>9.6774193548387094E-2</v>
      </c>
      <c r="L189">
        <f t="shared" si="26"/>
        <v>140</v>
      </c>
      <c r="M189" s="6">
        <f t="shared" si="27"/>
        <v>7.4838709677419359</v>
      </c>
      <c r="N189" s="13">
        <f t="shared" si="33"/>
        <v>5.9070759809552902</v>
      </c>
      <c r="O189" s="6">
        <f t="shared" si="30"/>
        <v>4732.342741935483</v>
      </c>
      <c r="P189" s="6">
        <f t="shared" si="31"/>
        <v>4767.521877082474</v>
      </c>
      <c r="Q189" s="6">
        <f t="shared" si="28"/>
        <v>5.9070759809552902</v>
      </c>
      <c r="T189" s="6">
        <f t="shared" si="32"/>
        <v>5.9070759809552902</v>
      </c>
    </row>
    <row r="190" spans="1:20">
      <c r="B190">
        <f t="shared" si="29"/>
        <v>187</v>
      </c>
      <c r="C190">
        <f t="shared" si="23"/>
        <v>31</v>
      </c>
      <c r="D190">
        <v>183</v>
      </c>
      <c r="E190">
        <v>214</v>
      </c>
      <c r="F190">
        <f>RnSPLINE!H$10</f>
        <v>7.75</v>
      </c>
      <c r="G190">
        <f>RnSPLINE!H$11</f>
        <v>5</v>
      </c>
      <c r="H190" s="5">
        <f>RnSPLINE!M$10</f>
        <v>2.9021153853066549E-2</v>
      </c>
      <c r="I190" s="5">
        <f>RnSPLINE!M$11</f>
        <v>5.2330192243178662E-2</v>
      </c>
      <c r="J190">
        <f t="shared" si="24"/>
        <v>0.87096774193548387</v>
      </c>
      <c r="K190">
        <f t="shared" si="25"/>
        <v>0.12903225806451613</v>
      </c>
      <c r="L190">
        <f t="shared" si="26"/>
        <v>141</v>
      </c>
      <c r="M190" s="6">
        <f t="shared" si="27"/>
        <v>7.395161290322581</v>
      </c>
      <c r="N190" s="13">
        <f t="shared" si="33"/>
        <v>5.354319169812773</v>
      </c>
      <c r="O190" s="6">
        <f t="shared" si="30"/>
        <v>4739.7379032258059</v>
      </c>
      <c r="P190" s="6">
        <f t="shared" si="31"/>
        <v>4772.8761962522867</v>
      </c>
      <c r="Q190" s="6">
        <f t="shared" si="28"/>
        <v>5.354319169812773</v>
      </c>
      <c r="T190" s="6">
        <f t="shared" si="32"/>
        <v>5.354319169812773</v>
      </c>
    </row>
    <row r="191" spans="1:20">
      <c r="B191">
        <f t="shared" si="29"/>
        <v>188</v>
      </c>
      <c r="C191">
        <f t="shared" si="23"/>
        <v>31</v>
      </c>
      <c r="D191">
        <v>183</v>
      </c>
      <c r="E191">
        <v>214</v>
      </c>
      <c r="F191">
        <f>RnSPLINE!H$10</f>
        <v>7.75</v>
      </c>
      <c r="G191">
        <f>RnSPLINE!H$11</f>
        <v>5</v>
      </c>
      <c r="H191" s="5">
        <f>RnSPLINE!M$10</f>
        <v>2.9021153853066549E-2</v>
      </c>
      <c r="I191" s="5">
        <f>RnSPLINE!M$11</f>
        <v>5.2330192243178662E-2</v>
      </c>
      <c r="J191">
        <f t="shared" si="24"/>
        <v>0.83870967741935487</v>
      </c>
      <c r="K191">
        <f t="shared" si="25"/>
        <v>0.16129032258064516</v>
      </c>
      <c r="L191">
        <f t="shared" si="26"/>
        <v>142</v>
      </c>
      <c r="M191" s="6">
        <f t="shared" si="27"/>
        <v>7.306451612903226</v>
      </c>
      <c r="N191" s="13">
        <f t="shared" si="33"/>
        <v>4.8335911303801122</v>
      </c>
      <c r="O191" s="6">
        <f t="shared" si="30"/>
        <v>4747.0443548387093</v>
      </c>
      <c r="P191" s="6">
        <f t="shared" si="31"/>
        <v>4777.7097873826669</v>
      </c>
      <c r="Q191" s="6">
        <f t="shared" si="28"/>
        <v>4.8335911303801122</v>
      </c>
      <c r="T191" s="6">
        <f t="shared" si="32"/>
        <v>4.8335911303801122</v>
      </c>
    </row>
    <row r="192" spans="1:20">
      <c r="B192">
        <f t="shared" si="29"/>
        <v>189</v>
      </c>
      <c r="C192">
        <f t="shared" si="23"/>
        <v>31</v>
      </c>
      <c r="D192">
        <v>183</v>
      </c>
      <c r="E192">
        <v>214</v>
      </c>
      <c r="F192">
        <f>RnSPLINE!H$10</f>
        <v>7.75</v>
      </c>
      <c r="G192">
        <f>RnSPLINE!H$11</f>
        <v>5</v>
      </c>
      <c r="H192" s="5">
        <f>RnSPLINE!M$10</f>
        <v>2.9021153853066549E-2</v>
      </c>
      <c r="I192" s="5">
        <f>RnSPLINE!M$11</f>
        <v>5.2330192243178662E-2</v>
      </c>
      <c r="J192">
        <f t="shared" si="24"/>
        <v>0.80645161290322576</v>
      </c>
      <c r="K192">
        <f t="shared" si="25"/>
        <v>0.19354838709677419</v>
      </c>
      <c r="L192">
        <f t="shared" si="26"/>
        <v>143</v>
      </c>
      <c r="M192" s="6">
        <f t="shared" si="27"/>
        <v>7.217741935483871</v>
      </c>
      <c r="N192" s="13">
        <f t="shared" si="33"/>
        <v>4.3456437671215022</v>
      </c>
      <c r="O192" s="6">
        <f t="shared" si="30"/>
        <v>4754.2620967741932</v>
      </c>
      <c r="P192" s="6">
        <f t="shared" si="31"/>
        <v>4782.0554311497881</v>
      </c>
      <c r="Q192" s="6">
        <f t="shared" si="28"/>
        <v>4.3456437671215022</v>
      </c>
      <c r="T192" s="6">
        <f t="shared" si="32"/>
        <v>4.3456437671215022</v>
      </c>
    </row>
    <row r="193" spans="2:20">
      <c r="B193">
        <f t="shared" si="29"/>
        <v>190</v>
      </c>
      <c r="C193">
        <f t="shared" si="23"/>
        <v>31</v>
      </c>
      <c r="D193">
        <v>183</v>
      </c>
      <c r="E193">
        <v>214</v>
      </c>
      <c r="F193">
        <f>RnSPLINE!H$10</f>
        <v>7.75</v>
      </c>
      <c r="G193">
        <f>RnSPLINE!H$11</f>
        <v>5</v>
      </c>
      <c r="H193" s="5">
        <f>RnSPLINE!M$10</f>
        <v>2.9021153853066549E-2</v>
      </c>
      <c r="I193" s="5">
        <f>RnSPLINE!M$11</f>
        <v>5.2330192243178662E-2</v>
      </c>
      <c r="J193">
        <f t="shared" si="24"/>
        <v>0.77419354838709675</v>
      </c>
      <c r="K193">
        <f t="shared" si="25"/>
        <v>0.22580645161290322</v>
      </c>
      <c r="L193">
        <f t="shared" si="26"/>
        <v>144</v>
      </c>
      <c r="M193" s="6">
        <f t="shared" si="27"/>
        <v>7.129032258064516</v>
      </c>
      <c r="N193" s="13">
        <f t="shared" si="33"/>
        <v>3.8912289845011419</v>
      </c>
      <c r="O193" s="6">
        <f t="shared" si="30"/>
        <v>4761.3911290322576</v>
      </c>
      <c r="P193" s="6">
        <f t="shared" si="31"/>
        <v>4785.9466601342892</v>
      </c>
      <c r="Q193" s="6">
        <f t="shared" si="28"/>
        <v>3.8912289845011419</v>
      </c>
      <c r="T193" s="6">
        <f t="shared" si="32"/>
        <v>3.8912289845011419</v>
      </c>
    </row>
    <row r="194" spans="2:20">
      <c r="B194">
        <f t="shared" si="29"/>
        <v>191</v>
      </c>
      <c r="C194">
        <f t="shared" si="23"/>
        <v>31</v>
      </c>
      <c r="D194">
        <v>183</v>
      </c>
      <c r="E194">
        <v>214</v>
      </c>
      <c r="F194">
        <f>RnSPLINE!H$10</f>
        <v>7.75</v>
      </c>
      <c r="G194">
        <f>RnSPLINE!H$11</f>
        <v>5</v>
      </c>
      <c r="H194" s="5">
        <f>RnSPLINE!M$10</f>
        <v>2.9021153853066549E-2</v>
      </c>
      <c r="I194" s="5">
        <f>RnSPLINE!M$11</f>
        <v>5.2330192243178662E-2</v>
      </c>
      <c r="J194">
        <f t="shared" si="24"/>
        <v>0.74193548387096775</v>
      </c>
      <c r="K194">
        <f t="shared" si="25"/>
        <v>0.25806451612903225</v>
      </c>
      <c r="L194">
        <f t="shared" si="26"/>
        <v>145</v>
      </c>
      <c r="M194" s="6">
        <f t="shared" si="27"/>
        <v>7.040322580645161</v>
      </c>
      <c r="N194" s="13">
        <f t="shared" si="33"/>
        <v>3.4710986869832294</v>
      </c>
      <c r="O194" s="6">
        <f t="shared" si="30"/>
        <v>4768.4314516129025</v>
      </c>
      <c r="P194" s="6">
        <f t="shared" si="31"/>
        <v>4789.4177588212724</v>
      </c>
      <c r="Q194" s="6">
        <f t="shared" si="28"/>
        <v>3.4710986869832294</v>
      </c>
      <c r="T194" s="6">
        <f t="shared" si="32"/>
        <v>3.4710986869832294</v>
      </c>
    </row>
    <row r="195" spans="2:20">
      <c r="B195">
        <f t="shared" si="29"/>
        <v>192</v>
      </c>
      <c r="C195">
        <f t="shared" si="23"/>
        <v>31</v>
      </c>
      <c r="D195">
        <v>183</v>
      </c>
      <c r="E195">
        <v>214</v>
      </c>
      <c r="F195">
        <f>RnSPLINE!H$10</f>
        <v>7.75</v>
      </c>
      <c r="G195">
        <f>RnSPLINE!H$11</f>
        <v>5</v>
      </c>
      <c r="H195" s="5">
        <f>RnSPLINE!M$10</f>
        <v>2.9021153853066549E-2</v>
      </c>
      <c r="I195" s="5">
        <f>RnSPLINE!M$11</f>
        <v>5.2330192243178662E-2</v>
      </c>
      <c r="J195">
        <f t="shared" si="24"/>
        <v>0.70967741935483875</v>
      </c>
      <c r="K195">
        <f t="shared" si="25"/>
        <v>0.29032258064516131</v>
      </c>
      <c r="L195">
        <f t="shared" si="26"/>
        <v>146</v>
      </c>
      <c r="M195" s="6">
        <f t="shared" si="27"/>
        <v>6.9516129032258061</v>
      </c>
      <c r="N195" s="13">
        <f t="shared" si="33"/>
        <v>3.0860047790319598</v>
      </c>
      <c r="O195" s="6">
        <f t="shared" si="30"/>
        <v>4775.3830645161279</v>
      </c>
      <c r="P195" s="6">
        <f t="shared" si="31"/>
        <v>4792.5037636003044</v>
      </c>
      <c r="Q195" s="6">
        <f t="shared" si="28"/>
        <v>3.0860047790319598</v>
      </c>
      <c r="T195" s="6">
        <f t="shared" si="32"/>
        <v>3.0860047790319598</v>
      </c>
    </row>
    <row r="196" spans="2:20">
      <c r="B196">
        <f t="shared" si="29"/>
        <v>193</v>
      </c>
      <c r="C196">
        <f t="shared" ref="C196:C259" si="34">E196-D196</f>
        <v>31</v>
      </c>
      <c r="D196">
        <v>183</v>
      </c>
      <c r="E196">
        <v>214</v>
      </c>
      <c r="F196">
        <f>RnSPLINE!H$10</f>
        <v>7.75</v>
      </c>
      <c r="G196">
        <f>RnSPLINE!H$11</f>
        <v>5</v>
      </c>
      <c r="H196" s="5">
        <f>RnSPLINE!M$10</f>
        <v>2.9021153853066549E-2</v>
      </c>
      <c r="I196" s="5">
        <f>RnSPLINE!M$11</f>
        <v>5.2330192243178662E-2</v>
      </c>
      <c r="J196">
        <f t="shared" ref="J196:J259" si="35">(E196-B196)/C196</f>
        <v>0.67741935483870963</v>
      </c>
      <c r="K196">
        <f t="shared" ref="K196:K259" si="36">(B196-D196)/C196</f>
        <v>0.32258064516129031</v>
      </c>
      <c r="L196">
        <f t="shared" ref="L196:L259" si="37">B196-46</f>
        <v>147</v>
      </c>
      <c r="M196" s="6">
        <f t="shared" ref="M196:M259" si="38">J196*F196+K196*G196</f>
        <v>6.862903225806452</v>
      </c>
      <c r="N196" s="13">
        <f t="shared" si="33"/>
        <v>2.7366991651115331</v>
      </c>
      <c r="O196" s="6">
        <f t="shared" si="30"/>
        <v>4782.2459677419347</v>
      </c>
      <c r="P196" s="6">
        <f t="shared" si="31"/>
        <v>4795.2404627654159</v>
      </c>
      <c r="Q196" s="6">
        <f t="shared" ref="Q196:Q259" si="39">M196+(((J196^3-J196)*H196+(K196^3-K196)*I196))*(C196^2)/6</f>
        <v>2.7366991651115331</v>
      </c>
      <c r="T196" s="6">
        <f t="shared" si="32"/>
        <v>2.7366991651115331</v>
      </c>
    </row>
    <row r="197" spans="2:20">
      <c r="B197">
        <f t="shared" ref="B197:B260" si="40">B196+1</f>
        <v>194</v>
      </c>
      <c r="C197">
        <f t="shared" si="34"/>
        <v>31</v>
      </c>
      <c r="D197">
        <v>183</v>
      </c>
      <c r="E197">
        <v>214</v>
      </c>
      <c r="F197">
        <f>RnSPLINE!H$10</f>
        <v>7.75</v>
      </c>
      <c r="G197">
        <f>RnSPLINE!H$11</f>
        <v>5</v>
      </c>
      <c r="H197" s="5">
        <f>RnSPLINE!M$10</f>
        <v>2.9021153853066549E-2</v>
      </c>
      <c r="I197" s="5">
        <f>RnSPLINE!M$11</f>
        <v>5.2330192243178662E-2</v>
      </c>
      <c r="J197">
        <f t="shared" si="35"/>
        <v>0.64516129032258063</v>
      </c>
      <c r="K197">
        <f t="shared" si="36"/>
        <v>0.35483870967741937</v>
      </c>
      <c r="L197">
        <f t="shared" si="37"/>
        <v>148</v>
      </c>
      <c r="M197" s="6">
        <f t="shared" si="38"/>
        <v>6.774193548387097</v>
      </c>
      <c r="N197" s="13">
        <f t="shared" si="33"/>
        <v>2.4239337496861424</v>
      </c>
      <c r="O197" s="6">
        <f t="shared" ref="O197:O260" si="41">O196+M197</f>
        <v>4789.020161290322</v>
      </c>
      <c r="P197" s="6">
        <f t="shared" ref="P197:P260" si="42">P196+N197</f>
        <v>4797.6643965151025</v>
      </c>
      <c r="Q197" s="6">
        <f t="shared" si="39"/>
        <v>2.4239337496861424</v>
      </c>
      <c r="T197" s="6">
        <f t="shared" si="32"/>
        <v>2.4239337496861424</v>
      </c>
    </row>
    <row r="198" spans="2:20">
      <c r="B198">
        <f t="shared" si="40"/>
        <v>195</v>
      </c>
      <c r="C198">
        <f t="shared" si="34"/>
        <v>31</v>
      </c>
      <c r="D198">
        <v>183</v>
      </c>
      <c r="E198">
        <v>214</v>
      </c>
      <c r="F198">
        <f>RnSPLINE!H$10</f>
        <v>7.75</v>
      </c>
      <c r="G198">
        <f>RnSPLINE!H$11</f>
        <v>5</v>
      </c>
      <c r="H198" s="5">
        <f>RnSPLINE!M$10</f>
        <v>2.9021153853066549E-2</v>
      </c>
      <c r="I198" s="5">
        <f>RnSPLINE!M$11</f>
        <v>5.2330192243178662E-2</v>
      </c>
      <c r="J198">
        <f t="shared" si="35"/>
        <v>0.61290322580645162</v>
      </c>
      <c r="K198">
        <f t="shared" si="36"/>
        <v>0.38709677419354838</v>
      </c>
      <c r="L198">
        <f t="shared" si="37"/>
        <v>149</v>
      </c>
      <c r="M198" s="6">
        <f t="shared" si="38"/>
        <v>6.685483870967742</v>
      </c>
      <c r="N198" s="13">
        <f t="shared" si="33"/>
        <v>2.1484604372199891</v>
      </c>
      <c r="O198" s="6">
        <f t="shared" si="41"/>
        <v>4795.7056451612898</v>
      </c>
      <c r="P198" s="6">
        <f t="shared" si="42"/>
        <v>4799.8128569523224</v>
      </c>
      <c r="Q198" s="6">
        <f t="shared" si="39"/>
        <v>2.1484604372199891</v>
      </c>
      <c r="T198" s="6">
        <f t="shared" si="32"/>
        <v>2.1484604372199891</v>
      </c>
    </row>
    <row r="199" spans="2:20">
      <c r="B199">
        <f t="shared" si="40"/>
        <v>196</v>
      </c>
      <c r="C199">
        <f t="shared" si="34"/>
        <v>31</v>
      </c>
      <c r="D199">
        <v>183</v>
      </c>
      <c r="E199">
        <v>214</v>
      </c>
      <c r="F199">
        <f>RnSPLINE!H$10</f>
        <v>7.75</v>
      </c>
      <c r="G199">
        <f>RnSPLINE!H$11</f>
        <v>5</v>
      </c>
      <c r="H199" s="5">
        <f>RnSPLINE!M$10</f>
        <v>2.9021153853066549E-2</v>
      </c>
      <c r="I199" s="5">
        <f>RnSPLINE!M$11</f>
        <v>5.2330192243178662E-2</v>
      </c>
      <c r="J199">
        <f t="shared" si="35"/>
        <v>0.58064516129032262</v>
      </c>
      <c r="K199">
        <f t="shared" si="36"/>
        <v>0.41935483870967744</v>
      </c>
      <c r="L199">
        <f t="shared" si="37"/>
        <v>150</v>
      </c>
      <c r="M199" s="6">
        <f t="shared" si="38"/>
        <v>6.596774193548387</v>
      </c>
      <c r="N199" s="13">
        <f t="shared" si="33"/>
        <v>1.9110311321772659</v>
      </c>
      <c r="O199" s="6">
        <f t="shared" si="41"/>
        <v>4802.3024193548381</v>
      </c>
      <c r="P199" s="6">
        <f t="shared" si="42"/>
        <v>4801.7238880844998</v>
      </c>
      <c r="Q199" s="6">
        <f t="shared" si="39"/>
        <v>1.9110311321772659</v>
      </c>
      <c r="T199" s="6">
        <f t="shared" si="32"/>
        <v>1.9110311321772659</v>
      </c>
    </row>
    <row r="200" spans="2:20">
      <c r="B200">
        <f t="shared" si="40"/>
        <v>197</v>
      </c>
      <c r="C200">
        <f t="shared" si="34"/>
        <v>31</v>
      </c>
      <c r="D200">
        <v>183</v>
      </c>
      <c r="E200">
        <v>214</v>
      </c>
      <c r="F200">
        <f>RnSPLINE!H$10</f>
        <v>7.75</v>
      </c>
      <c r="G200">
        <f>RnSPLINE!H$11</f>
        <v>5</v>
      </c>
      <c r="H200" s="5">
        <f>RnSPLINE!M$10</f>
        <v>2.9021153853066549E-2</v>
      </c>
      <c r="I200" s="5">
        <f>RnSPLINE!M$11</f>
        <v>5.2330192243178662E-2</v>
      </c>
      <c r="J200">
        <f t="shared" si="35"/>
        <v>0.54838709677419351</v>
      </c>
      <c r="K200">
        <f t="shared" si="36"/>
        <v>0.45161290322580644</v>
      </c>
      <c r="L200">
        <f t="shared" si="37"/>
        <v>151</v>
      </c>
      <c r="M200" s="6">
        <f t="shared" si="38"/>
        <v>6.508064516129032</v>
      </c>
      <c r="N200" s="13">
        <f t="shared" si="33"/>
        <v>1.7123977390221734</v>
      </c>
      <c r="O200" s="6">
        <f t="shared" si="41"/>
        <v>4808.8104838709669</v>
      </c>
      <c r="P200" s="6">
        <f t="shared" si="42"/>
        <v>4803.4362858235218</v>
      </c>
      <c r="Q200" s="6">
        <f t="shared" si="39"/>
        <v>1.7123977390221734</v>
      </c>
      <c r="T200" s="6">
        <f t="shared" si="32"/>
        <v>1.7123977390221734</v>
      </c>
    </row>
    <row r="201" spans="2:20">
      <c r="B201">
        <f t="shared" si="40"/>
        <v>198</v>
      </c>
      <c r="C201">
        <f t="shared" si="34"/>
        <v>31</v>
      </c>
      <c r="D201">
        <v>183</v>
      </c>
      <c r="E201">
        <v>214</v>
      </c>
      <c r="F201">
        <f>RnSPLINE!H$10</f>
        <v>7.75</v>
      </c>
      <c r="G201">
        <f>RnSPLINE!H$11</f>
        <v>5</v>
      </c>
      <c r="H201" s="5">
        <f>RnSPLINE!M$10</f>
        <v>2.9021153853066549E-2</v>
      </c>
      <c r="I201" s="5">
        <f>RnSPLINE!M$11</f>
        <v>5.2330192243178662E-2</v>
      </c>
      <c r="J201">
        <f t="shared" si="35"/>
        <v>0.5161290322580645</v>
      </c>
      <c r="K201">
        <f t="shared" si="36"/>
        <v>0.4838709677419355</v>
      </c>
      <c r="L201">
        <f t="shared" si="37"/>
        <v>152</v>
      </c>
      <c r="M201" s="6">
        <f t="shared" si="38"/>
        <v>6.4193548387096779</v>
      </c>
      <c r="N201" s="13">
        <f t="shared" si="33"/>
        <v>1.5533121622189077</v>
      </c>
      <c r="O201" s="6">
        <f t="shared" si="41"/>
        <v>4815.2298387096762</v>
      </c>
      <c r="P201" s="6">
        <f t="shared" si="42"/>
        <v>4804.9895979857411</v>
      </c>
      <c r="Q201" s="6">
        <f t="shared" si="39"/>
        <v>1.5533121622189077</v>
      </c>
      <c r="T201" s="6">
        <f t="shared" si="32"/>
        <v>1.5533121622189077</v>
      </c>
    </row>
    <row r="202" spans="2:20">
      <c r="B202">
        <f t="shared" si="40"/>
        <v>199</v>
      </c>
      <c r="C202">
        <f t="shared" si="34"/>
        <v>31</v>
      </c>
      <c r="D202">
        <v>183</v>
      </c>
      <c r="E202">
        <v>214</v>
      </c>
      <c r="F202">
        <f>RnSPLINE!H$10</f>
        <v>7.75</v>
      </c>
      <c r="G202">
        <f>RnSPLINE!H$11</f>
        <v>5</v>
      </c>
      <c r="H202" s="5">
        <f>RnSPLINE!M$10</f>
        <v>2.9021153853066549E-2</v>
      </c>
      <c r="I202" s="5">
        <f>RnSPLINE!M$11</f>
        <v>5.2330192243178662E-2</v>
      </c>
      <c r="J202">
        <f t="shared" si="35"/>
        <v>0.4838709677419355</v>
      </c>
      <c r="K202">
        <f t="shared" si="36"/>
        <v>0.5161290322580645</v>
      </c>
      <c r="L202">
        <f t="shared" si="37"/>
        <v>153</v>
      </c>
      <c r="M202" s="6">
        <f t="shared" si="38"/>
        <v>6.3306451612903221</v>
      </c>
      <c r="N202" s="13">
        <f t="shared" si="33"/>
        <v>1.4345263062316658</v>
      </c>
      <c r="O202" s="6">
        <f t="shared" si="41"/>
        <v>4821.5604838709669</v>
      </c>
      <c r="P202" s="6">
        <f t="shared" si="42"/>
        <v>4806.4241242919725</v>
      </c>
      <c r="Q202" s="6">
        <f t="shared" si="39"/>
        <v>1.4345263062316658</v>
      </c>
      <c r="T202" s="6">
        <f t="shared" si="32"/>
        <v>1.4345263062316658</v>
      </c>
    </row>
    <row r="203" spans="2:20">
      <c r="B203">
        <f t="shared" si="40"/>
        <v>200</v>
      </c>
      <c r="C203">
        <f t="shared" si="34"/>
        <v>31</v>
      </c>
      <c r="D203">
        <v>183</v>
      </c>
      <c r="E203">
        <v>214</v>
      </c>
      <c r="F203">
        <f>RnSPLINE!H$10</f>
        <v>7.75</v>
      </c>
      <c r="G203">
        <f>RnSPLINE!H$11</f>
        <v>5</v>
      </c>
      <c r="H203" s="5">
        <f>RnSPLINE!M$10</f>
        <v>2.9021153853066549E-2</v>
      </c>
      <c r="I203" s="5">
        <f>RnSPLINE!M$11</f>
        <v>5.2330192243178662E-2</v>
      </c>
      <c r="J203">
        <f t="shared" si="35"/>
        <v>0.45161290322580644</v>
      </c>
      <c r="K203">
        <f t="shared" si="36"/>
        <v>0.54838709677419351</v>
      </c>
      <c r="L203">
        <f t="shared" si="37"/>
        <v>154</v>
      </c>
      <c r="M203" s="6">
        <f t="shared" si="38"/>
        <v>6.241935483870968</v>
      </c>
      <c r="N203" s="13">
        <f t="shared" si="33"/>
        <v>1.3567920755246465</v>
      </c>
      <c r="O203" s="6">
        <f t="shared" si="41"/>
        <v>4827.8024193548381</v>
      </c>
      <c r="P203" s="6">
        <f t="shared" si="42"/>
        <v>4807.7809163674974</v>
      </c>
      <c r="Q203" s="6">
        <f t="shared" si="39"/>
        <v>1.3567920755246465</v>
      </c>
      <c r="T203" s="6">
        <f t="shared" si="32"/>
        <v>1.3567920755246465</v>
      </c>
    </row>
    <row r="204" spans="2:20">
      <c r="B204">
        <f t="shared" si="40"/>
        <v>201</v>
      </c>
      <c r="C204">
        <f t="shared" si="34"/>
        <v>31</v>
      </c>
      <c r="D204">
        <v>183</v>
      </c>
      <c r="E204">
        <v>214</v>
      </c>
      <c r="F204">
        <f>RnSPLINE!H$10</f>
        <v>7.75</v>
      </c>
      <c r="G204">
        <f>RnSPLINE!H$11</f>
        <v>5</v>
      </c>
      <c r="H204" s="5">
        <f>RnSPLINE!M$10</f>
        <v>2.9021153853066549E-2</v>
      </c>
      <c r="I204" s="5">
        <f>RnSPLINE!M$11</f>
        <v>5.2330192243178662E-2</v>
      </c>
      <c r="J204">
        <f t="shared" si="35"/>
        <v>0.41935483870967744</v>
      </c>
      <c r="K204">
        <f t="shared" si="36"/>
        <v>0.58064516129032262</v>
      </c>
      <c r="L204">
        <f t="shared" si="37"/>
        <v>155</v>
      </c>
      <c r="M204" s="6">
        <f t="shared" si="38"/>
        <v>6.153225806451613</v>
      </c>
      <c r="N204" s="13">
        <f t="shared" si="33"/>
        <v>1.3208613745620443</v>
      </c>
      <c r="O204" s="6">
        <f t="shared" si="41"/>
        <v>4833.9556451612898</v>
      </c>
      <c r="P204" s="6">
        <f t="shared" si="42"/>
        <v>4809.1017777420593</v>
      </c>
      <c r="Q204" s="6">
        <f t="shared" si="39"/>
        <v>1.3208613745620443</v>
      </c>
      <c r="T204" s="6">
        <f t="shared" si="32"/>
        <v>1.3208613745620443</v>
      </c>
    </row>
    <row r="205" spans="2:20">
      <c r="B205">
        <f t="shared" si="40"/>
        <v>202</v>
      </c>
      <c r="C205">
        <f t="shared" si="34"/>
        <v>31</v>
      </c>
      <c r="D205">
        <v>183</v>
      </c>
      <c r="E205">
        <v>214</v>
      </c>
      <c r="F205">
        <f>RnSPLINE!H$10</f>
        <v>7.75</v>
      </c>
      <c r="G205">
        <f>RnSPLINE!H$11</f>
        <v>5</v>
      </c>
      <c r="H205" s="5">
        <f>RnSPLINE!M$10</f>
        <v>2.9021153853066549E-2</v>
      </c>
      <c r="I205" s="5">
        <f>RnSPLINE!M$11</f>
        <v>5.2330192243178662E-2</v>
      </c>
      <c r="J205">
        <f t="shared" si="35"/>
        <v>0.38709677419354838</v>
      </c>
      <c r="K205">
        <f t="shared" si="36"/>
        <v>0.61290322580645162</v>
      </c>
      <c r="L205">
        <f t="shared" si="37"/>
        <v>156</v>
      </c>
      <c r="M205" s="6">
        <f t="shared" si="38"/>
        <v>6.064516129032258</v>
      </c>
      <c r="N205" s="13">
        <f t="shared" si="33"/>
        <v>1.327486107808058</v>
      </c>
      <c r="O205" s="6">
        <f t="shared" si="41"/>
        <v>4840.020161290322</v>
      </c>
      <c r="P205" s="6">
        <f t="shared" si="42"/>
        <v>4810.4292638498673</v>
      </c>
      <c r="Q205" s="6">
        <f t="shared" si="39"/>
        <v>1.327486107808058</v>
      </c>
      <c r="T205" s="6">
        <f t="shared" si="32"/>
        <v>1.327486107808058</v>
      </c>
    </row>
    <row r="206" spans="2:20">
      <c r="B206">
        <f t="shared" si="40"/>
        <v>203</v>
      </c>
      <c r="C206">
        <f t="shared" si="34"/>
        <v>31</v>
      </c>
      <c r="D206">
        <v>183</v>
      </c>
      <c r="E206">
        <v>214</v>
      </c>
      <c r="F206">
        <f>RnSPLINE!H$10</f>
        <v>7.75</v>
      </c>
      <c r="G206">
        <f>RnSPLINE!H$11</f>
        <v>5</v>
      </c>
      <c r="H206" s="5">
        <f>RnSPLINE!M$10</f>
        <v>2.9021153853066549E-2</v>
      </c>
      <c r="I206" s="5">
        <f>RnSPLINE!M$11</f>
        <v>5.2330192243178662E-2</v>
      </c>
      <c r="J206">
        <f t="shared" si="35"/>
        <v>0.35483870967741937</v>
      </c>
      <c r="K206">
        <f t="shared" si="36"/>
        <v>0.64516129032258063</v>
      </c>
      <c r="L206">
        <f t="shared" si="37"/>
        <v>157</v>
      </c>
      <c r="M206" s="6">
        <f t="shared" si="38"/>
        <v>5.975806451612903</v>
      </c>
      <c r="N206" s="13">
        <f t="shared" si="33"/>
        <v>1.3774181797268836</v>
      </c>
      <c r="O206" s="6">
        <f t="shared" si="41"/>
        <v>4845.9959677419347</v>
      </c>
      <c r="P206" s="6">
        <f t="shared" si="42"/>
        <v>4811.8066820295944</v>
      </c>
      <c r="Q206" s="6">
        <f t="shared" si="39"/>
        <v>1.3774181797268836</v>
      </c>
      <c r="T206" s="6">
        <f t="shared" si="32"/>
        <v>1.3774181797268836</v>
      </c>
    </row>
    <row r="207" spans="2:20">
      <c r="B207">
        <f t="shared" si="40"/>
        <v>204</v>
      </c>
      <c r="C207">
        <f t="shared" si="34"/>
        <v>31</v>
      </c>
      <c r="D207">
        <v>183</v>
      </c>
      <c r="E207">
        <v>214</v>
      </c>
      <c r="F207">
        <f>RnSPLINE!H$10</f>
        <v>7.75</v>
      </c>
      <c r="G207">
        <f>RnSPLINE!H$11</f>
        <v>5</v>
      </c>
      <c r="H207" s="5">
        <f>RnSPLINE!M$10</f>
        <v>2.9021153853066549E-2</v>
      </c>
      <c r="I207" s="5">
        <f>RnSPLINE!M$11</f>
        <v>5.2330192243178662E-2</v>
      </c>
      <c r="J207">
        <f t="shared" si="35"/>
        <v>0.32258064516129031</v>
      </c>
      <c r="K207">
        <f t="shared" si="36"/>
        <v>0.67741935483870963</v>
      </c>
      <c r="L207">
        <f t="shared" si="37"/>
        <v>158</v>
      </c>
      <c r="M207" s="6">
        <f t="shared" si="38"/>
        <v>5.887096774193548</v>
      </c>
      <c r="N207" s="13">
        <f t="shared" si="33"/>
        <v>1.4714094947827201</v>
      </c>
      <c r="O207" s="6">
        <f t="shared" si="41"/>
        <v>4851.8830645161279</v>
      </c>
      <c r="P207" s="6">
        <f t="shared" si="42"/>
        <v>4813.2780915243775</v>
      </c>
      <c r="Q207" s="6">
        <f t="shared" si="39"/>
        <v>1.4714094947827201</v>
      </c>
      <c r="T207" s="6">
        <f t="shared" si="32"/>
        <v>1.4714094947827201</v>
      </c>
    </row>
    <row r="208" spans="2:20">
      <c r="B208">
        <f t="shared" si="40"/>
        <v>205</v>
      </c>
      <c r="C208">
        <f t="shared" si="34"/>
        <v>31</v>
      </c>
      <c r="D208">
        <v>183</v>
      </c>
      <c r="E208">
        <v>214</v>
      </c>
      <c r="F208">
        <f>RnSPLINE!H$10</f>
        <v>7.75</v>
      </c>
      <c r="G208">
        <f>RnSPLINE!H$11</f>
        <v>5</v>
      </c>
      <c r="H208" s="5">
        <f>RnSPLINE!M$10</f>
        <v>2.9021153853066549E-2</v>
      </c>
      <c r="I208" s="5">
        <f>RnSPLINE!M$11</f>
        <v>5.2330192243178662E-2</v>
      </c>
      <c r="J208">
        <f t="shared" si="35"/>
        <v>0.29032258064516131</v>
      </c>
      <c r="K208">
        <f t="shared" si="36"/>
        <v>0.70967741935483875</v>
      </c>
      <c r="L208">
        <f t="shared" si="37"/>
        <v>159</v>
      </c>
      <c r="M208" s="6">
        <f t="shared" si="38"/>
        <v>5.7983870967741939</v>
      </c>
      <c r="N208" s="13">
        <f t="shared" si="33"/>
        <v>1.6102119574397644</v>
      </c>
      <c r="O208" s="6">
        <f t="shared" si="41"/>
        <v>4857.6814516129025</v>
      </c>
      <c r="P208" s="6">
        <f t="shared" si="42"/>
        <v>4814.8883034818173</v>
      </c>
      <c r="Q208" s="6">
        <f t="shared" si="39"/>
        <v>1.6102119574397644</v>
      </c>
      <c r="T208" s="6">
        <f t="shared" si="32"/>
        <v>1.6102119574397644</v>
      </c>
    </row>
    <row r="209" spans="1:20">
      <c r="B209">
        <f t="shared" si="40"/>
        <v>206</v>
      </c>
      <c r="C209">
        <f t="shared" si="34"/>
        <v>31</v>
      </c>
      <c r="D209">
        <v>183</v>
      </c>
      <c r="E209">
        <v>214</v>
      </c>
      <c r="F209">
        <f>RnSPLINE!H$10</f>
        <v>7.75</v>
      </c>
      <c r="G209">
        <f>RnSPLINE!H$11</f>
        <v>5</v>
      </c>
      <c r="H209" s="5">
        <f>RnSPLINE!M$10</f>
        <v>2.9021153853066549E-2</v>
      </c>
      <c r="I209" s="5">
        <f>RnSPLINE!M$11</f>
        <v>5.2330192243178662E-2</v>
      </c>
      <c r="J209">
        <f t="shared" si="35"/>
        <v>0.25806451612903225</v>
      </c>
      <c r="K209">
        <f t="shared" si="36"/>
        <v>0.74193548387096775</v>
      </c>
      <c r="L209">
        <f t="shared" si="37"/>
        <v>160</v>
      </c>
      <c r="M209" s="6">
        <f t="shared" si="38"/>
        <v>5.709677419354839</v>
      </c>
      <c r="N209" s="13">
        <f t="shared" si="33"/>
        <v>1.7945774721622114</v>
      </c>
      <c r="O209" s="6">
        <f t="shared" si="41"/>
        <v>4863.3911290322576</v>
      </c>
      <c r="P209" s="6">
        <f t="shared" si="42"/>
        <v>4816.6828809539793</v>
      </c>
      <c r="Q209" s="6">
        <f t="shared" si="39"/>
        <v>1.7945774721622114</v>
      </c>
      <c r="T209" s="6">
        <f t="shared" si="32"/>
        <v>1.7945774721622114</v>
      </c>
    </row>
    <row r="210" spans="1:20">
      <c r="B210">
        <f t="shared" si="40"/>
        <v>207</v>
      </c>
      <c r="C210">
        <f t="shared" si="34"/>
        <v>31</v>
      </c>
      <c r="D210">
        <v>183</v>
      </c>
      <c r="E210">
        <v>214</v>
      </c>
      <c r="F210">
        <f>RnSPLINE!H$10</f>
        <v>7.75</v>
      </c>
      <c r="G210">
        <f>RnSPLINE!H$11</f>
        <v>5</v>
      </c>
      <c r="H210" s="5">
        <f>RnSPLINE!M$10</f>
        <v>2.9021153853066549E-2</v>
      </c>
      <c r="I210" s="5">
        <f>RnSPLINE!M$11</f>
        <v>5.2330192243178662E-2</v>
      </c>
      <c r="J210">
        <f t="shared" si="35"/>
        <v>0.22580645161290322</v>
      </c>
      <c r="K210">
        <f t="shared" si="36"/>
        <v>0.77419354838709675</v>
      </c>
      <c r="L210">
        <f t="shared" si="37"/>
        <v>161</v>
      </c>
      <c r="M210" s="6">
        <f t="shared" si="38"/>
        <v>5.620967741935484</v>
      </c>
      <c r="N210" s="13">
        <f t="shared" si="33"/>
        <v>2.0252579434142599</v>
      </c>
      <c r="O210" s="6">
        <f t="shared" si="41"/>
        <v>4869.0120967741932</v>
      </c>
      <c r="P210" s="6">
        <f t="shared" si="42"/>
        <v>4818.7081388973938</v>
      </c>
      <c r="Q210" s="6">
        <f t="shared" si="39"/>
        <v>2.0252579434142599</v>
      </c>
      <c r="T210" s="6">
        <f t="shared" si="32"/>
        <v>2.0252579434142599</v>
      </c>
    </row>
    <row r="211" spans="1:20">
      <c r="B211">
        <f t="shared" si="40"/>
        <v>208</v>
      </c>
      <c r="C211">
        <f t="shared" si="34"/>
        <v>31</v>
      </c>
      <c r="D211">
        <v>183</v>
      </c>
      <c r="E211">
        <v>214</v>
      </c>
      <c r="F211">
        <f>RnSPLINE!H$10</f>
        <v>7.75</v>
      </c>
      <c r="G211">
        <f>RnSPLINE!H$11</f>
        <v>5</v>
      </c>
      <c r="H211" s="5">
        <f>RnSPLINE!M$10</f>
        <v>2.9021153853066549E-2</v>
      </c>
      <c r="I211" s="5">
        <f>RnSPLINE!M$11</f>
        <v>5.2330192243178662E-2</v>
      </c>
      <c r="J211">
        <f t="shared" si="35"/>
        <v>0.19354838709677419</v>
      </c>
      <c r="K211">
        <f t="shared" si="36"/>
        <v>0.80645161290322576</v>
      </c>
      <c r="L211">
        <f t="shared" si="37"/>
        <v>162</v>
      </c>
      <c r="M211" s="6">
        <f t="shared" si="38"/>
        <v>5.532258064516129</v>
      </c>
      <c r="N211" s="13">
        <f t="shared" si="33"/>
        <v>2.303005275660106</v>
      </c>
      <c r="O211" s="6">
        <f t="shared" si="41"/>
        <v>4874.5443548387093</v>
      </c>
      <c r="P211" s="6">
        <f t="shared" si="42"/>
        <v>4821.0111441730542</v>
      </c>
      <c r="Q211" s="6">
        <f t="shared" si="39"/>
        <v>2.303005275660106</v>
      </c>
      <c r="T211" s="6">
        <f t="shared" si="32"/>
        <v>2.303005275660106</v>
      </c>
    </row>
    <row r="212" spans="1:20">
      <c r="B212">
        <f t="shared" si="40"/>
        <v>209</v>
      </c>
      <c r="C212">
        <f t="shared" si="34"/>
        <v>31</v>
      </c>
      <c r="D212">
        <v>183</v>
      </c>
      <c r="E212">
        <v>214</v>
      </c>
      <c r="F212">
        <f>RnSPLINE!H$10</f>
        <v>7.75</v>
      </c>
      <c r="G212">
        <f>RnSPLINE!H$11</f>
        <v>5</v>
      </c>
      <c r="H212" s="5">
        <f>RnSPLINE!M$10</f>
        <v>2.9021153853066549E-2</v>
      </c>
      <c r="I212" s="5">
        <f>RnSPLINE!M$11</f>
        <v>5.2330192243178662E-2</v>
      </c>
      <c r="J212">
        <f t="shared" si="35"/>
        <v>0.16129032258064516</v>
      </c>
      <c r="K212">
        <f t="shared" si="36"/>
        <v>0.83870967741935487</v>
      </c>
      <c r="L212">
        <f t="shared" si="37"/>
        <v>163</v>
      </c>
      <c r="M212" s="6">
        <f t="shared" si="38"/>
        <v>5.443548387096774</v>
      </c>
      <c r="N212" s="13">
        <f t="shared" si="33"/>
        <v>2.6285713733639504</v>
      </c>
      <c r="O212" s="6">
        <f t="shared" si="41"/>
        <v>4879.9879032258059</v>
      </c>
      <c r="P212" s="6">
        <f t="shared" si="42"/>
        <v>4823.6397155464183</v>
      </c>
      <c r="Q212" s="6">
        <f t="shared" si="39"/>
        <v>2.6285713733639504</v>
      </c>
      <c r="T212" s="6">
        <f t="shared" si="32"/>
        <v>2.6285713733639504</v>
      </c>
    </row>
    <row r="213" spans="1:20">
      <c r="B213">
        <f t="shared" si="40"/>
        <v>210</v>
      </c>
      <c r="C213">
        <f t="shared" si="34"/>
        <v>31</v>
      </c>
      <c r="D213">
        <v>183</v>
      </c>
      <c r="E213">
        <v>214</v>
      </c>
      <c r="F213">
        <f>RnSPLINE!H$10</f>
        <v>7.75</v>
      </c>
      <c r="G213">
        <f>RnSPLINE!H$11</f>
        <v>5</v>
      </c>
      <c r="H213" s="5">
        <f>RnSPLINE!M$10</f>
        <v>2.9021153853066549E-2</v>
      </c>
      <c r="I213" s="5">
        <f>RnSPLINE!M$11</f>
        <v>5.2330192243178662E-2</v>
      </c>
      <c r="J213">
        <f t="shared" si="35"/>
        <v>0.12903225806451613</v>
      </c>
      <c r="K213">
        <f t="shared" si="36"/>
        <v>0.87096774193548387</v>
      </c>
      <c r="L213">
        <f t="shared" si="37"/>
        <v>164</v>
      </c>
      <c r="M213" s="6">
        <f t="shared" si="38"/>
        <v>5.354838709677419</v>
      </c>
      <c r="N213" s="13">
        <f t="shared" si="33"/>
        <v>3.0027081409899847</v>
      </c>
      <c r="O213" s="6">
        <f t="shared" si="41"/>
        <v>4885.342741935483</v>
      </c>
      <c r="P213" s="6">
        <f t="shared" si="42"/>
        <v>4826.6424236874082</v>
      </c>
      <c r="Q213" s="6">
        <f t="shared" si="39"/>
        <v>3.0027081409899847</v>
      </c>
      <c r="T213" s="6">
        <f t="shared" si="32"/>
        <v>3.0027081409899847</v>
      </c>
    </row>
    <row r="214" spans="1:20">
      <c r="B214">
        <f t="shared" si="40"/>
        <v>211</v>
      </c>
      <c r="C214">
        <f t="shared" si="34"/>
        <v>31</v>
      </c>
      <c r="D214">
        <v>183</v>
      </c>
      <c r="E214">
        <v>214</v>
      </c>
      <c r="F214">
        <f>RnSPLINE!H$10</f>
        <v>7.75</v>
      </c>
      <c r="G214">
        <f>RnSPLINE!H$11</f>
        <v>5</v>
      </c>
      <c r="H214" s="5">
        <f>RnSPLINE!M$10</f>
        <v>2.9021153853066549E-2</v>
      </c>
      <c r="I214" s="5">
        <f>RnSPLINE!M$11</f>
        <v>5.2330192243178662E-2</v>
      </c>
      <c r="J214">
        <f t="shared" si="35"/>
        <v>9.6774193548387094E-2</v>
      </c>
      <c r="K214">
        <f t="shared" si="36"/>
        <v>0.90322580645161288</v>
      </c>
      <c r="L214">
        <f t="shared" si="37"/>
        <v>165</v>
      </c>
      <c r="M214" s="6">
        <f t="shared" si="38"/>
        <v>5.2661290322580641</v>
      </c>
      <c r="N214" s="13">
        <f t="shared" si="33"/>
        <v>3.42616748300241</v>
      </c>
      <c r="O214" s="6">
        <f t="shared" si="41"/>
        <v>4890.6088709677415</v>
      </c>
      <c r="P214" s="6">
        <f t="shared" si="42"/>
        <v>4830.0685911704104</v>
      </c>
      <c r="Q214" s="6">
        <f t="shared" si="39"/>
        <v>3.42616748300241</v>
      </c>
      <c r="T214" s="6">
        <f t="shared" si="32"/>
        <v>3.42616748300241</v>
      </c>
    </row>
    <row r="215" spans="1:20">
      <c r="B215">
        <f t="shared" si="40"/>
        <v>212</v>
      </c>
      <c r="C215">
        <f t="shared" si="34"/>
        <v>31</v>
      </c>
      <c r="D215">
        <v>183</v>
      </c>
      <c r="E215">
        <v>214</v>
      </c>
      <c r="F215">
        <f>RnSPLINE!H$10</f>
        <v>7.75</v>
      </c>
      <c r="G215">
        <f>RnSPLINE!H$11</f>
        <v>5</v>
      </c>
      <c r="H215" s="5">
        <f>RnSPLINE!M$10</f>
        <v>2.9021153853066549E-2</v>
      </c>
      <c r="I215" s="5">
        <f>RnSPLINE!M$11</f>
        <v>5.2330192243178662E-2</v>
      </c>
      <c r="J215">
        <f t="shared" si="35"/>
        <v>6.4516129032258063E-2</v>
      </c>
      <c r="K215">
        <f t="shared" si="36"/>
        <v>0.93548387096774188</v>
      </c>
      <c r="L215">
        <f t="shared" si="37"/>
        <v>166</v>
      </c>
      <c r="M215" s="6">
        <f t="shared" si="38"/>
        <v>5.1774193548387091</v>
      </c>
      <c r="N215" s="13">
        <f t="shared" si="33"/>
        <v>3.899701303865422</v>
      </c>
      <c r="O215" s="6">
        <f t="shared" si="41"/>
        <v>4895.7862903225805</v>
      </c>
      <c r="P215" s="6">
        <f t="shared" si="42"/>
        <v>4833.9682924742756</v>
      </c>
      <c r="Q215" s="6">
        <f t="shared" si="39"/>
        <v>3.899701303865422</v>
      </c>
      <c r="T215" s="6">
        <f t="shared" si="32"/>
        <v>3.899701303865422</v>
      </c>
    </row>
    <row r="216" spans="1:20">
      <c r="B216">
        <f t="shared" si="40"/>
        <v>213</v>
      </c>
      <c r="C216">
        <f t="shared" si="34"/>
        <v>31</v>
      </c>
      <c r="D216">
        <v>183</v>
      </c>
      <c r="E216">
        <v>214</v>
      </c>
      <c r="F216">
        <f>RnSPLINE!H$10</f>
        <v>7.75</v>
      </c>
      <c r="G216">
        <f>RnSPLINE!H$11</f>
        <v>5</v>
      </c>
      <c r="H216" s="5">
        <f>RnSPLINE!M$10</f>
        <v>2.9021153853066549E-2</v>
      </c>
      <c r="I216" s="5">
        <f>RnSPLINE!M$11</f>
        <v>5.2330192243178662E-2</v>
      </c>
      <c r="J216">
        <f t="shared" si="35"/>
        <v>3.2258064516129031E-2</v>
      </c>
      <c r="K216">
        <f t="shared" si="36"/>
        <v>0.967741935483871</v>
      </c>
      <c r="L216">
        <f t="shared" si="37"/>
        <v>167</v>
      </c>
      <c r="M216" s="6">
        <f t="shared" si="38"/>
        <v>5.088709677419355</v>
      </c>
      <c r="N216" s="13">
        <f t="shared" si="33"/>
        <v>4.4240615080432217</v>
      </c>
      <c r="O216" s="6">
        <f t="shared" si="41"/>
        <v>4900.875</v>
      </c>
      <c r="P216" s="6">
        <f t="shared" si="42"/>
        <v>4838.392353982319</v>
      </c>
      <c r="Q216" s="6">
        <f t="shared" si="39"/>
        <v>4.4240615080432217</v>
      </c>
      <c r="T216" s="6">
        <f t="shared" si="32"/>
        <v>4.4240615080432217</v>
      </c>
    </row>
    <row r="217" spans="1:20">
      <c r="A217">
        <v>214</v>
      </c>
      <c r="B217">
        <f t="shared" si="40"/>
        <v>214</v>
      </c>
      <c r="C217">
        <f t="shared" si="34"/>
        <v>31</v>
      </c>
      <c r="D217">
        <v>183</v>
      </c>
      <c r="E217">
        <v>214</v>
      </c>
      <c r="F217">
        <f>RnSPLINE!H$10</f>
        <v>7.75</v>
      </c>
      <c r="G217">
        <f>RnSPLINE!H$11</f>
        <v>5</v>
      </c>
      <c r="H217" s="5">
        <f>RnSPLINE!M$10</f>
        <v>2.9021153853066549E-2</v>
      </c>
      <c r="I217" s="5">
        <f>RnSPLINE!M$11</f>
        <v>5.2330192243178662E-2</v>
      </c>
      <c r="J217">
        <f t="shared" si="35"/>
        <v>0</v>
      </c>
      <c r="K217">
        <f t="shared" si="36"/>
        <v>1</v>
      </c>
      <c r="L217">
        <f t="shared" si="37"/>
        <v>168</v>
      </c>
      <c r="M217" s="6">
        <f t="shared" si="38"/>
        <v>5</v>
      </c>
      <c r="N217" s="13">
        <f t="shared" si="33"/>
        <v>5</v>
      </c>
      <c r="O217" s="6">
        <f t="shared" si="41"/>
        <v>4905.875</v>
      </c>
      <c r="P217" s="6">
        <f t="shared" si="42"/>
        <v>4843.392353982319</v>
      </c>
      <c r="Q217" s="6">
        <f t="shared" si="39"/>
        <v>5</v>
      </c>
      <c r="T217" s="6">
        <f t="shared" si="32"/>
        <v>5</v>
      </c>
    </row>
    <row r="218" spans="1:20">
      <c r="B218">
        <f t="shared" si="40"/>
        <v>215</v>
      </c>
      <c r="C218">
        <f t="shared" si="34"/>
        <v>30</v>
      </c>
      <c r="D218">
        <v>214</v>
      </c>
      <c r="E218">
        <v>244</v>
      </c>
      <c r="F218">
        <f>RnSPLINE!H$11</f>
        <v>5</v>
      </c>
      <c r="G218">
        <f>RnSPLINE!H$12</f>
        <v>31</v>
      </c>
      <c r="H218" s="5">
        <f>RnSPLINE!M$11</f>
        <v>5.2330192243178662E-2</v>
      </c>
      <c r="I218" s="5">
        <f>RnSPLINE!M$12</f>
        <v>-5.1722705286557695E-2</v>
      </c>
      <c r="J218">
        <f t="shared" si="35"/>
        <v>0.96666666666666667</v>
      </c>
      <c r="K218">
        <f t="shared" si="36"/>
        <v>3.3333333333333333E-2</v>
      </c>
      <c r="L218">
        <f t="shared" si="37"/>
        <v>169</v>
      </c>
      <c r="M218" s="6">
        <f t="shared" si="38"/>
        <v>5.8666666666666663</v>
      </c>
      <c r="N218" s="13">
        <f t="shared" si="33"/>
        <v>5.6275652951363142</v>
      </c>
      <c r="O218" s="6">
        <f t="shared" si="41"/>
        <v>4911.7416666666668</v>
      </c>
      <c r="P218" s="6">
        <f t="shared" si="42"/>
        <v>4849.0199192774553</v>
      </c>
      <c r="Q218" s="6">
        <f t="shared" si="39"/>
        <v>5.6275652951363142</v>
      </c>
      <c r="T218" s="6">
        <f t="shared" si="32"/>
        <v>5.6275652951363142</v>
      </c>
    </row>
    <row r="219" spans="1:20">
      <c r="B219">
        <f t="shared" si="40"/>
        <v>216</v>
      </c>
      <c r="C219">
        <f t="shared" si="34"/>
        <v>30</v>
      </c>
      <c r="D219">
        <v>214</v>
      </c>
      <c r="E219">
        <v>244</v>
      </c>
      <c r="F219">
        <f>RnSPLINE!H$11</f>
        <v>5</v>
      </c>
      <c r="G219">
        <f>RnSPLINE!H$12</f>
        <v>31</v>
      </c>
      <c r="H219" s="5">
        <f>RnSPLINE!M$11</f>
        <v>5.2330192243178662E-2</v>
      </c>
      <c r="I219" s="5">
        <f>RnSPLINE!M$12</f>
        <v>-5.1722705286557695E-2</v>
      </c>
      <c r="J219">
        <f t="shared" si="35"/>
        <v>0.93333333333333335</v>
      </c>
      <c r="K219">
        <f t="shared" si="36"/>
        <v>6.6666666666666666E-2</v>
      </c>
      <c r="L219">
        <f t="shared" si="37"/>
        <v>170</v>
      </c>
      <c r="M219" s="6">
        <f t="shared" si="38"/>
        <v>6.7333333333333334</v>
      </c>
      <c r="N219" s="13">
        <f t="shared" si="33"/>
        <v>6.3039923525981507</v>
      </c>
      <c r="O219" s="6">
        <f t="shared" si="41"/>
        <v>4918.4750000000004</v>
      </c>
      <c r="P219" s="6">
        <f t="shared" si="42"/>
        <v>4855.3239116300538</v>
      </c>
      <c r="Q219" s="6">
        <f t="shared" si="39"/>
        <v>6.3039923525981507</v>
      </c>
      <c r="T219" s="6">
        <f t="shared" si="32"/>
        <v>6.3039923525981507</v>
      </c>
    </row>
    <row r="220" spans="1:20">
      <c r="B220">
        <f t="shared" si="40"/>
        <v>217</v>
      </c>
      <c r="C220">
        <f t="shared" si="34"/>
        <v>30</v>
      </c>
      <c r="D220">
        <v>214</v>
      </c>
      <c r="E220">
        <v>244</v>
      </c>
      <c r="F220">
        <f>RnSPLINE!H$11</f>
        <v>5</v>
      </c>
      <c r="G220">
        <f>RnSPLINE!H$12</f>
        <v>31</v>
      </c>
      <c r="H220" s="5">
        <f>RnSPLINE!M$11</f>
        <v>5.2330192243178662E-2</v>
      </c>
      <c r="I220" s="5">
        <f>RnSPLINE!M$12</f>
        <v>-5.1722705286557695E-2</v>
      </c>
      <c r="J220">
        <f t="shared" si="35"/>
        <v>0.9</v>
      </c>
      <c r="K220">
        <f t="shared" si="36"/>
        <v>0.1</v>
      </c>
      <c r="L220">
        <f t="shared" si="37"/>
        <v>171</v>
      </c>
      <c r="M220" s="6">
        <f t="shared" si="38"/>
        <v>7.6</v>
      </c>
      <c r="N220" s="13">
        <f t="shared" si="33"/>
        <v>7.0258127424678491</v>
      </c>
      <c r="O220" s="6">
        <f t="shared" si="41"/>
        <v>4926.0750000000007</v>
      </c>
      <c r="P220" s="6">
        <f t="shared" si="42"/>
        <v>4862.3497243725215</v>
      </c>
      <c r="Q220" s="6">
        <f t="shared" si="39"/>
        <v>7.0258127424678491</v>
      </c>
      <c r="T220" s="6">
        <f t="shared" si="32"/>
        <v>7.0258127424678491</v>
      </c>
    </row>
    <row r="221" spans="1:20">
      <c r="B221">
        <f t="shared" si="40"/>
        <v>218</v>
      </c>
      <c r="C221">
        <f t="shared" si="34"/>
        <v>30</v>
      </c>
      <c r="D221">
        <v>214</v>
      </c>
      <c r="E221">
        <v>244</v>
      </c>
      <c r="F221">
        <f>RnSPLINE!H$11</f>
        <v>5</v>
      </c>
      <c r="G221">
        <f>RnSPLINE!H$12</f>
        <v>31</v>
      </c>
      <c r="H221" s="5">
        <f>RnSPLINE!M$11</f>
        <v>5.2330192243178662E-2</v>
      </c>
      <c r="I221" s="5">
        <f>RnSPLINE!M$12</f>
        <v>-5.1722705286557695E-2</v>
      </c>
      <c r="J221">
        <f t="shared" si="35"/>
        <v>0.8666666666666667</v>
      </c>
      <c r="K221">
        <f t="shared" si="36"/>
        <v>0.13333333333333333</v>
      </c>
      <c r="L221">
        <f t="shared" si="37"/>
        <v>172</v>
      </c>
      <c r="M221" s="6">
        <f t="shared" si="38"/>
        <v>8.4666666666666668</v>
      </c>
      <c r="N221" s="13">
        <f t="shared" si="33"/>
        <v>7.7895580348277536</v>
      </c>
      <c r="O221" s="6">
        <f t="shared" si="41"/>
        <v>4934.541666666667</v>
      </c>
      <c r="P221" s="6">
        <f t="shared" si="42"/>
        <v>4870.1392824073491</v>
      </c>
      <c r="Q221" s="6">
        <f t="shared" si="39"/>
        <v>7.7895580348277536</v>
      </c>
      <c r="T221" s="6">
        <f t="shared" si="32"/>
        <v>7.7895580348277536</v>
      </c>
    </row>
    <row r="222" spans="1:20">
      <c r="B222">
        <f t="shared" si="40"/>
        <v>219</v>
      </c>
      <c r="C222">
        <f t="shared" si="34"/>
        <v>30</v>
      </c>
      <c r="D222">
        <v>214</v>
      </c>
      <c r="E222">
        <v>244</v>
      </c>
      <c r="F222">
        <f>RnSPLINE!H$11</f>
        <v>5</v>
      </c>
      <c r="G222">
        <f>RnSPLINE!H$12</f>
        <v>31</v>
      </c>
      <c r="H222" s="5">
        <f>RnSPLINE!M$11</f>
        <v>5.2330192243178662E-2</v>
      </c>
      <c r="I222" s="5">
        <f>RnSPLINE!M$12</f>
        <v>-5.1722705286557695E-2</v>
      </c>
      <c r="J222">
        <f t="shared" si="35"/>
        <v>0.83333333333333337</v>
      </c>
      <c r="K222">
        <f t="shared" si="36"/>
        <v>0.16666666666666666</v>
      </c>
      <c r="L222">
        <f t="shared" si="37"/>
        <v>173</v>
      </c>
      <c r="M222" s="6">
        <f t="shared" si="38"/>
        <v>9.3333333333333321</v>
      </c>
      <c r="N222" s="13">
        <f t="shared" si="33"/>
        <v>8.5917597997602027</v>
      </c>
      <c r="O222" s="6">
        <f t="shared" si="41"/>
        <v>4943.875</v>
      </c>
      <c r="P222" s="6">
        <f t="shared" si="42"/>
        <v>4878.7310422071096</v>
      </c>
      <c r="Q222" s="6">
        <f t="shared" si="39"/>
        <v>8.5917597997602027</v>
      </c>
      <c r="T222" s="6">
        <f t="shared" si="32"/>
        <v>8.5917597997602027</v>
      </c>
    </row>
    <row r="223" spans="1:20">
      <c r="B223">
        <f t="shared" si="40"/>
        <v>220</v>
      </c>
      <c r="C223">
        <f t="shared" si="34"/>
        <v>30</v>
      </c>
      <c r="D223">
        <v>214</v>
      </c>
      <c r="E223">
        <v>244</v>
      </c>
      <c r="F223">
        <f>RnSPLINE!H$11</f>
        <v>5</v>
      </c>
      <c r="G223">
        <f>RnSPLINE!H$12</f>
        <v>31</v>
      </c>
      <c r="H223" s="5">
        <f>RnSPLINE!M$11</f>
        <v>5.2330192243178662E-2</v>
      </c>
      <c r="I223" s="5">
        <f>RnSPLINE!M$12</f>
        <v>-5.1722705286557695E-2</v>
      </c>
      <c r="J223">
        <f t="shared" si="35"/>
        <v>0.8</v>
      </c>
      <c r="K223">
        <f t="shared" si="36"/>
        <v>0.2</v>
      </c>
      <c r="L223">
        <f t="shared" si="37"/>
        <v>174</v>
      </c>
      <c r="M223" s="6">
        <f t="shared" si="38"/>
        <v>10.199999999999999</v>
      </c>
      <c r="N223" s="13">
        <f t="shared" si="33"/>
        <v>9.4289496073475441</v>
      </c>
      <c r="O223" s="6">
        <f t="shared" si="41"/>
        <v>4954.0749999999998</v>
      </c>
      <c r="P223" s="6">
        <f t="shared" si="42"/>
        <v>4888.1599918144575</v>
      </c>
      <c r="Q223" s="6">
        <f t="shared" si="39"/>
        <v>9.4289496073475441</v>
      </c>
      <c r="T223" s="6">
        <f t="shared" si="32"/>
        <v>9.4289496073475441</v>
      </c>
    </row>
    <row r="224" spans="1:20">
      <c r="B224">
        <f t="shared" si="40"/>
        <v>221</v>
      </c>
      <c r="C224">
        <f t="shared" si="34"/>
        <v>30</v>
      </c>
      <c r="D224">
        <v>214</v>
      </c>
      <c r="E224">
        <v>244</v>
      </c>
      <c r="F224">
        <f>RnSPLINE!H$11</f>
        <v>5</v>
      </c>
      <c r="G224">
        <f>RnSPLINE!H$12</f>
        <v>31</v>
      </c>
      <c r="H224" s="5">
        <f>RnSPLINE!M$11</f>
        <v>5.2330192243178662E-2</v>
      </c>
      <c r="I224" s="5">
        <f>RnSPLINE!M$12</f>
        <v>-5.1722705286557695E-2</v>
      </c>
      <c r="J224">
        <f t="shared" si="35"/>
        <v>0.76666666666666672</v>
      </c>
      <c r="K224">
        <f t="shared" si="36"/>
        <v>0.23333333333333334</v>
      </c>
      <c r="L224">
        <f t="shared" si="37"/>
        <v>175</v>
      </c>
      <c r="M224" s="6">
        <f t="shared" si="38"/>
        <v>11.066666666666666</v>
      </c>
      <c r="N224" s="13">
        <f t="shared" si="33"/>
        <v>10.297659027672115</v>
      </c>
      <c r="O224" s="6">
        <f t="shared" si="41"/>
        <v>4965.1416666666664</v>
      </c>
      <c r="P224" s="6">
        <f t="shared" si="42"/>
        <v>4898.4576508421296</v>
      </c>
      <c r="Q224" s="6">
        <f t="shared" si="39"/>
        <v>10.297659027672115</v>
      </c>
      <c r="T224" s="6">
        <f t="shared" si="32"/>
        <v>10.297659027672115</v>
      </c>
    </row>
    <row r="225" spans="2:20">
      <c r="B225">
        <f t="shared" si="40"/>
        <v>222</v>
      </c>
      <c r="C225">
        <f t="shared" si="34"/>
        <v>30</v>
      </c>
      <c r="D225">
        <v>214</v>
      </c>
      <c r="E225">
        <v>244</v>
      </c>
      <c r="F225">
        <f>RnSPLINE!H$11</f>
        <v>5</v>
      </c>
      <c r="G225">
        <f>RnSPLINE!H$12</f>
        <v>31</v>
      </c>
      <c r="H225" s="5">
        <f>RnSPLINE!M$11</f>
        <v>5.2330192243178662E-2</v>
      </c>
      <c r="I225" s="5">
        <f>RnSPLINE!M$12</f>
        <v>-5.1722705286557695E-2</v>
      </c>
      <c r="J225">
        <f t="shared" si="35"/>
        <v>0.73333333333333328</v>
      </c>
      <c r="K225">
        <f t="shared" si="36"/>
        <v>0.26666666666666666</v>
      </c>
      <c r="L225">
        <f t="shared" si="37"/>
        <v>176</v>
      </c>
      <c r="M225" s="6">
        <f t="shared" si="38"/>
        <v>11.933333333333332</v>
      </c>
      <c r="N225" s="13">
        <f t="shared" si="33"/>
        <v>11.194419630816258</v>
      </c>
      <c r="O225" s="6">
        <f t="shared" si="41"/>
        <v>4977.0749999999998</v>
      </c>
      <c r="P225" s="6">
        <f t="shared" si="42"/>
        <v>4909.6520704729455</v>
      </c>
      <c r="Q225" s="6">
        <f t="shared" si="39"/>
        <v>11.194419630816258</v>
      </c>
      <c r="T225" s="6">
        <f t="shared" si="32"/>
        <v>11.194419630816258</v>
      </c>
    </row>
    <row r="226" spans="2:20">
      <c r="B226">
        <f t="shared" si="40"/>
        <v>223</v>
      </c>
      <c r="C226">
        <f t="shared" si="34"/>
        <v>30</v>
      </c>
      <c r="D226">
        <v>214</v>
      </c>
      <c r="E226">
        <v>244</v>
      </c>
      <c r="F226">
        <f>RnSPLINE!H$11</f>
        <v>5</v>
      </c>
      <c r="G226">
        <f>RnSPLINE!H$12</f>
        <v>31</v>
      </c>
      <c r="H226" s="5">
        <f>RnSPLINE!M$11</f>
        <v>5.2330192243178662E-2</v>
      </c>
      <c r="I226" s="5">
        <f>RnSPLINE!M$12</f>
        <v>-5.1722705286557695E-2</v>
      </c>
      <c r="J226">
        <f t="shared" si="35"/>
        <v>0.7</v>
      </c>
      <c r="K226">
        <f t="shared" si="36"/>
        <v>0.3</v>
      </c>
      <c r="L226">
        <f t="shared" si="37"/>
        <v>177</v>
      </c>
      <c r="M226" s="6">
        <f t="shared" si="38"/>
        <v>12.799999999999999</v>
      </c>
      <c r="N226" s="13">
        <f t="shared" si="33"/>
        <v>12.115762986862318</v>
      </c>
      <c r="O226" s="6">
        <f t="shared" si="41"/>
        <v>4989.875</v>
      </c>
      <c r="P226" s="6">
        <f t="shared" si="42"/>
        <v>4921.7678334598077</v>
      </c>
      <c r="Q226" s="6">
        <f t="shared" si="39"/>
        <v>12.115762986862318</v>
      </c>
      <c r="T226" s="6">
        <f t="shared" si="32"/>
        <v>12.115762986862318</v>
      </c>
    </row>
    <row r="227" spans="2:20">
      <c r="B227">
        <f t="shared" si="40"/>
        <v>224</v>
      </c>
      <c r="C227">
        <f t="shared" si="34"/>
        <v>30</v>
      </c>
      <c r="D227">
        <v>214</v>
      </c>
      <c r="E227">
        <v>244</v>
      </c>
      <c r="F227">
        <f>RnSPLINE!H$11</f>
        <v>5</v>
      </c>
      <c r="G227">
        <f>RnSPLINE!H$12</f>
        <v>31</v>
      </c>
      <c r="H227" s="5">
        <f>RnSPLINE!M$11</f>
        <v>5.2330192243178662E-2</v>
      </c>
      <c r="I227" s="5">
        <f>RnSPLINE!M$12</f>
        <v>-5.1722705286557695E-2</v>
      </c>
      <c r="J227">
        <f t="shared" si="35"/>
        <v>0.66666666666666663</v>
      </c>
      <c r="K227">
        <f t="shared" si="36"/>
        <v>0.33333333333333331</v>
      </c>
      <c r="L227">
        <f t="shared" si="37"/>
        <v>178</v>
      </c>
      <c r="M227" s="6">
        <f t="shared" si="38"/>
        <v>13.666666666666664</v>
      </c>
      <c r="N227" s="13">
        <f t="shared" si="33"/>
        <v>13.058220665892636</v>
      </c>
      <c r="O227" s="6">
        <f t="shared" si="41"/>
        <v>5003.541666666667</v>
      </c>
      <c r="P227" s="6">
        <f t="shared" si="42"/>
        <v>4934.8260541257005</v>
      </c>
      <c r="Q227" s="6">
        <f t="shared" si="39"/>
        <v>13.058220665892636</v>
      </c>
      <c r="T227" s="6">
        <f t="shared" si="32"/>
        <v>13.058220665892636</v>
      </c>
    </row>
    <row r="228" spans="2:20">
      <c r="B228">
        <f t="shared" si="40"/>
        <v>225</v>
      </c>
      <c r="C228">
        <f t="shared" si="34"/>
        <v>30</v>
      </c>
      <c r="D228">
        <v>214</v>
      </c>
      <c r="E228">
        <v>244</v>
      </c>
      <c r="F228">
        <f>RnSPLINE!H$11</f>
        <v>5</v>
      </c>
      <c r="G228">
        <f>RnSPLINE!H$12</f>
        <v>31</v>
      </c>
      <c r="H228" s="5">
        <f>RnSPLINE!M$11</f>
        <v>5.2330192243178662E-2</v>
      </c>
      <c r="I228" s="5">
        <f>RnSPLINE!M$12</f>
        <v>-5.1722705286557695E-2</v>
      </c>
      <c r="J228">
        <f t="shared" si="35"/>
        <v>0.6333333333333333</v>
      </c>
      <c r="K228">
        <f t="shared" si="36"/>
        <v>0.36666666666666664</v>
      </c>
      <c r="L228">
        <f t="shared" si="37"/>
        <v>179</v>
      </c>
      <c r="M228" s="6">
        <f t="shared" si="38"/>
        <v>14.533333333333331</v>
      </c>
      <c r="N228" s="13">
        <f t="shared" si="33"/>
        <v>14.018324237989555</v>
      </c>
      <c r="O228" s="6">
        <f t="shared" si="41"/>
        <v>5018.0750000000007</v>
      </c>
      <c r="P228" s="6">
        <f t="shared" si="42"/>
        <v>4948.8443783636903</v>
      </c>
      <c r="Q228" s="6">
        <f t="shared" si="39"/>
        <v>14.018324237989555</v>
      </c>
      <c r="T228" s="6">
        <f t="shared" si="32"/>
        <v>14.018324237989555</v>
      </c>
    </row>
    <row r="229" spans="2:20">
      <c r="B229">
        <f t="shared" si="40"/>
        <v>226</v>
      </c>
      <c r="C229">
        <f t="shared" si="34"/>
        <v>30</v>
      </c>
      <c r="D229">
        <v>214</v>
      </c>
      <c r="E229">
        <v>244</v>
      </c>
      <c r="F229">
        <f>RnSPLINE!H$11</f>
        <v>5</v>
      </c>
      <c r="G229">
        <f>RnSPLINE!H$12</f>
        <v>31</v>
      </c>
      <c r="H229" s="5">
        <f>RnSPLINE!M$11</f>
        <v>5.2330192243178662E-2</v>
      </c>
      <c r="I229" s="5">
        <f>RnSPLINE!M$12</f>
        <v>-5.1722705286557695E-2</v>
      </c>
      <c r="J229">
        <f t="shared" si="35"/>
        <v>0.6</v>
      </c>
      <c r="K229">
        <f t="shared" si="36"/>
        <v>0.4</v>
      </c>
      <c r="L229">
        <f t="shared" si="37"/>
        <v>180</v>
      </c>
      <c r="M229" s="6">
        <f t="shared" si="38"/>
        <v>15.4</v>
      </c>
      <c r="N229" s="13">
        <f t="shared" si="33"/>
        <v>14.992605273235418</v>
      </c>
      <c r="O229" s="6">
        <f t="shared" si="41"/>
        <v>5033.4750000000004</v>
      </c>
      <c r="P229" s="6">
        <f t="shared" si="42"/>
        <v>4963.8369836369257</v>
      </c>
      <c r="Q229" s="6">
        <f t="shared" si="39"/>
        <v>14.992605273235418</v>
      </c>
      <c r="T229" s="6">
        <f t="shared" si="32"/>
        <v>14.992605273235418</v>
      </c>
    </row>
    <row r="230" spans="2:20">
      <c r="B230">
        <f t="shared" si="40"/>
        <v>227</v>
      </c>
      <c r="C230">
        <f t="shared" si="34"/>
        <v>30</v>
      </c>
      <c r="D230">
        <v>214</v>
      </c>
      <c r="E230">
        <v>244</v>
      </c>
      <c r="F230">
        <f>RnSPLINE!H$11</f>
        <v>5</v>
      </c>
      <c r="G230">
        <f>RnSPLINE!H$12</f>
        <v>31</v>
      </c>
      <c r="H230" s="5">
        <f>RnSPLINE!M$11</f>
        <v>5.2330192243178662E-2</v>
      </c>
      <c r="I230" s="5">
        <f>RnSPLINE!M$12</f>
        <v>-5.1722705286557695E-2</v>
      </c>
      <c r="J230">
        <f t="shared" si="35"/>
        <v>0.56666666666666665</v>
      </c>
      <c r="K230">
        <f t="shared" si="36"/>
        <v>0.43333333333333335</v>
      </c>
      <c r="L230">
        <f t="shared" si="37"/>
        <v>181</v>
      </c>
      <c r="M230" s="6">
        <f t="shared" si="38"/>
        <v>16.266666666666666</v>
      </c>
      <c r="N230" s="13">
        <f t="shared" si="33"/>
        <v>15.97759534171256</v>
      </c>
      <c r="O230" s="6">
        <f t="shared" si="41"/>
        <v>5049.7416666666668</v>
      </c>
      <c r="P230" s="6">
        <f t="shared" si="42"/>
        <v>4979.8145789786386</v>
      </c>
      <c r="Q230" s="6">
        <f t="shared" si="39"/>
        <v>15.97759534171256</v>
      </c>
      <c r="T230" s="6">
        <f t="shared" si="32"/>
        <v>15.97759534171256</v>
      </c>
    </row>
    <row r="231" spans="2:20">
      <c r="B231">
        <f t="shared" si="40"/>
        <v>228</v>
      </c>
      <c r="C231">
        <f t="shared" si="34"/>
        <v>30</v>
      </c>
      <c r="D231">
        <v>214</v>
      </c>
      <c r="E231">
        <v>244</v>
      </c>
      <c r="F231">
        <f>RnSPLINE!H$11</f>
        <v>5</v>
      </c>
      <c r="G231">
        <f>RnSPLINE!H$12</f>
        <v>31</v>
      </c>
      <c r="H231" s="5">
        <f>RnSPLINE!M$11</f>
        <v>5.2330192243178662E-2</v>
      </c>
      <c r="I231" s="5">
        <f>RnSPLINE!M$12</f>
        <v>-5.1722705286557695E-2</v>
      </c>
      <c r="J231">
        <f t="shared" si="35"/>
        <v>0.53333333333333333</v>
      </c>
      <c r="K231">
        <f t="shared" si="36"/>
        <v>0.46666666666666667</v>
      </c>
      <c r="L231">
        <f t="shared" si="37"/>
        <v>182</v>
      </c>
      <c r="M231" s="6">
        <f t="shared" si="38"/>
        <v>17.133333333333333</v>
      </c>
      <c r="N231" s="13">
        <f t="shared" si="33"/>
        <v>16.969826013503333</v>
      </c>
      <c r="O231" s="6">
        <f t="shared" si="41"/>
        <v>5066.875</v>
      </c>
      <c r="P231" s="6">
        <f t="shared" si="42"/>
        <v>4996.7844049921423</v>
      </c>
      <c r="Q231" s="6">
        <f t="shared" si="39"/>
        <v>16.969826013503333</v>
      </c>
      <c r="T231" s="6">
        <f t="shared" si="32"/>
        <v>16.969826013503333</v>
      </c>
    </row>
    <row r="232" spans="2:20">
      <c r="B232">
        <f t="shared" si="40"/>
        <v>229</v>
      </c>
      <c r="C232">
        <f t="shared" si="34"/>
        <v>30</v>
      </c>
      <c r="D232">
        <v>214</v>
      </c>
      <c r="E232">
        <v>244</v>
      </c>
      <c r="F232">
        <f>RnSPLINE!H$11</f>
        <v>5</v>
      </c>
      <c r="G232">
        <f>RnSPLINE!H$12</f>
        <v>31</v>
      </c>
      <c r="H232" s="5">
        <f>RnSPLINE!M$11</f>
        <v>5.2330192243178662E-2</v>
      </c>
      <c r="I232" s="5">
        <f>RnSPLINE!M$12</f>
        <v>-5.1722705286557695E-2</v>
      </c>
      <c r="J232">
        <f t="shared" si="35"/>
        <v>0.5</v>
      </c>
      <c r="K232">
        <f t="shared" si="36"/>
        <v>0.5</v>
      </c>
      <c r="L232">
        <f t="shared" si="37"/>
        <v>183</v>
      </c>
      <c r="M232" s="6">
        <f t="shared" si="38"/>
        <v>18</v>
      </c>
      <c r="N232" s="13">
        <f t="shared" si="33"/>
        <v>17.96582885869007</v>
      </c>
      <c r="O232" s="6">
        <f t="shared" si="41"/>
        <v>5084.875</v>
      </c>
      <c r="P232" s="6">
        <f t="shared" si="42"/>
        <v>5014.750233850832</v>
      </c>
      <c r="Q232" s="6">
        <f t="shared" si="39"/>
        <v>17.96582885869007</v>
      </c>
      <c r="T232" s="6">
        <f t="shared" si="32"/>
        <v>17.96582885869007</v>
      </c>
    </row>
    <row r="233" spans="2:20">
      <c r="B233">
        <f t="shared" si="40"/>
        <v>230</v>
      </c>
      <c r="C233">
        <f t="shared" si="34"/>
        <v>30</v>
      </c>
      <c r="D233">
        <v>214</v>
      </c>
      <c r="E233">
        <v>244</v>
      </c>
      <c r="F233">
        <f>RnSPLINE!H$11</f>
        <v>5</v>
      </c>
      <c r="G233">
        <f>RnSPLINE!H$12</f>
        <v>31</v>
      </c>
      <c r="H233" s="5">
        <f>RnSPLINE!M$11</f>
        <v>5.2330192243178662E-2</v>
      </c>
      <c r="I233" s="5">
        <f>RnSPLINE!M$12</f>
        <v>-5.1722705286557695E-2</v>
      </c>
      <c r="J233">
        <f t="shared" si="35"/>
        <v>0.46666666666666667</v>
      </c>
      <c r="K233">
        <f t="shared" si="36"/>
        <v>0.53333333333333333</v>
      </c>
      <c r="L233">
        <f t="shared" si="37"/>
        <v>184</v>
      </c>
      <c r="M233" s="6">
        <f t="shared" si="38"/>
        <v>18.866666666666664</v>
      </c>
      <c r="N233" s="13">
        <f t="shared" si="33"/>
        <v>18.962135447355116</v>
      </c>
      <c r="O233" s="6">
        <f t="shared" si="41"/>
        <v>5103.7416666666668</v>
      </c>
      <c r="P233" s="6">
        <f t="shared" si="42"/>
        <v>5033.7123692981868</v>
      </c>
      <c r="Q233" s="6">
        <f t="shared" si="39"/>
        <v>18.962135447355116</v>
      </c>
      <c r="T233" s="6">
        <f t="shared" si="32"/>
        <v>18.962135447355116</v>
      </c>
    </row>
    <row r="234" spans="2:20">
      <c r="B234">
        <f t="shared" si="40"/>
        <v>231</v>
      </c>
      <c r="C234">
        <f t="shared" si="34"/>
        <v>30</v>
      </c>
      <c r="D234">
        <v>214</v>
      </c>
      <c r="E234">
        <v>244</v>
      </c>
      <c r="F234">
        <f>RnSPLINE!H$11</f>
        <v>5</v>
      </c>
      <c r="G234">
        <f>RnSPLINE!H$12</f>
        <v>31</v>
      </c>
      <c r="H234" s="5">
        <f>RnSPLINE!M$11</f>
        <v>5.2330192243178662E-2</v>
      </c>
      <c r="I234" s="5">
        <f>RnSPLINE!M$12</f>
        <v>-5.1722705286557695E-2</v>
      </c>
      <c r="J234">
        <f t="shared" si="35"/>
        <v>0.43333333333333335</v>
      </c>
      <c r="K234">
        <f t="shared" si="36"/>
        <v>0.56666666666666665</v>
      </c>
      <c r="L234">
        <f t="shared" si="37"/>
        <v>185</v>
      </c>
      <c r="M234" s="6">
        <f t="shared" si="38"/>
        <v>19.733333333333334</v>
      </c>
      <c r="N234" s="13">
        <f t="shared" si="33"/>
        <v>19.955277349580822</v>
      </c>
      <c r="O234" s="6">
        <f t="shared" si="41"/>
        <v>5123.4750000000004</v>
      </c>
      <c r="P234" s="6">
        <f t="shared" si="42"/>
        <v>5053.6676466477675</v>
      </c>
      <c r="Q234" s="6">
        <f t="shared" si="39"/>
        <v>19.955277349580822</v>
      </c>
      <c r="T234" s="6">
        <f t="shared" si="32"/>
        <v>19.955277349580822</v>
      </c>
    </row>
    <row r="235" spans="2:20">
      <c r="B235">
        <f t="shared" si="40"/>
        <v>232</v>
      </c>
      <c r="C235">
        <f t="shared" si="34"/>
        <v>30</v>
      </c>
      <c r="D235">
        <v>214</v>
      </c>
      <c r="E235">
        <v>244</v>
      </c>
      <c r="F235">
        <f>RnSPLINE!H$11</f>
        <v>5</v>
      </c>
      <c r="G235">
        <f>RnSPLINE!H$12</f>
        <v>31</v>
      </c>
      <c r="H235" s="5">
        <f>RnSPLINE!M$11</f>
        <v>5.2330192243178662E-2</v>
      </c>
      <c r="I235" s="5">
        <f>RnSPLINE!M$12</f>
        <v>-5.1722705286557695E-2</v>
      </c>
      <c r="J235">
        <f t="shared" si="35"/>
        <v>0.4</v>
      </c>
      <c r="K235">
        <f t="shared" si="36"/>
        <v>0.6</v>
      </c>
      <c r="L235">
        <f t="shared" si="37"/>
        <v>186</v>
      </c>
      <c r="M235" s="6">
        <f t="shared" si="38"/>
        <v>20.599999999999998</v>
      </c>
      <c r="N235" s="13">
        <f t="shared" si="33"/>
        <v>20.941786135449515</v>
      </c>
      <c r="O235" s="6">
        <f t="shared" si="41"/>
        <v>5144.0750000000007</v>
      </c>
      <c r="P235" s="6">
        <f t="shared" si="42"/>
        <v>5074.609432783217</v>
      </c>
      <c r="Q235" s="6">
        <f t="shared" si="39"/>
        <v>20.941786135449515</v>
      </c>
      <c r="T235" s="6">
        <f t="shared" si="32"/>
        <v>20.941786135449515</v>
      </c>
    </row>
    <row r="236" spans="2:20">
      <c r="B236">
        <f t="shared" si="40"/>
        <v>233</v>
      </c>
      <c r="C236">
        <f t="shared" si="34"/>
        <v>30</v>
      </c>
      <c r="D236">
        <v>214</v>
      </c>
      <c r="E236">
        <v>244</v>
      </c>
      <c r="F236">
        <f>RnSPLINE!H$11</f>
        <v>5</v>
      </c>
      <c r="G236">
        <f>RnSPLINE!H$12</f>
        <v>31</v>
      </c>
      <c r="H236" s="5">
        <f>RnSPLINE!M$11</f>
        <v>5.2330192243178662E-2</v>
      </c>
      <c r="I236" s="5">
        <f>RnSPLINE!M$12</f>
        <v>-5.1722705286557695E-2</v>
      </c>
      <c r="J236">
        <f t="shared" si="35"/>
        <v>0.36666666666666664</v>
      </c>
      <c r="K236">
        <f t="shared" si="36"/>
        <v>0.6333333333333333</v>
      </c>
      <c r="L236">
        <f t="shared" si="37"/>
        <v>187</v>
      </c>
      <c r="M236" s="6">
        <f t="shared" si="38"/>
        <v>21.466666666666665</v>
      </c>
      <c r="N236" s="13">
        <f t="shared" si="33"/>
        <v>21.91819337504355</v>
      </c>
      <c r="O236" s="6">
        <f t="shared" si="41"/>
        <v>5165.541666666667</v>
      </c>
      <c r="P236" s="6">
        <f t="shared" si="42"/>
        <v>5096.5276261582603</v>
      </c>
      <c r="Q236" s="6">
        <f t="shared" si="39"/>
        <v>21.91819337504355</v>
      </c>
      <c r="T236" s="6">
        <f t="shared" si="32"/>
        <v>21.91819337504355</v>
      </c>
    </row>
    <row r="237" spans="2:20">
      <c r="B237">
        <f t="shared" si="40"/>
        <v>234</v>
      </c>
      <c r="C237">
        <f t="shared" si="34"/>
        <v>30</v>
      </c>
      <c r="D237">
        <v>214</v>
      </c>
      <c r="E237">
        <v>244</v>
      </c>
      <c r="F237">
        <f>RnSPLINE!H$11</f>
        <v>5</v>
      </c>
      <c r="G237">
        <f>RnSPLINE!H$12</f>
        <v>31</v>
      </c>
      <c r="H237" s="5">
        <f>RnSPLINE!M$11</f>
        <v>5.2330192243178662E-2</v>
      </c>
      <c r="I237" s="5">
        <f>RnSPLINE!M$12</f>
        <v>-5.1722705286557695E-2</v>
      </c>
      <c r="J237">
        <f t="shared" si="35"/>
        <v>0.33333333333333331</v>
      </c>
      <c r="K237">
        <f t="shared" si="36"/>
        <v>0.66666666666666663</v>
      </c>
      <c r="L237">
        <f t="shared" si="37"/>
        <v>188</v>
      </c>
      <c r="M237" s="6">
        <f t="shared" si="38"/>
        <v>22.333333333333332</v>
      </c>
      <c r="N237" s="13">
        <f t="shared" si="33"/>
        <v>22.881030638445264</v>
      </c>
      <c r="O237" s="6">
        <f t="shared" si="41"/>
        <v>5187.875</v>
      </c>
      <c r="P237" s="6">
        <f t="shared" si="42"/>
        <v>5119.4086567967051</v>
      </c>
      <c r="Q237" s="6">
        <f t="shared" si="39"/>
        <v>22.881030638445264</v>
      </c>
      <c r="T237" s="6">
        <f t="shared" si="32"/>
        <v>22.881030638445264</v>
      </c>
    </row>
    <row r="238" spans="2:20">
      <c r="B238">
        <f t="shared" si="40"/>
        <v>235</v>
      </c>
      <c r="C238">
        <f t="shared" si="34"/>
        <v>30</v>
      </c>
      <c r="D238">
        <v>214</v>
      </c>
      <c r="E238">
        <v>244</v>
      </c>
      <c r="F238">
        <f>RnSPLINE!H$11</f>
        <v>5</v>
      </c>
      <c r="G238">
        <f>RnSPLINE!H$12</f>
        <v>31</v>
      </c>
      <c r="H238" s="5">
        <f>RnSPLINE!M$11</f>
        <v>5.2330192243178662E-2</v>
      </c>
      <c r="I238" s="5">
        <f>RnSPLINE!M$12</f>
        <v>-5.1722705286557695E-2</v>
      </c>
      <c r="J238">
        <f t="shared" si="35"/>
        <v>0.3</v>
      </c>
      <c r="K238">
        <f t="shared" si="36"/>
        <v>0.7</v>
      </c>
      <c r="L238">
        <f t="shared" si="37"/>
        <v>189</v>
      </c>
      <c r="M238" s="6">
        <f t="shared" si="38"/>
        <v>23.2</v>
      </c>
      <c r="N238" s="13">
        <f t="shared" si="33"/>
        <v>23.826829495736998</v>
      </c>
      <c r="O238" s="6">
        <f t="shared" si="41"/>
        <v>5211.0749999999998</v>
      </c>
      <c r="P238" s="6">
        <f t="shared" si="42"/>
        <v>5143.2354862924421</v>
      </c>
      <c r="Q238" s="6">
        <f t="shared" si="39"/>
        <v>23.826829495736998</v>
      </c>
      <c r="T238" s="6">
        <f t="shared" si="32"/>
        <v>23.826829495736998</v>
      </c>
    </row>
    <row r="239" spans="2:20">
      <c r="B239">
        <f t="shared" si="40"/>
        <v>236</v>
      </c>
      <c r="C239">
        <f t="shared" si="34"/>
        <v>30</v>
      </c>
      <c r="D239">
        <v>214</v>
      </c>
      <c r="E239">
        <v>244</v>
      </c>
      <c r="F239">
        <f>RnSPLINE!H$11</f>
        <v>5</v>
      </c>
      <c r="G239">
        <f>RnSPLINE!H$12</f>
        <v>31</v>
      </c>
      <c r="H239" s="5">
        <f>RnSPLINE!M$11</f>
        <v>5.2330192243178662E-2</v>
      </c>
      <c r="I239" s="5">
        <f>RnSPLINE!M$12</f>
        <v>-5.1722705286557695E-2</v>
      </c>
      <c r="J239">
        <f t="shared" si="35"/>
        <v>0.26666666666666666</v>
      </c>
      <c r="K239">
        <f t="shared" si="36"/>
        <v>0.73333333333333328</v>
      </c>
      <c r="L239">
        <f t="shared" si="37"/>
        <v>190</v>
      </c>
      <c r="M239" s="6">
        <f t="shared" si="38"/>
        <v>24.066666666666663</v>
      </c>
      <c r="N239" s="13">
        <f t="shared" si="33"/>
        <v>24.752121517001093</v>
      </c>
      <c r="O239" s="6">
        <f t="shared" si="41"/>
        <v>5235.1416666666664</v>
      </c>
      <c r="P239" s="6">
        <f t="shared" si="42"/>
        <v>5167.987607809443</v>
      </c>
      <c r="Q239" s="6">
        <f t="shared" si="39"/>
        <v>24.752121517001093</v>
      </c>
      <c r="T239" s="6">
        <f t="shared" si="32"/>
        <v>24.752121517001093</v>
      </c>
    </row>
    <row r="240" spans="2:20">
      <c r="B240">
        <f t="shared" si="40"/>
        <v>237</v>
      </c>
      <c r="C240">
        <f t="shared" si="34"/>
        <v>30</v>
      </c>
      <c r="D240">
        <v>214</v>
      </c>
      <c r="E240">
        <v>244</v>
      </c>
      <c r="F240">
        <f>RnSPLINE!H$11</f>
        <v>5</v>
      </c>
      <c r="G240">
        <f>RnSPLINE!H$12</f>
        <v>31</v>
      </c>
      <c r="H240" s="5">
        <f>RnSPLINE!M$11</f>
        <v>5.2330192243178662E-2</v>
      </c>
      <c r="I240" s="5">
        <f>RnSPLINE!M$12</f>
        <v>-5.1722705286557695E-2</v>
      </c>
      <c r="J240">
        <f t="shared" si="35"/>
        <v>0.23333333333333334</v>
      </c>
      <c r="K240">
        <f t="shared" si="36"/>
        <v>0.76666666666666672</v>
      </c>
      <c r="L240">
        <f t="shared" si="37"/>
        <v>191</v>
      </c>
      <c r="M240" s="6">
        <f t="shared" si="38"/>
        <v>24.933333333333337</v>
      </c>
      <c r="N240" s="13">
        <f t="shared" si="33"/>
        <v>25.653438272319899</v>
      </c>
      <c r="O240" s="6">
        <f t="shared" si="41"/>
        <v>5260.0749999999998</v>
      </c>
      <c r="P240" s="6">
        <f t="shared" si="42"/>
        <v>5193.6410460817633</v>
      </c>
      <c r="Q240" s="6">
        <f t="shared" si="39"/>
        <v>25.653438272319899</v>
      </c>
      <c r="T240" s="6">
        <f t="shared" si="32"/>
        <v>25.653438272319899</v>
      </c>
    </row>
    <row r="241" spans="1:20">
      <c r="B241">
        <f t="shared" si="40"/>
        <v>238</v>
      </c>
      <c r="C241">
        <f t="shared" si="34"/>
        <v>30</v>
      </c>
      <c r="D241">
        <v>214</v>
      </c>
      <c r="E241">
        <v>244</v>
      </c>
      <c r="F241">
        <f>RnSPLINE!H$11</f>
        <v>5</v>
      </c>
      <c r="G241">
        <f>RnSPLINE!H$12</f>
        <v>31</v>
      </c>
      <c r="H241" s="5">
        <f>RnSPLINE!M$11</f>
        <v>5.2330192243178662E-2</v>
      </c>
      <c r="I241" s="5">
        <f>RnSPLINE!M$12</f>
        <v>-5.1722705286557695E-2</v>
      </c>
      <c r="J241">
        <f t="shared" si="35"/>
        <v>0.2</v>
      </c>
      <c r="K241">
        <f t="shared" si="36"/>
        <v>0.8</v>
      </c>
      <c r="L241">
        <f t="shared" si="37"/>
        <v>192</v>
      </c>
      <c r="M241" s="6">
        <f t="shared" si="38"/>
        <v>25.8</v>
      </c>
      <c r="N241" s="13">
        <f t="shared" si="33"/>
        <v>26.527311331775746</v>
      </c>
      <c r="O241" s="6">
        <f t="shared" si="41"/>
        <v>5285.875</v>
      </c>
      <c r="P241" s="6">
        <f t="shared" si="42"/>
        <v>5220.1683574135386</v>
      </c>
      <c r="Q241" s="6">
        <f t="shared" si="39"/>
        <v>26.527311331775746</v>
      </c>
      <c r="T241" s="6">
        <f t="shared" si="32"/>
        <v>26.527311331775746</v>
      </c>
    </row>
    <row r="242" spans="1:20">
      <c r="B242">
        <f t="shared" si="40"/>
        <v>239</v>
      </c>
      <c r="C242">
        <f t="shared" si="34"/>
        <v>30</v>
      </c>
      <c r="D242">
        <v>214</v>
      </c>
      <c r="E242">
        <v>244</v>
      </c>
      <c r="F242">
        <f>RnSPLINE!H$11</f>
        <v>5</v>
      </c>
      <c r="G242">
        <f>RnSPLINE!H$12</f>
        <v>31</v>
      </c>
      <c r="H242" s="5">
        <f>RnSPLINE!M$11</f>
        <v>5.2330192243178662E-2</v>
      </c>
      <c r="I242" s="5">
        <f>RnSPLINE!M$12</f>
        <v>-5.1722705286557695E-2</v>
      </c>
      <c r="J242">
        <f t="shared" si="35"/>
        <v>0.16666666666666666</v>
      </c>
      <c r="K242">
        <f t="shared" si="36"/>
        <v>0.83333333333333337</v>
      </c>
      <c r="L242">
        <f t="shared" si="37"/>
        <v>193</v>
      </c>
      <c r="M242" s="6">
        <f t="shared" si="38"/>
        <v>26.666666666666668</v>
      </c>
      <c r="N242" s="13">
        <f t="shared" si="33"/>
        <v>27.370272265450986</v>
      </c>
      <c r="O242" s="6">
        <f t="shared" si="41"/>
        <v>5312.541666666667</v>
      </c>
      <c r="P242" s="6">
        <f t="shared" si="42"/>
        <v>5247.5386296789893</v>
      </c>
      <c r="Q242" s="6">
        <f t="shared" si="39"/>
        <v>27.370272265450986</v>
      </c>
      <c r="T242" s="6">
        <f t="shared" ref="T242:T305" si="43">N242</f>
        <v>27.370272265450986</v>
      </c>
    </row>
    <row r="243" spans="1:20">
      <c r="B243">
        <f t="shared" si="40"/>
        <v>240</v>
      </c>
      <c r="C243">
        <f t="shared" si="34"/>
        <v>30</v>
      </c>
      <c r="D243">
        <v>214</v>
      </c>
      <c r="E243">
        <v>244</v>
      </c>
      <c r="F243">
        <f>RnSPLINE!H$11</f>
        <v>5</v>
      </c>
      <c r="G243">
        <f>RnSPLINE!H$12</f>
        <v>31</v>
      </c>
      <c r="H243" s="5">
        <f>RnSPLINE!M$11</f>
        <v>5.2330192243178662E-2</v>
      </c>
      <c r="I243" s="5">
        <f>RnSPLINE!M$12</f>
        <v>-5.1722705286557695E-2</v>
      </c>
      <c r="J243">
        <f t="shared" si="35"/>
        <v>0.13333333333333333</v>
      </c>
      <c r="K243">
        <f t="shared" si="36"/>
        <v>0.8666666666666667</v>
      </c>
      <c r="L243">
        <f t="shared" si="37"/>
        <v>194</v>
      </c>
      <c r="M243" s="6">
        <f t="shared" si="38"/>
        <v>27.533333333333335</v>
      </c>
      <c r="N243" s="13">
        <f t="shared" si="33"/>
        <v>28.178852643427959</v>
      </c>
      <c r="O243" s="6">
        <f t="shared" si="41"/>
        <v>5340.0750000000007</v>
      </c>
      <c r="P243" s="6">
        <f t="shared" si="42"/>
        <v>5275.7174823224177</v>
      </c>
      <c r="Q243" s="6">
        <f t="shared" si="39"/>
        <v>28.178852643427959</v>
      </c>
      <c r="T243" s="6">
        <f t="shared" si="43"/>
        <v>28.178852643427959</v>
      </c>
    </row>
    <row r="244" spans="1:20">
      <c r="B244">
        <f t="shared" si="40"/>
        <v>241</v>
      </c>
      <c r="C244">
        <f t="shared" si="34"/>
        <v>30</v>
      </c>
      <c r="D244">
        <v>214</v>
      </c>
      <c r="E244">
        <v>244</v>
      </c>
      <c r="F244">
        <f>RnSPLINE!H$11</f>
        <v>5</v>
      </c>
      <c r="G244">
        <f>RnSPLINE!H$12</f>
        <v>31</v>
      </c>
      <c r="H244" s="5">
        <f>RnSPLINE!M$11</f>
        <v>5.2330192243178662E-2</v>
      </c>
      <c r="I244" s="5">
        <f>RnSPLINE!M$12</f>
        <v>-5.1722705286557695E-2</v>
      </c>
      <c r="J244">
        <f t="shared" si="35"/>
        <v>0.1</v>
      </c>
      <c r="K244">
        <f t="shared" si="36"/>
        <v>0.9</v>
      </c>
      <c r="L244">
        <f t="shared" si="37"/>
        <v>195</v>
      </c>
      <c r="M244" s="6">
        <f t="shared" si="38"/>
        <v>28.400000000000002</v>
      </c>
      <c r="N244" s="13">
        <f t="shared" si="33"/>
        <v>28.949584035789002</v>
      </c>
      <c r="O244" s="6">
        <f t="shared" si="41"/>
        <v>5368.4750000000004</v>
      </c>
      <c r="P244" s="6">
        <f t="shared" si="42"/>
        <v>5304.6670663582063</v>
      </c>
      <c r="Q244" s="6">
        <f t="shared" si="39"/>
        <v>28.949584035789002</v>
      </c>
      <c r="T244" s="6">
        <f t="shared" si="43"/>
        <v>28.949584035789002</v>
      </c>
    </row>
    <row r="245" spans="1:20">
      <c r="B245">
        <f t="shared" si="40"/>
        <v>242</v>
      </c>
      <c r="C245">
        <f t="shared" si="34"/>
        <v>30</v>
      </c>
      <c r="D245">
        <v>214</v>
      </c>
      <c r="E245">
        <v>244</v>
      </c>
      <c r="F245">
        <f>RnSPLINE!H$11</f>
        <v>5</v>
      </c>
      <c r="G245">
        <f>RnSPLINE!H$12</f>
        <v>31</v>
      </c>
      <c r="H245" s="5">
        <f>RnSPLINE!M$11</f>
        <v>5.2330192243178662E-2</v>
      </c>
      <c r="I245" s="5">
        <f>RnSPLINE!M$12</f>
        <v>-5.1722705286557695E-2</v>
      </c>
      <c r="J245">
        <f t="shared" si="35"/>
        <v>6.6666666666666666E-2</v>
      </c>
      <c r="K245">
        <f t="shared" si="36"/>
        <v>0.93333333333333335</v>
      </c>
      <c r="L245">
        <f t="shared" si="37"/>
        <v>196</v>
      </c>
      <c r="M245" s="6">
        <f t="shared" si="38"/>
        <v>29.266666666666666</v>
      </c>
      <c r="N245" s="13">
        <f t="shared" si="33"/>
        <v>29.678998012616461</v>
      </c>
      <c r="O245" s="6">
        <f t="shared" si="41"/>
        <v>5397.7416666666668</v>
      </c>
      <c r="P245" s="6">
        <f t="shared" si="42"/>
        <v>5334.3460643708231</v>
      </c>
      <c r="Q245" s="6">
        <f t="shared" si="39"/>
        <v>29.678998012616461</v>
      </c>
      <c r="T245" s="6">
        <f t="shared" si="43"/>
        <v>29.678998012616461</v>
      </c>
    </row>
    <row r="246" spans="1:20">
      <c r="B246">
        <f t="shared" si="40"/>
        <v>243</v>
      </c>
      <c r="C246">
        <f t="shared" si="34"/>
        <v>30</v>
      </c>
      <c r="D246">
        <v>214</v>
      </c>
      <c r="E246">
        <v>244</v>
      </c>
      <c r="F246">
        <f>RnSPLINE!H$11</f>
        <v>5</v>
      </c>
      <c r="G246">
        <f>RnSPLINE!H$12</f>
        <v>31</v>
      </c>
      <c r="H246" s="5">
        <f>RnSPLINE!M$11</f>
        <v>5.2330192243178662E-2</v>
      </c>
      <c r="I246" s="5">
        <f>RnSPLINE!M$12</f>
        <v>-5.1722705286557695E-2</v>
      </c>
      <c r="J246">
        <f t="shared" si="35"/>
        <v>3.3333333333333333E-2</v>
      </c>
      <c r="K246">
        <f t="shared" si="36"/>
        <v>0.96666666666666667</v>
      </c>
      <c r="L246">
        <f t="shared" si="37"/>
        <v>197</v>
      </c>
      <c r="M246" s="6">
        <f t="shared" si="38"/>
        <v>30.133333333333336</v>
      </c>
      <c r="N246" s="13">
        <f t="shared" si="33"/>
        <v>30.363626143992683</v>
      </c>
      <c r="O246" s="6">
        <f t="shared" si="41"/>
        <v>5427.875</v>
      </c>
      <c r="P246" s="6">
        <f t="shared" si="42"/>
        <v>5364.7096905148155</v>
      </c>
      <c r="Q246" s="6">
        <f t="shared" si="39"/>
        <v>30.363626143992683</v>
      </c>
      <c r="T246" s="6">
        <f t="shared" si="43"/>
        <v>30.363626143992683</v>
      </c>
    </row>
    <row r="247" spans="1:20">
      <c r="A247">
        <v>244</v>
      </c>
      <c r="B247">
        <f t="shared" si="40"/>
        <v>244</v>
      </c>
      <c r="C247">
        <f t="shared" si="34"/>
        <v>30</v>
      </c>
      <c r="D247">
        <v>214</v>
      </c>
      <c r="E247">
        <v>244</v>
      </c>
      <c r="F247">
        <f>RnSPLINE!H$11</f>
        <v>5</v>
      </c>
      <c r="G247">
        <f>RnSPLINE!H$12</f>
        <v>31</v>
      </c>
      <c r="H247" s="5">
        <f>RnSPLINE!M$11</f>
        <v>5.2330192243178662E-2</v>
      </c>
      <c r="I247" s="5">
        <f>RnSPLINE!M$12</f>
        <v>-5.1722705286557695E-2</v>
      </c>
      <c r="J247">
        <f t="shared" si="35"/>
        <v>0</v>
      </c>
      <c r="K247">
        <f t="shared" si="36"/>
        <v>1</v>
      </c>
      <c r="L247">
        <f t="shared" si="37"/>
        <v>198</v>
      </c>
      <c r="M247" s="6">
        <f t="shared" si="38"/>
        <v>31</v>
      </c>
      <c r="N247" s="13">
        <f t="shared" ref="N247:N310" si="44">Q247</f>
        <v>31</v>
      </c>
      <c r="O247" s="6">
        <f t="shared" si="41"/>
        <v>5458.875</v>
      </c>
      <c r="P247" s="6">
        <f t="shared" si="42"/>
        <v>5395.7096905148155</v>
      </c>
      <c r="Q247" s="6">
        <f t="shared" si="39"/>
        <v>31</v>
      </c>
      <c r="T247" s="6">
        <f t="shared" si="43"/>
        <v>31</v>
      </c>
    </row>
    <row r="248" spans="1:20">
      <c r="B248">
        <f t="shared" si="40"/>
        <v>245</v>
      </c>
      <c r="C248">
        <f t="shared" si="34"/>
        <v>31</v>
      </c>
      <c r="D248">
        <v>244</v>
      </c>
      <c r="E248">
        <v>275</v>
      </c>
      <c r="F248">
        <f>RnSPLINE!H$12</f>
        <v>31</v>
      </c>
      <c r="G248">
        <f>RnSPLINE!H$13</f>
        <v>31</v>
      </c>
      <c r="H248" s="5">
        <f>RnSPLINE!M$12</f>
        <v>-5.1722705286557695E-2</v>
      </c>
      <c r="I248" s="5">
        <f>RnSPLINE!M$13</f>
        <v>-1.4830184591461952E-2</v>
      </c>
      <c r="J248">
        <f t="shared" si="35"/>
        <v>0.967741935483871</v>
      </c>
      <c r="K248">
        <f t="shared" si="36"/>
        <v>3.2258064516129031E-2</v>
      </c>
      <c r="L248">
        <f t="shared" si="37"/>
        <v>199</v>
      </c>
      <c r="M248" s="6">
        <f t="shared" si="38"/>
        <v>31</v>
      </c>
      <c r="N248" s="13">
        <f t="shared" si="44"/>
        <v>31.58542756925916</v>
      </c>
      <c r="O248" s="6">
        <f t="shared" si="41"/>
        <v>5489.875</v>
      </c>
      <c r="P248" s="6">
        <f t="shared" si="42"/>
        <v>5427.2951180840746</v>
      </c>
      <c r="Q248" s="6">
        <f t="shared" si="39"/>
        <v>31.58542756925916</v>
      </c>
      <c r="T248" s="6">
        <f t="shared" si="43"/>
        <v>31.58542756925916</v>
      </c>
    </row>
    <row r="249" spans="1:20">
      <c r="B249">
        <f t="shared" si="40"/>
        <v>246</v>
      </c>
      <c r="C249">
        <f t="shared" si="34"/>
        <v>31</v>
      </c>
      <c r="D249">
        <v>244</v>
      </c>
      <c r="E249">
        <v>275</v>
      </c>
      <c r="F249">
        <f>RnSPLINE!H$12</f>
        <v>31</v>
      </c>
      <c r="G249">
        <f>RnSPLINE!H$13</f>
        <v>31</v>
      </c>
      <c r="H249" s="5">
        <f>RnSPLINE!M$12</f>
        <v>-5.1722705286557695E-2</v>
      </c>
      <c r="I249" s="5">
        <f>RnSPLINE!M$13</f>
        <v>-1.4830184591461952E-2</v>
      </c>
      <c r="J249">
        <f t="shared" si="35"/>
        <v>0.93548387096774188</v>
      </c>
      <c r="K249">
        <f t="shared" si="36"/>
        <v>6.4516129032258063E-2</v>
      </c>
      <c r="L249">
        <f t="shared" si="37"/>
        <v>200</v>
      </c>
      <c r="M249" s="6">
        <f t="shared" si="38"/>
        <v>31</v>
      </c>
      <c r="N249" s="13">
        <f t="shared" si="44"/>
        <v>32.120322514544512</v>
      </c>
      <c r="O249" s="6">
        <f t="shared" si="41"/>
        <v>5520.875</v>
      </c>
      <c r="P249" s="6">
        <f t="shared" si="42"/>
        <v>5459.4154405986192</v>
      </c>
      <c r="Q249" s="6">
        <f t="shared" si="39"/>
        <v>32.120322514544512</v>
      </c>
      <c r="T249" s="6">
        <f t="shared" si="43"/>
        <v>32.120322514544512</v>
      </c>
    </row>
    <row r="250" spans="1:20">
      <c r="B250">
        <f t="shared" si="40"/>
        <v>247</v>
      </c>
      <c r="C250">
        <f t="shared" si="34"/>
        <v>31</v>
      </c>
      <c r="D250">
        <v>244</v>
      </c>
      <c r="E250">
        <v>275</v>
      </c>
      <c r="F250">
        <f>RnSPLINE!H$12</f>
        <v>31</v>
      </c>
      <c r="G250">
        <f>RnSPLINE!H$13</f>
        <v>31</v>
      </c>
      <c r="H250" s="5">
        <f>RnSPLINE!M$12</f>
        <v>-5.1722705286557695E-2</v>
      </c>
      <c r="I250" s="5">
        <f>RnSPLINE!M$13</f>
        <v>-1.4830184591461952E-2</v>
      </c>
      <c r="J250">
        <f t="shared" si="35"/>
        <v>0.90322580645161288</v>
      </c>
      <c r="K250">
        <f t="shared" si="36"/>
        <v>9.6774193548387094E-2</v>
      </c>
      <c r="L250">
        <f t="shared" si="37"/>
        <v>201</v>
      </c>
      <c r="M250" s="6">
        <f t="shared" si="38"/>
        <v>31</v>
      </c>
      <c r="N250" s="13">
        <f t="shared" si="44"/>
        <v>32.605874917168791</v>
      </c>
      <c r="O250" s="6">
        <f t="shared" si="41"/>
        <v>5551.875</v>
      </c>
      <c r="P250" s="6">
        <f t="shared" si="42"/>
        <v>5492.021315515788</v>
      </c>
      <c r="Q250" s="6">
        <f t="shared" si="39"/>
        <v>32.605874917168791</v>
      </c>
      <c r="T250" s="6">
        <f t="shared" si="43"/>
        <v>32.605874917168791</v>
      </c>
    </row>
    <row r="251" spans="1:20">
      <c r="B251">
        <f t="shared" si="40"/>
        <v>248</v>
      </c>
      <c r="C251">
        <f t="shared" si="34"/>
        <v>31</v>
      </c>
      <c r="D251">
        <v>244</v>
      </c>
      <c r="E251">
        <v>275</v>
      </c>
      <c r="F251">
        <f>RnSPLINE!H$12</f>
        <v>31</v>
      </c>
      <c r="G251">
        <f>RnSPLINE!H$13</f>
        <v>31</v>
      </c>
      <c r="H251" s="5">
        <f>RnSPLINE!M$12</f>
        <v>-5.1722705286557695E-2</v>
      </c>
      <c r="I251" s="5">
        <f>RnSPLINE!M$13</f>
        <v>-1.4830184591461952E-2</v>
      </c>
      <c r="J251">
        <f t="shared" si="35"/>
        <v>0.87096774193548387</v>
      </c>
      <c r="K251">
        <f t="shared" si="36"/>
        <v>0.12903225806451613</v>
      </c>
      <c r="L251">
        <f t="shared" si="37"/>
        <v>202</v>
      </c>
      <c r="M251" s="6">
        <f t="shared" si="38"/>
        <v>31</v>
      </c>
      <c r="N251" s="13">
        <f t="shared" si="44"/>
        <v>33.043274858444754</v>
      </c>
      <c r="O251" s="6">
        <f t="shared" si="41"/>
        <v>5582.875</v>
      </c>
      <c r="P251" s="6">
        <f t="shared" si="42"/>
        <v>5525.0645903742325</v>
      </c>
      <c r="Q251" s="6">
        <f t="shared" si="39"/>
        <v>33.043274858444754</v>
      </c>
      <c r="T251" s="6">
        <f t="shared" si="43"/>
        <v>33.043274858444754</v>
      </c>
    </row>
    <row r="252" spans="1:20">
      <c r="B252">
        <f t="shared" si="40"/>
        <v>249</v>
      </c>
      <c r="C252">
        <f t="shared" si="34"/>
        <v>31</v>
      </c>
      <c r="D252">
        <v>244</v>
      </c>
      <c r="E252">
        <v>275</v>
      </c>
      <c r="F252">
        <f>RnSPLINE!H$12</f>
        <v>31</v>
      </c>
      <c r="G252">
        <f>RnSPLINE!H$13</f>
        <v>31</v>
      </c>
      <c r="H252" s="5">
        <f>RnSPLINE!M$12</f>
        <v>-5.1722705286557695E-2</v>
      </c>
      <c r="I252" s="5">
        <f>RnSPLINE!M$13</f>
        <v>-1.4830184591461952E-2</v>
      </c>
      <c r="J252">
        <f t="shared" si="35"/>
        <v>0.83870967741935487</v>
      </c>
      <c r="K252">
        <f t="shared" si="36"/>
        <v>0.16129032258064516</v>
      </c>
      <c r="L252">
        <f t="shared" si="37"/>
        <v>203</v>
      </c>
      <c r="M252" s="6">
        <f t="shared" si="38"/>
        <v>31</v>
      </c>
      <c r="N252" s="13">
        <f t="shared" si="44"/>
        <v>33.433712419685129</v>
      </c>
      <c r="O252" s="6">
        <f t="shared" si="41"/>
        <v>5613.875</v>
      </c>
      <c r="P252" s="6">
        <f t="shared" si="42"/>
        <v>5558.4983027939179</v>
      </c>
      <c r="Q252" s="6">
        <f t="shared" si="39"/>
        <v>33.433712419685129</v>
      </c>
      <c r="T252" s="6">
        <f t="shared" si="43"/>
        <v>33.433712419685129</v>
      </c>
    </row>
    <row r="253" spans="1:20">
      <c r="B253">
        <f t="shared" si="40"/>
        <v>250</v>
      </c>
      <c r="C253">
        <f t="shared" si="34"/>
        <v>31</v>
      </c>
      <c r="D253">
        <v>244</v>
      </c>
      <c r="E253">
        <v>275</v>
      </c>
      <c r="F253">
        <f>RnSPLINE!H$12</f>
        <v>31</v>
      </c>
      <c r="G253">
        <f>RnSPLINE!H$13</f>
        <v>31</v>
      </c>
      <c r="H253" s="5">
        <f>RnSPLINE!M$12</f>
        <v>-5.1722705286557695E-2</v>
      </c>
      <c r="I253" s="5">
        <f>RnSPLINE!M$13</f>
        <v>-1.4830184591461952E-2</v>
      </c>
      <c r="J253">
        <f t="shared" si="35"/>
        <v>0.80645161290322576</v>
      </c>
      <c r="K253">
        <f t="shared" si="36"/>
        <v>0.19354838709677419</v>
      </c>
      <c r="L253">
        <f t="shared" si="37"/>
        <v>204</v>
      </c>
      <c r="M253" s="6">
        <f t="shared" si="38"/>
        <v>31</v>
      </c>
      <c r="N253" s="13">
        <f t="shared" si="44"/>
        <v>33.778377682202681</v>
      </c>
      <c r="O253" s="6">
        <f t="shared" si="41"/>
        <v>5644.875</v>
      </c>
      <c r="P253" s="6">
        <f t="shared" si="42"/>
        <v>5592.2766804761204</v>
      </c>
      <c r="Q253" s="6">
        <f t="shared" si="39"/>
        <v>33.778377682202681</v>
      </c>
      <c r="T253" s="6">
        <f t="shared" si="43"/>
        <v>33.778377682202681</v>
      </c>
    </row>
    <row r="254" spans="1:20">
      <c r="B254">
        <f t="shared" si="40"/>
        <v>251</v>
      </c>
      <c r="C254">
        <f t="shared" si="34"/>
        <v>31</v>
      </c>
      <c r="D254">
        <v>244</v>
      </c>
      <c r="E254">
        <v>275</v>
      </c>
      <c r="F254">
        <f>RnSPLINE!H$12</f>
        <v>31</v>
      </c>
      <c r="G254">
        <f>RnSPLINE!H$13</f>
        <v>31</v>
      </c>
      <c r="H254" s="5">
        <f>RnSPLINE!M$12</f>
        <v>-5.1722705286557695E-2</v>
      </c>
      <c r="I254" s="5">
        <f>RnSPLINE!M$13</f>
        <v>-1.4830184591461952E-2</v>
      </c>
      <c r="J254">
        <f t="shared" si="35"/>
        <v>0.77419354838709675</v>
      </c>
      <c r="K254">
        <f t="shared" si="36"/>
        <v>0.22580645161290322</v>
      </c>
      <c r="L254">
        <f t="shared" si="37"/>
        <v>205</v>
      </c>
      <c r="M254" s="6">
        <f t="shared" si="38"/>
        <v>31</v>
      </c>
      <c r="N254" s="13">
        <f t="shared" si="44"/>
        <v>34.078460727310144</v>
      </c>
      <c r="O254" s="6">
        <f t="shared" si="41"/>
        <v>5675.875</v>
      </c>
      <c r="P254" s="6">
        <f t="shared" si="42"/>
        <v>5626.3551412034303</v>
      </c>
      <c r="Q254" s="6">
        <f t="shared" si="39"/>
        <v>34.078460727310144</v>
      </c>
      <c r="T254" s="6">
        <f t="shared" si="43"/>
        <v>34.078460727310144</v>
      </c>
    </row>
    <row r="255" spans="1:20">
      <c r="B255">
        <f t="shared" si="40"/>
        <v>252</v>
      </c>
      <c r="C255">
        <f t="shared" si="34"/>
        <v>31</v>
      </c>
      <c r="D255">
        <v>244</v>
      </c>
      <c r="E255">
        <v>275</v>
      </c>
      <c r="F255">
        <f>RnSPLINE!H$12</f>
        <v>31</v>
      </c>
      <c r="G255">
        <f>RnSPLINE!H$13</f>
        <v>31</v>
      </c>
      <c r="H255" s="5">
        <f>RnSPLINE!M$12</f>
        <v>-5.1722705286557695E-2</v>
      </c>
      <c r="I255" s="5">
        <f>RnSPLINE!M$13</f>
        <v>-1.4830184591461952E-2</v>
      </c>
      <c r="J255">
        <f t="shared" si="35"/>
        <v>0.74193548387096775</v>
      </c>
      <c r="K255">
        <f t="shared" si="36"/>
        <v>0.25806451612903225</v>
      </c>
      <c r="L255">
        <f t="shared" si="37"/>
        <v>206</v>
      </c>
      <c r="M255" s="6">
        <f t="shared" si="38"/>
        <v>31</v>
      </c>
      <c r="N255" s="13">
        <f t="shared" si="44"/>
        <v>34.335151636320262</v>
      </c>
      <c r="O255" s="6">
        <f t="shared" si="41"/>
        <v>5706.875</v>
      </c>
      <c r="P255" s="6">
        <f t="shared" si="42"/>
        <v>5660.6902928397503</v>
      </c>
      <c r="Q255" s="6">
        <f t="shared" si="39"/>
        <v>34.335151636320262</v>
      </c>
      <c r="T255" s="6">
        <f t="shared" si="43"/>
        <v>34.335151636320262</v>
      </c>
    </row>
    <row r="256" spans="1:20">
      <c r="B256">
        <f t="shared" si="40"/>
        <v>253</v>
      </c>
      <c r="C256">
        <f t="shared" si="34"/>
        <v>31</v>
      </c>
      <c r="D256">
        <v>244</v>
      </c>
      <c r="E256">
        <v>275</v>
      </c>
      <c r="F256">
        <f>RnSPLINE!H$12</f>
        <v>31</v>
      </c>
      <c r="G256">
        <f>RnSPLINE!H$13</f>
        <v>31</v>
      </c>
      <c r="H256" s="5">
        <f>RnSPLINE!M$12</f>
        <v>-5.1722705286557695E-2</v>
      </c>
      <c r="I256" s="5">
        <f>RnSPLINE!M$13</f>
        <v>-1.4830184591461952E-2</v>
      </c>
      <c r="J256">
        <f t="shared" si="35"/>
        <v>0.70967741935483875</v>
      </c>
      <c r="K256">
        <f t="shared" si="36"/>
        <v>0.29032258064516131</v>
      </c>
      <c r="L256">
        <f t="shared" si="37"/>
        <v>207</v>
      </c>
      <c r="M256" s="6">
        <f t="shared" si="38"/>
        <v>31</v>
      </c>
      <c r="N256" s="13">
        <f t="shared" si="44"/>
        <v>34.549640490545784</v>
      </c>
      <c r="O256" s="6">
        <f t="shared" si="41"/>
        <v>5737.875</v>
      </c>
      <c r="P256" s="6">
        <f t="shared" si="42"/>
        <v>5695.2399333302965</v>
      </c>
      <c r="Q256" s="6">
        <f t="shared" si="39"/>
        <v>34.549640490545784</v>
      </c>
      <c r="T256" s="6">
        <f t="shared" si="43"/>
        <v>34.549640490545784</v>
      </c>
    </row>
    <row r="257" spans="2:20">
      <c r="B257">
        <f t="shared" si="40"/>
        <v>254</v>
      </c>
      <c r="C257">
        <f t="shared" si="34"/>
        <v>31</v>
      </c>
      <c r="D257">
        <v>244</v>
      </c>
      <c r="E257">
        <v>275</v>
      </c>
      <c r="F257">
        <f>RnSPLINE!H$12</f>
        <v>31</v>
      </c>
      <c r="G257">
        <f>RnSPLINE!H$13</f>
        <v>31</v>
      </c>
      <c r="H257" s="5">
        <f>RnSPLINE!M$12</f>
        <v>-5.1722705286557695E-2</v>
      </c>
      <c r="I257" s="5">
        <f>RnSPLINE!M$13</f>
        <v>-1.4830184591461952E-2</v>
      </c>
      <c r="J257">
        <f t="shared" si="35"/>
        <v>0.67741935483870963</v>
      </c>
      <c r="K257">
        <f t="shared" si="36"/>
        <v>0.32258064516129031</v>
      </c>
      <c r="L257">
        <f t="shared" si="37"/>
        <v>208</v>
      </c>
      <c r="M257" s="6">
        <f t="shared" si="38"/>
        <v>31</v>
      </c>
      <c r="N257" s="13">
        <f t="shared" si="44"/>
        <v>34.723117371299452</v>
      </c>
      <c r="O257" s="6">
        <f t="shared" si="41"/>
        <v>5768.875</v>
      </c>
      <c r="P257" s="6">
        <f t="shared" si="42"/>
        <v>5729.9630507015963</v>
      </c>
      <c r="Q257" s="6">
        <f t="shared" si="39"/>
        <v>34.723117371299452</v>
      </c>
      <c r="T257" s="6">
        <f t="shared" si="43"/>
        <v>34.723117371299452</v>
      </c>
    </row>
    <row r="258" spans="2:20">
      <c r="B258">
        <f t="shared" si="40"/>
        <v>255</v>
      </c>
      <c r="C258">
        <f t="shared" si="34"/>
        <v>31</v>
      </c>
      <c r="D258">
        <v>244</v>
      </c>
      <c r="E258">
        <v>275</v>
      </c>
      <c r="F258">
        <f>RnSPLINE!H$12</f>
        <v>31</v>
      </c>
      <c r="G258">
        <f>RnSPLINE!H$13</f>
        <v>31</v>
      </c>
      <c r="H258" s="5">
        <f>RnSPLINE!M$12</f>
        <v>-5.1722705286557695E-2</v>
      </c>
      <c r="I258" s="5">
        <f>RnSPLINE!M$13</f>
        <v>-1.4830184591461952E-2</v>
      </c>
      <c r="J258">
        <f t="shared" si="35"/>
        <v>0.64516129032258063</v>
      </c>
      <c r="K258">
        <f t="shared" si="36"/>
        <v>0.35483870967741937</v>
      </c>
      <c r="L258">
        <f t="shared" si="37"/>
        <v>209</v>
      </c>
      <c r="M258" s="6">
        <f t="shared" si="38"/>
        <v>31</v>
      </c>
      <c r="N258" s="13">
        <f t="shared" si="44"/>
        <v>34.856772359894009</v>
      </c>
      <c r="O258" s="6">
        <f t="shared" si="41"/>
        <v>5799.875</v>
      </c>
      <c r="P258" s="6">
        <f t="shared" si="42"/>
        <v>5764.8198230614908</v>
      </c>
      <c r="Q258" s="6">
        <f t="shared" si="39"/>
        <v>34.856772359894009</v>
      </c>
      <c r="T258" s="6">
        <f t="shared" si="43"/>
        <v>34.856772359894009</v>
      </c>
    </row>
    <row r="259" spans="2:20">
      <c r="B259">
        <f t="shared" si="40"/>
        <v>256</v>
      </c>
      <c r="C259">
        <f t="shared" si="34"/>
        <v>31</v>
      </c>
      <c r="D259">
        <v>244</v>
      </c>
      <c r="E259">
        <v>275</v>
      </c>
      <c r="F259">
        <f>RnSPLINE!H$12</f>
        <v>31</v>
      </c>
      <c r="G259">
        <f>RnSPLINE!H$13</f>
        <v>31</v>
      </c>
      <c r="H259" s="5">
        <f>RnSPLINE!M$12</f>
        <v>-5.1722705286557695E-2</v>
      </c>
      <c r="I259" s="5">
        <f>RnSPLINE!M$13</f>
        <v>-1.4830184591461952E-2</v>
      </c>
      <c r="J259">
        <f t="shared" si="35"/>
        <v>0.61290322580645162</v>
      </c>
      <c r="K259">
        <f t="shared" si="36"/>
        <v>0.38709677419354838</v>
      </c>
      <c r="L259">
        <f t="shared" si="37"/>
        <v>210</v>
      </c>
      <c r="M259" s="6">
        <f t="shared" si="38"/>
        <v>31</v>
      </c>
      <c r="N259" s="13">
        <f t="shared" si="44"/>
        <v>34.951795537642205</v>
      </c>
      <c r="O259" s="6">
        <f t="shared" si="41"/>
        <v>5830.875</v>
      </c>
      <c r="P259" s="6">
        <f t="shared" si="42"/>
        <v>5799.771618599133</v>
      </c>
      <c r="Q259" s="6">
        <f t="shared" si="39"/>
        <v>34.951795537642205</v>
      </c>
      <c r="T259" s="6">
        <f t="shared" si="43"/>
        <v>34.951795537642205</v>
      </c>
    </row>
    <row r="260" spans="2:20">
      <c r="B260">
        <f t="shared" si="40"/>
        <v>257</v>
      </c>
      <c r="C260">
        <f t="shared" ref="C260:C323" si="45">E260-D260</f>
        <v>31</v>
      </c>
      <c r="D260">
        <v>244</v>
      </c>
      <c r="E260">
        <v>275</v>
      </c>
      <c r="F260">
        <f>RnSPLINE!H$12</f>
        <v>31</v>
      </c>
      <c r="G260">
        <f>RnSPLINE!H$13</f>
        <v>31</v>
      </c>
      <c r="H260" s="5">
        <f>RnSPLINE!M$12</f>
        <v>-5.1722705286557695E-2</v>
      </c>
      <c r="I260" s="5">
        <f>RnSPLINE!M$13</f>
        <v>-1.4830184591461952E-2</v>
      </c>
      <c r="J260">
        <f t="shared" ref="J260:J323" si="46">(E260-B260)/C260</f>
        <v>0.58064516129032262</v>
      </c>
      <c r="K260">
        <f t="shared" ref="K260:K323" si="47">(B260-D260)/C260</f>
        <v>0.41935483870967744</v>
      </c>
      <c r="L260">
        <f t="shared" ref="L260:L323" si="48">B260-46</f>
        <v>211</v>
      </c>
      <c r="M260" s="6">
        <f t="shared" ref="M260:M323" si="49">J260*F260+K260*G260</f>
        <v>31</v>
      </c>
      <c r="N260" s="13">
        <f t="shared" si="44"/>
        <v>35.00937698585679</v>
      </c>
      <c r="O260" s="6">
        <f t="shared" si="41"/>
        <v>5861.875</v>
      </c>
      <c r="P260" s="6">
        <f t="shared" si="42"/>
        <v>5834.7809955849898</v>
      </c>
      <c r="Q260" s="6">
        <f t="shared" ref="Q260:Q323" si="50">M260+(((J260^3-J260)*H260+(K260^3-K260)*I260))*(C260^2)/6</f>
        <v>35.00937698585679</v>
      </c>
      <c r="T260" s="6">
        <f t="shared" si="43"/>
        <v>35.00937698585679</v>
      </c>
    </row>
    <row r="261" spans="2:20">
      <c r="B261">
        <f t="shared" ref="B261:B324" si="51">B260+1</f>
        <v>258</v>
      </c>
      <c r="C261">
        <f t="shared" si="45"/>
        <v>31</v>
      </c>
      <c r="D261">
        <v>244</v>
      </c>
      <c r="E261">
        <v>275</v>
      </c>
      <c r="F261">
        <f>RnSPLINE!H$12</f>
        <v>31</v>
      </c>
      <c r="G261">
        <f>RnSPLINE!H$13</f>
        <v>31</v>
      </c>
      <c r="H261" s="5">
        <f>RnSPLINE!M$12</f>
        <v>-5.1722705286557695E-2</v>
      </c>
      <c r="I261" s="5">
        <f>RnSPLINE!M$13</f>
        <v>-1.4830184591461952E-2</v>
      </c>
      <c r="J261">
        <f t="shared" si="46"/>
        <v>0.54838709677419351</v>
      </c>
      <c r="K261">
        <f t="shared" si="47"/>
        <v>0.45161290322580644</v>
      </c>
      <c r="L261">
        <f t="shared" si="48"/>
        <v>212</v>
      </c>
      <c r="M261" s="6">
        <f t="shared" si="49"/>
        <v>31</v>
      </c>
      <c r="N261" s="13">
        <f t="shared" si="44"/>
        <v>35.030706785850498</v>
      </c>
      <c r="O261" s="6">
        <f t="shared" ref="O261:O324" si="52">O260+M261</f>
        <v>5892.875</v>
      </c>
      <c r="P261" s="6">
        <f t="shared" ref="P261:P324" si="53">P260+N261</f>
        <v>5869.8117023708401</v>
      </c>
      <c r="Q261" s="6">
        <f t="shared" si="50"/>
        <v>35.030706785850498</v>
      </c>
      <c r="T261" s="6">
        <f t="shared" si="43"/>
        <v>35.030706785850498</v>
      </c>
    </row>
    <row r="262" spans="2:20">
      <c r="B262">
        <f t="shared" si="51"/>
        <v>259</v>
      </c>
      <c r="C262">
        <f t="shared" si="45"/>
        <v>31</v>
      </c>
      <c r="D262">
        <v>244</v>
      </c>
      <c r="E262">
        <v>275</v>
      </c>
      <c r="F262">
        <f>RnSPLINE!H$12</f>
        <v>31</v>
      </c>
      <c r="G262">
        <f>RnSPLINE!H$13</f>
        <v>31</v>
      </c>
      <c r="H262" s="5">
        <f>RnSPLINE!M$12</f>
        <v>-5.1722705286557695E-2</v>
      </c>
      <c r="I262" s="5">
        <f>RnSPLINE!M$13</f>
        <v>-1.4830184591461952E-2</v>
      </c>
      <c r="J262">
        <f t="shared" si="46"/>
        <v>0.5161290322580645</v>
      </c>
      <c r="K262">
        <f t="shared" si="47"/>
        <v>0.4838709677419355</v>
      </c>
      <c r="L262">
        <f t="shared" si="48"/>
        <v>213</v>
      </c>
      <c r="M262" s="6">
        <f t="shared" si="49"/>
        <v>31</v>
      </c>
      <c r="N262" s="13">
        <f t="shared" si="44"/>
        <v>35.01697501893608</v>
      </c>
      <c r="O262" s="6">
        <f t="shared" si="52"/>
        <v>5923.875</v>
      </c>
      <c r="P262" s="6">
        <f t="shared" si="53"/>
        <v>5904.8286773897762</v>
      </c>
      <c r="Q262" s="6">
        <f t="shared" si="50"/>
        <v>35.01697501893608</v>
      </c>
      <c r="T262" s="6">
        <f t="shared" si="43"/>
        <v>35.01697501893608</v>
      </c>
    </row>
    <row r="263" spans="2:20">
      <c r="B263">
        <f t="shared" si="51"/>
        <v>260</v>
      </c>
      <c r="C263">
        <f t="shared" si="45"/>
        <v>31</v>
      </c>
      <c r="D263">
        <v>244</v>
      </c>
      <c r="E263">
        <v>275</v>
      </c>
      <c r="F263">
        <f>RnSPLINE!H$12</f>
        <v>31</v>
      </c>
      <c r="G263">
        <f>RnSPLINE!H$13</f>
        <v>31</v>
      </c>
      <c r="H263" s="5">
        <f>RnSPLINE!M$12</f>
        <v>-5.1722705286557695E-2</v>
      </c>
      <c r="I263" s="5">
        <f>RnSPLINE!M$13</f>
        <v>-1.4830184591461952E-2</v>
      </c>
      <c r="J263">
        <f t="shared" si="46"/>
        <v>0.4838709677419355</v>
      </c>
      <c r="K263">
        <f t="shared" si="47"/>
        <v>0.5161290322580645</v>
      </c>
      <c r="L263">
        <f t="shared" si="48"/>
        <v>214</v>
      </c>
      <c r="M263" s="6">
        <f t="shared" si="49"/>
        <v>31</v>
      </c>
      <c r="N263" s="13">
        <f t="shared" si="44"/>
        <v>34.969371766426278</v>
      </c>
      <c r="O263" s="6">
        <f t="shared" si="52"/>
        <v>5954.875</v>
      </c>
      <c r="P263" s="6">
        <f t="shared" si="53"/>
        <v>5939.7980491562021</v>
      </c>
      <c r="Q263" s="6">
        <f t="shared" si="50"/>
        <v>34.969371766426278</v>
      </c>
      <c r="T263" s="6">
        <f t="shared" si="43"/>
        <v>34.969371766426278</v>
      </c>
    </row>
    <row r="264" spans="2:20">
      <c r="B264">
        <f t="shared" si="51"/>
        <v>261</v>
      </c>
      <c r="C264">
        <f t="shared" si="45"/>
        <v>31</v>
      </c>
      <c r="D264">
        <v>244</v>
      </c>
      <c r="E264">
        <v>275</v>
      </c>
      <c r="F264">
        <f>RnSPLINE!H$12</f>
        <v>31</v>
      </c>
      <c r="G264">
        <f>RnSPLINE!H$13</f>
        <v>31</v>
      </c>
      <c r="H264" s="5">
        <f>RnSPLINE!M$12</f>
        <v>-5.1722705286557695E-2</v>
      </c>
      <c r="I264" s="5">
        <f>RnSPLINE!M$13</f>
        <v>-1.4830184591461952E-2</v>
      </c>
      <c r="J264">
        <f t="shared" si="46"/>
        <v>0.45161290322580644</v>
      </c>
      <c r="K264">
        <f t="shared" si="47"/>
        <v>0.54838709677419351</v>
      </c>
      <c r="L264">
        <f t="shared" si="48"/>
        <v>215</v>
      </c>
      <c r="M264" s="6">
        <f t="shared" si="49"/>
        <v>31</v>
      </c>
      <c r="N264" s="13">
        <f t="shared" si="44"/>
        <v>34.889087109633842</v>
      </c>
      <c r="O264" s="6">
        <f t="shared" si="52"/>
        <v>5985.875</v>
      </c>
      <c r="P264" s="6">
        <f t="shared" si="53"/>
        <v>5974.6871362658358</v>
      </c>
      <c r="Q264" s="6">
        <f t="shared" si="50"/>
        <v>34.889087109633842</v>
      </c>
      <c r="T264" s="6">
        <f t="shared" si="43"/>
        <v>34.889087109633842</v>
      </c>
    </row>
    <row r="265" spans="2:20">
      <c r="B265">
        <f t="shared" si="51"/>
        <v>262</v>
      </c>
      <c r="C265">
        <f t="shared" si="45"/>
        <v>31</v>
      </c>
      <c r="D265">
        <v>244</v>
      </c>
      <c r="E265">
        <v>275</v>
      </c>
      <c r="F265">
        <f>RnSPLINE!H$12</f>
        <v>31</v>
      </c>
      <c r="G265">
        <f>RnSPLINE!H$13</f>
        <v>31</v>
      </c>
      <c r="H265" s="5">
        <f>RnSPLINE!M$12</f>
        <v>-5.1722705286557695E-2</v>
      </c>
      <c r="I265" s="5">
        <f>RnSPLINE!M$13</f>
        <v>-1.4830184591461952E-2</v>
      </c>
      <c r="J265">
        <f t="shared" si="46"/>
        <v>0.41935483870967744</v>
      </c>
      <c r="K265">
        <f t="shared" si="47"/>
        <v>0.58064516129032262</v>
      </c>
      <c r="L265">
        <f t="shared" si="48"/>
        <v>216</v>
      </c>
      <c r="M265" s="6">
        <f t="shared" si="49"/>
        <v>31</v>
      </c>
      <c r="N265" s="13">
        <f t="shared" si="44"/>
        <v>34.777311129871507</v>
      </c>
      <c r="O265" s="6">
        <f t="shared" si="52"/>
        <v>6016.875</v>
      </c>
      <c r="P265" s="6">
        <f t="shared" si="53"/>
        <v>6009.4644473957069</v>
      </c>
      <c r="Q265" s="6">
        <f t="shared" si="50"/>
        <v>34.777311129871507</v>
      </c>
      <c r="T265" s="6">
        <f t="shared" si="43"/>
        <v>34.777311129871507</v>
      </c>
    </row>
    <row r="266" spans="2:20">
      <c r="B266">
        <f t="shared" si="51"/>
        <v>263</v>
      </c>
      <c r="C266">
        <f t="shared" si="45"/>
        <v>31</v>
      </c>
      <c r="D266">
        <v>244</v>
      </c>
      <c r="E266">
        <v>275</v>
      </c>
      <c r="F266">
        <f>RnSPLINE!H$12</f>
        <v>31</v>
      </c>
      <c r="G266">
        <f>RnSPLINE!H$13</f>
        <v>31</v>
      </c>
      <c r="H266" s="5">
        <f>RnSPLINE!M$12</f>
        <v>-5.1722705286557695E-2</v>
      </c>
      <c r="I266" s="5">
        <f>RnSPLINE!M$13</f>
        <v>-1.4830184591461952E-2</v>
      </c>
      <c r="J266">
        <f t="shared" si="46"/>
        <v>0.38709677419354838</v>
      </c>
      <c r="K266">
        <f t="shared" si="47"/>
        <v>0.61290322580645162</v>
      </c>
      <c r="L266">
        <f t="shared" si="48"/>
        <v>217</v>
      </c>
      <c r="M266" s="6">
        <f t="shared" si="49"/>
        <v>31</v>
      </c>
      <c r="N266" s="13">
        <f t="shared" si="44"/>
        <v>34.63523390845203</v>
      </c>
      <c r="O266" s="6">
        <f t="shared" si="52"/>
        <v>6047.875</v>
      </c>
      <c r="P266" s="6">
        <f t="shared" si="53"/>
        <v>6044.0996813041593</v>
      </c>
      <c r="Q266" s="6">
        <f t="shared" si="50"/>
        <v>34.63523390845203</v>
      </c>
      <c r="T266" s="6">
        <f t="shared" si="43"/>
        <v>34.63523390845203</v>
      </c>
    </row>
    <row r="267" spans="2:20">
      <c r="B267">
        <f t="shared" si="51"/>
        <v>264</v>
      </c>
      <c r="C267">
        <f t="shared" si="45"/>
        <v>31</v>
      </c>
      <c r="D267">
        <v>244</v>
      </c>
      <c r="E267">
        <v>275</v>
      </c>
      <c r="F267">
        <f>RnSPLINE!H$12</f>
        <v>31</v>
      </c>
      <c r="G267">
        <f>RnSPLINE!H$13</f>
        <v>31</v>
      </c>
      <c r="H267" s="5">
        <f>RnSPLINE!M$12</f>
        <v>-5.1722705286557695E-2</v>
      </c>
      <c r="I267" s="5">
        <f>RnSPLINE!M$13</f>
        <v>-1.4830184591461952E-2</v>
      </c>
      <c r="J267">
        <f t="shared" si="46"/>
        <v>0.35483870967741937</v>
      </c>
      <c r="K267">
        <f t="shared" si="47"/>
        <v>0.64516129032258063</v>
      </c>
      <c r="L267">
        <f t="shared" si="48"/>
        <v>218</v>
      </c>
      <c r="M267" s="6">
        <f t="shared" si="49"/>
        <v>31</v>
      </c>
      <c r="N267" s="13">
        <f t="shared" si="44"/>
        <v>34.464045526688153</v>
      </c>
      <c r="O267" s="6">
        <f t="shared" si="52"/>
        <v>6078.875</v>
      </c>
      <c r="P267" s="6">
        <f t="shared" si="53"/>
        <v>6078.5637268308474</v>
      </c>
      <c r="Q267" s="6">
        <f t="shared" si="50"/>
        <v>34.464045526688153</v>
      </c>
      <c r="T267" s="6">
        <f t="shared" si="43"/>
        <v>34.464045526688153</v>
      </c>
    </row>
    <row r="268" spans="2:20">
      <c r="B268">
        <f t="shared" si="51"/>
        <v>265</v>
      </c>
      <c r="C268">
        <f t="shared" si="45"/>
        <v>31</v>
      </c>
      <c r="D268">
        <v>244</v>
      </c>
      <c r="E268">
        <v>275</v>
      </c>
      <c r="F268">
        <f>RnSPLINE!H$12</f>
        <v>31</v>
      </c>
      <c r="G268">
        <f>RnSPLINE!H$13</f>
        <v>31</v>
      </c>
      <c r="H268" s="5">
        <f>RnSPLINE!M$12</f>
        <v>-5.1722705286557695E-2</v>
      </c>
      <c r="I268" s="5">
        <f>RnSPLINE!M$13</f>
        <v>-1.4830184591461952E-2</v>
      </c>
      <c r="J268">
        <f t="shared" si="46"/>
        <v>0.32258064516129031</v>
      </c>
      <c r="K268">
        <f t="shared" si="47"/>
        <v>0.67741935483870963</v>
      </c>
      <c r="L268">
        <f t="shared" si="48"/>
        <v>219</v>
      </c>
      <c r="M268" s="6">
        <f t="shared" si="49"/>
        <v>31</v>
      </c>
      <c r="N268" s="13">
        <f t="shared" si="44"/>
        <v>34.264936065892613</v>
      </c>
      <c r="O268" s="6">
        <f t="shared" si="52"/>
        <v>6109.875</v>
      </c>
      <c r="P268" s="6">
        <f t="shared" si="53"/>
        <v>6112.8286628967398</v>
      </c>
      <c r="Q268" s="6">
        <f t="shared" si="50"/>
        <v>34.264936065892613</v>
      </c>
      <c r="T268" s="6">
        <f t="shared" si="43"/>
        <v>34.264936065892613</v>
      </c>
    </row>
    <row r="269" spans="2:20">
      <c r="B269">
        <f t="shared" si="51"/>
        <v>266</v>
      </c>
      <c r="C269">
        <f t="shared" si="45"/>
        <v>31</v>
      </c>
      <c r="D269">
        <v>244</v>
      </c>
      <c r="E269">
        <v>275</v>
      </c>
      <c r="F269">
        <f>RnSPLINE!H$12</f>
        <v>31</v>
      </c>
      <c r="G269">
        <f>RnSPLINE!H$13</f>
        <v>31</v>
      </c>
      <c r="H269" s="5">
        <f>RnSPLINE!M$12</f>
        <v>-5.1722705286557695E-2</v>
      </c>
      <c r="I269" s="5">
        <f>RnSPLINE!M$13</f>
        <v>-1.4830184591461952E-2</v>
      </c>
      <c r="J269">
        <f t="shared" si="46"/>
        <v>0.29032258064516131</v>
      </c>
      <c r="K269">
        <f t="shared" si="47"/>
        <v>0.70967741935483875</v>
      </c>
      <c r="L269">
        <f t="shared" si="48"/>
        <v>220</v>
      </c>
      <c r="M269" s="6">
        <f t="shared" si="49"/>
        <v>31</v>
      </c>
      <c r="N269" s="13">
        <f t="shared" si="44"/>
        <v>34.039095607378165</v>
      </c>
      <c r="O269" s="6">
        <f t="shared" si="52"/>
        <v>6140.875</v>
      </c>
      <c r="P269" s="6">
        <f t="shared" si="53"/>
        <v>6146.8677585041178</v>
      </c>
      <c r="Q269" s="6">
        <f t="shared" si="50"/>
        <v>34.039095607378165</v>
      </c>
      <c r="T269" s="6">
        <f t="shared" si="43"/>
        <v>34.039095607378165</v>
      </c>
    </row>
    <row r="270" spans="2:20">
      <c r="B270">
        <f t="shared" si="51"/>
        <v>267</v>
      </c>
      <c r="C270">
        <f t="shared" si="45"/>
        <v>31</v>
      </c>
      <c r="D270">
        <v>244</v>
      </c>
      <c r="E270">
        <v>275</v>
      </c>
      <c r="F270">
        <f>RnSPLINE!H$12</f>
        <v>31</v>
      </c>
      <c r="G270">
        <f>RnSPLINE!H$13</f>
        <v>31</v>
      </c>
      <c r="H270" s="5">
        <f>RnSPLINE!M$12</f>
        <v>-5.1722705286557695E-2</v>
      </c>
      <c r="I270" s="5">
        <f>RnSPLINE!M$13</f>
        <v>-1.4830184591461952E-2</v>
      </c>
      <c r="J270">
        <f t="shared" si="46"/>
        <v>0.25806451612903225</v>
      </c>
      <c r="K270">
        <f t="shared" si="47"/>
        <v>0.74193548387096775</v>
      </c>
      <c r="L270">
        <f t="shared" si="48"/>
        <v>221</v>
      </c>
      <c r="M270" s="6">
        <f t="shared" si="49"/>
        <v>31</v>
      </c>
      <c r="N270" s="13">
        <f t="shared" si="44"/>
        <v>33.787714232457546</v>
      </c>
      <c r="O270" s="6">
        <f t="shared" si="52"/>
        <v>6171.875</v>
      </c>
      <c r="P270" s="6">
        <f t="shared" si="53"/>
        <v>6180.6554727365756</v>
      </c>
      <c r="Q270" s="6">
        <f t="shared" si="50"/>
        <v>33.787714232457546</v>
      </c>
      <c r="T270" s="6">
        <f t="shared" si="43"/>
        <v>33.787714232457546</v>
      </c>
    </row>
    <row r="271" spans="2:20">
      <c r="B271">
        <f t="shared" si="51"/>
        <v>268</v>
      </c>
      <c r="C271">
        <f t="shared" si="45"/>
        <v>31</v>
      </c>
      <c r="D271">
        <v>244</v>
      </c>
      <c r="E271">
        <v>275</v>
      </c>
      <c r="F271">
        <f>RnSPLINE!H$12</f>
        <v>31</v>
      </c>
      <c r="G271">
        <f>RnSPLINE!H$13</f>
        <v>31</v>
      </c>
      <c r="H271" s="5">
        <f>RnSPLINE!M$12</f>
        <v>-5.1722705286557695E-2</v>
      </c>
      <c r="I271" s="5">
        <f>RnSPLINE!M$13</f>
        <v>-1.4830184591461952E-2</v>
      </c>
      <c r="J271">
        <f t="shared" si="46"/>
        <v>0.22580645161290322</v>
      </c>
      <c r="K271">
        <f t="shared" si="47"/>
        <v>0.77419354838709675</v>
      </c>
      <c r="L271">
        <f t="shared" si="48"/>
        <v>222</v>
      </c>
      <c r="M271" s="6">
        <f t="shared" si="49"/>
        <v>31</v>
      </c>
      <c r="N271" s="13">
        <f t="shared" si="44"/>
        <v>33.511982022443512</v>
      </c>
      <c r="O271" s="6">
        <f t="shared" si="52"/>
        <v>6202.875</v>
      </c>
      <c r="P271" s="6">
        <f t="shared" si="53"/>
        <v>6214.1674547590192</v>
      </c>
      <c r="Q271" s="6">
        <f t="shared" si="50"/>
        <v>33.511982022443512</v>
      </c>
      <c r="T271" s="6">
        <f t="shared" si="43"/>
        <v>33.511982022443512</v>
      </c>
    </row>
    <row r="272" spans="2:20">
      <c r="B272">
        <f t="shared" si="51"/>
        <v>269</v>
      </c>
      <c r="C272">
        <f t="shared" si="45"/>
        <v>31</v>
      </c>
      <c r="D272">
        <v>244</v>
      </c>
      <c r="E272">
        <v>275</v>
      </c>
      <c r="F272">
        <f>RnSPLINE!H$12</f>
        <v>31</v>
      </c>
      <c r="G272">
        <f>RnSPLINE!H$13</f>
        <v>31</v>
      </c>
      <c r="H272" s="5">
        <f>RnSPLINE!M$12</f>
        <v>-5.1722705286557695E-2</v>
      </c>
      <c r="I272" s="5">
        <f>RnSPLINE!M$13</f>
        <v>-1.4830184591461952E-2</v>
      </c>
      <c r="J272">
        <f t="shared" si="46"/>
        <v>0.19354838709677419</v>
      </c>
      <c r="K272">
        <f t="shared" si="47"/>
        <v>0.80645161290322576</v>
      </c>
      <c r="L272">
        <f t="shared" si="48"/>
        <v>223</v>
      </c>
      <c r="M272" s="6">
        <f t="shared" si="49"/>
        <v>31</v>
      </c>
      <c r="N272" s="13">
        <f t="shared" si="44"/>
        <v>33.213089058648791</v>
      </c>
      <c r="O272" s="6">
        <f t="shared" si="52"/>
        <v>6233.875</v>
      </c>
      <c r="P272" s="6">
        <f t="shared" si="53"/>
        <v>6247.3805438176678</v>
      </c>
      <c r="Q272" s="6">
        <f t="shared" si="50"/>
        <v>33.213089058648791</v>
      </c>
      <c r="T272" s="6">
        <f t="shared" si="43"/>
        <v>33.213089058648791</v>
      </c>
    </row>
    <row r="273" spans="1:20">
      <c r="B273">
        <f t="shared" si="51"/>
        <v>270</v>
      </c>
      <c r="C273">
        <f t="shared" si="45"/>
        <v>31</v>
      </c>
      <c r="D273">
        <v>244</v>
      </c>
      <c r="E273">
        <v>275</v>
      </c>
      <c r="F273">
        <f>RnSPLINE!H$12</f>
        <v>31</v>
      </c>
      <c r="G273">
        <f>RnSPLINE!H$13</f>
        <v>31</v>
      </c>
      <c r="H273" s="5">
        <f>RnSPLINE!M$12</f>
        <v>-5.1722705286557695E-2</v>
      </c>
      <c r="I273" s="5">
        <f>RnSPLINE!M$13</f>
        <v>-1.4830184591461952E-2</v>
      </c>
      <c r="J273">
        <f t="shared" si="46"/>
        <v>0.16129032258064516</v>
      </c>
      <c r="K273">
        <f t="shared" si="47"/>
        <v>0.83870967741935487</v>
      </c>
      <c r="L273">
        <f t="shared" si="48"/>
        <v>224</v>
      </c>
      <c r="M273" s="6">
        <f t="shared" si="49"/>
        <v>31</v>
      </c>
      <c r="N273" s="13">
        <f t="shared" si="44"/>
        <v>32.892225422386147</v>
      </c>
      <c r="O273" s="6">
        <f t="shared" si="52"/>
        <v>6264.875</v>
      </c>
      <c r="P273" s="6">
        <f t="shared" si="53"/>
        <v>6280.272769240054</v>
      </c>
      <c r="Q273" s="6">
        <f t="shared" si="50"/>
        <v>32.892225422386147</v>
      </c>
      <c r="T273" s="6">
        <f t="shared" si="43"/>
        <v>32.892225422386147</v>
      </c>
    </row>
    <row r="274" spans="1:20">
      <c r="B274">
        <f t="shared" si="51"/>
        <v>271</v>
      </c>
      <c r="C274">
        <f t="shared" si="45"/>
        <v>31</v>
      </c>
      <c r="D274">
        <v>244</v>
      </c>
      <c r="E274">
        <v>275</v>
      </c>
      <c r="F274">
        <f>RnSPLINE!H$12</f>
        <v>31</v>
      </c>
      <c r="G274">
        <f>RnSPLINE!H$13</f>
        <v>31</v>
      </c>
      <c r="H274" s="5">
        <f>RnSPLINE!M$12</f>
        <v>-5.1722705286557695E-2</v>
      </c>
      <c r="I274" s="5">
        <f>RnSPLINE!M$13</f>
        <v>-1.4830184591461952E-2</v>
      </c>
      <c r="J274">
        <f t="shared" si="46"/>
        <v>0.12903225806451613</v>
      </c>
      <c r="K274">
        <f t="shared" si="47"/>
        <v>0.87096774193548387</v>
      </c>
      <c r="L274">
        <f t="shared" si="48"/>
        <v>225</v>
      </c>
      <c r="M274" s="6">
        <f t="shared" si="49"/>
        <v>31</v>
      </c>
      <c r="N274" s="13">
        <f t="shared" si="44"/>
        <v>32.550581194968309</v>
      </c>
      <c r="O274" s="6">
        <f t="shared" si="52"/>
        <v>6295.875</v>
      </c>
      <c r="P274" s="6">
        <f t="shared" si="53"/>
        <v>6312.8233504350219</v>
      </c>
      <c r="Q274" s="6">
        <f t="shared" si="50"/>
        <v>32.550581194968309</v>
      </c>
      <c r="T274" s="6">
        <f t="shared" si="43"/>
        <v>32.550581194968309</v>
      </c>
    </row>
    <row r="275" spans="1:20">
      <c r="B275">
        <f t="shared" si="51"/>
        <v>272</v>
      </c>
      <c r="C275">
        <f t="shared" si="45"/>
        <v>31</v>
      </c>
      <c r="D275">
        <v>244</v>
      </c>
      <c r="E275">
        <v>275</v>
      </c>
      <c r="F275">
        <f>RnSPLINE!H$12</f>
        <v>31</v>
      </c>
      <c r="G275">
        <f>RnSPLINE!H$13</f>
        <v>31</v>
      </c>
      <c r="H275" s="5">
        <f>RnSPLINE!M$12</f>
        <v>-5.1722705286557695E-2</v>
      </c>
      <c r="I275" s="5">
        <f>RnSPLINE!M$13</f>
        <v>-1.4830184591461952E-2</v>
      </c>
      <c r="J275">
        <f t="shared" si="46"/>
        <v>9.6774193548387094E-2</v>
      </c>
      <c r="K275">
        <f t="shared" si="47"/>
        <v>0.90322580645161288</v>
      </c>
      <c r="L275">
        <f t="shared" si="48"/>
        <v>226</v>
      </c>
      <c r="M275" s="6">
        <f t="shared" si="49"/>
        <v>31</v>
      </c>
      <c r="N275" s="13">
        <f t="shared" si="44"/>
        <v>32.189346457708034</v>
      </c>
      <c r="O275" s="6">
        <f t="shared" si="52"/>
        <v>6326.875</v>
      </c>
      <c r="P275" s="6">
        <f t="shared" si="53"/>
        <v>6345.0126968927298</v>
      </c>
      <c r="Q275" s="6">
        <f t="shared" si="50"/>
        <v>32.189346457708034</v>
      </c>
      <c r="T275" s="6">
        <f t="shared" si="43"/>
        <v>32.189346457708034</v>
      </c>
    </row>
    <row r="276" spans="1:20">
      <c r="B276">
        <f t="shared" si="51"/>
        <v>273</v>
      </c>
      <c r="C276">
        <f t="shared" si="45"/>
        <v>31</v>
      </c>
      <c r="D276">
        <v>244</v>
      </c>
      <c r="E276">
        <v>275</v>
      </c>
      <c r="F276">
        <f>RnSPLINE!H$12</f>
        <v>31</v>
      </c>
      <c r="G276">
        <f>RnSPLINE!H$13</f>
        <v>31</v>
      </c>
      <c r="H276" s="5">
        <f>RnSPLINE!M$12</f>
        <v>-5.1722705286557695E-2</v>
      </c>
      <c r="I276" s="5">
        <f>RnSPLINE!M$13</f>
        <v>-1.4830184591461952E-2</v>
      </c>
      <c r="J276">
        <f t="shared" si="46"/>
        <v>6.4516129032258063E-2</v>
      </c>
      <c r="K276">
        <f t="shared" si="47"/>
        <v>0.93548387096774188</v>
      </c>
      <c r="L276">
        <f t="shared" si="48"/>
        <v>227</v>
      </c>
      <c r="M276" s="6">
        <f t="shared" si="49"/>
        <v>31</v>
      </c>
      <c r="N276" s="13">
        <f t="shared" si="44"/>
        <v>31.80971129191806</v>
      </c>
      <c r="O276" s="6">
        <f t="shared" si="52"/>
        <v>6357.875</v>
      </c>
      <c r="P276" s="6">
        <f t="shared" si="53"/>
        <v>6376.8224081846474</v>
      </c>
      <c r="Q276" s="6">
        <f t="shared" si="50"/>
        <v>31.80971129191806</v>
      </c>
      <c r="T276" s="6">
        <f t="shared" si="43"/>
        <v>31.80971129191806</v>
      </c>
    </row>
    <row r="277" spans="1:20">
      <c r="B277">
        <f t="shared" si="51"/>
        <v>274</v>
      </c>
      <c r="C277">
        <f t="shared" si="45"/>
        <v>31</v>
      </c>
      <c r="D277">
        <v>244</v>
      </c>
      <c r="E277">
        <v>275</v>
      </c>
      <c r="F277">
        <f>RnSPLINE!H$12</f>
        <v>31</v>
      </c>
      <c r="G277">
        <f>RnSPLINE!H$13</f>
        <v>31</v>
      </c>
      <c r="H277" s="5">
        <f>RnSPLINE!M$12</f>
        <v>-5.1722705286557695E-2</v>
      </c>
      <c r="I277" s="5">
        <f>RnSPLINE!M$13</f>
        <v>-1.4830184591461952E-2</v>
      </c>
      <c r="J277">
        <f t="shared" si="46"/>
        <v>3.2258064516129031E-2</v>
      </c>
      <c r="K277">
        <f t="shared" si="47"/>
        <v>0.967741935483871</v>
      </c>
      <c r="L277">
        <f t="shared" si="48"/>
        <v>228</v>
      </c>
      <c r="M277" s="6">
        <f t="shared" si="49"/>
        <v>31</v>
      </c>
      <c r="N277" s="13">
        <f t="shared" si="44"/>
        <v>31.412865778911133</v>
      </c>
      <c r="O277" s="6">
        <f t="shared" si="52"/>
        <v>6388.875</v>
      </c>
      <c r="P277" s="6">
        <f t="shared" si="53"/>
        <v>6408.2352739635589</v>
      </c>
      <c r="Q277" s="6">
        <f t="shared" si="50"/>
        <v>31.412865778911133</v>
      </c>
      <c r="T277" s="6">
        <f t="shared" si="43"/>
        <v>31.412865778911133</v>
      </c>
    </row>
    <row r="278" spans="1:20">
      <c r="A278">
        <v>275</v>
      </c>
      <c r="B278">
        <f t="shared" si="51"/>
        <v>275</v>
      </c>
      <c r="C278">
        <f t="shared" si="45"/>
        <v>31</v>
      </c>
      <c r="D278">
        <v>244</v>
      </c>
      <c r="E278">
        <v>275</v>
      </c>
      <c r="F278">
        <f>RnSPLINE!H$12</f>
        <v>31</v>
      </c>
      <c r="G278">
        <f>RnSPLINE!H$13</f>
        <v>31</v>
      </c>
      <c r="H278" s="5">
        <f>RnSPLINE!M$12</f>
        <v>-5.1722705286557695E-2</v>
      </c>
      <c r="I278" s="5">
        <f>RnSPLINE!M$13</f>
        <v>-1.4830184591461952E-2</v>
      </c>
      <c r="J278">
        <f t="shared" si="46"/>
        <v>0</v>
      </c>
      <c r="K278">
        <f t="shared" si="47"/>
        <v>1</v>
      </c>
      <c r="L278">
        <f t="shared" si="48"/>
        <v>229</v>
      </c>
      <c r="M278" s="6">
        <f t="shared" si="49"/>
        <v>31</v>
      </c>
      <c r="N278" s="13">
        <f t="shared" si="44"/>
        <v>31</v>
      </c>
      <c r="O278" s="6">
        <f t="shared" si="52"/>
        <v>6419.875</v>
      </c>
      <c r="P278" s="6">
        <f t="shared" si="53"/>
        <v>6439.2352739635589</v>
      </c>
      <c r="Q278" s="6">
        <f t="shared" si="50"/>
        <v>31</v>
      </c>
      <c r="T278" s="6">
        <f t="shared" si="43"/>
        <v>31</v>
      </c>
    </row>
    <row r="279" spans="1:20">
      <c r="B279">
        <f t="shared" si="51"/>
        <v>276</v>
      </c>
      <c r="C279">
        <f t="shared" si="45"/>
        <v>30</v>
      </c>
      <c r="D279">
        <v>275</v>
      </c>
      <c r="E279">
        <v>305</v>
      </c>
      <c r="F279">
        <f>RnSPLINE!H$13</f>
        <v>31</v>
      </c>
      <c r="G279">
        <f>RnSPLINE!H$14</f>
        <v>15</v>
      </c>
      <c r="H279" s="5">
        <f>RnSPLINE!M$13</f>
        <v>-1.4830184591461952E-2</v>
      </c>
      <c r="I279" s="5">
        <f>RnSPLINE!M$14</f>
        <v>7.089546134721559E-3</v>
      </c>
      <c r="J279">
        <f t="shared" si="46"/>
        <v>0.96666666666666667</v>
      </c>
      <c r="K279">
        <f t="shared" si="47"/>
        <v>3.3333333333333333E-2</v>
      </c>
      <c r="L279">
        <f t="shared" si="48"/>
        <v>230</v>
      </c>
      <c r="M279" s="6">
        <f t="shared" si="49"/>
        <v>30.466666666666669</v>
      </c>
      <c r="N279" s="13">
        <f t="shared" si="44"/>
        <v>30.572227465893761</v>
      </c>
      <c r="O279" s="6">
        <f t="shared" si="52"/>
        <v>6450.3416666666662</v>
      </c>
      <c r="P279" s="6">
        <f t="shared" si="53"/>
        <v>6469.8075014294527</v>
      </c>
      <c r="Q279" s="6">
        <f t="shared" si="50"/>
        <v>30.572227465893761</v>
      </c>
      <c r="T279" s="6">
        <f t="shared" si="43"/>
        <v>30.572227465893761</v>
      </c>
    </row>
    <row r="280" spans="1:20">
      <c r="B280">
        <f t="shared" si="51"/>
        <v>277</v>
      </c>
      <c r="C280">
        <f t="shared" si="45"/>
        <v>30</v>
      </c>
      <c r="D280">
        <v>275</v>
      </c>
      <c r="E280">
        <v>305</v>
      </c>
      <c r="F280">
        <f>RnSPLINE!H$13</f>
        <v>31</v>
      </c>
      <c r="G280">
        <f>RnSPLINE!H$14</f>
        <v>15</v>
      </c>
      <c r="H280" s="5">
        <f>RnSPLINE!M$13</f>
        <v>-1.4830184591461952E-2</v>
      </c>
      <c r="I280" s="5">
        <f>RnSPLINE!M$14</f>
        <v>7.089546134721559E-3</v>
      </c>
      <c r="J280">
        <f t="shared" si="46"/>
        <v>0.93333333333333335</v>
      </c>
      <c r="K280">
        <f t="shared" si="47"/>
        <v>6.6666666666666666E-2</v>
      </c>
      <c r="L280">
        <f t="shared" si="48"/>
        <v>231</v>
      </c>
      <c r="M280" s="6">
        <f t="shared" si="49"/>
        <v>29.933333333333334</v>
      </c>
      <c r="N280" s="13">
        <f t="shared" si="44"/>
        <v>30.130355404886931</v>
      </c>
      <c r="O280" s="6">
        <f t="shared" si="52"/>
        <v>6480.2749999999996</v>
      </c>
      <c r="P280" s="6">
        <f t="shared" si="53"/>
        <v>6499.93785683434</v>
      </c>
      <c r="Q280" s="6">
        <f t="shared" si="50"/>
        <v>30.130355404886931</v>
      </c>
      <c r="T280" s="6">
        <f t="shared" si="43"/>
        <v>30.130355404886931</v>
      </c>
    </row>
    <row r="281" spans="1:20">
      <c r="B281">
        <f t="shared" si="51"/>
        <v>278</v>
      </c>
      <c r="C281">
        <f t="shared" si="45"/>
        <v>30</v>
      </c>
      <c r="D281">
        <v>275</v>
      </c>
      <c r="E281">
        <v>305</v>
      </c>
      <c r="F281">
        <f>RnSPLINE!H$13</f>
        <v>31</v>
      </c>
      <c r="G281">
        <f>RnSPLINE!H$14</f>
        <v>15</v>
      </c>
      <c r="H281" s="5">
        <f>RnSPLINE!M$13</f>
        <v>-1.4830184591461952E-2</v>
      </c>
      <c r="I281" s="5">
        <f>RnSPLINE!M$14</f>
        <v>7.089546134721559E-3</v>
      </c>
      <c r="J281">
        <f t="shared" si="46"/>
        <v>0.9</v>
      </c>
      <c r="K281">
        <f t="shared" si="47"/>
        <v>0.1</v>
      </c>
      <c r="L281">
        <f t="shared" si="48"/>
        <v>232</v>
      </c>
      <c r="M281" s="6">
        <f t="shared" si="49"/>
        <v>29.400000000000002</v>
      </c>
      <c r="N281" s="13">
        <f t="shared" si="44"/>
        <v>29.675114474670387</v>
      </c>
      <c r="O281" s="6">
        <f t="shared" si="52"/>
        <v>6509.6749999999993</v>
      </c>
      <c r="P281" s="6">
        <f t="shared" si="53"/>
        <v>6529.6129713090104</v>
      </c>
      <c r="Q281" s="6">
        <f t="shared" si="50"/>
        <v>29.675114474670387</v>
      </c>
      <c r="T281" s="6">
        <f t="shared" si="43"/>
        <v>29.675114474670387</v>
      </c>
    </row>
    <row r="282" spans="1:20">
      <c r="B282">
        <f t="shared" si="51"/>
        <v>279</v>
      </c>
      <c r="C282">
        <f t="shared" si="45"/>
        <v>30</v>
      </c>
      <c r="D282">
        <v>275</v>
      </c>
      <c r="E282">
        <v>305</v>
      </c>
      <c r="F282">
        <f>RnSPLINE!H$13</f>
        <v>31</v>
      </c>
      <c r="G282">
        <f>RnSPLINE!H$14</f>
        <v>15</v>
      </c>
      <c r="H282" s="5">
        <f>RnSPLINE!M$13</f>
        <v>-1.4830184591461952E-2</v>
      </c>
      <c r="I282" s="5">
        <f>RnSPLINE!M$14</f>
        <v>7.089546134721559E-3</v>
      </c>
      <c r="J282">
        <f t="shared" si="46"/>
        <v>0.8666666666666667</v>
      </c>
      <c r="K282">
        <f t="shared" si="47"/>
        <v>0.13333333333333333</v>
      </c>
      <c r="L282">
        <f t="shared" si="48"/>
        <v>233</v>
      </c>
      <c r="M282" s="6">
        <f t="shared" si="49"/>
        <v>28.866666666666667</v>
      </c>
      <c r="N282" s="13">
        <f t="shared" si="44"/>
        <v>29.207235332934996</v>
      </c>
      <c r="O282" s="6">
        <f t="shared" si="52"/>
        <v>6538.5416666666661</v>
      </c>
      <c r="P282" s="6">
        <f t="shared" si="53"/>
        <v>6558.8202066419453</v>
      </c>
      <c r="Q282" s="6">
        <f t="shared" si="50"/>
        <v>29.207235332934996</v>
      </c>
      <c r="T282" s="6">
        <f t="shared" si="43"/>
        <v>29.207235332934996</v>
      </c>
    </row>
    <row r="283" spans="1:20">
      <c r="B283">
        <f t="shared" si="51"/>
        <v>280</v>
      </c>
      <c r="C283">
        <f t="shared" si="45"/>
        <v>30</v>
      </c>
      <c r="D283">
        <v>275</v>
      </c>
      <c r="E283">
        <v>305</v>
      </c>
      <c r="F283">
        <f>RnSPLINE!H$13</f>
        <v>31</v>
      </c>
      <c r="G283">
        <f>RnSPLINE!H$14</f>
        <v>15</v>
      </c>
      <c r="H283" s="5">
        <f>RnSPLINE!M$13</f>
        <v>-1.4830184591461952E-2</v>
      </c>
      <c r="I283" s="5">
        <f>RnSPLINE!M$14</f>
        <v>7.089546134721559E-3</v>
      </c>
      <c r="J283">
        <f t="shared" si="46"/>
        <v>0.83333333333333337</v>
      </c>
      <c r="K283">
        <f t="shared" si="47"/>
        <v>0.16666666666666666</v>
      </c>
      <c r="L283">
        <f t="shared" si="48"/>
        <v>234</v>
      </c>
      <c r="M283" s="6">
        <f t="shared" si="49"/>
        <v>28.333333333333336</v>
      </c>
      <c r="N283" s="13">
        <f t="shared" si="44"/>
        <v>28.727448637371637</v>
      </c>
      <c r="O283" s="6">
        <f t="shared" si="52"/>
        <v>6566.8749999999991</v>
      </c>
      <c r="P283" s="6">
        <f t="shared" si="53"/>
        <v>6587.547655279317</v>
      </c>
      <c r="Q283" s="6">
        <f t="shared" si="50"/>
        <v>28.727448637371637</v>
      </c>
      <c r="T283" s="6">
        <f t="shared" si="43"/>
        <v>28.727448637371637</v>
      </c>
    </row>
    <row r="284" spans="1:20">
      <c r="B284">
        <f t="shared" si="51"/>
        <v>281</v>
      </c>
      <c r="C284">
        <f t="shared" si="45"/>
        <v>30</v>
      </c>
      <c r="D284">
        <v>275</v>
      </c>
      <c r="E284">
        <v>305</v>
      </c>
      <c r="F284">
        <f>RnSPLINE!H$13</f>
        <v>31</v>
      </c>
      <c r="G284">
        <f>RnSPLINE!H$14</f>
        <v>15</v>
      </c>
      <c r="H284" s="5">
        <f>RnSPLINE!M$13</f>
        <v>-1.4830184591461952E-2</v>
      </c>
      <c r="I284" s="5">
        <f>RnSPLINE!M$14</f>
        <v>7.089546134721559E-3</v>
      </c>
      <c r="J284">
        <f t="shared" si="46"/>
        <v>0.8</v>
      </c>
      <c r="K284">
        <f t="shared" si="47"/>
        <v>0.2</v>
      </c>
      <c r="L284">
        <f t="shared" si="48"/>
        <v>235</v>
      </c>
      <c r="M284" s="6">
        <f t="shared" si="49"/>
        <v>27.8</v>
      </c>
      <c r="N284" s="13">
        <f t="shared" si="44"/>
        <v>28.236485045671177</v>
      </c>
      <c r="O284" s="6">
        <f t="shared" si="52"/>
        <v>6594.6749999999993</v>
      </c>
      <c r="P284" s="6">
        <f t="shared" si="53"/>
        <v>6615.7841403249886</v>
      </c>
      <c r="Q284" s="6">
        <f t="shared" si="50"/>
        <v>28.236485045671177</v>
      </c>
      <c r="T284" s="6">
        <f t="shared" si="43"/>
        <v>28.236485045671177</v>
      </c>
    </row>
    <row r="285" spans="1:20">
      <c r="B285">
        <f t="shared" si="51"/>
        <v>282</v>
      </c>
      <c r="C285">
        <f t="shared" si="45"/>
        <v>30</v>
      </c>
      <c r="D285">
        <v>275</v>
      </c>
      <c r="E285">
        <v>305</v>
      </c>
      <c r="F285">
        <f>RnSPLINE!H$13</f>
        <v>31</v>
      </c>
      <c r="G285">
        <f>RnSPLINE!H$14</f>
        <v>15</v>
      </c>
      <c r="H285" s="5">
        <f>RnSPLINE!M$13</f>
        <v>-1.4830184591461952E-2</v>
      </c>
      <c r="I285" s="5">
        <f>RnSPLINE!M$14</f>
        <v>7.089546134721559E-3</v>
      </c>
      <c r="J285">
        <f t="shared" si="46"/>
        <v>0.76666666666666672</v>
      </c>
      <c r="K285">
        <f t="shared" si="47"/>
        <v>0.23333333333333334</v>
      </c>
      <c r="L285">
        <f t="shared" si="48"/>
        <v>236</v>
      </c>
      <c r="M285" s="6">
        <f t="shared" si="49"/>
        <v>27.266666666666669</v>
      </c>
      <c r="N285" s="13">
        <f t="shared" si="44"/>
        <v>27.735075215524493</v>
      </c>
      <c r="O285" s="6">
        <f t="shared" si="52"/>
        <v>6621.9416666666657</v>
      </c>
      <c r="P285" s="6">
        <f t="shared" si="53"/>
        <v>6643.519215540513</v>
      </c>
      <c r="Q285" s="6">
        <f t="shared" si="50"/>
        <v>27.735075215524493</v>
      </c>
      <c r="T285" s="6">
        <f t="shared" si="43"/>
        <v>27.735075215524493</v>
      </c>
    </row>
    <row r="286" spans="1:20">
      <c r="B286">
        <f t="shared" si="51"/>
        <v>283</v>
      </c>
      <c r="C286">
        <f t="shared" si="45"/>
        <v>30</v>
      </c>
      <c r="D286">
        <v>275</v>
      </c>
      <c r="E286">
        <v>305</v>
      </c>
      <c r="F286">
        <f>RnSPLINE!H$13</f>
        <v>31</v>
      </c>
      <c r="G286">
        <f>RnSPLINE!H$14</f>
        <v>15</v>
      </c>
      <c r="H286" s="5">
        <f>RnSPLINE!M$13</f>
        <v>-1.4830184591461952E-2</v>
      </c>
      <c r="I286" s="5">
        <f>RnSPLINE!M$14</f>
        <v>7.089546134721559E-3</v>
      </c>
      <c r="J286">
        <f t="shared" si="46"/>
        <v>0.73333333333333328</v>
      </c>
      <c r="K286">
        <f t="shared" si="47"/>
        <v>0.26666666666666666</v>
      </c>
      <c r="L286">
        <f t="shared" si="48"/>
        <v>237</v>
      </c>
      <c r="M286" s="6">
        <f t="shared" si="49"/>
        <v>26.733333333333331</v>
      </c>
      <c r="N286" s="13">
        <f t="shared" si="44"/>
        <v>27.223949804622453</v>
      </c>
      <c r="O286" s="6">
        <f t="shared" si="52"/>
        <v>6648.6749999999993</v>
      </c>
      <c r="P286" s="6">
        <f t="shared" si="53"/>
        <v>6670.7431653451358</v>
      </c>
      <c r="Q286" s="6">
        <f t="shared" si="50"/>
        <v>27.223949804622453</v>
      </c>
      <c r="T286" s="6">
        <f t="shared" si="43"/>
        <v>27.223949804622453</v>
      </c>
    </row>
    <row r="287" spans="1:20">
      <c r="B287">
        <f t="shared" si="51"/>
        <v>284</v>
      </c>
      <c r="C287">
        <f t="shared" si="45"/>
        <v>30</v>
      </c>
      <c r="D287">
        <v>275</v>
      </c>
      <c r="E287">
        <v>305</v>
      </c>
      <c r="F287">
        <f>RnSPLINE!H$13</f>
        <v>31</v>
      </c>
      <c r="G287">
        <f>RnSPLINE!H$14</f>
        <v>15</v>
      </c>
      <c r="H287" s="5">
        <f>RnSPLINE!M$13</f>
        <v>-1.4830184591461952E-2</v>
      </c>
      <c r="I287" s="5">
        <f>RnSPLINE!M$14</f>
        <v>7.089546134721559E-3</v>
      </c>
      <c r="J287">
        <f t="shared" si="46"/>
        <v>0.7</v>
      </c>
      <c r="K287">
        <f t="shared" si="47"/>
        <v>0.3</v>
      </c>
      <c r="L287">
        <f t="shared" si="48"/>
        <v>238</v>
      </c>
      <c r="M287" s="6">
        <f t="shared" si="49"/>
        <v>26.2</v>
      </c>
      <c r="N287" s="13">
        <f t="shared" si="44"/>
        <v>26.703839470655939</v>
      </c>
      <c r="O287" s="6">
        <f t="shared" si="52"/>
        <v>6674.8749999999991</v>
      </c>
      <c r="P287" s="6">
        <f t="shared" si="53"/>
        <v>6697.4470048157918</v>
      </c>
      <c r="Q287" s="6">
        <f t="shared" si="50"/>
        <v>26.703839470655939</v>
      </c>
      <c r="T287" s="6">
        <f t="shared" si="43"/>
        <v>26.703839470655939</v>
      </c>
    </row>
    <row r="288" spans="1:20">
      <c r="B288">
        <f t="shared" si="51"/>
        <v>285</v>
      </c>
      <c r="C288">
        <f t="shared" si="45"/>
        <v>30</v>
      </c>
      <c r="D288">
        <v>275</v>
      </c>
      <c r="E288">
        <v>305</v>
      </c>
      <c r="F288">
        <f>RnSPLINE!H$13</f>
        <v>31</v>
      </c>
      <c r="G288">
        <f>RnSPLINE!H$14</f>
        <v>15</v>
      </c>
      <c r="H288" s="5">
        <f>RnSPLINE!M$13</f>
        <v>-1.4830184591461952E-2</v>
      </c>
      <c r="I288" s="5">
        <f>RnSPLINE!M$14</f>
        <v>7.089546134721559E-3</v>
      </c>
      <c r="J288">
        <f t="shared" si="46"/>
        <v>0.66666666666666663</v>
      </c>
      <c r="K288">
        <f t="shared" si="47"/>
        <v>0.33333333333333331</v>
      </c>
      <c r="L288">
        <f t="shared" si="48"/>
        <v>239</v>
      </c>
      <c r="M288" s="6">
        <f t="shared" si="49"/>
        <v>25.666666666666664</v>
      </c>
      <c r="N288" s="13">
        <f t="shared" si="44"/>
        <v>26.175474871315814</v>
      </c>
      <c r="O288" s="6">
        <f t="shared" si="52"/>
        <v>6700.5416666666661</v>
      </c>
      <c r="P288" s="6">
        <f t="shared" si="53"/>
        <v>6723.6224796871074</v>
      </c>
      <c r="Q288" s="6">
        <f t="shared" si="50"/>
        <v>26.175474871315814</v>
      </c>
      <c r="T288" s="6">
        <f t="shared" si="43"/>
        <v>26.175474871315814</v>
      </c>
    </row>
    <row r="289" spans="2:20">
      <c r="B289">
        <f t="shared" si="51"/>
        <v>286</v>
      </c>
      <c r="C289">
        <f t="shared" si="45"/>
        <v>30</v>
      </c>
      <c r="D289">
        <v>275</v>
      </c>
      <c r="E289">
        <v>305</v>
      </c>
      <c r="F289">
        <f>RnSPLINE!H$13</f>
        <v>31</v>
      </c>
      <c r="G289">
        <f>RnSPLINE!H$14</f>
        <v>15</v>
      </c>
      <c r="H289" s="5">
        <f>RnSPLINE!M$13</f>
        <v>-1.4830184591461952E-2</v>
      </c>
      <c r="I289" s="5">
        <f>RnSPLINE!M$14</f>
        <v>7.089546134721559E-3</v>
      </c>
      <c r="J289">
        <f t="shared" si="46"/>
        <v>0.6333333333333333</v>
      </c>
      <c r="K289">
        <f t="shared" si="47"/>
        <v>0.36666666666666664</v>
      </c>
      <c r="L289">
        <f t="shared" si="48"/>
        <v>240</v>
      </c>
      <c r="M289" s="6">
        <f t="shared" si="49"/>
        <v>25.133333333333333</v>
      </c>
      <c r="N289" s="13">
        <f t="shared" si="44"/>
        <v>25.63958666429296</v>
      </c>
      <c r="O289" s="6">
        <f t="shared" si="52"/>
        <v>6725.6749999999993</v>
      </c>
      <c r="P289" s="6">
        <f t="shared" si="53"/>
        <v>6749.2620663514008</v>
      </c>
      <c r="Q289" s="6">
        <f t="shared" si="50"/>
        <v>25.63958666429296</v>
      </c>
      <c r="T289" s="6">
        <f t="shared" si="43"/>
        <v>25.63958666429296</v>
      </c>
    </row>
    <row r="290" spans="2:20">
      <c r="B290">
        <f t="shared" si="51"/>
        <v>287</v>
      </c>
      <c r="C290">
        <f t="shared" si="45"/>
        <v>30</v>
      </c>
      <c r="D290">
        <v>275</v>
      </c>
      <c r="E290">
        <v>305</v>
      </c>
      <c r="F290">
        <f>RnSPLINE!H$13</f>
        <v>31</v>
      </c>
      <c r="G290">
        <f>RnSPLINE!H$14</f>
        <v>15</v>
      </c>
      <c r="H290" s="5">
        <f>RnSPLINE!M$13</f>
        <v>-1.4830184591461952E-2</v>
      </c>
      <c r="I290" s="5">
        <f>RnSPLINE!M$14</f>
        <v>7.089546134721559E-3</v>
      </c>
      <c r="J290">
        <f t="shared" si="46"/>
        <v>0.6</v>
      </c>
      <c r="K290">
        <f t="shared" si="47"/>
        <v>0.4</v>
      </c>
      <c r="L290">
        <f t="shared" si="48"/>
        <v>241</v>
      </c>
      <c r="M290" s="6">
        <f t="shared" si="49"/>
        <v>24.599999999999998</v>
      </c>
      <c r="N290" s="13">
        <f t="shared" si="44"/>
        <v>25.09690550727824</v>
      </c>
      <c r="O290" s="6">
        <f t="shared" si="52"/>
        <v>6750.2749999999996</v>
      </c>
      <c r="P290" s="6">
        <f t="shared" si="53"/>
        <v>6774.3589718586791</v>
      </c>
      <c r="Q290" s="6">
        <f t="shared" si="50"/>
        <v>25.09690550727824</v>
      </c>
      <c r="T290" s="6">
        <f t="shared" si="43"/>
        <v>25.09690550727824</v>
      </c>
    </row>
    <row r="291" spans="2:20">
      <c r="B291">
        <f t="shared" si="51"/>
        <v>288</v>
      </c>
      <c r="C291">
        <f t="shared" si="45"/>
        <v>30</v>
      </c>
      <c r="D291">
        <v>275</v>
      </c>
      <c r="E291">
        <v>305</v>
      </c>
      <c r="F291">
        <f>RnSPLINE!H$13</f>
        <v>31</v>
      </c>
      <c r="G291">
        <f>RnSPLINE!H$14</f>
        <v>15</v>
      </c>
      <c r="H291" s="5">
        <f>RnSPLINE!M$13</f>
        <v>-1.4830184591461952E-2</v>
      </c>
      <c r="I291" s="5">
        <f>RnSPLINE!M$14</f>
        <v>7.089546134721559E-3</v>
      </c>
      <c r="J291">
        <f t="shared" si="46"/>
        <v>0.56666666666666665</v>
      </c>
      <c r="K291">
        <f t="shared" si="47"/>
        <v>0.43333333333333335</v>
      </c>
      <c r="L291">
        <f t="shared" si="48"/>
        <v>242</v>
      </c>
      <c r="M291" s="6">
        <f t="shared" si="49"/>
        <v>24.066666666666666</v>
      </c>
      <c r="N291" s="13">
        <f t="shared" si="44"/>
        <v>24.548162057962536</v>
      </c>
      <c r="O291" s="6">
        <f t="shared" si="52"/>
        <v>6774.3416666666662</v>
      </c>
      <c r="P291" s="6">
        <f t="shared" si="53"/>
        <v>6798.9071339166412</v>
      </c>
      <c r="Q291" s="6">
        <f t="shared" si="50"/>
        <v>24.548162057962536</v>
      </c>
      <c r="T291" s="6">
        <f t="shared" si="43"/>
        <v>24.548162057962536</v>
      </c>
    </row>
    <row r="292" spans="2:20">
      <c r="B292">
        <f t="shared" si="51"/>
        <v>289</v>
      </c>
      <c r="C292">
        <f t="shared" si="45"/>
        <v>30</v>
      </c>
      <c r="D292">
        <v>275</v>
      </c>
      <c r="E292">
        <v>305</v>
      </c>
      <c r="F292">
        <f>RnSPLINE!H$13</f>
        <v>31</v>
      </c>
      <c r="G292">
        <f>RnSPLINE!H$14</f>
        <v>15</v>
      </c>
      <c r="H292" s="5">
        <f>RnSPLINE!M$13</f>
        <v>-1.4830184591461952E-2</v>
      </c>
      <c r="I292" s="5">
        <f>RnSPLINE!M$14</f>
        <v>7.089546134721559E-3</v>
      </c>
      <c r="J292">
        <f t="shared" si="46"/>
        <v>0.53333333333333333</v>
      </c>
      <c r="K292">
        <f t="shared" si="47"/>
        <v>0.46666666666666667</v>
      </c>
      <c r="L292">
        <f t="shared" si="48"/>
        <v>243</v>
      </c>
      <c r="M292" s="6">
        <f t="shared" si="49"/>
        <v>23.533333333333331</v>
      </c>
      <c r="N292" s="13">
        <f t="shared" si="44"/>
        <v>23.994086974036712</v>
      </c>
      <c r="O292" s="6">
        <f t="shared" si="52"/>
        <v>6797.875</v>
      </c>
      <c r="P292" s="6">
        <f t="shared" si="53"/>
        <v>6822.9012208906779</v>
      </c>
      <c r="Q292" s="6">
        <f t="shared" si="50"/>
        <v>23.994086974036712</v>
      </c>
      <c r="T292" s="6">
        <f t="shared" si="43"/>
        <v>23.994086974036712</v>
      </c>
    </row>
    <row r="293" spans="2:20">
      <c r="B293">
        <f t="shared" si="51"/>
        <v>290</v>
      </c>
      <c r="C293">
        <f t="shared" si="45"/>
        <v>30</v>
      </c>
      <c r="D293">
        <v>275</v>
      </c>
      <c r="E293">
        <v>305</v>
      </c>
      <c r="F293">
        <f>RnSPLINE!H$13</f>
        <v>31</v>
      </c>
      <c r="G293">
        <f>RnSPLINE!H$14</f>
        <v>15</v>
      </c>
      <c r="H293" s="5">
        <f>RnSPLINE!M$13</f>
        <v>-1.4830184591461952E-2</v>
      </c>
      <c r="I293" s="5">
        <f>RnSPLINE!M$14</f>
        <v>7.089546134721559E-3</v>
      </c>
      <c r="J293">
        <f t="shared" si="46"/>
        <v>0.5</v>
      </c>
      <c r="K293">
        <f t="shared" si="47"/>
        <v>0.5</v>
      </c>
      <c r="L293">
        <f t="shared" si="48"/>
        <v>244</v>
      </c>
      <c r="M293" s="6">
        <f t="shared" si="49"/>
        <v>23</v>
      </c>
      <c r="N293" s="13">
        <f t="shared" si="44"/>
        <v>23.435410913191646</v>
      </c>
      <c r="O293" s="6">
        <f t="shared" si="52"/>
        <v>6820.875</v>
      </c>
      <c r="P293" s="6">
        <f t="shared" si="53"/>
        <v>6846.3366318038698</v>
      </c>
      <c r="Q293" s="6">
        <f t="shared" si="50"/>
        <v>23.435410913191646</v>
      </c>
      <c r="T293" s="6">
        <f t="shared" si="43"/>
        <v>23.435410913191646</v>
      </c>
    </row>
    <row r="294" spans="2:20">
      <c r="B294">
        <f t="shared" si="51"/>
        <v>291</v>
      </c>
      <c r="C294">
        <f t="shared" si="45"/>
        <v>30</v>
      </c>
      <c r="D294">
        <v>275</v>
      </c>
      <c r="E294">
        <v>305</v>
      </c>
      <c r="F294">
        <f>RnSPLINE!H$13</f>
        <v>31</v>
      </c>
      <c r="G294">
        <f>RnSPLINE!H$14</f>
        <v>15</v>
      </c>
      <c r="H294" s="5">
        <f>RnSPLINE!M$13</f>
        <v>-1.4830184591461952E-2</v>
      </c>
      <c r="I294" s="5">
        <f>RnSPLINE!M$14</f>
        <v>7.089546134721559E-3</v>
      </c>
      <c r="J294">
        <f t="shared" si="46"/>
        <v>0.46666666666666667</v>
      </c>
      <c r="K294">
        <f t="shared" si="47"/>
        <v>0.53333333333333333</v>
      </c>
      <c r="L294">
        <f t="shared" si="48"/>
        <v>245</v>
      </c>
      <c r="M294" s="6">
        <f t="shared" si="49"/>
        <v>22.466666666666669</v>
      </c>
      <c r="N294" s="13">
        <f t="shared" si="44"/>
        <v>22.872864533118214</v>
      </c>
      <c r="O294" s="6">
        <f t="shared" si="52"/>
        <v>6843.3416666666662</v>
      </c>
      <c r="P294" s="6">
        <f t="shared" si="53"/>
        <v>6869.2094963369882</v>
      </c>
      <c r="Q294" s="6">
        <f t="shared" si="50"/>
        <v>22.872864533118214</v>
      </c>
      <c r="T294" s="6">
        <f t="shared" si="43"/>
        <v>22.872864533118214</v>
      </c>
    </row>
    <row r="295" spans="2:20">
      <c r="B295">
        <f t="shared" si="51"/>
        <v>292</v>
      </c>
      <c r="C295">
        <f t="shared" si="45"/>
        <v>30</v>
      </c>
      <c r="D295">
        <v>275</v>
      </c>
      <c r="E295">
        <v>305</v>
      </c>
      <c r="F295">
        <f>RnSPLINE!H$13</f>
        <v>31</v>
      </c>
      <c r="G295">
        <f>RnSPLINE!H$14</f>
        <v>15</v>
      </c>
      <c r="H295" s="5">
        <f>RnSPLINE!M$13</f>
        <v>-1.4830184591461952E-2</v>
      </c>
      <c r="I295" s="5">
        <f>RnSPLINE!M$14</f>
        <v>7.089546134721559E-3</v>
      </c>
      <c r="J295">
        <f t="shared" si="46"/>
        <v>0.43333333333333335</v>
      </c>
      <c r="K295">
        <f t="shared" si="47"/>
        <v>0.56666666666666665</v>
      </c>
      <c r="L295">
        <f t="shared" si="48"/>
        <v>246</v>
      </c>
      <c r="M295" s="6">
        <f t="shared" si="49"/>
        <v>21.933333333333334</v>
      </c>
      <c r="N295" s="13">
        <f t="shared" si="44"/>
        <v>22.30717849150728</v>
      </c>
      <c r="O295" s="6">
        <f t="shared" si="52"/>
        <v>6865.2749999999996</v>
      </c>
      <c r="P295" s="6">
        <f t="shared" si="53"/>
        <v>6891.5166748284955</v>
      </c>
      <c r="Q295" s="6">
        <f t="shared" si="50"/>
        <v>22.30717849150728</v>
      </c>
      <c r="T295" s="6">
        <f t="shared" si="43"/>
        <v>22.30717849150728</v>
      </c>
    </row>
    <row r="296" spans="2:20">
      <c r="B296">
        <f t="shared" si="51"/>
        <v>293</v>
      </c>
      <c r="C296">
        <f t="shared" si="45"/>
        <v>30</v>
      </c>
      <c r="D296">
        <v>275</v>
      </c>
      <c r="E296">
        <v>305</v>
      </c>
      <c r="F296">
        <f>RnSPLINE!H$13</f>
        <v>31</v>
      </c>
      <c r="G296">
        <f>RnSPLINE!H$14</f>
        <v>15</v>
      </c>
      <c r="H296" s="5">
        <f>RnSPLINE!M$13</f>
        <v>-1.4830184591461952E-2</v>
      </c>
      <c r="I296" s="5">
        <f>RnSPLINE!M$14</f>
        <v>7.089546134721559E-3</v>
      </c>
      <c r="J296">
        <f t="shared" si="46"/>
        <v>0.4</v>
      </c>
      <c r="K296">
        <f t="shared" si="47"/>
        <v>0.6</v>
      </c>
      <c r="L296">
        <f t="shared" si="48"/>
        <v>247</v>
      </c>
      <c r="M296" s="6">
        <f t="shared" si="49"/>
        <v>21.4</v>
      </c>
      <c r="N296" s="13">
        <f t="shared" si="44"/>
        <v>21.739083446049719</v>
      </c>
      <c r="O296" s="6">
        <f t="shared" si="52"/>
        <v>6886.6749999999993</v>
      </c>
      <c r="P296" s="6">
        <f t="shared" si="53"/>
        <v>6913.2557582745449</v>
      </c>
      <c r="Q296" s="6">
        <f t="shared" si="50"/>
        <v>21.739083446049719</v>
      </c>
      <c r="T296" s="6">
        <f t="shared" si="43"/>
        <v>21.739083446049719</v>
      </c>
    </row>
    <row r="297" spans="2:20">
      <c r="B297">
        <f t="shared" si="51"/>
        <v>294</v>
      </c>
      <c r="C297">
        <f t="shared" si="45"/>
        <v>30</v>
      </c>
      <c r="D297">
        <v>275</v>
      </c>
      <c r="E297">
        <v>305</v>
      </c>
      <c r="F297">
        <f>RnSPLINE!H$13</f>
        <v>31</v>
      </c>
      <c r="G297">
        <f>RnSPLINE!H$14</f>
        <v>15</v>
      </c>
      <c r="H297" s="5">
        <f>RnSPLINE!M$13</f>
        <v>-1.4830184591461952E-2</v>
      </c>
      <c r="I297" s="5">
        <f>RnSPLINE!M$14</f>
        <v>7.089546134721559E-3</v>
      </c>
      <c r="J297">
        <f t="shared" si="46"/>
        <v>0.36666666666666664</v>
      </c>
      <c r="K297">
        <f t="shared" si="47"/>
        <v>0.6333333333333333</v>
      </c>
      <c r="L297">
        <f t="shared" si="48"/>
        <v>248</v>
      </c>
      <c r="M297" s="6">
        <f t="shared" si="49"/>
        <v>20.866666666666667</v>
      </c>
      <c r="N297" s="13">
        <f t="shared" si="44"/>
        <v>21.169310054436412</v>
      </c>
      <c r="O297" s="6">
        <f t="shared" si="52"/>
        <v>6907.5416666666661</v>
      </c>
      <c r="P297" s="6">
        <f t="shared" si="53"/>
        <v>6934.4250683289811</v>
      </c>
      <c r="Q297" s="6">
        <f t="shared" si="50"/>
        <v>21.169310054436412</v>
      </c>
      <c r="T297" s="6">
        <f t="shared" si="43"/>
        <v>21.169310054436412</v>
      </c>
    </row>
    <row r="298" spans="2:20">
      <c r="B298">
        <f t="shared" si="51"/>
        <v>295</v>
      </c>
      <c r="C298">
        <f t="shared" si="45"/>
        <v>30</v>
      </c>
      <c r="D298">
        <v>275</v>
      </c>
      <c r="E298">
        <v>305</v>
      </c>
      <c r="F298">
        <f>RnSPLINE!H$13</f>
        <v>31</v>
      </c>
      <c r="G298">
        <f>RnSPLINE!H$14</f>
        <v>15</v>
      </c>
      <c r="H298" s="5">
        <f>RnSPLINE!M$13</f>
        <v>-1.4830184591461952E-2</v>
      </c>
      <c r="I298" s="5">
        <f>RnSPLINE!M$14</f>
        <v>7.089546134721559E-3</v>
      </c>
      <c r="J298">
        <f t="shared" si="46"/>
        <v>0.33333333333333331</v>
      </c>
      <c r="K298">
        <f t="shared" si="47"/>
        <v>0.66666666666666663</v>
      </c>
      <c r="L298">
        <f t="shared" si="48"/>
        <v>249</v>
      </c>
      <c r="M298" s="6">
        <f t="shared" si="49"/>
        <v>20.333333333333332</v>
      </c>
      <c r="N298" s="13">
        <f t="shared" si="44"/>
        <v>20.598588974358222</v>
      </c>
      <c r="O298" s="6">
        <f t="shared" si="52"/>
        <v>6927.8749999999991</v>
      </c>
      <c r="P298" s="6">
        <f t="shared" si="53"/>
        <v>6955.023657303339</v>
      </c>
      <c r="Q298" s="6">
        <f t="shared" si="50"/>
        <v>20.598588974358222</v>
      </c>
      <c r="T298" s="6">
        <f t="shared" si="43"/>
        <v>20.598588974358222</v>
      </c>
    </row>
    <row r="299" spans="2:20">
      <c r="B299">
        <f t="shared" si="51"/>
        <v>296</v>
      </c>
      <c r="C299">
        <f t="shared" si="45"/>
        <v>30</v>
      </c>
      <c r="D299">
        <v>275</v>
      </c>
      <c r="E299">
        <v>305</v>
      </c>
      <c r="F299">
        <f>RnSPLINE!H$13</f>
        <v>31</v>
      </c>
      <c r="G299">
        <f>RnSPLINE!H$14</f>
        <v>15</v>
      </c>
      <c r="H299" s="5">
        <f>RnSPLINE!M$13</f>
        <v>-1.4830184591461952E-2</v>
      </c>
      <c r="I299" s="5">
        <f>RnSPLINE!M$14</f>
        <v>7.089546134721559E-3</v>
      </c>
      <c r="J299">
        <f t="shared" si="46"/>
        <v>0.3</v>
      </c>
      <c r="K299">
        <f t="shared" si="47"/>
        <v>0.7</v>
      </c>
      <c r="L299">
        <f t="shared" si="48"/>
        <v>250</v>
      </c>
      <c r="M299" s="6">
        <f t="shared" si="49"/>
        <v>19.799999999999997</v>
      </c>
      <c r="N299" s="13">
        <f t="shared" si="44"/>
        <v>20.027650863506025</v>
      </c>
      <c r="O299" s="6">
        <f t="shared" si="52"/>
        <v>6947.6749999999993</v>
      </c>
      <c r="P299" s="6">
        <f t="shared" si="53"/>
        <v>6975.051308166845</v>
      </c>
      <c r="Q299" s="6">
        <f t="shared" si="50"/>
        <v>20.027650863506025</v>
      </c>
      <c r="T299" s="6">
        <f t="shared" si="43"/>
        <v>20.027650863506025</v>
      </c>
    </row>
    <row r="300" spans="2:20">
      <c r="B300">
        <f t="shared" si="51"/>
        <v>297</v>
      </c>
      <c r="C300">
        <f t="shared" si="45"/>
        <v>30</v>
      </c>
      <c r="D300">
        <v>275</v>
      </c>
      <c r="E300">
        <v>305</v>
      </c>
      <c r="F300">
        <f>RnSPLINE!H$13</f>
        <v>31</v>
      </c>
      <c r="G300">
        <f>RnSPLINE!H$14</f>
        <v>15</v>
      </c>
      <c r="H300" s="5">
        <f>RnSPLINE!M$13</f>
        <v>-1.4830184591461952E-2</v>
      </c>
      <c r="I300" s="5">
        <f>RnSPLINE!M$14</f>
        <v>7.089546134721559E-3</v>
      </c>
      <c r="J300">
        <f t="shared" si="46"/>
        <v>0.26666666666666666</v>
      </c>
      <c r="K300">
        <f t="shared" si="47"/>
        <v>0.73333333333333328</v>
      </c>
      <c r="L300">
        <f t="shared" si="48"/>
        <v>251</v>
      </c>
      <c r="M300" s="6">
        <f t="shared" si="49"/>
        <v>19.266666666666666</v>
      </c>
      <c r="N300" s="13">
        <f t="shared" si="44"/>
        <v>19.457226379570699</v>
      </c>
      <c r="O300" s="6">
        <f t="shared" si="52"/>
        <v>6966.9416666666657</v>
      </c>
      <c r="P300" s="6">
        <f t="shared" si="53"/>
        <v>6994.5085345464158</v>
      </c>
      <c r="Q300" s="6">
        <f t="shared" si="50"/>
        <v>19.457226379570699</v>
      </c>
      <c r="T300" s="6">
        <f t="shared" si="43"/>
        <v>19.457226379570699</v>
      </c>
    </row>
    <row r="301" spans="2:20">
      <c r="B301">
        <f t="shared" si="51"/>
        <v>298</v>
      </c>
      <c r="C301">
        <f t="shared" si="45"/>
        <v>30</v>
      </c>
      <c r="D301">
        <v>275</v>
      </c>
      <c r="E301">
        <v>305</v>
      </c>
      <c r="F301">
        <f>RnSPLINE!H$13</f>
        <v>31</v>
      </c>
      <c r="G301">
        <f>RnSPLINE!H$14</f>
        <v>15</v>
      </c>
      <c r="H301" s="5">
        <f>RnSPLINE!M$13</f>
        <v>-1.4830184591461952E-2</v>
      </c>
      <c r="I301" s="5">
        <f>RnSPLINE!M$14</f>
        <v>7.089546134721559E-3</v>
      </c>
      <c r="J301">
        <f t="shared" si="46"/>
        <v>0.23333333333333334</v>
      </c>
      <c r="K301">
        <f t="shared" si="47"/>
        <v>0.76666666666666672</v>
      </c>
      <c r="L301">
        <f t="shared" si="48"/>
        <v>252</v>
      </c>
      <c r="M301" s="6">
        <f t="shared" si="49"/>
        <v>18.733333333333334</v>
      </c>
      <c r="N301" s="13">
        <f t="shared" si="44"/>
        <v>18.888046180243112</v>
      </c>
      <c r="O301" s="6">
        <f t="shared" si="52"/>
        <v>6985.6749999999993</v>
      </c>
      <c r="P301" s="6">
        <f t="shared" si="53"/>
        <v>7013.3965807266586</v>
      </c>
      <c r="Q301" s="6">
        <f t="shared" si="50"/>
        <v>18.888046180243112</v>
      </c>
      <c r="T301" s="6">
        <f t="shared" si="43"/>
        <v>18.888046180243112</v>
      </c>
    </row>
    <row r="302" spans="2:20">
      <c r="B302">
        <f t="shared" si="51"/>
        <v>299</v>
      </c>
      <c r="C302">
        <f t="shared" si="45"/>
        <v>30</v>
      </c>
      <c r="D302">
        <v>275</v>
      </c>
      <c r="E302">
        <v>305</v>
      </c>
      <c r="F302">
        <f>RnSPLINE!H$13</f>
        <v>31</v>
      </c>
      <c r="G302">
        <f>RnSPLINE!H$14</f>
        <v>15</v>
      </c>
      <c r="H302" s="5">
        <f>RnSPLINE!M$13</f>
        <v>-1.4830184591461952E-2</v>
      </c>
      <c r="I302" s="5">
        <f>RnSPLINE!M$14</f>
        <v>7.089546134721559E-3</v>
      </c>
      <c r="J302">
        <f t="shared" si="46"/>
        <v>0.2</v>
      </c>
      <c r="K302">
        <f t="shared" si="47"/>
        <v>0.8</v>
      </c>
      <c r="L302">
        <f t="shared" si="48"/>
        <v>253</v>
      </c>
      <c r="M302" s="6">
        <f t="shared" si="49"/>
        <v>18.2</v>
      </c>
      <c r="N302" s="13">
        <f t="shared" si="44"/>
        <v>18.320840923214131</v>
      </c>
      <c r="O302" s="6">
        <f t="shared" si="52"/>
        <v>7003.8749999999991</v>
      </c>
      <c r="P302" s="6">
        <f t="shared" si="53"/>
        <v>7031.7174216498724</v>
      </c>
      <c r="Q302" s="6">
        <f t="shared" si="50"/>
        <v>18.320840923214131</v>
      </c>
      <c r="T302" s="6">
        <f t="shared" si="43"/>
        <v>18.320840923214131</v>
      </c>
    </row>
    <row r="303" spans="2:20">
      <c r="B303">
        <f t="shared" si="51"/>
        <v>300</v>
      </c>
      <c r="C303">
        <f t="shared" si="45"/>
        <v>30</v>
      </c>
      <c r="D303">
        <v>275</v>
      </c>
      <c r="E303">
        <v>305</v>
      </c>
      <c r="F303">
        <f>RnSPLINE!H$13</f>
        <v>31</v>
      </c>
      <c r="G303">
        <f>RnSPLINE!H$14</f>
        <v>15</v>
      </c>
      <c r="H303" s="5">
        <f>RnSPLINE!M$13</f>
        <v>-1.4830184591461952E-2</v>
      </c>
      <c r="I303" s="5">
        <f>RnSPLINE!M$14</f>
        <v>7.089546134721559E-3</v>
      </c>
      <c r="J303">
        <f t="shared" si="46"/>
        <v>0.16666666666666666</v>
      </c>
      <c r="K303">
        <f t="shared" si="47"/>
        <v>0.83333333333333337</v>
      </c>
      <c r="L303">
        <f t="shared" si="48"/>
        <v>254</v>
      </c>
      <c r="M303" s="6">
        <f t="shared" si="49"/>
        <v>17.666666666666664</v>
      </c>
      <c r="N303" s="13">
        <f t="shared" si="44"/>
        <v>17.756341266174637</v>
      </c>
      <c r="O303" s="6">
        <f t="shared" si="52"/>
        <v>7021.5416666666661</v>
      </c>
      <c r="P303" s="6">
        <f t="shared" si="53"/>
        <v>7049.4737629160472</v>
      </c>
      <c r="Q303" s="6">
        <f t="shared" si="50"/>
        <v>17.756341266174637</v>
      </c>
      <c r="T303" s="6">
        <f t="shared" si="43"/>
        <v>17.756341266174637</v>
      </c>
    </row>
    <row r="304" spans="2:20">
      <c r="B304">
        <f t="shared" si="51"/>
        <v>301</v>
      </c>
      <c r="C304">
        <f t="shared" si="45"/>
        <v>30</v>
      </c>
      <c r="D304">
        <v>275</v>
      </c>
      <c r="E304">
        <v>305</v>
      </c>
      <c r="F304">
        <f>RnSPLINE!H$13</f>
        <v>31</v>
      </c>
      <c r="G304">
        <f>RnSPLINE!H$14</f>
        <v>15</v>
      </c>
      <c r="H304" s="5">
        <f>RnSPLINE!M$13</f>
        <v>-1.4830184591461952E-2</v>
      </c>
      <c r="I304" s="5">
        <f>RnSPLINE!M$14</f>
        <v>7.089546134721559E-3</v>
      </c>
      <c r="J304">
        <f t="shared" si="46"/>
        <v>0.13333333333333333</v>
      </c>
      <c r="K304">
        <f t="shared" si="47"/>
        <v>0.8666666666666667</v>
      </c>
      <c r="L304">
        <f t="shared" si="48"/>
        <v>255</v>
      </c>
      <c r="M304" s="6">
        <f t="shared" si="49"/>
        <v>17.133333333333333</v>
      </c>
      <c r="N304" s="13">
        <f t="shared" si="44"/>
        <v>17.195277866815506</v>
      </c>
      <c r="O304" s="6">
        <f t="shared" si="52"/>
        <v>7038.6749999999993</v>
      </c>
      <c r="P304" s="6">
        <f t="shared" si="53"/>
        <v>7066.6690407828628</v>
      </c>
      <c r="Q304" s="6">
        <f t="shared" si="50"/>
        <v>17.195277866815506</v>
      </c>
      <c r="T304" s="6">
        <f t="shared" si="43"/>
        <v>17.195277866815506</v>
      </c>
    </row>
    <row r="305" spans="1:20">
      <c r="B305">
        <f t="shared" si="51"/>
        <v>302</v>
      </c>
      <c r="C305">
        <f t="shared" si="45"/>
        <v>30</v>
      </c>
      <c r="D305">
        <v>275</v>
      </c>
      <c r="E305">
        <v>305</v>
      </c>
      <c r="F305">
        <f>RnSPLINE!H$13</f>
        <v>31</v>
      </c>
      <c r="G305">
        <f>RnSPLINE!H$14</f>
        <v>15</v>
      </c>
      <c r="H305" s="5">
        <f>RnSPLINE!M$13</f>
        <v>-1.4830184591461952E-2</v>
      </c>
      <c r="I305" s="5">
        <f>RnSPLINE!M$14</f>
        <v>7.089546134721559E-3</v>
      </c>
      <c r="J305">
        <f t="shared" si="46"/>
        <v>0.1</v>
      </c>
      <c r="K305">
        <f t="shared" si="47"/>
        <v>0.9</v>
      </c>
      <c r="L305">
        <f t="shared" si="48"/>
        <v>256</v>
      </c>
      <c r="M305" s="6">
        <f t="shared" si="49"/>
        <v>16.600000000000001</v>
      </c>
      <c r="N305" s="13">
        <f t="shared" si="44"/>
        <v>16.638381382827603</v>
      </c>
      <c r="O305" s="6">
        <f t="shared" si="52"/>
        <v>7055.2749999999996</v>
      </c>
      <c r="P305" s="6">
        <f t="shared" si="53"/>
        <v>7083.3074221656907</v>
      </c>
      <c r="Q305" s="6">
        <f t="shared" si="50"/>
        <v>16.638381382827603</v>
      </c>
      <c r="T305" s="6">
        <f t="shared" si="43"/>
        <v>16.638381382827603</v>
      </c>
    </row>
    <row r="306" spans="1:20">
      <c r="B306">
        <f t="shared" si="51"/>
        <v>303</v>
      </c>
      <c r="C306">
        <f t="shared" si="45"/>
        <v>30</v>
      </c>
      <c r="D306">
        <v>275</v>
      </c>
      <c r="E306">
        <v>305</v>
      </c>
      <c r="F306">
        <f>RnSPLINE!H$13</f>
        <v>31</v>
      </c>
      <c r="G306">
        <f>RnSPLINE!H$14</f>
        <v>15</v>
      </c>
      <c r="H306" s="5">
        <f>RnSPLINE!M$13</f>
        <v>-1.4830184591461952E-2</v>
      </c>
      <c r="I306" s="5">
        <f>RnSPLINE!M$14</f>
        <v>7.089546134721559E-3</v>
      </c>
      <c r="J306">
        <f t="shared" si="46"/>
        <v>6.6666666666666666E-2</v>
      </c>
      <c r="K306">
        <f t="shared" si="47"/>
        <v>0.93333333333333335</v>
      </c>
      <c r="L306">
        <f t="shared" si="48"/>
        <v>257</v>
      </c>
      <c r="M306" s="6">
        <f t="shared" si="49"/>
        <v>16.066666666666666</v>
      </c>
      <c r="N306" s="13">
        <f t="shared" si="44"/>
        <v>16.0863824719018</v>
      </c>
      <c r="O306" s="6">
        <f t="shared" si="52"/>
        <v>7071.3416666666662</v>
      </c>
      <c r="P306" s="6">
        <f t="shared" si="53"/>
        <v>7099.3938046375924</v>
      </c>
      <c r="Q306" s="6">
        <f t="shared" si="50"/>
        <v>16.0863824719018</v>
      </c>
      <c r="T306" s="6">
        <f t="shared" ref="T306:T369" si="54">N306</f>
        <v>16.0863824719018</v>
      </c>
    </row>
    <row r="307" spans="1:20">
      <c r="B307">
        <f t="shared" si="51"/>
        <v>304</v>
      </c>
      <c r="C307">
        <f t="shared" si="45"/>
        <v>30</v>
      </c>
      <c r="D307">
        <v>275</v>
      </c>
      <c r="E307">
        <v>305</v>
      </c>
      <c r="F307">
        <f>RnSPLINE!H$13</f>
        <v>31</v>
      </c>
      <c r="G307">
        <f>RnSPLINE!H$14</f>
        <v>15</v>
      </c>
      <c r="H307" s="5">
        <f>RnSPLINE!M$13</f>
        <v>-1.4830184591461952E-2</v>
      </c>
      <c r="I307" s="5">
        <f>RnSPLINE!M$14</f>
        <v>7.089546134721559E-3</v>
      </c>
      <c r="J307">
        <f t="shared" si="46"/>
        <v>3.3333333333333333E-2</v>
      </c>
      <c r="K307">
        <f t="shared" si="47"/>
        <v>0.96666666666666667</v>
      </c>
      <c r="L307">
        <f t="shared" si="48"/>
        <v>258</v>
      </c>
      <c r="M307" s="6">
        <f t="shared" si="49"/>
        <v>15.533333333333333</v>
      </c>
      <c r="N307" s="13">
        <f t="shared" si="44"/>
        <v>15.540011791728976</v>
      </c>
      <c r="O307" s="6">
        <f t="shared" si="52"/>
        <v>7086.875</v>
      </c>
      <c r="P307" s="6">
        <f t="shared" si="53"/>
        <v>7114.9338164293213</v>
      </c>
      <c r="Q307" s="6">
        <f t="shared" si="50"/>
        <v>15.540011791728976</v>
      </c>
      <c r="T307" s="6">
        <f t="shared" si="54"/>
        <v>15.540011791728976</v>
      </c>
    </row>
    <row r="308" spans="1:20">
      <c r="A308">
        <v>305</v>
      </c>
      <c r="B308">
        <f t="shared" si="51"/>
        <v>305</v>
      </c>
      <c r="C308">
        <f t="shared" si="45"/>
        <v>30</v>
      </c>
      <c r="D308">
        <v>275</v>
      </c>
      <c r="E308">
        <v>305</v>
      </c>
      <c r="F308">
        <f>RnSPLINE!H$13</f>
        <v>31</v>
      </c>
      <c r="G308">
        <f>RnSPLINE!H$14</f>
        <v>15</v>
      </c>
      <c r="H308" s="5">
        <f>RnSPLINE!M$13</f>
        <v>-1.4830184591461952E-2</v>
      </c>
      <c r="I308" s="5">
        <f>RnSPLINE!M$14</f>
        <v>7.089546134721559E-3</v>
      </c>
      <c r="J308">
        <f t="shared" si="46"/>
        <v>0</v>
      </c>
      <c r="K308">
        <f t="shared" si="47"/>
        <v>1</v>
      </c>
      <c r="L308">
        <f t="shared" si="48"/>
        <v>259</v>
      </c>
      <c r="M308" s="6">
        <f t="shared" si="49"/>
        <v>15</v>
      </c>
      <c r="N308" s="13">
        <f t="shared" si="44"/>
        <v>15</v>
      </c>
      <c r="O308" s="6">
        <f t="shared" si="52"/>
        <v>7101.875</v>
      </c>
      <c r="P308" s="6">
        <f t="shared" si="53"/>
        <v>7129.9338164293213</v>
      </c>
      <c r="Q308" s="6">
        <f t="shared" si="50"/>
        <v>15</v>
      </c>
      <c r="T308" s="6">
        <f t="shared" si="54"/>
        <v>15</v>
      </c>
    </row>
    <row r="309" spans="1:20">
      <c r="B309">
        <f t="shared" si="51"/>
        <v>306</v>
      </c>
      <c r="C309">
        <f t="shared" si="45"/>
        <v>31</v>
      </c>
      <c r="D309">
        <v>305</v>
      </c>
      <c r="E309">
        <v>336</v>
      </c>
      <c r="F309">
        <f>RnSPLINE!H$14</f>
        <v>15</v>
      </c>
      <c r="G309">
        <f>RnSPLINE!H$15</f>
        <v>10.333333333333334</v>
      </c>
      <c r="H309" s="5">
        <f>RnSPLINE!M$14</f>
        <v>7.089546134721559E-3</v>
      </c>
      <c r="I309" s="5">
        <f>RnSPLINE!M$15</f>
        <v>6.0540487188910183E-2</v>
      </c>
      <c r="J309">
        <f t="shared" si="46"/>
        <v>0.967741935483871</v>
      </c>
      <c r="K309">
        <f t="shared" si="47"/>
        <v>3.2258064516129031E-2</v>
      </c>
      <c r="L309">
        <f t="shared" si="48"/>
        <v>260</v>
      </c>
      <c r="M309" s="6">
        <f t="shared" si="49"/>
        <v>14.849462365591398</v>
      </c>
      <c r="N309" s="13">
        <f t="shared" si="44"/>
        <v>14.467243348774762</v>
      </c>
      <c r="O309" s="6">
        <f t="shared" si="52"/>
        <v>7116.7244623655915</v>
      </c>
      <c r="P309" s="6">
        <f t="shared" si="53"/>
        <v>7144.4010597780962</v>
      </c>
      <c r="Q309" s="6">
        <f t="shared" si="50"/>
        <v>14.467243348774762</v>
      </c>
      <c r="T309" s="6">
        <f t="shared" si="54"/>
        <v>14.467243348774762</v>
      </c>
    </row>
    <row r="310" spans="1:20">
      <c r="B310">
        <f t="shared" si="51"/>
        <v>307</v>
      </c>
      <c r="C310">
        <f t="shared" si="45"/>
        <v>31</v>
      </c>
      <c r="D310">
        <v>305</v>
      </c>
      <c r="E310">
        <v>336</v>
      </c>
      <c r="F310">
        <f>RnSPLINE!H$14</f>
        <v>15</v>
      </c>
      <c r="G310">
        <f>RnSPLINE!H$15</f>
        <v>10.333333333333334</v>
      </c>
      <c r="H310" s="5">
        <f>RnSPLINE!M$14</f>
        <v>7.089546134721559E-3</v>
      </c>
      <c r="I310" s="5">
        <f>RnSPLINE!M$15</f>
        <v>6.0540487188910183E-2</v>
      </c>
      <c r="J310">
        <f t="shared" si="46"/>
        <v>0.93548387096774188</v>
      </c>
      <c r="K310">
        <f t="shared" si="47"/>
        <v>6.4516129032258063E-2</v>
      </c>
      <c r="L310">
        <f t="shared" si="48"/>
        <v>261</v>
      </c>
      <c r="M310" s="6">
        <f t="shared" si="49"/>
        <v>14.698924731182794</v>
      </c>
      <c r="N310" s="13">
        <f t="shared" si="44"/>
        <v>13.943300467589218</v>
      </c>
      <c r="O310" s="6">
        <f t="shared" si="52"/>
        <v>7131.4233870967746</v>
      </c>
      <c r="P310" s="6">
        <f t="shared" si="53"/>
        <v>7158.3443602456855</v>
      </c>
      <c r="Q310" s="6">
        <f t="shared" si="50"/>
        <v>13.943300467589218</v>
      </c>
      <c r="T310" s="6">
        <f t="shared" si="54"/>
        <v>13.943300467589218</v>
      </c>
    </row>
    <row r="311" spans="1:20">
      <c r="B311">
        <f t="shared" si="51"/>
        <v>308</v>
      </c>
      <c r="C311">
        <f t="shared" si="45"/>
        <v>31</v>
      </c>
      <c r="D311">
        <v>305</v>
      </c>
      <c r="E311">
        <v>336</v>
      </c>
      <c r="F311">
        <f>RnSPLINE!H$14</f>
        <v>15</v>
      </c>
      <c r="G311">
        <f>RnSPLINE!H$15</f>
        <v>10.333333333333334</v>
      </c>
      <c r="H311" s="5">
        <f>RnSPLINE!M$14</f>
        <v>7.089546134721559E-3</v>
      </c>
      <c r="I311" s="5">
        <f>RnSPLINE!M$15</f>
        <v>6.0540487188910183E-2</v>
      </c>
      <c r="J311">
        <f t="shared" si="46"/>
        <v>0.90322580645161288</v>
      </c>
      <c r="K311">
        <f t="shared" si="47"/>
        <v>9.6774193548387094E-2</v>
      </c>
      <c r="L311">
        <f t="shared" si="48"/>
        <v>262</v>
      </c>
      <c r="M311" s="6">
        <f t="shared" si="49"/>
        <v>14.548387096774194</v>
      </c>
      <c r="N311" s="13">
        <f t="shared" ref="N311:N374" si="55">Q311</f>
        <v>13.429895580348347</v>
      </c>
      <c r="O311" s="6">
        <f t="shared" si="52"/>
        <v>7145.9717741935492</v>
      </c>
      <c r="P311" s="6">
        <f t="shared" si="53"/>
        <v>7171.7742558260343</v>
      </c>
      <c r="Q311" s="6">
        <f t="shared" si="50"/>
        <v>13.429895580348347</v>
      </c>
      <c r="T311" s="6">
        <f t="shared" si="54"/>
        <v>13.429895580348347</v>
      </c>
    </row>
    <row r="312" spans="1:20">
      <c r="B312">
        <f t="shared" si="51"/>
        <v>309</v>
      </c>
      <c r="C312">
        <f t="shared" si="45"/>
        <v>31</v>
      </c>
      <c r="D312">
        <v>305</v>
      </c>
      <c r="E312">
        <v>336</v>
      </c>
      <c r="F312">
        <f>RnSPLINE!H$14</f>
        <v>15</v>
      </c>
      <c r="G312">
        <f>RnSPLINE!H$15</f>
        <v>10.333333333333334</v>
      </c>
      <c r="H312" s="5">
        <f>RnSPLINE!M$14</f>
        <v>7.089546134721559E-3</v>
      </c>
      <c r="I312" s="5">
        <f>RnSPLINE!M$15</f>
        <v>6.0540487188910183E-2</v>
      </c>
      <c r="J312">
        <f t="shared" si="46"/>
        <v>0.87096774193548387</v>
      </c>
      <c r="K312">
        <f t="shared" si="47"/>
        <v>0.12903225806451613</v>
      </c>
      <c r="L312">
        <f t="shared" si="48"/>
        <v>263</v>
      </c>
      <c r="M312" s="6">
        <f t="shared" si="49"/>
        <v>14.397849462365592</v>
      </c>
      <c r="N312" s="13">
        <f t="shared" si="55"/>
        <v>12.928752910957117</v>
      </c>
      <c r="O312" s="6">
        <f t="shared" si="52"/>
        <v>7160.3696236559144</v>
      </c>
      <c r="P312" s="6">
        <f t="shared" si="53"/>
        <v>7184.7030087369913</v>
      </c>
      <c r="Q312" s="6">
        <f t="shared" si="50"/>
        <v>12.928752910957117</v>
      </c>
      <c r="T312" s="6">
        <f t="shared" si="54"/>
        <v>12.928752910957117</v>
      </c>
    </row>
    <row r="313" spans="1:20">
      <c r="B313">
        <f t="shared" si="51"/>
        <v>310</v>
      </c>
      <c r="C313">
        <f t="shared" si="45"/>
        <v>31</v>
      </c>
      <c r="D313">
        <v>305</v>
      </c>
      <c r="E313">
        <v>336</v>
      </c>
      <c r="F313">
        <f>RnSPLINE!H$14</f>
        <v>15</v>
      </c>
      <c r="G313">
        <f>RnSPLINE!H$15</f>
        <v>10.333333333333334</v>
      </c>
      <c r="H313" s="5">
        <f>RnSPLINE!M$14</f>
        <v>7.089546134721559E-3</v>
      </c>
      <c r="I313" s="5">
        <f>RnSPLINE!M$15</f>
        <v>6.0540487188910183E-2</v>
      </c>
      <c r="J313">
        <f t="shared" si="46"/>
        <v>0.83870967741935487</v>
      </c>
      <c r="K313">
        <f t="shared" si="47"/>
        <v>0.16129032258064516</v>
      </c>
      <c r="L313">
        <f t="shared" si="48"/>
        <v>264</v>
      </c>
      <c r="M313" s="6">
        <f t="shared" si="49"/>
        <v>14.24731182795699</v>
      </c>
      <c r="N313" s="13">
        <f t="shared" si="55"/>
        <v>12.441596683320505</v>
      </c>
      <c r="O313" s="6">
        <f t="shared" si="52"/>
        <v>7174.6169354838712</v>
      </c>
      <c r="P313" s="6">
        <f t="shared" si="53"/>
        <v>7197.1446054203116</v>
      </c>
      <c r="Q313" s="6">
        <f t="shared" si="50"/>
        <v>12.441596683320505</v>
      </c>
      <c r="T313" s="6">
        <f t="shared" si="54"/>
        <v>12.441596683320505</v>
      </c>
    </row>
    <row r="314" spans="1:20">
      <c r="B314">
        <f t="shared" si="51"/>
        <v>311</v>
      </c>
      <c r="C314">
        <f t="shared" si="45"/>
        <v>31</v>
      </c>
      <c r="D314">
        <v>305</v>
      </c>
      <c r="E314">
        <v>336</v>
      </c>
      <c r="F314">
        <f>RnSPLINE!H$14</f>
        <v>15</v>
      </c>
      <c r="G314">
        <f>RnSPLINE!H$15</f>
        <v>10.333333333333334</v>
      </c>
      <c r="H314" s="5">
        <f>RnSPLINE!M$14</f>
        <v>7.089546134721559E-3</v>
      </c>
      <c r="I314" s="5">
        <f>RnSPLINE!M$15</f>
        <v>6.0540487188910183E-2</v>
      </c>
      <c r="J314">
        <f t="shared" si="46"/>
        <v>0.80645161290322576</v>
      </c>
      <c r="K314">
        <f t="shared" si="47"/>
        <v>0.19354838709677419</v>
      </c>
      <c r="L314">
        <f t="shared" si="48"/>
        <v>265</v>
      </c>
      <c r="M314" s="6">
        <f t="shared" si="49"/>
        <v>14.096774193548386</v>
      </c>
      <c r="N314" s="13">
        <f t="shared" si="55"/>
        <v>11.970151121343481</v>
      </c>
      <c r="O314" s="6">
        <f t="shared" si="52"/>
        <v>7188.7137096774195</v>
      </c>
      <c r="P314" s="6">
        <f t="shared" si="53"/>
        <v>7209.114756541655</v>
      </c>
      <c r="Q314" s="6">
        <f t="shared" si="50"/>
        <v>11.970151121343481</v>
      </c>
      <c r="T314" s="6">
        <f t="shared" si="54"/>
        <v>11.970151121343481</v>
      </c>
    </row>
    <row r="315" spans="1:20">
      <c r="B315">
        <f t="shared" si="51"/>
        <v>312</v>
      </c>
      <c r="C315">
        <f t="shared" si="45"/>
        <v>31</v>
      </c>
      <c r="D315">
        <v>305</v>
      </c>
      <c r="E315">
        <v>336</v>
      </c>
      <c r="F315">
        <f>RnSPLINE!H$14</f>
        <v>15</v>
      </c>
      <c r="G315">
        <f>RnSPLINE!H$15</f>
        <v>10.333333333333334</v>
      </c>
      <c r="H315" s="5">
        <f>RnSPLINE!M$14</f>
        <v>7.089546134721559E-3</v>
      </c>
      <c r="I315" s="5">
        <f>RnSPLINE!M$15</f>
        <v>6.0540487188910183E-2</v>
      </c>
      <c r="J315">
        <f t="shared" si="46"/>
        <v>0.77419354838709675</v>
      </c>
      <c r="K315">
        <f t="shared" si="47"/>
        <v>0.22580645161290322</v>
      </c>
      <c r="L315">
        <f t="shared" si="48"/>
        <v>266</v>
      </c>
      <c r="M315" s="6">
        <f t="shared" si="49"/>
        <v>13.946236559139786</v>
      </c>
      <c r="N315" s="13">
        <f t="shared" si="55"/>
        <v>11.516140448931024</v>
      </c>
      <c r="O315" s="6">
        <f t="shared" si="52"/>
        <v>7202.6599462365593</v>
      </c>
      <c r="P315" s="6">
        <f t="shared" si="53"/>
        <v>7220.6308969905858</v>
      </c>
      <c r="Q315" s="6">
        <f t="shared" si="50"/>
        <v>11.516140448931024</v>
      </c>
      <c r="T315" s="6">
        <f t="shared" si="54"/>
        <v>11.516140448931024</v>
      </c>
    </row>
    <row r="316" spans="1:20">
      <c r="B316">
        <f t="shared" si="51"/>
        <v>313</v>
      </c>
      <c r="C316">
        <f t="shared" si="45"/>
        <v>31</v>
      </c>
      <c r="D316">
        <v>305</v>
      </c>
      <c r="E316">
        <v>336</v>
      </c>
      <c r="F316">
        <f>RnSPLINE!H$14</f>
        <v>15</v>
      </c>
      <c r="G316">
        <f>RnSPLINE!H$15</f>
        <v>10.333333333333334</v>
      </c>
      <c r="H316" s="5">
        <f>RnSPLINE!M$14</f>
        <v>7.089546134721559E-3</v>
      </c>
      <c r="I316" s="5">
        <f>RnSPLINE!M$15</f>
        <v>6.0540487188910183E-2</v>
      </c>
      <c r="J316">
        <f t="shared" si="46"/>
        <v>0.74193548387096775</v>
      </c>
      <c r="K316">
        <f t="shared" si="47"/>
        <v>0.25806451612903225</v>
      </c>
      <c r="L316">
        <f t="shared" si="48"/>
        <v>267</v>
      </c>
      <c r="M316" s="6">
        <f t="shared" si="49"/>
        <v>13.795698924731184</v>
      </c>
      <c r="N316" s="13">
        <f t="shared" si="55"/>
        <v>11.081288889988103</v>
      </c>
      <c r="O316" s="6">
        <f t="shared" si="52"/>
        <v>7216.4556451612907</v>
      </c>
      <c r="P316" s="6">
        <f t="shared" si="53"/>
        <v>7231.712185880574</v>
      </c>
      <c r="Q316" s="6">
        <f t="shared" si="50"/>
        <v>11.081288889988103</v>
      </c>
      <c r="T316" s="6">
        <f t="shared" si="54"/>
        <v>11.081288889988103</v>
      </c>
    </row>
    <row r="317" spans="1:20">
      <c r="B317">
        <f t="shared" si="51"/>
        <v>314</v>
      </c>
      <c r="C317">
        <f t="shared" si="45"/>
        <v>31</v>
      </c>
      <c r="D317">
        <v>305</v>
      </c>
      <c r="E317">
        <v>336</v>
      </c>
      <c r="F317">
        <f>RnSPLINE!H$14</f>
        <v>15</v>
      </c>
      <c r="G317">
        <f>RnSPLINE!H$15</f>
        <v>10.333333333333334</v>
      </c>
      <c r="H317" s="5">
        <f>RnSPLINE!M$14</f>
        <v>7.089546134721559E-3</v>
      </c>
      <c r="I317" s="5">
        <f>RnSPLINE!M$15</f>
        <v>6.0540487188910183E-2</v>
      </c>
      <c r="J317">
        <f t="shared" si="46"/>
        <v>0.70967741935483875</v>
      </c>
      <c r="K317">
        <f t="shared" si="47"/>
        <v>0.29032258064516131</v>
      </c>
      <c r="L317">
        <f t="shared" si="48"/>
        <v>268</v>
      </c>
      <c r="M317" s="6">
        <f t="shared" si="49"/>
        <v>13.645161290322582</v>
      </c>
      <c r="N317" s="13">
        <f t="shared" si="55"/>
        <v>10.667320668419697</v>
      </c>
      <c r="O317" s="6">
        <f t="shared" si="52"/>
        <v>7230.1008064516136</v>
      </c>
      <c r="P317" s="6">
        <f t="shared" si="53"/>
        <v>7242.379506548994</v>
      </c>
      <c r="Q317" s="6">
        <f t="shared" si="50"/>
        <v>10.667320668419697</v>
      </c>
      <c r="T317" s="6">
        <f t="shared" si="54"/>
        <v>10.667320668419697</v>
      </c>
    </row>
    <row r="318" spans="1:20">
      <c r="B318">
        <f t="shared" si="51"/>
        <v>315</v>
      </c>
      <c r="C318">
        <f t="shared" si="45"/>
        <v>31</v>
      </c>
      <c r="D318">
        <v>305</v>
      </c>
      <c r="E318">
        <v>336</v>
      </c>
      <c r="F318">
        <f>RnSPLINE!H$14</f>
        <v>15</v>
      </c>
      <c r="G318">
        <f>RnSPLINE!H$15</f>
        <v>10.333333333333334</v>
      </c>
      <c r="H318" s="5">
        <f>RnSPLINE!M$14</f>
        <v>7.089546134721559E-3</v>
      </c>
      <c r="I318" s="5">
        <f>RnSPLINE!M$15</f>
        <v>6.0540487188910183E-2</v>
      </c>
      <c r="J318">
        <f t="shared" si="46"/>
        <v>0.67741935483870963</v>
      </c>
      <c r="K318">
        <f t="shared" si="47"/>
        <v>0.32258064516129031</v>
      </c>
      <c r="L318">
        <f t="shared" si="48"/>
        <v>269</v>
      </c>
      <c r="M318" s="6">
        <f t="shared" si="49"/>
        <v>13.494623655913978</v>
      </c>
      <c r="N318" s="13">
        <f t="shared" si="55"/>
        <v>10.275960008130774</v>
      </c>
      <c r="O318" s="6">
        <f t="shared" si="52"/>
        <v>7243.5954301075271</v>
      </c>
      <c r="P318" s="6">
        <f t="shared" si="53"/>
        <v>7252.6554665571248</v>
      </c>
      <c r="Q318" s="6">
        <f t="shared" si="50"/>
        <v>10.275960008130774</v>
      </c>
      <c r="T318" s="6">
        <f t="shared" si="54"/>
        <v>10.275960008130774</v>
      </c>
    </row>
    <row r="319" spans="1:20">
      <c r="B319">
        <f t="shared" si="51"/>
        <v>316</v>
      </c>
      <c r="C319">
        <f t="shared" si="45"/>
        <v>31</v>
      </c>
      <c r="D319">
        <v>305</v>
      </c>
      <c r="E319">
        <v>336</v>
      </c>
      <c r="F319">
        <f>RnSPLINE!H$14</f>
        <v>15</v>
      </c>
      <c r="G319">
        <f>RnSPLINE!H$15</f>
        <v>10.333333333333334</v>
      </c>
      <c r="H319" s="5">
        <f>RnSPLINE!M$14</f>
        <v>7.089546134721559E-3</v>
      </c>
      <c r="I319" s="5">
        <f>RnSPLINE!M$15</f>
        <v>6.0540487188910183E-2</v>
      </c>
      <c r="J319">
        <f t="shared" si="46"/>
        <v>0.64516129032258063</v>
      </c>
      <c r="K319">
        <f t="shared" si="47"/>
        <v>0.35483870967741937</v>
      </c>
      <c r="L319">
        <f t="shared" si="48"/>
        <v>270</v>
      </c>
      <c r="M319" s="6">
        <f t="shared" si="49"/>
        <v>13.344086021505376</v>
      </c>
      <c r="N319" s="13">
        <f t="shared" si="55"/>
        <v>9.9089311330263108</v>
      </c>
      <c r="O319" s="6">
        <f t="shared" si="52"/>
        <v>7256.9395161290322</v>
      </c>
      <c r="P319" s="6">
        <f t="shared" si="53"/>
        <v>7262.5643976901511</v>
      </c>
      <c r="Q319" s="6">
        <f t="shared" si="50"/>
        <v>9.9089311330263108</v>
      </c>
      <c r="T319" s="6">
        <f t="shared" si="54"/>
        <v>9.9089311330263108</v>
      </c>
    </row>
    <row r="320" spans="1:20">
      <c r="B320">
        <f t="shared" si="51"/>
        <v>317</v>
      </c>
      <c r="C320">
        <f t="shared" si="45"/>
        <v>31</v>
      </c>
      <c r="D320">
        <v>305</v>
      </c>
      <c r="E320">
        <v>336</v>
      </c>
      <c r="F320">
        <f>RnSPLINE!H$14</f>
        <v>15</v>
      </c>
      <c r="G320">
        <f>RnSPLINE!H$15</f>
        <v>10.333333333333334</v>
      </c>
      <c r="H320" s="5">
        <f>RnSPLINE!M$14</f>
        <v>7.089546134721559E-3</v>
      </c>
      <c r="I320" s="5">
        <f>RnSPLINE!M$15</f>
        <v>6.0540487188910183E-2</v>
      </c>
      <c r="J320">
        <f t="shared" si="46"/>
        <v>0.61290322580645162</v>
      </c>
      <c r="K320">
        <f t="shared" si="47"/>
        <v>0.38709677419354838</v>
      </c>
      <c r="L320">
        <f t="shared" si="48"/>
        <v>271</v>
      </c>
      <c r="M320" s="6">
        <f t="shared" si="49"/>
        <v>13.193548387096774</v>
      </c>
      <c r="N320" s="13">
        <f t="shared" si="55"/>
        <v>9.5679582670112833</v>
      </c>
      <c r="O320" s="6">
        <f t="shared" si="52"/>
        <v>7270.1330645161288</v>
      </c>
      <c r="P320" s="6">
        <f t="shared" si="53"/>
        <v>7272.132355957162</v>
      </c>
      <c r="Q320" s="6">
        <f t="shared" si="50"/>
        <v>9.5679582670112833</v>
      </c>
      <c r="T320" s="6">
        <f t="shared" si="54"/>
        <v>9.5679582670112833</v>
      </c>
    </row>
    <row r="321" spans="2:20">
      <c r="B321">
        <f t="shared" si="51"/>
        <v>318</v>
      </c>
      <c r="C321">
        <f t="shared" si="45"/>
        <v>31</v>
      </c>
      <c r="D321">
        <v>305</v>
      </c>
      <c r="E321">
        <v>336</v>
      </c>
      <c r="F321">
        <f>RnSPLINE!H$14</f>
        <v>15</v>
      </c>
      <c r="G321">
        <f>RnSPLINE!H$15</f>
        <v>10.333333333333334</v>
      </c>
      <c r="H321" s="5">
        <f>RnSPLINE!M$14</f>
        <v>7.089546134721559E-3</v>
      </c>
      <c r="I321" s="5">
        <f>RnSPLINE!M$15</f>
        <v>6.0540487188910183E-2</v>
      </c>
      <c r="J321">
        <f t="shared" si="46"/>
        <v>0.58064516129032262</v>
      </c>
      <c r="K321">
        <f t="shared" si="47"/>
        <v>0.41935483870967744</v>
      </c>
      <c r="L321">
        <f t="shared" si="48"/>
        <v>272</v>
      </c>
      <c r="M321" s="6">
        <f t="shared" si="49"/>
        <v>13.043010752688174</v>
      </c>
      <c r="N321" s="13">
        <f t="shared" si="55"/>
        <v>9.2547656339906652</v>
      </c>
      <c r="O321" s="6">
        <f t="shared" si="52"/>
        <v>7283.1760752688169</v>
      </c>
      <c r="P321" s="6">
        <f t="shared" si="53"/>
        <v>7281.3871215911522</v>
      </c>
      <c r="Q321" s="6">
        <f t="shared" si="50"/>
        <v>9.2547656339906652</v>
      </c>
      <c r="T321" s="6">
        <f t="shared" si="54"/>
        <v>9.2547656339906652</v>
      </c>
    </row>
    <row r="322" spans="2:20">
      <c r="B322">
        <f t="shared" si="51"/>
        <v>319</v>
      </c>
      <c r="C322">
        <f t="shared" si="45"/>
        <v>31</v>
      </c>
      <c r="D322">
        <v>305</v>
      </c>
      <c r="E322">
        <v>336</v>
      </c>
      <c r="F322">
        <f>RnSPLINE!H$14</f>
        <v>15</v>
      </c>
      <c r="G322">
        <f>RnSPLINE!H$15</f>
        <v>10.333333333333334</v>
      </c>
      <c r="H322" s="5">
        <f>RnSPLINE!M$14</f>
        <v>7.089546134721559E-3</v>
      </c>
      <c r="I322" s="5">
        <f>RnSPLINE!M$15</f>
        <v>6.0540487188910183E-2</v>
      </c>
      <c r="J322">
        <f t="shared" si="46"/>
        <v>0.54838709677419351</v>
      </c>
      <c r="K322">
        <f t="shared" si="47"/>
        <v>0.45161290322580644</v>
      </c>
      <c r="L322">
        <f t="shared" si="48"/>
        <v>273</v>
      </c>
      <c r="M322" s="6">
        <f t="shared" si="49"/>
        <v>12.892473118279568</v>
      </c>
      <c r="N322" s="13">
        <f t="shared" si="55"/>
        <v>8.9710774578694217</v>
      </c>
      <c r="O322" s="6">
        <f t="shared" si="52"/>
        <v>7296.0685483870966</v>
      </c>
      <c r="P322" s="6">
        <f t="shared" si="53"/>
        <v>7290.358199049022</v>
      </c>
      <c r="Q322" s="6">
        <f t="shared" si="50"/>
        <v>8.9710774578694217</v>
      </c>
      <c r="T322" s="6">
        <f t="shared" si="54"/>
        <v>8.9710774578694217</v>
      </c>
    </row>
    <row r="323" spans="2:20">
      <c r="B323">
        <f t="shared" si="51"/>
        <v>320</v>
      </c>
      <c r="C323">
        <f t="shared" si="45"/>
        <v>31</v>
      </c>
      <c r="D323">
        <v>305</v>
      </c>
      <c r="E323">
        <v>336</v>
      </c>
      <c r="F323">
        <f>RnSPLINE!H$14</f>
        <v>15</v>
      </c>
      <c r="G323">
        <f>RnSPLINE!H$15</f>
        <v>10.333333333333334</v>
      </c>
      <c r="H323" s="5">
        <f>RnSPLINE!M$14</f>
        <v>7.089546134721559E-3</v>
      </c>
      <c r="I323" s="5">
        <f>RnSPLINE!M$15</f>
        <v>6.0540487188910183E-2</v>
      </c>
      <c r="J323">
        <f t="shared" si="46"/>
        <v>0.5161290322580645</v>
      </c>
      <c r="K323">
        <f t="shared" si="47"/>
        <v>0.4838709677419355</v>
      </c>
      <c r="L323">
        <f t="shared" si="48"/>
        <v>274</v>
      </c>
      <c r="M323" s="6">
        <f t="shared" si="49"/>
        <v>12.741935483870968</v>
      </c>
      <c r="N323" s="13">
        <f t="shared" si="55"/>
        <v>8.7186179625525391</v>
      </c>
      <c r="O323" s="6">
        <f t="shared" si="52"/>
        <v>7308.8104838709678</v>
      </c>
      <c r="P323" s="6">
        <f t="shared" si="53"/>
        <v>7299.0768170115743</v>
      </c>
      <c r="Q323" s="6">
        <f t="shared" si="50"/>
        <v>8.7186179625525391</v>
      </c>
      <c r="T323" s="6">
        <f t="shared" si="54"/>
        <v>8.7186179625525391</v>
      </c>
    </row>
    <row r="324" spans="2:20">
      <c r="B324">
        <f t="shared" si="51"/>
        <v>321</v>
      </c>
      <c r="C324">
        <f t="shared" ref="C324:C387" si="56">E324-D324</f>
        <v>31</v>
      </c>
      <c r="D324">
        <v>305</v>
      </c>
      <c r="E324">
        <v>336</v>
      </c>
      <c r="F324">
        <f>RnSPLINE!H$14</f>
        <v>15</v>
      </c>
      <c r="G324">
        <f>RnSPLINE!H$15</f>
        <v>10.333333333333334</v>
      </c>
      <c r="H324" s="5">
        <f>RnSPLINE!M$14</f>
        <v>7.089546134721559E-3</v>
      </c>
      <c r="I324" s="5">
        <f>RnSPLINE!M$15</f>
        <v>6.0540487188910183E-2</v>
      </c>
      <c r="J324">
        <f t="shared" ref="J324:J387" si="57">(E324-B324)/C324</f>
        <v>0.4838709677419355</v>
      </c>
      <c r="K324">
        <f t="shared" ref="K324:K387" si="58">(B324-D324)/C324</f>
        <v>0.5161290322580645</v>
      </c>
      <c r="L324">
        <f t="shared" ref="L324:L387" si="59">B324-46</f>
        <v>275</v>
      </c>
      <c r="M324" s="6">
        <f t="shared" ref="M324:M387" si="60">J324*F324+K324*G324</f>
        <v>12.591397849462366</v>
      </c>
      <c r="N324" s="13">
        <f t="shared" si="55"/>
        <v>8.4991113719449842</v>
      </c>
      <c r="O324" s="6">
        <f t="shared" si="52"/>
        <v>7321.4018817204305</v>
      </c>
      <c r="P324" s="6">
        <f t="shared" si="53"/>
        <v>7307.5759283835196</v>
      </c>
      <c r="Q324" s="6">
        <f t="shared" ref="Q324:Q387" si="61">M324+(((J324^3-J324)*H324+(K324^3-K324)*I324))*(C324^2)/6</f>
        <v>8.4991113719449842</v>
      </c>
      <c r="T324" s="6">
        <f t="shared" si="54"/>
        <v>8.4991113719449842</v>
      </c>
    </row>
    <row r="325" spans="2:20">
      <c r="B325">
        <f t="shared" ref="B325:B388" si="62">B324+1</f>
        <v>322</v>
      </c>
      <c r="C325">
        <f t="shared" si="56"/>
        <v>31</v>
      </c>
      <c r="D325">
        <v>305</v>
      </c>
      <c r="E325">
        <v>336</v>
      </c>
      <c r="F325">
        <f>RnSPLINE!H$14</f>
        <v>15</v>
      </c>
      <c r="G325">
        <f>RnSPLINE!H$15</f>
        <v>10.333333333333334</v>
      </c>
      <c r="H325" s="5">
        <f>RnSPLINE!M$14</f>
        <v>7.089546134721559E-3</v>
      </c>
      <c r="I325" s="5">
        <f>RnSPLINE!M$15</f>
        <v>6.0540487188910183E-2</v>
      </c>
      <c r="J325">
        <f t="shared" si="57"/>
        <v>0.45161290322580644</v>
      </c>
      <c r="K325">
        <f t="shared" si="58"/>
        <v>0.54838709677419351</v>
      </c>
      <c r="L325">
        <f t="shared" si="59"/>
        <v>276</v>
      </c>
      <c r="M325" s="6">
        <f t="shared" si="60"/>
        <v>12.440860215053764</v>
      </c>
      <c r="N325" s="13">
        <f t="shared" si="55"/>
        <v>8.3142819099517329</v>
      </c>
      <c r="O325" s="6">
        <f t="shared" ref="O325:O388" si="63">O324+M325</f>
        <v>7333.8427419354839</v>
      </c>
      <c r="P325" s="6">
        <f t="shared" ref="P325:P388" si="64">P324+N325</f>
        <v>7315.8902102934717</v>
      </c>
      <c r="Q325" s="6">
        <f t="shared" si="61"/>
        <v>8.3142819099517329</v>
      </c>
      <c r="T325" s="6">
        <f t="shared" si="54"/>
        <v>8.3142819099517329</v>
      </c>
    </row>
    <row r="326" spans="2:20">
      <c r="B326">
        <f t="shared" si="62"/>
        <v>323</v>
      </c>
      <c r="C326">
        <f t="shared" si="56"/>
        <v>31</v>
      </c>
      <c r="D326">
        <v>305</v>
      </c>
      <c r="E326">
        <v>336</v>
      </c>
      <c r="F326">
        <f>RnSPLINE!H$14</f>
        <v>15</v>
      </c>
      <c r="G326">
        <f>RnSPLINE!H$15</f>
        <v>10.333333333333334</v>
      </c>
      <c r="H326" s="5">
        <f>RnSPLINE!M$14</f>
        <v>7.089546134721559E-3</v>
      </c>
      <c r="I326" s="5">
        <f>RnSPLINE!M$15</f>
        <v>6.0540487188910183E-2</v>
      </c>
      <c r="J326">
        <f t="shared" si="57"/>
        <v>0.41935483870967744</v>
      </c>
      <c r="K326">
        <f t="shared" si="58"/>
        <v>0.58064516129032262</v>
      </c>
      <c r="L326">
        <f t="shared" si="59"/>
        <v>277</v>
      </c>
      <c r="M326" s="6">
        <f t="shared" si="60"/>
        <v>12.290322580645164</v>
      </c>
      <c r="N326" s="13">
        <f t="shared" si="55"/>
        <v>8.165853800477759</v>
      </c>
      <c r="O326" s="6">
        <f t="shared" si="63"/>
        <v>7346.1330645161288</v>
      </c>
      <c r="P326" s="6">
        <f t="shared" si="64"/>
        <v>7324.0560640939493</v>
      </c>
      <c r="Q326" s="6">
        <f t="shared" si="61"/>
        <v>8.165853800477759</v>
      </c>
      <c r="T326" s="6">
        <f t="shared" si="54"/>
        <v>8.165853800477759</v>
      </c>
    </row>
    <row r="327" spans="2:20">
      <c r="B327">
        <f t="shared" si="62"/>
        <v>324</v>
      </c>
      <c r="C327">
        <f t="shared" si="56"/>
        <v>31</v>
      </c>
      <c r="D327">
        <v>305</v>
      </c>
      <c r="E327">
        <v>336</v>
      </c>
      <c r="F327">
        <f>RnSPLINE!H$14</f>
        <v>15</v>
      </c>
      <c r="G327">
        <f>RnSPLINE!H$15</f>
        <v>10.333333333333334</v>
      </c>
      <c r="H327" s="5">
        <f>RnSPLINE!M$14</f>
        <v>7.089546134721559E-3</v>
      </c>
      <c r="I327" s="5">
        <f>RnSPLINE!M$15</f>
        <v>6.0540487188910183E-2</v>
      </c>
      <c r="J327">
        <f t="shared" si="57"/>
        <v>0.38709677419354838</v>
      </c>
      <c r="K327">
        <f t="shared" si="58"/>
        <v>0.61290322580645162</v>
      </c>
      <c r="L327">
        <f t="shared" si="59"/>
        <v>278</v>
      </c>
      <c r="M327" s="6">
        <f t="shared" si="60"/>
        <v>12.13978494623656</v>
      </c>
      <c r="N327" s="13">
        <f t="shared" si="55"/>
        <v>8.055551267428033</v>
      </c>
      <c r="O327" s="6">
        <f t="shared" si="63"/>
        <v>7358.2728494623652</v>
      </c>
      <c r="P327" s="6">
        <f t="shared" si="64"/>
        <v>7332.1116153613775</v>
      </c>
      <c r="Q327" s="6">
        <f t="shared" si="61"/>
        <v>8.055551267428033</v>
      </c>
      <c r="T327" s="6">
        <f t="shared" si="54"/>
        <v>8.055551267428033</v>
      </c>
    </row>
    <row r="328" spans="2:20">
      <c r="B328">
        <f t="shared" si="62"/>
        <v>325</v>
      </c>
      <c r="C328">
        <f t="shared" si="56"/>
        <v>31</v>
      </c>
      <c r="D328">
        <v>305</v>
      </c>
      <c r="E328">
        <v>336</v>
      </c>
      <c r="F328">
        <f>RnSPLINE!H$14</f>
        <v>15</v>
      </c>
      <c r="G328">
        <f>RnSPLINE!H$15</f>
        <v>10.333333333333334</v>
      </c>
      <c r="H328" s="5">
        <f>RnSPLINE!M$14</f>
        <v>7.089546134721559E-3</v>
      </c>
      <c r="I328" s="5">
        <f>RnSPLINE!M$15</f>
        <v>6.0540487188910183E-2</v>
      </c>
      <c r="J328">
        <f t="shared" si="57"/>
        <v>0.35483870967741937</v>
      </c>
      <c r="K328">
        <f t="shared" si="58"/>
        <v>0.64516129032258063</v>
      </c>
      <c r="L328">
        <f t="shared" si="59"/>
        <v>279</v>
      </c>
      <c r="M328" s="6">
        <f t="shared" si="60"/>
        <v>11.989247311827958</v>
      </c>
      <c r="N328" s="13">
        <f t="shared" si="55"/>
        <v>7.9850985347075305</v>
      </c>
      <c r="O328" s="6">
        <f t="shared" si="63"/>
        <v>7370.2620967741932</v>
      </c>
      <c r="P328" s="6">
        <f t="shared" si="64"/>
        <v>7340.096713896085</v>
      </c>
      <c r="Q328" s="6">
        <f t="shared" si="61"/>
        <v>7.9850985347075305</v>
      </c>
      <c r="T328" s="6">
        <f t="shared" si="54"/>
        <v>7.9850985347075305</v>
      </c>
    </row>
    <row r="329" spans="2:20">
      <c r="B329">
        <f t="shared" si="62"/>
        <v>326</v>
      </c>
      <c r="C329">
        <f t="shared" si="56"/>
        <v>31</v>
      </c>
      <c r="D329">
        <v>305</v>
      </c>
      <c r="E329">
        <v>336</v>
      </c>
      <c r="F329">
        <f>RnSPLINE!H$14</f>
        <v>15</v>
      </c>
      <c r="G329">
        <f>RnSPLINE!H$15</f>
        <v>10.333333333333334</v>
      </c>
      <c r="H329" s="5">
        <f>RnSPLINE!M$14</f>
        <v>7.089546134721559E-3</v>
      </c>
      <c r="I329" s="5">
        <f>RnSPLINE!M$15</f>
        <v>6.0540487188910183E-2</v>
      </c>
      <c r="J329">
        <f t="shared" si="57"/>
        <v>0.32258064516129031</v>
      </c>
      <c r="K329">
        <f t="shared" si="58"/>
        <v>0.67741935483870963</v>
      </c>
      <c r="L329">
        <f t="shared" si="59"/>
        <v>280</v>
      </c>
      <c r="M329" s="6">
        <f t="shared" si="60"/>
        <v>11.838709677419356</v>
      </c>
      <c r="N329" s="13">
        <f t="shared" si="55"/>
        <v>7.9562198262212274</v>
      </c>
      <c r="O329" s="6">
        <f t="shared" si="63"/>
        <v>7382.1008064516127</v>
      </c>
      <c r="P329" s="6">
        <f t="shared" si="64"/>
        <v>7348.0529337223061</v>
      </c>
      <c r="Q329" s="6">
        <f t="shared" si="61"/>
        <v>7.9562198262212274</v>
      </c>
      <c r="T329" s="6">
        <f t="shared" si="54"/>
        <v>7.9562198262212274</v>
      </c>
    </row>
    <row r="330" spans="2:20">
      <c r="B330">
        <f t="shared" si="62"/>
        <v>327</v>
      </c>
      <c r="C330">
        <f t="shared" si="56"/>
        <v>31</v>
      </c>
      <c r="D330">
        <v>305</v>
      </c>
      <c r="E330">
        <v>336</v>
      </c>
      <c r="F330">
        <f>RnSPLINE!H$14</f>
        <v>15</v>
      </c>
      <c r="G330">
        <f>RnSPLINE!H$15</f>
        <v>10.333333333333334</v>
      </c>
      <c r="H330" s="5">
        <f>RnSPLINE!M$14</f>
        <v>7.089546134721559E-3</v>
      </c>
      <c r="I330" s="5">
        <f>RnSPLINE!M$15</f>
        <v>6.0540487188910183E-2</v>
      </c>
      <c r="J330">
        <f t="shared" si="57"/>
        <v>0.29032258064516131</v>
      </c>
      <c r="K330">
        <f t="shared" si="58"/>
        <v>0.70967741935483875</v>
      </c>
      <c r="L330">
        <f t="shared" si="59"/>
        <v>281</v>
      </c>
      <c r="M330" s="6">
        <f t="shared" si="60"/>
        <v>11.688172043010754</v>
      </c>
      <c r="N330" s="13">
        <f t="shared" si="55"/>
        <v>7.9706393658740975</v>
      </c>
      <c r="O330" s="6">
        <f t="shared" si="63"/>
        <v>7393.7889784946237</v>
      </c>
      <c r="P330" s="6">
        <f t="shared" si="64"/>
        <v>7356.0235730881805</v>
      </c>
      <c r="Q330" s="6">
        <f t="shared" si="61"/>
        <v>7.9706393658740975</v>
      </c>
      <c r="T330" s="6">
        <f t="shared" si="54"/>
        <v>7.9706393658740975</v>
      </c>
    </row>
    <row r="331" spans="2:20">
      <c r="B331">
        <f t="shared" si="62"/>
        <v>328</v>
      </c>
      <c r="C331">
        <f t="shared" si="56"/>
        <v>31</v>
      </c>
      <c r="D331">
        <v>305</v>
      </c>
      <c r="E331">
        <v>336</v>
      </c>
      <c r="F331">
        <f>RnSPLINE!H$14</f>
        <v>15</v>
      </c>
      <c r="G331">
        <f>RnSPLINE!H$15</f>
        <v>10.333333333333334</v>
      </c>
      <c r="H331" s="5">
        <f>RnSPLINE!M$14</f>
        <v>7.089546134721559E-3</v>
      </c>
      <c r="I331" s="5">
        <f>RnSPLINE!M$15</f>
        <v>6.0540487188910183E-2</v>
      </c>
      <c r="J331">
        <f t="shared" si="57"/>
        <v>0.25806451612903225</v>
      </c>
      <c r="K331">
        <f t="shared" si="58"/>
        <v>0.74193548387096775</v>
      </c>
      <c r="L331">
        <f t="shared" si="59"/>
        <v>282</v>
      </c>
      <c r="M331" s="6">
        <f t="shared" si="60"/>
        <v>11.537634408602152</v>
      </c>
      <c r="N331" s="13">
        <f t="shared" si="55"/>
        <v>8.0300813775711113</v>
      </c>
      <c r="O331" s="6">
        <f t="shared" si="63"/>
        <v>7405.3266129032263</v>
      </c>
      <c r="P331" s="6">
        <f t="shared" si="64"/>
        <v>7364.0536544657516</v>
      </c>
      <c r="Q331" s="6">
        <f t="shared" si="61"/>
        <v>8.0300813775711113</v>
      </c>
      <c r="T331" s="6">
        <f t="shared" si="54"/>
        <v>8.0300813775711113</v>
      </c>
    </row>
    <row r="332" spans="2:20">
      <c r="B332">
        <f t="shared" si="62"/>
        <v>329</v>
      </c>
      <c r="C332">
        <f t="shared" si="56"/>
        <v>31</v>
      </c>
      <c r="D332">
        <v>305</v>
      </c>
      <c r="E332">
        <v>336</v>
      </c>
      <c r="F332">
        <f>RnSPLINE!H$14</f>
        <v>15</v>
      </c>
      <c r="G332">
        <f>RnSPLINE!H$15</f>
        <v>10.333333333333334</v>
      </c>
      <c r="H332" s="5">
        <f>RnSPLINE!M$14</f>
        <v>7.089546134721559E-3</v>
      </c>
      <c r="I332" s="5">
        <f>RnSPLINE!M$15</f>
        <v>6.0540487188910183E-2</v>
      </c>
      <c r="J332">
        <f t="shared" si="57"/>
        <v>0.22580645161290322</v>
      </c>
      <c r="K332">
        <f t="shared" si="58"/>
        <v>0.77419354838709675</v>
      </c>
      <c r="L332">
        <f t="shared" si="59"/>
        <v>283</v>
      </c>
      <c r="M332" s="6">
        <f t="shared" si="60"/>
        <v>11.387096774193548</v>
      </c>
      <c r="N332" s="13">
        <f t="shared" si="55"/>
        <v>8.1362700852172445</v>
      </c>
      <c r="O332" s="6">
        <f t="shared" si="63"/>
        <v>7416.7137096774195</v>
      </c>
      <c r="P332" s="6">
        <f t="shared" si="64"/>
        <v>7372.1899245509685</v>
      </c>
      <c r="Q332" s="6">
        <f t="shared" si="61"/>
        <v>8.1362700852172445</v>
      </c>
      <c r="T332" s="6">
        <f t="shared" si="54"/>
        <v>8.1362700852172445</v>
      </c>
    </row>
    <row r="333" spans="2:20">
      <c r="B333">
        <f t="shared" si="62"/>
        <v>330</v>
      </c>
      <c r="C333">
        <f t="shared" si="56"/>
        <v>31</v>
      </c>
      <c r="D333">
        <v>305</v>
      </c>
      <c r="E333">
        <v>336</v>
      </c>
      <c r="F333">
        <f>RnSPLINE!H$14</f>
        <v>15</v>
      </c>
      <c r="G333">
        <f>RnSPLINE!H$15</f>
        <v>10.333333333333334</v>
      </c>
      <c r="H333" s="5">
        <f>RnSPLINE!M$14</f>
        <v>7.089546134721559E-3</v>
      </c>
      <c r="I333" s="5">
        <f>RnSPLINE!M$15</f>
        <v>6.0540487188910183E-2</v>
      </c>
      <c r="J333">
        <f t="shared" si="57"/>
        <v>0.19354838709677419</v>
      </c>
      <c r="K333">
        <f t="shared" si="58"/>
        <v>0.80645161290322576</v>
      </c>
      <c r="L333">
        <f t="shared" si="59"/>
        <v>284</v>
      </c>
      <c r="M333" s="6">
        <f t="shared" si="60"/>
        <v>11.236559139784948</v>
      </c>
      <c r="N333" s="13">
        <f t="shared" si="55"/>
        <v>8.2909297127174728</v>
      </c>
      <c r="O333" s="6">
        <f t="shared" si="63"/>
        <v>7427.9502688172042</v>
      </c>
      <c r="P333" s="6">
        <f t="shared" si="64"/>
        <v>7380.4808542636856</v>
      </c>
      <c r="Q333" s="6">
        <f t="shared" si="61"/>
        <v>8.2909297127174728</v>
      </c>
      <c r="T333" s="6">
        <f t="shared" si="54"/>
        <v>8.2909297127174728</v>
      </c>
    </row>
    <row r="334" spans="2:20">
      <c r="B334">
        <f t="shared" si="62"/>
        <v>331</v>
      </c>
      <c r="C334">
        <f t="shared" si="56"/>
        <v>31</v>
      </c>
      <c r="D334">
        <v>305</v>
      </c>
      <c r="E334">
        <v>336</v>
      </c>
      <c r="F334">
        <f>RnSPLINE!H$14</f>
        <v>15</v>
      </c>
      <c r="G334">
        <f>RnSPLINE!H$15</f>
        <v>10.333333333333334</v>
      </c>
      <c r="H334" s="5">
        <f>RnSPLINE!M$14</f>
        <v>7.089546134721559E-3</v>
      </c>
      <c r="I334" s="5">
        <f>RnSPLINE!M$15</f>
        <v>6.0540487188910183E-2</v>
      </c>
      <c r="J334">
        <f t="shared" si="57"/>
        <v>0.16129032258064516</v>
      </c>
      <c r="K334">
        <f t="shared" si="58"/>
        <v>0.83870967741935487</v>
      </c>
      <c r="L334">
        <f t="shared" si="59"/>
        <v>285</v>
      </c>
      <c r="M334" s="6">
        <f t="shared" si="60"/>
        <v>11.086021505376346</v>
      </c>
      <c r="N334" s="13">
        <f t="shared" si="55"/>
        <v>8.4957844839767684</v>
      </c>
      <c r="O334" s="6">
        <f t="shared" si="63"/>
        <v>7439.0362903225805</v>
      </c>
      <c r="P334" s="6">
        <f t="shared" si="64"/>
        <v>7388.976638747662</v>
      </c>
      <c r="Q334" s="6">
        <f t="shared" si="61"/>
        <v>8.4957844839767684</v>
      </c>
      <c r="T334" s="6">
        <f t="shared" si="54"/>
        <v>8.4957844839767684</v>
      </c>
    </row>
    <row r="335" spans="2:20">
      <c r="B335">
        <f t="shared" si="62"/>
        <v>332</v>
      </c>
      <c r="C335">
        <f t="shared" si="56"/>
        <v>31</v>
      </c>
      <c r="D335">
        <v>305</v>
      </c>
      <c r="E335">
        <v>336</v>
      </c>
      <c r="F335">
        <f>RnSPLINE!H$14</f>
        <v>15</v>
      </c>
      <c r="G335">
        <f>RnSPLINE!H$15</f>
        <v>10.333333333333334</v>
      </c>
      <c r="H335" s="5">
        <f>RnSPLINE!M$14</f>
        <v>7.089546134721559E-3</v>
      </c>
      <c r="I335" s="5">
        <f>RnSPLINE!M$15</f>
        <v>6.0540487188910183E-2</v>
      </c>
      <c r="J335">
        <f t="shared" si="57"/>
        <v>0.12903225806451613</v>
      </c>
      <c r="K335">
        <f t="shared" si="58"/>
        <v>0.87096774193548387</v>
      </c>
      <c r="L335">
        <f t="shared" si="59"/>
        <v>286</v>
      </c>
      <c r="M335" s="6">
        <f t="shared" si="60"/>
        <v>10.935483870967742</v>
      </c>
      <c r="N335" s="13">
        <f t="shared" si="55"/>
        <v>8.7525586229001018</v>
      </c>
      <c r="O335" s="6">
        <f t="shared" si="63"/>
        <v>7449.9717741935483</v>
      </c>
      <c r="P335" s="6">
        <f t="shared" si="64"/>
        <v>7397.7291973705624</v>
      </c>
      <c r="Q335" s="6">
        <f t="shared" si="61"/>
        <v>8.7525586229001018</v>
      </c>
      <c r="T335" s="6">
        <f t="shared" si="54"/>
        <v>8.7525586229001018</v>
      </c>
    </row>
    <row r="336" spans="2:20">
      <c r="B336">
        <f t="shared" si="62"/>
        <v>333</v>
      </c>
      <c r="C336">
        <f t="shared" si="56"/>
        <v>31</v>
      </c>
      <c r="D336">
        <v>305</v>
      </c>
      <c r="E336">
        <v>336</v>
      </c>
      <c r="F336">
        <f>RnSPLINE!H$14</f>
        <v>15</v>
      </c>
      <c r="G336">
        <f>RnSPLINE!H$15</f>
        <v>10.333333333333334</v>
      </c>
      <c r="H336" s="5">
        <f>RnSPLINE!M$14</f>
        <v>7.089546134721559E-3</v>
      </c>
      <c r="I336" s="5">
        <f>RnSPLINE!M$15</f>
        <v>6.0540487188910183E-2</v>
      </c>
      <c r="J336">
        <f t="shared" si="57"/>
        <v>9.6774193548387094E-2</v>
      </c>
      <c r="K336">
        <f t="shared" si="58"/>
        <v>0.90322580645161288</v>
      </c>
      <c r="L336">
        <f t="shared" si="59"/>
        <v>287</v>
      </c>
      <c r="M336" s="6">
        <f t="shared" si="60"/>
        <v>10.78494623655914</v>
      </c>
      <c r="N336" s="13">
        <f t="shared" si="55"/>
        <v>9.0629763533924539</v>
      </c>
      <c r="O336" s="6">
        <f t="shared" si="63"/>
        <v>7460.7567204301076</v>
      </c>
      <c r="P336" s="6">
        <f t="shared" si="64"/>
        <v>7406.7921737239549</v>
      </c>
      <c r="Q336" s="6">
        <f t="shared" si="61"/>
        <v>9.0629763533924539</v>
      </c>
      <c r="T336" s="6">
        <f t="shared" si="54"/>
        <v>9.0629763533924539</v>
      </c>
    </row>
    <row r="337" spans="1:20">
      <c r="B337">
        <f t="shared" si="62"/>
        <v>334</v>
      </c>
      <c r="C337">
        <f t="shared" si="56"/>
        <v>31</v>
      </c>
      <c r="D337">
        <v>305</v>
      </c>
      <c r="E337">
        <v>336</v>
      </c>
      <c r="F337">
        <f>RnSPLINE!H$14</f>
        <v>15</v>
      </c>
      <c r="G337">
        <f>RnSPLINE!H$15</f>
        <v>10.333333333333334</v>
      </c>
      <c r="H337" s="5">
        <f>RnSPLINE!M$14</f>
        <v>7.089546134721559E-3</v>
      </c>
      <c r="I337" s="5">
        <f>RnSPLINE!M$15</f>
        <v>6.0540487188910183E-2</v>
      </c>
      <c r="J337">
        <f t="shared" si="57"/>
        <v>6.4516129032258063E-2</v>
      </c>
      <c r="K337">
        <f t="shared" si="58"/>
        <v>0.93548387096774188</v>
      </c>
      <c r="L337">
        <f t="shared" si="59"/>
        <v>288</v>
      </c>
      <c r="M337" s="6">
        <f t="shared" si="60"/>
        <v>10.634408602150536</v>
      </c>
      <c r="N337" s="13">
        <f t="shared" si="55"/>
        <v>9.4287618993587898</v>
      </c>
      <c r="O337" s="6">
        <f t="shared" si="63"/>
        <v>7471.3911290322585</v>
      </c>
      <c r="P337" s="6">
        <f t="shared" si="64"/>
        <v>7416.2209356233134</v>
      </c>
      <c r="Q337" s="6">
        <f t="shared" si="61"/>
        <v>9.4287618993587898</v>
      </c>
      <c r="T337" s="6">
        <f t="shared" si="54"/>
        <v>9.4287618993587898</v>
      </c>
    </row>
    <row r="338" spans="1:20">
      <c r="B338">
        <f t="shared" si="62"/>
        <v>335</v>
      </c>
      <c r="C338">
        <f t="shared" si="56"/>
        <v>31</v>
      </c>
      <c r="D338">
        <v>305</v>
      </c>
      <c r="E338">
        <v>336</v>
      </c>
      <c r="F338">
        <f>RnSPLINE!H$14</f>
        <v>15</v>
      </c>
      <c r="G338">
        <f>RnSPLINE!H$15</f>
        <v>10.333333333333334</v>
      </c>
      <c r="H338" s="5">
        <f>RnSPLINE!M$14</f>
        <v>7.089546134721559E-3</v>
      </c>
      <c r="I338" s="5">
        <f>RnSPLINE!M$15</f>
        <v>6.0540487188910183E-2</v>
      </c>
      <c r="J338">
        <f t="shared" si="57"/>
        <v>3.2258064516129031E-2</v>
      </c>
      <c r="K338">
        <f t="shared" si="58"/>
        <v>0.967741935483871</v>
      </c>
      <c r="L338">
        <f t="shared" si="59"/>
        <v>289</v>
      </c>
      <c r="M338" s="6">
        <f t="shared" si="60"/>
        <v>10.483870967741936</v>
      </c>
      <c r="N338" s="13">
        <f t="shared" si="55"/>
        <v>9.851639484704096</v>
      </c>
      <c r="O338" s="6">
        <f t="shared" si="63"/>
        <v>7481.875</v>
      </c>
      <c r="P338" s="6">
        <f t="shared" si="64"/>
        <v>7426.0725751080172</v>
      </c>
      <c r="Q338" s="6">
        <f t="shared" si="61"/>
        <v>9.851639484704096</v>
      </c>
      <c r="T338" s="6">
        <f t="shared" si="54"/>
        <v>9.851639484704096</v>
      </c>
    </row>
    <row r="339" spans="1:20">
      <c r="A339">
        <v>336</v>
      </c>
      <c r="B339">
        <f t="shared" si="62"/>
        <v>336</v>
      </c>
      <c r="C339">
        <f t="shared" si="56"/>
        <v>31</v>
      </c>
      <c r="D339">
        <v>305</v>
      </c>
      <c r="E339">
        <v>336</v>
      </c>
      <c r="F339">
        <f>RnSPLINE!H$14</f>
        <v>15</v>
      </c>
      <c r="G339">
        <f>RnSPLINE!H$15</f>
        <v>10.333333333333334</v>
      </c>
      <c r="H339" s="5">
        <f>RnSPLINE!M$14</f>
        <v>7.089546134721559E-3</v>
      </c>
      <c r="I339" s="5">
        <f>RnSPLINE!M$15</f>
        <v>6.0540487188910183E-2</v>
      </c>
      <c r="J339">
        <f t="shared" si="57"/>
        <v>0</v>
      </c>
      <c r="K339">
        <f t="shared" si="58"/>
        <v>1</v>
      </c>
      <c r="L339">
        <f t="shared" si="59"/>
        <v>290</v>
      </c>
      <c r="M339" s="6">
        <f t="shared" si="60"/>
        <v>10.333333333333334</v>
      </c>
      <c r="N339" s="13">
        <f t="shared" si="55"/>
        <v>10.333333333333334</v>
      </c>
      <c r="O339" s="6">
        <f t="shared" si="63"/>
        <v>7492.208333333333</v>
      </c>
      <c r="P339" s="6">
        <f t="shared" si="64"/>
        <v>7436.4059084413502</v>
      </c>
      <c r="Q339" s="6">
        <f t="shared" si="61"/>
        <v>10.333333333333334</v>
      </c>
      <c r="T339" s="6">
        <f t="shared" si="54"/>
        <v>10.333333333333334</v>
      </c>
    </row>
    <row r="340" spans="1:20">
      <c r="B340">
        <f t="shared" si="62"/>
        <v>337</v>
      </c>
      <c r="C340">
        <f t="shared" si="56"/>
        <v>30</v>
      </c>
      <c r="D340">
        <v>336</v>
      </c>
      <c r="E340">
        <v>366</v>
      </c>
      <c r="F340">
        <f>RnSPLINE!H$15</f>
        <v>10.333333333333334</v>
      </c>
      <c r="G340">
        <f>RnSPLINE!H$16</f>
        <v>30</v>
      </c>
      <c r="H340" s="5">
        <f>RnSPLINE!M$15</f>
        <v>6.0540487188910183E-2</v>
      </c>
      <c r="I340" s="5">
        <f>RnSPLINE!M$16</f>
        <v>-9.2305207581282148E-2</v>
      </c>
      <c r="J340">
        <f t="shared" si="57"/>
        <v>0.96666666666666667</v>
      </c>
      <c r="K340">
        <f t="shared" si="58"/>
        <v>3.3333333333333333E-2</v>
      </c>
      <c r="L340">
        <f t="shared" si="59"/>
        <v>291</v>
      </c>
      <c r="M340" s="6">
        <f t="shared" si="60"/>
        <v>10.988888888888889</v>
      </c>
      <c r="N340" s="13">
        <f t="shared" si="55"/>
        <v>10.87443115575193</v>
      </c>
      <c r="O340" s="6">
        <f t="shared" si="63"/>
        <v>7503.1972222222221</v>
      </c>
      <c r="P340" s="6">
        <f t="shared" si="64"/>
        <v>7447.2803395971023</v>
      </c>
      <c r="Q340" s="6">
        <f t="shared" si="61"/>
        <v>10.87443115575193</v>
      </c>
      <c r="T340" s="6">
        <f t="shared" si="54"/>
        <v>10.87443115575193</v>
      </c>
    </row>
    <row r="341" spans="1:20">
      <c r="B341">
        <f t="shared" si="62"/>
        <v>338</v>
      </c>
      <c r="C341">
        <f t="shared" si="56"/>
        <v>30</v>
      </c>
      <c r="D341">
        <v>336</v>
      </c>
      <c r="E341">
        <v>366</v>
      </c>
      <c r="F341">
        <f>RnSPLINE!H$15</f>
        <v>10.333333333333334</v>
      </c>
      <c r="G341">
        <f>RnSPLINE!H$16</f>
        <v>30</v>
      </c>
      <c r="H341" s="5">
        <f>RnSPLINE!M$15</f>
        <v>6.0540487188910183E-2</v>
      </c>
      <c r="I341" s="5">
        <f>RnSPLINE!M$16</f>
        <v>-9.2305207581282148E-2</v>
      </c>
      <c r="J341">
        <f t="shared" si="57"/>
        <v>0.93333333333333335</v>
      </c>
      <c r="K341">
        <f t="shared" si="58"/>
        <v>6.6666666666666666E-2</v>
      </c>
      <c r="L341">
        <f t="shared" si="59"/>
        <v>292</v>
      </c>
      <c r="M341" s="6">
        <f t="shared" si="60"/>
        <v>11.644444444444446</v>
      </c>
      <c r="N341" s="13">
        <f t="shared" si="55"/>
        <v>11.470974608867099</v>
      </c>
      <c r="O341" s="6">
        <f t="shared" si="63"/>
        <v>7514.8416666666662</v>
      </c>
      <c r="P341" s="6">
        <f t="shared" si="64"/>
        <v>7458.7513142059697</v>
      </c>
      <c r="Q341" s="6">
        <f t="shared" si="61"/>
        <v>11.470974608867099</v>
      </c>
      <c r="T341" s="6">
        <f t="shared" si="54"/>
        <v>11.470974608867099</v>
      </c>
    </row>
    <row r="342" spans="1:20">
      <c r="B342">
        <f t="shared" si="62"/>
        <v>339</v>
      </c>
      <c r="C342">
        <f t="shared" si="56"/>
        <v>30</v>
      </c>
      <c r="D342">
        <v>336</v>
      </c>
      <c r="E342">
        <v>366</v>
      </c>
      <c r="F342">
        <f>RnSPLINE!H$15</f>
        <v>10.333333333333334</v>
      </c>
      <c r="G342">
        <f>RnSPLINE!H$16</f>
        <v>30</v>
      </c>
      <c r="H342" s="5">
        <f>RnSPLINE!M$15</f>
        <v>6.0540487188910183E-2</v>
      </c>
      <c r="I342" s="5">
        <f>RnSPLINE!M$16</f>
        <v>-9.2305207581282148E-2</v>
      </c>
      <c r="J342">
        <f t="shared" si="57"/>
        <v>0.9</v>
      </c>
      <c r="K342">
        <f t="shared" si="58"/>
        <v>0.1</v>
      </c>
      <c r="L342">
        <f t="shared" si="59"/>
        <v>293</v>
      </c>
      <c r="M342" s="6">
        <f t="shared" si="60"/>
        <v>12.3</v>
      </c>
      <c r="N342" s="13">
        <f t="shared" si="55"/>
        <v>12.117868836186496</v>
      </c>
      <c r="O342" s="6">
        <f t="shared" si="63"/>
        <v>7527.1416666666664</v>
      </c>
      <c r="P342" s="6">
        <f t="shared" si="64"/>
        <v>7470.8691830421558</v>
      </c>
      <c r="Q342" s="6">
        <f t="shared" si="61"/>
        <v>12.117868836186496</v>
      </c>
      <c r="T342" s="6">
        <f t="shared" si="54"/>
        <v>12.117868836186496</v>
      </c>
    </row>
    <row r="343" spans="1:20">
      <c r="B343">
        <f t="shared" si="62"/>
        <v>340</v>
      </c>
      <c r="C343">
        <f t="shared" si="56"/>
        <v>30</v>
      </c>
      <c r="D343">
        <v>336</v>
      </c>
      <c r="E343">
        <v>366</v>
      </c>
      <c r="F343">
        <f>RnSPLINE!H$15</f>
        <v>10.333333333333334</v>
      </c>
      <c r="G343">
        <f>RnSPLINE!H$16</f>
        <v>30</v>
      </c>
      <c r="H343" s="5">
        <f>RnSPLINE!M$15</f>
        <v>6.0540487188910183E-2</v>
      </c>
      <c r="I343" s="5">
        <f>RnSPLINE!M$16</f>
        <v>-9.2305207581282148E-2</v>
      </c>
      <c r="J343">
        <f t="shared" si="57"/>
        <v>0.8666666666666667</v>
      </c>
      <c r="K343">
        <f t="shared" si="58"/>
        <v>0.13333333333333333</v>
      </c>
      <c r="L343">
        <f t="shared" si="59"/>
        <v>294</v>
      </c>
      <c r="M343" s="6">
        <f t="shared" si="60"/>
        <v>12.955555555555556</v>
      </c>
      <c r="N343" s="13">
        <f t="shared" si="55"/>
        <v>12.810018981217782</v>
      </c>
      <c r="O343" s="6">
        <f t="shared" si="63"/>
        <v>7540.0972222222217</v>
      </c>
      <c r="P343" s="6">
        <f t="shared" si="64"/>
        <v>7483.6792020233734</v>
      </c>
      <c r="Q343" s="6">
        <f t="shared" si="61"/>
        <v>12.810018981217782</v>
      </c>
      <c r="T343" s="6">
        <f t="shared" si="54"/>
        <v>12.810018981217782</v>
      </c>
    </row>
    <row r="344" spans="1:20">
      <c r="B344">
        <f t="shared" si="62"/>
        <v>341</v>
      </c>
      <c r="C344">
        <f t="shared" si="56"/>
        <v>30</v>
      </c>
      <c r="D344">
        <v>336</v>
      </c>
      <c r="E344">
        <v>366</v>
      </c>
      <c r="F344">
        <f>RnSPLINE!H$15</f>
        <v>10.333333333333334</v>
      </c>
      <c r="G344">
        <f>RnSPLINE!H$16</f>
        <v>30</v>
      </c>
      <c r="H344" s="5">
        <f>RnSPLINE!M$15</f>
        <v>6.0540487188910183E-2</v>
      </c>
      <c r="I344" s="5">
        <f>RnSPLINE!M$16</f>
        <v>-9.2305207581282148E-2</v>
      </c>
      <c r="J344">
        <f t="shared" si="57"/>
        <v>0.83333333333333337</v>
      </c>
      <c r="K344">
        <f t="shared" si="58"/>
        <v>0.16666666666666666</v>
      </c>
      <c r="L344">
        <f t="shared" si="59"/>
        <v>295</v>
      </c>
      <c r="M344" s="6">
        <f t="shared" si="60"/>
        <v>13.611111111111112</v>
      </c>
      <c r="N344" s="13">
        <f t="shared" si="55"/>
        <v>13.542330187468623</v>
      </c>
      <c r="O344" s="6">
        <f t="shared" si="63"/>
        <v>7553.708333333333</v>
      </c>
      <c r="P344" s="6">
        <f t="shared" si="64"/>
        <v>7497.2215322108423</v>
      </c>
      <c r="Q344" s="6">
        <f t="shared" si="61"/>
        <v>13.542330187468623</v>
      </c>
      <c r="T344" s="6">
        <f t="shared" si="54"/>
        <v>13.542330187468623</v>
      </c>
    </row>
    <row r="345" spans="1:20">
      <c r="B345">
        <f t="shared" si="62"/>
        <v>342</v>
      </c>
      <c r="C345">
        <f t="shared" si="56"/>
        <v>30</v>
      </c>
      <c r="D345">
        <v>336</v>
      </c>
      <c r="E345">
        <v>366</v>
      </c>
      <c r="F345">
        <f>RnSPLINE!H$15</f>
        <v>10.333333333333334</v>
      </c>
      <c r="G345">
        <f>RnSPLINE!H$16</f>
        <v>30</v>
      </c>
      <c r="H345" s="5">
        <f>RnSPLINE!M$15</f>
        <v>6.0540487188910183E-2</v>
      </c>
      <c r="I345" s="5">
        <f>RnSPLINE!M$16</f>
        <v>-9.2305207581282148E-2</v>
      </c>
      <c r="J345">
        <f t="shared" si="57"/>
        <v>0.8</v>
      </c>
      <c r="K345">
        <f t="shared" si="58"/>
        <v>0.2</v>
      </c>
      <c r="L345">
        <f t="shared" si="59"/>
        <v>296</v>
      </c>
      <c r="M345" s="6">
        <f t="shared" si="60"/>
        <v>14.266666666666667</v>
      </c>
      <c r="N345" s="13">
        <f t="shared" si="55"/>
        <v>14.309707598446675</v>
      </c>
      <c r="O345" s="6">
        <f t="shared" si="63"/>
        <v>7567.9749999999995</v>
      </c>
      <c r="P345" s="6">
        <f t="shared" si="64"/>
        <v>7511.5312398092892</v>
      </c>
      <c r="Q345" s="6">
        <f t="shared" si="61"/>
        <v>14.309707598446675</v>
      </c>
      <c r="T345" s="6">
        <f t="shared" si="54"/>
        <v>14.309707598446675</v>
      </c>
    </row>
    <row r="346" spans="1:20">
      <c r="B346">
        <f t="shared" si="62"/>
        <v>343</v>
      </c>
      <c r="C346">
        <f t="shared" si="56"/>
        <v>30</v>
      </c>
      <c r="D346">
        <v>336</v>
      </c>
      <c r="E346">
        <v>366</v>
      </c>
      <c r="F346">
        <f>RnSPLINE!H$15</f>
        <v>10.333333333333334</v>
      </c>
      <c r="G346">
        <f>RnSPLINE!H$16</f>
        <v>30</v>
      </c>
      <c r="H346" s="5">
        <f>RnSPLINE!M$15</f>
        <v>6.0540487188910183E-2</v>
      </c>
      <c r="I346" s="5">
        <f>RnSPLINE!M$16</f>
        <v>-9.2305207581282148E-2</v>
      </c>
      <c r="J346">
        <f t="shared" si="57"/>
        <v>0.76666666666666672</v>
      </c>
      <c r="K346">
        <f t="shared" si="58"/>
        <v>0.23333333333333334</v>
      </c>
      <c r="L346">
        <f t="shared" si="59"/>
        <v>297</v>
      </c>
      <c r="M346" s="6">
        <f t="shared" si="60"/>
        <v>14.922222222222224</v>
      </c>
      <c r="N346" s="13">
        <f t="shared" si="55"/>
        <v>15.107056357659598</v>
      </c>
      <c r="O346" s="6">
        <f t="shared" si="63"/>
        <v>7582.8972222222219</v>
      </c>
      <c r="P346" s="6">
        <f t="shared" si="64"/>
        <v>7526.6382961669487</v>
      </c>
      <c r="Q346" s="6">
        <f t="shared" si="61"/>
        <v>15.107056357659598</v>
      </c>
      <c r="T346" s="6">
        <f t="shared" si="54"/>
        <v>15.107056357659598</v>
      </c>
    </row>
    <row r="347" spans="1:20">
      <c r="B347">
        <f t="shared" si="62"/>
        <v>344</v>
      </c>
      <c r="C347">
        <f t="shared" si="56"/>
        <v>30</v>
      </c>
      <c r="D347">
        <v>336</v>
      </c>
      <c r="E347">
        <v>366</v>
      </c>
      <c r="F347">
        <f>RnSPLINE!H$15</f>
        <v>10.333333333333334</v>
      </c>
      <c r="G347">
        <f>RnSPLINE!H$16</f>
        <v>30</v>
      </c>
      <c r="H347" s="5">
        <f>RnSPLINE!M$15</f>
        <v>6.0540487188910183E-2</v>
      </c>
      <c r="I347" s="5">
        <f>RnSPLINE!M$16</f>
        <v>-9.2305207581282148E-2</v>
      </c>
      <c r="J347">
        <f t="shared" si="57"/>
        <v>0.73333333333333328</v>
      </c>
      <c r="K347">
        <f t="shared" si="58"/>
        <v>0.26666666666666666</v>
      </c>
      <c r="L347">
        <f t="shared" si="59"/>
        <v>298</v>
      </c>
      <c r="M347" s="6">
        <f t="shared" si="60"/>
        <v>15.577777777777778</v>
      </c>
      <c r="N347" s="13">
        <f t="shared" si="55"/>
        <v>15.929281608615049</v>
      </c>
      <c r="O347" s="6">
        <f t="shared" si="63"/>
        <v>7598.4749999999995</v>
      </c>
      <c r="P347" s="6">
        <f t="shared" si="64"/>
        <v>7542.5675777755641</v>
      </c>
      <c r="Q347" s="6">
        <f t="shared" si="61"/>
        <v>15.929281608615049</v>
      </c>
      <c r="T347" s="6">
        <f t="shared" si="54"/>
        <v>15.929281608615049</v>
      </c>
    </row>
    <row r="348" spans="1:20">
      <c r="B348">
        <f t="shared" si="62"/>
        <v>345</v>
      </c>
      <c r="C348">
        <f t="shared" si="56"/>
        <v>30</v>
      </c>
      <c r="D348">
        <v>336</v>
      </c>
      <c r="E348">
        <v>366</v>
      </c>
      <c r="F348">
        <f>RnSPLINE!H$15</f>
        <v>10.333333333333334</v>
      </c>
      <c r="G348">
        <f>RnSPLINE!H$16</f>
        <v>30</v>
      </c>
      <c r="H348" s="5">
        <f>RnSPLINE!M$15</f>
        <v>6.0540487188910183E-2</v>
      </c>
      <c r="I348" s="5">
        <f>RnSPLINE!M$16</f>
        <v>-9.2305207581282148E-2</v>
      </c>
      <c r="J348">
        <f t="shared" si="57"/>
        <v>0.7</v>
      </c>
      <c r="K348">
        <f t="shared" si="58"/>
        <v>0.3</v>
      </c>
      <c r="L348">
        <f t="shared" si="59"/>
        <v>299</v>
      </c>
      <c r="M348" s="6">
        <f t="shared" si="60"/>
        <v>16.233333333333334</v>
      </c>
      <c r="N348" s="13">
        <f t="shared" si="55"/>
        <v>16.771288494820698</v>
      </c>
      <c r="O348" s="6">
        <f t="shared" si="63"/>
        <v>7614.708333333333</v>
      </c>
      <c r="P348" s="6">
        <f t="shared" si="64"/>
        <v>7559.3388662703846</v>
      </c>
      <c r="Q348" s="6">
        <f t="shared" si="61"/>
        <v>16.771288494820698</v>
      </c>
      <c r="T348" s="6">
        <f t="shared" si="54"/>
        <v>16.771288494820698</v>
      </c>
    </row>
    <row r="349" spans="1:20">
      <c r="B349">
        <f t="shared" si="62"/>
        <v>346</v>
      </c>
      <c r="C349">
        <f t="shared" si="56"/>
        <v>30</v>
      </c>
      <c r="D349">
        <v>336</v>
      </c>
      <c r="E349">
        <v>366</v>
      </c>
      <c r="F349">
        <f>RnSPLINE!H$15</f>
        <v>10.333333333333334</v>
      </c>
      <c r="G349">
        <f>RnSPLINE!H$16</f>
        <v>30</v>
      </c>
      <c r="H349" s="5">
        <f>RnSPLINE!M$15</f>
        <v>6.0540487188910183E-2</v>
      </c>
      <c r="I349" s="5">
        <f>RnSPLINE!M$16</f>
        <v>-9.2305207581282148E-2</v>
      </c>
      <c r="J349">
        <f t="shared" si="57"/>
        <v>0.66666666666666663</v>
      </c>
      <c r="K349">
        <f t="shared" si="58"/>
        <v>0.33333333333333331</v>
      </c>
      <c r="L349">
        <f t="shared" si="59"/>
        <v>300</v>
      </c>
      <c r="M349" s="6">
        <f t="shared" si="60"/>
        <v>16.888888888888889</v>
      </c>
      <c r="N349" s="13">
        <f t="shared" si="55"/>
        <v>17.627982159784196</v>
      </c>
      <c r="O349" s="6">
        <f t="shared" si="63"/>
        <v>7631.5972222222217</v>
      </c>
      <c r="P349" s="6">
        <f t="shared" si="64"/>
        <v>7576.9668484301692</v>
      </c>
      <c r="Q349" s="6">
        <f t="shared" si="61"/>
        <v>17.627982159784196</v>
      </c>
      <c r="T349" s="6">
        <f t="shared" si="54"/>
        <v>17.627982159784196</v>
      </c>
    </row>
    <row r="350" spans="1:20">
      <c r="B350">
        <f t="shared" si="62"/>
        <v>347</v>
      </c>
      <c r="C350">
        <f t="shared" si="56"/>
        <v>30</v>
      </c>
      <c r="D350">
        <v>336</v>
      </c>
      <c r="E350">
        <v>366</v>
      </c>
      <c r="F350">
        <f>RnSPLINE!H$15</f>
        <v>10.333333333333334</v>
      </c>
      <c r="G350">
        <f>RnSPLINE!H$16</f>
        <v>30</v>
      </c>
      <c r="H350" s="5">
        <f>RnSPLINE!M$15</f>
        <v>6.0540487188910183E-2</v>
      </c>
      <c r="I350" s="5">
        <f>RnSPLINE!M$16</f>
        <v>-9.2305207581282148E-2</v>
      </c>
      <c r="J350">
        <f t="shared" si="57"/>
        <v>0.6333333333333333</v>
      </c>
      <c r="K350">
        <f t="shared" si="58"/>
        <v>0.36666666666666664</v>
      </c>
      <c r="L350">
        <f t="shared" si="59"/>
        <v>301</v>
      </c>
      <c r="M350" s="6">
        <f t="shared" si="60"/>
        <v>17.544444444444444</v>
      </c>
      <c r="N350" s="13">
        <f t="shared" si="55"/>
        <v>18.494267747013208</v>
      </c>
      <c r="O350" s="6">
        <f t="shared" si="63"/>
        <v>7649.1416666666664</v>
      </c>
      <c r="P350" s="6">
        <f t="shared" si="64"/>
        <v>7595.4611161771827</v>
      </c>
      <c r="Q350" s="6">
        <f t="shared" si="61"/>
        <v>18.494267747013208</v>
      </c>
      <c r="T350" s="6">
        <f t="shared" si="54"/>
        <v>18.494267747013208</v>
      </c>
    </row>
    <row r="351" spans="1:20">
      <c r="B351">
        <f t="shared" si="62"/>
        <v>348</v>
      </c>
      <c r="C351">
        <f t="shared" si="56"/>
        <v>30</v>
      </c>
      <c r="D351">
        <v>336</v>
      </c>
      <c r="E351">
        <v>366</v>
      </c>
      <c r="F351">
        <f>RnSPLINE!H$15</f>
        <v>10.333333333333334</v>
      </c>
      <c r="G351">
        <f>RnSPLINE!H$16</f>
        <v>30</v>
      </c>
      <c r="H351" s="5">
        <f>RnSPLINE!M$15</f>
        <v>6.0540487188910183E-2</v>
      </c>
      <c r="I351" s="5">
        <f>RnSPLINE!M$16</f>
        <v>-9.2305207581282148E-2</v>
      </c>
      <c r="J351">
        <f t="shared" si="57"/>
        <v>0.6</v>
      </c>
      <c r="K351">
        <f t="shared" si="58"/>
        <v>0.4</v>
      </c>
      <c r="L351">
        <f t="shared" si="59"/>
        <v>302</v>
      </c>
      <c r="M351" s="6">
        <f t="shared" si="60"/>
        <v>18.2</v>
      </c>
      <c r="N351" s="13">
        <f t="shared" si="55"/>
        <v>19.365050400015392</v>
      </c>
      <c r="O351" s="6">
        <f t="shared" si="63"/>
        <v>7667.3416666666662</v>
      </c>
      <c r="P351" s="6">
        <f t="shared" si="64"/>
        <v>7614.8261665771979</v>
      </c>
      <c r="Q351" s="6">
        <f t="shared" si="61"/>
        <v>19.365050400015392</v>
      </c>
      <c r="T351" s="6">
        <f t="shared" si="54"/>
        <v>19.365050400015392</v>
      </c>
    </row>
    <row r="352" spans="1:20">
      <c r="B352">
        <f t="shared" si="62"/>
        <v>349</v>
      </c>
      <c r="C352">
        <f t="shared" si="56"/>
        <v>30</v>
      </c>
      <c r="D352">
        <v>336</v>
      </c>
      <c r="E352">
        <v>366</v>
      </c>
      <c r="F352">
        <f>RnSPLINE!H$15</f>
        <v>10.333333333333334</v>
      </c>
      <c r="G352">
        <f>RnSPLINE!H$16</f>
        <v>30</v>
      </c>
      <c r="H352" s="5">
        <f>RnSPLINE!M$15</f>
        <v>6.0540487188910183E-2</v>
      </c>
      <c r="I352" s="5">
        <f>RnSPLINE!M$16</f>
        <v>-9.2305207581282148E-2</v>
      </c>
      <c r="J352">
        <f t="shared" si="57"/>
        <v>0.56666666666666665</v>
      </c>
      <c r="K352">
        <f t="shared" si="58"/>
        <v>0.43333333333333335</v>
      </c>
      <c r="L352">
        <f t="shared" si="59"/>
        <v>303</v>
      </c>
      <c r="M352" s="6">
        <f t="shared" si="60"/>
        <v>18.855555555555554</v>
      </c>
      <c r="N352" s="13">
        <f t="shared" si="55"/>
        <v>20.23523526229841</v>
      </c>
      <c r="O352" s="6">
        <f t="shared" si="63"/>
        <v>7686.1972222222221</v>
      </c>
      <c r="P352" s="6">
        <f t="shared" si="64"/>
        <v>7635.0614018394963</v>
      </c>
      <c r="Q352" s="6">
        <f t="shared" si="61"/>
        <v>20.23523526229841</v>
      </c>
      <c r="T352" s="6">
        <f t="shared" si="54"/>
        <v>20.23523526229841</v>
      </c>
    </row>
    <row r="353" spans="2:20">
      <c r="B353">
        <f t="shared" si="62"/>
        <v>350</v>
      </c>
      <c r="C353">
        <f t="shared" si="56"/>
        <v>30</v>
      </c>
      <c r="D353">
        <v>336</v>
      </c>
      <c r="E353">
        <v>366</v>
      </c>
      <c r="F353">
        <f>RnSPLINE!H$15</f>
        <v>10.333333333333334</v>
      </c>
      <c r="G353">
        <f>RnSPLINE!H$16</f>
        <v>30</v>
      </c>
      <c r="H353" s="5">
        <f>RnSPLINE!M$15</f>
        <v>6.0540487188910183E-2</v>
      </c>
      <c r="I353" s="5">
        <f>RnSPLINE!M$16</f>
        <v>-9.2305207581282148E-2</v>
      </c>
      <c r="J353">
        <f t="shared" si="57"/>
        <v>0.53333333333333333</v>
      </c>
      <c r="K353">
        <f t="shared" si="58"/>
        <v>0.46666666666666667</v>
      </c>
      <c r="L353">
        <f t="shared" si="59"/>
        <v>304</v>
      </c>
      <c r="M353" s="6">
        <f t="shared" si="60"/>
        <v>19.511111111111113</v>
      </c>
      <c r="N353" s="13">
        <f t="shared" si="55"/>
        <v>21.099727477369925</v>
      </c>
      <c r="O353" s="6">
        <f t="shared" si="63"/>
        <v>7705.708333333333</v>
      </c>
      <c r="P353" s="6">
        <f t="shared" si="64"/>
        <v>7656.1611293168662</v>
      </c>
      <c r="Q353" s="6">
        <f t="shared" si="61"/>
        <v>21.099727477369925</v>
      </c>
      <c r="T353" s="6">
        <f t="shared" si="54"/>
        <v>21.099727477369925</v>
      </c>
    </row>
    <row r="354" spans="2:20">
      <c r="B354">
        <f t="shared" si="62"/>
        <v>351</v>
      </c>
      <c r="C354">
        <f t="shared" si="56"/>
        <v>30</v>
      </c>
      <c r="D354">
        <v>336</v>
      </c>
      <c r="E354">
        <v>366</v>
      </c>
      <c r="F354">
        <f>RnSPLINE!H$15</f>
        <v>10.333333333333334</v>
      </c>
      <c r="G354">
        <f>RnSPLINE!H$16</f>
        <v>30</v>
      </c>
      <c r="H354" s="5">
        <f>RnSPLINE!M$15</f>
        <v>6.0540487188910183E-2</v>
      </c>
      <c r="I354" s="5">
        <f>RnSPLINE!M$16</f>
        <v>-9.2305207581282148E-2</v>
      </c>
      <c r="J354">
        <f t="shared" si="57"/>
        <v>0.5</v>
      </c>
      <c r="K354">
        <f t="shared" si="58"/>
        <v>0.5</v>
      </c>
      <c r="L354">
        <f t="shared" si="59"/>
        <v>305</v>
      </c>
      <c r="M354" s="6">
        <f t="shared" si="60"/>
        <v>20.166666666666668</v>
      </c>
      <c r="N354" s="13">
        <f t="shared" si="55"/>
        <v>21.95343218873759</v>
      </c>
      <c r="O354" s="6">
        <f t="shared" si="63"/>
        <v>7725.875</v>
      </c>
      <c r="P354" s="6">
        <f t="shared" si="64"/>
        <v>7678.1145615056039</v>
      </c>
      <c r="Q354" s="6">
        <f t="shared" si="61"/>
        <v>21.95343218873759</v>
      </c>
      <c r="T354" s="6">
        <f t="shared" si="54"/>
        <v>21.95343218873759</v>
      </c>
    </row>
    <row r="355" spans="2:20">
      <c r="B355">
        <f t="shared" si="62"/>
        <v>352</v>
      </c>
      <c r="C355">
        <f t="shared" si="56"/>
        <v>30</v>
      </c>
      <c r="D355">
        <v>336</v>
      </c>
      <c r="E355">
        <v>366</v>
      </c>
      <c r="F355">
        <f>RnSPLINE!H$15</f>
        <v>10.333333333333334</v>
      </c>
      <c r="G355">
        <f>RnSPLINE!H$16</f>
        <v>30</v>
      </c>
      <c r="H355" s="5">
        <f>RnSPLINE!M$15</f>
        <v>6.0540487188910183E-2</v>
      </c>
      <c r="I355" s="5">
        <f>RnSPLINE!M$16</f>
        <v>-9.2305207581282148E-2</v>
      </c>
      <c r="J355">
        <f t="shared" si="57"/>
        <v>0.46666666666666667</v>
      </c>
      <c r="K355">
        <f t="shared" si="58"/>
        <v>0.53333333333333333</v>
      </c>
      <c r="L355">
        <f t="shared" si="59"/>
        <v>306</v>
      </c>
      <c r="M355" s="6">
        <f t="shared" si="60"/>
        <v>20.822222222222223</v>
      </c>
      <c r="N355" s="13">
        <f t="shared" si="55"/>
        <v>22.791254539909069</v>
      </c>
      <c r="O355" s="6">
        <f t="shared" si="63"/>
        <v>7746.6972222222221</v>
      </c>
      <c r="P355" s="6">
        <f t="shared" si="64"/>
        <v>7700.9058160455133</v>
      </c>
      <c r="Q355" s="6">
        <f t="shared" si="61"/>
        <v>22.791254539909069</v>
      </c>
      <c r="T355" s="6">
        <f t="shared" si="54"/>
        <v>22.791254539909069</v>
      </c>
    </row>
    <row r="356" spans="2:20">
      <c r="B356">
        <f t="shared" si="62"/>
        <v>353</v>
      </c>
      <c r="C356">
        <f t="shared" si="56"/>
        <v>30</v>
      </c>
      <c r="D356">
        <v>336</v>
      </c>
      <c r="E356">
        <v>366</v>
      </c>
      <c r="F356">
        <f>RnSPLINE!H$15</f>
        <v>10.333333333333334</v>
      </c>
      <c r="G356">
        <f>RnSPLINE!H$16</f>
        <v>30</v>
      </c>
      <c r="H356" s="5">
        <f>RnSPLINE!M$15</f>
        <v>6.0540487188910183E-2</v>
      </c>
      <c r="I356" s="5">
        <f>RnSPLINE!M$16</f>
        <v>-9.2305207581282148E-2</v>
      </c>
      <c r="J356">
        <f t="shared" si="57"/>
        <v>0.43333333333333335</v>
      </c>
      <c r="K356">
        <f t="shared" si="58"/>
        <v>0.56666666666666665</v>
      </c>
      <c r="L356">
        <f t="shared" si="59"/>
        <v>307</v>
      </c>
      <c r="M356" s="6">
        <f t="shared" si="60"/>
        <v>21.477777777777778</v>
      </c>
      <c r="N356" s="13">
        <f t="shared" si="55"/>
        <v>23.608099674392022</v>
      </c>
      <c r="O356" s="6">
        <f t="shared" si="63"/>
        <v>7768.1750000000002</v>
      </c>
      <c r="P356" s="6">
        <f t="shared" si="64"/>
        <v>7724.5139157199055</v>
      </c>
      <c r="Q356" s="6">
        <f t="shared" si="61"/>
        <v>23.608099674392022</v>
      </c>
      <c r="T356" s="6">
        <f t="shared" si="54"/>
        <v>23.608099674392022</v>
      </c>
    </row>
    <row r="357" spans="2:20">
      <c r="B357">
        <f t="shared" si="62"/>
        <v>354</v>
      </c>
      <c r="C357">
        <f t="shared" si="56"/>
        <v>30</v>
      </c>
      <c r="D357">
        <v>336</v>
      </c>
      <c r="E357">
        <v>366</v>
      </c>
      <c r="F357">
        <f>RnSPLINE!H$15</f>
        <v>10.333333333333334</v>
      </c>
      <c r="G357">
        <f>RnSPLINE!H$16</f>
        <v>30</v>
      </c>
      <c r="H357" s="5">
        <f>RnSPLINE!M$15</f>
        <v>6.0540487188910183E-2</v>
      </c>
      <c r="I357" s="5">
        <f>RnSPLINE!M$16</f>
        <v>-9.2305207581282148E-2</v>
      </c>
      <c r="J357">
        <f t="shared" si="57"/>
        <v>0.4</v>
      </c>
      <c r="K357">
        <f t="shared" si="58"/>
        <v>0.6</v>
      </c>
      <c r="L357">
        <f t="shared" si="59"/>
        <v>308</v>
      </c>
      <c r="M357" s="6">
        <f t="shared" si="60"/>
        <v>22.133333333333333</v>
      </c>
      <c r="N357" s="13">
        <f t="shared" si="55"/>
        <v>24.398872735694109</v>
      </c>
      <c r="O357" s="6">
        <f t="shared" si="63"/>
        <v>7790.3083333333334</v>
      </c>
      <c r="P357" s="6">
        <f t="shared" si="64"/>
        <v>7748.9127884555992</v>
      </c>
      <c r="Q357" s="6">
        <f t="shared" si="61"/>
        <v>24.398872735694109</v>
      </c>
      <c r="T357" s="6">
        <f t="shared" si="54"/>
        <v>24.398872735694109</v>
      </c>
    </row>
    <row r="358" spans="2:20">
      <c r="B358">
        <f t="shared" si="62"/>
        <v>355</v>
      </c>
      <c r="C358">
        <f t="shared" si="56"/>
        <v>30</v>
      </c>
      <c r="D358">
        <v>336</v>
      </c>
      <c r="E358">
        <v>366</v>
      </c>
      <c r="F358">
        <f>RnSPLINE!H$15</f>
        <v>10.333333333333334</v>
      </c>
      <c r="G358">
        <f>RnSPLINE!H$16</f>
        <v>30</v>
      </c>
      <c r="H358" s="5">
        <f>RnSPLINE!M$15</f>
        <v>6.0540487188910183E-2</v>
      </c>
      <c r="I358" s="5">
        <f>RnSPLINE!M$16</f>
        <v>-9.2305207581282148E-2</v>
      </c>
      <c r="J358">
        <f t="shared" si="57"/>
        <v>0.36666666666666664</v>
      </c>
      <c r="K358">
        <f t="shared" si="58"/>
        <v>0.6333333333333333</v>
      </c>
      <c r="L358">
        <f t="shared" si="59"/>
        <v>309</v>
      </c>
      <c r="M358" s="6">
        <f t="shared" si="60"/>
        <v>22.788888888888888</v>
      </c>
      <c r="N358" s="13">
        <f t="shared" si="55"/>
        <v>25.158478867322994</v>
      </c>
      <c r="O358" s="6">
        <f t="shared" si="63"/>
        <v>7813.0972222222226</v>
      </c>
      <c r="P358" s="6">
        <f t="shared" si="64"/>
        <v>7774.0712673229218</v>
      </c>
      <c r="Q358" s="6">
        <f t="shared" si="61"/>
        <v>25.158478867322994</v>
      </c>
      <c r="T358" s="6">
        <f t="shared" si="54"/>
        <v>25.158478867322994</v>
      </c>
    </row>
    <row r="359" spans="2:20">
      <c r="B359">
        <f t="shared" si="62"/>
        <v>356</v>
      </c>
      <c r="C359">
        <f t="shared" si="56"/>
        <v>30</v>
      </c>
      <c r="D359">
        <v>336</v>
      </c>
      <c r="E359">
        <v>366</v>
      </c>
      <c r="F359">
        <f>RnSPLINE!H$15</f>
        <v>10.333333333333334</v>
      </c>
      <c r="G359">
        <f>RnSPLINE!H$16</f>
        <v>30</v>
      </c>
      <c r="H359" s="5">
        <f>RnSPLINE!M$15</f>
        <v>6.0540487188910183E-2</v>
      </c>
      <c r="I359" s="5">
        <f>RnSPLINE!M$16</f>
        <v>-9.2305207581282148E-2</v>
      </c>
      <c r="J359">
        <f t="shared" si="57"/>
        <v>0.33333333333333331</v>
      </c>
      <c r="K359">
        <f t="shared" si="58"/>
        <v>0.66666666666666663</v>
      </c>
      <c r="L359">
        <f t="shared" si="59"/>
        <v>310</v>
      </c>
      <c r="M359" s="6">
        <f t="shared" si="60"/>
        <v>23.444444444444443</v>
      </c>
      <c r="N359" s="13">
        <f t="shared" si="55"/>
        <v>25.881823212786333</v>
      </c>
      <c r="O359" s="6">
        <f t="shared" si="63"/>
        <v>7836.541666666667</v>
      </c>
      <c r="P359" s="6">
        <f t="shared" si="64"/>
        <v>7799.9530905357078</v>
      </c>
      <c r="Q359" s="6">
        <f t="shared" si="61"/>
        <v>25.881823212786333</v>
      </c>
      <c r="T359" s="6">
        <f t="shared" si="54"/>
        <v>25.881823212786333</v>
      </c>
    </row>
    <row r="360" spans="2:20">
      <c r="B360">
        <f t="shared" si="62"/>
        <v>357</v>
      </c>
      <c r="C360">
        <f t="shared" si="56"/>
        <v>30</v>
      </c>
      <c r="D360">
        <v>336</v>
      </c>
      <c r="E360">
        <v>366</v>
      </c>
      <c r="F360">
        <f>RnSPLINE!H$15</f>
        <v>10.333333333333334</v>
      </c>
      <c r="G360">
        <f>RnSPLINE!H$16</f>
        <v>30</v>
      </c>
      <c r="H360" s="5">
        <f>RnSPLINE!M$15</f>
        <v>6.0540487188910183E-2</v>
      </c>
      <c r="I360" s="5">
        <f>RnSPLINE!M$16</f>
        <v>-9.2305207581282148E-2</v>
      </c>
      <c r="J360">
        <f t="shared" si="57"/>
        <v>0.3</v>
      </c>
      <c r="K360">
        <f t="shared" si="58"/>
        <v>0.7</v>
      </c>
      <c r="L360">
        <f t="shared" si="59"/>
        <v>311</v>
      </c>
      <c r="M360" s="6">
        <f t="shared" si="60"/>
        <v>24.1</v>
      </c>
      <c r="N360" s="13">
        <f t="shared" si="55"/>
        <v>26.563810915591787</v>
      </c>
      <c r="O360" s="6">
        <f t="shared" si="63"/>
        <v>7860.6416666666673</v>
      </c>
      <c r="P360" s="6">
        <f t="shared" si="64"/>
        <v>7826.5169014512994</v>
      </c>
      <c r="Q360" s="6">
        <f t="shared" si="61"/>
        <v>26.563810915591787</v>
      </c>
      <c r="T360" s="6">
        <f t="shared" si="54"/>
        <v>26.563810915591787</v>
      </c>
    </row>
    <row r="361" spans="2:20">
      <c r="B361">
        <f t="shared" si="62"/>
        <v>358</v>
      </c>
      <c r="C361">
        <f t="shared" si="56"/>
        <v>30</v>
      </c>
      <c r="D361">
        <v>336</v>
      </c>
      <c r="E361">
        <v>366</v>
      </c>
      <c r="F361">
        <f>RnSPLINE!H$15</f>
        <v>10.333333333333334</v>
      </c>
      <c r="G361">
        <f>RnSPLINE!H$16</f>
        <v>30</v>
      </c>
      <c r="H361" s="5">
        <f>RnSPLINE!M$15</f>
        <v>6.0540487188910183E-2</v>
      </c>
      <c r="I361" s="5">
        <f>RnSPLINE!M$16</f>
        <v>-9.2305207581282148E-2</v>
      </c>
      <c r="J361">
        <f t="shared" si="57"/>
        <v>0.26666666666666666</v>
      </c>
      <c r="K361">
        <f t="shared" si="58"/>
        <v>0.73333333333333328</v>
      </c>
      <c r="L361">
        <f t="shared" si="59"/>
        <v>312</v>
      </c>
      <c r="M361" s="6">
        <f t="shared" si="60"/>
        <v>24.755555555555556</v>
      </c>
      <c r="N361" s="13">
        <f t="shared" si="55"/>
        <v>27.199347119247019</v>
      </c>
      <c r="O361" s="6">
        <f t="shared" si="63"/>
        <v>7885.3972222222228</v>
      </c>
      <c r="P361" s="6">
        <f t="shared" si="64"/>
        <v>7853.7162485705467</v>
      </c>
      <c r="Q361" s="6">
        <f t="shared" si="61"/>
        <v>27.199347119247019</v>
      </c>
      <c r="T361" s="6">
        <f t="shared" si="54"/>
        <v>27.199347119247019</v>
      </c>
    </row>
    <row r="362" spans="2:20">
      <c r="B362">
        <f t="shared" si="62"/>
        <v>359</v>
      </c>
      <c r="C362">
        <f t="shared" si="56"/>
        <v>30</v>
      </c>
      <c r="D362">
        <v>336</v>
      </c>
      <c r="E362">
        <v>366</v>
      </c>
      <c r="F362">
        <f>RnSPLINE!H$15</f>
        <v>10.333333333333334</v>
      </c>
      <c r="G362">
        <f>RnSPLINE!H$16</f>
        <v>30</v>
      </c>
      <c r="H362" s="5">
        <f>RnSPLINE!M$15</f>
        <v>6.0540487188910183E-2</v>
      </c>
      <c r="I362" s="5">
        <f>RnSPLINE!M$16</f>
        <v>-9.2305207581282148E-2</v>
      </c>
      <c r="J362">
        <f t="shared" si="57"/>
        <v>0.23333333333333334</v>
      </c>
      <c r="K362">
        <f t="shared" si="58"/>
        <v>0.76666666666666672</v>
      </c>
      <c r="L362">
        <f t="shared" si="59"/>
        <v>313</v>
      </c>
      <c r="M362" s="6">
        <f t="shared" si="60"/>
        <v>25.411111111111111</v>
      </c>
      <c r="N362" s="13">
        <f t="shared" si="55"/>
        <v>27.783336967259682</v>
      </c>
      <c r="O362" s="6">
        <f t="shared" si="63"/>
        <v>7910.8083333333343</v>
      </c>
      <c r="P362" s="6">
        <f t="shared" si="64"/>
        <v>7881.4995855378065</v>
      </c>
      <c r="Q362" s="6">
        <f t="shared" si="61"/>
        <v>27.783336967259682</v>
      </c>
      <c r="T362" s="6">
        <f t="shared" si="54"/>
        <v>27.783336967259682</v>
      </c>
    </row>
    <row r="363" spans="2:20">
      <c r="B363">
        <f t="shared" si="62"/>
        <v>360</v>
      </c>
      <c r="C363">
        <f t="shared" si="56"/>
        <v>30</v>
      </c>
      <c r="D363">
        <v>336</v>
      </c>
      <c r="E363">
        <v>366</v>
      </c>
      <c r="F363">
        <f>RnSPLINE!H$15</f>
        <v>10.333333333333334</v>
      </c>
      <c r="G363">
        <f>RnSPLINE!H$16</f>
        <v>30</v>
      </c>
      <c r="H363" s="5">
        <f>RnSPLINE!M$15</f>
        <v>6.0540487188910183E-2</v>
      </c>
      <c r="I363" s="5">
        <f>RnSPLINE!M$16</f>
        <v>-9.2305207581282148E-2</v>
      </c>
      <c r="J363">
        <f t="shared" si="57"/>
        <v>0.2</v>
      </c>
      <c r="K363">
        <f t="shared" si="58"/>
        <v>0.8</v>
      </c>
      <c r="L363">
        <f t="shared" si="59"/>
        <v>314</v>
      </c>
      <c r="M363" s="6">
        <f t="shared" si="60"/>
        <v>26.066666666666666</v>
      </c>
      <c r="N363" s="13">
        <f t="shared" si="55"/>
        <v>28.31068560313744</v>
      </c>
      <c r="O363" s="6">
        <f t="shared" si="63"/>
        <v>7936.8750000000009</v>
      </c>
      <c r="P363" s="6">
        <f t="shared" si="64"/>
        <v>7909.8102711409438</v>
      </c>
      <c r="Q363" s="6">
        <f t="shared" si="61"/>
        <v>28.31068560313744</v>
      </c>
      <c r="T363" s="6">
        <f t="shared" si="54"/>
        <v>28.31068560313744</v>
      </c>
    </row>
    <row r="364" spans="2:20">
      <c r="B364">
        <f t="shared" si="62"/>
        <v>361</v>
      </c>
      <c r="C364">
        <f t="shared" si="56"/>
        <v>30</v>
      </c>
      <c r="D364">
        <v>336</v>
      </c>
      <c r="E364">
        <v>366</v>
      </c>
      <c r="F364">
        <f>RnSPLINE!H$15</f>
        <v>10.333333333333334</v>
      </c>
      <c r="G364">
        <f>RnSPLINE!H$16</f>
        <v>30</v>
      </c>
      <c r="H364" s="5">
        <f>RnSPLINE!M$15</f>
        <v>6.0540487188910183E-2</v>
      </c>
      <c r="I364" s="5">
        <f>RnSPLINE!M$16</f>
        <v>-9.2305207581282148E-2</v>
      </c>
      <c r="J364">
        <f t="shared" si="57"/>
        <v>0.16666666666666666</v>
      </c>
      <c r="K364">
        <f t="shared" si="58"/>
        <v>0.83333333333333337</v>
      </c>
      <c r="L364">
        <f t="shared" si="59"/>
        <v>315</v>
      </c>
      <c r="M364" s="6">
        <f t="shared" si="60"/>
        <v>26.722222222222221</v>
      </c>
      <c r="N364" s="13">
        <f t="shared" si="55"/>
        <v>28.776298170387957</v>
      </c>
      <c r="O364" s="6">
        <f t="shared" si="63"/>
        <v>7963.5972222222235</v>
      </c>
      <c r="P364" s="6">
        <f t="shared" si="64"/>
        <v>7938.5865693113319</v>
      </c>
      <c r="Q364" s="6">
        <f t="shared" si="61"/>
        <v>28.776298170387957</v>
      </c>
      <c r="T364" s="6">
        <f t="shared" si="54"/>
        <v>28.776298170387957</v>
      </c>
    </row>
    <row r="365" spans="2:20">
      <c r="B365">
        <f t="shared" si="62"/>
        <v>362</v>
      </c>
      <c r="C365">
        <f t="shared" si="56"/>
        <v>30</v>
      </c>
      <c r="D365">
        <v>336</v>
      </c>
      <c r="E365">
        <v>366</v>
      </c>
      <c r="F365">
        <f>RnSPLINE!H$15</f>
        <v>10.333333333333334</v>
      </c>
      <c r="G365">
        <f>RnSPLINE!H$16</f>
        <v>30</v>
      </c>
      <c r="H365" s="5">
        <f>RnSPLINE!M$15</f>
        <v>6.0540487188910183E-2</v>
      </c>
      <c r="I365" s="5">
        <f>RnSPLINE!M$16</f>
        <v>-9.2305207581282148E-2</v>
      </c>
      <c r="J365">
        <f t="shared" si="57"/>
        <v>0.13333333333333333</v>
      </c>
      <c r="K365">
        <f t="shared" si="58"/>
        <v>0.8666666666666667</v>
      </c>
      <c r="L365">
        <f t="shared" si="59"/>
        <v>316</v>
      </c>
      <c r="M365" s="6">
        <f t="shared" si="60"/>
        <v>27.377777777777776</v>
      </c>
      <c r="N365" s="13">
        <f t="shared" si="55"/>
        <v>29.175079812518891</v>
      </c>
      <c r="O365" s="6">
        <f t="shared" si="63"/>
        <v>7990.9750000000013</v>
      </c>
      <c r="P365" s="6">
        <f t="shared" si="64"/>
        <v>7967.7616491238505</v>
      </c>
      <c r="Q365" s="6">
        <f t="shared" si="61"/>
        <v>29.175079812518891</v>
      </c>
      <c r="T365" s="6">
        <f t="shared" si="54"/>
        <v>29.175079812518891</v>
      </c>
    </row>
    <row r="366" spans="2:20">
      <c r="B366">
        <f t="shared" si="62"/>
        <v>363</v>
      </c>
      <c r="C366">
        <f t="shared" si="56"/>
        <v>30</v>
      </c>
      <c r="D366">
        <v>336</v>
      </c>
      <c r="E366">
        <v>366</v>
      </c>
      <c r="F366">
        <f>RnSPLINE!H$15</f>
        <v>10.333333333333334</v>
      </c>
      <c r="G366">
        <f>RnSPLINE!H$16</f>
        <v>30</v>
      </c>
      <c r="H366" s="5">
        <f>RnSPLINE!M$15</f>
        <v>6.0540487188910183E-2</v>
      </c>
      <c r="I366" s="5">
        <f>RnSPLINE!M$16</f>
        <v>-9.2305207581282148E-2</v>
      </c>
      <c r="J366">
        <f t="shared" si="57"/>
        <v>0.1</v>
      </c>
      <c r="K366">
        <f t="shared" si="58"/>
        <v>0.9</v>
      </c>
      <c r="L366">
        <f t="shared" si="59"/>
        <v>317</v>
      </c>
      <c r="M366" s="6">
        <f t="shared" si="60"/>
        <v>28.033333333333335</v>
      </c>
      <c r="N366" s="13">
        <f t="shared" si="55"/>
        <v>29.501935673037906</v>
      </c>
      <c r="O366" s="6">
        <f t="shared" si="63"/>
        <v>8019.008333333335</v>
      </c>
      <c r="P366" s="6">
        <f t="shared" si="64"/>
        <v>7997.2635847968886</v>
      </c>
      <c r="Q366" s="6">
        <f t="shared" si="61"/>
        <v>29.501935673037906</v>
      </c>
      <c r="T366" s="6">
        <f t="shared" si="54"/>
        <v>29.501935673037906</v>
      </c>
    </row>
    <row r="367" spans="2:20">
      <c r="B367">
        <f t="shared" si="62"/>
        <v>364</v>
      </c>
      <c r="C367">
        <f t="shared" si="56"/>
        <v>30</v>
      </c>
      <c r="D367">
        <v>336</v>
      </c>
      <c r="E367">
        <v>366</v>
      </c>
      <c r="F367">
        <f>RnSPLINE!H$15</f>
        <v>10.333333333333334</v>
      </c>
      <c r="G367">
        <f>RnSPLINE!H$16</f>
        <v>30</v>
      </c>
      <c r="H367" s="5">
        <f>RnSPLINE!M$15</f>
        <v>6.0540487188910183E-2</v>
      </c>
      <c r="I367" s="5">
        <f>RnSPLINE!M$16</f>
        <v>-9.2305207581282148E-2</v>
      </c>
      <c r="J367">
        <f t="shared" si="57"/>
        <v>6.6666666666666666E-2</v>
      </c>
      <c r="K367">
        <f t="shared" si="58"/>
        <v>0.93333333333333335</v>
      </c>
      <c r="L367">
        <f t="shared" si="59"/>
        <v>318</v>
      </c>
      <c r="M367" s="6">
        <f t="shared" si="60"/>
        <v>28.68888888888889</v>
      </c>
      <c r="N367" s="13">
        <f t="shared" si="55"/>
        <v>29.751770895452651</v>
      </c>
      <c r="O367" s="6">
        <f t="shared" si="63"/>
        <v>8047.6972222222239</v>
      </c>
      <c r="P367" s="6">
        <f t="shared" si="64"/>
        <v>8027.0153556923415</v>
      </c>
      <c r="Q367" s="6">
        <f t="shared" si="61"/>
        <v>29.751770895452651</v>
      </c>
      <c r="T367" s="6">
        <f t="shared" si="54"/>
        <v>29.751770895452651</v>
      </c>
    </row>
    <row r="368" spans="2:20">
      <c r="B368">
        <f t="shared" si="62"/>
        <v>365</v>
      </c>
      <c r="C368">
        <f t="shared" si="56"/>
        <v>30</v>
      </c>
      <c r="D368">
        <v>336</v>
      </c>
      <c r="E368">
        <v>366</v>
      </c>
      <c r="F368">
        <f>RnSPLINE!H$15</f>
        <v>10.333333333333334</v>
      </c>
      <c r="G368">
        <f>RnSPLINE!H$16</f>
        <v>30</v>
      </c>
      <c r="H368" s="5">
        <f>RnSPLINE!M$15</f>
        <v>6.0540487188910183E-2</v>
      </c>
      <c r="I368" s="5">
        <f>RnSPLINE!M$16</f>
        <v>-9.2305207581282148E-2</v>
      </c>
      <c r="J368">
        <f t="shared" si="57"/>
        <v>3.3333333333333333E-2</v>
      </c>
      <c r="K368">
        <f t="shared" si="58"/>
        <v>0.96666666666666667</v>
      </c>
      <c r="L368">
        <f t="shared" si="59"/>
        <v>319</v>
      </c>
      <c r="M368" s="6">
        <f t="shared" si="60"/>
        <v>29.344444444444445</v>
      </c>
      <c r="N368" s="13">
        <f t="shared" si="55"/>
        <v>29.9194906232708</v>
      </c>
      <c r="O368" s="6">
        <f t="shared" si="63"/>
        <v>8077.0416666666688</v>
      </c>
      <c r="P368" s="6">
        <f t="shared" si="64"/>
        <v>8056.934846315612</v>
      </c>
      <c r="Q368" s="6">
        <f t="shared" si="61"/>
        <v>29.9194906232708</v>
      </c>
      <c r="T368" s="6">
        <f t="shared" si="54"/>
        <v>29.9194906232708</v>
      </c>
    </row>
    <row r="369" spans="1:20">
      <c r="A369">
        <v>366</v>
      </c>
      <c r="B369">
        <f t="shared" si="62"/>
        <v>366</v>
      </c>
      <c r="C369">
        <f t="shared" si="56"/>
        <v>30</v>
      </c>
      <c r="D369">
        <v>336</v>
      </c>
      <c r="E369">
        <v>366</v>
      </c>
      <c r="F369">
        <f>RnSPLINE!H$15</f>
        <v>10.333333333333334</v>
      </c>
      <c r="G369">
        <f>RnSPLINE!H$16</f>
        <v>30</v>
      </c>
      <c r="H369" s="5">
        <f>RnSPLINE!M$15</f>
        <v>6.0540487188910183E-2</v>
      </c>
      <c r="I369" s="5">
        <f>RnSPLINE!M$16</f>
        <v>-9.2305207581282148E-2</v>
      </c>
      <c r="J369">
        <f t="shared" si="57"/>
        <v>0</v>
      </c>
      <c r="K369">
        <f t="shared" si="58"/>
        <v>1</v>
      </c>
      <c r="L369">
        <f t="shared" si="59"/>
        <v>320</v>
      </c>
      <c r="M369" s="6">
        <f t="shared" si="60"/>
        <v>30</v>
      </c>
      <c r="N369" s="13">
        <f t="shared" si="55"/>
        <v>30</v>
      </c>
      <c r="O369" s="6">
        <f t="shared" si="63"/>
        <v>8107.0416666666688</v>
      </c>
      <c r="P369" s="6">
        <f t="shared" si="64"/>
        <v>8086.934846315612</v>
      </c>
      <c r="Q369" s="6">
        <f t="shared" si="61"/>
        <v>30</v>
      </c>
      <c r="T369" s="6">
        <f t="shared" si="54"/>
        <v>30</v>
      </c>
    </row>
    <row r="370" spans="1:20">
      <c r="B370">
        <f t="shared" si="62"/>
        <v>367</v>
      </c>
      <c r="C370">
        <f t="shared" si="56"/>
        <v>31</v>
      </c>
      <c r="D370">
        <v>366</v>
      </c>
      <c r="E370">
        <v>397</v>
      </c>
      <c r="F370">
        <f>RnSPLINE!H$16</f>
        <v>30</v>
      </c>
      <c r="G370">
        <f>RnSPLINE!H$17</f>
        <v>15.5</v>
      </c>
      <c r="H370" s="5">
        <f>RnSPLINE!M$16</f>
        <v>-9.2305207581282148E-2</v>
      </c>
      <c r="I370" s="5">
        <f>RnSPLINE!M$17</f>
        <v>8.7265669774598584E-2</v>
      </c>
      <c r="J370">
        <f t="shared" si="57"/>
        <v>0.967741935483871</v>
      </c>
      <c r="K370">
        <f t="shared" si="58"/>
        <v>3.2258064516129031E-2</v>
      </c>
      <c r="L370">
        <f t="shared" si="59"/>
        <v>321</v>
      </c>
      <c r="M370" s="6">
        <f t="shared" si="60"/>
        <v>29.532258064516128</v>
      </c>
      <c r="N370" s="13">
        <f t="shared" si="55"/>
        <v>29.990018746721137</v>
      </c>
      <c r="O370" s="6">
        <f t="shared" si="63"/>
        <v>8136.5739247311849</v>
      </c>
      <c r="P370" s="6">
        <f t="shared" si="64"/>
        <v>8116.9248650623331</v>
      </c>
      <c r="Q370" s="6">
        <f t="shared" si="61"/>
        <v>29.990018746721137</v>
      </c>
      <c r="T370" s="6">
        <f t="shared" ref="T370:T414" si="65">N370</f>
        <v>29.990018746721137</v>
      </c>
    </row>
    <row r="371" spans="1:20">
      <c r="B371">
        <f t="shared" si="62"/>
        <v>368</v>
      </c>
      <c r="C371">
        <f t="shared" si="56"/>
        <v>31</v>
      </c>
      <c r="D371">
        <v>366</v>
      </c>
      <c r="E371">
        <v>397</v>
      </c>
      <c r="F371">
        <f>RnSPLINE!H$16</f>
        <v>30</v>
      </c>
      <c r="G371">
        <f>RnSPLINE!H$17</f>
        <v>15.5</v>
      </c>
      <c r="H371" s="5">
        <f>RnSPLINE!M$16</f>
        <v>-9.2305207581282148E-2</v>
      </c>
      <c r="I371" s="5">
        <f>RnSPLINE!M$17</f>
        <v>8.7265669774598584E-2</v>
      </c>
      <c r="J371">
        <f t="shared" si="57"/>
        <v>0.93548387096774188</v>
      </c>
      <c r="K371">
        <f t="shared" si="58"/>
        <v>6.4516129032258063E-2</v>
      </c>
      <c r="L371">
        <f t="shared" si="59"/>
        <v>322</v>
      </c>
      <c r="M371" s="6">
        <f t="shared" si="60"/>
        <v>29.064516129032256</v>
      </c>
      <c r="N371" s="13">
        <f t="shared" si="55"/>
        <v>29.89352489480796</v>
      </c>
      <c r="O371" s="6">
        <f t="shared" si="63"/>
        <v>8165.6384408602171</v>
      </c>
      <c r="P371" s="6">
        <f t="shared" si="64"/>
        <v>8146.8183899571413</v>
      </c>
      <c r="Q371" s="6">
        <f t="shared" si="61"/>
        <v>29.89352489480796</v>
      </c>
      <c r="T371" s="6">
        <f t="shared" si="65"/>
        <v>29.89352489480796</v>
      </c>
    </row>
    <row r="372" spans="1:20">
      <c r="B372">
        <f t="shared" si="62"/>
        <v>369</v>
      </c>
      <c r="C372">
        <f t="shared" si="56"/>
        <v>31</v>
      </c>
      <c r="D372">
        <v>366</v>
      </c>
      <c r="E372">
        <v>397</v>
      </c>
      <c r="F372">
        <f>RnSPLINE!H$16</f>
        <v>30</v>
      </c>
      <c r="G372">
        <f>RnSPLINE!H$17</f>
        <v>15.5</v>
      </c>
      <c r="H372" s="5">
        <f>RnSPLINE!M$16</f>
        <v>-9.2305207581282148E-2</v>
      </c>
      <c r="I372" s="5">
        <f>RnSPLINE!M$17</f>
        <v>8.7265669774598584E-2</v>
      </c>
      <c r="J372">
        <f t="shared" si="57"/>
        <v>0.90322580645161288</v>
      </c>
      <c r="K372">
        <f t="shared" si="58"/>
        <v>9.6774193548387094E-2</v>
      </c>
      <c r="L372">
        <f t="shared" si="59"/>
        <v>323</v>
      </c>
      <c r="M372" s="6">
        <f t="shared" si="60"/>
        <v>28.596774193548388</v>
      </c>
      <c r="N372" s="13">
        <f t="shared" si="55"/>
        <v>29.716311053207423</v>
      </c>
      <c r="O372" s="6">
        <f t="shared" si="63"/>
        <v>8194.2352150537663</v>
      </c>
      <c r="P372" s="6">
        <f t="shared" si="64"/>
        <v>8176.5347010103487</v>
      </c>
      <c r="Q372" s="6">
        <f t="shared" si="61"/>
        <v>29.716311053207423</v>
      </c>
      <c r="T372" s="6">
        <f t="shared" si="65"/>
        <v>29.716311053207423</v>
      </c>
    </row>
    <row r="373" spans="1:20">
      <c r="B373">
        <f t="shared" si="62"/>
        <v>370</v>
      </c>
      <c r="C373">
        <f t="shared" si="56"/>
        <v>31</v>
      </c>
      <c r="D373">
        <v>366</v>
      </c>
      <c r="E373">
        <v>397</v>
      </c>
      <c r="F373">
        <f>RnSPLINE!H$16</f>
        <v>30</v>
      </c>
      <c r="G373">
        <f>RnSPLINE!H$17</f>
        <v>15.5</v>
      </c>
      <c r="H373" s="5">
        <f>RnSPLINE!M$16</f>
        <v>-9.2305207581282148E-2</v>
      </c>
      <c r="I373" s="5">
        <f>RnSPLINE!M$17</f>
        <v>8.7265669774598584E-2</v>
      </c>
      <c r="J373">
        <f t="shared" si="57"/>
        <v>0.87096774193548387</v>
      </c>
      <c r="K373">
        <f t="shared" si="58"/>
        <v>0.12903225806451613</v>
      </c>
      <c r="L373">
        <f t="shared" si="59"/>
        <v>324</v>
      </c>
      <c r="M373" s="6">
        <f t="shared" si="60"/>
        <v>28.129032258064516</v>
      </c>
      <c r="N373" s="13">
        <f t="shared" si="55"/>
        <v>29.464169830866499</v>
      </c>
      <c r="O373" s="6">
        <f t="shared" si="63"/>
        <v>8222.3642473118307</v>
      </c>
      <c r="P373" s="6">
        <f t="shared" si="64"/>
        <v>8205.9988708412147</v>
      </c>
      <c r="Q373" s="6">
        <f t="shared" si="61"/>
        <v>29.464169830866499</v>
      </c>
      <c r="T373" s="6">
        <f t="shared" si="65"/>
        <v>29.464169830866499</v>
      </c>
    </row>
    <row r="374" spans="1:20">
      <c r="B374">
        <f t="shared" si="62"/>
        <v>371</v>
      </c>
      <c r="C374">
        <f t="shared" si="56"/>
        <v>31</v>
      </c>
      <c r="D374">
        <v>366</v>
      </c>
      <c r="E374">
        <v>397</v>
      </c>
      <c r="F374">
        <f>RnSPLINE!H$16</f>
        <v>30</v>
      </c>
      <c r="G374">
        <f>RnSPLINE!H$17</f>
        <v>15.5</v>
      </c>
      <c r="H374" s="5">
        <f>RnSPLINE!M$16</f>
        <v>-9.2305207581282148E-2</v>
      </c>
      <c r="I374" s="5">
        <f>RnSPLINE!M$17</f>
        <v>8.7265669774598584E-2</v>
      </c>
      <c r="J374">
        <f t="shared" si="57"/>
        <v>0.83870967741935487</v>
      </c>
      <c r="K374">
        <f t="shared" si="58"/>
        <v>0.16129032258064516</v>
      </c>
      <c r="L374">
        <f t="shared" si="59"/>
        <v>325</v>
      </c>
      <c r="M374" s="6">
        <f t="shared" si="60"/>
        <v>27.661290322580648</v>
      </c>
      <c r="N374" s="13">
        <f t="shared" si="55"/>
        <v>29.142893836732149</v>
      </c>
      <c r="O374" s="6">
        <f t="shared" si="63"/>
        <v>8250.0255376344121</v>
      </c>
      <c r="P374" s="6">
        <f t="shared" si="64"/>
        <v>8235.1417646779464</v>
      </c>
      <c r="Q374" s="6">
        <f t="shared" si="61"/>
        <v>29.142893836732149</v>
      </c>
      <c r="T374" s="6">
        <f t="shared" si="65"/>
        <v>29.142893836732149</v>
      </c>
    </row>
    <row r="375" spans="1:20">
      <c r="B375">
        <f t="shared" si="62"/>
        <v>372</v>
      </c>
      <c r="C375">
        <f t="shared" si="56"/>
        <v>31</v>
      </c>
      <c r="D375">
        <v>366</v>
      </c>
      <c r="E375">
        <v>397</v>
      </c>
      <c r="F375">
        <f>RnSPLINE!H$16</f>
        <v>30</v>
      </c>
      <c r="G375">
        <f>RnSPLINE!H$17</f>
        <v>15.5</v>
      </c>
      <c r="H375" s="5">
        <f>RnSPLINE!M$16</f>
        <v>-9.2305207581282148E-2</v>
      </c>
      <c r="I375" s="5">
        <f>RnSPLINE!M$17</f>
        <v>8.7265669774598584E-2</v>
      </c>
      <c r="J375">
        <f t="shared" si="57"/>
        <v>0.80645161290322576</v>
      </c>
      <c r="K375">
        <f t="shared" si="58"/>
        <v>0.19354838709677419</v>
      </c>
      <c r="L375">
        <f t="shared" si="59"/>
        <v>326</v>
      </c>
      <c r="M375" s="6">
        <f t="shared" si="60"/>
        <v>27.193548387096772</v>
      </c>
      <c r="N375" s="13">
        <f t="shared" ref="N375:N408" si="66">Q375</f>
        <v>28.758275679751332</v>
      </c>
      <c r="O375" s="6">
        <f t="shared" si="63"/>
        <v>8277.2190860215087</v>
      </c>
      <c r="P375" s="6">
        <f t="shared" si="64"/>
        <v>8263.9000403576974</v>
      </c>
      <c r="Q375" s="6">
        <f t="shared" si="61"/>
        <v>28.758275679751332</v>
      </c>
      <c r="T375" s="6">
        <f t="shared" si="65"/>
        <v>28.758275679751332</v>
      </c>
    </row>
    <row r="376" spans="1:20">
      <c r="B376">
        <f t="shared" si="62"/>
        <v>373</v>
      </c>
      <c r="C376">
        <f t="shared" si="56"/>
        <v>31</v>
      </c>
      <c r="D376">
        <v>366</v>
      </c>
      <c r="E376">
        <v>397</v>
      </c>
      <c r="F376">
        <f>RnSPLINE!H$16</f>
        <v>30</v>
      </c>
      <c r="G376">
        <f>RnSPLINE!H$17</f>
        <v>15.5</v>
      </c>
      <c r="H376" s="5">
        <f>RnSPLINE!M$16</f>
        <v>-9.2305207581282148E-2</v>
      </c>
      <c r="I376" s="5">
        <f>RnSPLINE!M$17</f>
        <v>8.7265669774598584E-2</v>
      </c>
      <c r="J376">
        <f t="shared" si="57"/>
        <v>0.77419354838709675</v>
      </c>
      <c r="K376">
        <f t="shared" si="58"/>
        <v>0.22580645161290322</v>
      </c>
      <c r="L376">
        <f t="shared" si="59"/>
        <v>327</v>
      </c>
      <c r="M376" s="6">
        <f t="shared" si="60"/>
        <v>26.725806451612904</v>
      </c>
      <c r="N376" s="13">
        <f t="shared" si="66"/>
        <v>28.31610796887102</v>
      </c>
      <c r="O376" s="6">
        <f t="shared" si="63"/>
        <v>8303.9448924731223</v>
      </c>
      <c r="P376" s="6">
        <f t="shared" si="64"/>
        <v>8292.2161483265681</v>
      </c>
      <c r="Q376" s="6">
        <f t="shared" si="61"/>
        <v>28.31610796887102</v>
      </c>
      <c r="T376" s="6">
        <f t="shared" si="65"/>
        <v>28.31610796887102</v>
      </c>
    </row>
    <row r="377" spans="1:20">
      <c r="B377">
        <f t="shared" si="62"/>
        <v>374</v>
      </c>
      <c r="C377">
        <f t="shared" si="56"/>
        <v>31</v>
      </c>
      <c r="D377">
        <v>366</v>
      </c>
      <c r="E377">
        <v>397</v>
      </c>
      <c r="F377">
        <f>RnSPLINE!H$16</f>
        <v>30</v>
      </c>
      <c r="G377">
        <f>RnSPLINE!H$17</f>
        <v>15.5</v>
      </c>
      <c r="H377" s="5">
        <f>RnSPLINE!M$16</f>
        <v>-9.2305207581282148E-2</v>
      </c>
      <c r="I377" s="5">
        <f>RnSPLINE!M$17</f>
        <v>8.7265669774598584E-2</v>
      </c>
      <c r="J377">
        <f t="shared" si="57"/>
        <v>0.74193548387096775</v>
      </c>
      <c r="K377">
        <f t="shared" si="58"/>
        <v>0.25806451612903225</v>
      </c>
      <c r="L377">
        <f t="shared" si="59"/>
        <v>328</v>
      </c>
      <c r="M377" s="6">
        <f t="shared" si="60"/>
        <v>26.258064516129032</v>
      </c>
      <c r="N377" s="13">
        <f t="shared" si="66"/>
        <v>27.82218331303817</v>
      </c>
      <c r="O377" s="6">
        <f t="shared" si="63"/>
        <v>8330.2029569892511</v>
      </c>
      <c r="P377" s="6">
        <f t="shared" si="64"/>
        <v>8320.0383316396055</v>
      </c>
      <c r="Q377" s="6">
        <f t="shared" si="61"/>
        <v>27.82218331303817</v>
      </c>
      <c r="T377" s="6">
        <f t="shared" si="65"/>
        <v>27.82218331303817</v>
      </c>
    </row>
    <row r="378" spans="1:20">
      <c r="B378">
        <f t="shared" si="62"/>
        <v>375</v>
      </c>
      <c r="C378">
        <f t="shared" si="56"/>
        <v>31</v>
      </c>
      <c r="D378">
        <v>366</v>
      </c>
      <c r="E378">
        <v>397</v>
      </c>
      <c r="F378">
        <f>RnSPLINE!H$16</f>
        <v>30</v>
      </c>
      <c r="G378">
        <f>RnSPLINE!H$17</f>
        <v>15.5</v>
      </c>
      <c r="H378" s="5">
        <f>RnSPLINE!M$16</f>
        <v>-9.2305207581282148E-2</v>
      </c>
      <c r="I378" s="5">
        <f>RnSPLINE!M$17</f>
        <v>8.7265669774598584E-2</v>
      </c>
      <c r="J378">
        <f t="shared" si="57"/>
        <v>0.70967741935483875</v>
      </c>
      <c r="K378">
        <f t="shared" si="58"/>
        <v>0.29032258064516131</v>
      </c>
      <c r="L378">
        <f t="shared" si="59"/>
        <v>329</v>
      </c>
      <c r="M378" s="6">
        <f t="shared" si="60"/>
        <v>25.790322580645164</v>
      </c>
      <c r="N378" s="13">
        <f t="shared" si="66"/>
        <v>27.282294321199753</v>
      </c>
      <c r="O378" s="6">
        <f t="shared" si="63"/>
        <v>8355.9932795698969</v>
      </c>
      <c r="P378" s="6">
        <f t="shared" si="64"/>
        <v>8347.320625960805</v>
      </c>
      <c r="Q378" s="6">
        <f t="shared" si="61"/>
        <v>27.282294321199753</v>
      </c>
      <c r="T378" s="6">
        <f t="shared" si="65"/>
        <v>27.282294321199753</v>
      </c>
    </row>
    <row r="379" spans="1:20">
      <c r="B379">
        <f t="shared" si="62"/>
        <v>376</v>
      </c>
      <c r="C379">
        <f t="shared" si="56"/>
        <v>31</v>
      </c>
      <c r="D379">
        <v>366</v>
      </c>
      <c r="E379">
        <v>397</v>
      </c>
      <c r="F379">
        <f>RnSPLINE!H$16</f>
        <v>30</v>
      </c>
      <c r="G379">
        <f>RnSPLINE!H$17</f>
        <v>15.5</v>
      </c>
      <c r="H379" s="5">
        <f>RnSPLINE!M$16</f>
        <v>-9.2305207581282148E-2</v>
      </c>
      <c r="I379" s="5">
        <f>RnSPLINE!M$17</f>
        <v>8.7265669774598584E-2</v>
      </c>
      <c r="J379">
        <f t="shared" si="57"/>
        <v>0.67741935483870963</v>
      </c>
      <c r="K379">
        <f t="shared" si="58"/>
        <v>0.32258064516129031</v>
      </c>
      <c r="L379">
        <f t="shared" si="59"/>
        <v>330</v>
      </c>
      <c r="M379" s="6">
        <f t="shared" si="60"/>
        <v>25.322580645161288</v>
      </c>
      <c r="N379" s="13">
        <f t="shared" si="66"/>
        <v>26.702233602302726</v>
      </c>
      <c r="O379" s="6">
        <f t="shared" si="63"/>
        <v>8381.3158602150579</v>
      </c>
      <c r="P379" s="6">
        <f t="shared" si="64"/>
        <v>8374.022859563107</v>
      </c>
      <c r="Q379" s="6">
        <f t="shared" si="61"/>
        <v>26.702233602302726</v>
      </c>
      <c r="T379" s="6">
        <f t="shared" si="65"/>
        <v>26.702233602302726</v>
      </c>
    </row>
    <row r="380" spans="1:20">
      <c r="B380">
        <f t="shared" si="62"/>
        <v>377</v>
      </c>
      <c r="C380">
        <f t="shared" si="56"/>
        <v>31</v>
      </c>
      <c r="D380">
        <v>366</v>
      </c>
      <c r="E380">
        <v>397</v>
      </c>
      <c r="F380">
        <f>RnSPLINE!H$16</f>
        <v>30</v>
      </c>
      <c r="G380">
        <f>RnSPLINE!H$17</f>
        <v>15.5</v>
      </c>
      <c r="H380" s="5">
        <f>RnSPLINE!M$16</f>
        <v>-9.2305207581282148E-2</v>
      </c>
      <c r="I380" s="5">
        <f>RnSPLINE!M$17</f>
        <v>8.7265669774598584E-2</v>
      </c>
      <c r="J380">
        <f t="shared" si="57"/>
        <v>0.64516129032258063</v>
      </c>
      <c r="K380">
        <f t="shared" si="58"/>
        <v>0.35483870967741937</v>
      </c>
      <c r="L380">
        <f t="shared" si="59"/>
        <v>331</v>
      </c>
      <c r="M380" s="6">
        <f t="shared" si="60"/>
        <v>24.85483870967742</v>
      </c>
      <c r="N380" s="13">
        <f t="shared" si="66"/>
        <v>26.087793765294059</v>
      </c>
      <c r="O380" s="6">
        <f t="shared" si="63"/>
        <v>8406.1706989247359</v>
      </c>
      <c r="P380" s="6">
        <f t="shared" si="64"/>
        <v>8400.1106533284019</v>
      </c>
      <c r="Q380" s="6">
        <f t="shared" si="61"/>
        <v>26.087793765294059</v>
      </c>
      <c r="T380" s="6">
        <f t="shared" si="65"/>
        <v>26.087793765294059</v>
      </c>
    </row>
    <row r="381" spans="1:20">
      <c r="B381">
        <f t="shared" si="62"/>
        <v>378</v>
      </c>
      <c r="C381">
        <f t="shared" si="56"/>
        <v>31</v>
      </c>
      <c r="D381">
        <v>366</v>
      </c>
      <c r="E381">
        <v>397</v>
      </c>
      <c r="F381">
        <f>RnSPLINE!H$16</f>
        <v>30</v>
      </c>
      <c r="G381">
        <f>RnSPLINE!H$17</f>
        <v>15.5</v>
      </c>
      <c r="H381" s="5">
        <f>RnSPLINE!M$16</f>
        <v>-9.2305207581282148E-2</v>
      </c>
      <c r="I381" s="5">
        <f>RnSPLINE!M$17</f>
        <v>8.7265669774598584E-2</v>
      </c>
      <c r="J381">
        <f t="shared" si="57"/>
        <v>0.61290322580645162</v>
      </c>
      <c r="K381">
        <f t="shared" si="58"/>
        <v>0.38709677419354838</v>
      </c>
      <c r="L381">
        <f t="shared" si="59"/>
        <v>332</v>
      </c>
      <c r="M381" s="6">
        <f t="shared" si="60"/>
        <v>24.387096774193548</v>
      </c>
      <c r="N381" s="13">
        <f t="shared" si="66"/>
        <v>25.444767419120708</v>
      </c>
      <c r="O381" s="6">
        <f t="shared" si="63"/>
        <v>8430.5577956989291</v>
      </c>
      <c r="P381" s="6">
        <f t="shared" si="64"/>
        <v>8425.5554207475234</v>
      </c>
      <c r="Q381" s="6">
        <f t="shared" si="61"/>
        <v>25.444767419120708</v>
      </c>
      <c r="T381" s="6">
        <f t="shared" si="65"/>
        <v>25.444767419120708</v>
      </c>
    </row>
    <row r="382" spans="1:20">
      <c r="B382">
        <f t="shared" si="62"/>
        <v>379</v>
      </c>
      <c r="C382">
        <f t="shared" si="56"/>
        <v>31</v>
      </c>
      <c r="D382">
        <v>366</v>
      </c>
      <c r="E382">
        <v>397</v>
      </c>
      <c r="F382">
        <f>RnSPLINE!H$16</f>
        <v>30</v>
      </c>
      <c r="G382">
        <f>RnSPLINE!H$17</f>
        <v>15.5</v>
      </c>
      <c r="H382" s="5">
        <f>RnSPLINE!M$16</f>
        <v>-9.2305207581282148E-2</v>
      </c>
      <c r="I382" s="5">
        <f>RnSPLINE!M$17</f>
        <v>8.7265669774598584E-2</v>
      </c>
      <c r="J382">
        <f t="shared" si="57"/>
        <v>0.58064516129032262</v>
      </c>
      <c r="K382">
        <f t="shared" si="58"/>
        <v>0.41935483870967744</v>
      </c>
      <c r="L382">
        <f t="shared" si="59"/>
        <v>333</v>
      </c>
      <c r="M382" s="6">
        <f t="shared" si="60"/>
        <v>23.91935483870968</v>
      </c>
      <c r="N382" s="13">
        <f t="shared" si="66"/>
        <v>24.778947172729648</v>
      </c>
      <c r="O382" s="6">
        <f t="shared" si="63"/>
        <v>8454.4771505376393</v>
      </c>
      <c r="P382" s="6">
        <f t="shared" si="64"/>
        <v>8450.3343679202535</v>
      </c>
      <c r="Q382" s="6">
        <f t="shared" si="61"/>
        <v>24.778947172729648</v>
      </c>
      <c r="T382" s="6">
        <f t="shared" si="65"/>
        <v>24.778947172729648</v>
      </c>
    </row>
    <row r="383" spans="1:20">
      <c r="B383">
        <f t="shared" si="62"/>
        <v>380</v>
      </c>
      <c r="C383">
        <f t="shared" si="56"/>
        <v>31</v>
      </c>
      <c r="D383">
        <v>366</v>
      </c>
      <c r="E383">
        <v>397</v>
      </c>
      <c r="F383">
        <f>RnSPLINE!H$16</f>
        <v>30</v>
      </c>
      <c r="G383">
        <f>RnSPLINE!H$17</f>
        <v>15.5</v>
      </c>
      <c r="H383" s="5">
        <f>RnSPLINE!M$16</f>
        <v>-9.2305207581282148E-2</v>
      </c>
      <c r="I383" s="5">
        <f>RnSPLINE!M$17</f>
        <v>8.7265669774598584E-2</v>
      </c>
      <c r="J383">
        <f t="shared" si="57"/>
        <v>0.54838709677419351</v>
      </c>
      <c r="K383">
        <f t="shared" si="58"/>
        <v>0.45161290322580644</v>
      </c>
      <c r="L383">
        <f t="shared" si="59"/>
        <v>334</v>
      </c>
      <c r="M383" s="6">
        <f t="shared" si="60"/>
        <v>23.451612903225804</v>
      </c>
      <c r="N383" s="13">
        <f t="shared" si="66"/>
        <v>24.096125635067828</v>
      </c>
      <c r="O383" s="6">
        <f t="shared" si="63"/>
        <v>8477.9287634408647</v>
      </c>
      <c r="P383" s="6">
        <f t="shared" si="64"/>
        <v>8474.4304935553209</v>
      </c>
      <c r="Q383" s="6">
        <f t="shared" si="61"/>
        <v>24.096125635067828</v>
      </c>
      <c r="T383" s="6">
        <f t="shared" si="65"/>
        <v>24.096125635067828</v>
      </c>
    </row>
    <row r="384" spans="1:20">
      <c r="B384">
        <f t="shared" si="62"/>
        <v>381</v>
      </c>
      <c r="C384">
        <f t="shared" si="56"/>
        <v>31</v>
      </c>
      <c r="D384">
        <v>366</v>
      </c>
      <c r="E384">
        <v>397</v>
      </c>
      <c r="F384">
        <f>RnSPLINE!H$16</f>
        <v>30</v>
      </c>
      <c r="G384">
        <f>RnSPLINE!H$17</f>
        <v>15.5</v>
      </c>
      <c r="H384" s="5">
        <f>RnSPLINE!M$16</f>
        <v>-9.2305207581282148E-2</v>
      </c>
      <c r="I384" s="5">
        <f>RnSPLINE!M$17</f>
        <v>8.7265669774598584E-2</v>
      </c>
      <c r="J384">
        <f t="shared" si="57"/>
        <v>0.5161290322580645</v>
      </c>
      <c r="K384">
        <f t="shared" si="58"/>
        <v>0.4838709677419355</v>
      </c>
      <c r="L384">
        <f t="shared" si="59"/>
        <v>335</v>
      </c>
      <c r="M384" s="6">
        <f t="shared" si="60"/>
        <v>22.983870967741936</v>
      </c>
      <c r="N384" s="13">
        <f t="shared" si="66"/>
        <v>23.402095415082229</v>
      </c>
      <c r="O384" s="6">
        <f t="shared" si="63"/>
        <v>8500.9126344086071</v>
      </c>
      <c r="P384" s="6">
        <f t="shared" si="64"/>
        <v>8497.8325889704029</v>
      </c>
      <c r="Q384" s="6">
        <f t="shared" si="61"/>
        <v>23.402095415082229</v>
      </c>
      <c r="T384" s="6">
        <f t="shared" si="65"/>
        <v>23.402095415082229</v>
      </c>
    </row>
    <row r="385" spans="1:20">
      <c r="B385">
        <f t="shared" si="62"/>
        <v>382</v>
      </c>
      <c r="C385">
        <f t="shared" si="56"/>
        <v>31</v>
      </c>
      <c r="D385">
        <v>366</v>
      </c>
      <c r="E385">
        <v>397</v>
      </c>
      <c r="F385">
        <f>RnSPLINE!H$16</f>
        <v>30</v>
      </c>
      <c r="G385">
        <f>RnSPLINE!H$17</f>
        <v>15.5</v>
      </c>
      <c r="H385" s="5">
        <f>RnSPLINE!M$16</f>
        <v>-9.2305207581282148E-2</v>
      </c>
      <c r="I385" s="5">
        <f>RnSPLINE!M$17</f>
        <v>8.7265669774598584E-2</v>
      </c>
      <c r="J385">
        <f t="shared" si="57"/>
        <v>0.4838709677419355</v>
      </c>
      <c r="K385">
        <f t="shared" si="58"/>
        <v>0.5161290322580645</v>
      </c>
      <c r="L385">
        <f t="shared" si="59"/>
        <v>336</v>
      </c>
      <c r="M385" s="6">
        <f t="shared" si="60"/>
        <v>22.516129032258064</v>
      </c>
      <c r="N385" s="13">
        <f t="shared" si="66"/>
        <v>22.702649121719798</v>
      </c>
      <c r="O385" s="6">
        <f t="shared" si="63"/>
        <v>8523.4287634408647</v>
      </c>
      <c r="P385" s="6">
        <f t="shared" si="64"/>
        <v>8520.5352380921231</v>
      </c>
      <c r="Q385" s="6">
        <f t="shared" si="61"/>
        <v>22.702649121719798</v>
      </c>
      <c r="T385" s="6">
        <f t="shared" si="65"/>
        <v>22.702649121719798</v>
      </c>
    </row>
    <row r="386" spans="1:20">
      <c r="B386">
        <f t="shared" si="62"/>
        <v>383</v>
      </c>
      <c r="C386">
        <f t="shared" si="56"/>
        <v>31</v>
      </c>
      <c r="D386">
        <v>366</v>
      </c>
      <c r="E386">
        <v>397</v>
      </c>
      <c r="F386">
        <f>RnSPLINE!H$16</f>
        <v>30</v>
      </c>
      <c r="G386">
        <f>RnSPLINE!H$17</f>
        <v>15.5</v>
      </c>
      <c r="H386" s="5">
        <f>RnSPLINE!M$16</f>
        <v>-9.2305207581282148E-2</v>
      </c>
      <c r="I386" s="5">
        <f>RnSPLINE!M$17</f>
        <v>8.7265669774598584E-2</v>
      </c>
      <c r="J386">
        <f t="shared" si="57"/>
        <v>0.45161290322580644</v>
      </c>
      <c r="K386">
        <f t="shared" si="58"/>
        <v>0.54838709677419351</v>
      </c>
      <c r="L386">
        <f t="shared" si="59"/>
        <v>337</v>
      </c>
      <c r="M386" s="6">
        <f t="shared" si="60"/>
        <v>22.048387096774192</v>
      </c>
      <c r="N386" s="13">
        <f t="shared" si="66"/>
        <v>22.003579363927514</v>
      </c>
      <c r="O386" s="6">
        <f t="shared" si="63"/>
        <v>8545.4771505376393</v>
      </c>
      <c r="P386" s="6">
        <f t="shared" si="64"/>
        <v>8542.5388174560503</v>
      </c>
      <c r="Q386" s="6">
        <f t="shared" si="61"/>
        <v>22.003579363927514</v>
      </c>
      <c r="T386" s="6">
        <f t="shared" si="65"/>
        <v>22.003579363927514</v>
      </c>
    </row>
    <row r="387" spans="1:20">
      <c r="B387">
        <f t="shared" si="62"/>
        <v>384</v>
      </c>
      <c r="C387">
        <f t="shared" si="56"/>
        <v>31</v>
      </c>
      <c r="D387">
        <v>366</v>
      </c>
      <c r="E387">
        <v>397</v>
      </c>
      <c r="F387">
        <f>RnSPLINE!H$16</f>
        <v>30</v>
      </c>
      <c r="G387">
        <f>RnSPLINE!H$17</f>
        <v>15.5</v>
      </c>
      <c r="H387" s="5">
        <f>RnSPLINE!M$16</f>
        <v>-9.2305207581282148E-2</v>
      </c>
      <c r="I387" s="5">
        <f>RnSPLINE!M$17</f>
        <v>8.7265669774598584E-2</v>
      </c>
      <c r="J387">
        <f t="shared" si="57"/>
        <v>0.41935483870967744</v>
      </c>
      <c r="K387">
        <f t="shared" si="58"/>
        <v>0.58064516129032262</v>
      </c>
      <c r="L387">
        <f t="shared" si="59"/>
        <v>338</v>
      </c>
      <c r="M387" s="6">
        <f t="shared" si="60"/>
        <v>21.580645161290324</v>
      </c>
      <c r="N387" s="13">
        <f t="shared" si="66"/>
        <v>21.310678750652333</v>
      </c>
      <c r="O387" s="6">
        <f t="shared" si="63"/>
        <v>8567.0577956989291</v>
      </c>
      <c r="P387" s="6">
        <f t="shared" si="64"/>
        <v>8563.8494962067034</v>
      </c>
      <c r="Q387" s="6">
        <f t="shared" si="61"/>
        <v>21.310678750652333</v>
      </c>
      <c r="T387" s="6">
        <f t="shared" si="65"/>
        <v>21.310678750652333</v>
      </c>
    </row>
    <row r="388" spans="1:20">
      <c r="B388">
        <f t="shared" si="62"/>
        <v>385</v>
      </c>
      <c r="C388">
        <f t="shared" ref="C388:C451" si="67">E388-D388</f>
        <v>31</v>
      </c>
      <c r="D388">
        <v>366</v>
      </c>
      <c r="E388">
        <v>397</v>
      </c>
      <c r="F388">
        <f>RnSPLINE!H$16</f>
        <v>30</v>
      </c>
      <c r="G388">
        <f>RnSPLINE!H$17</f>
        <v>15.5</v>
      </c>
      <c r="H388" s="5">
        <f>RnSPLINE!M$16</f>
        <v>-9.2305207581282148E-2</v>
      </c>
      <c r="I388" s="5">
        <f>RnSPLINE!M$17</f>
        <v>8.7265669774598584E-2</v>
      </c>
      <c r="J388">
        <f t="shared" ref="J388:J451" si="68">(E388-B388)/C388</f>
        <v>0.38709677419354838</v>
      </c>
      <c r="K388">
        <f t="shared" ref="K388:K451" si="69">(B388-D388)/C388</f>
        <v>0.61290322580645162</v>
      </c>
      <c r="L388">
        <f t="shared" ref="L388:L414" si="70">B388-46</f>
        <v>339</v>
      </c>
      <c r="M388" s="6">
        <f t="shared" ref="M388:M451" si="71">J388*F388+K388*G388</f>
        <v>21.112903225806452</v>
      </c>
      <c r="N388" s="13">
        <f t="shared" si="66"/>
        <v>20.629739890841215</v>
      </c>
      <c r="O388" s="6">
        <f t="shared" si="63"/>
        <v>8588.1706989247359</v>
      </c>
      <c r="P388" s="6">
        <f t="shared" si="64"/>
        <v>8584.4792360975443</v>
      </c>
      <c r="Q388" s="6">
        <f t="shared" ref="Q388:Q451" si="72">M388+(((J388^3-J388)*H388+(K388^3-K388)*I388))*(C388^2)/6</f>
        <v>20.629739890841215</v>
      </c>
      <c r="T388" s="6">
        <f t="shared" si="65"/>
        <v>20.629739890841215</v>
      </c>
    </row>
    <row r="389" spans="1:20">
      <c r="B389">
        <f t="shared" ref="B389:B452" si="73">B388+1</f>
        <v>386</v>
      </c>
      <c r="C389">
        <f t="shared" si="67"/>
        <v>31</v>
      </c>
      <c r="D389">
        <v>366</v>
      </c>
      <c r="E389">
        <v>397</v>
      </c>
      <c r="F389">
        <f>RnSPLINE!H$16</f>
        <v>30</v>
      </c>
      <c r="G389">
        <f>RnSPLINE!H$17</f>
        <v>15.5</v>
      </c>
      <c r="H389" s="5">
        <f>RnSPLINE!M$16</f>
        <v>-9.2305207581282148E-2</v>
      </c>
      <c r="I389" s="5">
        <f>RnSPLINE!M$17</f>
        <v>8.7265669774598584E-2</v>
      </c>
      <c r="J389">
        <f t="shared" si="68"/>
        <v>0.35483870967741937</v>
      </c>
      <c r="K389">
        <f t="shared" si="69"/>
        <v>0.64516129032258063</v>
      </c>
      <c r="L389">
        <f t="shared" si="70"/>
        <v>340</v>
      </c>
      <c r="M389" s="6">
        <f t="shared" si="71"/>
        <v>20.645161290322584</v>
      </c>
      <c r="N389" s="13">
        <f t="shared" si="66"/>
        <v>19.966555393441137</v>
      </c>
      <c r="O389" s="6">
        <f t="shared" ref="O389:O452" si="74">O388+M389</f>
        <v>8608.8158602150579</v>
      </c>
      <c r="P389" s="6">
        <f t="shared" ref="P389:P452" si="75">P388+N389</f>
        <v>8604.4457914909854</v>
      </c>
      <c r="Q389" s="6">
        <f t="shared" si="72"/>
        <v>19.966555393441137</v>
      </c>
      <c r="T389" s="6">
        <f t="shared" si="65"/>
        <v>19.966555393441137</v>
      </c>
    </row>
    <row r="390" spans="1:20">
      <c r="B390">
        <f t="shared" si="73"/>
        <v>387</v>
      </c>
      <c r="C390">
        <f t="shared" si="67"/>
        <v>31</v>
      </c>
      <c r="D390">
        <v>366</v>
      </c>
      <c r="E390">
        <v>397</v>
      </c>
      <c r="F390">
        <f>RnSPLINE!H$16</f>
        <v>30</v>
      </c>
      <c r="G390">
        <f>RnSPLINE!H$17</f>
        <v>15.5</v>
      </c>
      <c r="H390" s="5">
        <f>RnSPLINE!M$16</f>
        <v>-9.2305207581282148E-2</v>
      </c>
      <c r="I390" s="5">
        <f>RnSPLINE!M$17</f>
        <v>8.7265669774598584E-2</v>
      </c>
      <c r="J390">
        <f t="shared" si="68"/>
        <v>0.32258064516129031</v>
      </c>
      <c r="K390">
        <f t="shared" si="69"/>
        <v>0.67741935483870963</v>
      </c>
      <c r="L390">
        <f t="shared" si="70"/>
        <v>341</v>
      </c>
      <c r="M390" s="6">
        <f t="shared" si="71"/>
        <v>20.177419354838712</v>
      </c>
      <c r="N390" s="13">
        <f t="shared" si="66"/>
        <v>19.32691786739905</v>
      </c>
      <c r="O390" s="6">
        <f t="shared" si="74"/>
        <v>8628.9932795698969</v>
      </c>
      <c r="P390" s="6">
        <f t="shared" si="75"/>
        <v>8623.7727093583835</v>
      </c>
      <c r="Q390" s="6">
        <f t="shared" si="72"/>
        <v>19.32691786739905</v>
      </c>
      <c r="T390" s="6">
        <f t="shared" si="65"/>
        <v>19.32691786739905</v>
      </c>
    </row>
    <row r="391" spans="1:20">
      <c r="B391">
        <f t="shared" si="73"/>
        <v>388</v>
      </c>
      <c r="C391">
        <f t="shared" si="67"/>
        <v>31</v>
      </c>
      <c r="D391">
        <v>366</v>
      </c>
      <c r="E391">
        <v>397</v>
      </c>
      <c r="F391">
        <f>RnSPLINE!H$16</f>
        <v>30</v>
      </c>
      <c r="G391">
        <f>RnSPLINE!H$17</f>
        <v>15.5</v>
      </c>
      <c r="H391" s="5">
        <f>RnSPLINE!M$16</f>
        <v>-9.2305207581282148E-2</v>
      </c>
      <c r="I391" s="5">
        <f>RnSPLINE!M$17</f>
        <v>8.7265669774598584E-2</v>
      </c>
      <c r="J391">
        <f t="shared" si="68"/>
        <v>0.29032258064516131</v>
      </c>
      <c r="K391">
        <f t="shared" si="69"/>
        <v>0.70967741935483875</v>
      </c>
      <c r="L391">
        <f t="shared" si="70"/>
        <v>342</v>
      </c>
      <c r="M391" s="6">
        <f t="shared" si="71"/>
        <v>19.70967741935484</v>
      </c>
      <c r="N391" s="13">
        <f t="shared" si="66"/>
        <v>18.716619921661923</v>
      </c>
      <c r="O391" s="6">
        <f t="shared" si="74"/>
        <v>8648.7029569892511</v>
      </c>
      <c r="P391" s="6">
        <f t="shared" si="75"/>
        <v>8642.4893292800461</v>
      </c>
      <c r="Q391" s="6">
        <f t="shared" si="72"/>
        <v>18.716619921661923</v>
      </c>
      <c r="T391" s="6">
        <f t="shared" si="65"/>
        <v>18.716619921661923</v>
      </c>
    </row>
    <row r="392" spans="1:20">
      <c r="B392">
        <f t="shared" si="73"/>
        <v>389</v>
      </c>
      <c r="C392">
        <f t="shared" si="67"/>
        <v>31</v>
      </c>
      <c r="D392">
        <v>366</v>
      </c>
      <c r="E392">
        <v>397</v>
      </c>
      <c r="F392">
        <f>RnSPLINE!H$16</f>
        <v>30</v>
      </c>
      <c r="G392">
        <f>RnSPLINE!H$17</f>
        <v>15.5</v>
      </c>
      <c r="H392" s="5">
        <f>RnSPLINE!M$16</f>
        <v>-9.2305207581282148E-2</v>
      </c>
      <c r="I392" s="5">
        <f>RnSPLINE!M$17</f>
        <v>8.7265669774598584E-2</v>
      </c>
      <c r="J392">
        <f t="shared" si="68"/>
        <v>0.25806451612903225</v>
      </c>
      <c r="K392">
        <f t="shared" si="69"/>
        <v>0.74193548387096775</v>
      </c>
      <c r="L392">
        <f t="shared" si="70"/>
        <v>343</v>
      </c>
      <c r="M392" s="6">
        <f t="shared" si="71"/>
        <v>19.241935483870968</v>
      </c>
      <c r="N392" s="13">
        <f t="shared" si="66"/>
        <v>18.141454165176714</v>
      </c>
      <c r="O392" s="6">
        <f t="shared" si="74"/>
        <v>8667.9448924731223</v>
      </c>
      <c r="P392" s="6">
        <f t="shared" si="75"/>
        <v>8660.6307834452236</v>
      </c>
      <c r="Q392" s="6">
        <f t="shared" si="72"/>
        <v>18.141454165176714</v>
      </c>
      <c r="T392" s="6">
        <f t="shared" si="65"/>
        <v>18.141454165176714</v>
      </c>
    </row>
    <row r="393" spans="1:20">
      <c r="B393">
        <f t="shared" si="73"/>
        <v>390</v>
      </c>
      <c r="C393">
        <f t="shared" si="67"/>
        <v>31</v>
      </c>
      <c r="D393">
        <v>366</v>
      </c>
      <c r="E393">
        <v>397</v>
      </c>
      <c r="F393">
        <f>RnSPLINE!H$16</f>
        <v>30</v>
      </c>
      <c r="G393">
        <f>RnSPLINE!H$17</f>
        <v>15.5</v>
      </c>
      <c r="H393" s="5">
        <f>RnSPLINE!M$16</f>
        <v>-9.2305207581282148E-2</v>
      </c>
      <c r="I393" s="5">
        <f>RnSPLINE!M$17</f>
        <v>8.7265669774598584E-2</v>
      </c>
      <c r="J393">
        <f t="shared" si="68"/>
        <v>0.22580645161290322</v>
      </c>
      <c r="K393">
        <f t="shared" si="69"/>
        <v>0.77419354838709675</v>
      </c>
      <c r="L393">
        <f t="shared" si="70"/>
        <v>344</v>
      </c>
      <c r="M393" s="6">
        <f t="shared" si="71"/>
        <v>18.774193548387096</v>
      </c>
      <c r="N393" s="13">
        <f t="shared" si="66"/>
        <v>17.6072132068904</v>
      </c>
      <c r="O393" s="6">
        <f t="shared" si="74"/>
        <v>8686.7190860215087</v>
      </c>
      <c r="P393" s="6">
        <f t="shared" si="75"/>
        <v>8678.2379966521148</v>
      </c>
      <c r="Q393" s="6">
        <f t="shared" si="72"/>
        <v>17.6072132068904</v>
      </c>
      <c r="T393" s="6">
        <f t="shared" si="65"/>
        <v>17.6072132068904</v>
      </c>
    </row>
    <row r="394" spans="1:20">
      <c r="B394">
        <f t="shared" si="73"/>
        <v>391</v>
      </c>
      <c r="C394">
        <f t="shared" si="67"/>
        <v>31</v>
      </c>
      <c r="D394">
        <v>366</v>
      </c>
      <c r="E394">
        <v>397</v>
      </c>
      <c r="F394">
        <f>RnSPLINE!H$16</f>
        <v>30</v>
      </c>
      <c r="G394">
        <f>RnSPLINE!H$17</f>
        <v>15.5</v>
      </c>
      <c r="H394" s="5">
        <f>RnSPLINE!M$16</f>
        <v>-9.2305207581282148E-2</v>
      </c>
      <c r="I394" s="5">
        <f>RnSPLINE!M$17</f>
        <v>8.7265669774598584E-2</v>
      </c>
      <c r="J394">
        <f t="shared" si="68"/>
        <v>0.19354838709677419</v>
      </c>
      <c r="K394">
        <f t="shared" si="69"/>
        <v>0.80645161290322576</v>
      </c>
      <c r="L394">
        <f t="shared" si="70"/>
        <v>345</v>
      </c>
      <c r="M394" s="6">
        <f t="shared" si="71"/>
        <v>18.306451612903224</v>
      </c>
      <c r="N394" s="13">
        <f t="shared" si="66"/>
        <v>17.11968965574993</v>
      </c>
      <c r="O394" s="6">
        <f t="shared" si="74"/>
        <v>8705.0255376344121</v>
      </c>
      <c r="P394" s="6">
        <f t="shared" si="75"/>
        <v>8695.3576863078652</v>
      </c>
      <c r="Q394" s="6">
        <f t="shared" si="72"/>
        <v>17.11968965574993</v>
      </c>
      <c r="T394" s="6">
        <f t="shared" si="65"/>
        <v>17.11968965574993</v>
      </c>
    </row>
    <row r="395" spans="1:20">
      <c r="B395">
        <f t="shared" si="73"/>
        <v>392</v>
      </c>
      <c r="C395">
        <f t="shared" si="67"/>
        <v>31</v>
      </c>
      <c r="D395">
        <v>366</v>
      </c>
      <c r="E395">
        <v>397</v>
      </c>
      <c r="F395">
        <f>RnSPLINE!H$16</f>
        <v>30</v>
      </c>
      <c r="G395">
        <f>RnSPLINE!H$17</f>
        <v>15.5</v>
      </c>
      <c r="H395" s="5">
        <f>RnSPLINE!M$16</f>
        <v>-9.2305207581282148E-2</v>
      </c>
      <c r="I395" s="5">
        <f>RnSPLINE!M$17</f>
        <v>8.7265669774598584E-2</v>
      </c>
      <c r="J395">
        <f t="shared" si="68"/>
        <v>0.16129032258064516</v>
      </c>
      <c r="K395">
        <f t="shared" si="69"/>
        <v>0.83870967741935487</v>
      </c>
      <c r="L395">
        <f t="shared" si="70"/>
        <v>346</v>
      </c>
      <c r="M395" s="6">
        <f t="shared" si="71"/>
        <v>17.838709677419356</v>
      </c>
      <c r="N395" s="13">
        <f t="shared" si="66"/>
        <v>16.684676120702285</v>
      </c>
      <c r="O395" s="6">
        <f t="shared" si="74"/>
        <v>8722.8642473118307</v>
      </c>
      <c r="P395" s="6">
        <f t="shared" si="75"/>
        <v>8712.0423624285668</v>
      </c>
      <c r="Q395" s="6">
        <f t="shared" si="72"/>
        <v>16.684676120702285</v>
      </c>
      <c r="T395" s="6">
        <f t="shared" si="65"/>
        <v>16.684676120702285</v>
      </c>
    </row>
    <row r="396" spans="1:20">
      <c r="B396">
        <f t="shared" si="73"/>
        <v>393</v>
      </c>
      <c r="C396">
        <f t="shared" si="67"/>
        <v>31</v>
      </c>
      <c r="D396">
        <v>366</v>
      </c>
      <c r="E396">
        <v>397</v>
      </c>
      <c r="F396">
        <f>RnSPLINE!H$16</f>
        <v>30</v>
      </c>
      <c r="G396">
        <f>RnSPLINE!H$17</f>
        <v>15.5</v>
      </c>
      <c r="H396" s="5">
        <f>RnSPLINE!M$16</f>
        <v>-9.2305207581282148E-2</v>
      </c>
      <c r="I396" s="5">
        <f>RnSPLINE!M$17</f>
        <v>8.7265669774598584E-2</v>
      </c>
      <c r="J396">
        <f t="shared" si="68"/>
        <v>0.12903225806451613</v>
      </c>
      <c r="K396">
        <f t="shared" si="69"/>
        <v>0.87096774193548387</v>
      </c>
      <c r="L396">
        <f t="shared" si="70"/>
        <v>347</v>
      </c>
      <c r="M396" s="6">
        <f t="shared" si="71"/>
        <v>17.370967741935484</v>
      </c>
      <c r="N396" s="13">
        <f t="shared" si="66"/>
        <v>16.307965210694412</v>
      </c>
      <c r="O396" s="6">
        <f t="shared" si="74"/>
        <v>8740.2352150537663</v>
      </c>
      <c r="P396" s="6">
        <f t="shared" si="75"/>
        <v>8728.3503276392603</v>
      </c>
      <c r="Q396" s="6">
        <f t="shared" si="72"/>
        <v>16.307965210694412</v>
      </c>
      <c r="T396" s="6">
        <f t="shared" si="65"/>
        <v>16.307965210694412</v>
      </c>
    </row>
    <row r="397" spans="1:20">
      <c r="B397">
        <f t="shared" si="73"/>
        <v>394</v>
      </c>
      <c r="C397">
        <f t="shared" si="67"/>
        <v>31</v>
      </c>
      <c r="D397">
        <v>366</v>
      </c>
      <c r="E397">
        <v>397</v>
      </c>
      <c r="F397">
        <f>RnSPLINE!H$16</f>
        <v>30</v>
      </c>
      <c r="G397">
        <f>RnSPLINE!H$17</f>
        <v>15.5</v>
      </c>
      <c r="H397" s="5">
        <f>RnSPLINE!M$16</f>
        <v>-9.2305207581282148E-2</v>
      </c>
      <c r="I397" s="5">
        <f>RnSPLINE!M$17</f>
        <v>8.7265669774598584E-2</v>
      </c>
      <c r="J397">
        <f t="shared" si="68"/>
        <v>9.6774193548387094E-2</v>
      </c>
      <c r="K397">
        <f t="shared" si="69"/>
        <v>0.90322580645161288</v>
      </c>
      <c r="L397">
        <f t="shared" si="70"/>
        <v>348</v>
      </c>
      <c r="M397" s="6">
        <f t="shared" si="71"/>
        <v>16.903225806451612</v>
      </c>
      <c r="N397" s="13">
        <f t="shared" si="66"/>
        <v>15.995349534673284</v>
      </c>
      <c r="O397" s="6">
        <f t="shared" si="74"/>
        <v>8757.1384408602171</v>
      </c>
      <c r="P397" s="6">
        <f t="shared" si="75"/>
        <v>8744.3456771739329</v>
      </c>
      <c r="Q397" s="6">
        <f t="shared" si="72"/>
        <v>15.995349534673284</v>
      </c>
      <c r="T397" s="6">
        <f t="shared" si="65"/>
        <v>15.995349534673284</v>
      </c>
    </row>
    <row r="398" spans="1:20">
      <c r="B398">
        <f t="shared" si="73"/>
        <v>395</v>
      </c>
      <c r="C398">
        <f t="shared" si="67"/>
        <v>31</v>
      </c>
      <c r="D398">
        <v>366</v>
      </c>
      <c r="E398">
        <v>397</v>
      </c>
      <c r="F398">
        <f>RnSPLINE!H$16</f>
        <v>30</v>
      </c>
      <c r="G398">
        <f>RnSPLINE!H$17</f>
        <v>15.5</v>
      </c>
      <c r="H398" s="5">
        <f>RnSPLINE!M$16</f>
        <v>-9.2305207581282148E-2</v>
      </c>
      <c r="I398" s="5">
        <f>RnSPLINE!M$17</f>
        <v>8.7265669774598584E-2</v>
      </c>
      <c r="J398">
        <f t="shared" si="68"/>
        <v>6.4516129032258063E-2</v>
      </c>
      <c r="K398">
        <f t="shared" si="69"/>
        <v>0.93548387096774188</v>
      </c>
      <c r="L398">
        <f t="shared" si="70"/>
        <v>349</v>
      </c>
      <c r="M398" s="6">
        <f t="shared" si="71"/>
        <v>16.435483870967744</v>
      </c>
      <c r="N398" s="13">
        <f t="shared" si="66"/>
        <v>15.752621701585864</v>
      </c>
      <c r="O398" s="6">
        <f t="shared" si="74"/>
        <v>8773.5739247311849</v>
      </c>
      <c r="P398" s="6">
        <f t="shared" si="75"/>
        <v>8760.0982988755186</v>
      </c>
      <c r="Q398" s="6">
        <f t="shared" si="72"/>
        <v>15.752621701585864</v>
      </c>
      <c r="T398" s="6">
        <f t="shared" si="65"/>
        <v>15.752621701585864</v>
      </c>
    </row>
    <row r="399" spans="1:20">
      <c r="B399">
        <f t="shared" si="73"/>
        <v>396</v>
      </c>
      <c r="C399">
        <f t="shared" si="67"/>
        <v>31</v>
      </c>
      <c r="D399">
        <v>366</v>
      </c>
      <c r="E399">
        <v>397</v>
      </c>
      <c r="F399">
        <f>RnSPLINE!H$16</f>
        <v>30</v>
      </c>
      <c r="G399">
        <f>RnSPLINE!H$17</f>
        <v>15.5</v>
      </c>
      <c r="H399" s="5">
        <f>RnSPLINE!M$16</f>
        <v>-9.2305207581282148E-2</v>
      </c>
      <c r="I399" s="5">
        <f>RnSPLINE!M$17</f>
        <v>8.7265669774598584E-2</v>
      </c>
      <c r="J399">
        <f t="shared" si="68"/>
        <v>3.2258064516129031E-2</v>
      </c>
      <c r="K399">
        <f t="shared" si="69"/>
        <v>0.967741935483871</v>
      </c>
      <c r="L399">
        <f t="shared" si="70"/>
        <v>350</v>
      </c>
      <c r="M399" s="6">
        <f t="shared" si="71"/>
        <v>15.967741935483872</v>
      </c>
      <c r="N399" s="13">
        <f t="shared" si="66"/>
        <v>15.585574320379116</v>
      </c>
      <c r="O399" s="6">
        <f t="shared" si="74"/>
        <v>8789.5416666666679</v>
      </c>
      <c r="P399" s="6">
        <f t="shared" si="75"/>
        <v>8775.6838731958978</v>
      </c>
      <c r="Q399" s="6">
        <f t="shared" si="72"/>
        <v>15.585574320379116</v>
      </c>
      <c r="T399" s="6">
        <f t="shared" si="65"/>
        <v>15.585574320379116</v>
      </c>
    </row>
    <row r="400" spans="1:20">
      <c r="A400">
        <v>397</v>
      </c>
      <c r="B400">
        <f t="shared" si="73"/>
        <v>397</v>
      </c>
      <c r="C400">
        <f t="shared" si="67"/>
        <v>31</v>
      </c>
      <c r="D400">
        <v>366</v>
      </c>
      <c r="E400">
        <v>397</v>
      </c>
      <c r="F400">
        <f>RnSPLINE!H$16</f>
        <v>30</v>
      </c>
      <c r="G400">
        <f>RnSPLINE!H$17</f>
        <v>15.5</v>
      </c>
      <c r="H400" s="5">
        <f>RnSPLINE!M$16</f>
        <v>-9.2305207581282148E-2</v>
      </c>
      <c r="I400" s="5">
        <f>RnSPLINE!M$17</f>
        <v>8.7265669774598584E-2</v>
      </c>
      <c r="J400">
        <f t="shared" si="68"/>
        <v>0</v>
      </c>
      <c r="K400">
        <f t="shared" si="69"/>
        <v>1</v>
      </c>
      <c r="L400">
        <f t="shared" si="70"/>
        <v>351</v>
      </c>
      <c r="M400" s="6">
        <f t="shared" si="71"/>
        <v>15.5</v>
      </c>
      <c r="N400" s="13">
        <f t="shared" si="66"/>
        <v>15.5</v>
      </c>
      <c r="O400" s="6">
        <f t="shared" si="74"/>
        <v>8805.0416666666679</v>
      </c>
      <c r="P400" s="6">
        <f t="shared" si="75"/>
        <v>8791.1838731958978</v>
      </c>
      <c r="Q400" s="6">
        <f t="shared" si="72"/>
        <v>15.5</v>
      </c>
      <c r="T400" s="6">
        <f t="shared" si="65"/>
        <v>15.5</v>
      </c>
    </row>
    <row r="401" spans="1:20">
      <c r="B401">
        <f t="shared" si="73"/>
        <v>398</v>
      </c>
      <c r="C401">
        <f t="shared" si="67"/>
        <v>29</v>
      </c>
      <c r="D401">
        <v>397</v>
      </c>
      <c r="E401">
        <v>426</v>
      </c>
      <c r="F401">
        <f>RnSPLINE!H$17</f>
        <v>15.5</v>
      </c>
      <c r="G401">
        <f>RnSPLINE!H$18</f>
        <v>31</v>
      </c>
      <c r="H401" s="5">
        <f>RnSPLINE!M$17</f>
        <v>8.7265669774598584E-2</v>
      </c>
      <c r="I401" s="5">
        <f>RnSPLINE!M$18</f>
        <v>-5.5071405976024834E-2</v>
      </c>
      <c r="J401">
        <f t="shared" si="68"/>
        <v>0.96551724137931039</v>
      </c>
      <c r="K401">
        <f t="shared" si="69"/>
        <v>3.4482758620689655E-2</v>
      </c>
      <c r="L401">
        <f t="shared" si="70"/>
        <v>352</v>
      </c>
      <c r="M401" s="6">
        <f t="shared" si="71"/>
        <v>16.03448275862069</v>
      </c>
      <c r="N401" s="13">
        <f t="shared" si="66"/>
        <v>15.499907885400011</v>
      </c>
      <c r="O401" s="6">
        <f t="shared" si="74"/>
        <v>8821.0761494252893</v>
      </c>
      <c r="P401" s="6">
        <f t="shared" si="75"/>
        <v>8806.6837810812976</v>
      </c>
      <c r="Q401" s="6">
        <f t="shared" si="72"/>
        <v>15.499907885400011</v>
      </c>
      <c r="T401" s="6">
        <f t="shared" si="65"/>
        <v>15.499907885400011</v>
      </c>
    </row>
    <row r="402" spans="1:20">
      <c r="B402">
        <f t="shared" si="73"/>
        <v>399</v>
      </c>
      <c r="C402">
        <f t="shared" si="67"/>
        <v>29</v>
      </c>
      <c r="D402">
        <v>397</v>
      </c>
      <c r="E402">
        <v>426</v>
      </c>
      <c r="F402">
        <f>RnSPLINE!H$17</f>
        <v>15.5</v>
      </c>
      <c r="G402">
        <f>RnSPLINE!H$18</f>
        <v>31</v>
      </c>
      <c r="H402" s="5">
        <f>RnSPLINE!M$17</f>
        <v>8.7265669774598584E-2</v>
      </c>
      <c r="I402" s="5">
        <f>RnSPLINE!M$18</f>
        <v>-5.5071405976024834E-2</v>
      </c>
      <c r="J402">
        <f t="shared" si="68"/>
        <v>0.93103448275862066</v>
      </c>
      <c r="K402">
        <f t="shared" si="69"/>
        <v>6.8965517241379309E-2</v>
      </c>
      <c r="L402">
        <f t="shared" si="70"/>
        <v>353</v>
      </c>
      <c r="M402" s="6">
        <f t="shared" si="71"/>
        <v>16.568965517241381</v>
      </c>
      <c r="N402" s="13">
        <f t="shared" si="66"/>
        <v>15.582173265548734</v>
      </c>
      <c r="O402" s="6">
        <f t="shared" si="74"/>
        <v>8837.6451149425302</v>
      </c>
      <c r="P402" s="6">
        <f t="shared" si="75"/>
        <v>8822.2659543468471</v>
      </c>
      <c r="Q402" s="6">
        <f t="shared" si="72"/>
        <v>15.582173265548734</v>
      </c>
      <c r="T402" s="6">
        <f t="shared" si="65"/>
        <v>15.582173265548734</v>
      </c>
    </row>
    <row r="403" spans="1:20">
      <c r="B403">
        <f t="shared" si="73"/>
        <v>400</v>
      </c>
      <c r="C403">
        <f t="shared" si="67"/>
        <v>29</v>
      </c>
      <c r="D403">
        <v>397</v>
      </c>
      <c r="E403">
        <v>426</v>
      </c>
      <c r="F403">
        <f>RnSPLINE!H$17</f>
        <v>15.5</v>
      </c>
      <c r="G403">
        <f>RnSPLINE!H$18</f>
        <v>31</v>
      </c>
      <c r="H403" s="5">
        <f>RnSPLINE!M$17</f>
        <v>8.7265669774598584E-2</v>
      </c>
      <c r="I403" s="5">
        <f>RnSPLINE!M$18</f>
        <v>-5.5071405976024834E-2</v>
      </c>
      <c r="J403">
        <f t="shared" si="68"/>
        <v>0.89655172413793105</v>
      </c>
      <c r="K403">
        <f t="shared" si="69"/>
        <v>0.10344827586206896</v>
      </c>
      <c r="L403">
        <f t="shared" si="70"/>
        <v>354</v>
      </c>
      <c r="M403" s="6">
        <f t="shared" si="71"/>
        <v>17.103448275862068</v>
      </c>
      <c r="N403" s="13">
        <f t="shared" si="66"/>
        <v>15.741887965420288</v>
      </c>
      <c r="O403" s="6">
        <f t="shared" si="74"/>
        <v>8854.7485632183925</v>
      </c>
      <c r="P403" s="6">
        <f t="shared" si="75"/>
        <v>8838.0078423122668</v>
      </c>
      <c r="Q403" s="6">
        <f t="shared" si="72"/>
        <v>15.741887965420288</v>
      </c>
      <c r="T403" s="6">
        <f t="shared" si="65"/>
        <v>15.741887965420288</v>
      </c>
    </row>
    <row r="404" spans="1:20">
      <c r="B404">
        <f t="shared" si="73"/>
        <v>401</v>
      </c>
      <c r="C404">
        <f t="shared" si="67"/>
        <v>29</v>
      </c>
      <c r="D404">
        <v>397</v>
      </c>
      <c r="E404">
        <v>426</v>
      </c>
      <c r="F404">
        <f>RnSPLINE!H$17</f>
        <v>15.5</v>
      </c>
      <c r="G404">
        <f>RnSPLINE!H$18</f>
        <v>31</v>
      </c>
      <c r="H404" s="5">
        <f>RnSPLINE!M$17</f>
        <v>8.7265669774598584E-2</v>
      </c>
      <c r="I404" s="5">
        <f>RnSPLINE!M$18</f>
        <v>-5.5071405976024834E-2</v>
      </c>
      <c r="J404">
        <f t="shared" si="68"/>
        <v>0.86206896551724133</v>
      </c>
      <c r="K404">
        <f t="shared" si="69"/>
        <v>0.13793103448275862</v>
      </c>
      <c r="L404">
        <f t="shared" si="70"/>
        <v>355</v>
      </c>
      <c r="M404" s="6">
        <f t="shared" si="71"/>
        <v>17.637931034482758</v>
      </c>
      <c r="N404" s="13">
        <f t="shared" si="66"/>
        <v>15.974143809988789</v>
      </c>
      <c r="O404" s="6">
        <f t="shared" si="74"/>
        <v>8872.3864942528744</v>
      </c>
      <c r="P404" s="6">
        <f t="shared" si="75"/>
        <v>8853.981986122255</v>
      </c>
      <c r="Q404" s="6">
        <f t="shared" si="72"/>
        <v>15.974143809988789</v>
      </c>
      <c r="T404" s="6">
        <f t="shared" si="65"/>
        <v>15.974143809988789</v>
      </c>
    </row>
    <row r="405" spans="1:20">
      <c r="B405">
        <f t="shared" si="73"/>
        <v>402</v>
      </c>
      <c r="C405">
        <f t="shared" si="67"/>
        <v>29</v>
      </c>
      <c r="D405">
        <v>397</v>
      </c>
      <c r="E405">
        <v>426</v>
      </c>
      <c r="F405">
        <f>RnSPLINE!H$17</f>
        <v>15.5</v>
      </c>
      <c r="G405">
        <f>RnSPLINE!H$18</f>
        <v>31</v>
      </c>
      <c r="H405" s="5">
        <f>RnSPLINE!M$17</f>
        <v>8.7265669774598584E-2</v>
      </c>
      <c r="I405" s="5">
        <f>RnSPLINE!M$18</f>
        <v>-5.5071405976024834E-2</v>
      </c>
      <c r="J405">
        <f t="shared" si="68"/>
        <v>0.82758620689655171</v>
      </c>
      <c r="K405">
        <f t="shared" si="69"/>
        <v>0.17241379310344829</v>
      </c>
      <c r="L405">
        <f t="shared" si="70"/>
        <v>356</v>
      </c>
      <c r="M405" s="6">
        <f t="shared" si="71"/>
        <v>18.172413793103448</v>
      </c>
      <c r="N405" s="13">
        <f t="shared" si="66"/>
        <v>16.274032624228358</v>
      </c>
      <c r="O405" s="6">
        <f t="shared" si="74"/>
        <v>8890.5589080459777</v>
      </c>
      <c r="P405" s="6">
        <f t="shared" si="75"/>
        <v>8870.2560187464842</v>
      </c>
      <c r="Q405" s="6">
        <f t="shared" si="72"/>
        <v>16.274032624228358</v>
      </c>
      <c r="T405" s="6">
        <f t="shared" si="65"/>
        <v>16.274032624228358</v>
      </c>
    </row>
    <row r="406" spans="1:20">
      <c r="B406">
        <f t="shared" si="73"/>
        <v>403</v>
      </c>
      <c r="C406">
        <f t="shared" si="67"/>
        <v>29</v>
      </c>
      <c r="D406">
        <v>397</v>
      </c>
      <c r="E406">
        <v>426</v>
      </c>
      <c r="F406">
        <f>RnSPLINE!H$17</f>
        <v>15.5</v>
      </c>
      <c r="G406">
        <f>RnSPLINE!H$18</f>
        <v>31</v>
      </c>
      <c r="H406" s="5">
        <f>RnSPLINE!M$17</f>
        <v>8.7265669774598584E-2</v>
      </c>
      <c r="I406" s="5">
        <f>RnSPLINE!M$18</f>
        <v>-5.5071405976024834E-2</v>
      </c>
      <c r="J406">
        <f t="shared" si="68"/>
        <v>0.7931034482758621</v>
      </c>
      <c r="K406">
        <f t="shared" si="69"/>
        <v>0.20689655172413793</v>
      </c>
      <c r="L406">
        <f t="shared" si="70"/>
        <v>357</v>
      </c>
      <c r="M406" s="6">
        <f t="shared" si="71"/>
        <v>18.706896551724139</v>
      </c>
      <c r="N406" s="13">
        <f t="shared" si="66"/>
        <v>16.636646233113108</v>
      </c>
      <c r="O406" s="6">
        <f t="shared" si="74"/>
        <v>8909.2658045977023</v>
      </c>
      <c r="P406" s="6">
        <f t="shared" si="75"/>
        <v>8886.8926649795976</v>
      </c>
      <c r="Q406" s="6">
        <f t="shared" si="72"/>
        <v>16.636646233113108</v>
      </c>
      <c r="T406" s="6">
        <f t="shared" si="65"/>
        <v>16.636646233113108</v>
      </c>
    </row>
    <row r="407" spans="1:20">
      <c r="B407">
        <f t="shared" si="73"/>
        <v>404</v>
      </c>
      <c r="C407">
        <f t="shared" si="67"/>
        <v>29</v>
      </c>
      <c r="D407">
        <v>397</v>
      </c>
      <c r="E407">
        <v>426</v>
      </c>
      <c r="F407">
        <f>RnSPLINE!H$17</f>
        <v>15.5</v>
      </c>
      <c r="G407">
        <f>RnSPLINE!H$18</f>
        <v>31</v>
      </c>
      <c r="H407" s="5">
        <f>RnSPLINE!M$17</f>
        <v>8.7265669774598584E-2</v>
      </c>
      <c r="I407" s="5">
        <f>RnSPLINE!M$18</f>
        <v>-5.5071405976024834E-2</v>
      </c>
      <c r="J407">
        <f t="shared" si="68"/>
        <v>0.75862068965517238</v>
      </c>
      <c r="K407">
        <f t="shared" si="69"/>
        <v>0.2413793103448276</v>
      </c>
      <c r="L407">
        <f t="shared" si="70"/>
        <v>358</v>
      </c>
      <c r="M407" s="6">
        <f t="shared" si="71"/>
        <v>19.241379310344829</v>
      </c>
      <c r="N407" s="13">
        <f t="shared" si="66"/>
        <v>17.057076461617154</v>
      </c>
      <c r="O407" s="6">
        <f t="shared" si="74"/>
        <v>8928.5071839080465</v>
      </c>
      <c r="P407" s="6">
        <f t="shared" si="75"/>
        <v>8903.9497414412144</v>
      </c>
      <c r="Q407" s="6">
        <f t="shared" si="72"/>
        <v>17.057076461617154</v>
      </c>
      <c r="T407" s="6">
        <f t="shared" si="65"/>
        <v>17.057076461617154</v>
      </c>
    </row>
    <row r="408" spans="1:20">
      <c r="B408">
        <f t="shared" si="73"/>
        <v>405</v>
      </c>
      <c r="C408">
        <f t="shared" si="67"/>
        <v>29</v>
      </c>
      <c r="D408">
        <v>397</v>
      </c>
      <c r="E408">
        <v>426</v>
      </c>
      <c r="F408">
        <f>RnSPLINE!H$17</f>
        <v>15.5</v>
      </c>
      <c r="G408">
        <f>RnSPLINE!H$18</f>
        <v>31</v>
      </c>
      <c r="H408" s="5">
        <f>RnSPLINE!M$17</f>
        <v>8.7265669774598584E-2</v>
      </c>
      <c r="I408" s="5">
        <f>RnSPLINE!M$18</f>
        <v>-5.5071405976024834E-2</v>
      </c>
      <c r="J408">
        <f t="shared" si="68"/>
        <v>0.72413793103448276</v>
      </c>
      <c r="K408">
        <f t="shared" si="69"/>
        <v>0.27586206896551724</v>
      </c>
      <c r="L408">
        <f t="shared" si="70"/>
        <v>359</v>
      </c>
      <c r="M408" s="6">
        <f t="shared" si="71"/>
        <v>19.775862068965516</v>
      </c>
      <c r="N408" s="13">
        <f t="shared" si="66"/>
        <v>17.530415134714609</v>
      </c>
      <c r="O408" s="6">
        <f t="shared" si="74"/>
        <v>8948.2830459770121</v>
      </c>
      <c r="P408" s="6">
        <f t="shared" si="75"/>
        <v>8921.4801565759299</v>
      </c>
      <c r="Q408" s="6">
        <f t="shared" si="72"/>
        <v>17.530415134714609</v>
      </c>
      <c r="T408" s="6">
        <f t="shared" si="65"/>
        <v>17.530415134714609</v>
      </c>
    </row>
    <row r="409" spans="1:20">
      <c r="B409">
        <f t="shared" si="73"/>
        <v>406</v>
      </c>
      <c r="C409">
        <f t="shared" si="67"/>
        <v>29</v>
      </c>
      <c r="D409">
        <v>397</v>
      </c>
      <c r="E409">
        <v>426</v>
      </c>
      <c r="F409">
        <f>RnSPLINE!H$17</f>
        <v>15.5</v>
      </c>
      <c r="G409">
        <f>RnSPLINE!H$18</f>
        <v>31</v>
      </c>
      <c r="H409" s="5">
        <f>RnSPLINE!M$17</f>
        <v>8.7265669774598584E-2</v>
      </c>
      <c r="I409" s="5">
        <f>RnSPLINE!M$18</f>
        <v>-5.5071405976024834E-2</v>
      </c>
      <c r="J409">
        <f t="shared" si="68"/>
        <v>0.68965517241379315</v>
      </c>
      <c r="K409">
        <f t="shared" si="69"/>
        <v>0.31034482758620691</v>
      </c>
      <c r="L409">
        <f t="shared" si="70"/>
        <v>360</v>
      </c>
      <c r="M409" s="6">
        <f t="shared" si="71"/>
        <v>20.310344827586206</v>
      </c>
      <c r="N409" s="14">
        <f>N408+R$414</f>
        <v>18.382199158729602</v>
      </c>
      <c r="O409" s="6">
        <f t="shared" si="74"/>
        <v>8968.593390804599</v>
      </c>
      <c r="P409" s="6">
        <f t="shared" si="75"/>
        <v>8939.86235573466</v>
      </c>
      <c r="Q409" s="6">
        <f t="shared" si="72"/>
        <v>18.051754077379599</v>
      </c>
      <c r="T409" s="6">
        <f t="shared" si="65"/>
        <v>18.382199158729602</v>
      </c>
    </row>
    <row r="410" spans="1:20">
      <c r="B410">
        <f t="shared" si="73"/>
        <v>407</v>
      </c>
      <c r="C410">
        <f t="shared" si="67"/>
        <v>29</v>
      </c>
      <c r="D410">
        <v>397</v>
      </c>
      <c r="E410">
        <v>426</v>
      </c>
      <c r="F410">
        <f>RnSPLINE!H$17</f>
        <v>15.5</v>
      </c>
      <c r="G410">
        <f>RnSPLINE!H$18</f>
        <v>31</v>
      </c>
      <c r="H410" s="5">
        <f>RnSPLINE!M$17</f>
        <v>8.7265669774598584E-2</v>
      </c>
      <c r="I410" s="5">
        <f>RnSPLINE!M$18</f>
        <v>-5.5071405976024834E-2</v>
      </c>
      <c r="J410">
        <f t="shared" si="68"/>
        <v>0.65517241379310343</v>
      </c>
      <c r="K410">
        <f t="shared" si="69"/>
        <v>0.34482758620689657</v>
      </c>
      <c r="L410">
        <f t="shared" si="70"/>
        <v>361</v>
      </c>
      <c r="M410" s="6">
        <f t="shared" si="71"/>
        <v>20.844827586206897</v>
      </c>
      <c r="N410" s="14">
        <f>N409+R$414</f>
        <v>19.233983182744595</v>
      </c>
      <c r="O410" s="6">
        <f t="shared" si="74"/>
        <v>8989.4382183908056</v>
      </c>
      <c r="P410" s="6">
        <f t="shared" si="75"/>
        <v>8959.0963389174049</v>
      </c>
      <c r="Q410" s="6">
        <f t="shared" si="72"/>
        <v>18.616185114586237</v>
      </c>
      <c r="T410" s="6">
        <f t="shared" si="65"/>
        <v>19.233983182744595</v>
      </c>
    </row>
    <row r="411" spans="1:20">
      <c r="B411">
        <f t="shared" si="73"/>
        <v>408</v>
      </c>
      <c r="C411">
        <f t="shared" si="67"/>
        <v>29</v>
      </c>
      <c r="D411">
        <v>397</v>
      </c>
      <c r="E411">
        <v>426</v>
      </c>
      <c r="F411">
        <f>RnSPLINE!H$17</f>
        <v>15.5</v>
      </c>
      <c r="G411">
        <f>RnSPLINE!H$18</f>
        <v>31</v>
      </c>
      <c r="H411" s="5">
        <f>RnSPLINE!M$17</f>
        <v>8.7265669774598584E-2</v>
      </c>
      <c r="I411" s="5">
        <f>RnSPLINE!M$18</f>
        <v>-5.5071405976024834E-2</v>
      </c>
      <c r="J411">
        <f t="shared" si="68"/>
        <v>0.62068965517241381</v>
      </c>
      <c r="K411">
        <f t="shared" si="69"/>
        <v>0.37931034482758619</v>
      </c>
      <c r="L411">
        <f t="shared" si="70"/>
        <v>362</v>
      </c>
      <c r="M411" s="6">
        <f t="shared" si="71"/>
        <v>21.379310344827587</v>
      </c>
      <c r="N411" s="14">
        <f>N410+R$414</f>
        <v>20.085767206759588</v>
      </c>
      <c r="O411" s="6">
        <f t="shared" si="74"/>
        <v>9010.8175287356335</v>
      </c>
      <c r="P411" s="6">
        <f t="shared" si="75"/>
        <v>8979.1821061241644</v>
      </c>
      <c r="Q411" s="6">
        <f t="shared" si="72"/>
        <v>19.218800071308635</v>
      </c>
      <c r="T411" s="6">
        <f t="shared" si="65"/>
        <v>20.085767206759588</v>
      </c>
    </row>
    <row r="412" spans="1:20">
      <c r="B412">
        <f t="shared" si="73"/>
        <v>409</v>
      </c>
      <c r="C412">
        <f t="shared" si="67"/>
        <v>29</v>
      </c>
      <c r="D412">
        <v>397</v>
      </c>
      <c r="E412">
        <v>426</v>
      </c>
      <c r="F412">
        <f>RnSPLINE!H$17</f>
        <v>15.5</v>
      </c>
      <c r="G412">
        <f>RnSPLINE!H$18</f>
        <v>31</v>
      </c>
      <c r="H412" s="5">
        <f>RnSPLINE!M$17</f>
        <v>8.7265669774598584E-2</v>
      </c>
      <c r="I412" s="5">
        <f>RnSPLINE!M$18</f>
        <v>-5.5071405976024834E-2</v>
      </c>
      <c r="J412">
        <f t="shared" si="68"/>
        <v>0.58620689655172409</v>
      </c>
      <c r="K412">
        <f t="shared" si="69"/>
        <v>0.41379310344827586</v>
      </c>
      <c r="L412">
        <f t="shared" si="70"/>
        <v>363</v>
      </c>
      <c r="M412" s="6">
        <f t="shared" si="71"/>
        <v>21.913793103448278</v>
      </c>
      <c r="N412" s="14">
        <f>N411+R$414</f>
        <v>20.937551230774581</v>
      </c>
      <c r="O412" s="6">
        <f t="shared" si="74"/>
        <v>9032.7313218390809</v>
      </c>
      <c r="P412" s="6">
        <f t="shared" si="75"/>
        <v>9000.1196573549387</v>
      </c>
      <c r="Q412" s="6">
        <f t="shared" si="72"/>
        <v>19.854690772520915</v>
      </c>
      <c r="T412" s="6">
        <f t="shared" si="65"/>
        <v>20.937551230774581</v>
      </c>
    </row>
    <row r="413" spans="1:20">
      <c r="B413">
        <f t="shared" si="73"/>
        <v>410</v>
      </c>
      <c r="C413">
        <f t="shared" si="67"/>
        <v>29</v>
      </c>
      <c r="D413">
        <v>397</v>
      </c>
      <c r="E413">
        <v>426</v>
      </c>
      <c r="F413">
        <f>RnSPLINE!H$17</f>
        <v>15.5</v>
      </c>
      <c r="G413">
        <f>RnSPLINE!H$18</f>
        <v>31</v>
      </c>
      <c r="H413" s="5">
        <f>RnSPLINE!M$17</f>
        <v>8.7265669774598584E-2</v>
      </c>
      <c r="I413" s="5">
        <f>RnSPLINE!M$18</f>
        <v>-5.5071405976024834E-2</v>
      </c>
      <c r="J413">
        <f t="shared" si="68"/>
        <v>0.55172413793103448</v>
      </c>
      <c r="K413">
        <f t="shared" si="69"/>
        <v>0.44827586206896552</v>
      </c>
      <c r="L413">
        <f t="shared" si="70"/>
        <v>364</v>
      </c>
      <c r="M413" s="6">
        <f t="shared" si="71"/>
        <v>22.448275862068964</v>
      </c>
      <c r="N413" s="14">
        <f>N412+R$414</f>
        <v>21.789335254789574</v>
      </c>
      <c r="O413" s="6">
        <f t="shared" si="74"/>
        <v>9055.1795977011498</v>
      </c>
      <c r="P413" s="6">
        <f t="shared" si="75"/>
        <v>9021.9089926097276</v>
      </c>
      <c r="Q413" s="6">
        <f t="shared" si="72"/>
        <v>20.518949043197185</v>
      </c>
      <c r="T413" s="6">
        <f t="shared" si="65"/>
        <v>21.789335254789574</v>
      </c>
    </row>
    <row r="414" spans="1:20">
      <c r="A414" s="10"/>
      <c r="B414" s="10">
        <f t="shared" si="73"/>
        <v>411</v>
      </c>
      <c r="C414" s="10">
        <f t="shared" si="67"/>
        <v>29</v>
      </c>
      <c r="D414" s="10">
        <v>397</v>
      </c>
      <c r="E414" s="10">
        <v>426</v>
      </c>
      <c r="F414" s="10">
        <f>RnSPLINE!H$17</f>
        <v>15.5</v>
      </c>
      <c r="G414" s="10">
        <f>RnSPLINE!H$18</f>
        <v>31</v>
      </c>
      <c r="H414" s="15">
        <f>RnSPLINE!M$17</f>
        <v>8.7265669774598584E-2</v>
      </c>
      <c r="I414" s="15">
        <f>RnSPLINE!M$18</f>
        <v>-5.5071405976024834E-2</v>
      </c>
      <c r="J414" s="10">
        <f t="shared" si="68"/>
        <v>0.51724137931034486</v>
      </c>
      <c r="K414" s="10">
        <f t="shared" si="69"/>
        <v>0.48275862068965519</v>
      </c>
      <c r="L414" s="10">
        <f t="shared" si="70"/>
        <v>365</v>
      </c>
      <c r="M414" s="11">
        <f t="shared" si="71"/>
        <v>22.982758620689658</v>
      </c>
      <c r="N414" s="11">
        <f>(Q50+Q414)/2</f>
        <v>21.789335254789577</v>
      </c>
      <c r="O414" s="11">
        <f t="shared" si="74"/>
        <v>9078.16235632184</v>
      </c>
      <c r="P414" s="11">
        <f t="shared" si="75"/>
        <v>9043.6983278645166</v>
      </c>
      <c r="Q414" s="11">
        <f t="shared" si="72"/>
        <v>21.206666708311573</v>
      </c>
      <c r="R414" s="12">
        <f>(N414-Q408)/5</f>
        <v>0.85178402401499365</v>
      </c>
      <c r="T414" s="6">
        <f t="shared" si="65"/>
        <v>21.789335254789577</v>
      </c>
    </row>
    <row r="415" spans="1:20">
      <c r="B415">
        <f t="shared" si="73"/>
        <v>412</v>
      </c>
      <c r="C415">
        <f t="shared" si="67"/>
        <v>29</v>
      </c>
      <c r="D415">
        <v>397</v>
      </c>
      <c r="E415">
        <v>426</v>
      </c>
      <c r="F415">
        <f>RnSPLINE!H$17</f>
        <v>15.5</v>
      </c>
      <c r="G415">
        <f>RnSPLINE!H$18</f>
        <v>31</v>
      </c>
      <c r="H415" s="5">
        <f>RnSPLINE!M$17</f>
        <v>8.7265669774598584E-2</v>
      </c>
      <c r="I415" s="5">
        <f>RnSPLINE!M$18</f>
        <v>-5.5071405976024834E-2</v>
      </c>
      <c r="J415">
        <f t="shared" si="68"/>
        <v>0.48275862068965519</v>
      </c>
      <c r="K415">
        <f t="shared" si="69"/>
        <v>0.51724137931034486</v>
      </c>
      <c r="M415" s="6">
        <f t="shared" si="71"/>
        <v>23.517241379310345</v>
      </c>
      <c r="N415" s="11">
        <f>(Q51+Q415)/2</f>
        <v>22.497924542907192</v>
      </c>
      <c r="O415" s="6">
        <f t="shared" si="74"/>
        <v>9101.6795977011498</v>
      </c>
      <c r="P415" s="6">
        <f t="shared" si="75"/>
        <v>9066.1962524074243</v>
      </c>
      <c r="Q415" s="6">
        <f t="shared" si="72"/>
        <v>21.912935592838185</v>
      </c>
      <c r="T415" s="16">
        <f>N414</f>
        <v>21.789335254789577</v>
      </c>
    </row>
    <row r="416" spans="1:20">
      <c r="B416">
        <f t="shared" si="73"/>
        <v>413</v>
      </c>
      <c r="C416">
        <f t="shared" si="67"/>
        <v>29</v>
      </c>
      <c r="D416">
        <v>397</v>
      </c>
      <c r="E416">
        <v>426</v>
      </c>
      <c r="F416">
        <f>RnSPLINE!H$17</f>
        <v>15.5</v>
      </c>
      <c r="G416">
        <f>RnSPLINE!H$18</f>
        <v>31</v>
      </c>
      <c r="H416" s="5">
        <f>RnSPLINE!M$17</f>
        <v>8.7265669774598584E-2</v>
      </c>
      <c r="I416" s="5">
        <f>RnSPLINE!M$18</f>
        <v>-5.5071405976024834E-2</v>
      </c>
      <c r="J416">
        <f t="shared" si="68"/>
        <v>0.44827586206896552</v>
      </c>
      <c r="K416">
        <f t="shared" si="69"/>
        <v>0.55172413793103448</v>
      </c>
      <c r="M416" s="6">
        <f t="shared" si="71"/>
        <v>24.051724137931032</v>
      </c>
      <c r="N416" s="6">
        <f t="shared" ref="N416:N460" si="76">M416+(((J416^3-J416)*H416+(K416^3-K416)*I416))*(C416^2)/6</f>
        <v>22.632847521751142</v>
      </c>
      <c r="O416" s="6">
        <f t="shared" si="74"/>
        <v>9125.7313218390809</v>
      </c>
      <c r="P416" s="6">
        <f t="shared" si="75"/>
        <v>9088.8290999291748</v>
      </c>
      <c r="Q416" s="6">
        <f t="shared" si="72"/>
        <v>22.632847521751142</v>
      </c>
    </row>
    <row r="417" spans="1:17">
      <c r="A417" s="8"/>
      <c r="B417" s="8">
        <f t="shared" si="73"/>
        <v>414</v>
      </c>
      <c r="C417" s="8">
        <f t="shared" si="67"/>
        <v>29</v>
      </c>
      <c r="D417" s="8">
        <v>397</v>
      </c>
      <c r="E417" s="8">
        <v>426</v>
      </c>
      <c r="F417" s="8">
        <f>RnSPLINE!H$17</f>
        <v>15.5</v>
      </c>
      <c r="G417" s="8">
        <f>RnSPLINE!H$18</f>
        <v>31</v>
      </c>
      <c r="H417" s="3">
        <f>RnSPLINE!M$17</f>
        <v>8.7265669774598584E-2</v>
      </c>
      <c r="I417" s="3">
        <f>RnSPLINE!M$18</f>
        <v>-5.5071405976024834E-2</v>
      </c>
      <c r="J417" s="8">
        <f t="shared" si="68"/>
        <v>0.41379310344827586</v>
      </c>
      <c r="K417" s="8">
        <f t="shared" si="69"/>
        <v>0.58620689655172409</v>
      </c>
      <c r="L417" s="8"/>
      <c r="M417" s="13">
        <f t="shared" si="71"/>
        <v>24.586206896551722</v>
      </c>
      <c r="N417" s="13">
        <f t="shared" si="76"/>
        <v>23.361494320024562</v>
      </c>
      <c r="O417" s="13">
        <f t="shared" si="74"/>
        <v>9150.3175287356335</v>
      </c>
      <c r="P417" s="13">
        <f t="shared" si="75"/>
        <v>9112.1905942491994</v>
      </c>
      <c r="Q417" s="13">
        <f t="shared" si="72"/>
        <v>23.361494320024562</v>
      </c>
    </row>
    <row r="418" spans="1:17">
      <c r="B418">
        <f t="shared" si="73"/>
        <v>415</v>
      </c>
      <c r="C418">
        <f t="shared" si="67"/>
        <v>29</v>
      </c>
      <c r="D418">
        <v>397</v>
      </c>
      <c r="E418">
        <v>426</v>
      </c>
      <c r="F418">
        <f>RnSPLINE!H$17</f>
        <v>15.5</v>
      </c>
      <c r="G418">
        <f>RnSPLINE!H$18</f>
        <v>31</v>
      </c>
      <c r="H418" s="5">
        <f>RnSPLINE!M$17</f>
        <v>8.7265669774598584E-2</v>
      </c>
      <c r="I418" s="5">
        <f>RnSPLINE!M$18</f>
        <v>-5.5071405976024834E-2</v>
      </c>
      <c r="J418">
        <f t="shared" si="68"/>
        <v>0.37931034482758619</v>
      </c>
      <c r="K418">
        <f t="shared" si="69"/>
        <v>0.62068965517241381</v>
      </c>
      <c r="M418" s="6">
        <f t="shared" si="71"/>
        <v>25.120689655172416</v>
      </c>
      <c r="N418" s="6">
        <f t="shared" si="76"/>
        <v>24.093967812632567</v>
      </c>
      <c r="O418" s="6">
        <f t="shared" si="74"/>
        <v>9175.4382183908056</v>
      </c>
      <c r="P418" s="6">
        <f t="shared" si="75"/>
        <v>9136.2845620618318</v>
      </c>
      <c r="Q418" s="6">
        <f t="shared" si="72"/>
        <v>24.093967812632567</v>
      </c>
    </row>
    <row r="419" spans="1:17">
      <c r="B419">
        <f t="shared" si="73"/>
        <v>416</v>
      </c>
      <c r="C419">
        <f t="shared" si="67"/>
        <v>29</v>
      </c>
      <c r="D419">
        <v>397</v>
      </c>
      <c r="E419">
        <v>426</v>
      </c>
      <c r="F419">
        <f>RnSPLINE!H$17</f>
        <v>15.5</v>
      </c>
      <c r="G419">
        <f>RnSPLINE!H$18</f>
        <v>31</v>
      </c>
      <c r="H419" s="5">
        <f>RnSPLINE!M$17</f>
        <v>8.7265669774598584E-2</v>
      </c>
      <c r="I419" s="5">
        <f>RnSPLINE!M$18</f>
        <v>-5.5071405976024834E-2</v>
      </c>
      <c r="J419">
        <f t="shared" si="68"/>
        <v>0.34482758620689657</v>
      </c>
      <c r="K419">
        <f t="shared" si="69"/>
        <v>0.65517241379310343</v>
      </c>
      <c r="M419" s="6">
        <f t="shared" si="71"/>
        <v>25.655172413793103</v>
      </c>
      <c r="N419" s="6">
        <f t="shared" si="76"/>
        <v>24.82535982454926</v>
      </c>
      <c r="O419" s="6">
        <f t="shared" si="74"/>
        <v>9201.093390804599</v>
      </c>
      <c r="P419" s="6">
        <f t="shared" si="75"/>
        <v>9161.1099218863819</v>
      </c>
      <c r="Q419" s="6">
        <f t="shared" si="72"/>
        <v>24.82535982454926</v>
      </c>
    </row>
    <row r="420" spans="1:17">
      <c r="B420">
        <f t="shared" si="73"/>
        <v>417</v>
      </c>
      <c r="C420">
        <f t="shared" si="67"/>
        <v>29</v>
      </c>
      <c r="D420">
        <v>397</v>
      </c>
      <c r="E420">
        <v>426</v>
      </c>
      <c r="F420">
        <f>RnSPLINE!H$17</f>
        <v>15.5</v>
      </c>
      <c r="G420">
        <f>RnSPLINE!H$18</f>
        <v>31</v>
      </c>
      <c r="H420" s="5">
        <f>RnSPLINE!M$17</f>
        <v>8.7265669774598584E-2</v>
      </c>
      <c r="I420" s="5">
        <f>RnSPLINE!M$18</f>
        <v>-5.5071405976024834E-2</v>
      </c>
      <c r="J420">
        <f t="shared" si="68"/>
        <v>0.31034482758620691</v>
      </c>
      <c r="K420">
        <f t="shared" si="69"/>
        <v>0.68965517241379315</v>
      </c>
      <c r="M420" s="6">
        <f t="shared" si="71"/>
        <v>26.189655172413794</v>
      </c>
      <c r="N420" s="6">
        <f t="shared" si="76"/>
        <v>25.550762180748762</v>
      </c>
      <c r="O420" s="6">
        <f t="shared" si="74"/>
        <v>9227.2830459770121</v>
      </c>
      <c r="P420" s="6">
        <f t="shared" si="75"/>
        <v>9186.6606840671302</v>
      </c>
      <c r="Q420" s="6">
        <f t="shared" si="72"/>
        <v>25.550762180748762</v>
      </c>
    </row>
    <row r="421" spans="1:17">
      <c r="B421">
        <f t="shared" si="73"/>
        <v>418</v>
      </c>
      <c r="C421">
        <f t="shared" si="67"/>
        <v>29</v>
      </c>
      <c r="D421">
        <v>397</v>
      </c>
      <c r="E421">
        <v>426</v>
      </c>
      <c r="F421">
        <f>RnSPLINE!H$17</f>
        <v>15.5</v>
      </c>
      <c r="G421">
        <f>RnSPLINE!H$18</f>
        <v>31</v>
      </c>
      <c r="H421" s="5">
        <f>RnSPLINE!M$17</f>
        <v>8.7265669774598584E-2</v>
      </c>
      <c r="I421" s="5">
        <f>RnSPLINE!M$18</f>
        <v>-5.5071405976024834E-2</v>
      </c>
      <c r="J421">
        <f t="shared" si="68"/>
        <v>0.27586206896551724</v>
      </c>
      <c r="K421">
        <f t="shared" si="69"/>
        <v>0.72413793103448276</v>
      </c>
      <c r="M421" s="6">
        <f t="shared" si="71"/>
        <v>26.72413793103448</v>
      </c>
      <c r="N421" s="6">
        <f t="shared" si="76"/>
        <v>26.265266706205193</v>
      </c>
      <c r="O421" s="6">
        <f t="shared" si="74"/>
        <v>9254.0071839080465</v>
      </c>
      <c r="P421" s="6">
        <f t="shared" si="75"/>
        <v>9212.925950773335</v>
      </c>
      <c r="Q421" s="6">
        <f t="shared" si="72"/>
        <v>26.265266706205193</v>
      </c>
    </row>
    <row r="422" spans="1:17">
      <c r="B422">
        <f t="shared" si="73"/>
        <v>419</v>
      </c>
      <c r="C422">
        <f t="shared" si="67"/>
        <v>29</v>
      </c>
      <c r="D422">
        <v>397</v>
      </c>
      <c r="E422">
        <v>426</v>
      </c>
      <c r="F422">
        <f>RnSPLINE!H$17</f>
        <v>15.5</v>
      </c>
      <c r="G422">
        <f>RnSPLINE!H$18</f>
        <v>31</v>
      </c>
      <c r="H422" s="5">
        <f>RnSPLINE!M$17</f>
        <v>8.7265669774598584E-2</v>
      </c>
      <c r="I422" s="5">
        <f>RnSPLINE!M$18</f>
        <v>-5.5071405976024834E-2</v>
      </c>
      <c r="J422">
        <f t="shared" si="68"/>
        <v>0.2413793103448276</v>
      </c>
      <c r="K422">
        <f t="shared" si="69"/>
        <v>0.75862068965517238</v>
      </c>
      <c r="M422" s="6">
        <f t="shared" si="71"/>
        <v>27.258620689655174</v>
      </c>
      <c r="N422" s="6">
        <f t="shared" si="76"/>
        <v>26.963965225892672</v>
      </c>
      <c r="O422" s="6">
        <f t="shared" si="74"/>
        <v>9281.2658045977023</v>
      </c>
      <c r="P422" s="6">
        <f t="shared" si="75"/>
        <v>9239.889915999227</v>
      </c>
      <c r="Q422" s="6">
        <f t="shared" si="72"/>
        <v>26.963965225892672</v>
      </c>
    </row>
    <row r="423" spans="1:17">
      <c r="B423">
        <f t="shared" si="73"/>
        <v>420</v>
      </c>
      <c r="C423">
        <f t="shared" si="67"/>
        <v>29</v>
      </c>
      <c r="D423">
        <v>397</v>
      </c>
      <c r="E423">
        <v>426</v>
      </c>
      <c r="F423">
        <f>RnSPLINE!H$17</f>
        <v>15.5</v>
      </c>
      <c r="G423">
        <f>RnSPLINE!H$18</f>
        <v>31</v>
      </c>
      <c r="H423" s="5">
        <f>RnSPLINE!M$17</f>
        <v>8.7265669774598584E-2</v>
      </c>
      <c r="I423" s="5">
        <f>RnSPLINE!M$18</f>
        <v>-5.5071405976024834E-2</v>
      </c>
      <c r="J423">
        <f t="shared" si="68"/>
        <v>0.20689655172413793</v>
      </c>
      <c r="K423">
        <f t="shared" si="69"/>
        <v>0.7931034482758621</v>
      </c>
      <c r="M423" s="6">
        <f t="shared" si="71"/>
        <v>27.793103448275865</v>
      </c>
      <c r="N423" s="6">
        <f t="shared" si="76"/>
        <v>27.641949564785307</v>
      </c>
      <c r="O423" s="6">
        <f t="shared" si="74"/>
        <v>9309.0589080459777</v>
      </c>
      <c r="P423" s="6">
        <f t="shared" si="75"/>
        <v>9267.5318655640131</v>
      </c>
      <c r="Q423" s="6">
        <f t="shared" si="72"/>
        <v>27.641949564785307</v>
      </c>
    </row>
    <row r="424" spans="1:17">
      <c r="B424">
        <f t="shared" si="73"/>
        <v>421</v>
      </c>
      <c r="C424">
        <f t="shared" si="67"/>
        <v>29</v>
      </c>
      <c r="D424">
        <v>397</v>
      </c>
      <c r="E424">
        <v>426</v>
      </c>
      <c r="F424">
        <f>RnSPLINE!H$17</f>
        <v>15.5</v>
      </c>
      <c r="G424">
        <f>RnSPLINE!H$18</f>
        <v>31</v>
      </c>
      <c r="H424" s="5">
        <f>RnSPLINE!M$17</f>
        <v>8.7265669774598584E-2</v>
      </c>
      <c r="I424" s="5">
        <f>RnSPLINE!M$18</f>
        <v>-5.5071405976024834E-2</v>
      </c>
      <c r="J424">
        <f t="shared" si="68"/>
        <v>0.17241379310344829</v>
      </c>
      <c r="K424">
        <f t="shared" si="69"/>
        <v>0.82758620689655171</v>
      </c>
      <c r="M424" s="6">
        <f t="shared" si="71"/>
        <v>28.327586206896552</v>
      </c>
      <c r="N424" s="6">
        <f t="shared" si="76"/>
        <v>28.294311547857216</v>
      </c>
      <c r="O424" s="6">
        <f t="shared" si="74"/>
        <v>9337.3864942528744</v>
      </c>
      <c r="P424" s="6">
        <f t="shared" si="75"/>
        <v>9295.8261771118705</v>
      </c>
      <c r="Q424" s="6">
        <f t="shared" si="72"/>
        <v>28.294311547857216</v>
      </c>
    </row>
    <row r="425" spans="1:17">
      <c r="B425">
        <f t="shared" si="73"/>
        <v>422</v>
      </c>
      <c r="C425">
        <f t="shared" si="67"/>
        <v>29</v>
      </c>
      <c r="D425">
        <v>397</v>
      </c>
      <c r="E425">
        <v>426</v>
      </c>
      <c r="F425">
        <f>RnSPLINE!H$17</f>
        <v>15.5</v>
      </c>
      <c r="G425">
        <f>RnSPLINE!H$18</f>
        <v>31</v>
      </c>
      <c r="H425" s="5">
        <f>RnSPLINE!M$17</f>
        <v>8.7265669774598584E-2</v>
      </c>
      <c r="I425" s="5">
        <f>RnSPLINE!M$18</f>
        <v>-5.5071405976024834E-2</v>
      </c>
      <c r="J425">
        <f t="shared" si="68"/>
        <v>0.13793103448275862</v>
      </c>
      <c r="K425">
        <f t="shared" si="69"/>
        <v>0.86206896551724133</v>
      </c>
      <c r="M425" s="6">
        <f t="shared" si="71"/>
        <v>28.862068965517238</v>
      </c>
      <c r="N425" s="6">
        <f t="shared" si="76"/>
        <v>28.916143000082521</v>
      </c>
      <c r="O425" s="6">
        <f t="shared" si="74"/>
        <v>9366.2485632183925</v>
      </c>
      <c r="P425" s="6">
        <f t="shared" si="75"/>
        <v>9324.7423201119527</v>
      </c>
      <c r="Q425" s="6">
        <f t="shared" si="72"/>
        <v>28.916143000082521</v>
      </c>
    </row>
    <row r="426" spans="1:17">
      <c r="B426">
        <f t="shared" si="73"/>
        <v>423</v>
      </c>
      <c r="C426">
        <f t="shared" si="67"/>
        <v>29</v>
      </c>
      <c r="D426">
        <v>397</v>
      </c>
      <c r="E426">
        <v>426</v>
      </c>
      <c r="F426">
        <f>RnSPLINE!H$17</f>
        <v>15.5</v>
      </c>
      <c r="G426">
        <f>RnSPLINE!H$18</f>
        <v>31</v>
      </c>
      <c r="H426" s="5">
        <f>RnSPLINE!M$17</f>
        <v>8.7265669774598584E-2</v>
      </c>
      <c r="I426" s="5">
        <f>RnSPLINE!M$18</f>
        <v>-5.5071405976024834E-2</v>
      </c>
      <c r="J426">
        <f t="shared" si="68"/>
        <v>0.10344827586206896</v>
      </c>
      <c r="K426">
        <f t="shared" si="69"/>
        <v>0.89655172413793105</v>
      </c>
      <c r="M426" s="6">
        <f t="shared" si="71"/>
        <v>29.396551724137929</v>
      </c>
      <c r="N426" s="6">
        <f t="shared" si="76"/>
        <v>29.502535746435335</v>
      </c>
      <c r="O426" s="6">
        <f t="shared" si="74"/>
        <v>9395.6451149425302</v>
      </c>
      <c r="P426" s="6">
        <f t="shared" si="75"/>
        <v>9354.2448558583874</v>
      </c>
      <c r="Q426" s="6">
        <f t="shared" si="72"/>
        <v>29.502535746435335</v>
      </c>
    </row>
    <row r="427" spans="1:17">
      <c r="B427">
        <f t="shared" si="73"/>
        <v>424</v>
      </c>
      <c r="C427">
        <f t="shared" si="67"/>
        <v>29</v>
      </c>
      <c r="D427">
        <v>397</v>
      </c>
      <c r="E427">
        <v>426</v>
      </c>
      <c r="F427">
        <f>RnSPLINE!H$17</f>
        <v>15.5</v>
      </c>
      <c r="G427">
        <f>RnSPLINE!H$18</f>
        <v>31</v>
      </c>
      <c r="H427" s="5">
        <f>RnSPLINE!M$17</f>
        <v>8.7265669774598584E-2</v>
      </c>
      <c r="I427" s="5">
        <f>RnSPLINE!M$18</f>
        <v>-5.5071405976024834E-2</v>
      </c>
      <c r="J427">
        <f t="shared" si="68"/>
        <v>6.8965517241379309E-2</v>
      </c>
      <c r="K427">
        <f t="shared" si="69"/>
        <v>0.93103448275862066</v>
      </c>
      <c r="M427" s="6">
        <f t="shared" si="71"/>
        <v>29.931034482758623</v>
      </c>
      <c r="N427" s="6">
        <f t="shared" si="76"/>
        <v>30.04858161188978</v>
      </c>
      <c r="O427" s="6">
        <f t="shared" si="74"/>
        <v>9425.5761494252893</v>
      </c>
      <c r="P427" s="6">
        <f t="shared" si="75"/>
        <v>9384.2934374702763</v>
      </c>
      <c r="Q427" s="6">
        <f t="shared" si="72"/>
        <v>30.04858161188978</v>
      </c>
    </row>
    <row r="428" spans="1:17">
      <c r="B428">
        <f t="shared" si="73"/>
        <v>425</v>
      </c>
      <c r="C428">
        <f t="shared" si="67"/>
        <v>29</v>
      </c>
      <c r="D428">
        <v>397</v>
      </c>
      <c r="E428">
        <v>426</v>
      </c>
      <c r="F428">
        <f>RnSPLINE!H$17</f>
        <v>15.5</v>
      </c>
      <c r="G428">
        <f>RnSPLINE!H$18</f>
        <v>31</v>
      </c>
      <c r="H428" s="5">
        <f>RnSPLINE!M$17</f>
        <v>8.7265669774598584E-2</v>
      </c>
      <c r="I428" s="5">
        <f>RnSPLINE!M$18</f>
        <v>-5.5071405976024834E-2</v>
      </c>
      <c r="J428">
        <f t="shared" si="68"/>
        <v>3.4482758620689655E-2</v>
      </c>
      <c r="K428">
        <f t="shared" si="69"/>
        <v>0.96551724137931039</v>
      </c>
      <c r="M428" s="6">
        <f t="shared" si="71"/>
        <v>30.465517241379313</v>
      </c>
      <c r="N428" s="6">
        <f t="shared" si="76"/>
        <v>30.54937242141996</v>
      </c>
      <c r="O428" s="6">
        <f t="shared" si="74"/>
        <v>9456.0416666666679</v>
      </c>
      <c r="P428" s="6">
        <f t="shared" si="75"/>
        <v>9414.8428098916957</v>
      </c>
      <c r="Q428" s="6">
        <f t="shared" si="72"/>
        <v>30.54937242141996</v>
      </c>
    </row>
    <row r="429" spans="1:17">
      <c r="A429">
        <v>426</v>
      </c>
      <c r="B429">
        <f t="shared" si="73"/>
        <v>426</v>
      </c>
      <c r="C429">
        <f t="shared" si="67"/>
        <v>29</v>
      </c>
      <c r="D429">
        <v>397</v>
      </c>
      <c r="E429">
        <v>426</v>
      </c>
      <c r="F429">
        <f>RnSPLINE!H$17</f>
        <v>15.5</v>
      </c>
      <c r="G429">
        <f>RnSPLINE!H$18</f>
        <v>31</v>
      </c>
      <c r="H429" s="5">
        <f>RnSPLINE!M$17</f>
        <v>8.7265669774598584E-2</v>
      </c>
      <c r="I429" s="5">
        <f>RnSPLINE!M$18</f>
        <v>-5.5071405976024834E-2</v>
      </c>
      <c r="J429">
        <f t="shared" si="68"/>
        <v>0</v>
      </c>
      <c r="K429">
        <f t="shared" si="69"/>
        <v>1</v>
      </c>
      <c r="M429" s="6">
        <f t="shared" si="71"/>
        <v>31</v>
      </c>
      <c r="N429" s="6">
        <f t="shared" si="76"/>
        <v>31</v>
      </c>
      <c r="O429" s="6">
        <f t="shared" si="74"/>
        <v>9487.0416666666679</v>
      </c>
      <c r="P429" s="6">
        <f t="shared" si="75"/>
        <v>9445.8428098916957</v>
      </c>
      <c r="Q429" s="6">
        <f t="shared" si="72"/>
        <v>31</v>
      </c>
    </row>
    <row r="430" spans="1:17">
      <c r="B430">
        <f t="shared" si="73"/>
        <v>427</v>
      </c>
      <c r="C430">
        <f t="shared" si="67"/>
        <v>31</v>
      </c>
      <c r="D430">
        <v>426</v>
      </c>
      <c r="E430">
        <v>457</v>
      </c>
      <c r="F430">
        <f>RnSPLINE!H$18</f>
        <v>31</v>
      </c>
      <c r="G430">
        <f>RnSPLINE!H$19</f>
        <v>28</v>
      </c>
      <c r="H430" s="5">
        <f>RnSPLINE!M$18</f>
        <v>-5.5071405976024834E-2</v>
      </c>
      <c r="I430" s="5">
        <f>RnSPLINE!M$19</f>
        <v>9.3652445369406864E-3</v>
      </c>
      <c r="J430">
        <f t="shared" si="68"/>
        <v>0.967741935483871</v>
      </c>
      <c r="K430">
        <f t="shared" si="69"/>
        <v>3.2258064516129031E-2</v>
      </c>
      <c r="M430" s="6">
        <f t="shared" si="71"/>
        <v>30.903225806451612</v>
      </c>
      <c r="N430" s="6">
        <f t="shared" si="76"/>
        <v>31.396720635379904</v>
      </c>
      <c r="O430" s="6">
        <f t="shared" si="74"/>
        <v>9517.9448924731187</v>
      </c>
      <c r="P430" s="6">
        <f t="shared" si="75"/>
        <v>9477.2395305270747</v>
      </c>
      <c r="Q430" s="6">
        <f t="shared" si="72"/>
        <v>31.396720635379904</v>
      </c>
    </row>
    <row r="431" spans="1:17">
      <c r="B431">
        <f t="shared" si="73"/>
        <v>428</v>
      </c>
      <c r="C431">
        <f t="shared" si="67"/>
        <v>31</v>
      </c>
      <c r="D431">
        <v>426</v>
      </c>
      <c r="E431">
        <v>457</v>
      </c>
      <c r="F431">
        <f>RnSPLINE!H$18</f>
        <v>31</v>
      </c>
      <c r="G431">
        <f>RnSPLINE!H$19</f>
        <v>28</v>
      </c>
      <c r="H431" s="5">
        <f>RnSPLINE!M$18</f>
        <v>-5.5071405976024834E-2</v>
      </c>
      <c r="I431" s="5">
        <f>RnSPLINE!M$19</f>
        <v>9.3652445369406864E-3</v>
      </c>
      <c r="J431">
        <f t="shared" si="68"/>
        <v>0.93548387096774188</v>
      </c>
      <c r="K431">
        <f t="shared" si="69"/>
        <v>6.4516129032258063E-2</v>
      </c>
      <c r="M431" s="6">
        <f t="shared" si="71"/>
        <v>30.806451612903224</v>
      </c>
      <c r="N431" s="6">
        <f t="shared" si="76"/>
        <v>31.740448466413238</v>
      </c>
      <c r="O431" s="6">
        <f t="shared" si="74"/>
        <v>9548.7513440860221</v>
      </c>
      <c r="P431" s="6">
        <f t="shared" si="75"/>
        <v>9508.9799789934877</v>
      </c>
      <c r="Q431" s="6">
        <f t="shared" si="72"/>
        <v>31.740448466413238</v>
      </c>
    </row>
    <row r="432" spans="1:17">
      <c r="B432">
        <f t="shared" si="73"/>
        <v>429</v>
      </c>
      <c r="C432">
        <f t="shared" si="67"/>
        <v>31</v>
      </c>
      <c r="D432">
        <v>426</v>
      </c>
      <c r="E432">
        <v>457</v>
      </c>
      <c r="F432">
        <f>RnSPLINE!H$18</f>
        <v>31</v>
      </c>
      <c r="G432">
        <f>RnSPLINE!H$19</f>
        <v>28</v>
      </c>
      <c r="H432" s="5">
        <f>RnSPLINE!M$18</f>
        <v>-5.5071405976024834E-2</v>
      </c>
      <c r="I432" s="5">
        <f>RnSPLINE!M$19</f>
        <v>9.3652445369406864E-3</v>
      </c>
      <c r="J432">
        <f t="shared" si="68"/>
        <v>0.90322580645161288</v>
      </c>
      <c r="K432">
        <f t="shared" si="69"/>
        <v>9.6774193548387094E-2</v>
      </c>
      <c r="M432" s="6">
        <f t="shared" si="71"/>
        <v>30.70967741935484</v>
      </c>
      <c r="N432" s="6">
        <f t="shared" si="76"/>
        <v>32.033262094729444</v>
      </c>
      <c r="O432" s="6">
        <f t="shared" si="74"/>
        <v>9579.4610215053763</v>
      </c>
      <c r="P432" s="6">
        <f t="shared" si="75"/>
        <v>9541.0132410882179</v>
      </c>
      <c r="Q432" s="6">
        <f t="shared" si="72"/>
        <v>32.033262094729444</v>
      </c>
    </row>
    <row r="433" spans="2:17">
      <c r="B433">
        <f t="shared" si="73"/>
        <v>430</v>
      </c>
      <c r="C433">
        <f t="shared" si="67"/>
        <v>31</v>
      </c>
      <c r="D433">
        <v>426</v>
      </c>
      <c r="E433">
        <v>457</v>
      </c>
      <c r="F433">
        <f>RnSPLINE!H$18</f>
        <v>31</v>
      </c>
      <c r="G433">
        <f>RnSPLINE!H$19</f>
        <v>28</v>
      </c>
      <c r="H433" s="5">
        <f>RnSPLINE!M$18</f>
        <v>-5.5071405976024834E-2</v>
      </c>
      <c r="I433" s="5">
        <f>RnSPLINE!M$19</f>
        <v>9.3652445369406864E-3</v>
      </c>
      <c r="J433">
        <f t="shared" si="68"/>
        <v>0.87096774193548387</v>
      </c>
      <c r="K433">
        <f t="shared" si="69"/>
        <v>0.12903225806451613</v>
      </c>
      <c r="M433" s="6">
        <f t="shared" si="71"/>
        <v>30.612903225806452</v>
      </c>
      <c r="N433" s="6">
        <f t="shared" si="76"/>
        <v>32.277240121957981</v>
      </c>
      <c r="O433" s="6">
        <f t="shared" si="74"/>
        <v>9610.0739247311831</v>
      </c>
      <c r="P433" s="6">
        <f t="shared" si="75"/>
        <v>9573.2904812101751</v>
      </c>
      <c r="Q433" s="6">
        <f t="shared" si="72"/>
        <v>32.277240121957981</v>
      </c>
    </row>
    <row r="434" spans="2:17">
      <c r="B434">
        <f t="shared" si="73"/>
        <v>431</v>
      </c>
      <c r="C434">
        <f t="shared" si="67"/>
        <v>31</v>
      </c>
      <c r="D434">
        <v>426</v>
      </c>
      <c r="E434">
        <v>457</v>
      </c>
      <c r="F434">
        <f>RnSPLINE!H$18</f>
        <v>31</v>
      </c>
      <c r="G434">
        <f>RnSPLINE!H$19</f>
        <v>28</v>
      </c>
      <c r="H434" s="5">
        <f>RnSPLINE!M$18</f>
        <v>-5.5071405976024834E-2</v>
      </c>
      <c r="I434" s="5">
        <f>RnSPLINE!M$19</f>
        <v>9.3652445369406864E-3</v>
      </c>
      <c r="J434">
        <f t="shared" si="68"/>
        <v>0.83870967741935487</v>
      </c>
      <c r="K434">
        <f t="shared" si="69"/>
        <v>0.16129032258064516</v>
      </c>
      <c r="M434" s="6">
        <f t="shared" si="71"/>
        <v>30.516129032258064</v>
      </c>
      <c r="N434" s="6">
        <f t="shared" si="76"/>
        <v>32.474461149728285</v>
      </c>
      <c r="O434" s="6">
        <f t="shared" si="74"/>
        <v>9640.5900537634407</v>
      </c>
      <c r="P434" s="6">
        <f t="shared" si="75"/>
        <v>9605.7649423599032</v>
      </c>
      <c r="Q434" s="6">
        <f t="shared" si="72"/>
        <v>32.474461149728285</v>
      </c>
    </row>
    <row r="435" spans="2:17">
      <c r="B435">
        <f t="shared" si="73"/>
        <v>432</v>
      </c>
      <c r="C435">
        <f t="shared" si="67"/>
        <v>31</v>
      </c>
      <c r="D435">
        <v>426</v>
      </c>
      <c r="E435">
        <v>457</v>
      </c>
      <c r="F435">
        <f>RnSPLINE!H$18</f>
        <v>31</v>
      </c>
      <c r="G435">
        <f>RnSPLINE!H$19</f>
        <v>28</v>
      </c>
      <c r="H435" s="5">
        <f>RnSPLINE!M$18</f>
        <v>-5.5071405976024834E-2</v>
      </c>
      <c r="I435" s="5">
        <f>RnSPLINE!M$19</f>
        <v>9.3652445369406864E-3</v>
      </c>
      <c r="J435">
        <f t="shared" si="68"/>
        <v>0.80645161290322576</v>
      </c>
      <c r="K435">
        <f t="shared" si="69"/>
        <v>0.19354838709677419</v>
      </c>
      <c r="M435" s="6">
        <f t="shared" si="71"/>
        <v>30.419354838709676</v>
      </c>
      <c r="N435" s="6">
        <f t="shared" si="76"/>
        <v>32.627003779669828</v>
      </c>
      <c r="O435" s="6">
        <f t="shared" si="74"/>
        <v>9671.0094086021509</v>
      </c>
      <c r="P435" s="6">
        <f t="shared" si="75"/>
        <v>9638.3919461395726</v>
      </c>
      <c r="Q435" s="6">
        <f t="shared" si="72"/>
        <v>32.627003779669828</v>
      </c>
    </row>
    <row r="436" spans="2:17">
      <c r="B436">
        <f t="shared" si="73"/>
        <v>433</v>
      </c>
      <c r="C436">
        <f t="shared" si="67"/>
        <v>31</v>
      </c>
      <c r="D436">
        <v>426</v>
      </c>
      <c r="E436">
        <v>457</v>
      </c>
      <c r="F436">
        <f>RnSPLINE!H$18</f>
        <v>31</v>
      </c>
      <c r="G436">
        <f>RnSPLINE!H$19</f>
        <v>28</v>
      </c>
      <c r="H436" s="5">
        <f>RnSPLINE!M$18</f>
        <v>-5.5071405976024834E-2</v>
      </c>
      <c r="I436" s="5">
        <f>RnSPLINE!M$19</f>
        <v>9.3652445369406864E-3</v>
      </c>
      <c r="J436">
        <f t="shared" si="68"/>
        <v>0.77419354838709675</v>
      </c>
      <c r="K436">
        <f t="shared" si="69"/>
        <v>0.22580645161290322</v>
      </c>
      <c r="M436" s="6">
        <f t="shared" si="71"/>
        <v>30.322580645161288</v>
      </c>
      <c r="N436" s="6">
        <f t="shared" si="76"/>
        <v>32.736946613412044</v>
      </c>
      <c r="O436" s="6">
        <f t="shared" si="74"/>
        <v>9701.3319892473119</v>
      </c>
      <c r="P436" s="6">
        <f t="shared" si="75"/>
        <v>9671.128892752984</v>
      </c>
      <c r="Q436" s="6">
        <f t="shared" si="72"/>
        <v>32.736946613412044</v>
      </c>
    </row>
    <row r="437" spans="2:17">
      <c r="B437">
        <f t="shared" si="73"/>
        <v>434</v>
      </c>
      <c r="C437">
        <f t="shared" si="67"/>
        <v>31</v>
      </c>
      <c r="D437">
        <v>426</v>
      </c>
      <c r="E437">
        <v>457</v>
      </c>
      <c r="F437">
        <f>RnSPLINE!H$18</f>
        <v>31</v>
      </c>
      <c r="G437">
        <f>RnSPLINE!H$19</f>
        <v>28</v>
      </c>
      <c r="H437" s="5">
        <f>RnSPLINE!M$18</f>
        <v>-5.5071405976024834E-2</v>
      </c>
      <c r="I437" s="5">
        <f>RnSPLINE!M$19</f>
        <v>9.3652445369406864E-3</v>
      </c>
      <c r="J437">
        <f t="shared" si="68"/>
        <v>0.74193548387096775</v>
      </c>
      <c r="K437">
        <f t="shared" si="69"/>
        <v>0.25806451612903225</v>
      </c>
      <c r="M437" s="6">
        <f t="shared" si="71"/>
        <v>30.225806451612904</v>
      </c>
      <c r="N437" s="6">
        <f t="shared" si="76"/>
        <v>32.806368252584392</v>
      </c>
      <c r="O437" s="6">
        <f t="shared" si="74"/>
        <v>9731.5577956989255</v>
      </c>
      <c r="P437" s="6">
        <f t="shared" si="75"/>
        <v>9703.9352610055685</v>
      </c>
      <c r="Q437" s="6">
        <f t="shared" si="72"/>
        <v>32.806368252584392</v>
      </c>
    </row>
    <row r="438" spans="2:17">
      <c r="B438">
        <f t="shared" si="73"/>
        <v>435</v>
      </c>
      <c r="C438">
        <f t="shared" si="67"/>
        <v>31</v>
      </c>
      <c r="D438">
        <v>426</v>
      </c>
      <c r="E438">
        <v>457</v>
      </c>
      <c r="F438">
        <f>RnSPLINE!H$18</f>
        <v>31</v>
      </c>
      <c r="G438">
        <f>RnSPLINE!H$19</f>
        <v>28</v>
      </c>
      <c r="H438" s="5">
        <f>RnSPLINE!M$18</f>
        <v>-5.5071405976024834E-2</v>
      </c>
      <c r="I438" s="5">
        <f>RnSPLINE!M$19</f>
        <v>9.3652445369406864E-3</v>
      </c>
      <c r="J438">
        <f t="shared" si="68"/>
        <v>0.70967741935483875</v>
      </c>
      <c r="K438">
        <f t="shared" si="69"/>
        <v>0.29032258064516131</v>
      </c>
      <c r="M438" s="6">
        <f t="shared" si="71"/>
        <v>30.129032258064516</v>
      </c>
      <c r="N438" s="6">
        <f t="shared" si="76"/>
        <v>32.837347298816312</v>
      </c>
      <c r="O438" s="6">
        <f t="shared" si="74"/>
        <v>9761.6868279569899</v>
      </c>
      <c r="P438" s="6">
        <f t="shared" si="75"/>
        <v>9736.7726083043854</v>
      </c>
      <c r="Q438" s="6">
        <f t="shared" si="72"/>
        <v>32.837347298816312</v>
      </c>
    </row>
    <row r="439" spans="2:17">
      <c r="B439">
        <f t="shared" si="73"/>
        <v>436</v>
      </c>
      <c r="C439">
        <f t="shared" si="67"/>
        <v>31</v>
      </c>
      <c r="D439">
        <v>426</v>
      </c>
      <c r="E439">
        <v>457</v>
      </c>
      <c r="F439">
        <f>RnSPLINE!H$18</f>
        <v>31</v>
      </c>
      <c r="G439">
        <f>RnSPLINE!H$19</f>
        <v>28</v>
      </c>
      <c r="H439" s="5">
        <f>RnSPLINE!M$18</f>
        <v>-5.5071405976024834E-2</v>
      </c>
      <c r="I439" s="5">
        <f>RnSPLINE!M$19</f>
        <v>9.3652445369406864E-3</v>
      </c>
      <c r="J439">
        <f t="shared" si="68"/>
        <v>0.67741935483870963</v>
      </c>
      <c r="K439">
        <f t="shared" si="69"/>
        <v>0.32258064516129031</v>
      </c>
      <c r="M439" s="6">
        <f t="shared" si="71"/>
        <v>30.032258064516128</v>
      </c>
      <c r="N439" s="6">
        <f t="shared" si="76"/>
        <v>32.831962353737268</v>
      </c>
      <c r="O439" s="6">
        <f t="shared" si="74"/>
        <v>9791.7190860215069</v>
      </c>
      <c r="P439" s="6">
        <f t="shared" si="75"/>
        <v>9769.6045706581226</v>
      </c>
      <c r="Q439" s="6">
        <f t="shared" si="72"/>
        <v>32.831962353737268</v>
      </c>
    </row>
    <row r="440" spans="2:17">
      <c r="B440">
        <f t="shared" si="73"/>
        <v>437</v>
      </c>
      <c r="C440">
        <f t="shared" si="67"/>
        <v>31</v>
      </c>
      <c r="D440">
        <v>426</v>
      </c>
      <c r="E440">
        <v>457</v>
      </c>
      <c r="F440">
        <f>RnSPLINE!H$18</f>
        <v>31</v>
      </c>
      <c r="G440">
        <f>RnSPLINE!H$19</f>
        <v>28</v>
      </c>
      <c r="H440" s="5">
        <f>RnSPLINE!M$18</f>
        <v>-5.5071405976024834E-2</v>
      </c>
      <c r="I440" s="5">
        <f>RnSPLINE!M$19</f>
        <v>9.3652445369406864E-3</v>
      </c>
      <c r="J440">
        <f t="shared" si="68"/>
        <v>0.64516129032258063</v>
      </c>
      <c r="K440">
        <f t="shared" si="69"/>
        <v>0.35483870967741937</v>
      </c>
      <c r="M440" s="6">
        <f t="shared" si="71"/>
        <v>29.935483870967744</v>
      </c>
      <c r="N440" s="6">
        <f t="shared" si="76"/>
        <v>32.792292018976703</v>
      </c>
      <c r="O440" s="6">
        <f t="shared" si="74"/>
        <v>9821.6545698924747</v>
      </c>
      <c r="P440" s="6">
        <f t="shared" si="75"/>
        <v>9802.3968626771002</v>
      </c>
      <c r="Q440" s="6">
        <f t="shared" si="72"/>
        <v>32.792292018976703</v>
      </c>
    </row>
    <row r="441" spans="2:17">
      <c r="B441">
        <f t="shared" si="73"/>
        <v>438</v>
      </c>
      <c r="C441">
        <f t="shared" si="67"/>
        <v>31</v>
      </c>
      <c r="D441">
        <v>426</v>
      </c>
      <c r="E441">
        <v>457</v>
      </c>
      <c r="F441">
        <f>RnSPLINE!H$18</f>
        <v>31</v>
      </c>
      <c r="G441">
        <f>RnSPLINE!H$19</f>
        <v>28</v>
      </c>
      <c r="H441" s="5">
        <f>RnSPLINE!M$18</f>
        <v>-5.5071405976024834E-2</v>
      </c>
      <c r="I441" s="5">
        <f>RnSPLINE!M$19</f>
        <v>9.3652445369406864E-3</v>
      </c>
      <c r="J441">
        <f t="shared" si="68"/>
        <v>0.61290322580645162</v>
      </c>
      <c r="K441">
        <f t="shared" si="69"/>
        <v>0.38709677419354838</v>
      </c>
      <c r="M441" s="6">
        <f t="shared" si="71"/>
        <v>29.838709677419352</v>
      </c>
      <c r="N441" s="6">
        <f t="shared" si="76"/>
        <v>32.720414896164066</v>
      </c>
      <c r="O441" s="6">
        <f t="shared" si="74"/>
        <v>9851.4932795698933</v>
      </c>
      <c r="P441" s="6">
        <f t="shared" si="75"/>
        <v>9835.1172775732648</v>
      </c>
      <c r="Q441" s="6">
        <f t="shared" si="72"/>
        <v>32.720414896164066</v>
      </c>
    </row>
    <row r="442" spans="2:17">
      <c r="B442">
        <f t="shared" si="73"/>
        <v>439</v>
      </c>
      <c r="C442">
        <f t="shared" si="67"/>
        <v>31</v>
      </c>
      <c r="D442">
        <v>426</v>
      </c>
      <c r="E442">
        <v>457</v>
      </c>
      <c r="F442">
        <f>RnSPLINE!H$18</f>
        <v>31</v>
      </c>
      <c r="G442">
        <f>RnSPLINE!H$19</f>
        <v>28</v>
      </c>
      <c r="H442" s="5">
        <f>RnSPLINE!M$18</f>
        <v>-5.5071405976024834E-2</v>
      </c>
      <c r="I442" s="5">
        <f>RnSPLINE!M$19</f>
        <v>9.3652445369406864E-3</v>
      </c>
      <c r="J442">
        <f t="shared" si="68"/>
        <v>0.58064516129032262</v>
      </c>
      <c r="K442">
        <f t="shared" si="69"/>
        <v>0.41935483870967744</v>
      </c>
      <c r="M442" s="6">
        <f t="shared" si="71"/>
        <v>29.741935483870968</v>
      </c>
      <c r="N442" s="6">
        <f t="shared" si="76"/>
        <v>32.618409586928813</v>
      </c>
      <c r="O442" s="6">
        <f t="shared" si="74"/>
        <v>9881.2352150537645</v>
      </c>
      <c r="P442" s="6">
        <f t="shared" si="75"/>
        <v>9867.7356871601933</v>
      </c>
      <c r="Q442" s="6">
        <f t="shared" si="72"/>
        <v>32.618409586928813</v>
      </c>
    </row>
    <row r="443" spans="2:17">
      <c r="B443">
        <f t="shared" si="73"/>
        <v>440</v>
      </c>
      <c r="C443">
        <f t="shared" si="67"/>
        <v>31</v>
      </c>
      <c r="D443">
        <v>426</v>
      </c>
      <c r="E443">
        <v>457</v>
      </c>
      <c r="F443">
        <f>RnSPLINE!H$18</f>
        <v>31</v>
      </c>
      <c r="G443">
        <f>RnSPLINE!H$19</f>
        <v>28</v>
      </c>
      <c r="H443" s="5">
        <f>RnSPLINE!M$18</f>
        <v>-5.5071405976024834E-2</v>
      </c>
      <c r="I443" s="5">
        <f>RnSPLINE!M$19</f>
        <v>9.3652445369406864E-3</v>
      </c>
      <c r="J443">
        <f t="shared" si="68"/>
        <v>0.54838709677419351</v>
      </c>
      <c r="K443">
        <f t="shared" si="69"/>
        <v>0.45161290322580644</v>
      </c>
      <c r="M443" s="6">
        <f t="shared" si="71"/>
        <v>29.64516129032258</v>
      </c>
      <c r="N443" s="6">
        <f t="shared" si="76"/>
        <v>32.488354692900394</v>
      </c>
      <c r="O443" s="6">
        <f t="shared" si="74"/>
        <v>9910.8803763440865</v>
      </c>
      <c r="P443" s="6">
        <f t="shared" si="75"/>
        <v>9900.2240418530928</v>
      </c>
      <c r="Q443" s="6">
        <f t="shared" si="72"/>
        <v>32.488354692900394</v>
      </c>
    </row>
    <row r="444" spans="2:17">
      <c r="B444">
        <f t="shared" si="73"/>
        <v>441</v>
      </c>
      <c r="C444">
        <f t="shared" si="67"/>
        <v>31</v>
      </c>
      <c r="D444">
        <v>426</v>
      </c>
      <c r="E444">
        <v>457</v>
      </c>
      <c r="F444">
        <f>RnSPLINE!H$18</f>
        <v>31</v>
      </c>
      <c r="G444">
        <f>RnSPLINE!H$19</f>
        <v>28</v>
      </c>
      <c r="H444" s="5">
        <f>RnSPLINE!M$18</f>
        <v>-5.5071405976024834E-2</v>
      </c>
      <c r="I444" s="5">
        <f>RnSPLINE!M$19</f>
        <v>9.3652445369406864E-3</v>
      </c>
      <c r="J444">
        <f t="shared" si="68"/>
        <v>0.5161290322580645</v>
      </c>
      <c r="K444">
        <f t="shared" si="69"/>
        <v>0.4838709677419355</v>
      </c>
      <c r="M444" s="6">
        <f t="shared" si="71"/>
        <v>29.548387096774192</v>
      </c>
      <c r="N444" s="6">
        <f t="shared" si="76"/>
        <v>32.332328815708252</v>
      </c>
      <c r="O444" s="6">
        <f t="shared" si="74"/>
        <v>9940.4287634408611</v>
      </c>
      <c r="P444" s="6">
        <f t="shared" si="75"/>
        <v>9932.5563706688008</v>
      </c>
      <c r="Q444" s="6">
        <f t="shared" si="72"/>
        <v>32.332328815708252</v>
      </c>
    </row>
    <row r="445" spans="2:17">
      <c r="B445">
        <f t="shared" si="73"/>
        <v>442</v>
      </c>
      <c r="C445">
        <f t="shared" si="67"/>
        <v>31</v>
      </c>
      <c r="D445">
        <v>426</v>
      </c>
      <c r="E445">
        <v>457</v>
      </c>
      <c r="F445">
        <f>RnSPLINE!H$18</f>
        <v>31</v>
      </c>
      <c r="G445">
        <f>RnSPLINE!H$19</f>
        <v>28</v>
      </c>
      <c r="H445" s="5">
        <f>RnSPLINE!M$18</f>
        <v>-5.5071405976024834E-2</v>
      </c>
      <c r="I445" s="5">
        <f>RnSPLINE!M$19</f>
        <v>9.3652445369406864E-3</v>
      </c>
      <c r="J445">
        <f t="shared" si="68"/>
        <v>0.4838709677419355</v>
      </c>
      <c r="K445">
        <f t="shared" si="69"/>
        <v>0.5161290322580645</v>
      </c>
      <c r="M445" s="6">
        <f t="shared" si="71"/>
        <v>29.451612903225808</v>
      </c>
      <c r="N445" s="6">
        <f t="shared" si="76"/>
        <v>32.152410556981849</v>
      </c>
      <c r="O445" s="6">
        <f t="shared" si="74"/>
        <v>9969.8803763440865</v>
      </c>
      <c r="P445" s="6">
        <f t="shared" si="75"/>
        <v>9964.7087812257832</v>
      </c>
      <c r="Q445" s="6">
        <f t="shared" si="72"/>
        <v>32.152410556981849</v>
      </c>
    </row>
    <row r="446" spans="2:17">
      <c r="B446">
        <f t="shared" si="73"/>
        <v>443</v>
      </c>
      <c r="C446">
        <f t="shared" si="67"/>
        <v>31</v>
      </c>
      <c r="D446">
        <v>426</v>
      </c>
      <c r="E446">
        <v>457</v>
      </c>
      <c r="F446">
        <f>RnSPLINE!H$18</f>
        <v>31</v>
      </c>
      <c r="G446">
        <f>RnSPLINE!H$19</f>
        <v>28</v>
      </c>
      <c r="H446" s="5">
        <f>RnSPLINE!M$18</f>
        <v>-5.5071405976024834E-2</v>
      </c>
      <c r="I446" s="5">
        <f>RnSPLINE!M$19</f>
        <v>9.3652445369406864E-3</v>
      </c>
      <c r="J446">
        <f t="shared" si="68"/>
        <v>0.45161290322580644</v>
      </c>
      <c r="K446">
        <f t="shared" si="69"/>
        <v>0.54838709677419351</v>
      </c>
      <c r="M446" s="6">
        <f t="shared" si="71"/>
        <v>29.354838709677416</v>
      </c>
      <c r="N446" s="6">
        <f t="shared" si="76"/>
        <v>31.950678518350617</v>
      </c>
      <c r="O446" s="6">
        <f t="shared" si="74"/>
        <v>9999.2352150537645</v>
      </c>
      <c r="P446" s="6">
        <f t="shared" si="75"/>
        <v>9996.6594597441344</v>
      </c>
      <c r="Q446" s="6">
        <f t="shared" si="72"/>
        <v>31.950678518350617</v>
      </c>
    </row>
    <row r="447" spans="2:17">
      <c r="B447">
        <f t="shared" si="73"/>
        <v>444</v>
      </c>
      <c r="C447">
        <f t="shared" si="67"/>
        <v>31</v>
      </c>
      <c r="D447">
        <v>426</v>
      </c>
      <c r="E447">
        <v>457</v>
      </c>
      <c r="F447">
        <f>RnSPLINE!H$18</f>
        <v>31</v>
      </c>
      <c r="G447">
        <f>RnSPLINE!H$19</f>
        <v>28</v>
      </c>
      <c r="H447" s="5">
        <f>RnSPLINE!M$18</f>
        <v>-5.5071405976024834E-2</v>
      </c>
      <c r="I447" s="5">
        <f>RnSPLINE!M$19</f>
        <v>9.3652445369406864E-3</v>
      </c>
      <c r="J447">
        <f t="shared" si="68"/>
        <v>0.41935483870967744</v>
      </c>
      <c r="K447">
        <f t="shared" si="69"/>
        <v>0.58064516129032262</v>
      </c>
      <c r="M447" s="6">
        <f t="shared" si="71"/>
        <v>29.258064516129032</v>
      </c>
      <c r="N447" s="6">
        <f t="shared" si="76"/>
        <v>31.729211301444032</v>
      </c>
      <c r="O447" s="6">
        <f t="shared" si="74"/>
        <v>10028.493279569893</v>
      </c>
      <c r="P447" s="6">
        <f t="shared" si="75"/>
        <v>10028.388671045579</v>
      </c>
      <c r="Q447" s="6">
        <f t="shared" si="72"/>
        <v>31.729211301444032</v>
      </c>
    </row>
    <row r="448" spans="2:17">
      <c r="B448">
        <f t="shared" si="73"/>
        <v>445</v>
      </c>
      <c r="C448">
        <f t="shared" si="67"/>
        <v>31</v>
      </c>
      <c r="D448">
        <v>426</v>
      </c>
      <c r="E448">
        <v>457</v>
      </c>
      <c r="F448">
        <f>RnSPLINE!H$18</f>
        <v>31</v>
      </c>
      <c r="G448">
        <f>RnSPLINE!H$19</f>
        <v>28</v>
      </c>
      <c r="H448" s="5">
        <f>RnSPLINE!M$18</f>
        <v>-5.5071405976024834E-2</v>
      </c>
      <c r="I448" s="5">
        <f>RnSPLINE!M$19</f>
        <v>9.3652445369406864E-3</v>
      </c>
      <c r="J448">
        <f t="shared" si="68"/>
        <v>0.38709677419354838</v>
      </c>
      <c r="K448">
        <f t="shared" si="69"/>
        <v>0.61290322580645162</v>
      </c>
      <c r="M448" s="6">
        <f t="shared" si="71"/>
        <v>29.161290322580644</v>
      </c>
      <c r="N448" s="6">
        <f t="shared" si="76"/>
        <v>31.490087507891523</v>
      </c>
      <c r="O448" s="6">
        <f t="shared" si="74"/>
        <v>10057.654569892475</v>
      </c>
      <c r="P448" s="6">
        <f t="shared" si="75"/>
        <v>10059.87875855347</v>
      </c>
      <c r="Q448" s="6">
        <f t="shared" si="72"/>
        <v>31.490087507891523</v>
      </c>
    </row>
    <row r="449" spans="1:17">
      <c r="B449">
        <f t="shared" si="73"/>
        <v>446</v>
      </c>
      <c r="C449">
        <f t="shared" si="67"/>
        <v>31</v>
      </c>
      <c r="D449">
        <v>426</v>
      </c>
      <c r="E449">
        <v>457</v>
      </c>
      <c r="F449">
        <f>RnSPLINE!H$18</f>
        <v>31</v>
      </c>
      <c r="G449">
        <f>RnSPLINE!H$19</f>
        <v>28</v>
      </c>
      <c r="H449" s="5">
        <f>RnSPLINE!M$18</f>
        <v>-5.5071405976024834E-2</v>
      </c>
      <c r="I449" s="5">
        <f>RnSPLINE!M$19</f>
        <v>9.3652445369406864E-3</v>
      </c>
      <c r="J449">
        <f t="shared" si="68"/>
        <v>0.35483870967741937</v>
      </c>
      <c r="K449">
        <f t="shared" si="69"/>
        <v>0.64516129032258063</v>
      </c>
      <c r="M449" s="6">
        <f t="shared" si="71"/>
        <v>29.064516129032256</v>
      </c>
      <c r="N449" s="6">
        <f t="shared" si="76"/>
        <v>31.235385739322552</v>
      </c>
      <c r="O449" s="6">
        <f t="shared" si="74"/>
        <v>10086.719086021507</v>
      </c>
      <c r="P449" s="6">
        <f t="shared" si="75"/>
        <v>10091.114144292793</v>
      </c>
      <c r="Q449" s="6">
        <f t="shared" si="72"/>
        <v>31.235385739322552</v>
      </c>
    </row>
    <row r="450" spans="1:17">
      <c r="B450">
        <f t="shared" si="73"/>
        <v>447</v>
      </c>
      <c r="C450">
        <f t="shared" si="67"/>
        <v>31</v>
      </c>
      <c r="D450">
        <v>426</v>
      </c>
      <c r="E450">
        <v>457</v>
      </c>
      <c r="F450">
        <f>RnSPLINE!H$18</f>
        <v>31</v>
      </c>
      <c r="G450">
        <f>RnSPLINE!H$19</f>
        <v>28</v>
      </c>
      <c r="H450" s="5">
        <f>RnSPLINE!M$18</f>
        <v>-5.5071405976024834E-2</v>
      </c>
      <c r="I450" s="5">
        <f>RnSPLINE!M$19</f>
        <v>9.3652445369406864E-3</v>
      </c>
      <c r="J450">
        <f t="shared" si="68"/>
        <v>0.32258064516129031</v>
      </c>
      <c r="K450">
        <f t="shared" si="69"/>
        <v>0.67741935483870963</v>
      </c>
      <c r="M450" s="6">
        <f t="shared" si="71"/>
        <v>28.967741935483868</v>
      </c>
      <c r="N450" s="6">
        <f t="shared" si="76"/>
        <v>30.967184597366565</v>
      </c>
      <c r="O450" s="6">
        <f t="shared" si="74"/>
        <v>10115.68682795699</v>
      </c>
      <c r="P450" s="6">
        <f t="shared" si="75"/>
        <v>10122.081328890159</v>
      </c>
      <c r="Q450" s="6">
        <f t="shared" si="72"/>
        <v>30.967184597366565</v>
      </c>
    </row>
    <row r="451" spans="1:17">
      <c r="B451">
        <f t="shared" si="73"/>
        <v>448</v>
      </c>
      <c r="C451">
        <f t="shared" si="67"/>
        <v>31</v>
      </c>
      <c r="D451">
        <v>426</v>
      </c>
      <c r="E451">
        <v>457</v>
      </c>
      <c r="F451">
        <f>RnSPLINE!H$18</f>
        <v>31</v>
      </c>
      <c r="G451">
        <f>RnSPLINE!H$19</f>
        <v>28</v>
      </c>
      <c r="H451" s="5">
        <f>RnSPLINE!M$18</f>
        <v>-5.5071405976024834E-2</v>
      </c>
      <c r="I451" s="5">
        <f>RnSPLINE!M$19</f>
        <v>9.3652445369406864E-3</v>
      </c>
      <c r="J451">
        <f t="shared" si="68"/>
        <v>0.29032258064516131</v>
      </c>
      <c r="K451">
        <f t="shared" si="69"/>
        <v>0.70967741935483875</v>
      </c>
      <c r="M451" s="6">
        <f t="shared" si="71"/>
        <v>28.870967741935484</v>
      </c>
      <c r="N451" s="6">
        <f t="shared" si="76"/>
        <v>30.687562683653017</v>
      </c>
      <c r="O451" s="6">
        <f t="shared" si="74"/>
        <v>10144.557795698925</v>
      </c>
      <c r="P451" s="6">
        <f t="shared" si="75"/>
        <v>10152.768891573813</v>
      </c>
      <c r="Q451" s="6">
        <f t="shared" si="72"/>
        <v>30.687562683653017</v>
      </c>
    </row>
    <row r="452" spans="1:17">
      <c r="B452">
        <f t="shared" si="73"/>
        <v>449</v>
      </c>
      <c r="C452">
        <f t="shared" ref="C452:C460" si="77">E452-D452</f>
        <v>31</v>
      </c>
      <c r="D452">
        <v>426</v>
      </c>
      <c r="E452">
        <v>457</v>
      </c>
      <c r="F452">
        <f>RnSPLINE!H$18</f>
        <v>31</v>
      </c>
      <c r="G452">
        <f>RnSPLINE!H$19</f>
        <v>28</v>
      </c>
      <c r="H452" s="5">
        <f>RnSPLINE!M$18</f>
        <v>-5.5071405976024834E-2</v>
      </c>
      <c r="I452" s="5">
        <f>RnSPLINE!M$19</f>
        <v>9.3652445369406864E-3</v>
      </c>
      <c r="J452">
        <f t="shared" ref="J452:J460" si="78">(E452-B452)/C452</f>
        <v>0.25806451612903225</v>
      </c>
      <c r="K452">
        <f t="shared" ref="K452:K460" si="79">(B452-D452)/C452</f>
        <v>0.74193548387096775</v>
      </c>
      <c r="M452" s="6">
        <f t="shared" ref="M452:M460" si="80">J452*F452+K452*G452</f>
        <v>28.774193548387096</v>
      </c>
      <c r="N452" s="6">
        <f t="shared" si="76"/>
        <v>30.398598599811351</v>
      </c>
      <c r="O452" s="6">
        <f t="shared" si="74"/>
        <v>10173.331989247312</v>
      </c>
      <c r="P452" s="6">
        <f t="shared" si="75"/>
        <v>10183.167490173624</v>
      </c>
      <c r="Q452" s="6">
        <f t="shared" ref="Q452:Q460" si="81">M452+(((J452^3-J452)*H452+(K452^3-K452)*I452))*(C452^2)/6</f>
        <v>30.398598599811351</v>
      </c>
    </row>
    <row r="453" spans="1:17">
      <c r="B453">
        <f t="shared" ref="B453:B460" si="82">B452+1</f>
        <v>450</v>
      </c>
      <c r="C453">
        <f t="shared" si="77"/>
        <v>31</v>
      </c>
      <c r="D453">
        <v>426</v>
      </c>
      <c r="E453">
        <v>457</v>
      </c>
      <c r="F453">
        <f>RnSPLINE!H$18</f>
        <v>31</v>
      </c>
      <c r="G453">
        <f>RnSPLINE!H$19</f>
        <v>28</v>
      </c>
      <c r="H453" s="5">
        <f>RnSPLINE!M$18</f>
        <v>-5.5071405976024834E-2</v>
      </c>
      <c r="I453" s="5">
        <f>RnSPLINE!M$19</f>
        <v>9.3652445369406864E-3</v>
      </c>
      <c r="J453">
        <f t="shared" si="78"/>
        <v>0.22580645161290322</v>
      </c>
      <c r="K453">
        <f t="shared" si="79"/>
        <v>0.77419354838709675</v>
      </c>
      <c r="M453" s="6">
        <f t="shared" si="80"/>
        <v>28.677419354838708</v>
      </c>
      <c r="N453" s="6">
        <f t="shared" si="76"/>
        <v>30.102370947471023</v>
      </c>
      <c r="O453" s="6">
        <f t="shared" ref="O453:O460" si="83">O452+M453</f>
        <v>10202.009408602151</v>
      </c>
      <c r="P453" s="6">
        <f t="shared" ref="P453:P460" si="84">P452+N453</f>
        <v>10213.269861121094</v>
      </c>
      <c r="Q453" s="6">
        <f t="shared" si="81"/>
        <v>30.102370947471023</v>
      </c>
    </row>
    <row r="454" spans="1:17">
      <c r="B454">
        <f t="shared" si="82"/>
        <v>451</v>
      </c>
      <c r="C454">
        <f t="shared" si="77"/>
        <v>31</v>
      </c>
      <c r="D454">
        <v>426</v>
      </c>
      <c r="E454">
        <v>457</v>
      </c>
      <c r="F454">
        <f>RnSPLINE!H$18</f>
        <v>31</v>
      </c>
      <c r="G454">
        <f>RnSPLINE!H$19</f>
        <v>28</v>
      </c>
      <c r="H454" s="5">
        <f>RnSPLINE!M$18</f>
        <v>-5.5071405976024834E-2</v>
      </c>
      <c r="I454" s="5">
        <f>RnSPLINE!M$19</f>
        <v>9.3652445369406864E-3</v>
      </c>
      <c r="J454">
        <f t="shared" si="78"/>
        <v>0.19354838709677419</v>
      </c>
      <c r="K454">
        <f t="shared" si="79"/>
        <v>0.80645161290322576</v>
      </c>
      <c r="M454" s="6">
        <f t="shared" si="80"/>
        <v>28.58064516129032</v>
      </c>
      <c r="N454" s="6">
        <f t="shared" si="76"/>
        <v>29.800958328261483</v>
      </c>
      <c r="O454" s="6">
        <f t="shared" si="83"/>
        <v>10230.590053763441</v>
      </c>
      <c r="P454" s="6">
        <f t="shared" si="84"/>
        <v>10243.070819449356</v>
      </c>
      <c r="Q454" s="6">
        <f t="shared" si="81"/>
        <v>29.800958328261483</v>
      </c>
    </row>
    <row r="455" spans="1:17">
      <c r="B455">
        <f t="shared" si="82"/>
        <v>452</v>
      </c>
      <c r="C455">
        <f t="shared" si="77"/>
        <v>31</v>
      </c>
      <c r="D455">
        <v>426</v>
      </c>
      <c r="E455">
        <v>457</v>
      </c>
      <c r="F455">
        <f>RnSPLINE!H$18</f>
        <v>31</v>
      </c>
      <c r="G455">
        <f>RnSPLINE!H$19</f>
        <v>28</v>
      </c>
      <c r="H455" s="5">
        <f>RnSPLINE!M$18</f>
        <v>-5.5071405976024834E-2</v>
      </c>
      <c r="I455" s="5">
        <f>RnSPLINE!M$19</f>
        <v>9.3652445369406864E-3</v>
      </c>
      <c r="J455">
        <f t="shared" si="78"/>
        <v>0.16129032258064516</v>
      </c>
      <c r="K455">
        <f t="shared" si="79"/>
        <v>0.83870967741935487</v>
      </c>
      <c r="M455" s="6">
        <f t="shared" si="80"/>
        <v>28.483870967741936</v>
      </c>
      <c r="N455" s="6">
        <f t="shared" si="76"/>
        <v>29.496439343812181</v>
      </c>
      <c r="O455" s="6">
        <f t="shared" si="83"/>
        <v>10259.073924731183</v>
      </c>
      <c r="P455" s="6">
        <f t="shared" si="84"/>
        <v>10272.567258793168</v>
      </c>
      <c r="Q455" s="6">
        <f t="shared" si="81"/>
        <v>29.496439343812181</v>
      </c>
    </row>
    <row r="456" spans="1:17">
      <c r="B456">
        <f t="shared" si="82"/>
        <v>453</v>
      </c>
      <c r="C456">
        <f t="shared" si="77"/>
        <v>31</v>
      </c>
      <c r="D456">
        <v>426</v>
      </c>
      <c r="E456">
        <v>457</v>
      </c>
      <c r="F456">
        <f>RnSPLINE!H$18</f>
        <v>31</v>
      </c>
      <c r="G456">
        <f>RnSPLINE!H$19</f>
        <v>28</v>
      </c>
      <c r="H456" s="5">
        <f>RnSPLINE!M$18</f>
        <v>-5.5071405976024834E-2</v>
      </c>
      <c r="I456" s="5">
        <f>RnSPLINE!M$19</f>
        <v>9.3652445369406864E-3</v>
      </c>
      <c r="J456">
        <f t="shared" si="78"/>
        <v>0.12903225806451613</v>
      </c>
      <c r="K456">
        <f t="shared" si="79"/>
        <v>0.87096774193548387</v>
      </c>
      <c r="M456" s="6">
        <f t="shared" si="80"/>
        <v>28.387096774193548</v>
      </c>
      <c r="N456" s="6">
        <f t="shared" si="76"/>
        <v>29.190892595752565</v>
      </c>
      <c r="O456" s="6">
        <f t="shared" si="83"/>
        <v>10287.461021505376</v>
      </c>
      <c r="P456" s="6">
        <f t="shared" si="84"/>
        <v>10301.75815138892</v>
      </c>
      <c r="Q456" s="6">
        <f t="shared" si="81"/>
        <v>29.190892595752565</v>
      </c>
    </row>
    <row r="457" spans="1:17">
      <c r="B457">
        <f t="shared" si="82"/>
        <v>454</v>
      </c>
      <c r="C457">
        <f t="shared" si="77"/>
        <v>31</v>
      </c>
      <c r="D457">
        <v>426</v>
      </c>
      <c r="E457">
        <v>457</v>
      </c>
      <c r="F457">
        <f>RnSPLINE!H$18</f>
        <v>31</v>
      </c>
      <c r="G457">
        <f>RnSPLINE!H$19</f>
        <v>28</v>
      </c>
      <c r="H457" s="5">
        <f>RnSPLINE!M$18</f>
        <v>-5.5071405976024834E-2</v>
      </c>
      <c r="I457" s="5">
        <f>RnSPLINE!M$19</f>
        <v>9.3652445369406864E-3</v>
      </c>
      <c r="J457">
        <f t="shared" si="78"/>
        <v>9.6774193548387094E-2</v>
      </c>
      <c r="K457">
        <f t="shared" si="79"/>
        <v>0.90322580645161288</v>
      </c>
      <c r="M457" s="6">
        <f t="shared" si="80"/>
        <v>28.29032258064516</v>
      </c>
      <c r="N457" s="6">
        <f t="shared" si="76"/>
        <v>28.886396685712089</v>
      </c>
      <c r="O457" s="6">
        <f t="shared" si="83"/>
        <v>10315.751344086022</v>
      </c>
      <c r="P457" s="6">
        <f t="shared" si="84"/>
        <v>10330.644548074632</v>
      </c>
      <c r="Q457" s="6">
        <f t="shared" si="81"/>
        <v>28.886396685712089</v>
      </c>
    </row>
    <row r="458" spans="1:17">
      <c r="B458">
        <f t="shared" si="82"/>
        <v>455</v>
      </c>
      <c r="C458">
        <f t="shared" si="77"/>
        <v>31</v>
      </c>
      <c r="D458">
        <v>426</v>
      </c>
      <c r="E458">
        <v>457</v>
      </c>
      <c r="F458">
        <f>RnSPLINE!H$18</f>
        <v>31</v>
      </c>
      <c r="G458">
        <f>RnSPLINE!H$19</f>
        <v>28</v>
      </c>
      <c r="H458" s="5">
        <f>RnSPLINE!M$18</f>
        <v>-5.5071405976024834E-2</v>
      </c>
      <c r="I458" s="5">
        <f>RnSPLINE!M$19</f>
        <v>9.3652445369406864E-3</v>
      </c>
      <c r="J458">
        <f t="shared" si="78"/>
        <v>6.4516129032258063E-2</v>
      </c>
      <c r="K458">
        <f t="shared" si="79"/>
        <v>0.93548387096774188</v>
      </c>
      <c r="M458" s="6">
        <f t="shared" si="80"/>
        <v>28.193548387096772</v>
      </c>
      <c r="N458" s="6">
        <f t="shared" si="76"/>
        <v>28.585030215320202</v>
      </c>
      <c r="O458" s="6">
        <f t="shared" si="83"/>
        <v>10343.944892473119</v>
      </c>
      <c r="P458" s="6">
        <f t="shared" si="84"/>
        <v>10359.229578289951</v>
      </c>
      <c r="Q458" s="6">
        <f t="shared" si="81"/>
        <v>28.585030215320202</v>
      </c>
    </row>
    <row r="459" spans="1:17">
      <c r="B459">
        <f t="shared" si="82"/>
        <v>456</v>
      </c>
      <c r="C459">
        <f t="shared" si="77"/>
        <v>31</v>
      </c>
      <c r="D459">
        <v>426</v>
      </c>
      <c r="E459">
        <v>457</v>
      </c>
      <c r="F459">
        <f>RnSPLINE!H$18</f>
        <v>31</v>
      </c>
      <c r="G459">
        <f>RnSPLINE!H$19</f>
        <v>28</v>
      </c>
      <c r="H459" s="5">
        <f>RnSPLINE!M$18</f>
        <v>-5.5071405976024834E-2</v>
      </c>
      <c r="I459" s="5">
        <f>RnSPLINE!M$19</f>
        <v>9.3652445369406864E-3</v>
      </c>
      <c r="J459">
        <f t="shared" si="78"/>
        <v>3.2258064516129031E-2</v>
      </c>
      <c r="K459">
        <f t="shared" si="79"/>
        <v>0.967741935483871</v>
      </c>
      <c r="M459" s="6">
        <f t="shared" si="80"/>
        <v>28.096774193548388</v>
      </c>
      <c r="N459" s="6">
        <f t="shared" si="76"/>
        <v>28.288871786206357</v>
      </c>
      <c r="O459" s="6">
        <f t="shared" si="83"/>
        <v>10372.041666666668</v>
      </c>
      <c r="P459" s="6">
        <f t="shared" si="84"/>
        <v>10387.518450076157</v>
      </c>
      <c r="Q459" s="6">
        <f t="shared" si="81"/>
        <v>28.288871786206357</v>
      </c>
    </row>
    <row r="460" spans="1:17">
      <c r="A460">
        <v>457</v>
      </c>
      <c r="B460">
        <f t="shared" si="82"/>
        <v>457</v>
      </c>
      <c r="C460">
        <f t="shared" si="77"/>
        <v>31</v>
      </c>
      <c r="D460">
        <v>426</v>
      </c>
      <c r="E460">
        <v>457</v>
      </c>
      <c r="F460">
        <f>RnSPLINE!H$18</f>
        <v>31</v>
      </c>
      <c r="G460">
        <f>RnSPLINE!H$19</f>
        <v>28</v>
      </c>
      <c r="H460" s="5">
        <f>RnSPLINE!M$18</f>
        <v>-5.5071405976024834E-2</v>
      </c>
      <c r="I460" s="5">
        <f>RnSPLINE!M$19</f>
        <v>9.3652445369406864E-3</v>
      </c>
      <c r="J460">
        <f t="shared" si="78"/>
        <v>0</v>
      </c>
      <c r="K460">
        <f t="shared" si="79"/>
        <v>1</v>
      </c>
      <c r="M460" s="6">
        <f t="shared" si="80"/>
        <v>28</v>
      </c>
      <c r="N460" s="6">
        <f t="shared" si="76"/>
        <v>28</v>
      </c>
      <c r="O460" s="6">
        <f t="shared" si="83"/>
        <v>10400.041666666668</v>
      </c>
      <c r="P460" s="6">
        <f t="shared" si="84"/>
        <v>10415.518450076157</v>
      </c>
      <c r="Q460" s="6">
        <f t="shared" si="81"/>
        <v>28</v>
      </c>
    </row>
    <row r="461" spans="1:17">
      <c r="H461" s="5"/>
      <c r="I461" s="5"/>
      <c r="M461" s="6"/>
      <c r="N461" s="6"/>
      <c r="O461" s="6"/>
      <c r="P461" s="6"/>
    </row>
  </sheetData>
  <phoneticPr fontId="0"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dimension ref="A1:O19"/>
  <sheetViews>
    <sheetView workbookViewId="0">
      <selection activeCell="N50" sqref="N50"/>
    </sheetView>
  </sheetViews>
  <sheetFormatPr defaultRowHeight="12.75"/>
  <sheetData>
    <row r="1" spans="1:15">
      <c r="H1" t="s">
        <v>61</v>
      </c>
      <c r="I1">
        <v>0</v>
      </c>
    </row>
    <row r="2" spans="1:15">
      <c r="H2" t="s">
        <v>62</v>
      </c>
      <c r="I2">
        <v>0</v>
      </c>
    </row>
    <row r="3" spans="1:15">
      <c r="A3" t="s">
        <v>63</v>
      </c>
      <c r="B3" t="s">
        <v>64</v>
      </c>
      <c r="C3" s="102" t="s">
        <v>285</v>
      </c>
      <c r="D3" t="s">
        <v>66</v>
      </c>
      <c r="E3" t="s">
        <v>67</v>
      </c>
      <c r="F3" t="s">
        <v>68</v>
      </c>
      <c r="G3" t="s">
        <v>69</v>
      </c>
      <c r="H3" t="s">
        <v>70</v>
      </c>
      <c r="I3" t="s">
        <v>71</v>
      </c>
      <c r="J3" t="s">
        <v>72</v>
      </c>
      <c r="K3" t="s">
        <v>73</v>
      </c>
    </row>
    <row r="4" spans="1:15">
      <c r="A4">
        <v>11</v>
      </c>
      <c r="B4">
        <v>1</v>
      </c>
      <c r="D4" s="1">
        <v>320</v>
      </c>
      <c r="E4">
        <f t="shared" ref="E4:E19" si="0">D4-319</f>
        <v>1</v>
      </c>
      <c r="F4" s="1">
        <f>C16</f>
        <v>1.1917649599910223</v>
      </c>
      <c r="G4" s="2"/>
      <c r="H4" s="2"/>
      <c r="I4" s="3">
        <f>(3/(E5-E4))*((F5-F4)/(E5-E4)-I$1)</f>
        <v>2.5707721151856089E-5</v>
      </c>
      <c r="J4" s="4">
        <v>-0.25</v>
      </c>
      <c r="K4" s="5">
        <f t="shared" ref="K4:K19" si="1">J4*K5+I4</f>
        <v>1.1718812659480435E-5</v>
      </c>
    </row>
    <row r="5" spans="1:15">
      <c r="A5">
        <v>12</v>
      </c>
      <c r="B5">
        <f t="shared" ref="B5:B19" si="2">B4+1</f>
        <v>2</v>
      </c>
      <c r="D5" s="1">
        <v>351</v>
      </c>
      <c r="E5">
        <f t="shared" si="0"/>
        <v>32</v>
      </c>
      <c r="F5" s="1">
        <f>C17</f>
        <v>1.2000000000000002</v>
      </c>
      <c r="G5" s="2">
        <f t="shared" ref="G5:G19" si="3">(E5-E4)/(E6-E4)</f>
        <v>0.51666666666666672</v>
      </c>
      <c r="H5" s="2">
        <f t="shared" ref="H5:H19" si="4">G5*J4+2</f>
        <v>1.8708333333333333</v>
      </c>
      <c r="I5" s="5">
        <f t="shared" ref="I5:I18" si="5">(6*(((F6-F5)/(E6-E5))-((F5-F4)/(E5-E4)))/(E6-E4)-G5*I4)/H5</f>
        <v>-1.0676542600133422E-4</v>
      </c>
      <c r="J5" s="6">
        <f t="shared" ref="J5:J18" si="6">(G5-1)/H5</f>
        <v>-0.25835189309576834</v>
      </c>
      <c r="K5" s="5">
        <f t="shared" si="1"/>
        <v>5.5955633969502616E-5</v>
      </c>
    </row>
    <row r="6" spans="1:15">
      <c r="A6" s="1">
        <v>1</v>
      </c>
      <c r="B6">
        <f t="shared" si="2"/>
        <v>3</v>
      </c>
      <c r="C6" s="6">
        <f>Climate!AI11</f>
        <v>1.1536309284926189</v>
      </c>
      <c r="D6" s="8">
        <f t="shared" ref="D6:D17" si="7">365+INT(30.5*A6-14.6)</f>
        <v>380</v>
      </c>
      <c r="E6">
        <f t="shared" si="0"/>
        <v>61</v>
      </c>
      <c r="F6">
        <f t="shared" ref="F6:F17" si="8">C6</f>
        <v>1.1536309284926189</v>
      </c>
      <c r="G6" s="2">
        <f t="shared" si="3"/>
        <v>0.48333333333333334</v>
      </c>
      <c r="H6" s="2">
        <f t="shared" si="4"/>
        <v>1.8751299183370453</v>
      </c>
      <c r="I6" s="5">
        <f t="shared" si="5"/>
        <v>-6.5223373384649128E-4</v>
      </c>
      <c r="J6" s="6">
        <f t="shared" si="6"/>
        <v>-0.27553646369467094</v>
      </c>
      <c r="K6" s="5">
        <f t="shared" si="1"/>
        <v>-6.2984272350780817E-4</v>
      </c>
      <c r="L6" s="9"/>
      <c r="M6" s="9" t="s">
        <v>74</v>
      </c>
      <c r="N6" s="9"/>
      <c r="O6" s="9"/>
    </row>
    <row r="7" spans="1:15">
      <c r="A7" s="1">
        <v>2</v>
      </c>
      <c r="B7">
        <f t="shared" si="2"/>
        <v>4</v>
      </c>
      <c r="C7" s="6">
        <f>Climate!AI12</f>
        <v>0.70892984401608183</v>
      </c>
      <c r="D7" s="8">
        <f t="shared" si="7"/>
        <v>411</v>
      </c>
      <c r="E7">
        <f t="shared" si="0"/>
        <v>92</v>
      </c>
      <c r="F7">
        <f t="shared" si="8"/>
        <v>0.70892984401608183</v>
      </c>
      <c r="G7" s="2">
        <f t="shared" si="3"/>
        <v>0.50819672131147542</v>
      </c>
      <c r="H7" s="2">
        <f t="shared" si="4"/>
        <v>1.8599732725486098</v>
      </c>
      <c r="I7" s="5">
        <f t="shared" si="5"/>
        <v>4.1109314745580827E-4</v>
      </c>
      <c r="J7" s="6">
        <f t="shared" si="6"/>
        <v>-0.26441416441142512</v>
      </c>
      <c r="K7" s="5">
        <f t="shared" si="1"/>
        <v>-8.1263329137791062E-5</v>
      </c>
    </row>
    <row r="8" spans="1:15">
      <c r="A8" s="1">
        <v>3</v>
      </c>
      <c r="B8">
        <f t="shared" si="2"/>
        <v>5</v>
      </c>
      <c r="C8" s="6">
        <f>Climate!AI13</f>
        <v>0.41068751843946011</v>
      </c>
      <c r="D8" s="8">
        <f t="shared" si="7"/>
        <v>441</v>
      </c>
      <c r="E8">
        <f t="shared" si="0"/>
        <v>122</v>
      </c>
      <c r="F8">
        <f t="shared" si="8"/>
        <v>0.41068751843946011</v>
      </c>
      <c r="G8" s="2">
        <f t="shared" si="3"/>
        <v>0.49180327868852458</v>
      </c>
      <c r="H8" s="2">
        <f t="shared" si="4"/>
        <v>1.8699602470107746</v>
      </c>
      <c r="I8" s="5">
        <f t="shared" si="5"/>
        <v>1.3121039529983159E-3</v>
      </c>
      <c r="J8" s="6">
        <f t="shared" si="6"/>
        <v>-0.2717687299095547</v>
      </c>
      <c r="K8" s="5">
        <f t="shared" si="1"/>
        <v>1.8620654369616101E-3</v>
      </c>
    </row>
    <row r="9" spans="1:15">
      <c r="A9" s="1">
        <v>4</v>
      </c>
      <c r="B9">
        <f t="shared" si="2"/>
        <v>6</v>
      </c>
      <c r="C9" s="6">
        <f>Climate!AI14</f>
        <v>0.93951055333449485</v>
      </c>
      <c r="D9" s="8">
        <f t="shared" si="7"/>
        <v>472</v>
      </c>
      <c r="E9">
        <f t="shared" si="0"/>
        <v>153</v>
      </c>
      <c r="F9">
        <f t="shared" si="8"/>
        <v>0.93951055333449485</v>
      </c>
      <c r="G9" s="2">
        <f t="shared" si="3"/>
        <v>0.50819672131147542</v>
      </c>
      <c r="H9" s="2">
        <f t="shared" si="4"/>
        <v>1.8618880225049803</v>
      </c>
      <c r="I9" s="5">
        <f t="shared" si="5"/>
        <v>-1.7337353402980152E-3</v>
      </c>
      <c r="J9" s="6">
        <f t="shared" si="6"/>
        <v>-0.26414224311237228</v>
      </c>
      <c r="K9" s="5">
        <f t="shared" si="1"/>
        <v>-2.0236378340742979E-3</v>
      </c>
    </row>
    <row r="10" spans="1:15">
      <c r="A10" s="1">
        <v>5</v>
      </c>
      <c r="B10">
        <f t="shared" si="2"/>
        <v>7</v>
      </c>
      <c r="C10" s="6">
        <f>Climate!AI15</f>
        <v>0.67010446875719587</v>
      </c>
      <c r="D10" s="8">
        <f t="shared" si="7"/>
        <v>502</v>
      </c>
      <c r="E10">
        <f t="shared" si="0"/>
        <v>183</v>
      </c>
      <c r="F10">
        <f t="shared" si="8"/>
        <v>0.67010446875719587</v>
      </c>
      <c r="G10" s="2">
        <f t="shared" si="3"/>
        <v>0.49180327868852458</v>
      </c>
      <c r="H10" s="2">
        <f t="shared" si="4"/>
        <v>1.870093978797194</v>
      </c>
      <c r="I10" s="5">
        <f t="shared" si="5"/>
        <v>1.1257694999014015E-3</v>
      </c>
      <c r="J10" s="6">
        <f t="shared" si="6"/>
        <v>-0.27174929552916754</v>
      </c>
      <c r="K10" s="5">
        <f t="shared" si="1"/>
        <v>1.0975241610746509E-3</v>
      </c>
    </row>
    <row r="11" spans="1:15">
      <c r="A11" s="1">
        <v>6</v>
      </c>
      <c r="B11">
        <f t="shared" si="2"/>
        <v>8</v>
      </c>
      <c r="C11" s="6">
        <f>Climate!AI16</f>
        <v>0.78650793650793671</v>
      </c>
      <c r="D11" s="8">
        <f t="shared" si="7"/>
        <v>533</v>
      </c>
      <c r="E11">
        <f t="shared" si="0"/>
        <v>214</v>
      </c>
      <c r="F11">
        <f t="shared" si="8"/>
        <v>0.78650793650793671</v>
      </c>
      <c r="G11" s="2">
        <f t="shared" si="3"/>
        <v>0.50819672131147542</v>
      </c>
      <c r="H11" s="2">
        <f t="shared" si="4"/>
        <v>1.8618978989933739</v>
      </c>
      <c r="I11" s="5">
        <f t="shared" si="5"/>
        <v>-2.4606140182447421E-5</v>
      </c>
      <c r="J11" s="6">
        <f t="shared" si="6"/>
        <v>-0.26414084196261012</v>
      </c>
      <c r="K11" s="5">
        <f t="shared" si="1"/>
        <v>1.0393895878092166E-4</v>
      </c>
    </row>
    <row r="12" spans="1:15">
      <c r="A12" s="1">
        <v>7</v>
      </c>
      <c r="B12">
        <f t="shared" si="2"/>
        <v>9</v>
      </c>
      <c r="C12" s="6">
        <f>Climate!AI17</f>
        <v>1.0596774193548395</v>
      </c>
      <c r="D12" s="8">
        <f t="shared" si="7"/>
        <v>563</v>
      </c>
      <c r="E12">
        <f t="shared" si="0"/>
        <v>244</v>
      </c>
      <c r="F12">
        <f t="shared" si="8"/>
        <v>1.0596774193548395</v>
      </c>
      <c r="G12" s="2">
        <f t="shared" si="3"/>
        <v>0.49180327868852458</v>
      </c>
      <c r="H12" s="2">
        <f t="shared" si="4"/>
        <v>1.870094667887241</v>
      </c>
      <c r="I12" s="5">
        <f t="shared" si="5"/>
        <v>-5.3461429921337824E-4</v>
      </c>
      <c r="J12" s="6">
        <f t="shared" si="6"/>
        <v>-0.27174919539534115</v>
      </c>
      <c r="K12" s="5">
        <f t="shared" si="1"/>
        <v>-4.8665362769444414E-4</v>
      </c>
    </row>
    <row r="13" spans="1:15">
      <c r="A13" s="1">
        <v>8</v>
      </c>
      <c r="B13">
        <f t="shared" si="2"/>
        <v>10</v>
      </c>
      <c r="C13" s="6">
        <f>Climate!AI18</f>
        <v>1.0230414746543786</v>
      </c>
      <c r="D13" s="8">
        <f t="shared" si="7"/>
        <v>594</v>
      </c>
      <c r="E13">
        <f t="shared" si="0"/>
        <v>275</v>
      </c>
      <c r="F13">
        <f t="shared" si="8"/>
        <v>1.0230414746543786</v>
      </c>
      <c r="G13" s="2">
        <f t="shared" si="3"/>
        <v>0.50819672131147542</v>
      </c>
      <c r="H13" s="2">
        <f t="shared" si="4"/>
        <v>1.8618979498810562</v>
      </c>
      <c r="I13" s="5">
        <f t="shared" si="5"/>
        <v>-6.5132060548875822E-5</v>
      </c>
      <c r="J13" s="6">
        <f t="shared" si="6"/>
        <v>-0.26414083474335559</v>
      </c>
      <c r="K13" s="5">
        <f t="shared" si="1"/>
        <v>-1.7648873421376962E-4</v>
      </c>
    </row>
    <row r="14" spans="1:15">
      <c r="A14" s="1">
        <v>9</v>
      </c>
      <c r="B14">
        <f t="shared" si="2"/>
        <v>11</v>
      </c>
      <c r="C14" s="6">
        <f>Climate!AI19</f>
        <v>0.86773499699131917</v>
      </c>
      <c r="D14" s="8">
        <f t="shared" si="7"/>
        <v>624</v>
      </c>
      <c r="E14">
        <f t="shared" si="0"/>
        <v>305</v>
      </c>
      <c r="F14">
        <f t="shared" si="8"/>
        <v>0.86773499699131917</v>
      </c>
      <c r="G14" s="2">
        <f t="shared" si="3"/>
        <v>0.49180327868852458</v>
      </c>
      <c r="H14" s="2">
        <f t="shared" si="4"/>
        <v>1.870094671437694</v>
      </c>
      <c r="I14" s="5">
        <f t="shared" si="5"/>
        <v>4.7276805187649554E-4</v>
      </c>
      <c r="J14" s="6">
        <f t="shared" si="6"/>
        <v>-0.2717491948794139</v>
      </c>
      <c r="K14" s="5">
        <f t="shared" si="1"/>
        <v>4.2158068355122047E-4</v>
      </c>
    </row>
    <row r="15" spans="1:15">
      <c r="A15" s="1">
        <v>10</v>
      </c>
      <c r="B15">
        <f t="shared" si="2"/>
        <v>12</v>
      </c>
      <c r="C15" s="6">
        <f>Climate!AI20</f>
        <v>0.97580164046852269</v>
      </c>
      <c r="D15" s="8">
        <f t="shared" si="7"/>
        <v>655</v>
      </c>
      <c r="E15">
        <f t="shared" si="0"/>
        <v>336</v>
      </c>
      <c r="F15">
        <f t="shared" si="8"/>
        <v>0.97580164046852269</v>
      </c>
      <c r="G15" s="2">
        <f t="shared" si="3"/>
        <v>0.50819672131147542</v>
      </c>
      <c r="H15" s="2">
        <f t="shared" si="4"/>
        <v>1.8618979501432487</v>
      </c>
      <c r="I15" s="5">
        <f t="shared" si="5"/>
        <v>6.709819726189211E-5</v>
      </c>
      <c r="J15" s="6">
        <f t="shared" si="6"/>
        <v>-0.26414083470615923</v>
      </c>
      <c r="K15" s="5">
        <f t="shared" si="1"/>
        <v>1.8836253902422418E-4</v>
      </c>
    </row>
    <row r="16" spans="1:15">
      <c r="A16" s="1">
        <v>11</v>
      </c>
      <c r="B16">
        <f t="shared" si="2"/>
        <v>13</v>
      </c>
      <c r="C16" s="6">
        <f>Climate!AI21</f>
        <v>1.1917649599910223</v>
      </c>
      <c r="D16" s="8">
        <f t="shared" si="7"/>
        <v>685</v>
      </c>
      <c r="E16">
        <f t="shared" si="0"/>
        <v>366</v>
      </c>
      <c r="F16">
        <f t="shared" si="8"/>
        <v>1.1917649599910223</v>
      </c>
      <c r="G16" s="2">
        <f t="shared" si="3"/>
        <v>0.49180327868852458</v>
      </c>
      <c r="H16" s="2">
        <f t="shared" si="4"/>
        <v>1.8700946714559872</v>
      </c>
      <c r="I16" s="5">
        <f t="shared" si="5"/>
        <v>-3.8230492956709477E-4</v>
      </c>
      <c r="J16" s="6">
        <f t="shared" si="6"/>
        <v>-0.27174919487675564</v>
      </c>
      <c r="K16" s="5">
        <f t="shared" si="1"/>
        <v>-4.5908971968393808E-4</v>
      </c>
    </row>
    <row r="17" spans="1:15">
      <c r="A17" s="1">
        <v>12</v>
      </c>
      <c r="B17">
        <f t="shared" si="2"/>
        <v>14</v>
      </c>
      <c r="C17" s="6">
        <f>Climate!AI22</f>
        <v>1.2000000000000002</v>
      </c>
      <c r="D17" s="8">
        <f t="shared" si="7"/>
        <v>716</v>
      </c>
      <c r="E17">
        <f t="shared" si="0"/>
        <v>397</v>
      </c>
      <c r="F17">
        <f t="shared" si="8"/>
        <v>1.2000000000000002</v>
      </c>
      <c r="G17" s="2">
        <f t="shared" si="3"/>
        <v>0.51666666666666672</v>
      </c>
      <c r="H17" s="2">
        <f t="shared" si="4"/>
        <v>1.8595962493136762</v>
      </c>
      <c r="I17" s="5">
        <f t="shared" si="5"/>
        <v>5.9508715389408215E-6</v>
      </c>
      <c r="J17" s="6">
        <f t="shared" si="6"/>
        <v>-0.25991305021814159</v>
      </c>
      <c r="K17" s="5">
        <f t="shared" si="1"/>
        <v>2.825575625041572E-4</v>
      </c>
      <c r="L17" s="9"/>
      <c r="M17" s="9" t="s">
        <v>75</v>
      </c>
      <c r="N17" s="9"/>
      <c r="O17" s="9"/>
    </row>
    <row r="18" spans="1:15">
      <c r="A18">
        <v>1</v>
      </c>
      <c r="B18">
        <f t="shared" si="2"/>
        <v>15</v>
      </c>
      <c r="D18" s="8">
        <f>730+INT(30.5*A18-14.6)</f>
        <v>745</v>
      </c>
      <c r="E18">
        <f t="shared" si="0"/>
        <v>426</v>
      </c>
      <c r="F18" s="1">
        <f>C6</f>
        <v>1.1536309284926189</v>
      </c>
      <c r="G18" s="2">
        <f t="shared" si="3"/>
        <v>0.48333333333333334</v>
      </c>
      <c r="H18" s="2">
        <f t="shared" si="4"/>
        <v>1.8743753590612315</v>
      </c>
      <c r="I18" s="5">
        <f t="shared" si="5"/>
        <v>-6.8156174040572047E-4</v>
      </c>
      <c r="J18" s="6">
        <f t="shared" si="6"/>
        <v>-0.2756473852310114</v>
      </c>
      <c r="K18" s="5">
        <f t="shared" si="1"/>
        <v>-1.0642277897668626E-3</v>
      </c>
      <c r="M18" s="3"/>
    </row>
    <row r="19" spans="1:15">
      <c r="A19">
        <v>2</v>
      </c>
      <c r="B19">
        <f t="shared" si="2"/>
        <v>16</v>
      </c>
      <c r="D19" s="8">
        <f>730+INT(30.5*A19-14.6)</f>
        <v>776</v>
      </c>
      <c r="E19">
        <f t="shared" si="0"/>
        <v>457</v>
      </c>
      <c r="F19" s="1">
        <f>C7</f>
        <v>0.70892984401608183</v>
      </c>
      <c r="G19" s="2">
        <f t="shared" si="3"/>
        <v>-7.2769953051643188E-2</v>
      </c>
      <c r="H19" s="2">
        <f t="shared" si="4"/>
        <v>2.0200588472820691</v>
      </c>
      <c r="I19" s="3">
        <f>(3/(E19-E18))*(I$2-(F19-F18))/(E19-E18)</f>
        <v>1.3882448006551627E-3</v>
      </c>
      <c r="J19" s="4">
        <v>-0.25</v>
      </c>
      <c r="K19" s="5">
        <f t="shared" si="1"/>
        <v>1.3882448006551627E-3</v>
      </c>
    </row>
  </sheetData>
  <phoneticPr fontId="61"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Grafici</vt:lpstr>
      </vt:variant>
      <vt:variant>
        <vt:i4>7</vt:i4>
      </vt:variant>
    </vt:vector>
  </HeadingPairs>
  <TitlesOfParts>
    <vt:vector size="32" baseType="lpstr">
      <vt:lpstr>TnSPLINE</vt:lpstr>
      <vt:lpstr>TnSplint</vt:lpstr>
      <vt:lpstr>TxSPLINE</vt:lpstr>
      <vt:lpstr>TxSplint</vt:lpstr>
      <vt:lpstr>PMSPLINE</vt:lpstr>
      <vt:lpstr>PMSplint</vt:lpstr>
      <vt:lpstr>RnSPLINE</vt:lpstr>
      <vt:lpstr>RnSplint</vt:lpstr>
      <vt:lpstr>KcSPLINE</vt:lpstr>
      <vt:lpstr>KcSplint</vt:lpstr>
      <vt:lpstr>Notes</vt:lpstr>
      <vt:lpstr>Help</vt:lpstr>
      <vt:lpstr>Title</vt:lpstr>
      <vt:lpstr>Kc_Info</vt:lpstr>
      <vt:lpstr>Climate</vt:lpstr>
      <vt:lpstr>Weather</vt:lpstr>
      <vt:lpstr>DailyMet</vt:lpstr>
      <vt:lpstr>CropList</vt:lpstr>
      <vt:lpstr>YTD</vt:lpstr>
      <vt:lpstr>Irrig</vt:lpstr>
      <vt:lpstr>Input</vt:lpstr>
      <vt:lpstr>Daily</vt:lpstr>
      <vt:lpstr>Weekly</vt:lpstr>
      <vt:lpstr>Monthly</vt:lpstr>
      <vt:lpstr>Immature</vt:lpstr>
      <vt:lpstr>ETo</vt:lpstr>
      <vt:lpstr>Kc</vt:lpstr>
      <vt:lpstr>ETc</vt:lpstr>
      <vt:lpstr>CETc</vt:lpstr>
      <vt:lpstr>Kc_A_DD</vt:lpstr>
      <vt:lpstr>Kc_T_DD</vt:lpstr>
      <vt:lpstr>STvsAM</vt:lpstr>
    </vt:vector>
  </TitlesOfParts>
  <Company>University of California, Davis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rlsnyder</dc:creator>
  <cp:lastModifiedBy>elisa guerra</cp:lastModifiedBy>
  <cp:lastPrinted>2009-05-12T22:01:17Z</cp:lastPrinted>
  <dcterms:created xsi:type="dcterms:W3CDTF">2006-03-24T02:22:49Z</dcterms:created>
  <dcterms:modified xsi:type="dcterms:W3CDTF">2018-07-11T09:00:06Z</dcterms:modified>
</cp:coreProperties>
</file>